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17115" windowHeight="11010" tabRatio="830"/>
  </bookViews>
  <sheets>
    <sheet name="CONTROL" sheetId="1" r:id="rId1"/>
    <sheet name="RAP-SOLID FUEL PRICES" sheetId="2" r:id="rId2"/>
    <sheet name="RAP-LIGHT OIL" sheetId="3" r:id="rId3"/>
    <sheet name="RAP-HEAVY OIL&amp;WTI" sheetId="4" r:id="rId4"/>
    <sheet name="RAP-NATURAL GAS PRICES" sheetId="5" r:id="rId5"/>
    <sheet name="RAP TEMPLATE-GAS AVAILABILITY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5">'RAP TEMPLATE-GAS AVAILABILITY'!$A$12:$T$1158</definedName>
    <definedName name="_xlnm.Print_Area" localSheetId="3">'RAP-HEAVY OIL&amp;WTI'!$A$12:$J$1158</definedName>
    <definedName name="_xlnm.Print_Area" localSheetId="2">'RAP-LIGHT OIL'!$A$12:$K$1157</definedName>
    <definedName name="_xlnm.Print_Area" localSheetId="4">'RAP-NATURAL GAS PRICES'!$A$13:$AC$1158</definedName>
    <definedName name="_xlnm.Print_Area" localSheetId="1">'RAP-SOLID FUEL PRICES'!$A$14:$O$1160</definedName>
    <definedName name="_xlnm.Print_Titles" localSheetId="5">'RAP TEMPLATE-GAS AVAILABILITY'!$1:$11</definedName>
    <definedName name="_xlnm.Print_Titles" localSheetId="3">'RAP-HEAVY OIL&amp;WTI'!$1:$11</definedName>
    <definedName name="_xlnm.Print_Titles" localSheetId="2">'RAP-LIGHT OIL'!$1:$11</definedName>
    <definedName name="_xlnm.Print_Titles" localSheetId="4">'RAP-NATURAL GAS PRICES'!$1:$12</definedName>
    <definedName name="_xlnm.Print_Titles" localSheetId="1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6" i="6" l="1"/>
  <c r="D16" i="6"/>
  <c r="E16" i="6"/>
  <c r="F16" i="6"/>
  <c r="L16" i="6"/>
  <c r="N16" i="6"/>
  <c r="P16" i="6"/>
  <c r="R16" i="6"/>
  <c r="Q16" i="6" s="1"/>
  <c r="S16" i="6" s="1"/>
  <c r="T16" i="6"/>
  <c r="C17" i="6"/>
  <c r="D17" i="6"/>
  <c r="E17" i="6"/>
  <c r="F17" i="6"/>
  <c r="L17" i="6"/>
  <c r="N17" i="6"/>
  <c r="P17" i="6"/>
  <c r="R17" i="6"/>
  <c r="Q17" i="6" s="1"/>
  <c r="S17" i="6" s="1"/>
  <c r="T17" i="6"/>
  <c r="C18" i="6"/>
  <c r="D18" i="6"/>
  <c r="E18" i="6"/>
  <c r="F18" i="6"/>
  <c r="L18" i="6"/>
  <c r="N18" i="6"/>
  <c r="P18" i="6"/>
  <c r="S18" i="6" s="1"/>
  <c r="R18" i="6"/>
  <c r="Q18" i="6" s="1"/>
  <c r="T18" i="6"/>
  <c r="C19" i="6"/>
  <c r="D19" i="6"/>
  <c r="L19" i="6" s="1"/>
  <c r="E19" i="6"/>
  <c r="F19" i="6"/>
  <c r="N19" i="6"/>
  <c r="P19" i="6"/>
  <c r="Q19" i="6"/>
  <c r="R19" i="6"/>
  <c r="S19" i="6"/>
  <c r="T19" i="6"/>
  <c r="C20" i="6"/>
  <c r="D20" i="6"/>
  <c r="E20" i="6"/>
  <c r="F20" i="6"/>
  <c r="L20" i="6"/>
  <c r="N20" i="6"/>
  <c r="P20" i="6"/>
  <c r="R20" i="6"/>
  <c r="Q20" i="6" s="1"/>
  <c r="T20" i="6"/>
  <c r="C21" i="6"/>
  <c r="D21" i="6"/>
  <c r="E21" i="6"/>
  <c r="F21" i="6"/>
  <c r="L21" i="6" s="1"/>
  <c r="N21" i="6"/>
  <c r="P21" i="6"/>
  <c r="R21" i="6"/>
  <c r="Q21" i="6" s="1"/>
  <c r="S21" i="6" s="1"/>
  <c r="T21" i="6"/>
  <c r="C22" i="6"/>
  <c r="D22" i="6"/>
  <c r="E22" i="6"/>
  <c r="F22" i="6"/>
  <c r="L22" i="6"/>
  <c r="N22" i="6"/>
  <c r="R22" i="6"/>
  <c r="Q22" i="6" s="1"/>
  <c r="S22" i="6" s="1"/>
  <c r="T22" i="6"/>
  <c r="C23" i="6"/>
  <c r="D23" i="6"/>
  <c r="E23" i="6"/>
  <c r="F23" i="6"/>
  <c r="L23" i="6"/>
  <c r="N23" i="6"/>
  <c r="Q23" i="6"/>
  <c r="R23" i="6"/>
  <c r="S23" i="6"/>
  <c r="T23" i="6"/>
  <c r="C24" i="6"/>
  <c r="D24" i="6"/>
  <c r="E24" i="6"/>
  <c r="F24" i="6"/>
  <c r="L24" i="6"/>
  <c r="N24" i="6"/>
  <c r="Q24" i="6"/>
  <c r="R24" i="6"/>
  <c r="S24" i="6"/>
  <c r="T24" i="6"/>
  <c r="C25" i="6"/>
  <c r="D25" i="6"/>
  <c r="E25" i="6"/>
  <c r="F25" i="6"/>
  <c r="L25" i="6"/>
  <c r="N25" i="6"/>
  <c r="Q25" i="6"/>
  <c r="R25" i="6"/>
  <c r="S25" i="6"/>
  <c r="T25" i="6"/>
  <c r="C26" i="6"/>
  <c r="D26" i="6"/>
  <c r="E26" i="6"/>
  <c r="F26" i="6"/>
  <c r="L26" i="6"/>
  <c r="N26" i="6"/>
  <c r="Q26" i="6"/>
  <c r="R26" i="6"/>
  <c r="S26" i="6"/>
  <c r="T26" i="6"/>
  <c r="C27" i="6"/>
  <c r="D27" i="6"/>
  <c r="E27" i="6"/>
  <c r="F27" i="6"/>
  <c r="L27" i="6"/>
  <c r="N27" i="6"/>
  <c r="P27" i="6"/>
  <c r="S27" i="6" s="1"/>
  <c r="R27" i="6"/>
  <c r="Q27" i="6" s="1"/>
  <c r="T27" i="6"/>
  <c r="C28" i="6"/>
  <c r="D28" i="6"/>
  <c r="L28" i="6" s="1"/>
  <c r="E28" i="6"/>
  <c r="F28" i="6"/>
  <c r="N28" i="6"/>
  <c r="P28" i="6"/>
  <c r="Q28" i="6"/>
  <c r="R28" i="6"/>
  <c r="S28" i="6"/>
  <c r="T28" i="6"/>
  <c r="C29" i="6"/>
  <c r="D29" i="6"/>
  <c r="E29" i="6"/>
  <c r="F29" i="6"/>
  <c r="L29" i="6"/>
  <c r="N29" i="6"/>
  <c r="P29" i="6"/>
  <c r="R29" i="6"/>
  <c r="Q29" i="6" s="1"/>
  <c r="T29" i="6"/>
  <c r="C30" i="6"/>
  <c r="D30" i="6"/>
  <c r="L30" i="6" s="1"/>
  <c r="E30" i="6"/>
  <c r="F30" i="6"/>
  <c r="N30" i="6"/>
  <c r="P30" i="6"/>
  <c r="Q30" i="6"/>
  <c r="R30" i="6"/>
  <c r="S30" i="6"/>
  <c r="T30" i="6"/>
  <c r="C31" i="6"/>
  <c r="D31" i="6"/>
  <c r="E31" i="6"/>
  <c r="F31" i="6"/>
  <c r="L31" i="6"/>
  <c r="N31" i="6"/>
  <c r="P31" i="6"/>
  <c r="S31" i="6" s="1"/>
  <c r="R31" i="6"/>
  <c r="Q31" i="6" s="1"/>
  <c r="T31" i="6"/>
  <c r="C32" i="6"/>
  <c r="D32" i="6"/>
  <c r="L32" i="6" s="1"/>
  <c r="E32" i="6"/>
  <c r="F32" i="6"/>
  <c r="N32" i="6"/>
  <c r="P32" i="6"/>
  <c r="Q32" i="6"/>
  <c r="R32" i="6"/>
  <c r="S32" i="6"/>
  <c r="T32" i="6"/>
  <c r="C33" i="6"/>
  <c r="D33" i="6"/>
  <c r="E33" i="6"/>
  <c r="F33" i="6"/>
  <c r="L33" i="6"/>
  <c r="N33" i="6"/>
  <c r="P33" i="6"/>
  <c r="R33" i="6"/>
  <c r="Q33" i="6" s="1"/>
  <c r="T33" i="6"/>
  <c r="C34" i="6"/>
  <c r="D34" i="6"/>
  <c r="L34" i="6" s="1"/>
  <c r="E34" i="6"/>
  <c r="F34" i="6"/>
  <c r="N34" i="6"/>
  <c r="R34" i="6"/>
  <c r="Q34" i="6" s="1"/>
  <c r="S34" i="6" s="1"/>
  <c r="T34" i="6"/>
  <c r="C35" i="6"/>
  <c r="D35" i="6"/>
  <c r="L35" i="6" s="1"/>
  <c r="E35" i="6"/>
  <c r="F35" i="6"/>
  <c r="N35" i="6"/>
  <c r="R35" i="6"/>
  <c r="Q35" i="6" s="1"/>
  <c r="S35" i="6" s="1"/>
  <c r="T35" i="6"/>
  <c r="C36" i="6"/>
  <c r="D36" i="6"/>
  <c r="L36" i="6" s="1"/>
  <c r="E36" i="6"/>
  <c r="F36" i="6"/>
  <c r="N36" i="6"/>
  <c r="R36" i="6"/>
  <c r="Q36" i="6" s="1"/>
  <c r="S36" i="6" s="1"/>
  <c r="T36" i="6"/>
  <c r="C37" i="6"/>
  <c r="D37" i="6"/>
  <c r="E37" i="6"/>
  <c r="F37" i="6"/>
  <c r="L37" i="6"/>
  <c r="N37" i="6"/>
  <c r="Q37" i="6"/>
  <c r="R37" i="6"/>
  <c r="S37" i="6"/>
  <c r="T37" i="6"/>
  <c r="C38" i="6"/>
  <c r="D38" i="6"/>
  <c r="E38" i="6"/>
  <c r="F38" i="6"/>
  <c r="L38" i="6"/>
  <c r="N38" i="6"/>
  <c r="Q38" i="6"/>
  <c r="R38" i="6"/>
  <c r="S38" i="6"/>
  <c r="T38" i="6"/>
  <c r="C39" i="6"/>
  <c r="L39" i="6" s="1"/>
  <c r="D39" i="6"/>
  <c r="E39" i="6"/>
  <c r="F39" i="6"/>
  <c r="H39" i="6"/>
  <c r="N39" i="6"/>
  <c r="P39" i="6"/>
  <c r="Q39" i="6"/>
  <c r="R39" i="6"/>
  <c r="S39" i="6"/>
  <c r="T39" i="6"/>
  <c r="C40" i="6"/>
  <c r="L40" i="6" s="1"/>
  <c r="D40" i="6"/>
  <c r="E40" i="6"/>
  <c r="F40" i="6"/>
  <c r="H40" i="6"/>
  <c r="N40" i="6"/>
  <c r="P40" i="6"/>
  <c r="Q40" i="6"/>
  <c r="R40" i="6"/>
  <c r="S40" i="6"/>
  <c r="T40" i="6"/>
  <c r="C41" i="6"/>
  <c r="L41" i="6" s="1"/>
  <c r="D41" i="6"/>
  <c r="E41" i="6"/>
  <c r="F41" i="6"/>
  <c r="H41" i="6"/>
  <c r="N41" i="6"/>
  <c r="P41" i="6"/>
  <c r="Q41" i="6"/>
  <c r="R41" i="6"/>
  <c r="S41" i="6"/>
  <c r="T41" i="6"/>
  <c r="C42" i="6"/>
  <c r="L42" i="6" s="1"/>
  <c r="D42" i="6"/>
  <c r="E42" i="6"/>
  <c r="F42" i="6"/>
  <c r="H42" i="6"/>
  <c r="N42" i="6"/>
  <c r="P42" i="6"/>
  <c r="Q42" i="6"/>
  <c r="R42" i="6"/>
  <c r="S42" i="6"/>
  <c r="T42" i="6"/>
  <c r="C43" i="6"/>
  <c r="L43" i="6" s="1"/>
  <c r="D43" i="6"/>
  <c r="E43" i="6"/>
  <c r="F43" i="6"/>
  <c r="H43" i="6"/>
  <c r="N43" i="6"/>
  <c r="P43" i="6"/>
  <c r="Q43" i="6"/>
  <c r="R43" i="6"/>
  <c r="S43" i="6"/>
  <c r="T43" i="6"/>
  <c r="C44" i="6"/>
  <c r="L44" i="6" s="1"/>
  <c r="D44" i="6"/>
  <c r="E44" i="6"/>
  <c r="F44" i="6"/>
  <c r="H44" i="6"/>
  <c r="N44" i="6"/>
  <c r="P44" i="6"/>
  <c r="Q44" i="6"/>
  <c r="R44" i="6"/>
  <c r="S44" i="6"/>
  <c r="T44" i="6"/>
  <c r="C45" i="6"/>
  <c r="L45" i="6" s="1"/>
  <c r="D45" i="6"/>
  <c r="E45" i="6"/>
  <c r="F45" i="6"/>
  <c r="H45" i="6"/>
  <c r="N45" i="6"/>
  <c r="P45" i="6"/>
  <c r="Q45" i="6"/>
  <c r="R45" i="6"/>
  <c r="S45" i="6"/>
  <c r="T45" i="6"/>
  <c r="C46" i="6"/>
  <c r="L46" i="6" s="1"/>
  <c r="D46" i="6"/>
  <c r="E46" i="6"/>
  <c r="F46" i="6"/>
  <c r="H46" i="6"/>
  <c r="N46" i="6"/>
  <c r="R46" i="6"/>
  <c r="Q46" i="6" s="1"/>
  <c r="S46" i="6" s="1"/>
  <c r="T46" i="6"/>
  <c r="C47" i="6"/>
  <c r="D47" i="6"/>
  <c r="E47" i="6"/>
  <c r="F47" i="6"/>
  <c r="H47" i="6"/>
  <c r="L47" i="6"/>
  <c r="N47" i="6"/>
  <c r="Q47" i="6"/>
  <c r="R47" i="6"/>
  <c r="S47" i="6"/>
  <c r="T47" i="6"/>
  <c r="C48" i="6"/>
  <c r="L48" i="6" s="1"/>
  <c r="D48" i="6"/>
  <c r="E48" i="6"/>
  <c r="F48" i="6"/>
  <c r="H48" i="6"/>
  <c r="N48" i="6"/>
  <c r="R48" i="6"/>
  <c r="Q48" i="6" s="1"/>
  <c r="S48" i="6" s="1"/>
  <c r="T48" i="6"/>
  <c r="C49" i="6"/>
  <c r="D49" i="6"/>
  <c r="E49" i="6"/>
  <c r="F49" i="6"/>
  <c r="H49" i="6"/>
  <c r="L49" i="6"/>
  <c r="N49" i="6"/>
  <c r="Q49" i="6"/>
  <c r="R49" i="6"/>
  <c r="S49" i="6"/>
  <c r="T49" i="6"/>
  <c r="C50" i="6"/>
  <c r="L50" i="6" s="1"/>
  <c r="D50" i="6"/>
  <c r="E50" i="6"/>
  <c r="F50" i="6"/>
  <c r="H50" i="6"/>
  <c r="N50" i="6"/>
  <c r="R50" i="6"/>
  <c r="Q50" i="6" s="1"/>
  <c r="S50" i="6" s="1"/>
  <c r="T50" i="6"/>
  <c r="C51" i="6"/>
  <c r="D51" i="6"/>
  <c r="E51" i="6"/>
  <c r="F51" i="6"/>
  <c r="H51" i="6"/>
  <c r="L51" i="6"/>
  <c r="N51" i="6"/>
  <c r="Q51" i="6"/>
  <c r="R51" i="6"/>
  <c r="S51" i="6"/>
  <c r="T51" i="6"/>
  <c r="C52" i="6"/>
  <c r="D52" i="6"/>
  <c r="E52" i="6"/>
  <c r="F52" i="6"/>
  <c r="H52" i="6"/>
  <c r="I52" i="6"/>
  <c r="L52" i="6"/>
  <c r="N52" i="6"/>
  <c r="Q52" i="6"/>
  <c r="R52" i="6"/>
  <c r="S52" i="6"/>
  <c r="T52" i="6"/>
  <c r="C53" i="6"/>
  <c r="D53" i="6"/>
  <c r="E53" i="6"/>
  <c r="F53" i="6"/>
  <c r="H53" i="6"/>
  <c r="I53" i="6"/>
  <c r="L53" i="6"/>
  <c r="N53" i="6"/>
  <c r="Q53" i="6"/>
  <c r="R53" i="6"/>
  <c r="S53" i="6"/>
  <c r="T53" i="6"/>
  <c r="C54" i="6"/>
  <c r="D54" i="6"/>
  <c r="E54" i="6"/>
  <c r="F54" i="6"/>
  <c r="H54" i="6"/>
  <c r="I54" i="6"/>
  <c r="L54" i="6"/>
  <c r="N54" i="6"/>
  <c r="Q54" i="6"/>
  <c r="R54" i="6"/>
  <c r="S54" i="6"/>
  <c r="T54" i="6"/>
  <c r="C55" i="6"/>
  <c r="D55" i="6"/>
  <c r="E55" i="6"/>
  <c r="F55" i="6"/>
  <c r="H55" i="6"/>
  <c r="I55" i="6"/>
  <c r="L55" i="6"/>
  <c r="N55" i="6"/>
  <c r="Q55" i="6"/>
  <c r="R55" i="6"/>
  <c r="S55" i="6"/>
  <c r="T55" i="6"/>
  <c r="C56" i="6"/>
  <c r="D56" i="6"/>
  <c r="E56" i="6"/>
  <c r="F56" i="6"/>
  <c r="H56" i="6"/>
  <c r="I56" i="6"/>
  <c r="L56" i="6"/>
  <c r="N56" i="6"/>
  <c r="Q56" i="6"/>
  <c r="R56" i="6"/>
  <c r="S56" i="6"/>
  <c r="T56" i="6"/>
  <c r="C57" i="6"/>
  <c r="D57" i="6"/>
  <c r="E57" i="6"/>
  <c r="F57" i="6"/>
  <c r="H57" i="6"/>
  <c r="I57" i="6"/>
  <c r="L57" i="6"/>
  <c r="N57" i="6"/>
  <c r="Q57" i="6"/>
  <c r="R57" i="6"/>
  <c r="S57" i="6"/>
  <c r="T57" i="6"/>
  <c r="C58" i="6"/>
  <c r="D58" i="6"/>
  <c r="E58" i="6"/>
  <c r="F58" i="6"/>
  <c r="H58" i="6"/>
  <c r="I58" i="6"/>
  <c r="L58" i="6"/>
  <c r="N58" i="6"/>
  <c r="Q58" i="6"/>
  <c r="R58" i="6"/>
  <c r="S58" i="6"/>
  <c r="T58" i="6"/>
  <c r="C59" i="6"/>
  <c r="D59" i="6"/>
  <c r="E59" i="6"/>
  <c r="F59" i="6"/>
  <c r="H59" i="6"/>
  <c r="I59" i="6"/>
  <c r="L59" i="6"/>
  <c r="N59" i="6"/>
  <c r="Q59" i="6"/>
  <c r="R59" i="6"/>
  <c r="S59" i="6"/>
  <c r="T59" i="6"/>
  <c r="C60" i="6"/>
  <c r="D60" i="6"/>
  <c r="E60" i="6"/>
  <c r="F60" i="6"/>
  <c r="H60" i="6"/>
  <c r="I60" i="6"/>
  <c r="L60" i="6"/>
  <c r="N60" i="6"/>
  <c r="Q60" i="6"/>
  <c r="R60" i="6"/>
  <c r="S60" i="6"/>
  <c r="T60" i="6"/>
  <c r="C61" i="6"/>
  <c r="D61" i="6"/>
  <c r="E61" i="6"/>
  <c r="F61" i="6"/>
  <c r="H61" i="6"/>
  <c r="I61" i="6"/>
  <c r="L61" i="6"/>
  <c r="N61" i="6"/>
  <c r="Q61" i="6"/>
  <c r="R61" i="6"/>
  <c r="S61" i="6"/>
  <c r="T61" i="6"/>
  <c r="C62" i="6"/>
  <c r="D62" i="6"/>
  <c r="E62" i="6"/>
  <c r="F62" i="6"/>
  <c r="H62" i="6"/>
  <c r="I62" i="6"/>
  <c r="L62" i="6"/>
  <c r="N62" i="6"/>
  <c r="Q62" i="6"/>
  <c r="R62" i="6"/>
  <c r="S62" i="6"/>
  <c r="T62" i="6"/>
  <c r="C63" i="6"/>
  <c r="D63" i="6"/>
  <c r="E63" i="6"/>
  <c r="F63" i="6"/>
  <c r="H63" i="6"/>
  <c r="I63" i="6"/>
  <c r="L63" i="6"/>
  <c r="N63" i="6"/>
  <c r="Q63" i="6"/>
  <c r="R63" i="6"/>
  <c r="S63" i="6"/>
  <c r="T63" i="6"/>
  <c r="C64" i="6"/>
  <c r="D64" i="6"/>
  <c r="E64" i="6"/>
  <c r="F64" i="6"/>
  <c r="H64" i="6"/>
  <c r="I64" i="6"/>
  <c r="L64" i="6"/>
  <c r="N64" i="6"/>
  <c r="Q64" i="6"/>
  <c r="R64" i="6"/>
  <c r="S64" i="6"/>
  <c r="T64" i="6"/>
  <c r="C65" i="6"/>
  <c r="D65" i="6"/>
  <c r="E65" i="6"/>
  <c r="F65" i="6"/>
  <c r="H65" i="6"/>
  <c r="I65" i="6"/>
  <c r="L65" i="6"/>
  <c r="N65" i="6"/>
  <c r="Q65" i="6"/>
  <c r="R65" i="6"/>
  <c r="S65" i="6"/>
  <c r="T65" i="6"/>
  <c r="C66" i="6"/>
  <c r="D66" i="6"/>
  <c r="E66" i="6"/>
  <c r="F66" i="6"/>
  <c r="H66" i="6"/>
  <c r="I66" i="6"/>
  <c r="L66" i="6"/>
  <c r="N66" i="6"/>
  <c r="Q66" i="6"/>
  <c r="R66" i="6"/>
  <c r="S66" i="6"/>
  <c r="T66" i="6"/>
  <c r="C67" i="6"/>
  <c r="D67" i="6"/>
  <c r="E67" i="6"/>
  <c r="F67" i="6"/>
  <c r="H67" i="6"/>
  <c r="I67" i="6"/>
  <c r="L67" i="6"/>
  <c r="N67" i="6"/>
  <c r="Q67" i="6"/>
  <c r="R67" i="6"/>
  <c r="S67" i="6"/>
  <c r="T67" i="6"/>
  <c r="C68" i="6"/>
  <c r="D68" i="6"/>
  <c r="E68" i="6"/>
  <c r="F68" i="6"/>
  <c r="H68" i="6"/>
  <c r="I68" i="6"/>
  <c r="L68" i="6"/>
  <c r="N68" i="6"/>
  <c r="Q68" i="6"/>
  <c r="R68" i="6"/>
  <c r="S68" i="6"/>
  <c r="T68" i="6"/>
  <c r="C69" i="6"/>
  <c r="D69" i="6"/>
  <c r="E69" i="6"/>
  <c r="F69" i="6"/>
  <c r="H69" i="6"/>
  <c r="I69" i="6"/>
  <c r="L69" i="6"/>
  <c r="N69" i="6"/>
  <c r="Q69" i="6"/>
  <c r="R69" i="6"/>
  <c r="S69" i="6"/>
  <c r="T69" i="6"/>
  <c r="C70" i="6"/>
  <c r="D70" i="6"/>
  <c r="E70" i="6"/>
  <c r="F70" i="6"/>
  <c r="H70" i="6"/>
  <c r="I70" i="6"/>
  <c r="L70" i="6"/>
  <c r="N70" i="6"/>
  <c r="Q70" i="6"/>
  <c r="R70" i="6"/>
  <c r="S70" i="6"/>
  <c r="T70" i="6"/>
  <c r="C71" i="6"/>
  <c r="D71" i="6"/>
  <c r="E71" i="6"/>
  <c r="F71" i="6"/>
  <c r="H71" i="6"/>
  <c r="I71" i="6"/>
  <c r="L71" i="6"/>
  <c r="N71" i="6"/>
  <c r="Q71" i="6"/>
  <c r="R71" i="6"/>
  <c r="S71" i="6"/>
  <c r="T71" i="6"/>
  <c r="C72" i="6"/>
  <c r="D72" i="6"/>
  <c r="E72" i="6"/>
  <c r="F72" i="6"/>
  <c r="H72" i="6"/>
  <c r="I72" i="6"/>
  <c r="L72" i="6"/>
  <c r="N72" i="6"/>
  <c r="Q72" i="6"/>
  <c r="R72" i="6"/>
  <c r="S72" i="6"/>
  <c r="T72" i="6"/>
  <c r="C73" i="6"/>
  <c r="D73" i="6"/>
  <c r="E73" i="6"/>
  <c r="F73" i="6"/>
  <c r="H73" i="6"/>
  <c r="I73" i="6"/>
  <c r="L73" i="6"/>
  <c r="N73" i="6"/>
  <c r="Q73" i="6"/>
  <c r="R73" i="6"/>
  <c r="S73" i="6"/>
  <c r="T73" i="6"/>
  <c r="C74" i="6"/>
  <c r="D74" i="6"/>
  <c r="E74" i="6"/>
  <c r="F74" i="6"/>
  <c r="H74" i="6"/>
  <c r="I74" i="6"/>
  <c r="L74" i="6"/>
  <c r="N74" i="6"/>
  <c r="Q74" i="6"/>
  <c r="R74" i="6"/>
  <c r="S74" i="6"/>
  <c r="T74" i="6"/>
  <c r="C75" i="6"/>
  <c r="D75" i="6"/>
  <c r="E75" i="6"/>
  <c r="F75" i="6"/>
  <c r="H75" i="6"/>
  <c r="I75" i="6"/>
  <c r="L75" i="6"/>
  <c r="N75" i="6"/>
  <c r="Q75" i="6"/>
  <c r="R75" i="6"/>
  <c r="S75" i="6"/>
  <c r="T75" i="6"/>
  <c r="C76" i="6"/>
  <c r="D76" i="6"/>
  <c r="E76" i="6"/>
  <c r="F76" i="6"/>
  <c r="H76" i="6"/>
  <c r="I76" i="6"/>
  <c r="L76" i="6"/>
  <c r="N76" i="6"/>
  <c r="Q76" i="6"/>
  <c r="R76" i="6"/>
  <c r="S76" i="6"/>
  <c r="T76" i="6"/>
  <c r="C77" i="6"/>
  <c r="D77" i="6"/>
  <c r="E77" i="6"/>
  <c r="F77" i="6"/>
  <c r="H77" i="6"/>
  <c r="I77" i="6"/>
  <c r="L77" i="6"/>
  <c r="N77" i="6"/>
  <c r="Q77" i="6"/>
  <c r="R77" i="6"/>
  <c r="S77" i="6"/>
  <c r="T77" i="6"/>
  <c r="C78" i="6"/>
  <c r="D78" i="6"/>
  <c r="E78" i="6"/>
  <c r="F78" i="6"/>
  <c r="H78" i="6"/>
  <c r="I78" i="6"/>
  <c r="L78" i="6"/>
  <c r="N78" i="6"/>
  <c r="Q78" i="6"/>
  <c r="R78" i="6"/>
  <c r="S78" i="6"/>
  <c r="T78" i="6"/>
  <c r="C79" i="6"/>
  <c r="D79" i="6"/>
  <c r="E79" i="6"/>
  <c r="F79" i="6"/>
  <c r="H79" i="6"/>
  <c r="I79" i="6"/>
  <c r="L79" i="6"/>
  <c r="N79" i="6"/>
  <c r="Q79" i="6"/>
  <c r="R79" i="6"/>
  <c r="S79" i="6"/>
  <c r="T79" i="6"/>
  <c r="C80" i="6"/>
  <c r="D80" i="6"/>
  <c r="E80" i="6"/>
  <c r="F80" i="6"/>
  <c r="H80" i="6"/>
  <c r="I80" i="6"/>
  <c r="L80" i="6"/>
  <c r="N80" i="6"/>
  <c r="Q80" i="6"/>
  <c r="R80" i="6"/>
  <c r="S80" i="6"/>
  <c r="T80" i="6"/>
  <c r="C81" i="6"/>
  <c r="D81" i="6"/>
  <c r="E81" i="6"/>
  <c r="F81" i="6"/>
  <c r="H81" i="6"/>
  <c r="I81" i="6"/>
  <c r="L81" i="6"/>
  <c r="N81" i="6"/>
  <c r="Q81" i="6"/>
  <c r="R81" i="6"/>
  <c r="S81" i="6"/>
  <c r="T81" i="6"/>
  <c r="C82" i="6"/>
  <c r="D82" i="6"/>
  <c r="E82" i="6"/>
  <c r="F82" i="6"/>
  <c r="H82" i="6"/>
  <c r="I82" i="6"/>
  <c r="L82" i="6"/>
  <c r="N82" i="6"/>
  <c r="Q82" i="6"/>
  <c r="R82" i="6"/>
  <c r="S82" i="6"/>
  <c r="T82" i="6"/>
  <c r="C83" i="6"/>
  <c r="D83" i="6"/>
  <c r="E83" i="6"/>
  <c r="F83" i="6"/>
  <c r="H83" i="6"/>
  <c r="I83" i="6"/>
  <c r="L83" i="6"/>
  <c r="N83" i="6"/>
  <c r="Q83" i="6"/>
  <c r="R83" i="6"/>
  <c r="S83" i="6"/>
  <c r="T83" i="6"/>
  <c r="C84" i="6"/>
  <c r="D84" i="6"/>
  <c r="E84" i="6"/>
  <c r="F84" i="6"/>
  <c r="H84" i="6"/>
  <c r="I84" i="6"/>
  <c r="L84" i="6"/>
  <c r="N84" i="6"/>
  <c r="Q84" i="6"/>
  <c r="R84" i="6"/>
  <c r="S84" i="6"/>
  <c r="T84" i="6"/>
  <c r="C85" i="6"/>
  <c r="D85" i="6"/>
  <c r="E85" i="6"/>
  <c r="F85" i="6"/>
  <c r="H85" i="6"/>
  <c r="I85" i="6"/>
  <c r="L85" i="6"/>
  <c r="N85" i="6"/>
  <c r="Q85" i="6"/>
  <c r="R85" i="6"/>
  <c r="S85" i="6"/>
  <c r="T85" i="6"/>
  <c r="C86" i="6"/>
  <c r="D86" i="6"/>
  <c r="E86" i="6"/>
  <c r="F86" i="6"/>
  <c r="H86" i="6"/>
  <c r="I86" i="6"/>
  <c r="L86" i="6"/>
  <c r="N86" i="6"/>
  <c r="Q86" i="6"/>
  <c r="R86" i="6"/>
  <c r="S86" i="6"/>
  <c r="T86" i="6"/>
  <c r="C87" i="6"/>
  <c r="D87" i="6"/>
  <c r="E87" i="6"/>
  <c r="F87" i="6"/>
  <c r="H87" i="6"/>
  <c r="I87" i="6"/>
  <c r="L87" i="6"/>
  <c r="N87" i="6"/>
  <c r="Q87" i="6"/>
  <c r="R87" i="6"/>
  <c r="S87" i="6"/>
  <c r="T87" i="6"/>
  <c r="C88" i="6"/>
  <c r="D88" i="6"/>
  <c r="E88" i="6"/>
  <c r="F88" i="6"/>
  <c r="H88" i="6"/>
  <c r="I88" i="6"/>
  <c r="L88" i="6"/>
  <c r="N88" i="6"/>
  <c r="Q88" i="6"/>
  <c r="R88" i="6"/>
  <c r="S88" i="6"/>
  <c r="T88" i="6"/>
  <c r="C89" i="6"/>
  <c r="D89" i="6"/>
  <c r="E89" i="6"/>
  <c r="F89" i="6"/>
  <c r="H89" i="6"/>
  <c r="I89" i="6"/>
  <c r="L89" i="6"/>
  <c r="N89" i="6"/>
  <c r="Q89" i="6"/>
  <c r="R89" i="6"/>
  <c r="S89" i="6"/>
  <c r="T89" i="6"/>
  <c r="C90" i="6"/>
  <c r="D90" i="6"/>
  <c r="E90" i="6"/>
  <c r="F90" i="6"/>
  <c r="H90" i="6"/>
  <c r="I90" i="6"/>
  <c r="L90" i="6"/>
  <c r="N90" i="6"/>
  <c r="Q90" i="6"/>
  <c r="R90" i="6"/>
  <c r="S90" i="6"/>
  <c r="T90" i="6"/>
  <c r="C91" i="6"/>
  <c r="D91" i="6"/>
  <c r="E91" i="6"/>
  <c r="F91" i="6"/>
  <c r="H91" i="6"/>
  <c r="I91" i="6"/>
  <c r="L91" i="6"/>
  <c r="N91" i="6"/>
  <c r="Q91" i="6"/>
  <c r="R91" i="6"/>
  <c r="S91" i="6"/>
  <c r="T91" i="6"/>
  <c r="C92" i="6"/>
  <c r="D92" i="6"/>
  <c r="E92" i="6"/>
  <c r="F92" i="6"/>
  <c r="H92" i="6"/>
  <c r="I92" i="6"/>
  <c r="L92" i="6"/>
  <c r="N92" i="6"/>
  <c r="Q92" i="6"/>
  <c r="R92" i="6"/>
  <c r="S92" i="6"/>
  <c r="T92" i="6"/>
  <c r="C93" i="6"/>
  <c r="D93" i="6"/>
  <c r="E93" i="6"/>
  <c r="F93" i="6"/>
  <c r="H93" i="6"/>
  <c r="I93" i="6"/>
  <c r="L93" i="6"/>
  <c r="N93" i="6"/>
  <c r="Q93" i="6"/>
  <c r="R93" i="6"/>
  <c r="S93" i="6"/>
  <c r="T93" i="6"/>
  <c r="C94" i="6"/>
  <c r="D94" i="6"/>
  <c r="E94" i="6"/>
  <c r="F94" i="6"/>
  <c r="H94" i="6"/>
  <c r="I94" i="6"/>
  <c r="L94" i="6"/>
  <c r="N94" i="6"/>
  <c r="Q94" i="6"/>
  <c r="R94" i="6"/>
  <c r="S94" i="6"/>
  <c r="T94" i="6"/>
  <c r="C95" i="6"/>
  <c r="D95" i="6"/>
  <c r="E95" i="6"/>
  <c r="F95" i="6"/>
  <c r="H95" i="6"/>
  <c r="I95" i="6"/>
  <c r="L95" i="6"/>
  <c r="N95" i="6"/>
  <c r="Q95" i="6"/>
  <c r="R95" i="6"/>
  <c r="S95" i="6"/>
  <c r="T95" i="6"/>
  <c r="C96" i="6"/>
  <c r="D96" i="6"/>
  <c r="E96" i="6"/>
  <c r="F96" i="6"/>
  <c r="H96" i="6"/>
  <c r="I96" i="6"/>
  <c r="L96" i="6"/>
  <c r="N96" i="6"/>
  <c r="Q96" i="6"/>
  <c r="R96" i="6"/>
  <c r="S96" i="6"/>
  <c r="T96" i="6"/>
  <c r="C97" i="6"/>
  <c r="D97" i="6"/>
  <c r="E97" i="6"/>
  <c r="F97" i="6"/>
  <c r="H97" i="6"/>
  <c r="I97" i="6"/>
  <c r="L97" i="6"/>
  <c r="N97" i="6"/>
  <c r="Q97" i="6"/>
  <c r="R97" i="6"/>
  <c r="S97" i="6"/>
  <c r="T97" i="6"/>
  <c r="C98" i="6"/>
  <c r="D98" i="6"/>
  <c r="E98" i="6"/>
  <c r="F98" i="6"/>
  <c r="H98" i="6"/>
  <c r="I98" i="6"/>
  <c r="L98" i="6"/>
  <c r="N98" i="6"/>
  <c r="Q98" i="6"/>
  <c r="R98" i="6"/>
  <c r="S98" i="6"/>
  <c r="T98" i="6"/>
  <c r="C99" i="6"/>
  <c r="D99" i="6"/>
  <c r="E99" i="6"/>
  <c r="F99" i="6"/>
  <c r="H99" i="6"/>
  <c r="I99" i="6"/>
  <c r="L99" i="6"/>
  <c r="N99" i="6"/>
  <c r="Q99" i="6"/>
  <c r="R99" i="6"/>
  <c r="S99" i="6"/>
  <c r="T99" i="6"/>
  <c r="C100" i="6"/>
  <c r="D100" i="6"/>
  <c r="E100" i="6"/>
  <c r="F100" i="6"/>
  <c r="H100" i="6"/>
  <c r="I100" i="6"/>
  <c r="L100" i="6"/>
  <c r="N100" i="6"/>
  <c r="Q100" i="6"/>
  <c r="R100" i="6"/>
  <c r="S100" i="6"/>
  <c r="T100" i="6"/>
  <c r="C101" i="6"/>
  <c r="D101" i="6"/>
  <c r="E101" i="6"/>
  <c r="F101" i="6"/>
  <c r="H101" i="6"/>
  <c r="I101" i="6"/>
  <c r="L101" i="6"/>
  <c r="N101" i="6"/>
  <c r="Q101" i="6"/>
  <c r="R101" i="6"/>
  <c r="S101" i="6"/>
  <c r="T101" i="6"/>
  <c r="C102" i="6"/>
  <c r="D102" i="6"/>
  <c r="E102" i="6"/>
  <c r="F102" i="6"/>
  <c r="H102" i="6"/>
  <c r="I102" i="6"/>
  <c r="L102" i="6"/>
  <c r="N102" i="6"/>
  <c r="Q102" i="6"/>
  <c r="R102" i="6"/>
  <c r="S102" i="6"/>
  <c r="T102" i="6"/>
  <c r="C103" i="6"/>
  <c r="D103" i="6"/>
  <c r="E103" i="6"/>
  <c r="F103" i="6"/>
  <c r="H103" i="6"/>
  <c r="I103" i="6"/>
  <c r="L103" i="6"/>
  <c r="N103" i="6"/>
  <c r="Q103" i="6"/>
  <c r="R103" i="6"/>
  <c r="S103" i="6"/>
  <c r="T103" i="6"/>
  <c r="C104" i="6"/>
  <c r="D104" i="6"/>
  <c r="E104" i="6"/>
  <c r="F104" i="6"/>
  <c r="H104" i="6"/>
  <c r="I104" i="6"/>
  <c r="L104" i="6"/>
  <c r="N104" i="6"/>
  <c r="Q104" i="6"/>
  <c r="R104" i="6"/>
  <c r="S104" i="6"/>
  <c r="T104" i="6"/>
  <c r="C105" i="6"/>
  <c r="D105" i="6"/>
  <c r="E105" i="6"/>
  <c r="F105" i="6"/>
  <c r="H105" i="6"/>
  <c r="I105" i="6"/>
  <c r="L105" i="6"/>
  <c r="N105" i="6"/>
  <c r="Q105" i="6"/>
  <c r="R105" i="6"/>
  <c r="S105" i="6"/>
  <c r="T105" i="6"/>
  <c r="C106" i="6"/>
  <c r="D106" i="6"/>
  <c r="E106" i="6"/>
  <c r="F106" i="6"/>
  <c r="H106" i="6"/>
  <c r="I106" i="6"/>
  <c r="L106" i="6"/>
  <c r="N106" i="6"/>
  <c r="Q106" i="6"/>
  <c r="R106" i="6"/>
  <c r="S106" i="6"/>
  <c r="T106" i="6"/>
  <c r="C107" i="6"/>
  <c r="D107" i="6"/>
  <c r="E107" i="6"/>
  <c r="F107" i="6"/>
  <c r="H107" i="6"/>
  <c r="I107" i="6"/>
  <c r="L107" i="6"/>
  <c r="N107" i="6"/>
  <c r="Q107" i="6"/>
  <c r="R107" i="6"/>
  <c r="S107" i="6"/>
  <c r="T107" i="6"/>
  <c r="C108" i="6"/>
  <c r="D108" i="6"/>
  <c r="E108" i="6"/>
  <c r="F108" i="6"/>
  <c r="H108" i="6"/>
  <c r="I108" i="6"/>
  <c r="L108" i="6"/>
  <c r="N108" i="6"/>
  <c r="Q108" i="6"/>
  <c r="R108" i="6"/>
  <c r="S108" i="6"/>
  <c r="T108" i="6"/>
  <c r="C109" i="6"/>
  <c r="D109" i="6"/>
  <c r="E109" i="6"/>
  <c r="F109" i="6"/>
  <c r="H109" i="6"/>
  <c r="I109" i="6"/>
  <c r="L109" i="6"/>
  <c r="N109" i="6"/>
  <c r="Q109" i="6"/>
  <c r="R109" i="6"/>
  <c r="S109" i="6"/>
  <c r="T109" i="6"/>
  <c r="C110" i="6"/>
  <c r="D110" i="6"/>
  <c r="E110" i="6"/>
  <c r="F110" i="6"/>
  <c r="H110" i="6"/>
  <c r="I110" i="6"/>
  <c r="L110" i="6"/>
  <c r="N110" i="6"/>
  <c r="Q110" i="6"/>
  <c r="R110" i="6"/>
  <c r="S110" i="6"/>
  <c r="T110" i="6"/>
  <c r="C111" i="6"/>
  <c r="D111" i="6"/>
  <c r="E111" i="6"/>
  <c r="F111" i="6"/>
  <c r="H111" i="6"/>
  <c r="I111" i="6"/>
  <c r="L111" i="6"/>
  <c r="N111" i="6"/>
  <c r="Q111" i="6"/>
  <c r="R111" i="6"/>
  <c r="S111" i="6"/>
  <c r="T111" i="6"/>
  <c r="C112" i="6"/>
  <c r="D112" i="6"/>
  <c r="E112" i="6"/>
  <c r="F112" i="6"/>
  <c r="H112" i="6"/>
  <c r="I112" i="6"/>
  <c r="L112" i="6"/>
  <c r="N112" i="6"/>
  <c r="Q112" i="6"/>
  <c r="R112" i="6"/>
  <c r="S112" i="6"/>
  <c r="T112" i="6"/>
  <c r="C113" i="6"/>
  <c r="D113" i="6"/>
  <c r="E113" i="6"/>
  <c r="F113" i="6"/>
  <c r="H113" i="6"/>
  <c r="I113" i="6"/>
  <c r="L113" i="6"/>
  <c r="N113" i="6"/>
  <c r="Q113" i="6"/>
  <c r="R113" i="6"/>
  <c r="S113" i="6"/>
  <c r="T113" i="6"/>
  <c r="C114" i="6"/>
  <c r="D114" i="6"/>
  <c r="E114" i="6"/>
  <c r="F114" i="6"/>
  <c r="H114" i="6"/>
  <c r="I114" i="6"/>
  <c r="L114" i="6"/>
  <c r="N114" i="6"/>
  <c r="Q114" i="6"/>
  <c r="R114" i="6"/>
  <c r="S114" i="6"/>
  <c r="T114" i="6"/>
  <c r="C115" i="6"/>
  <c r="D115" i="6"/>
  <c r="E115" i="6"/>
  <c r="F115" i="6"/>
  <c r="H115" i="6"/>
  <c r="I115" i="6"/>
  <c r="L115" i="6"/>
  <c r="N115" i="6"/>
  <c r="Q115" i="6"/>
  <c r="R115" i="6"/>
  <c r="S115" i="6"/>
  <c r="T115" i="6"/>
  <c r="C116" i="6"/>
  <c r="D116" i="6"/>
  <c r="E116" i="6"/>
  <c r="F116" i="6"/>
  <c r="H116" i="6"/>
  <c r="I116" i="6"/>
  <c r="L116" i="6"/>
  <c r="N116" i="6"/>
  <c r="Q116" i="6"/>
  <c r="R116" i="6"/>
  <c r="S116" i="6"/>
  <c r="T116" i="6"/>
  <c r="C117" i="6"/>
  <c r="D117" i="6"/>
  <c r="E117" i="6"/>
  <c r="F117" i="6"/>
  <c r="H117" i="6"/>
  <c r="I117" i="6"/>
  <c r="L117" i="6"/>
  <c r="N117" i="6"/>
  <c r="Q117" i="6"/>
  <c r="R117" i="6"/>
  <c r="S117" i="6"/>
  <c r="T117" i="6"/>
  <c r="C118" i="6"/>
  <c r="D118" i="6"/>
  <c r="E118" i="6"/>
  <c r="F118" i="6"/>
  <c r="H118" i="6"/>
  <c r="I118" i="6"/>
  <c r="L118" i="6"/>
  <c r="N118" i="6"/>
  <c r="Q118" i="6"/>
  <c r="R118" i="6"/>
  <c r="S118" i="6"/>
  <c r="T118" i="6"/>
  <c r="C119" i="6"/>
  <c r="D119" i="6"/>
  <c r="E119" i="6"/>
  <c r="F119" i="6"/>
  <c r="H119" i="6"/>
  <c r="I119" i="6"/>
  <c r="L119" i="6"/>
  <c r="N119" i="6"/>
  <c r="Q119" i="6"/>
  <c r="R119" i="6"/>
  <c r="S119" i="6"/>
  <c r="T119" i="6"/>
  <c r="C120" i="6"/>
  <c r="D120" i="6"/>
  <c r="E120" i="6"/>
  <c r="F120" i="6"/>
  <c r="H120" i="6"/>
  <c r="I120" i="6"/>
  <c r="L120" i="6"/>
  <c r="N120" i="6"/>
  <c r="Q120" i="6"/>
  <c r="R120" i="6"/>
  <c r="S120" i="6"/>
  <c r="T120" i="6"/>
  <c r="C121" i="6"/>
  <c r="D121" i="6"/>
  <c r="E121" i="6"/>
  <c r="F121" i="6"/>
  <c r="H121" i="6"/>
  <c r="I121" i="6"/>
  <c r="L121" i="6"/>
  <c r="N121" i="6"/>
  <c r="Q121" i="6"/>
  <c r="R121" i="6"/>
  <c r="S121" i="6"/>
  <c r="T121" i="6"/>
  <c r="C122" i="6"/>
  <c r="D122" i="6"/>
  <c r="E122" i="6"/>
  <c r="F122" i="6"/>
  <c r="H122" i="6"/>
  <c r="I122" i="6"/>
  <c r="L122" i="6"/>
  <c r="N122" i="6"/>
  <c r="Q122" i="6"/>
  <c r="R122" i="6"/>
  <c r="S122" i="6"/>
  <c r="T122" i="6"/>
  <c r="C123" i="6"/>
  <c r="D123" i="6"/>
  <c r="E123" i="6"/>
  <c r="F123" i="6"/>
  <c r="H123" i="6"/>
  <c r="I123" i="6"/>
  <c r="L123" i="6"/>
  <c r="N123" i="6"/>
  <c r="Q123" i="6"/>
  <c r="R123" i="6"/>
  <c r="S123" i="6"/>
  <c r="T123" i="6"/>
  <c r="C124" i="6"/>
  <c r="D124" i="6"/>
  <c r="E124" i="6"/>
  <c r="F124" i="6"/>
  <c r="H124" i="6"/>
  <c r="I124" i="6"/>
  <c r="L124" i="6"/>
  <c r="N124" i="6"/>
  <c r="Q124" i="6"/>
  <c r="R124" i="6"/>
  <c r="S124" i="6"/>
  <c r="T124" i="6"/>
  <c r="C125" i="6"/>
  <c r="D125" i="6"/>
  <c r="E125" i="6"/>
  <c r="F125" i="6"/>
  <c r="H125" i="6"/>
  <c r="I125" i="6"/>
  <c r="L125" i="6"/>
  <c r="N125" i="6"/>
  <c r="Q125" i="6"/>
  <c r="R125" i="6"/>
  <c r="S125" i="6"/>
  <c r="T125" i="6"/>
  <c r="C126" i="6"/>
  <c r="D126" i="6"/>
  <c r="E126" i="6"/>
  <c r="F126" i="6"/>
  <c r="H126" i="6"/>
  <c r="I126" i="6"/>
  <c r="L126" i="6"/>
  <c r="N126" i="6"/>
  <c r="Q126" i="6"/>
  <c r="R126" i="6"/>
  <c r="S126" i="6"/>
  <c r="T126" i="6"/>
  <c r="C127" i="6"/>
  <c r="D127" i="6"/>
  <c r="E127" i="6"/>
  <c r="F127" i="6"/>
  <c r="H127" i="6"/>
  <c r="I127" i="6"/>
  <c r="L127" i="6"/>
  <c r="N127" i="6"/>
  <c r="Q127" i="6"/>
  <c r="R127" i="6"/>
  <c r="S127" i="6"/>
  <c r="T127" i="6"/>
  <c r="C128" i="6"/>
  <c r="D128" i="6"/>
  <c r="E128" i="6"/>
  <c r="F128" i="6"/>
  <c r="H128" i="6"/>
  <c r="I128" i="6"/>
  <c r="L128" i="6"/>
  <c r="N128" i="6"/>
  <c r="Q128" i="6"/>
  <c r="R128" i="6"/>
  <c r="S128" i="6"/>
  <c r="T128" i="6"/>
  <c r="C129" i="6"/>
  <c r="D129" i="6"/>
  <c r="E129" i="6"/>
  <c r="F129" i="6"/>
  <c r="H129" i="6"/>
  <c r="I129" i="6"/>
  <c r="L129" i="6"/>
  <c r="N129" i="6"/>
  <c r="Q129" i="6"/>
  <c r="R129" i="6"/>
  <c r="S129" i="6"/>
  <c r="T129" i="6"/>
  <c r="C130" i="6"/>
  <c r="D130" i="6"/>
  <c r="E130" i="6"/>
  <c r="F130" i="6"/>
  <c r="H130" i="6"/>
  <c r="I130" i="6"/>
  <c r="L130" i="6"/>
  <c r="N130" i="6"/>
  <c r="Q130" i="6"/>
  <c r="R130" i="6"/>
  <c r="S130" i="6"/>
  <c r="T130" i="6"/>
  <c r="C131" i="6"/>
  <c r="D131" i="6"/>
  <c r="E131" i="6"/>
  <c r="F131" i="6"/>
  <c r="H131" i="6"/>
  <c r="I131" i="6"/>
  <c r="L131" i="6"/>
  <c r="N131" i="6"/>
  <c r="Q131" i="6"/>
  <c r="R131" i="6"/>
  <c r="S131" i="6"/>
  <c r="T131" i="6"/>
  <c r="C132" i="6"/>
  <c r="D132" i="6"/>
  <c r="E132" i="6"/>
  <c r="F132" i="6"/>
  <c r="H132" i="6"/>
  <c r="I132" i="6"/>
  <c r="L132" i="6"/>
  <c r="N132" i="6"/>
  <c r="Q132" i="6"/>
  <c r="R132" i="6"/>
  <c r="S132" i="6"/>
  <c r="T132" i="6"/>
  <c r="C133" i="6"/>
  <c r="D133" i="6"/>
  <c r="E133" i="6"/>
  <c r="F133" i="6"/>
  <c r="H133" i="6"/>
  <c r="I133" i="6"/>
  <c r="L133" i="6"/>
  <c r="N133" i="6"/>
  <c r="Q133" i="6"/>
  <c r="R133" i="6"/>
  <c r="S133" i="6"/>
  <c r="T133" i="6"/>
  <c r="C134" i="6"/>
  <c r="D134" i="6"/>
  <c r="E134" i="6"/>
  <c r="F134" i="6"/>
  <c r="H134" i="6"/>
  <c r="I134" i="6"/>
  <c r="L134" i="6"/>
  <c r="N134" i="6"/>
  <c r="Q134" i="6"/>
  <c r="R134" i="6"/>
  <c r="S134" i="6"/>
  <c r="T134" i="6"/>
  <c r="C135" i="6"/>
  <c r="D135" i="6"/>
  <c r="E135" i="6"/>
  <c r="F135" i="6"/>
  <c r="H135" i="6"/>
  <c r="I135" i="6"/>
  <c r="L135" i="6"/>
  <c r="N135" i="6"/>
  <c r="Q135" i="6"/>
  <c r="R135" i="6"/>
  <c r="S135" i="6"/>
  <c r="T135" i="6"/>
  <c r="C136" i="6"/>
  <c r="D136" i="6"/>
  <c r="E136" i="6"/>
  <c r="F136" i="6"/>
  <c r="H136" i="6"/>
  <c r="I136" i="6"/>
  <c r="L136" i="6"/>
  <c r="N136" i="6"/>
  <c r="Q136" i="6"/>
  <c r="R136" i="6"/>
  <c r="S136" i="6"/>
  <c r="T136" i="6"/>
  <c r="C137" i="6"/>
  <c r="D137" i="6"/>
  <c r="E137" i="6"/>
  <c r="F137" i="6"/>
  <c r="H137" i="6"/>
  <c r="I137" i="6"/>
  <c r="L137" i="6"/>
  <c r="N137" i="6"/>
  <c r="Q137" i="6"/>
  <c r="R137" i="6"/>
  <c r="S137" i="6"/>
  <c r="T137" i="6"/>
  <c r="C138" i="6"/>
  <c r="D138" i="6"/>
  <c r="E138" i="6"/>
  <c r="F138" i="6"/>
  <c r="H138" i="6"/>
  <c r="I138" i="6"/>
  <c r="L138" i="6"/>
  <c r="N138" i="6"/>
  <c r="Q138" i="6"/>
  <c r="R138" i="6"/>
  <c r="S138" i="6"/>
  <c r="T138" i="6"/>
  <c r="C139" i="6"/>
  <c r="D139" i="6"/>
  <c r="E139" i="6"/>
  <c r="F139" i="6"/>
  <c r="H139" i="6"/>
  <c r="I139" i="6"/>
  <c r="L139" i="6"/>
  <c r="N139" i="6"/>
  <c r="Q139" i="6"/>
  <c r="R139" i="6"/>
  <c r="S139" i="6"/>
  <c r="T139" i="6"/>
  <c r="C140" i="6"/>
  <c r="D140" i="6"/>
  <c r="E140" i="6"/>
  <c r="F140" i="6"/>
  <c r="H140" i="6"/>
  <c r="I140" i="6"/>
  <c r="L140" i="6"/>
  <c r="N140" i="6"/>
  <c r="Q140" i="6"/>
  <c r="R140" i="6"/>
  <c r="S140" i="6"/>
  <c r="T140" i="6"/>
  <c r="C141" i="6"/>
  <c r="D141" i="6"/>
  <c r="E141" i="6"/>
  <c r="F141" i="6"/>
  <c r="H141" i="6"/>
  <c r="I141" i="6"/>
  <c r="L141" i="6"/>
  <c r="N141" i="6"/>
  <c r="Q141" i="6"/>
  <c r="R141" i="6"/>
  <c r="S141" i="6"/>
  <c r="T141" i="6"/>
  <c r="C142" i="6"/>
  <c r="D142" i="6"/>
  <c r="E142" i="6"/>
  <c r="F142" i="6"/>
  <c r="H142" i="6"/>
  <c r="I142" i="6"/>
  <c r="L142" i="6"/>
  <c r="N142" i="6"/>
  <c r="Q142" i="6"/>
  <c r="R142" i="6"/>
  <c r="S142" i="6"/>
  <c r="T142" i="6"/>
  <c r="C143" i="6"/>
  <c r="D143" i="6"/>
  <c r="E143" i="6"/>
  <c r="F143" i="6"/>
  <c r="H143" i="6"/>
  <c r="I143" i="6"/>
  <c r="L143" i="6"/>
  <c r="N143" i="6"/>
  <c r="Q143" i="6"/>
  <c r="R143" i="6"/>
  <c r="S143" i="6"/>
  <c r="T143" i="6"/>
  <c r="C144" i="6"/>
  <c r="D144" i="6"/>
  <c r="E144" i="6"/>
  <c r="F144" i="6"/>
  <c r="H144" i="6"/>
  <c r="I144" i="6"/>
  <c r="L144" i="6"/>
  <c r="N144" i="6"/>
  <c r="Q144" i="6"/>
  <c r="R144" i="6"/>
  <c r="S144" i="6"/>
  <c r="T144" i="6"/>
  <c r="C145" i="6"/>
  <c r="D145" i="6"/>
  <c r="E145" i="6"/>
  <c r="F145" i="6"/>
  <c r="H145" i="6"/>
  <c r="I145" i="6"/>
  <c r="L145" i="6"/>
  <c r="N145" i="6"/>
  <c r="Q145" i="6"/>
  <c r="R145" i="6"/>
  <c r="S145" i="6"/>
  <c r="T145" i="6"/>
  <c r="C146" i="6"/>
  <c r="D146" i="6"/>
  <c r="E146" i="6"/>
  <c r="F146" i="6"/>
  <c r="H146" i="6"/>
  <c r="I146" i="6"/>
  <c r="L146" i="6"/>
  <c r="N146" i="6"/>
  <c r="Q146" i="6"/>
  <c r="R146" i="6"/>
  <c r="S146" i="6"/>
  <c r="T146" i="6"/>
  <c r="C147" i="6"/>
  <c r="D147" i="6"/>
  <c r="E147" i="6"/>
  <c r="F147" i="6"/>
  <c r="H147" i="6"/>
  <c r="I147" i="6"/>
  <c r="L147" i="6"/>
  <c r="N147" i="6"/>
  <c r="Q147" i="6"/>
  <c r="R147" i="6"/>
  <c r="S147" i="6"/>
  <c r="T147" i="6"/>
  <c r="C148" i="6"/>
  <c r="D148" i="6"/>
  <c r="E148" i="6"/>
  <c r="F148" i="6"/>
  <c r="H148" i="6"/>
  <c r="I148" i="6"/>
  <c r="L148" i="6"/>
  <c r="N148" i="6"/>
  <c r="Q148" i="6"/>
  <c r="R148" i="6"/>
  <c r="S148" i="6"/>
  <c r="T148" i="6"/>
  <c r="C149" i="6"/>
  <c r="D149" i="6"/>
  <c r="E149" i="6"/>
  <c r="F149" i="6"/>
  <c r="H149" i="6"/>
  <c r="I149" i="6"/>
  <c r="L149" i="6"/>
  <c r="N149" i="6"/>
  <c r="Q149" i="6"/>
  <c r="R149" i="6"/>
  <c r="S149" i="6"/>
  <c r="T149" i="6"/>
  <c r="C150" i="6"/>
  <c r="D150" i="6"/>
  <c r="E150" i="6"/>
  <c r="F150" i="6"/>
  <c r="H150" i="6"/>
  <c r="I150" i="6"/>
  <c r="L150" i="6"/>
  <c r="N150" i="6"/>
  <c r="Q150" i="6"/>
  <c r="R150" i="6"/>
  <c r="S150" i="6"/>
  <c r="T150" i="6"/>
  <c r="C151" i="6"/>
  <c r="D151" i="6"/>
  <c r="E151" i="6"/>
  <c r="F151" i="6"/>
  <c r="H151" i="6"/>
  <c r="I151" i="6"/>
  <c r="L151" i="6"/>
  <c r="N151" i="6"/>
  <c r="Q151" i="6"/>
  <c r="R151" i="6"/>
  <c r="S151" i="6"/>
  <c r="T151" i="6"/>
  <c r="C152" i="6"/>
  <c r="D152" i="6"/>
  <c r="E152" i="6"/>
  <c r="F152" i="6"/>
  <c r="H152" i="6"/>
  <c r="I152" i="6"/>
  <c r="L152" i="6"/>
  <c r="N152" i="6"/>
  <c r="Q152" i="6"/>
  <c r="R152" i="6"/>
  <c r="S152" i="6"/>
  <c r="T152" i="6"/>
  <c r="C153" i="6"/>
  <c r="D153" i="6"/>
  <c r="E153" i="6"/>
  <c r="F153" i="6"/>
  <c r="H153" i="6"/>
  <c r="I153" i="6"/>
  <c r="L153" i="6"/>
  <c r="N153" i="6"/>
  <c r="Q153" i="6"/>
  <c r="R153" i="6"/>
  <c r="S153" i="6"/>
  <c r="T153" i="6"/>
  <c r="C154" i="6"/>
  <c r="D154" i="6"/>
  <c r="E154" i="6"/>
  <c r="F154" i="6"/>
  <c r="H154" i="6"/>
  <c r="I154" i="6"/>
  <c r="L154" i="6"/>
  <c r="N154" i="6"/>
  <c r="Q154" i="6"/>
  <c r="R154" i="6"/>
  <c r="S154" i="6"/>
  <c r="T154" i="6"/>
  <c r="C155" i="6"/>
  <c r="D155" i="6"/>
  <c r="E155" i="6"/>
  <c r="F155" i="6"/>
  <c r="H155" i="6"/>
  <c r="I155" i="6"/>
  <c r="L155" i="6"/>
  <c r="N155" i="6"/>
  <c r="Q155" i="6"/>
  <c r="R155" i="6"/>
  <c r="S155" i="6"/>
  <c r="T155" i="6"/>
  <c r="C156" i="6"/>
  <c r="D156" i="6"/>
  <c r="E156" i="6"/>
  <c r="F156" i="6"/>
  <c r="H156" i="6"/>
  <c r="I156" i="6"/>
  <c r="L156" i="6"/>
  <c r="N156" i="6"/>
  <c r="Q156" i="6"/>
  <c r="R156" i="6"/>
  <c r="S156" i="6"/>
  <c r="T156" i="6"/>
  <c r="C157" i="6"/>
  <c r="D157" i="6"/>
  <c r="E157" i="6"/>
  <c r="F157" i="6"/>
  <c r="H157" i="6"/>
  <c r="I157" i="6"/>
  <c r="L157" i="6"/>
  <c r="N157" i="6"/>
  <c r="Q157" i="6"/>
  <c r="R157" i="6"/>
  <c r="S157" i="6"/>
  <c r="T157" i="6"/>
  <c r="C158" i="6"/>
  <c r="D158" i="6"/>
  <c r="E158" i="6"/>
  <c r="F158" i="6"/>
  <c r="H158" i="6"/>
  <c r="I158" i="6"/>
  <c r="L158" i="6"/>
  <c r="N158" i="6"/>
  <c r="Q158" i="6"/>
  <c r="R158" i="6"/>
  <c r="S158" i="6"/>
  <c r="T158" i="6"/>
  <c r="C159" i="6"/>
  <c r="D159" i="6"/>
  <c r="E159" i="6"/>
  <c r="F159" i="6"/>
  <c r="H159" i="6"/>
  <c r="I159" i="6"/>
  <c r="L159" i="6"/>
  <c r="N159" i="6"/>
  <c r="Q159" i="6"/>
  <c r="R159" i="6"/>
  <c r="S159" i="6"/>
  <c r="T159" i="6"/>
  <c r="C160" i="6"/>
  <c r="D160" i="6"/>
  <c r="E160" i="6"/>
  <c r="F160" i="6"/>
  <c r="H160" i="6"/>
  <c r="I160" i="6"/>
  <c r="L160" i="6"/>
  <c r="N160" i="6"/>
  <c r="Q160" i="6"/>
  <c r="R160" i="6"/>
  <c r="S160" i="6"/>
  <c r="T160" i="6"/>
  <c r="C161" i="6"/>
  <c r="D161" i="6"/>
  <c r="E161" i="6"/>
  <c r="F161" i="6"/>
  <c r="H161" i="6"/>
  <c r="I161" i="6"/>
  <c r="L161" i="6"/>
  <c r="N161" i="6"/>
  <c r="Q161" i="6"/>
  <c r="R161" i="6"/>
  <c r="S161" i="6"/>
  <c r="T161" i="6"/>
  <c r="C162" i="6"/>
  <c r="D162" i="6"/>
  <c r="E162" i="6"/>
  <c r="F162" i="6"/>
  <c r="H162" i="6"/>
  <c r="I162" i="6"/>
  <c r="L162" i="6"/>
  <c r="N162" i="6"/>
  <c r="Q162" i="6"/>
  <c r="R162" i="6"/>
  <c r="S162" i="6"/>
  <c r="T162" i="6"/>
  <c r="C163" i="6"/>
  <c r="D163" i="6"/>
  <c r="E163" i="6"/>
  <c r="F163" i="6"/>
  <c r="H163" i="6"/>
  <c r="I163" i="6"/>
  <c r="L163" i="6"/>
  <c r="N163" i="6"/>
  <c r="Q163" i="6"/>
  <c r="R163" i="6"/>
  <c r="S163" i="6"/>
  <c r="T163" i="6"/>
  <c r="C164" i="6"/>
  <c r="D164" i="6"/>
  <c r="E164" i="6"/>
  <c r="F164" i="6"/>
  <c r="H164" i="6"/>
  <c r="I164" i="6"/>
  <c r="L164" i="6"/>
  <c r="N164" i="6"/>
  <c r="Q164" i="6"/>
  <c r="R164" i="6"/>
  <c r="S164" i="6"/>
  <c r="T164" i="6"/>
  <c r="C165" i="6"/>
  <c r="D165" i="6"/>
  <c r="E165" i="6"/>
  <c r="F165" i="6"/>
  <c r="H165" i="6"/>
  <c r="I165" i="6"/>
  <c r="L165" i="6"/>
  <c r="N165" i="6"/>
  <c r="Q165" i="6"/>
  <c r="R165" i="6"/>
  <c r="S165" i="6"/>
  <c r="T165" i="6"/>
  <c r="C166" i="6"/>
  <c r="D166" i="6"/>
  <c r="E166" i="6"/>
  <c r="F166" i="6"/>
  <c r="H166" i="6"/>
  <c r="I166" i="6"/>
  <c r="L166" i="6"/>
  <c r="N166" i="6"/>
  <c r="Q166" i="6"/>
  <c r="R166" i="6"/>
  <c r="S166" i="6"/>
  <c r="T166" i="6"/>
  <c r="C167" i="6"/>
  <c r="D167" i="6"/>
  <c r="E167" i="6"/>
  <c r="F167" i="6"/>
  <c r="H167" i="6"/>
  <c r="I167" i="6"/>
  <c r="L167" i="6"/>
  <c r="N167" i="6"/>
  <c r="Q167" i="6"/>
  <c r="R167" i="6"/>
  <c r="S167" i="6"/>
  <c r="T167" i="6"/>
  <c r="C168" i="6"/>
  <c r="D168" i="6"/>
  <c r="E168" i="6"/>
  <c r="F168" i="6"/>
  <c r="H168" i="6"/>
  <c r="I168" i="6"/>
  <c r="L168" i="6"/>
  <c r="N168" i="6"/>
  <c r="Q168" i="6"/>
  <c r="R168" i="6"/>
  <c r="S168" i="6"/>
  <c r="T168" i="6"/>
  <c r="C169" i="6"/>
  <c r="D169" i="6"/>
  <c r="E169" i="6"/>
  <c r="F169" i="6"/>
  <c r="H169" i="6"/>
  <c r="I169" i="6"/>
  <c r="L169" i="6"/>
  <c r="N169" i="6"/>
  <c r="Q169" i="6"/>
  <c r="R169" i="6"/>
  <c r="S169" i="6"/>
  <c r="T169" i="6"/>
  <c r="C170" i="6"/>
  <c r="D170" i="6"/>
  <c r="E170" i="6"/>
  <c r="F170" i="6"/>
  <c r="H170" i="6"/>
  <c r="I170" i="6"/>
  <c r="L170" i="6"/>
  <c r="N170" i="6"/>
  <c r="Q170" i="6"/>
  <c r="R170" i="6"/>
  <c r="S170" i="6"/>
  <c r="T170" i="6"/>
  <c r="C171" i="6"/>
  <c r="D171" i="6"/>
  <c r="E171" i="6"/>
  <c r="F171" i="6"/>
  <c r="H171" i="6"/>
  <c r="I171" i="6"/>
  <c r="L171" i="6"/>
  <c r="N171" i="6"/>
  <c r="Q171" i="6"/>
  <c r="R171" i="6"/>
  <c r="S171" i="6"/>
  <c r="T171" i="6"/>
  <c r="C172" i="6"/>
  <c r="D172" i="6"/>
  <c r="E172" i="6"/>
  <c r="F172" i="6"/>
  <c r="H172" i="6"/>
  <c r="I172" i="6"/>
  <c r="L172" i="6"/>
  <c r="N172" i="6"/>
  <c r="Q172" i="6"/>
  <c r="R172" i="6"/>
  <c r="S172" i="6"/>
  <c r="T172" i="6"/>
  <c r="C173" i="6"/>
  <c r="D173" i="6"/>
  <c r="E173" i="6"/>
  <c r="F173" i="6"/>
  <c r="H173" i="6"/>
  <c r="I173" i="6"/>
  <c r="L173" i="6"/>
  <c r="N173" i="6"/>
  <c r="Q173" i="6"/>
  <c r="R173" i="6"/>
  <c r="S173" i="6"/>
  <c r="T173" i="6"/>
  <c r="C174" i="6"/>
  <c r="D174" i="6"/>
  <c r="E174" i="6"/>
  <c r="F174" i="6"/>
  <c r="H174" i="6"/>
  <c r="I174" i="6"/>
  <c r="L174" i="6"/>
  <c r="N174" i="6"/>
  <c r="Q174" i="6"/>
  <c r="R174" i="6"/>
  <c r="S174" i="6"/>
  <c r="T174" i="6"/>
  <c r="C175" i="6"/>
  <c r="D175" i="6"/>
  <c r="E175" i="6"/>
  <c r="F175" i="6"/>
  <c r="H175" i="6"/>
  <c r="I175" i="6"/>
  <c r="L175" i="6"/>
  <c r="N175" i="6"/>
  <c r="Q175" i="6"/>
  <c r="R175" i="6"/>
  <c r="S175" i="6"/>
  <c r="T175" i="6"/>
  <c r="C176" i="6"/>
  <c r="D176" i="6"/>
  <c r="E176" i="6"/>
  <c r="F176" i="6"/>
  <c r="H176" i="6"/>
  <c r="I176" i="6"/>
  <c r="L176" i="6"/>
  <c r="N176" i="6"/>
  <c r="Q176" i="6"/>
  <c r="R176" i="6"/>
  <c r="S176" i="6"/>
  <c r="T176" i="6"/>
  <c r="C177" i="6"/>
  <c r="D177" i="6"/>
  <c r="E177" i="6"/>
  <c r="F177" i="6"/>
  <c r="H177" i="6"/>
  <c r="I177" i="6"/>
  <c r="L177" i="6"/>
  <c r="N177" i="6"/>
  <c r="Q177" i="6"/>
  <c r="R177" i="6"/>
  <c r="S177" i="6"/>
  <c r="T177" i="6"/>
  <c r="C178" i="6"/>
  <c r="D178" i="6"/>
  <c r="E178" i="6"/>
  <c r="F178" i="6"/>
  <c r="H178" i="6"/>
  <c r="I178" i="6"/>
  <c r="L178" i="6"/>
  <c r="N178" i="6"/>
  <c r="Q178" i="6"/>
  <c r="R178" i="6"/>
  <c r="S178" i="6"/>
  <c r="T178" i="6"/>
  <c r="C179" i="6"/>
  <c r="D179" i="6"/>
  <c r="E179" i="6"/>
  <c r="F179" i="6"/>
  <c r="H179" i="6"/>
  <c r="I179" i="6"/>
  <c r="L179" i="6"/>
  <c r="N179" i="6"/>
  <c r="Q179" i="6"/>
  <c r="R179" i="6"/>
  <c r="S179" i="6"/>
  <c r="T179" i="6"/>
  <c r="C180" i="6"/>
  <c r="D180" i="6"/>
  <c r="E180" i="6"/>
  <c r="F180" i="6"/>
  <c r="H180" i="6"/>
  <c r="I180" i="6"/>
  <c r="L180" i="6"/>
  <c r="N180" i="6"/>
  <c r="Q180" i="6"/>
  <c r="R180" i="6"/>
  <c r="S180" i="6"/>
  <c r="T180" i="6"/>
  <c r="C181" i="6"/>
  <c r="D181" i="6"/>
  <c r="E181" i="6"/>
  <c r="F181" i="6"/>
  <c r="H181" i="6"/>
  <c r="I181" i="6"/>
  <c r="L181" i="6"/>
  <c r="N181" i="6"/>
  <c r="Q181" i="6"/>
  <c r="R181" i="6"/>
  <c r="S181" i="6"/>
  <c r="T181" i="6"/>
  <c r="C182" i="6"/>
  <c r="D182" i="6"/>
  <c r="E182" i="6"/>
  <c r="F182" i="6"/>
  <c r="H182" i="6"/>
  <c r="I182" i="6"/>
  <c r="L182" i="6"/>
  <c r="N182" i="6"/>
  <c r="Q182" i="6"/>
  <c r="R182" i="6"/>
  <c r="S182" i="6"/>
  <c r="T182" i="6"/>
  <c r="C183" i="6"/>
  <c r="D183" i="6"/>
  <c r="E183" i="6"/>
  <c r="F183" i="6"/>
  <c r="H183" i="6"/>
  <c r="I183" i="6"/>
  <c r="L183" i="6"/>
  <c r="N183" i="6"/>
  <c r="Q183" i="6"/>
  <c r="R183" i="6"/>
  <c r="S183" i="6"/>
  <c r="T183" i="6"/>
  <c r="C184" i="6"/>
  <c r="D184" i="6"/>
  <c r="E184" i="6"/>
  <c r="F184" i="6"/>
  <c r="H184" i="6"/>
  <c r="I184" i="6"/>
  <c r="L184" i="6"/>
  <c r="N184" i="6"/>
  <c r="Q184" i="6"/>
  <c r="R184" i="6"/>
  <c r="S184" i="6"/>
  <c r="T184" i="6"/>
  <c r="C185" i="6"/>
  <c r="D185" i="6"/>
  <c r="E185" i="6"/>
  <c r="F185" i="6"/>
  <c r="H185" i="6"/>
  <c r="I185" i="6"/>
  <c r="L185" i="6"/>
  <c r="N185" i="6"/>
  <c r="Q185" i="6"/>
  <c r="R185" i="6"/>
  <c r="S185" i="6"/>
  <c r="T185" i="6"/>
  <c r="C186" i="6"/>
  <c r="D186" i="6"/>
  <c r="E186" i="6"/>
  <c r="F186" i="6"/>
  <c r="H186" i="6"/>
  <c r="I186" i="6"/>
  <c r="L186" i="6"/>
  <c r="N186" i="6"/>
  <c r="Q186" i="6"/>
  <c r="R186" i="6"/>
  <c r="S186" i="6"/>
  <c r="T186" i="6"/>
  <c r="C187" i="6"/>
  <c r="D187" i="6"/>
  <c r="E187" i="6"/>
  <c r="F187" i="6"/>
  <c r="H187" i="6"/>
  <c r="I187" i="6"/>
  <c r="L187" i="6"/>
  <c r="N187" i="6"/>
  <c r="Q187" i="6"/>
  <c r="R187" i="6"/>
  <c r="S187" i="6"/>
  <c r="T187" i="6"/>
  <c r="C188" i="6"/>
  <c r="D188" i="6"/>
  <c r="E188" i="6"/>
  <c r="F188" i="6"/>
  <c r="H188" i="6"/>
  <c r="I188" i="6"/>
  <c r="L188" i="6"/>
  <c r="N188" i="6"/>
  <c r="Q188" i="6"/>
  <c r="R188" i="6"/>
  <c r="S188" i="6"/>
  <c r="T188" i="6"/>
  <c r="C189" i="6"/>
  <c r="D189" i="6"/>
  <c r="E189" i="6"/>
  <c r="F189" i="6"/>
  <c r="H189" i="6"/>
  <c r="I189" i="6"/>
  <c r="L189" i="6"/>
  <c r="N189" i="6"/>
  <c r="Q189" i="6"/>
  <c r="R189" i="6"/>
  <c r="S189" i="6"/>
  <c r="T189" i="6"/>
  <c r="C190" i="6"/>
  <c r="D190" i="6"/>
  <c r="E190" i="6"/>
  <c r="F190" i="6"/>
  <c r="H190" i="6"/>
  <c r="I190" i="6"/>
  <c r="L190" i="6"/>
  <c r="N190" i="6"/>
  <c r="Q190" i="6"/>
  <c r="R190" i="6"/>
  <c r="S190" i="6"/>
  <c r="T190" i="6"/>
  <c r="C191" i="6"/>
  <c r="D191" i="6"/>
  <c r="E191" i="6"/>
  <c r="F191" i="6"/>
  <c r="H191" i="6"/>
  <c r="I191" i="6"/>
  <c r="L191" i="6"/>
  <c r="N191" i="6"/>
  <c r="Q191" i="6"/>
  <c r="R191" i="6"/>
  <c r="S191" i="6"/>
  <c r="T191" i="6"/>
  <c r="C192" i="6"/>
  <c r="D192" i="6"/>
  <c r="E192" i="6"/>
  <c r="F192" i="6"/>
  <c r="H192" i="6"/>
  <c r="I192" i="6"/>
  <c r="L192" i="6"/>
  <c r="N192" i="6"/>
  <c r="Q192" i="6"/>
  <c r="R192" i="6"/>
  <c r="S192" i="6"/>
  <c r="T192" i="6"/>
  <c r="C193" i="6"/>
  <c r="D193" i="6"/>
  <c r="E193" i="6"/>
  <c r="F193" i="6"/>
  <c r="H193" i="6"/>
  <c r="I193" i="6"/>
  <c r="L193" i="6"/>
  <c r="N193" i="6"/>
  <c r="Q193" i="6"/>
  <c r="R193" i="6"/>
  <c r="S193" i="6"/>
  <c r="T193" i="6"/>
  <c r="C194" i="6"/>
  <c r="D194" i="6"/>
  <c r="E194" i="6"/>
  <c r="F194" i="6"/>
  <c r="H194" i="6"/>
  <c r="I194" i="6"/>
  <c r="L194" i="6"/>
  <c r="N194" i="6"/>
  <c r="Q194" i="6"/>
  <c r="R194" i="6"/>
  <c r="S194" i="6"/>
  <c r="T194" i="6"/>
  <c r="C195" i="6"/>
  <c r="D195" i="6"/>
  <c r="E195" i="6"/>
  <c r="F195" i="6"/>
  <c r="H195" i="6"/>
  <c r="I195" i="6"/>
  <c r="L195" i="6"/>
  <c r="N195" i="6"/>
  <c r="Q195" i="6"/>
  <c r="R195" i="6"/>
  <c r="S195" i="6"/>
  <c r="T195" i="6"/>
  <c r="C196" i="6"/>
  <c r="D196" i="6"/>
  <c r="E196" i="6"/>
  <c r="F196" i="6"/>
  <c r="H196" i="6"/>
  <c r="I196" i="6"/>
  <c r="L196" i="6"/>
  <c r="N196" i="6"/>
  <c r="Q196" i="6"/>
  <c r="R196" i="6"/>
  <c r="S196" i="6"/>
  <c r="T196" i="6"/>
  <c r="C197" i="6"/>
  <c r="D197" i="6"/>
  <c r="E197" i="6"/>
  <c r="F197" i="6"/>
  <c r="H197" i="6"/>
  <c r="I197" i="6"/>
  <c r="L197" i="6"/>
  <c r="N197" i="6"/>
  <c r="Q197" i="6"/>
  <c r="R197" i="6"/>
  <c r="S197" i="6"/>
  <c r="T197" i="6"/>
  <c r="C198" i="6"/>
  <c r="D198" i="6"/>
  <c r="E198" i="6"/>
  <c r="F198" i="6"/>
  <c r="H198" i="6"/>
  <c r="I198" i="6"/>
  <c r="L198" i="6"/>
  <c r="N198" i="6"/>
  <c r="Q198" i="6"/>
  <c r="R198" i="6"/>
  <c r="S198" i="6"/>
  <c r="T198" i="6"/>
  <c r="C199" i="6"/>
  <c r="D199" i="6"/>
  <c r="E199" i="6"/>
  <c r="F199" i="6"/>
  <c r="H199" i="6"/>
  <c r="I199" i="6"/>
  <c r="L199" i="6"/>
  <c r="N199" i="6"/>
  <c r="Q199" i="6"/>
  <c r="R199" i="6"/>
  <c r="S199" i="6"/>
  <c r="T199" i="6"/>
  <c r="C200" i="6"/>
  <c r="D200" i="6"/>
  <c r="E200" i="6"/>
  <c r="F200" i="6"/>
  <c r="H200" i="6"/>
  <c r="I200" i="6"/>
  <c r="L200" i="6"/>
  <c r="N200" i="6"/>
  <c r="Q200" i="6"/>
  <c r="R200" i="6"/>
  <c r="S200" i="6"/>
  <c r="T200" i="6"/>
  <c r="C201" i="6"/>
  <c r="D201" i="6"/>
  <c r="E201" i="6"/>
  <c r="F201" i="6"/>
  <c r="H201" i="6"/>
  <c r="I201" i="6"/>
  <c r="L201" i="6"/>
  <c r="N201" i="6"/>
  <c r="Q201" i="6"/>
  <c r="R201" i="6"/>
  <c r="S201" i="6"/>
  <c r="T201" i="6"/>
  <c r="C202" i="6"/>
  <c r="D202" i="6"/>
  <c r="E202" i="6"/>
  <c r="F202" i="6"/>
  <c r="H202" i="6"/>
  <c r="I202" i="6"/>
  <c r="L202" i="6"/>
  <c r="N202" i="6"/>
  <c r="Q202" i="6"/>
  <c r="R202" i="6"/>
  <c r="S202" i="6"/>
  <c r="T202" i="6"/>
  <c r="C203" i="6"/>
  <c r="D203" i="6"/>
  <c r="E203" i="6"/>
  <c r="F203" i="6"/>
  <c r="H203" i="6"/>
  <c r="I203" i="6"/>
  <c r="L203" i="6"/>
  <c r="N203" i="6"/>
  <c r="Q203" i="6"/>
  <c r="R203" i="6"/>
  <c r="S203" i="6"/>
  <c r="T203" i="6"/>
  <c r="C204" i="6"/>
  <c r="D204" i="6"/>
  <c r="E204" i="6"/>
  <c r="F204" i="6"/>
  <c r="H204" i="6"/>
  <c r="I204" i="6"/>
  <c r="L204" i="6"/>
  <c r="N204" i="6"/>
  <c r="Q204" i="6"/>
  <c r="R204" i="6"/>
  <c r="S204" i="6"/>
  <c r="T204" i="6"/>
  <c r="C205" i="6"/>
  <c r="D205" i="6"/>
  <c r="E205" i="6"/>
  <c r="F205" i="6"/>
  <c r="H205" i="6"/>
  <c r="I205" i="6"/>
  <c r="L205" i="6"/>
  <c r="N205" i="6"/>
  <c r="Q205" i="6"/>
  <c r="R205" i="6"/>
  <c r="S205" i="6"/>
  <c r="T205" i="6"/>
  <c r="C206" i="6"/>
  <c r="D206" i="6"/>
  <c r="E206" i="6"/>
  <c r="F206" i="6"/>
  <c r="H206" i="6"/>
  <c r="I206" i="6"/>
  <c r="L206" i="6"/>
  <c r="N206" i="6"/>
  <c r="Q206" i="6"/>
  <c r="R206" i="6"/>
  <c r="S206" i="6"/>
  <c r="T206" i="6"/>
  <c r="C207" i="6"/>
  <c r="D207" i="6"/>
  <c r="E207" i="6"/>
  <c r="F207" i="6"/>
  <c r="H207" i="6"/>
  <c r="I207" i="6"/>
  <c r="L207" i="6"/>
  <c r="N207" i="6"/>
  <c r="Q207" i="6"/>
  <c r="R207" i="6"/>
  <c r="S207" i="6"/>
  <c r="T207" i="6"/>
  <c r="C208" i="6"/>
  <c r="D208" i="6"/>
  <c r="E208" i="6"/>
  <c r="F208" i="6"/>
  <c r="H208" i="6"/>
  <c r="I208" i="6"/>
  <c r="L208" i="6"/>
  <c r="N208" i="6"/>
  <c r="Q208" i="6"/>
  <c r="R208" i="6"/>
  <c r="S208" i="6"/>
  <c r="T208" i="6"/>
  <c r="C209" i="6"/>
  <c r="D209" i="6"/>
  <c r="E209" i="6"/>
  <c r="F209" i="6"/>
  <c r="H209" i="6"/>
  <c r="I209" i="6"/>
  <c r="L209" i="6"/>
  <c r="N209" i="6"/>
  <c r="Q209" i="6"/>
  <c r="R209" i="6"/>
  <c r="S209" i="6"/>
  <c r="T209" i="6"/>
  <c r="C210" i="6"/>
  <c r="D210" i="6"/>
  <c r="E210" i="6"/>
  <c r="F210" i="6"/>
  <c r="H210" i="6"/>
  <c r="I210" i="6"/>
  <c r="L210" i="6"/>
  <c r="N210" i="6"/>
  <c r="Q210" i="6"/>
  <c r="R210" i="6"/>
  <c r="S210" i="6"/>
  <c r="T210" i="6"/>
  <c r="C211" i="6"/>
  <c r="D211" i="6"/>
  <c r="E211" i="6"/>
  <c r="F211" i="6"/>
  <c r="H211" i="6"/>
  <c r="I211" i="6"/>
  <c r="L211" i="6"/>
  <c r="N211" i="6"/>
  <c r="Q211" i="6"/>
  <c r="R211" i="6"/>
  <c r="S211" i="6"/>
  <c r="T211" i="6"/>
  <c r="C212" i="6"/>
  <c r="D212" i="6"/>
  <c r="E212" i="6"/>
  <c r="F212" i="6"/>
  <c r="H212" i="6"/>
  <c r="I212" i="6"/>
  <c r="L212" i="6"/>
  <c r="N212" i="6"/>
  <c r="Q212" i="6"/>
  <c r="R212" i="6"/>
  <c r="S212" i="6"/>
  <c r="T212" i="6"/>
  <c r="C213" i="6"/>
  <c r="D213" i="6"/>
  <c r="E213" i="6"/>
  <c r="F213" i="6"/>
  <c r="H213" i="6"/>
  <c r="I213" i="6"/>
  <c r="L213" i="6"/>
  <c r="N213" i="6"/>
  <c r="Q213" i="6"/>
  <c r="R213" i="6"/>
  <c r="S213" i="6"/>
  <c r="T213" i="6"/>
  <c r="C214" i="6"/>
  <c r="D214" i="6"/>
  <c r="E214" i="6"/>
  <c r="F214" i="6"/>
  <c r="H214" i="6"/>
  <c r="I214" i="6"/>
  <c r="L214" i="6"/>
  <c r="N214" i="6"/>
  <c r="Q214" i="6"/>
  <c r="R214" i="6"/>
  <c r="S214" i="6"/>
  <c r="T214" i="6"/>
  <c r="C215" i="6"/>
  <c r="D215" i="6"/>
  <c r="E215" i="6"/>
  <c r="F215" i="6"/>
  <c r="H215" i="6"/>
  <c r="I215" i="6"/>
  <c r="L215" i="6"/>
  <c r="N215" i="6"/>
  <c r="Q215" i="6"/>
  <c r="R215" i="6"/>
  <c r="S215" i="6"/>
  <c r="T215" i="6"/>
  <c r="C216" i="6"/>
  <c r="D216" i="6"/>
  <c r="E216" i="6"/>
  <c r="F216" i="6"/>
  <c r="H216" i="6"/>
  <c r="I216" i="6"/>
  <c r="L216" i="6"/>
  <c r="N216" i="6"/>
  <c r="Q216" i="6"/>
  <c r="R216" i="6"/>
  <c r="S216" i="6"/>
  <c r="T216" i="6"/>
  <c r="C217" i="6"/>
  <c r="D217" i="6"/>
  <c r="E217" i="6"/>
  <c r="F217" i="6"/>
  <c r="H217" i="6"/>
  <c r="I217" i="6"/>
  <c r="L217" i="6"/>
  <c r="N217" i="6"/>
  <c r="Q217" i="6"/>
  <c r="R217" i="6"/>
  <c r="S217" i="6"/>
  <c r="T217" i="6"/>
  <c r="C218" i="6"/>
  <c r="D218" i="6"/>
  <c r="E218" i="6"/>
  <c r="F218" i="6"/>
  <c r="H218" i="6"/>
  <c r="I218" i="6"/>
  <c r="L218" i="6"/>
  <c r="N218" i="6"/>
  <c r="Q218" i="6"/>
  <c r="R218" i="6"/>
  <c r="S218" i="6"/>
  <c r="T218" i="6"/>
  <c r="C219" i="6"/>
  <c r="D219" i="6"/>
  <c r="E219" i="6"/>
  <c r="F219" i="6"/>
  <c r="H219" i="6"/>
  <c r="I219" i="6"/>
  <c r="L219" i="6"/>
  <c r="N219" i="6"/>
  <c r="Q219" i="6"/>
  <c r="R219" i="6"/>
  <c r="S219" i="6"/>
  <c r="T219" i="6"/>
  <c r="C220" i="6"/>
  <c r="D220" i="6"/>
  <c r="E220" i="6"/>
  <c r="F220" i="6"/>
  <c r="H220" i="6"/>
  <c r="I220" i="6"/>
  <c r="L220" i="6"/>
  <c r="N220" i="6"/>
  <c r="Q220" i="6"/>
  <c r="R220" i="6"/>
  <c r="S220" i="6"/>
  <c r="T220" i="6"/>
  <c r="C221" i="6"/>
  <c r="D221" i="6"/>
  <c r="E221" i="6"/>
  <c r="F221" i="6"/>
  <c r="H221" i="6"/>
  <c r="I221" i="6"/>
  <c r="L221" i="6"/>
  <c r="N221" i="6"/>
  <c r="Q221" i="6"/>
  <c r="R221" i="6"/>
  <c r="S221" i="6"/>
  <c r="T221" i="6"/>
  <c r="C222" i="6"/>
  <c r="D222" i="6"/>
  <c r="E222" i="6"/>
  <c r="F222" i="6"/>
  <c r="H222" i="6"/>
  <c r="I222" i="6"/>
  <c r="L222" i="6"/>
  <c r="N222" i="6"/>
  <c r="Q222" i="6"/>
  <c r="R222" i="6"/>
  <c r="S222" i="6"/>
  <c r="T222" i="6"/>
  <c r="C223" i="6"/>
  <c r="D223" i="6"/>
  <c r="E223" i="6"/>
  <c r="F223" i="6"/>
  <c r="H223" i="6"/>
  <c r="I223" i="6"/>
  <c r="L223" i="6"/>
  <c r="N223" i="6"/>
  <c r="Q223" i="6"/>
  <c r="R223" i="6"/>
  <c r="S223" i="6"/>
  <c r="T223" i="6"/>
  <c r="C224" i="6"/>
  <c r="D224" i="6"/>
  <c r="E224" i="6"/>
  <c r="F224" i="6"/>
  <c r="H224" i="6"/>
  <c r="I224" i="6"/>
  <c r="L224" i="6"/>
  <c r="N224" i="6"/>
  <c r="Q224" i="6"/>
  <c r="R224" i="6"/>
  <c r="S224" i="6"/>
  <c r="T224" i="6"/>
  <c r="C225" i="6"/>
  <c r="D225" i="6"/>
  <c r="E225" i="6"/>
  <c r="F225" i="6"/>
  <c r="H225" i="6"/>
  <c r="I225" i="6"/>
  <c r="L225" i="6"/>
  <c r="N225" i="6"/>
  <c r="Q225" i="6"/>
  <c r="R225" i="6"/>
  <c r="S225" i="6"/>
  <c r="T225" i="6"/>
  <c r="C226" i="6"/>
  <c r="D226" i="6"/>
  <c r="E226" i="6"/>
  <c r="F226" i="6"/>
  <c r="H226" i="6"/>
  <c r="I226" i="6"/>
  <c r="L226" i="6"/>
  <c r="N226" i="6"/>
  <c r="Q226" i="6"/>
  <c r="R226" i="6"/>
  <c r="S226" i="6"/>
  <c r="T226" i="6"/>
  <c r="C227" i="6"/>
  <c r="D227" i="6"/>
  <c r="E227" i="6"/>
  <c r="F227" i="6"/>
  <c r="H227" i="6"/>
  <c r="I227" i="6"/>
  <c r="L227" i="6"/>
  <c r="N227" i="6"/>
  <c r="Q227" i="6"/>
  <c r="R227" i="6"/>
  <c r="S227" i="6"/>
  <c r="T227" i="6"/>
  <c r="C228" i="6"/>
  <c r="D228" i="6"/>
  <c r="E228" i="6"/>
  <c r="F228" i="6"/>
  <c r="H228" i="6"/>
  <c r="I228" i="6"/>
  <c r="L228" i="6"/>
  <c r="N228" i="6"/>
  <c r="Q228" i="6"/>
  <c r="R228" i="6"/>
  <c r="S228" i="6"/>
  <c r="T228" i="6"/>
  <c r="C229" i="6"/>
  <c r="D229" i="6"/>
  <c r="E229" i="6"/>
  <c r="F229" i="6"/>
  <c r="H229" i="6"/>
  <c r="I229" i="6"/>
  <c r="L229" i="6"/>
  <c r="N229" i="6"/>
  <c r="Q229" i="6"/>
  <c r="R229" i="6"/>
  <c r="S229" i="6"/>
  <c r="T229" i="6"/>
  <c r="C230" i="6"/>
  <c r="D230" i="6"/>
  <c r="E230" i="6"/>
  <c r="F230" i="6"/>
  <c r="H230" i="6"/>
  <c r="I230" i="6"/>
  <c r="L230" i="6"/>
  <c r="N230" i="6"/>
  <c r="Q230" i="6"/>
  <c r="R230" i="6"/>
  <c r="S230" i="6"/>
  <c r="T230" i="6"/>
  <c r="C231" i="6"/>
  <c r="D231" i="6"/>
  <c r="E231" i="6"/>
  <c r="F231" i="6"/>
  <c r="H231" i="6"/>
  <c r="I231" i="6"/>
  <c r="L231" i="6"/>
  <c r="N231" i="6"/>
  <c r="Q231" i="6"/>
  <c r="R231" i="6"/>
  <c r="S231" i="6"/>
  <c r="T231" i="6"/>
  <c r="C232" i="6"/>
  <c r="D232" i="6"/>
  <c r="E232" i="6"/>
  <c r="F232" i="6"/>
  <c r="H232" i="6"/>
  <c r="I232" i="6"/>
  <c r="L232" i="6"/>
  <c r="N232" i="6"/>
  <c r="Q232" i="6"/>
  <c r="R232" i="6"/>
  <c r="S232" i="6"/>
  <c r="T232" i="6"/>
  <c r="C233" i="6"/>
  <c r="D233" i="6"/>
  <c r="E233" i="6"/>
  <c r="F233" i="6"/>
  <c r="H233" i="6"/>
  <c r="I233" i="6"/>
  <c r="L233" i="6"/>
  <c r="N233" i="6"/>
  <c r="Q233" i="6"/>
  <c r="R233" i="6"/>
  <c r="S233" i="6"/>
  <c r="T233" i="6"/>
  <c r="C234" i="6"/>
  <c r="D234" i="6"/>
  <c r="E234" i="6"/>
  <c r="F234" i="6"/>
  <c r="H234" i="6"/>
  <c r="I234" i="6"/>
  <c r="L234" i="6"/>
  <c r="N234" i="6"/>
  <c r="Q234" i="6"/>
  <c r="R234" i="6"/>
  <c r="S234" i="6"/>
  <c r="T234" i="6"/>
  <c r="C235" i="6"/>
  <c r="D235" i="6"/>
  <c r="E235" i="6"/>
  <c r="F235" i="6"/>
  <c r="H235" i="6"/>
  <c r="I235" i="6"/>
  <c r="L235" i="6"/>
  <c r="N235" i="6"/>
  <c r="Q235" i="6"/>
  <c r="R235" i="6"/>
  <c r="S235" i="6"/>
  <c r="T235" i="6"/>
  <c r="C236" i="6"/>
  <c r="D236" i="6"/>
  <c r="E236" i="6"/>
  <c r="F236" i="6"/>
  <c r="H236" i="6"/>
  <c r="I236" i="6"/>
  <c r="L236" i="6"/>
  <c r="N236" i="6"/>
  <c r="Q236" i="6"/>
  <c r="R236" i="6"/>
  <c r="S236" i="6"/>
  <c r="T236" i="6"/>
  <c r="C237" i="6"/>
  <c r="D237" i="6"/>
  <c r="E237" i="6"/>
  <c r="F237" i="6"/>
  <c r="H237" i="6"/>
  <c r="I237" i="6"/>
  <c r="L237" i="6"/>
  <c r="N237" i="6"/>
  <c r="Q237" i="6"/>
  <c r="R237" i="6"/>
  <c r="S237" i="6"/>
  <c r="T237" i="6"/>
  <c r="C238" i="6"/>
  <c r="D238" i="6"/>
  <c r="E238" i="6"/>
  <c r="F238" i="6"/>
  <c r="H238" i="6"/>
  <c r="I238" i="6"/>
  <c r="L238" i="6"/>
  <c r="N238" i="6"/>
  <c r="Q238" i="6"/>
  <c r="R238" i="6"/>
  <c r="S238" i="6"/>
  <c r="T238" i="6"/>
  <c r="C239" i="6"/>
  <c r="D239" i="6"/>
  <c r="E239" i="6"/>
  <c r="F239" i="6"/>
  <c r="H239" i="6"/>
  <c r="I239" i="6"/>
  <c r="L239" i="6"/>
  <c r="N239" i="6"/>
  <c r="Q239" i="6"/>
  <c r="R239" i="6"/>
  <c r="S239" i="6"/>
  <c r="T239" i="6"/>
  <c r="C240" i="6"/>
  <c r="D240" i="6"/>
  <c r="E240" i="6"/>
  <c r="F240" i="6"/>
  <c r="H240" i="6"/>
  <c r="I240" i="6"/>
  <c r="L240" i="6"/>
  <c r="N240" i="6"/>
  <c r="Q240" i="6"/>
  <c r="R240" i="6"/>
  <c r="S240" i="6"/>
  <c r="T240" i="6"/>
  <c r="C241" i="6"/>
  <c r="D241" i="6"/>
  <c r="E241" i="6"/>
  <c r="F241" i="6"/>
  <c r="H241" i="6"/>
  <c r="I241" i="6"/>
  <c r="L241" i="6"/>
  <c r="N241" i="6"/>
  <c r="Q241" i="6"/>
  <c r="R241" i="6"/>
  <c r="S241" i="6"/>
  <c r="T241" i="6"/>
  <c r="C242" i="6"/>
  <c r="D242" i="6"/>
  <c r="E242" i="6"/>
  <c r="F242" i="6"/>
  <c r="H242" i="6"/>
  <c r="I242" i="6"/>
  <c r="L242" i="6"/>
  <c r="N242" i="6"/>
  <c r="Q242" i="6"/>
  <c r="R242" i="6"/>
  <c r="S242" i="6"/>
  <c r="T242" i="6"/>
  <c r="C243" i="6"/>
  <c r="D243" i="6"/>
  <c r="E243" i="6"/>
  <c r="F243" i="6"/>
  <c r="H243" i="6"/>
  <c r="I243" i="6"/>
  <c r="L243" i="6"/>
  <c r="N243" i="6"/>
  <c r="Q243" i="6"/>
  <c r="R243" i="6"/>
  <c r="S243" i="6"/>
  <c r="T243" i="6"/>
  <c r="C244" i="6"/>
  <c r="D244" i="6"/>
  <c r="E244" i="6"/>
  <c r="F244" i="6"/>
  <c r="H244" i="6"/>
  <c r="I244" i="6"/>
  <c r="L244" i="6"/>
  <c r="N244" i="6"/>
  <c r="Q244" i="6"/>
  <c r="R244" i="6"/>
  <c r="S244" i="6"/>
  <c r="T244" i="6"/>
  <c r="C245" i="6"/>
  <c r="D245" i="6"/>
  <c r="E245" i="6"/>
  <c r="F245" i="6"/>
  <c r="H245" i="6"/>
  <c r="I245" i="6"/>
  <c r="L245" i="6"/>
  <c r="N245" i="6"/>
  <c r="Q245" i="6"/>
  <c r="R245" i="6"/>
  <c r="S245" i="6"/>
  <c r="T245" i="6"/>
  <c r="C246" i="6"/>
  <c r="D246" i="6"/>
  <c r="E246" i="6"/>
  <c r="F246" i="6"/>
  <c r="H246" i="6"/>
  <c r="I246" i="6"/>
  <c r="L246" i="6"/>
  <c r="N246" i="6"/>
  <c r="Q246" i="6"/>
  <c r="R246" i="6"/>
  <c r="S246" i="6"/>
  <c r="T246" i="6"/>
  <c r="C247" i="6"/>
  <c r="D247" i="6"/>
  <c r="E247" i="6"/>
  <c r="F247" i="6"/>
  <c r="H247" i="6"/>
  <c r="I247" i="6"/>
  <c r="L247" i="6"/>
  <c r="N247" i="6"/>
  <c r="Q247" i="6"/>
  <c r="R247" i="6"/>
  <c r="S247" i="6"/>
  <c r="T247" i="6"/>
  <c r="C248" i="6"/>
  <c r="D248" i="6"/>
  <c r="E248" i="6"/>
  <c r="F248" i="6"/>
  <c r="H248" i="6"/>
  <c r="I248" i="6"/>
  <c r="L248" i="6"/>
  <c r="N248" i="6"/>
  <c r="Q248" i="6"/>
  <c r="R248" i="6"/>
  <c r="S248" i="6"/>
  <c r="T248" i="6"/>
  <c r="C249" i="6"/>
  <c r="D249" i="6"/>
  <c r="E249" i="6"/>
  <c r="F249" i="6"/>
  <c r="H249" i="6"/>
  <c r="I249" i="6"/>
  <c r="L249" i="6"/>
  <c r="N249" i="6"/>
  <c r="Q249" i="6"/>
  <c r="R249" i="6"/>
  <c r="S249" i="6"/>
  <c r="T249" i="6"/>
  <c r="C250" i="6"/>
  <c r="D250" i="6"/>
  <c r="E250" i="6"/>
  <c r="F250" i="6"/>
  <c r="H250" i="6"/>
  <c r="I250" i="6"/>
  <c r="L250" i="6"/>
  <c r="N250" i="6"/>
  <c r="Q250" i="6"/>
  <c r="R250" i="6"/>
  <c r="S250" i="6"/>
  <c r="T250" i="6"/>
  <c r="C251" i="6"/>
  <c r="D251" i="6"/>
  <c r="E251" i="6"/>
  <c r="F251" i="6"/>
  <c r="H251" i="6"/>
  <c r="I251" i="6"/>
  <c r="L251" i="6"/>
  <c r="N251" i="6"/>
  <c r="Q251" i="6"/>
  <c r="R251" i="6"/>
  <c r="S251" i="6"/>
  <c r="T251" i="6"/>
  <c r="C252" i="6"/>
  <c r="D252" i="6"/>
  <c r="E252" i="6"/>
  <c r="F252" i="6"/>
  <c r="H252" i="6"/>
  <c r="I252" i="6"/>
  <c r="L252" i="6"/>
  <c r="N252" i="6"/>
  <c r="Q252" i="6"/>
  <c r="R252" i="6"/>
  <c r="S252" i="6"/>
  <c r="T252" i="6"/>
  <c r="C253" i="6"/>
  <c r="D253" i="6"/>
  <c r="E253" i="6"/>
  <c r="F253" i="6"/>
  <c r="H253" i="6"/>
  <c r="I253" i="6"/>
  <c r="L253" i="6"/>
  <c r="N253" i="6"/>
  <c r="Q253" i="6"/>
  <c r="R253" i="6"/>
  <c r="S253" i="6"/>
  <c r="T253" i="6"/>
  <c r="C254" i="6"/>
  <c r="D254" i="6"/>
  <c r="E254" i="6"/>
  <c r="F254" i="6"/>
  <c r="H254" i="6"/>
  <c r="I254" i="6"/>
  <c r="L254" i="6"/>
  <c r="N254" i="6"/>
  <c r="Q254" i="6"/>
  <c r="R254" i="6"/>
  <c r="S254" i="6"/>
  <c r="T254" i="6"/>
  <c r="C255" i="6"/>
  <c r="D255" i="6"/>
  <c r="E255" i="6"/>
  <c r="F255" i="6"/>
  <c r="H255" i="6"/>
  <c r="I255" i="6"/>
  <c r="L255" i="6"/>
  <c r="N255" i="6"/>
  <c r="Q255" i="6"/>
  <c r="R255" i="6"/>
  <c r="S255" i="6"/>
  <c r="T255" i="6"/>
  <c r="C256" i="6"/>
  <c r="D256" i="6"/>
  <c r="E256" i="6"/>
  <c r="F256" i="6"/>
  <c r="H256" i="6"/>
  <c r="I256" i="6"/>
  <c r="L256" i="6"/>
  <c r="N256" i="6"/>
  <c r="Q256" i="6"/>
  <c r="R256" i="6"/>
  <c r="S256" i="6"/>
  <c r="T256" i="6"/>
  <c r="C257" i="6"/>
  <c r="D257" i="6"/>
  <c r="E257" i="6"/>
  <c r="F257" i="6"/>
  <c r="H257" i="6"/>
  <c r="I257" i="6"/>
  <c r="L257" i="6"/>
  <c r="N257" i="6"/>
  <c r="Q257" i="6"/>
  <c r="R257" i="6"/>
  <c r="S257" i="6"/>
  <c r="T257" i="6"/>
  <c r="C258" i="6"/>
  <c r="D258" i="6"/>
  <c r="E258" i="6"/>
  <c r="F258" i="6"/>
  <c r="H258" i="6"/>
  <c r="I258" i="6"/>
  <c r="L258" i="6"/>
  <c r="N258" i="6"/>
  <c r="Q258" i="6"/>
  <c r="R258" i="6"/>
  <c r="S258" i="6"/>
  <c r="T258" i="6"/>
  <c r="C259" i="6"/>
  <c r="D259" i="6"/>
  <c r="E259" i="6"/>
  <c r="F259" i="6"/>
  <c r="H259" i="6"/>
  <c r="I259" i="6"/>
  <c r="L259" i="6"/>
  <c r="N259" i="6"/>
  <c r="Q259" i="6"/>
  <c r="R259" i="6"/>
  <c r="S259" i="6"/>
  <c r="T259" i="6"/>
  <c r="C260" i="6"/>
  <c r="D260" i="6"/>
  <c r="E260" i="6"/>
  <c r="F260" i="6"/>
  <c r="H260" i="6"/>
  <c r="I260" i="6"/>
  <c r="L260" i="6"/>
  <c r="N260" i="6"/>
  <c r="Q260" i="6"/>
  <c r="R260" i="6"/>
  <c r="S260" i="6"/>
  <c r="T260" i="6"/>
  <c r="C261" i="6"/>
  <c r="D261" i="6"/>
  <c r="E261" i="6"/>
  <c r="F261" i="6"/>
  <c r="H261" i="6"/>
  <c r="I261" i="6"/>
  <c r="L261" i="6"/>
  <c r="N261" i="6"/>
  <c r="Q261" i="6"/>
  <c r="R261" i="6"/>
  <c r="S261" i="6"/>
  <c r="T261" i="6"/>
  <c r="C262" i="6"/>
  <c r="D262" i="6"/>
  <c r="E262" i="6"/>
  <c r="F262" i="6"/>
  <c r="H262" i="6"/>
  <c r="I262" i="6"/>
  <c r="L262" i="6"/>
  <c r="N262" i="6"/>
  <c r="Q262" i="6"/>
  <c r="R262" i="6"/>
  <c r="S262" i="6"/>
  <c r="T262" i="6"/>
  <c r="C263" i="6"/>
  <c r="D263" i="6"/>
  <c r="E263" i="6"/>
  <c r="F263" i="6"/>
  <c r="H263" i="6"/>
  <c r="I263" i="6"/>
  <c r="L263" i="6"/>
  <c r="N263" i="6"/>
  <c r="Q263" i="6"/>
  <c r="R263" i="6"/>
  <c r="S263" i="6"/>
  <c r="T263" i="6"/>
  <c r="C264" i="6"/>
  <c r="D264" i="6"/>
  <c r="E264" i="6"/>
  <c r="F264" i="6"/>
  <c r="H264" i="6"/>
  <c r="I264" i="6"/>
  <c r="L264" i="6"/>
  <c r="N264" i="6"/>
  <c r="Q264" i="6"/>
  <c r="R264" i="6"/>
  <c r="S264" i="6"/>
  <c r="T264" i="6"/>
  <c r="C265" i="6"/>
  <c r="D265" i="6"/>
  <c r="E265" i="6"/>
  <c r="F265" i="6"/>
  <c r="H265" i="6"/>
  <c r="I265" i="6"/>
  <c r="L265" i="6"/>
  <c r="N265" i="6"/>
  <c r="Q265" i="6"/>
  <c r="R265" i="6"/>
  <c r="S265" i="6"/>
  <c r="T265" i="6"/>
  <c r="C266" i="6"/>
  <c r="D266" i="6"/>
  <c r="E266" i="6"/>
  <c r="F266" i="6"/>
  <c r="H266" i="6"/>
  <c r="I266" i="6"/>
  <c r="L266" i="6"/>
  <c r="N266" i="6"/>
  <c r="Q266" i="6"/>
  <c r="R266" i="6"/>
  <c r="S266" i="6"/>
  <c r="T266" i="6"/>
  <c r="C267" i="6"/>
  <c r="D267" i="6"/>
  <c r="E267" i="6"/>
  <c r="F267" i="6"/>
  <c r="H267" i="6"/>
  <c r="I267" i="6"/>
  <c r="L267" i="6"/>
  <c r="N267" i="6"/>
  <c r="Q267" i="6"/>
  <c r="R267" i="6"/>
  <c r="S267" i="6"/>
  <c r="T267" i="6"/>
  <c r="C268" i="6"/>
  <c r="D268" i="6"/>
  <c r="E268" i="6"/>
  <c r="F268" i="6"/>
  <c r="H268" i="6"/>
  <c r="I268" i="6"/>
  <c r="L268" i="6"/>
  <c r="N268" i="6"/>
  <c r="Q268" i="6"/>
  <c r="R268" i="6"/>
  <c r="S268" i="6"/>
  <c r="T268" i="6"/>
  <c r="C269" i="6"/>
  <c r="D269" i="6"/>
  <c r="E269" i="6"/>
  <c r="F269" i="6"/>
  <c r="H269" i="6"/>
  <c r="I269" i="6"/>
  <c r="L269" i="6"/>
  <c r="N269" i="6"/>
  <c r="Q269" i="6"/>
  <c r="R269" i="6"/>
  <c r="S269" i="6"/>
  <c r="T269" i="6"/>
  <c r="C270" i="6"/>
  <c r="D270" i="6"/>
  <c r="E270" i="6"/>
  <c r="F270" i="6"/>
  <c r="H270" i="6"/>
  <c r="I270" i="6"/>
  <c r="L270" i="6"/>
  <c r="N270" i="6"/>
  <c r="Q270" i="6"/>
  <c r="R270" i="6"/>
  <c r="S270" i="6"/>
  <c r="T270" i="6"/>
  <c r="C271" i="6"/>
  <c r="D271" i="6"/>
  <c r="E271" i="6"/>
  <c r="F271" i="6"/>
  <c r="H271" i="6"/>
  <c r="I271" i="6"/>
  <c r="L271" i="6"/>
  <c r="N271" i="6"/>
  <c r="Q271" i="6"/>
  <c r="R271" i="6"/>
  <c r="S271" i="6"/>
  <c r="T271" i="6"/>
  <c r="C272" i="6"/>
  <c r="D272" i="6"/>
  <c r="E272" i="6"/>
  <c r="F272" i="6"/>
  <c r="H272" i="6"/>
  <c r="I272" i="6"/>
  <c r="L272" i="6"/>
  <c r="N272" i="6"/>
  <c r="Q272" i="6"/>
  <c r="R272" i="6"/>
  <c r="S272" i="6"/>
  <c r="T272" i="6"/>
  <c r="C273" i="6"/>
  <c r="D273" i="6"/>
  <c r="E273" i="6"/>
  <c r="F273" i="6"/>
  <c r="H273" i="6"/>
  <c r="I273" i="6"/>
  <c r="L273" i="6"/>
  <c r="N273" i="6"/>
  <c r="Q273" i="6"/>
  <c r="R273" i="6"/>
  <c r="S273" i="6"/>
  <c r="T273" i="6"/>
  <c r="C274" i="6"/>
  <c r="D274" i="6"/>
  <c r="E274" i="6"/>
  <c r="F274" i="6"/>
  <c r="H274" i="6"/>
  <c r="I274" i="6"/>
  <c r="L274" i="6"/>
  <c r="N274" i="6"/>
  <c r="Q274" i="6"/>
  <c r="R274" i="6"/>
  <c r="S274" i="6"/>
  <c r="T274" i="6"/>
  <c r="C275" i="6"/>
  <c r="D275" i="6"/>
  <c r="E275" i="6"/>
  <c r="F275" i="6"/>
  <c r="H275" i="6"/>
  <c r="I275" i="6"/>
  <c r="L275" i="6"/>
  <c r="N275" i="6"/>
  <c r="Q275" i="6"/>
  <c r="R275" i="6"/>
  <c r="S275" i="6"/>
  <c r="T275" i="6"/>
  <c r="C276" i="6"/>
  <c r="D276" i="6"/>
  <c r="E276" i="6"/>
  <c r="F276" i="6"/>
  <c r="H276" i="6"/>
  <c r="I276" i="6"/>
  <c r="L276" i="6"/>
  <c r="N276" i="6"/>
  <c r="Q276" i="6"/>
  <c r="R276" i="6"/>
  <c r="S276" i="6"/>
  <c r="T276" i="6"/>
  <c r="C277" i="6"/>
  <c r="D277" i="6"/>
  <c r="E277" i="6"/>
  <c r="F277" i="6"/>
  <c r="H277" i="6"/>
  <c r="I277" i="6"/>
  <c r="L277" i="6"/>
  <c r="N277" i="6"/>
  <c r="Q277" i="6"/>
  <c r="R277" i="6"/>
  <c r="S277" i="6"/>
  <c r="T277" i="6"/>
  <c r="C278" i="6"/>
  <c r="D278" i="6"/>
  <c r="E278" i="6"/>
  <c r="F278" i="6"/>
  <c r="H278" i="6"/>
  <c r="I278" i="6"/>
  <c r="L278" i="6"/>
  <c r="N278" i="6"/>
  <c r="Q278" i="6"/>
  <c r="R278" i="6"/>
  <c r="S278" i="6"/>
  <c r="T278" i="6"/>
  <c r="C279" i="6"/>
  <c r="D279" i="6"/>
  <c r="E279" i="6"/>
  <c r="F279" i="6"/>
  <c r="H279" i="6"/>
  <c r="I279" i="6"/>
  <c r="L279" i="6"/>
  <c r="N279" i="6"/>
  <c r="Q279" i="6"/>
  <c r="R279" i="6"/>
  <c r="S279" i="6"/>
  <c r="T279" i="6"/>
  <c r="C280" i="6"/>
  <c r="D280" i="6"/>
  <c r="E280" i="6"/>
  <c r="F280" i="6"/>
  <c r="H280" i="6"/>
  <c r="I280" i="6"/>
  <c r="L280" i="6"/>
  <c r="N280" i="6"/>
  <c r="Q280" i="6"/>
  <c r="R280" i="6"/>
  <c r="S280" i="6"/>
  <c r="T280" i="6"/>
  <c r="C281" i="6"/>
  <c r="D281" i="6"/>
  <c r="E281" i="6"/>
  <c r="F281" i="6"/>
  <c r="H281" i="6"/>
  <c r="I281" i="6"/>
  <c r="L281" i="6"/>
  <c r="N281" i="6"/>
  <c r="Q281" i="6"/>
  <c r="R281" i="6"/>
  <c r="S281" i="6"/>
  <c r="T281" i="6"/>
  <c r="C282" i="6"/>
  <c r="D282" i="6"/>
  <c r="E282" i="6"/>
  <c r="F282" i="6"/>
  <c r="H282" i="6"/>
  <c r="I282" i="6"/>
  <c r="L282" i="6"/>
  <c r="N282" i="6"/>
  <c r="Q282" i="6"/>
  <c r="R282" i="6"/>
  <c r="S282" i="6"/>
  <c r="T282" i="6"/>
  <c r="C283" i="6"/>
  <c r="D283" i="6"/>
  <c r="E283" i="6"/>
  <c r="F283" i="6"/>
  <c r="H283" i="6"/>
  <c r="I283" i="6"/>
  <c r="L283" i="6"/>
  <c r="N283" i="6"/>
  <c r="Q283" i="6"/>
  <c r="R283" i="6"/>
  <c r="S283" i="6"/>
  <c r="T283" i="6"/>
  <c r="C284" i="6"/>
  <c r="D284" i="6"/>
  <c r="E284" i="6"/>
  <c r="F284" i="6"/>
  <c r="H284" i="6"/>
  <c r="I284" i="6"/>
  <c r="L284" i="6"/>
  <c r="N284" i="6"/>
  <c r="Q284" i="6"/>
  <c r="R284" i="6"/>
  <c r="S284" i="6"/>
  <c r="T284" i="6"/>
  <c r="C285" i="6"/>
  <c r="D285" i="6"/>
  <c r="E285" i="6"/>
  <c r="F285" i="6"/>
  <c r="H285" i="6"/>
  <c r="I285" i="6"/>
  <c r="L285" i="6"/>
  <c r="N285" i="6"/>
  <c r="Q285" i="6"/>
  <c r="R285" i="6"/>
  <c r="S285" i="6"/>
  <c r="T285" i="6"/>
  <c r="C286" i="6"/>
  <c r="D286" i="6"/>
  <c r="E286" i="6"/>
  <c r="F286" i="6"/>
  <c r="H286" i="6"/>
  <c r="I286" i="6"/>
  <c r="L286" i="6"/>
  <c r="N286" i="6"/>
  <c r="Q286" i="6"/>
  <c r="R286" i="6"/>
  <c r="S286" i="6"/>
  <c r="T286" i="6"/>
  <c r="C287" i="6"/>
  <c r="D287" i="6"/>
  <c r="E287" i="6"/>
  <c r="F287" i="6"/>
  <c r="H287" i="6"/>
  <c r="I287" i="6"/>
  <c r="L287" i="6"/>
  <c r="N287" i="6"/>
  <c r="Q287" i="6"/>
  <c r="R287" i="6"/>
  <c r="S287" i="6"/>
  <c r="T287" i="6"/>
  <c r="C288" i="6"/>
  <c r="D288" i="6"/>
  <c r="E288" i="6"/>
  <c r="F288" i="6"/>
  <c r="H288" i="6"/>
  <c r="I288" i="6"/>
  <c r="L288" i="6"/>
  <c r="N288" i="6"/>
  <c r="Q288" i="6"/>
  <c r="R288" i="6"/>
  <c r="S288" i="6"/>
  <c r="T288" i="6"/>
  <c r="C289" i="6"/>
  <c r="D289" i="6"/>
  <c r="E289" i="6"/>
  <c r="F289" i="6"/>
  <c r="H289" i="6"/>
  <c r="I289" i="6"/>
  <c r="L289" i="6"/>
  <c r="N289" i="6"/>
  <c r="Q289" i="6"/>
  <c r="R289" i="6"/>
  <c r="S289" i="6"/>
  <c r="T289" i="6"/>
  <c r="C290" i="6"/>
  <c r="D290" i="6"/>
  <c r="E290" i="6"/>
  <c r="F290" i="6"/>
  <c r="H290" i="6"/>
  <c r="I290" i="6"/>
  <c r="L290" i="6"/>
  <c r="N290" i="6"/>
  <c r="Q290" i="6"/>
  <c r="R290" i="6"/>
  <c r="S290" i="6"/>
  <c r="T290" i="6"/>
  <c r="C291" i="6"/>
  <c r="D291" i="6"/>
  <c r="E291" i="6"/>
  <c r="F291" i="6"/>
  <c r="H291" i="6"/>
  <c r="I291" i="6"/>
  <c r="L291" i="6"/>
  <c r="N291" i="6"/>
  <c r="Q291" i="6"/>
  <c r="R291" i="6"/>
  <c r="S291" i="6"/>
  <c r="T291" i="6"/>
  <c r="C292" i="6"/>
  <c r="D292" i="6"/>
  <c r="E292" i="6"/>
  <c r="F292" i="6"/>
  <c r="H292" i="6"/>
  <c r="I292" i="6"/>
  <c r="L292" i="6"/>
  <c r="N292" i="6"/>
  <c r="Q292" i="6"/>
  <c r="R292" i="6"/>
  <c r="S292" i="6"/>
  <c r="T292" i="6"/>
  <c r="C293" i="6"/>
  <c r="D293" i="6"/>
  <c r="E293" i="6"/>
  <c r="F293" i="6"/>
  <c r="H293" i="6"/>
  <c r="I293" i="6"/>
  <c r="L293" i="6"/>
  <c r="N293" i="6"/>
  <c r="Q293" i="6"/>
  <c r="R293" i="6"/>
  <c r="S293" i="6"/>
  <c r="T293" i="6"/>
  <c r="C294" i="6"/>
  <c r="D294" i="6"/>
  <c r="E294" i="6"/>
  <c r="F294" i="6"/>
  <c r="H294" i="6"/>
  <c r="I294" i="6"/>
  <c r="L294" i="6"/>
  <c r="N294" i="6"/>
  <c r="Q294" i="6"/>
  <c r="R294" i="6"/>
  <c r="S294" i="6"/>
  <c r="T294" i="6"/>
  <c r="C295" i="6"/>
  <c r="D295" i="6"/>
  <c r="E295" i="6"/>
  <c r="F295" i="6"/>
  <c r="H295" i="6"/>
  <c r="I295" i="6"/>
  <c r="L295" i="6"/>
  <c r="N295" i="6"/>
  <c r="Q295" i="6"/>
  <c r="R295" i="6"/>
  <c r="S295" i="6"/>
  <c r="T295" i="6"/>
  <c r="C296" i="6"/>
  <c r="D296" i="6"/>
  <c r="E296" i="6"/>
  <c r="F296" i="6"/>
  <c r="H296" i="6"/>
  <c r="I296" i="6"/>
  <c r="L296" i="6"/>
  <c r="N296" i="6"/>
  <c r="Q296" i="6"/>
  <c r="R296" i="6"/>
  <c r="S296" i="6"/>
  <c r="T296" i="6"/>
  <c r="C297" i="6"/>
  <c r="D297" i="6"/>
  <c r="E297" i="6"/>
  <c r="F297" i="6"/>
  <c r="H297" i="6"/>
  <c r="I297" i="6"/>
  <c r="L297" i="6"/>
  <c r="N297" i="6"/>
  <c r="Q297" i="6"/>
  <c r="R297" i="6"/>
  <c r="S297" i="6"/>
  <c r="T297" i="6"/>
  <c r="C298" i="6"/>
  <c r="D298" i="6"/>
  <c r="E298" i="6"/>
  <c r="F298" i="6"/>
  <c r="H298" i="6"/>
  <c r="I298" i="6"/>
  <c r="L298" i="6"/>
  <c r="N298" i="6"/>
  <c r="Q298" i="6"/>
  <c r="R298" i="6"/>
  <c r="S298" i="6"/>
  <c r="T298" i="6"/>
  <c r="C299" i="6"/>
  <c r="D299" i="6"/>
  <c r="E299" i="6"/>
  <c r="F299" i="6"/>
  <c r="H299" i="6"/>
  <c r="I299" i="6"/>
  <c r="L299" i="6"/>
  <c r="N299" i="6"/>
  <c r="Q299" i="6"/>
  <c r="R299" i="6"/>
  <c r="S299" i="6"/>
  <c r="T299" i="6"/>
  <c r="C300" i="6"/>
  <c r="D300" i="6"/>
  <c r="E300" i="6"/>
  <c r="F300" i="6"/>
  <c r="H300" i="6"/>
  <c r="I300" i="6"/>
  <c r="L300" i="6"/>
  <c r="N300" i="6"/>
  <c r="Q300" i="6"/>
  <c r="R300" i="6"/>
  <c r="S300" i="6"/>
  <c r="T300" i="6"/>
  <c r="C301" i="6"/>
  <c r="D301" i="6"/>
  <c r="E301" i="6"/>
  <c r="F301" i="6"/>
  <c r="H301" i="6"/>
  <c r="I301" i="6"/>
  <c r="L301" i="6"/>
  <c r="N301" i="6"/>
  <c r="Q301" i="6"/>
  <c r="R301" i="6"/>
  <c r="S301" i="6"/>
  <c r="T301" i="6"/>
  <c r="C302" i="6"/>
  <c r="D302" i="6"/>
  <c r="E302" i="6"/>
  <c r="F302" i="6"/>
  <c r="H302" i="6"/>
  <c r="I302" i="6"/>
  <c r="L302" i="6"/>
  <c r="N302" i="6"/>
  <c r="Q302" i="6"/>
  <c r="R302" i="6"/>
  <c r="S302" i="6"/>
  <c r="T302" i="6"/>
  <c r="C303" i="6"/>
  <c r="D303" i="6"/>
  <c r="E303" i="6"/>
  <c r="F303" i="6"/>
  <c r="H303" i="6"/>
  <c r="I303" i="6"/>
  <c r="L303" i="6"/>
  <c r="N303" i="6"/>
  <c r="Q303" i="6"/>
  <c r="R303" i="6"/>
  <c r="S303" i="6"/>
  <c r="T303" i="6"/>
  <c r="C304" i="6"/>
  <c r="D304" i="6"/>
  <c r="E304" i="6"/>
  <c r="F304" i="6"/>
  <c r="H304" i="6"/>
  <c r="I304" i="6"/>
  <c r="L304" i="6"/>
  <c r="N304" i="6"/>
  <c r="Q304" i="6"/>
  <c r="R304" i="6"/>
  <c r="S304" i="6"/>
  <c r="T304" i="6"/>
  <c r="C305" i="6"/>
  <c r="D305" i="6"/>
  <c r="E305" i="6"/>
  <c r="F305" i="6"/>
  <c r="H305" i="6"/>
  <c r="I305" i="6"/>
  <c r="L305" i="6"/>
  <c r="N305" i="6"/>
  <c r="Q305" i="6"/>
  <c r="R305" i="6"/>
  <c r="S305" i="6"/>
  <c r="T305" i="6"/>
  <c r="C306" i="6"/>
  <c r="D306" i="6"/>
  <c r="E306" i="6"/>
  <c r="F306" i="6"/>
  <c r="H306" i="6"/>
  <c r="I306" i="6"/>
  <c r="L306" i="6"/>
  <c r="N306" i="6"/>
  <c r="Q306" i="6"/>
  <c r="R306" i="6"/>
  <c r="S306" i="6"/>
  <c r="T306" i="6"/>
  <c r="C307" i="6"/>
  <c r="D307" i="6"/>
  <c r="E307" i="6"/>
  <c r="F307" i="6"/>
  <c r="H307" i="6"/>
  <c r="I307" i="6"/>
  <c r="L307" i="6"/>
  <c r="N307" i="6"/>
  <c r="Q307" i="6"/>
  <c r="R307" i="6"/>
  <c r="S307" i="6"/>
  <c r="T307" i="6"/>
  <c r="C308" i="6"/>
  <c r="D308" i="6"/>
  <c r="E308" i="6"/>
  <c r="F308" i="6"/>
  <c r="H308" i="6"/>
  <c r="I308" i="6"/>
  <c r="L308" i="6"/>
  <c r="N308" i="6"/>
  <c r="Q308" i="6"/>
  <c r="R308" i="6"/>
  <c r="S308" i="6"/>
  <c r="T308" i="6"/>
  <c r="C309" i="6"/>
  <c r="D309" i="6"/>
  <c r="E309" i="6"/>
  <c r="F309" i="6"/>
  <c r="H309" i="6"/>
  <c r="I309" i="6"/>
  <c r="L309" i="6"/>
  <c r="N309" i="6"/>
  <c r="Q309" i="6"/>
  <c r="R309" i="6"/>
  <c r="S309" i="6"/>
  <c r="T309" i="6"/>
  <c r="C310" i="6"/>
  <c r="D310" i="6"/>
  <c r="E310" i="6"/>
  <c r="F310" i="6"/>
  <c r="H310" i="6"/>
  <c r="I310" i="6"/>
  <c r="L310" i="6"/>
  <c r="N310" i="6"/>
  <c r="Q310" i="6"/>
  <c r="R310" i="6"/>
  <c r="S310" i="6"/>
  <c r="T310" i="6"/>
  <c r="C311" i="6"/>
  <c r="D311" i="6"/>
  <c r="E311" i="6"/>
  <c r="F311" i="6"/>
  <c r="H311" i="6"/>
  <c r="I311" i="6"/>
  <c r="L311" i="6"/>
  <c r="N311" i="6"/>
  <c r="Q311" i="6"/>
  <c r="R311" i="6"/>
  <c r="S311" i="6"/>
  <c r="T311" i="6"/>
  <c r="C312" i="6"/>
  <c r="D312" i="6"/>
  <c r="E312" i="6"/>
  <c r="F312" i="6"/>
  <c r="H312" i="6"/>
  <c r="I312" i="6"/>
  <c r="L312" i="6"/>
  <c r="N312" i="6"/>
  <c r="Q312" i="6"/>
  <c r="R312" i="6"/>
  <c r="S312" i="6"/>
  <c r="T312" i="6"/>
  <c r="C313" i="6"/>
  <c r="D313" i="6"/>
  <c r="E313" i="6"/>
  <c r="F313" i="6"/>
  <c r="H313" i="6"/>
  <c r="I313" i="6"/>
  <c r="L313" i="6"/>
  <c r="N313" i="6"/>
  <c r="Q313" i="6"/>
  <c r="R313" i="6"/>
  <c r="S313" i="6"/>
  <c r="T313" i="6"/>
  <c r="C314" i="6"/>
  <c r="D314" i="6"/>
  <c r="E314" i="6"/>
  <c r="F314" i="6"/>
  <c r="H314" i="6"/>
  <c r="I314" i="6"/>
  <c r="L314" i="6"/>
  <c r="N314" i="6"/>
  <c r="Q314" i="6"/>
  <c r="R314" i="6"/>
  <c r="S314" i="6"/>
  <c r="T314" i="6"/>
  <c r="C315" i="6"/>
  <c r="D315" i="6"/>
  <c r="E315" i="6"/>
  <c r="F315" i="6"/>
  <c r="H315" i="6"/>
  <c r="I315" i="6"/>
  <c r="L315" i="6"/>
  <c r="N315" i="6"/>
  <c r="Q315" i="6"/>
  <c r="R315" i="6"/>
  <c r="S315" i="6"/>
  <c r="T315" i="6"/>
  <c r="C316" i="6"/>
  <c r="D316" i="6"/>
  <c r="E316" i="6"/>
  <c r="F316" i="6"/>
  <c r="H316" i="6"/>
  <c r="I316" i="6"/>
  <c r="L316" i="6"/>
  <c r="N316" i="6"/>
  <c r="Q316" i="6"/>
  <c r="R316" i="6"/>
  <c r="S316" i="6"/>
  <c r="T316" i="6"/>
  <c r="C317" i="6"/>
  <c r="D317" i="6"/>
  <c r="E317" i="6"/>
  <c r="F317" i="6"/>
  <c r="H317" i="6"/>
  <c r="I317" i="6"/>
  <c r="L317" i="6"/>
  <c r="N317" i="6"/>
  <c r="Q317" i="6"/>
  <c r="R317" i="6"/>
  <c r="S317" i="6"/>
  <c r="T317" i="6"/>
  <c r="C318" i="6"/>
  <c r="D318" i="6"/>
  <c r="E318" i="6"/>
  <c r="F318" i="6"/>
  <c r="H318" i="6"/>
  <c r="I318" i="6"/>
  <c r="L318" i="6"/>
  <c r="N318" i="6"/>
  <c r="Q318" i="6"/>
  <c r="R318" i="6"/>
  <c r="S318" i="6"/>
  <c r="T318" i="6"/>
  <c r="C319" i="6"/>
  <c r="D319" i="6"/>
  <c r="E319" i="6"/>
  <c r="F319" i="6"/>
  <c r="H319" i="6"/>
  <c r="I319" i="6"/>
  <c r="L319" i="6"/>
  <c r="N319" i="6"/>
  <c r="Q319" i="6"/>
  <c r="R319" i="6"/>
  <c r="S319" i="6"/>
  <c r="T319" i="6"/>
  <c r="C320" i="6"/>
  <c r="D320" i="6"/>
  <c r="E320" i="6"/>
  <c r="F320" i="6"/>
  <c r="H320" i="6"/>
  <c r="I320" i="6"/>
  <c r="L320" i="6"/>
  <c r="N320" i="6"/>
  <c r="Q320" i="6"/>
  <c r="R320" i="6"/>
  <c r="S320" i="6"/>
  <c r="T320" i="6"/>
  <c r="C321" i="6"/>
  <c r="D321" i="6"/>
  <c r="E321" i="6"/>
  <c r="F321" i="6"/>
  <c r="H321" i="6"/>
  <c r="I321" i="6"/>
  <c r="L321" i="6"/>
  <c r="N321" i="6"/>
  <c r="Q321" i="6"/>
  <c r="R321" i="6"/>
  <c r="S321" i="6"/>
  <c r="T321" i="6"/>
  <c r="C322" i="6"/>
  <c r="D322" i="6"/>
  <c r="E322" i="6"/>
  <c r="F322" i="6"/>
  <c r="H322" i="6"/>
  <c r="I322" i="6"/>
  <c r="L322" i="6"/>
  <c r="N322" i="6"/>
  <c r="Q322" i="6"/>
  <c r="R322" i="6"/>
  <c r="S322" i="6"/>
  <c r="T322" i="6"/>
  <c r="C323" i="6"/>
  <c r="D323" i="6"/>
  <c r="E323" i="6"/>
  <c r="F323" i="6"/>
  <c r="H323" i="6"/>
  <c r="I323" i="6"/>
  <c r="L323" i="6"/>
  <c r="N323" i="6"/>
  <c r="Q323" i="6"/>
  <c r="R323" i="6"/>
  <c r="S323" i="6"/>
  <c r="T323" i="6"/>
  <c r="C324" i="6"/>
  <c r="D324" i="6"/>
  <c r="E324" i="6"/>
  <c r="F324" i="6"/>
  <c r="H324" i="6"/>
  <c r="I324" i="6"/>
  <c r="L324" i="6"/>
  <c r="N324" i="6"/>
  <c r="Q324" i="6"/>
  <c r="R324" i="6"/>
  <c r="S324" i="6"/>
  <c r="T324" i="6"/>
  <c r="C325" i="6"/>
  <c r="D325" i="6"/>
  <c r="E325" i="6"/>
  <c r="F325" i="6"/>
  <c r="H325" i="6"/>
  <c r="I325" i="6"/>
  <c r="L325" i="6"/>
  <c r="N325" i="6"/>
  <c r="Q325" i="6"/>
  <c r="R325" i="6"/>
  <c r="S325" i="6"/>
  <c r="T325" i="6"/>
  <c r="C326" i="6"/>
  <c r="D326" i="6"/>
  <c r="E326" i="6"/>
  <c r="F326" i="6"/>
  <c r="H326" i="6"/>
  <c r="I326" i="6"/>
  <c r="L326" i="6"/>
  <c r="N326" i="6"/>
  <c r="Q326" i="6"/>
  <c r="R326" i="6"/>
  <c r="S326" i="6"/>
  <c r="T326" i="6"/>
  <c r="C327" i="6"/>
  <c r="D327" i="6"/>
  <c r="E327" i="6"/>
  <c r="F327" i="6"/>
  <c r="H327" i="6"/>
  <c r="I327" i="6"/>
  <c r="L327" i="6"/>
  <c r="N327" i="6"/>
  <c r="Q327" i="6"/>
  <c r="R327" i="6"/>
  <c r="S327" i="6"/>
  <c r="T327" i="6"/>
  <c r="C328" i="6"/>
  <c r="D328" i="6"/>
  <c r="E328" i="6"/>
  <c r="F328" i="6"/>
  <c r="H328" i="6"/>
  <c r="I328" i="6"/>
  <c r="L328" i="6"/>
  <c r="N328" i="6"/>
  <c r="Q328" i="6"/>
  <c r="R328" i="6"/>
  <c r="S328" i="6"/>
  <c r="T328" i="6"/>
  <c r="C329" i="6"/>
  <c r="D329" i="6"/>
  <c r="E329" i="6"/>
  <c r="F329" i="6"/>
  <c r="H329" i="6"/>
  <c r="I329" i="6"/>
  <c r="L329" i="6"/>
  <c r="N329" i="6"/>
  <c r="Q329" i="6"/>
  <c r="R329" i="6"/>
  <c r="S329" i="6"/>
  <c r="T329" i="6"/>
  <c r="C330" i="6"/>
  <c r="D330" i="6"/>
  <c r="E330" i="6"/>
  <c r="F330" i="6"/>
  <c r="H330" i="6"/>
  <c r="I330" i="6"/>
  <c r="L330" i="6"/>
  <c r="N330" i="6"/>
  <c r="Q330" i="6"/>
  <c r="R330" i="6"/>
  <c r="S330" i="6"/>
  <c r="T330" i="6"/>
  <c r="C331" i="6"/>
  <c r="D331" i="6"/>
  <c r="E331" i="6"/>
  <c r="F331" i="6"/>
  <c r="H331" i="6"/>
  <c r="I331" i="6"/>
  <c r="L331" i="6"/>
  <c r="N331" i="6"/>
  <c r="Q331" i="6"/>
  <c r="R331" i="6"/>
  <c r="S331" i="6"/>
  <c r="T331" i="6"/>
  <c r="C332" i="6"/>
  <c r="D332" i="6"/>
  <c r="E332" i="6"/>
  <c r="F332" i="6"/>
  <c r="H332" i="6"/>
  <c r="I332" i="6"/>
  <c r="L332" i="6"/>
  <c r="N332" i="6"/>
  <c r="Q332" i="6"/>
  <c r="R332" i="6"/>
  <c r="S332" i="6"/>
  <c r="T332" i="6"/>
  <c r="C333" i="6"/>
  <c r="D333" i="6"/>
  <c r="E333" i="6"/>
  <c r="F333" i="6"/>
  <c r="H333" i="6"/>
  <c r="I333" i="6"/>
  <c r="L333" i="6"/>
  <c r="N333" i="6"/>
  <c r="Q333" i="6"/>
  <c r="R333" i="6"/>
  <c r="S333" i="6"/>
  <c r="T333" i="6"/>
  <c r="C334" i="6"/>
  <c r="D334" i="6"/>
  <c r="E334" i="6"/>
  <c r="F334" i="6"/>
  <c r="H334" i="6"/>
  <c r="I334" i="6"/>
  <c r="L334" i="6"/>
  <c r="N334" i="6"/>
  <c r="Q334" i="6"/>
  <c r="R334" i="6"/>
  <c r="S334" i="6"/>
  <c r="T334" i="6"/>
  <c r="C335" i="6"/>
  <c r="D335" i="6"/>
  <c r="E335" i="6"/>
  <c r="F335" i="6"/>
  <c r="H335" i="6"/>
  <c r="I335" i="6"/>
  <c r="L335" i="6"/>
  <c r="N335" i="6"/>
  <c r="Q335" i="6"/>
  <c r="R335" i="6"/>
  <c r="S335" i="6"/>
  <c r="T335" i="6"/>
  <c r="C336" i="6"/>
  <c r="D336" i="6"/>
  <c r="E336" i="6"/>
  <c r="F336" i="6"/>
  <c r="H336" i="6"/>
  <c r="I336" i="6"/>
  <c r="L336" i="6"/>
  <c r="N336" i="6"/>
  <c r="Q336" i="6"/>
  <c r="R336" i="6"/>
  <c r="S336" i="6"/>
  <c r="T336" i="6"/>
  <c r="C337" i="6"/>
  <c r="D337" i="6"/>
  <c r="E337" i="6"/>
  <c r="F337" i="6"/>
  <c r="H337" i="6"/>
  <c r="I337" i="6"/>
  <c r="L337" i="6"/>
  <c r="N337" i="6"/>
  <c r="Q337" i="6"/>
  <c r="R337" i="6"/>
  <c r="S337" i="6"/>
  <c r="T337" i="6"/>
  <c r="C338" i="6"/>
  <c r="D338" i="6"/>
  <c r="E338" i="6"/>
  <c r="F338" i="6"/>
  <c r="H338" i="6"/>
  <c r="I338" i="6"/>
  <c r="L338" i="6"/>
  <c r="N338" i="6"/>
  <c r="Q338" i="6"/>
  <c r="R338" i="6"/>
  <c r="S338" i="6"/>
  <c r="T338" i="6"/>
  <c r="C339" i="6"/>
  <c r="D339" i="6"/>
  <c r="E339" i="6"/>
  <c r="F339" i="6"/>
  <c r="H339" i="6"/>
  <c r="I339" i="6"/>
  <c r="L339" i="6"/>
  <c r="N339" i="6"/>
  <c r="Q339" i="6"/>
  <c r="R339" i="6"/>
  <c r="S339" i="6"/>
  <c r="T339" i="6"/>
  <c r="C340" i="6"/>
  <c r="D340" i="6"/>
  <c r="E340" i="6"/>
  <c r="F340" i="6"/>
  <c r="H340" i="6"/>
  <c r="I340" i="6"/>
  <c r="L340" i="6"/>
  <c r="N340" i="6"/>
  <c r="Q340" i="6"/>
  <c r="R340" i="6"/>
  <c r="S340" i="6"/>
  <c r="T340" i="6"/>
  <c r="C341" i="6"/>
  <c r="D341" i="6"/>
  <c r="E341" i="6"/>
  <c r="F341" i="6"/>
  <c r="H341" i="6"/>
  <c r="I341" i="6"/>
  <c r="L341" i="6"/>
  <c r="N341" i="6"/>
  <c r="Q341" i="6"/>
  <c r="R341" i="6"/>
  <c r="S341" i="6"/>
  <c r="T341" i="6"/>
  <c r="C342" i="6"/>
  <c r="D342" i="6"/>
  <c r="E342" i="6"/>
  <c r="F342" i="6"/>
  <c r="H342" i="6"/>
  <c r="I342" i="6"/>
  <c r="L342" i="6"/>
  <c r="N342" i="6"/>
  <c r="Q342" i="6"/>
  <c r="R342" i="6"/>
  <c r="S342" i="6"/>
  <c r="T342" i="6"/>
  <c r="C343" i="6"/>
  <c r="D343" i="6"/>
  <c r="E343" i="6"/>
  <c r="F343" i="6"/>
  <c r="H343" i="6"/>
  <c r="I343" i="6"/>
  <c r="L343" i="6"/>
  <c r="N343" i="6"/>
  <c r="Q343" i="6"/>
  <c r="R343" i="6"/>
  <c r="S343" i="6"/>
  <c r="T343" i="6"/>
  <c r="C344" i="6"/>
  <c r="D344" i="6"/>
  <c r="E344" i="6"/>
  <c r="F344" i="6"/>
  <c r="H344" i="6"/>
  <c r="I344" i="6"/>
  <c r="L344" i="6"/>
  <c r="N344" i="6"/>
  <c r="Q344" i="6"/>
  <c r="R344" i="6"/>
  <c r="S344" i="6"/>
  <c r="T344" i="6"/>
  <c r="C345" i="6"/>
  <c r="D345" i="6"/>
  <c r="E345" i="6"/>
  <c r="F345" i="6"/>
  <c r="H345" i="6"/>
  <c r="I345" i="6"/>
  <c r="L345" i="6"/>
  <c r="N345" i="6"/>
  <c r="Q345" i="6"/>
  <c r="R345" i="6"/>
  <c r="S345" i="6"/>
  <c r="T345" i="6"/>
  <c r="C346" i="6"/>
  <c r="D346" i="6"/>
  <c r="E346" i="6"/>
  <c r="F346" i="6"/>
  <c r="H346" i="6"/>
  <c r="I346" i="6"/>
  <c r="L346" i="6"/>
  <c r="N346" i="6"/>
  <c r="Q346" i="6"/>
  <c r="R346" i="6"/>
  <c r="S346" i="6"/>
  <c r="T346" i="6"/>
  <c r="C347" i="6"/>
  <c r="D347" i="6"/>
  <c r="E347" i="6"/>
  <c r="F347" i="6"/>
  <c r="H347" i="6"/>
  <c r="I347" i="6"/>
  <c r="L347" i="6"/>
  <c r="N347" i="6"/>
  <c r="Q347" i="6"/>
  <c r="R347" i="6"/>
  <c r="S347" i="6"/>
  <c r="T347" i="6"/>
  <c r="C348" i="6"/>
  <c r="D348" i="6"/>
  <c r="E348" i="6"/>
  <c r="F348" i="6"/>
  <c r="H348" i="6"/>
  <c r="I348" i="6"/>
  <c r="L348" i="6"/>
  <c r="N348" i="6"/>
  <c r="Q348" i="6"/>
  <c r="R348" i="6"/>
  <c r="S348" i="6"/>
  <c r="T348" i="6"/>
  <c r="C349" i="6"/>
  <c r="D349" i="6"/>
  <c r="E349" i="6"/>
  <c r="F349" i="6"/>
  <c r="H349" i="6"/>
  <c r="I349" i="6"/>
  <c r="L349" i="6"/>
  <c r="N349" i="6"/>
  <c r="Q349" i="6"/>
  <c r="R349" i="6"/>
  <c r="S349" i="6"/>
  <c r="T349" i="6"/>
  <c r="C350" i="6"/>
  <c r="D350" i="6"/>
  <c r="E350" i="6"/>
  <c r="F350" i="6"/>
  <c r="H350" i="6"/>
  <c r="I350" i="6"/>
  <c r="L350" i="6"/>
  <c r="N350" i="6"/>
  <c r="Q350" i="6"/>
  <c r="R350" i="6"/>
  <c r="S350" i="6"/>
  <c r="T350" i="6"/>
  <c r="C351" i="6"/>
  <c r="D351" i="6"/>
  <c r="E351" i="6"/>
  <c r="F351" i="6"/>
  <c r="H351" i="6"/>
  <c r="I351" i="6"/>
  <c r="L351" i="6"/>
  <c r="N351" i="6"/>
  <c r="Q351" i="6"/>
  <c r="R351" i="6"/>
  <c r="S351" i="6"/>
  <c r="T351" i="6"/>
  <c r="C352" i="6"/>
  <c r="D352" i="6"/>
  <c r="E352" i="6"/>
  <c r="F352" i="6"/>
  <c r="H352" i="6"/>
  <c r="I352" i="6"/>
  <c r="L352" i="6"/>
  <c r="N352" i="6"/>
  <c r="Q352" i="6"/>
  <c r="R352" i="6"/>
  <c r="S352" i="6"/>
  <c r="T352" i="6"/>
  <c r="C353" i="6"/>
  <c r="D353" i="6"/>
  <c r="E353" i="6"/>
  <c r="F353" i="6"/>
  <c r="H353" i="6"/>
  <c r="I353" i="6"/>
  <c r="L353" i="6"/>
  <c r="N353" i="6"/>
  <c r="Q353" i="6"/>
  <c r="R353" i="6"/>
  <c r="S353" i="6"/>
  <c r="T353" i="6"/>
  <c r="C354" i="6"/>
  <c r="D354" i="6"/>
  <c r="E354" i="6"/>
  <c r="F354" i="6"/>
  <c r="H354" i="6"/>
  <c r="I354" i="6"/>
  <c r="L354" i="6"/>
  <c r="N354" i="6"/>
  <c r="Q354" i="6"/>
  <c r="R354" i="6"/>
  <c r="S354" i="6"/>
  <c r="T354" i="6"/>
  <c r="C355" i="6"/>
  <c r="D355" i="6"/>
  <c r="E355" i="6"/>
  <c r="F355" i="6"/>
  <c r="H355" i="6"/>
  <c r="I355" i="6"/>
  <c r="L355" i="6"/>
  <c r="N355" i="6"/>
  <c r="Q355" i="6"/>
  <c r="R355" i="6"/>
  <c r="S355" i="6"/>
  <c r="T355" i="6"/>
  <c r="C356" i="6"/>
  <c r="D356" i="6"/>
  <c r="E356" i="6"/>
  <c r="F356" i="6"/>
  <c r="H356" i="6"/>
  <c r="I356" i="6"/>
  <c r="L356" i="6"/>
  <c r="N356" i="6"/>
  <c r="Q356" i="6"/>
  <c r="R356" i="6"/>
  <c r="S356" i="6"/>
  <c r="T356" i="6"/>
  <c r="C357" i="6"/>
  <c r="D357" i="6"/>
  <c r="E357" i="6"/>
  <c r="F357" i="6"/>
  <c r="H357" i="6"/>
  <c r="I357" i="6"/>
  <c r="L357" i="6"/>
  <c r="N357" i="6"/>
  <c r="Q357" i="6"/>
  <c r="R357" i="6"/>
  <c r="S357" i="6"/>
  <c r="T357" i="6"/>
  <c r="C358" i="6"/>
  <c r="D358" i="6"/>
  <c r="E358" i="6"/>
  <c r="F358" i="6"/>
  <c r="H358" i="6"/>
  <c r="I358" i="6"/>
  <c r="L358" i="6"/>
  <c r="N358" i="6"/>
  <c r="Q358" i="6"/>
  <c r="R358" i="6"/>
  <c r="S358" i="6"/>
  <c r="T358" i="6"/>
  <c r="C359" i="6"/>
  <c r="D359" i="6"/>
  <c r="E359" i="6"/>
  <c r="F359" i="6"/>
  <c r="H359" i="6"/>
  <c r="I359" i="6"/>
  <c r="L359" i="6"/>
  <c r="N359" i="6"/>
  <c r="Q359" i="6"/>
  <c r="R359" i="6"/>
  <c r="S359" i="6"/>
  <c r="T359" i="6"/>
  <c r="C360" i="6"/>
  <c r="D360" i="6"/>
  <c r="E360" i="6"/>
  <c r="F360" i="6"/>
  <c r="H360" i="6"/>
  <c r="I360" i="6"/>
  <c r="L360" i="6"/>
  <c r="N360" i="6"/>
  <c r="Q360" i="6"/>
  <c r="R360" i="6"/>
  <c r="S360" i="6"/>
  <c r="T360" i="6"/>
  <c r="C361" i="6"/>
  <c r="D361" i="6"/>
  <c r="E361" i="6"/>
  <c r="F361" i="6"/>
  <c r="H361" i="6"/>
  <c r="I361" i="6"/>
  <c r="L361" i="6"/>
  <c r="N361" i="6"/>
  <c r="Q361" i="6"/>
  <c r="R361" i="6"/>
  <c r="S361" i="6"/>
  <c r="T361" i="6"/>
  <c r="C362" i="6"/>
  <c r="D362" i="6"/>
  <c r="E362" i="6"/>
  <c r="F362" i="6"/>
  <c r="H362" i="6"/>
  <c r="I362" i="6"/>
  <c r="L362" i="6"/>
  <c r="N362" i="6"/>
  <c r="Q362" i="6"/>
  <c r="R362" i="6"/>
  <c r="S362" i="6"/>
  <c r="T362" i="6"/>
  <c r="C363" i="6"/>
  <c r="D363" i="6"/>
  <c r="E363" i="6"/>
  <c r="F363" i="6"/>
  <c r="H363" i="6"/>
  <c r="I363" i="6"/>
  <c r="L363" i="6"/>
  <c r="N363" i="6"/>
  <c r="Q363" i="6"/>
  <c r="R363" i="6"/>
  <c r="S363" i="6"/>
  <c r="T363" i="6"/>
  <c r="C364" i="6"/>
  <c r="D364" i="6"/>
  <c r="E364" i="6"/>
  <c r="F364" i="6"/>
  <c r="H364" i="6"/>
  <c r="I364" i="6"/>
  <c r="L364" i="6"/>
  <c r="N364" i="6"/>
  <c r="Q364" i="6"/>
  <c r="R364" i="6"/>
  <c r="S364" i="6"/>
  <c r="T364" i="6"/>
  <c r="C365" i="6"/>
  <c r="D365" i="6"/>
  <c r="E365" i="6"/>
  <c r="F365" i="6"/>
  <c r="H365" i="6"/>
  <c r="I365" i="6"/>
  <c r="L365" i="6"/>
  <c r="N365" i="6"/>
  <c r="Q365" i="6"/>
  <c r="R365" i="6"/>
  <c r="S365" i="6"/>
  <c r="T365" i="6"/>
  <c r="C366" i="6"/>
  <c r="D366" i="6"/>
  <c r="E366" i="6"/>
  <c r="F366" i="6"/>
  <c r="H366" i="6"/>
  <c r="I366" i="6"/>
  <c r="L366" i="6"/>
  <c r="N366" i="6"/>
  <c r="Q366" i="6"/>
  <c r="R366" i="6"/>
  <c r="S366" i="6"/>
  <c r="T366" i="6"/>
  <c r="C367" i="6"/>
  <c r="D367" i="6"/>
  <c r="E367" i="6"/>
  <c r="F367" i="6"/>
  <c r="H367" i="6"/>
  <c r="I367" i="6"/>
  <c r="L367" i="6"/>
  <c r="N367" i="6"/>
  <c r="Q367" i="6"/>
  <c r="R367" i="6"/>
  <c r="S367" i="6"/>
  <c r="T367" i="6"/>
  <c r="C368" i="6"/>
  <c r="D368" i="6"/>
  <c r="E368" i="6"/>
  <c r="F368" i="6"/>
  <c r="H368" i="6"/>
  <c r="I368" i="6"/>
  <c r="L368" i="6"/>
  <c r="N368" i="6"/>
  <c r="Q368" i="6"/>
  <c r="R368" i="6"/>
  <c r="S368" i="6"/>
  <c r="T368" i="6"/>
  <c r="C369" i="6"/>
  <c r="D369" i="6"/>
  <c r="E369" i="6"/>
  <c r="F369" i="6"/>
  <c r="H369" i="6"/>
  <c r="I369" i="6"/>
  <c r="L369" i="6"/>
  <c r="N369" i="6"/>
  <c r="Q369" i="6"/>
  <c r="R369" i="6"/>
  <c r="S369" i="6"/>
  <c r="T369" i="6"/>
  <c r="C370" i="6"/>
  <c r="D370" i="6"/>
  <c r="E370" i="6"/>
  <c r="F370" i="6"/>
  <c r="H370" i="6"/>
  <c r="I370" i="6"/>
  <c r="L370" i="6"/>
  <c r="N370" i="6"/>
  <c r="Q370" i="6"/>
  <c r="R370" i="6"/>
  <c r="S370" i="6"/>
  <c r="T370" i="6"/>
  <c r="C371" i="6"/>
  <c r="D371" i="6"/>
  <c r="E371" i="6"/>
  <c r="F371" i="6"/>
  <c r="H371" i="6"/>
  <c r="I371" i="6"/>
  <c r="L371" i="6"/>
  <c r="N371" i="6"/>
  <c r="Q371" i="6"/>
  <c r="R371" i="6"/>
  <c r="S371" i="6"/>
  <c r="T371" i="6"/>
  <c r="C372" i="6"/>
  <c r="D372" i="6"/>
  <c r="E372" i="6"/>
  <c r="F372" i="6"/>
  <c r="H372" i="6"/>
  <c r="I372" i="6"/>
  <c r="L372" i="6"/>
  <c r="N372" i="6"/>
  <c r="Q372" i="6"/>
  <c r="R372" i="6"/>
  <c r="S372" i="6"/>
  <c r="T372" i="6"/>
  <c r="C373" i="6"/>
  <c r="D373" i="6"/>
  <c r="E373" i="6"/>
  <c r="F373" i="6"/>
  <c r="H373" i="6"/>
  <c r="I373" i="6"/>
  <c r="L373" i="6"/>
  <c r="N373" i="6"/>
  <c r="Q373" i="6"/>
  <c r="R373" i="6"/>
  <c r="S373" i="6"/>
  <c r="T373" i="6"/>
  <c r="C374" i="6"/>
  <c r="D374" i="6"/>
  <c r="E374" i="6"/>
  <c r="F374" i="6"/>
  <c r="H374" i="6"/>
  <c r="I374" i="6"/>
  <c r="L374" i="6"/>
  <c r="N374" i="6"/>
  <c r="Q374" i="6"/>
  <c r="R374" i="6"/>
  <c r="S374" i="6"/>
  <c r="T374" i="6"/>
  <c r="C375" i="6"/>
  <c r="D375" i="6"/>
  <c r="E375" i="6"/>
  <c r="F375" i="6"/>
  <c r="H375" i="6"/>
  <c r="I375" i="6"/>
  <c r="L375" i="6"/>
  <c r="N375" i="6"/>
  <c r="Q375" i="6"/>
  <c r="R375" i="6"/>
  <c r="S375" i="6"/>
  <c r="T375" i="6"/>
  <c r="C376" i="6"/>
  <c r="D376" i="6"/>
  <c r="E376" i="6"/>
  <c r="F376" i="6"/>
  <c r="H376" i="6"/>
  <c r="I376" i="6"/>
  <c r="L376" i="6"/>
  <c r="N376" i="6"/>
  <c r="Q376" i="6"/>
  <c r="R376" i="6"/>
  <c r="S376" i="6"/>
  <c r="T376" i="6"/>
  <c r="C377" i="6"/>
  <c r="D377" i="6"/>
  <c r="E377" i="6"/>
  <c r="F377" i="6"/>
  <c r="H377" i="6"/>
  <c r="I377" i="6"/>
  <c r="L377" i="6"/>
  <c r="N377" i="6"/>
  <c r="Q377" i="6"/>
  <c r="R377" i="6"/>
  <c r="S377" i="6"/>
  <c r="T377" i="6"/>
  <c r="C378" i="6"/>
  <c r="D378" i="6"/>
  <c r="E378" i="6"/>
  <c r="F378" i="6"/>
  <c r="H378" i="6"/>
  <c r="I378" i="6"/>
  <c r="L378" i="6"/>
  <c r="N378" i="6"/>
  <c r="Q378" i="6"/>
  <c r="R378" i="6"/>
  <c r="S378" i="6"/>
  <c r="T378" i="6"/>
  <c r="C379" i="6"/>
  <c r="D379" i="6"/>
  <c r="E379" i="6"/>
  <c r="F379" i="6"/>
  <c r="H379" i="6"/>
  <c r="I379" i="6"/>
  <c r="L379" i="6"/>
  <c r="N379" i="6"/>
  <c r="Q379" i="6"/>
  <c r="R379" i="6"/>
  <c r="S379" i="6"/>
  <c r="T379" i="6"/>
  <c r="C380" i="6"/>
  <c r="D380" i="6"/>
  <c r="E380" i="6"/>
  <c r="F380" i="6"/>
  <c r="H380" i="6"/>
  <c r="I380" i="6"/>
  <c r="L380" i="6"/>
  <c r="N380" i="6"/>
  <c r="Q380" i="6"/>
  <c r="R380" i="6"/>
  <c r="S380" i="6"/>
  <c r="T380" i="6"/>
  <c r="C381" i="6"/>
  <c r="D381" i="6"/>
  <c r="E381" i="6"/>
  <c r="F381" i="6"/>
  <c r="H381" i="6"/>
  <c r="I381" i="6"/>
  <c r="L381" i="6"/>
  <c r="N381" i="6"/>
  <c r="Q381" i="6"/>
  <c r="R381" i="6"/>
  <c r="S381" i="6"/>
  <c r="T381" i="6"/>
  <c r="C382" i="6"/>
  <c r="D382" i="6"/>
  <c r="E382" i="6"/>
  <c r="F382" i="6"/>
  <c r="H382" i="6"/>
  <c r="I382" i="6"/>
  <c r="L382" i="6"/>
  <c r="N382" i="6"/>
  <c r="Q382" i="6"/>
  <c r="R382" i="6"/>
  <c r="S382" i="6"/>
  <c r="T382" i="6"/>
  <c r="C383" i="6"/>
  <c r="D383" i="6"/>
  <c r="E383" i="6"/>
  <c r="F383" i="6"/>
  <c r="H383" i="6"/>
  <c r="I383" i="6"/>
  <c r="L383" i="6"/>
  <c r="N383" i="6"/>
  <c r="Q383" i="6"/>
  <c r="R383" i="6"/>
  <c r="S383" i="6"/>
  <c r="T383" i="6"/>
  <c r="C384" i="6"/>
  <c r="D384" i="6"/>
  <c r="E384" i="6"/>
  <c r="F384" i="6"/>
  <c r="H384" i="6"/>
  <c r="I384" i="6"/>
  <c r="L384" i="6"/>
  <c r="N384" i="6"/>
  <c r="Q384" i="6"/>
  <c r="R384" i="6"/>
  <c r="S384" i="6"/>
  <c r="T384" i="6"/>
  <c r="C385" i="6"/>
  <c r="D385" i="6"/>
  <c r="E385" i="6"/>
  <c r="F385" i="6"/>
  <c r="H385" i="6"/>
  <c r="I385" i="6"/>
  <c r="L385" i="6"/>
  <c r="N385" i="6"/>
  <c r="Q385" i="6"/>
  <c r="R385" i="6"/>
  <c r="S385" i="6"/>
  <c r="T385" i="6"/>
  <c r="C386" i="6"/>
  <c r="D386" i="6"/>
  <c r="E386" i="6"/>
  <c r="F386" i="6"/>
  <c r="H386" i="6"/>
  <c r="I386" i="6"/>
  <c r="L386" i="6"/>
  <c r="N386" i="6"/>
  <c r="Q386" i="6"/>
  <c r="R386" i="6"/>
  <c r="S386" i="6"/>
  <c r="T386" i="6"/>
  <c r="C387" i="6"/>
  <c r="D387" i="6"/>
  <c r="E387" i="6"/>
  <c r="F387" i="6"/>
  <c r="H387" i="6"/>
  <c r="I387" i="6"/>
  <c r="L387" i="6"/>
  <c r="N387" i="6"/>
  <c r="Q387" i="6"/>
  <c r="R387" i="6"/>
  <c r="S387" i="6"/>
  <c r="T387" i="6"/>
  <c r="C388" i="6"/>
  <c r="D388" i="6"/>
  <c r="E388" i="6"/>
  <c r="F388" i="6"/>
  <c r="H388" i="6"/>
  <c r="I388" i="6"/>
  <c r="L388" i="6"/>
  <c r="N388" i="6"/>
  <c r="Q388" i="6"/>
  <c r="R388" i="6"/>
  <c r="S388" i="6"/>
  <c r="T388" i="6"/>
  <c r="C389" i="6"/>
  <c r="D389" i="6"/>
  <c r="E389" i="6"/>
  <c r="F389" i="6"/>
  <c r="H389" i="6"/>
  <c r="I389" i="6"/>
  <c r="L389" i="6"/>
  <c r="N389" i="6"/>
  <c r="Q389" i="6"/>
  <c r="R389" i="6"/>
  <c r="S389" i="6"/>
  <c r="T389" i="6"/>
  <c r="C390" i="6"/>
  <c r="D390" i="6"/>
  <c r="E390" i="6"/>
  <c r="F390" i="6"/>
  <c r="H390" i="6"/>
  <c r="I390" i="6"/>
  <c r="L390" i="6"/>
  <c r="N390" i="6"/>
  <c r="Q390" i="6"/>
  <c r="R390" i="6"/>
  <c r="S390" i="6"/>
  <c r="T390" i="6"/>
  <c r="C391" i="6"/>
  <c r="D391" i="6"/>
  <c r="E391" i="6"/>
  <c r="F391" i="6"/>
  <c r="H391" i="6"/>
  <c r="I391" i="6"/>
  <c r="L391" i="6"/>
  <c r="N391" i="6"/>
  <c r="Q391" i="6"/>
  <c r="R391" i="6"/>
  <c r="S391" i="6"/>
  <c r="T391" i="6"/>
  <c r="C392" i="6"/>
  <c r="D392" i="6"/>
  <c r="E392" i="6"/>
  <c r="F392" i="6"/>
  <c r="H392" i="6"/>
  <c r="I392" i="6"/>
  <c r="L392" i="6"/>
  <c r="N392" i="6"/>
  <c r="Q392" i="6"/>
  <c r="R392" i="6"/>
  <c r="S392" i="6"/>
  <c r="T392" i="6"/>
  <c r="C393" i="6"/>
  <c r="D393" i="6"/>
  <c r="E393" i="6"/>
  <c r="F393" i="6"/>
  <c r="H393" i="6"/>
  <c r="I393" i="6"/>
  <c r="L393" i="6"/>
  <c r="N393" i="6"/>
  <c r="Q393" i="6"/>
  <c r="R393" i="6"/>
  <c r="S393" i="6"/>
  <c r="T393" i="6"/>
  <c r="C394" i="6"/>
  <c r="D394" i="6"/>
  <c r="E394" i="6"/>
  <c r="F394" i="6"/>
  <c r="H394" i="6"/>
  <c r="I394" i="6"/>
  <c r="L394" i="6"/>
  <c r="N394" i="6"/>
  <c r="Q394" i="6"/>
  <c r="R394" i="6"/>
  <c r="S394" i="6"/>
  <c r="T394" i="6"/>
  <c r="C395" i="6"/>
  <c r="D395" i="6"/>
  <c r="E395" i="6"/>
  <c r="F395" i="6"/>
  <c r="H395" i="6"/>
  <c r="I395" i="6"/>
  <c r="L395" i="6"/>
  <c r="N395" i="6"/>
  <c r="Q395" i="6"/>
  <c r="R395" i="6"/>
  <c r="S395" i="6"/>
  <c r="T395" i="6"/>
  <c r="C396" i="6"/>
  <c r="D396" i="6"/>
  <c r="E396" i="6"/>
  <c r="F396" i="6"/>
  <c r="H396" i="6"/>
  <c r="I396" i="6"/>
  <c r="L396" i="6"/>
  <c r="N396" i="6"/>
  <c r="Q396" i="6"/>
  <c r="R396" i="6"/>
  <c r="S396" i="6"/>
  <c r="T396" i="6"/>
  <c r="C397" i="6"/>
  <c r="D397" i="6"/>
  <c r="E397" i="6"/>
  <c r="F397" i="6"/>
  <c r="H397" i="6"/>
  <c r="I397" i="6"/>
  <c r="L397" i="6"/>
  <c r="N397" i="6"/>
  <c r="Q397" i="6"/>
  <c r="R397" i="6"/>
  <c r="S397" i="6"/>
  <c r="T397" i="6"/>
  <c r="C398" i="6"/>
  <c r="D398" i="6"/>
  <c r="E398" i="6"/>
  <c r="F398" i="6"/>
  <c r="H398" i="6"/>
  <c r="I398" i="6"/>
  <c r="L398" i="6"/>
  <c r="N398" i="6"/>
  <c r="Q398" i="6"/>
  <c r="R398" i="6"/>
  <c r="S398" i="6"/>
  <c r="T398" i="6"/>
  <c r="C399" i="6"/>
  <c r="D399" i="6"/>
  <c r="E399" i="6"/>
  <c r="F399" i="6"/>
  <c r="H399" i="6"/>
  <c r="I399" i="6"/>
  <c r="L399" i="6"/>
  <c r="N399" i="6"/>
  <c r="Q399" i="6"/>
  <c r="R399" i="6"/>
  <c r="S399" i="6"/>
  <c r="T399" i="6"/>
  <c r="C400" i="6"/>
  <c r="D400" i="6"/>
  <c r="E400" i="6"/>
  <c r="F400" i="6"/>
  <c r="H400" i="6"/>
  <c r="I400" i="6"/>
  <c r="L400" i="6"/>
  <c r="N400" i="6"/>
  <c r="Q400" i="6"/>
  <c r="R400" i="6"/>
  <c r="S400" i="6"/>
  <c r="T400" i="6"/>
  <c r="C401" i="6"/>
  <c r="D401" i="6"/>
  <c r="E401" i="6"/>
  <c r="F401" i="6"/>
  <c r="H401" i="6"/>
  <c r="I401" i="6"/>
  <c r="L401" i="6"/>
  <c r="N401" i="6"/>
  <c r="Q401" i="6"/>
  <c r="R401" i="6"/>
  <c r="S401" i="6"/>
  <c r="T401" i="6"/>
  <c r="C402" i="6"/>
  <c r="D402" i="6"/>
  <c r="E402" i="6"/>
  <c r="F402" i="6"/>
  <c r="H402" i="6"/>
  <c r="I402" i="6"/>
  <c r="L402" i="6"/>
  <c r="N402" i="6"/>
  <c r="Q402" i="6"/>
  <c r="R402" i="6"/>
  <c r="S402" i="6"/>
  <c r="T402" i="6"/>
  <c r="C403" i="6"/>
  <c r="D403" i="6"/>
  <c r="E403" i="6"/>
  <c r="F403" i="6"/>
  <c r="H403" i="6"/>
  <c r="I403" i="6"/>
  <c r="L403" i="6"/>
  <c r="N403" i="6"/>
  <c r="Q403" i="6"/>
  <c r="R403" i="6"/>
  <c r="S403" i="6"/>
  <c r="T403" i="6"/>
  <c r="C404" i="6"/>
  <c r="D404" i="6"/>
  <c r="E404" i="6"/>
  <c r="F404" i="6"/>
  <c r="H404" i="6"/>
  <c r="I404" i="6"/>
  <c r="L404" i="6"/>
  <c r="N404" i="6"/>
  <c r="Q404" i="6"/>
  <c r="R404" i="6"/>
  <c r="S404" i="6"/>
  <c r="T404" i="6"/>
  <c r="C405" i="6"/>
  <c r="D405" i="6"/>
  <c r="E405" i="6"/>
  <c r="F405" i="6"/>
  <c r="H405" i="6"/>
  <c r="I405" i="6"/>
  <c r="L405" i="6"/>
  <c r="N405" i="6"/>
  <c r="Q405" i="6"/>
  <c r="R405" i="6"/>
  <c r="S405" i="6"/>
  <c r="T405" i="6"/>
  <c r="C406" i="6"/>
  <c r="D406" i="6"/>
  <c r="E406" i="6"/>
  <c r="F406" i="6"/>
  <c r="H406" i="6"/>
  <c r="I406" i="6"/>
  <c r="L406" i="6"/>
  <c r="N406" i="6"/>
  <c r="Q406" i="6"/>
  <c r="R406" i="6"/>
  <c r="S406" i="6"/>
  <c r="T406" i="6"/>
  <c r="C407" i="6"/>
  <c r="D407" i="6"/>
  <c r="E407" i="6"/>
  <c r="F407" i="6"/>
  <c r="H407" i="6"/>
  <c r="I407" i="6"/>
  <c r="L407" i="6"/>
  <c r="N407" i="6"/>
  <c r="Q407" i="6"/>
  <c r="R407" i="6"/>
  <c r="S407" i="6"/>
  <c r="T407" i="6"/>
  <c r="C408" i="6"/>
  <c r="D408" i="6"/>
  <c r="E408" i="6"/>
  <c r="F408" i="6"/>
  <c r="H408" i="6"/>
  <c r="I408" i="6"/>
  <c r="L408" i="6"/>
  <c r="N408" i="6"/>
  <c r="Q408" i="6"/>
  <c r="R408" i="6"/>
  <c r="S408" i="6"/>
  <c r="T408" i="6"/>
  <c r="C409" i="6"/>
  <c r="D409" i="6"/>
  <c r="E409" i="6"/>
  <c r="F409" i="6"/>
  <c r="H409" i="6"/>
  <c r="I409" i="6"/>
  <c r="L409" i="6"/>
  <c r="N409" i="6"/>
  <c r="Q409" i="6"/>
  <c r="R409" i="6"/>
  <c r="S409" i="6"/>
  <c r="T409" i="6"/>
  <c r="C410" i="6"/>
  <c r="D410" i="6"/>
  <c r="E410" i="6"/>
  <c r="F410" i="6"/>
  <c r="H410" i="6"/>
  <c r="I410" i="6"/>
  <c r="L410" i="6"/>
  <c r="N410" i="6"/>
  <c r="Q410" i="6"/>
  <c r="R410" i="6"/>
  <c r="S410" i="6"/>
  <c r="T410" i="6"/>
  <c r="C411" i="6"/>
  <c r="D411" i="6"/>
  <c r="E411" i="6"/>
  <c r="F411" i="6"/>
  <c r="H411" i="6"/>
  <c r="I411" i="6"/>
  <c r="L411" i="6"/>
  <c r="N411" i="6"/>
  <c r="Q411" i="6"/>
  <c r="R411" i="6"/>
  <c r="S411" i="6"/>
  <c r="T411" i="6"/>
  <c r="C412" i="6"/>
  <c r="D412" i="6"/>
  <c r="E412" i="6"/>
  <c r="F412" i="6"/>
  <c r="H412" i="6"/>
  <c r="I412" i="6"/>
  <c r="L412" i="6"/>
  <c r="N412" i="6"/>
  <c r="Q412" i="6"/>
  <c r="R412" i="6"/>
  <c r="S412" i="6"/>
  <c r="T412" i="6"/>
  <c r="C413" i="6"/>
  <c r="D413" i="6"/>
  <c r="E413" i="6"/>
  <c r="F413" i="6"/>
  <c r="H413" i="6"/>
  <c r="I413" i="6"/>
  <c r="L413" i="6"/>
  <c r="N413" i="6"/>
  <c r="Q413" i="6"/>
  <c r="R413" i="6"/>
  <c r="S413" i="6"/>
  <c r="T413" i="6"/>
  <c r="C414" i="6"/>
  <c r="D414" i="6"/>
  <c r="E414" i="6"/>
  <c r="F414" i="6"/>
  <c r="H414" i="6"/>
  <c r="I414" i="6"/>
  <c r="L414" i="6"/>
  <c r="N414" i="6"/>
  <c r="Q414" i="6"/>
  <c r="R414" i="6"/>
  <c r="S414" i="6"/>
  <c r="T414" i="6"/>
  <c r="C415" i="6"/>
  <c r="D415" i="6"/>
  <c r="E415" i="6"/>
  <c r="F415" i="6"/>
  <c r="H415" i="6"/>
  <c r="I415" i="6"/>
  <c r="L415" i="6"/>
  <c r="N415" i="6"/>
  <c r="Q415" i="6"/>
  <c r="R415" i="6"/>
  <c r="S415" i="6"/>
  <c r="T415" i="6"/>
  <c r="C416" i="6"/>
  <c r="D416" i="6"/>
  <c r="E416" i="6"/>
  <c r="F416" i="6"/>
  <c r="H416" i="6"/>
  <c r="I416" i="6"/>
  <c r="L416" i="6"/>
  <c r="N416" i="6"/>
  <c r="Q416" i="6"/>
  <c r="R416" i="6"/>
  <c r="S416" i="6"/>
  <c r="T416" i="6"/>
  <c r="C417" i="6"/>
  <c r="D417" i="6"/>
  <c r="E417" i="6"/>
  <c r="F417" i="6"/>
  <c r="H417" i="6"/>
  <c r="I417" i="6"/>
  <c r="L417" i="6"/>
  <c r="N417" i="6"/>
  <c r="Q417" i="6"/>
  <c r="R417" i="6"/>
  <c r="S417" i="6"/>
  <c r="T417" i="6"/>
  <c r="C418" i="6"/>
  <c r="D418" i="6"/>
  <c r="E418" i="6"/>
  <c r="F418" i="6"/>
  <c r="H418" i="6"/>
  <c r="I418" i="6"/>
  <c r="L418" i="6"/>
  <c r="N418" i="6"/>
  <c r="Q418" i="6"/>
  <c r="R418" i="6"/>
  <c r="S418" i="6"/>
  <c r="T418" i="6"/>
  <c r="C419" i="6"/>
  <c r="D419" i="6"/>
  <c r="E419" i="6"/>
  <c r="F419" i="6"/>
  <c r="H419" i="6"/>
  <c r="I419" i="6"/>
  <c r="L419" i="6"/>
  <c r="N419" i="6"/>
  <c r="Q419" i="6"/>
  <c r="R419" i="6"/>
  <c r="S419" i="6"/>
  <c r="T419" i="6"/>
  <c r="C420" i="6"/>
  <c r="D420" i="6"/>
  <c r="E420" i="6"/>
  <c r="F420" i="6"/>
  <c r="H420" i="6"/>
  <c r="I420" i="6"/>
  <c r="L420" i="6"/>
  <c r="N420" i="6"/>
  <c r="Q420" i="6"/>
  <c r="R420" i="6"/>
  <c r="S420" i="6"/>
  <c r="T420" i="6"/>
  <c r="C421" i="6"/>
  <c r="D421" i="6"/>
  <c r="E421" i="6"/>
  <c r="F421" i="6"/>
  <c r="H421" i="6"/>
  <c r="I421" i="6"/>
  <c r="L421" i="6"/>
  <c r="N421" i="6"/>
  <c r="Q421" i="6"/>
  <c r="R421" i="6"/>
  <c r="S421" i="6"/>
  <c r="T421" i="6"/>
  <c r="C422" i="6"/>
  <c r="D422" i="6"/>
  <c r="E422" i="6"/>
  <c r="F422" i="6"/>
  <c r="H422" i="6"/>
  <c r="I422" i="6"/>
  <c r="L422" i="6"/>
  <c r="N422" i="6"/>
  <c r="Q422" i="6"/>
  <c r="R422" i="6"/>
  <c r="S422" i="6"/>
  <c r="T422" i="6"/>
  <c r="C423" i="6"/>
  <c r="D423" i="6"/>
  <c r="E423" i="6"/>
  <c r="F423" i="6"/>
  <c r="H423" i="6"/>
  <c r="I423" i="6"/>
  <c r="L423" i="6"/>
  <c r="N423" i="6"/>
  <c r="Q423" i="6"/>
  <c r="R423" i="6"/>
  <c r="S423" i="6"/>
  <c r="T423" i="6"/>
  <c r="C424" i="6"/>
  <c r="D424" i="6"/>
  <c r="E424" i="6"/>
  <c r="F424" i="6"/>
  <c r="H424" i="6"/>
  <c r="I424" i="6"/>
  <c r="L424" i="6"/>
  <c r="N424" i="6"/>
  <c r="Q424" i="6"/>
  <c r="R424" i="6"/>
  <c r="S424" i="6"/>
  <c r="T424" i="6"/>
  <c r="C425" i="6"/>
  <c r="D425" i="6"/>
  <c r="E425" i="6"/>
  <c r="F425" i="6"/>
  <c r="H425" i="6"/>
  <c r="I425" i="6"/>
  <c r="L425" i="6"/>
  <c r="N425" i="6"/>
  <c r="Q425" i="6"/>
  <c r="R425" i="6"/>
  <c r="S425" i="6"/>
  <c r="T425" i="6"/>
  <c r="C426" i="6"/>
  <c r="D426" i="6"/>
  <c r="E426" i="6"/>
  <c r="F426" i="6"/>
  <c r="H426" i="6"/>
  <c r="I426" i="6"/>
  <c r="L426" i="6"/>
  <c r="N426" i="6"/>
  <c r="Q426" i="6"/>
  <c r="R426" i="6"/>
  <c r="S426" i="6"/>
  <c r="T426" i="6"/>
  <c r="C427" i="6"/>
  <c r="D427" i="6"/>
  <c r="E427" i="6"/>
  <c r="F427" i="6"/>
  <c r="H427" i="6"/>
  <c r="I427" i="6"/>
  <c r="L427" i="6"/>
  <c r="N427" i="6"/>
  <c r="Q427" i="6"/>
  <c r="R427" i="6"/>
  <c r="S427" i="6"/>
  <c r="T427" i="6"/>
  <c r="C428" i="6"/>
  <c r="D428" i="6"/>
  <c r="E428" i="6"/>
  <c r="F428" i="6"/>
  <c r="H428" i="6"/>
  <c r="I428" i="6"/>
  <c r="L428" i="6"/>
  <c r="N428" i="6"/>
  <c r="Q428" i="6"/>
  <c r="R428" i="6"/>
  <c r="S428" i="6"/>
  <c r="T428" i="6"/>
  <c r="C429" i="6"/>
  <c r="D429" i="6"/>
  <c r="E429" i="6"/>
  <c r="F429" i="6"/>
  <c r="H429" i="6"/>
  <c r="I429" i="6"/>
  <c r="L429" i="6"/>
  <c r="N429" i="6"/>
  <c r="Q429" i="6"/>
  <c r="R429" i="6"/>
  <c r="S429" i="6"/>
  <c r="T429" i="6"/>
  <c r="C430" i="6"/>
  <c r="D430" i="6"/>
  <c r="E430" i="6"/>
  <c r="F430" i="6"/>
  <c r="H430" i="6"/>
  <c r="I430" i="6"/>
  <c r="L430" i="6"/>
  <c r="N430" i="6"/>
  <c r="Q430" i="6"/>
  <c r="R430" i="6"/>
  <c r="S430" i="6"/>
  <c r="T430" i="6"/>
  <c r="C431" i="6"/>
  <c r="D431" i="6"/>
  <c r="E431" i="6"/>
  <c r="F431" i="6"/>
  <c r="H431" i="6"/>
  <c r="I431" i="6"/>
  <c r="L431" i="6"/>
  <c r="N431" i="6"/>
  <c r="Q431" i="6"/>
  <c r="R431" i="6"/>
  <c r="S431" i="6"/>
  <c r="T431" i="6"/>
  <c r="C432" i="6"/>
  <c r="D432" i="6"/>
  <c r="E432" i="6"/>
  <c r="F432" i="6"/>
  <c r="H432" i="6"/>
  <c r="I432" i="6"/>
  <c r="L432" i="6"/>
  <c r="N432" i="6"/>
  <c r="Q432" i="6"/>
  <c r="R432" i="6"/>
  <c r="S432" i="6"/>
  <c r="T432" i="6"/>
  <c r="C433" i="6"/>
  <c r="D433" i="6"/>
  <c r="E433" i="6"/>
  <c r="F433" i="6"/>
  <c r="H433" i="6"/>
  <c r="I433" i="6"/>
  <c r="L433" i="6"/>
  <c r="N433" i="6"/>
  <c r="Q433" i="6"/>
  <c r="R433" i="6"/>
  <c r="S433" i="6"/>
  <c r="T433" i="6"/>
  <c r="C434" i="6"/>
  <c r="D434" i="6"/>
  <c r="E434" i="6"/>
  <c r="F434" i="6"/>
  <c r="H434" i="6"/>
  <c r="I434" i="6"/>
  <c r="L434" i="6"/>
  <c r="N434" i="6"/>
  <c r="Q434" i="6"/>
  <c r="R434" i="6"/>
  <c r="S434" i="6"/>
  <c r="T434" i="6"/>
  <c r="C435" i="6"/>
  <c r="D435" i="6"/>
  <c r="E435" i="6"/>
  <c r="F435" i="6"/>
  <c r="H435" i="6"/>
  <c r="I435" i="6"/>
  <c r="L435" i="6"/>
  <c r="N435" i="6"/>
  <c r="Q435" i="6"/>
  <c r="R435" i="6"/>
  <c r="S435" i="6"/>
  <c r="T435" i="6"/>
  <c r="C436" i="6"/>
  <c r="D436" i="6"/>
  <c r="E436" i="6"/>
  <c r="F436" i="6"/>
  <c r="H436" i="6"/>
  <c r="I436" i="6"/>
  <c r="L436" i="6"/>
  <c r="N436" i="6"/>
  <c r="Q436" i="6"/>
  <c r="R436" i="6"/>
  <c r="S436" i="6"/>
  <c r="T436" i="6"/>
  <c r="C437" i="6"/>
  <c r="D437" i="6"/>
  <c r="E437" i="6"/>
  <c r="F437" i="6"/>
  <c r="H437" i="6"/>
  <c r="I437" i="6"/>
  <c r="L437" i="6"/>
  <c r="N437" i="6"/>
  <c r="Q437" i="6"/>
  <c r="R437" i="6"/>
  <c r="S437" i="6"/>
  <c r="T437" i="6"/>
  <c r="C438" i="6"/>
  <c r="D438" i="6"/>
  <c r="E438" i="6"/>
  <c r="F438" i="6"/>
  <c r="H438" i="6"/>
  <c r="I438" i="6"/>
  <c r="L438" i="6"/>
  <c r="N438" i="6"/>
  <c r="Q438" i="6"/>
  <c r="R438" i="6"/>
  <c r="S438" i="6"/>
  <c r="T438" i="6"/>
  <c r="C439" i="6"/>
  <c r="D439" i="6"/>
  <c r="E439" i="6"/>
  <c r="F439" i="6"/>
  <c r="H439" i="6"/>
  <c r="I439" i="6"/>
  <c r="L439" i="6"/>
  <c r="N439" i="6"/>
  <c r="Q439" i="6"/>
  <c r="R439" i="6"/>
  <c r="S439" i="6"/>
  <c r="T439" i="6"/>
  <c r="C440" i="6"/>
  <c r="D440" i="6"/>
  <c r="E440" i="6"/>
  <c r="F440" i="6"/>
  <c r="H440" i="6"/>
  <c r="I440" i="6"/>
  <c r="L440" i="6"/>
  <c r="N440" i="6"/>
  <c r="Q440" i="6"/>
  <c r="R440" i="6"/>
  <c r="S440" i="6"/>
  <c r="T440" i="6"/>
  <c r="C441" i="6"/>
  <c r="D441" i="6"/>
  <c r="E441" i="6"/>
  <c r="F441" i="6"/>
  <c r="H441" i="6"/>
  <c r="I441" i="6"/>
  <c r="L441" i="6"/>
  <c r="N441" i="6"/>
  <c r="Q441" i="6"/>
  <c r="R441" i="6"/>
  <c r="S441" i="6"/>
  <c r="T441" i="6"/>
  <c r="C442" i="6"/>
  <c r="D442" i="6"/>
  <c r="E442" i="6"/>
  <c r="F442" i="6"/>
  <c r="H442" i="6"/>
  <c r="I442" i="6"/>
  <c r="L442" i="6"/>
  <c r="N442" i="6"/>
  <c r="Q442" i="6"/>
  <c r="R442" i="6"/>
  <c r="S442" i="6"/>
  <c r="T442" i="6"/>
  <c r="C443" i="6"/>
  <c r="D443" i="6"/>
  <c r="E443" i="6"/>
  <c r="F443" i="6"/>
  <c r="H443" i="6"/>
  <c r="I443" i="6"/>
  <c r="L443" i="6"/>
  <c r="N443" i="6"/>
  <c r="Q443" i="6"/>
  <c r="R443" i="6"/>
  <c r="S443" i="6"/>
  <c r="T443" i="6"/>
  <c r="C444" i="6"/>
  <c r="D444" i="6"/>
  <c r="E444" i="6"/>
  <c r="F444" i="6"/>
  <c r="H444" i="6"/>
  <c r="I444" i="6"/>
  <c r="L444" i="6"/>
  <c r="N444" i="6"/>
  <c r="Q444" i="6"/>
  <c r="R444" i="6"/>
  <c r="S444" i="6"/>
  <c r="T444" i="6"/>
  <c r="C445" i="6"/>
  <c r="D445" i="6"/>
  <c r="E445" i="6"/>
  <c r="F445" i="6"/>
  <c r="H445" i="6"/>
  <c r="I445" i="6"/>
  <c r="L445" i="6"/>
  <c r="N445" i="6"/>
  <c r="Q445" i="6"/>
  <c r="R445" i="6"/>
  <c r="S445" i="6"/>
  <c r="T445" i="6"/>
  <c r="C446" i="6"/>
  <c r="D446" i="6"/>
  <c r="E446" i="6"/>
  <c r="F446" i="6"/>
  <c r="H446" i="6"/>
  <c r="I446" i="6"/>
  <c r="L446" i="6"/>
  <c r="N446" i="6"/>
  <c r="Q446" i="6"/>
  <c r="R446" i="6"/>
  <c r="S446" i="6"/>
  <c r="T446" i="6"/>
  <c r="C447" i="6"/>
  <c r="D447" i="6"/>
  <c r="E447" i="6"/>
  <c r="F447" i="6"/>
  <c r="H447" i="6"/>
  <c r="I447" i="6"/>
  <c r="L447" i="6"/>
  <c r="N447" i="6"/>
  <c r="Q447" i="6"/>
  <c r="R447" i="6"/>
  <c r="S447" i="6"/>
  <c r="T447" i="6"/>
  <c r="C448" i="6"/>
  <c r="D448" i="6"/>
  <c r="E448" i="6"/>
  <c r="F448" i="6"/>
  <c r="H448" i="6"/>
  <c r="I448" i="6"/>
  <c r="L448" i="6"/>
  <c r="N448" i="6"/>
  <c r="Q448" i="6"/>
  <c r="R448" i="6"/>
  <c r="S448" i="6"/>
  <c r="T448" i="6"/>
  <c r="C449" i="6"/>
  <c r="D449" i="6"/>
  <c r="E449" i="6"/>
  <c r="F449" i="6"/>
  <c r="H449" i="6"/>
  <c r="I449" i="6"/>
  <c r="L449" i="6"/>
  <c r="N449" i="6"/>
  <c r="Q449" i="6"/>
  <c r="R449" i="6"/>
  <c r="S449" i="6"/>
  <c r="T449" i="6"/>
  <c r="C450" i="6"/>
  <c r="D450" i="6"/>
  <c r="E450" i="6"/>
  <c r="F450" i="6"/>
  <c r="H450" i="6"/>
  <c r="I450" i="6"/>
  <c r="L450" i="6"/>
  <c r="N450" i="6"/>
  <c r="Q450" i="6"/>
  <c r="R450" i="6"/>
  <c r="S450" i="6"/>
  <c r="T450" i="6"/>
  <c r="C451" i="6"/>
  <c r="D451" i="6"/>
  <c r="E451" i="6"/>
  <c r="F451" i="6"/>
  <c r="H451" i="6"/>
  <c r="I451" i="6"/>
  <c r="L451" i="6"/>
  <c r="N451" i="6"/>
  <c r="Q451" i="6"/>
  <c r="R451" i="6"/>
  <c r="S451" i="6"/>
  <c r="T451" i="6"/>
  <c r="C452" i="6"/>
  <c r="D452" i="6"/>
  <c r="E452" i="6"/>
  <c r="F452" i="6"/>
  <c r="H452" i="6"/>
  <c r="I452" i="6"/>
  <c r="L452" i="6"/>
  <c r="N452" i="6"/>
  <c r="Q452" i="6"/>
  <c r="R452" i="6"/>
  <c r="S452" i="6"/>
  <c r="T452" i="6"/>
  <c r="C453" i="6"/>
  <c r="D453" i="6"/>
  <c r="E453" i="6"/>
  <c r="F453" i="6"/>
  <c r="H453" i="6"/>
  <c r="I453" i="6"/>
  <c r="L453" i="6"/>
  <c r="N453" i="6"/>
  <c r="Q453" i="6"/>
  <c r="R453" i="6"/>
  <c r="S453" i="6"/>
  <c r="T453" i="6"/>
  <c r="C454" i="6"/>
  <c r="D454" i="6"/>
  <c r="E454" i="6"/>
  <c r="F454" i="6"/>
  <c r="H454" i="6"/>
  <c r="I454" i="6"/>
  <c r="L454" i="6"/>
  <c r="N454" i="6"/>
  <c r="Q454" i="6"/>
  <c r="R454" i="6"/>
  <c r="S454" i="6"/>
  <c r="T454" i="6"/>
  <c r="C455" i="6"/>
  <c r="D455" i="6"/>
  <c r="E455" i="6"/>
  <c r="F455" i="6"/>
  <c r="H455" i="6"/>
  <c r="I455" i="6"/>
  <c r="L455" i="6"/>
  <c r="N455" i="6"/>
  <c r="Q455" i="6"/>
  <c r="R455" i="6"/>
  <c r="S455" i="6"/>
  <c r="T455" i="6"/>
  <c r="C456" i="6"/>
  <c r="D456" i="6"/>
  <c r="E456" i="6"/>
  <c r="F456" i="6"/>
  <c r="H456" i="6"/>
  <c r="I456" i="6"/>
  <c r="L456" i="6"/>
  <c r="N456" i="6"/>
  <c r="Q456" i="6"/>
  <c r="R456" i="6"/>
  <c r="S456" i="6"/>
  <c r="T456" i="6"/>
  <c r="C457" i="6"/>
  <c r="D457" i="6"/>
  <c r="E457" i="6"/>
  <c r="F457" i="6"/>
  <c r="H457" i="6"/>
  <c r="I457" i="6"/>
  <c r="L457" i="6"/>
  <c r="N457" i="6"/>
  <c r="Q457" i="6"/>
  <c r="R457" i="6"/>
  <c r="S457" i="6"/>
  <c r="T457" i="6"/>
  <c r="C458" i="6"/>
  <c r="D458" i="6"/>
  <c r="E458" i="6"/>
  <c r="F458" i="6"/>
  <c r="H458" i="6"/>
  <c r="I458" i="6"/>
  <c r="L458" i="6"/>
  <c r="N458" i="6"/>
  <c r="Q458" i="6"/>
  <c r="R458" i="6"/>
  <c r="S458" i="6"/>
  <c r="T458" i="6"/>
  <c r="C459" i="6"/>
  <c r="D459" i="6"/>
  <c r="E459" i="6"/>
  <c r="F459" i="6"/>
  <c r="H459" i="6"/>
  <c r="I459" i="6"/>
  <c r="L459" i="6"/>
  <c r="N459" i="6"/>
  <c r="Q459" i="6"/>
  <c r="R459" i="6"/>
  <c r="S459" i="6"/>
  <c r="T459" i="6"/>
  <c r="C460" i="6"/>
  <c r="D460" i="6"/>
  <c r="E460" i="6"/>
  <c r="F460" i="6"/>
  <c r="H460" i="6"/>
  <c r="I460" i="6"/>
  <c r="L460" i="6"/>
  <c r="N460" i="6"/>
  <c r="Q460" i="6"/>
  <c r="R460" i="6"/>
  <c r="S460" i="6"/>
  <c r="T460" i="6"/>
  <c r="C461" i="6"/>
  <c r="D461" i="6"/>
  <c r="E461" i="6"/>
  <c r="F461" i="6"/>
  <c r="H461" i="6"/>
  <c r="I461" i="6"/>
  <c r="L461" i="6"/>
  <c r="N461" i="6"/>
  <c r="Q461" i="6"/>
  <c r="R461" i="6"/>
  <c r="S461" i="6"/>
  <c r="T461" i="6"/>
  <c r="C462" i="6"/>
  <c r="D462" i="6"/>
  <c r="E462" i="6"/>
  <c r="F462" i="6"/>
  <c r="H462" i="6"/>
  <c r="I462" i="6"/>
  <c r="L462" i="6"/>
  <c r="N462" i="6"/>
  <c r="Q462" i="6"/>
  <c r="R462" i="6"/>
  <c r="S462" i="6"/>
  <c r="T462" i="6"/>
  <c r="C463" i="6"/>
  <c r="D463" i="6"/>
  <c r="E463" i="6"/>
  <c r="F463" i="6"/>
  <c r="H463" i="6"/>
  <c r="I463" i="6"/>
  <c r="L463" i="6"/>
  <c r="N463" i="6"/>
  <c r="Q463" i="6"/>
  <c r="R463" i="6"/>
  <c r="S463" i="6"/>
  <c r="T463" i="6"/>
  <c r="C464" i="6"/>
  <c r="D464" i="6"/>
  <c r="E464" i="6"/>
  <c r="F464" i="6"/>
  <c r="H464" i="6"/>
  <c r="I464" i="6"/>
  <c r="L464" i="6"/>
  <c r="N464" i="6"/>
  <c r="Q464" i="6"/>
  <c r="R464" i="6"/>
  <c r="S464" i="6"/>
  <c r="T464" i="6"/>
  <c r="C465" i="6"/>
  <c r="D465" i="6"/>
  <c r="E465" i="6"/>
  <c r="F465" i="6"/>
  <c r="H465" i="6"/>
  <c r="I465" i="6"/>
  <c r="L465" i="6"/>
  <c r="N465" i="6"/>
  <c r="Q465" i="6"/>
  <c r="R465" i="6"/>
  <c r="S465" i="6"/>
  <c r="T465" i="6"/>
  <c r="C466" i="6"/>
  <c r="D466" i="6"/>
  <c r="E466" i="6"/>
  <c r="F466" i="6"/>
  <c r="H466" i="6"/>
  <c r="I466" i="6"/>
  <c r="L466" i="6"/>
  <c r="N466" i="6"/>
  <c r="Q466" i="6"/>
  <c r="R466" i="6"/>
  <c r="S466" i="6"/>
  <c r="T466" i="6"/>
  <c r="C467" i="6"/>
  <c r="D467" i="6"/>
  <c r="E467" i="6"/>
  <c r="F467" i="6"/>
  <c r="H467" i="6"/>
  <c r="I467" i="6"/>
  <c r="L467" i="6"/>
  <c r="N467" i="6"/>
  <c r="Q467" i="6"/>
  <c r="R467" i="6"/>
  <c r="S467" i="6"/>
  <c r="T467" i="6"/>
  <c r="C468" i="6"/>
  <c r="D468" i="6"/>
  <c r="E468" i="6"/>
  <c r="F468" i="6"/>
  <c r="H468" i="6"/>
  <c r="I468" i="6"/>
  <c r="L468" i="6"/>
  <c r="N468" i="6"/>
  <c r="Q468" i="6"/>
  <c r="R468" i="6"/>
  <c r="S468" i="6"/>
  <c r="T468" i="6"/>
  <c r="C469" i="6"/>
  <c r="D469" i="6"/>
  <c r="E469" i="6"/>
  <c r="F469" i="6"/>
  <c r="H469" i="6"/>
  <c r="I469" i="6"/>
  <c r="L469" i="6"/>
  <c r="N469" i="6"/>
  <c r="Q469" i="6"/>
  <c r="R469" i="6"/>
  <c r="S469" i="6"/>
  <c r="T469" i="6"/>
  <c r="C470" i="6"/>
  <c r="D470" i="6"/>
  <c r="E470" i="6"/>
  <c r="F470" i="6"/>
  <c r="H470" i="6"/>
  <c r="I470" i="6"/>
  <c r="L470" i="6"/>
  <c r="N470" i="6"/>
  <c r="Q470" i="6"/>
  <c r="R470" i="6"/>
  <c r="S470" i="6"/>
  <c r="T470" i="6"/>
  <c r="C471" i="6"/>
  <c r="D471" i="6"/>
  <c r="E471" i="6"/>
  <c r="F471" i="6"/>
  <c r="H471" i="6"/>
  <c r="I471" i="6"/>
  <c r="L471" i="6"/>
  <c r="N471" i="6"/>
  <c r="Q471" i="6"/>
  <c r="R471" i="6"/>
  <c r="S471" i="6"/>
  <c r="T471" i="6"/>
  <c r="C472" i="6"/>
  <c r="D472" i="6"/>
  <c r="E472" i="6"/>
  <c r="F472" i="6"/>
  <c r="H472" i="6"/>
  <c r="I472" i="6"/>
  <c r="L472" i="6"/>
  <c r="N472" i="6"/>
  <c r="Q472" i="6"/>
  <c r="R472" i="6"/>
  <c r="S472" i="6"/>
  <c r="T472" i="6"/>
  <c r="C473" i="6"/>
  <c r="D473" i="6"/>
  <c r="E473" i="6"/>
  <c r="F473" i="6"/>
  <c r="H473" i="6"/>
  <c r="I473" i="6"/>
  <c r="L473" i="6"/>
  <c r="N473" i="6"/>
  <c r="Q473" i="6"/>
  <c r="R473" i="6"/>
  <c r="S473" i="6"/>
  <c r="T473" i="6"/>
  <c r="C474" i="6"/>
  <c r="D474" i="6"/>
  <c r="E474" i="6"/>
  <c r="F474" i="6"/>
  <c r="H474" i="6"/>
  <c r="I474" i="6"/>
  <c r="L474" i="6"/>
  <c r="N474" i="6"/>
  <c r="Q474" i="6"/>
  <c r="R474" i="6"/>
  <c r="S474" i="6"/>
  <c r="T474" i="6"/>
  <c r="C475" i="6"/>
  <c r="D475" i="6"/>
  <c r="E475" i="6"/>
  <c r="F475" i="6"/>
  <c r="H475" i="6"/>
  <c r="I475" i="6"/>
  <c r="L475" i="6"/>
  <c r="N475" i="6"/>
  <c r="Q475" i="6"/>
  <c r="R475" i="6"/>
  <c r="S475" i="6"/>
  <c r="T475" i="6"/>
  <c r="C476" i="6"/>
  <c r="D476" i="6"/>
  <c r="E476" i="6"/>
  <c r="F476" i="6"/>
  <c r="H476" i="6"/>
  <c r="I476" i="6"/>
  <c r="L476" i="6"/>
  <c r="N476" i="6"/>
  <c r="Q476" i="6"/>
  <c r="R476" i="6"/>
  <c r="S476" i="6"/>
  <c r="T476" i="6"/>
  <c r="C477" i="6"/>
  <c r="D477" i="6"/>
  <c r="E477" i="6"/>
  <c r="F477" i="6"/>
  <c r="H477" i="6"/>
  <c r="I477" i="6"/>
  <c r="L477" i="6"/>
  <c r="N477" i="6"/>
  <c r="Q477" i="6"/>
  <c r="R477" i="6"/>
  <c r="S477" i="6"/>
  <c r="T477" i="6"/>
  <c r="C478" i="6"/>
  <c r="D478" i="6"/>
  <c r="E478" i="6"/>
  <c r="F478" i="6"/>
  <c r="H478" i="6"/>
  <c r="I478" i="6"/>
  <c r="L478" i="6"/>
  <c r="N478" i="6"/>
  <c r="Q478" i="6"/>
  <c r="R478" i="6"/>
  <c r="S478" i="6"/>
  <c r="T478" i="6"/>
  <c r="C479" i="6"/>
  <c r="D479" i="6"/>
  <c r="E479" i="6"/>
  <c r="F479" i="6"/>
  <c r="H479" i="6"/>
  <c r="I479" i="6"/>
  <c r="L479" i="6"/>
  <c r="N479" i="6"/>
  <c r="Q479" i="6"/>
  <c r="R479" i="6"/>
  <c r="S479" i="6"/>
  <c r="T479" i="6"/>
  <c r="C480" i="6"/>
  <c r="D480" i="6"/>
  <c r="E480" i="6"/>
  <c r="F480" i="6"/>
  <c r="H480" i="6"/>
  <c r="I480" i="6"/>
  <c r="L480" i="6"/>
  <c r="N480" i="6"/>
  <c r="Q480" i="6"/>
  <c r="R480" i="6"/>
  <c r="S480" i="6"/>
  <c r="T480" i="6"/>
  <c r="C481" i="6"/>
  <c r="D481" i="6"/>
  <c r="E481" i="6"/>
  <c r="F481" i="6"/>
  <c r="H481" i="6"/>
  <c r="I481" i="6"/>
  <c r="L481" i="6"/>
  <c r="N481" i="6"/>
  <c r="Q481" i="6"/>
  <c r="R481" i="6"/>
  <c r="S481" i="6"/>
  <c r="T481" i="6"/>
  <c r="C482" i="6"/>
  <c r="D482" i="6"/>
  <c r="E482" i="6"/>
  <c r="F482" i="6"/>
  <c r="H482" i="6"/>
  <c r="I482" i="6"/>
  <c r="L482" i="6"/>
  <c r="N482" i="6"/>
  <c r="Q482" i="6"/>
  <c r="R482" i="6"/>
  <c r="S482" i="6"/>
  <c r="T482" i="6"/>
  <c r="C483" i="6"/>
  <c r="D483" i="6"/>
  <c r="E483" i="6"/>
  <c r="F483" i="6"/>
  <c r="H483" i="6"/>
  <c r="I483" i="6"/>
  <c r="L483" i="6"/>
  <c r="N483" i="6"/>
  <c r="Q483" i="6"/>
  <c r="R483" i="6"/>
  <c r="S483" i="6"/>
  <c r="T483" i="6"/>
  <c r="C484" i="6"/>
  <c r="D484" i="6"/>
  <c r="E484" i="6"/>
  <c r="F484" i="6"/>
  <c r="H484" i="6"/>
  <c r="I484" i="6"/>
  <c r="L484" i="6"/>
  <c r="N484" i="6"/>
  <c r="Q484" i="6"/>
  <c r="R484" i="6"/>
  <c r="S484" i="6"/>
  <c r="T484" i="6"/>
  <c r="C485" i="6"/>
  <c r="D485" i="6"/>
  <c r="E485" i="6"/>
  <c r="F485" i="6"/>
  <c r="H485" i="6"/>
  <c r="I485" i="6"/>
  <c r="L485" i="6"/>
  <c r="N485" i="6"/>
  <c r="Q485" i="6"/>
  <c r="R485" i="6"/>
  <c r="S485" i="6"/>
  <c r="T485" i="6"/>
  <c r="C486" i="6"/>
  <c r="D486" i="6"/>
  <c r="E486" i="6"/>
  <c r="F486" i="6"/>
  <c r="H486" i="6"/>
  <c r="I486" i="6"/>
  <c r="L486" i="6"/>
  <c r="N486" i="6"/>
  <c r="Q486" i="6"/>
  <c r="R486" i="6"/>
  <c r="S486" i="6"/>
  <c r="T486" i="6"/>
  <c r="C487" i="6"/>
  <c r="D487" i="6"/>
  <c r="E487" i="6"/>
  <c r="F487" i="6"/>
  <c r="H487" i="6"/>
  <c r="I487" i="6"/>
  <c r="L487" i="6"/>
  <c r="N487" i="6"/>
  <c r="Q487" i="6"/>
  <c r="R487" i="6"/>
  <c r="S487" i="6"/>
  <c r="T487" i="6"/>
  <c r="C488" i="6"/>
  <c r="D488" i="6"/>
  <c r="E488" i="6"/>
  <c r="F488" i="6"/>
  <c r="H488" i="6"/>
  <c r="I488" i="6"/>
  <c r="L488" i="6"/>
  <c r="N488" i="6"/>
  <c r="Q488" i="6"/>
  <c r="R488" i="6"/>
  <c r="S488" i="6"/>
  <c r="T488" i="6"/>
  <c r="C489" i="6"/>
  <c r="D489" i="6"/>
  <c r="E489" i="6"/>
  <c r="F489" i="6"/>
  <c r="H489" i="6"/>
  <c r="I489" i="6"/>
  <c r="L489" i="6"/>
  <c r="N489" i="6"/>
  <c r="Q489" i="6"/>
  <c r="R489" i="6"/>
  <c r="S489" i="6"/>
  <c r="T489" i="6"/>
  <c r="C490" i="6"/>
  <c r="D490" i="6"/>
  <c r="E490" i="6"/>
  <c r="F490" i="6"/>
  <c r="H490" i="6"/>
  <c r="I490" i="6"/>
  <c r="L490" i="6"/>
  <c r="N490" i="6"/>
  <c r="Q490" i="6"/>
  <c r="R490" i="6"/>
  <c r="S490" i="6"/>
  <c r="T490" i="6"/>
  <c r="C491" i="6"/>
  <c r="D491" i="6"/>
  <c r="E491" i="6"/>
  <c r="F491" i="6"/>
  <c r="H491" i="6"/>
  <c r="I491" i="6"/>
  <c r="L491" i="6"/>
  <c r="N491" i="6"/>
  <c r="Q491" i="6"/>
  <c r="R491" i="6"/>
  <c r="S491" i="6"/>
  <c r="T491" i="6"/>
  <c r="C492" i="6"/>
  <c r="D492" i="6"/>
  <c r="E492" i="6"/>
  <c r="F492" i="6"/>
  <c r="H492" i="6"/>
  <c r="I492" i="6"/>
  <c r="L492" i="6"/>
  <c r="N492" i="6"/>
  <c r="Q492" i="6"/>
  <c r="R492" i="6"/>
  <c r="S492" i="6"/>
  <c r="T492" i="6"/>
  <c r="C493" i="6"/>
  <c r="D493" i="6"/>
  <c r="E493" i="6"/>
  <c r="F493" i="6"/>
  <c r="H493" i="6"/>
  <c r="I493" i="6"/>
  <c r="L493" i="6"/>
  <c r="N493" i="6"/>
  <c r="Q493" i="6"/>
  <c r="R493" i="6"/>
  <c r="S493" i="6"/>
  <c r="T493" i="6"/>
  <c r="C494" i="6"/>
  <c r="D494" i="6"/>
  <c r="E494" i="6"/>
  <c r="F494" i="6"/>
  <c r="H494" i="6"/>
  <c r="I494" i="6"/>
  <c r="L494" i="6"/>
  <c r="N494" i="6"/>
  <c r="Q494" i="6"/>
  <c r="R494" i="6"/>
  <c r="S494" i="6"/>
  <c r="T494" i="6"/>
  <c r="C495" i="6"/>
  <c r="D495" i="6"/>
  <c r="E495" i="6"/>
  <c r="F495" i="6"/>
  <c r="H495" i="6"/>
  <c r="I495" i="6"/>
  <c r="L495" i="6"/>
  <c r="N495" i="6"/>
  <c r="Q495" i="6"/>
  <c r="R495" i="6"/>
  <c r="S495" i="6"/>
  <c r="T495" i="6"/>
  <c r="C496" i="6"/>
  <c r="D496" i="6"/>
  <c r="E496" i="6"/>
  <c r="F496" i="6"/>
  <c r="H496" i="6"/>
  <c r="I496" i="6"/>
  <c r="L496" i="6"/>
  <c r="N496" i="6"/>
  <c r="Q496" i="6"/>
  <c r="R496" i="6"/>
  <c r="S496" i="6"/>
  <c r="T496" i="6"/>
  <c r="C497" i="6"/>
  <c r="D497" i="6"/>
  <c r="E497" i="6"/>
  <c r="F497" i="6"/>
  <c r="H497" i="6"/>
  <c r="I497" i="6"/>
  <c r="L497" i="6"/>
  <c r="N497" i="6"/>
  <c r="Q497" i="6"/>
  <c r="R497" i="6"/>
  <c r="S497" i="6"/>
  <c r="T497" i="6"/>
  <c r="C498" i="6"/>
  <c r="D498" i="6"/>
  <c r="E498" i="6"/>
  <c r="F498" i="6"/>
  <c r="H498" i="6"/>
  <c r="I498" i="6"/>
  <c r="L498" i="6"/>
  <c r="N498" i="6"/>
  <c r="Q498" i="6"/>
  <c r="R498" i="6"/>
  <c r="S498" i="6"/>
  <c r="T498" i="6"/>
  <c r="C499" i="6"/>
  <c r="D499" i="6"/>
  <c r="E499" i="6"/>
  <c r="F499" i="6"/>
  <c r="H499" i="6"/>
  <c r="I499" i="6"/>
  <c r="L499" i="6"/>
  <c r="N499" i="6"/>
  <c r="Q499" i="6"/>
  <c r="R499" i="6"/>
  <c r="S499" i="6"/>
  <c r="T499" i="6"/>
  <c r="C500" i="6"/>
  <c r="D500" i="6"/>
  <c r="E500" i="6"/>
  <c r="F500" i="6"/>
  <c r="H500" i="6"/>
  <c r="I500" i="6"/>
  <c r="L500" i="6"/>
  <c r="N500" i="6"/>
  <c r="Q500" i="6"/>
  <c r="R500" i="6"/>
  <c r="S500" i="6"/>
  <c r="T500" i="6"/>
  <c r="C501" i="6"/>
  <c r="D501" i="6"/>
  <c r="E501" i="6"/>
  <c r="F501" i="6"/>
  <c r="H501" i="6"/>
  <c r="I501" i="6"/>
  <c r="L501" i="6"/>
  <c r="N501" i="6"/>
  <c r="Q501" i="6"/>
  <c r="R501" i="6"/>
  <c r="S501" i="6"/>
  <c r="T501" i="6"/>
  <c r="C502" i="6"/>
  <c r="D502" i="6"/>
  <c r="E502" i="6"/>
  <c r="F502" i="6"/>
  <c r="H502" i="6"/>
  <c r="I502" i="6"/>
  <c r="L502" i="6"/>
  <c r="N502" i="6"/>
  <c r="Q502" i="6"/>
  <c r="R502" i="6"/>
  <c r="S502" i="6"/>
  <c r="T502" i="6"/>
  <c r="C503" i="6"/>
  <c r="D503" i="6"/>
  <c r="E503" i="6"/>
  <c r="F503" i="6"/>
  <c r="H503" i="6"/>
  <c r="I503" i="6"/>
  <c r="L503" i="6"/>
  <c r="N503" i="6"/>
  <c r="Q503" i="6"/>
  <c r="R503" i="6"/>
  <c r="S503" i="6"/>
  <c r="T503" i="6"/>
  <c r="C504" i="6"/>
  <c r="D504" i="6"/>
  <c r="E504" i="6"/>
  <c r="F504" i="6"/>
  <c r="H504" i="6"/>
  <c r="I504" i="6"/>
  <c r="L504" i="6"/>
  <c r="N504" i="6"/>
  <c r="Q504" i="6"/>
  <c r="R504" i="6"/>
  <c r="S504" i="6"/>
  <c r="T504" i="6"/>
  <c r="C505" i="6"/>
  <c r="D505" i="6"/>
  <c r="E505" i="6"/>
  <c r="F505" i="6"/>
  <c r="H505" i="6"/>
  <c r="I505" i="6"/>
  <c r="L505" i="6"/>
  <c r="N505" i="6"/>
  <c r="Q505" i="6"/>
  <c r="R505" i="6"/>
  <c r="S505" i="6"/>
  <c r="T505" i="6"/>
  <c r="C506" i="6"/>
  <c r="D506" i="6"/>
  <c r="E506" i="6"/>
  <c r="F506" i="6"/>
  <c r="H506" i="6"/>
  <c r="I506" i="6"/>
  <c r="L506" i="6"/>
  <c r="N506" i="6"/>
  <c r="Q506" i="6"/>
  <c r="R506" i="6"/>
  <c r="S506" i="6"/>
  <c r="T506" i="6"/>
  <c r="C507" i="6"/>
  <c r="D507" i="6"/>
  <c r="E507" i="6"/>
  <c r="F507" i="6"/>
  <c r="H507" i="6"/>
  <c r="I507" i="6"/>
  <c r="L507" i="6"/>
  <c r="N507" i="6"/>
  <c r="Q507" i="6"/>
  <c r="R507" i="6"/>
  <c r="S507" i="6"/>
  <c r="T507" i="6"/>
  <c r="C508" i="6"/>
  <c r="D508" i="6"/>
  <c r="E508" i="6"/>
  <c r="F508" i="6"/>
  <c r="H508" i="6"/>
  <c r="I508" i="6"/>
  <c r="L508" i="6"/>
  <c r="N508" i="6"/>
  <c r="Q508" i="6"/>
  <c r="R508" i="6"/>
  <c r="S508" i="6"/>
  <c r="T508" i="6"/>
  <c r="C509" i="6"/>
  <c r="D509" i="6"/>
  <c r="E509" i="6"/>
  <c r="F509" i="6"/>
  <c r="H509" i="6"/>
  <c r="I509" i="6"/>
  <c r="L509" i="6"/>
  <c r="N509" i="6"/>
  <c r="Q509" i="6"/>
  <c r="R509" i="6"/>
  <c r="S509" i="6"/>
  <c r="T509" i="6"/>
  <c r="C510" i="6"/>
  <c r="D510" i="6"/>
  <c r="E510" i="6"/>
  <c r="F510" i="6"/>
  <c r="H510" i="6"/>
  <c r="I510" i="6"/>
  <c r="L510" i="6"/>
  <c r="N510" i="6"/>
  <c r="Q510" i="6"/>
  <c r="R510" i="6"/>
  <c r="S510" i="6"/>
  <c r="T510" i="6"/>
  <c r="C511" i="6"/>
  <c r="D511" i="6"/>
  <c r="E511" i="6"/>
  <c r="F511" i="6"/>
  <c r="H511" i="6"/>
  <c r="I511" i="6"/>
  <c r="L511" i="6"/>
  <c r="N511" i="6"/>
  <c r="Q511" i="6"/>
  <c r="R511" i="6"/>
  <c r="S511" i="6"/>
  <c r="T511" i="6"/>
  <c r="C512" i="6"/>
  <c r="D512" i="6"/>
  <c r="E512" i="6"/>
  <c r="F512" i="6"/>
  <c r="H512" i="6"/>
  <c r="I512" i="6"/>
  <c r="L512" i="6"/>
  <c r="N512" i="6"/>
  <c r="Q512" i="6"/>
  <c r="R512" i="6"/>
  <c r="S512" i="6"/>
  <c r="T512" i="6"/>
  <c r="C513" i="6"/>
  <c r="D513" i="6"/>
  <c r="E513" i="6"/>
  <c r="F513" i="6"/>
  <c r="H513" i="6"/>
  <c r="I513" i="6"/>
  <c r="L513" i="6"/>
  <c r="N513" i="6"/>
  <c r="Q513" i="6"/>
  <c r="R513" i="6"/>
  <c r="S513" i="6"/>
  <c r="T513" i="6"/>
  <c r="C514" i="6"/>
  <c r="D514" i="6"/>
  <c r="E514" i="6"/>
  <c r="F514" i="6"/>
  <c r="H514" i="6"/>
  <c r="I514" i="6"/>
  <c r="L514" i="6"/>
  <c r="N514" i="6"/>
  <c r="Q514" i="6"/>
  <c r="R514" i="6"/>
  <c r="S514" i="6"/>
  <c r="T514" i="6"/>
  <c r="C515" i="6"/>
  <c r="D515" i="6"/>
  <c r="E515" i="6"/>
  <c r="F515" i="6"/>
  <c r="H515" i="6"/>
  <c r="I515" i="6"/>
  <c r="L515" i="6"/>
  <c r="N515" i="6"/>
  <c r="Q515" i="6"/>
  <c r="R515" i="6"/>
  <c r="S515" i="6"/>
  <c r="T515" i="6"/>
  <c r="C516" i="6"/>
  <c r="D516" i="6"/>
  <c r="E516" i="6"/>
  <c r="F516" i="6"/>
  <c r="H516" i="6"/>
  <c r="I516" i="6"/>
  <c r="L516" i="6"/>
  <c r="N516" i="6"/>
  <c r="Q516" i="6"/>
  <c r="R516" i="6"/>
  <c r="S516" i="6"/>
  <c r="T516" i="6"/>
  <c r="C517" i="6"/>
  <c r="D517" i="6"/>
  <c r="E517" i="6"/>
  <c r="F517" i="6"/>
  <c r="H517" i="6"/>
  <c r="I517" i="6"/>
  <c r="L517" i="6"/>
  <c r="N517" i="6"/>
  <c r="Q517" i="6"/>
  <c r="R517" i="6"/>
  <c r="S517" i="6"/>
  <c r="T517" i="6"/>
  <c r="C518" i="6"/>
  <c r="D518" i="6"/>
  <c r="E518" i="6"/>
  <c r="F518" i="6"/>
  <c r="H518" i="6"/>
  <c r="I518" i="6"/>
  <c r="L518" i="6"/>
  <c r="N518" i="6"/>
  <c r="Q518" i="6"/>
  <c r="R518" i="6"/>
  <c r="S518" i="6"/>
  <c r="T518" i="6"/>
  <c r="C519" i="6"/>
  <c r="D519" i="6"/>
  <c r="E519" i="6"/>
  <c r="F519" i="6"/>
  <c r="H519" i="6"/>
  <c r="I519" i="6"/>
  <c r="L519" i="6"/>
  <c r="N519" i="6"/>
  <c r="Q519" i="6"/>
  <c r="R519" i="6"/>
  <c r="S519" i="6"/>
  <c r="T519" i="6"/>
  <c r="C520" i="6"/>
  <c r="D520" i="6"/>
  <c r="E520" i="6"/>
  <c r="F520" i="6"/>
  <c r="H520" i="6"/>
  <c r="I520" i="6"/>
  <c r="L520" i="6"/>
  <c r="N520" i="6"/>
  <c r="Q520" i="6"/>
  <c r="R520" i="6"/>
  <c r="S520" i="6"/>
  <c r="T520" i="6"/>
  <c r="C521" i="6"/>
  <c r="D521" i="6"/>
  <c r="E521" i="6"/>
  <c r="F521" i="6"/>
  <c r="H521" i="6"/>
  <c r="I521" i="6"/>
  <c r="L521" i="6"/>
  <c r="N521" i="6"/>
  <c r="Q521" i="6"/>
  <c r="R521" i="6"/>
  <c r="S521" i="6"/>
  <c r="T521" i="6"/>
  <c r="C522" i="6"/>
  <c r="D522" i="6"/>
  <c r="E522" i="6"/>
  <c r="F522" i="6"/>
  <c r="H522" i="6"/>
  <c r="I522" i="6"/>
  <c r="L522" i="6"/>
  <c r="N522" i="6"/>
  <c r="Q522" i="6"/>
  <c r="R522" i="6"/>
  <c r="S522" i="6"/>
  <c r="T522" i="6"/>
  <c r="C523" i="6"/>
  <c r="D523" i="6"/>
  <c r="E523" i="6"/>
  <c r="F523" i="6"/>
  <c r="H523" i="6"/>
  <c r="I523" i="6"/>
  <c r="L523" i="6"/>
  <c r="N523" i="6"/>
  <c r="Q523" i="6"/>
  <c r="R523" i="6"/>
  <c r="S523" i="6"/>
  <c r="T523" i="6"/>
  <c r="C524" i="6"/>
  <c r="D524" i="6"/>
  <c r="E524" i="6"/>
  <c r="F524" i="6"/>
  <c r="H524" i="6"/>
  <c r="I524" i="6"/>
  <c r="L524" i="6"/>
  <c r="N524" i="6"/>
  <c r="Q524" i="6"/>
  <c r="R524" i="6"/>
  <c r="S524" i="6"/>
  <c r="T524" i="6"/>
  <c r="C525" i="6"/>
  <c r="D525" i="6"/>
  <c r="E525" i="6"/>
  <c r="F525" i="6"/>
  <c r="H525" i="6"/>
  <c r="I525" i="6"/>
  <c r="L525" i="6"/>
  <c r="N525" i="6"/>
  <c r="Q525" i="6"/>
  <c r="R525" i="6"/>
  <c r="S525" i="6"/>
  <c r="T525" i="6"/>
  <c r="C526" i="6"/>
  <c r="D526" i="6"/>
  <c r="E526" i="6"/>
  <c r="F526" i="6"/>
  <c r="H526" i="6"/>
  <c r="I526" i="6"/>
  <c r="L526" i="6"/>
  <c r="N526" i="6"/>
  <c r="Q526" i="6"/>
  <c r="R526" i="6"/>
  <c r="S526" i="6"/>
  <c r="T526" i="6"/>
  <c r="C527" i="6"/>
  <c r="D527" i="6"/>
  <c r="E527" i="6"/>
  <c r="F527" i="6"/>
  <c r="H527" i="6"/>
  <c r="I527" i="6"/>
  <c r="L527" i="6"/>
  <c r="N527" i="6"/>
  <c r="Q527" i="6"/>
  <c r="R527" i="6"/>
  <c r="S527" i="6"/>
  <c r="T527" i="6"/>
  <c r="C528" i="6"/>
  <c r="D528" i="6"/>
  <c r="E528" i="6"/>
  <c r="F528" i="6"/>
  <c r="H528" i="6"/>
  <c r="I528" i="6"/>
  <c r="L528" i="6"/>
  <c r="N528" i="6"/>
  <c r="Q528" i="6"/>
  <c r="R528" i="6"/>
  <c r="S528" i="6"/>
  <c r="T528" i="6"/>
  <c r="C529" i="6"/>
  <c r="D529" i="6"/>
  <c r="E529" i="6"/>
  <c r="F529" i="6"/>
  <c r="H529" i="6"/>
  <c r="I529" i="6"/>
  <c r="L529" i="6"/>
  <c r="N529" i="6"/>
  <c r="Q529" i="6"/>
  <c r="R529" i="6"/>
  <c r="S529" i="6"/>
  <c r="T529" i="6"/>
  <c r="C530" i="6"/>
  <c r="D530" i="6"/>
  <c r="E530" i="6"/>
  <c r="F530" i="6"/>
  <c r="H530" i="6"/>
  <c r="I530" i="6"/>
  <c r="L530" i="6"/>
  <c r="N530" i="6"/>
  <c r="Q530" i="6"/>
  <c r="R530" i="6"/>
  <c r="S530" i="6"/>
  <c r="T530" i="6"/>
  <c r="C531" i="6"/>
  <c r="D531" i="6"/>
  <c r="E531" i="6"/>
  <c r="F531" i="6"/>
  <c r="H531" i="6"/>
  <c r="I531" i="6"/>
  <c r="L531" i="6"/>
  <c r="N531" i="6"/>
  <c r="Q531" i="6"/>
  <c r="R531" i="6"/>
  <c r="S531" i="6"/>
  <c r="T531" i="6"/>
  <c r="C532" i="6"/>
  <c r="D532" i="6"/>
  <c r="E532" i="6"/>
  <c r="F532" i="6"/>
  <c r="H532" i="6"/>
  <c r="I532" i="6"/>
  <c r="L532" i="6"/>
  <c r="N532" i="6"/>
  <c r="Q532" i="6"/>
  <c r="R532" i="6"/>
  <c r="S532" i="6"/>
  <c r="T532" i="6"/>
  <c r="C533" i="6"/>
  <c r="D533" i="6"/>
  <c r="E533" i="6"/>
  <c r="F533" i="6"/>
  <c r="H533" i="6"/>
  <c r="I533" i="6"/>
  <c r="L533" i="6"/>
  <c r="N533" i="6"/>
  <c r="Q533" i="6"/>
  <c r="R533" i="6"/>
  <c r="S533" i="6"/>
  <c r="T533" i="6"/>
  <c r="C534" i="6"/>
  <c r="D534" i="6"/>
  <c r="E534" i="6"/>
  <c r="F534" i="6"/>
  <c r="H534" i="6"/>
  <c r="I534" i="6"/>
  <c r="L534" i="6"/>
  <c r="N534" i="6"/>
  <c r="Q534" i="6"/>
  <c r="R534" i="6"/>
  <c r="S534" i="6"/>
  <c r="T534" i="6"/>
  <c r="C535" i="6"/>
  <c r="D535" i="6"/>
  <c r="E535" i="6"/>
  <c r="F535" i="6"/>
  <c r="H535" i="6"/>
  <c r="I535" i="6"/>
  <c r="L535" i="6"/>
  <c r="N535" i="6"/>
  <c r="Q535" i="6"/>
  <c r="R535" i="6"/>
  <c r="S535" i="6"/>
  <c r="T535" i="6"/>
  <c r="C536" i="6"/>
  <c r="D536" i="6"/>
  <c r="E536" i="6"/>
  <c r="F536" i="6"/>
  <c r="H536" i="6"/>
  <c r="I536" i="6"/>
  <c r="L536" i="6"/>
  <c r="N536" i="6"/>
  <c r="Q536" i="6"/>
  <c r="R536" i="6"/>
  <c r="S536" i="6"/>
  <c r="T536" i="6"/>
  <c r="C537" i="6"/>
  <c r="D537" i="6"/>
  <c r="E537" i="6"/>
  <c r="F537" i="6"/>
  <c r="H537" i="6"/>
  <c r="I537" i="6"/>
  <c r="L537" i="6"/>
  <c r="N537" i="6"/>
  <c r="Q537" i="6"/>
  <c r="R537" i="6"/>
  <c r="S537" i="6"/>
  <c r="T537" i="6"/>
  <c r="C538" i="6"/>
  <c r="D538" i="6"/>
  <c r="E538" i="6"/>
  <c r="F538" i="6"/>
  <c r="H538" i="6"/>
  <c r="I538" i="6"/>
  <c r="L538" i="6"/>
  <c r="N538" i="6"/>
  <c r="Q538" i="6"/>
  <c r="R538" i="6"/>
  <c r="S538" i="6"/>
  <c r="T538" i="6"/>
  <c r="C539" i="6"/>
  <c r="D539" i="6"/>
  <c r="E539" i="6"/>
  <c r="F539" i="6"/>
  <c r="H539" i="6"/>
  <c r="I539" i="6"/>
  <c r="L539" i="6"/>
  <c r="N539" i="6"/>
  <c r="Q539" i="6"/>
  <c r="R539" i="6"/>
  <c r="S539" i="6"/>
  <c r="T539" i="6"/>
  <c r="C540" i="6"/>
  <c r="D540" i="6"/>
  <c r="E540" i="6"/>
  <c r="F540" i="6"/>
  <c r="H540" i="6"/>
  <c r="I540" i="6"/>
  <c r="L540" i="6"/>
  <c r="N540" i="6"/>
  <c r="Q540" i="6"/>
  <c r="R540" i="6"/>
  <c r="S540" i="6"/>
  <c r="T540" i="6"/>
  <c r="C541" i="6"/>
  <c r="D541" i="6"/>
  <c r="E541" i="6"/>
  <c r="F541" i="6"/>
  <c r="H541" i="6"/>
  <c r="I541" i="6"/>
  <c r="L541" i="6"/>
  <c r="N541" i="6"/>
  <c r="Q541" i="6"/>
  <c r="R541" i="6"/>
  <c r="S541" i="6"/>
  <c r="T541" i="6"/>
  <c r="C542" i="6"/>
  <c r="D542" i="6"/>
  <c r="E542" i="6"/>
  <c r="F542" i="6"/>
  <c r="H542" i="6"/>
  <c r="I542" i="6"/>
  <c r="L542" i="6"/>
  <c r="N542" i="6"/>
  <c r="Q542" i="6"/>
  <c r="R542" i="6"/>
  <c r="S542" i="6"/>
  <c r="T542" i="6"/>
  <c r="C543" i="6"/>
  <c r="D543" i="6"/>
  <c r="E543" i="6"/>
  <c r="F543" i="6"/>
  <c r="H543" i="6"/>
  <c r="I543" i="6"/>
  <c r="L543" i="6"/>
  <c r="N543" i="6"/>
  <c r="Q543" i="6"/>
  <c r="R543" i="6"/>
  <c r="S543" i="6"/>
  <c r="T543" i="6"/>
  <c r="C544" i="6"/>
  <c r="D544" i="6"/>
  <c r="E544" i="6"/>
  <c r="F544" i="6"/>
  <c r="H544" i="6"/>
  <c r="I544" i="6"/>
  <c r="L544" i="6"/>
  <c r="N544" i="6"/>
  <c r="Q544" i="6"/>
  <c r="R544" i="6"/>
  <c r="S544" i="6"/>
  <c r="T544" i="6"/>
  <c r="C545" i="6"/>
  <c r="D545" i="6"/>
  <c r="E545" i="6"/>
  <c r="F545" i="6"/>
  <c r="H545" i="6"/>
  <c r="I545" i="6"/>
  <c r="L545" i="6"/>
  <c r="N545" i="6"/>
  <c r="Q545" i="6"/>
  <c r="R545" i="6"/>
  <c r="S545" i="6"/>
  <c r="T545" i="6"/>
  <c r="C546" i="6"/>
  <c r="D546" i="6"/>
  <c r="E546" i="6"/>
  <c r="F546" i="6"/>
  <c r="H546" i="6"/>
  <c r="I546" i="6"/>
  <c r="L546" i="6"/>
  <c r="N546" i="6"/>
  <c r="Q546" i="6"/>
  <c r="R546" i="6"/>
  <c r="S546" i="6"/>
  <c r="T546" i="6"/>
  <c r="C547" i="6"/>
  <c r="D547" i="6"/>
  <c r="E547" i="6"/>
  <c r="F547" i="6"/>
  <c r="H547" i="6"/>
  <c r="I547" i="6"/>
  <c r="L547" i="6"/>
  <c r="N547" i="6"/>
  <c r="Q547" i="6"/>
  <c r="R547" i="6"/>
  <c r="S547" i="6"/>
  <c r="T547" i="6"/>
  <c r="C548" i="6"/>
  <c r="D548" i="6"/>
  <c r="E548" i="6"/>
  <c r="F548" i="6"/>
  <c r="H548" i="6"/>
  <c r="I548" i="6"/>
  <c r="L548" i="6"/>
  <c r="N548" i="6"/>
  <c r="Q548" i="6"/>
  <c r="R548" i="6"/>
  <c r="S548" i="6"/>
  <c r="T548" i="6"/>
  <c r="C549" i="6"/>
  <c r="D549" i="6"/>
  <c r="E549" i="6"/>
  <c r="F549" i="6"/>
  <c r="H549" i="6"/>
  <c r="I549" i="6"/>
  <c r="L549" i="6"/>
  <c r="N549" i="6"/>
  <c r="Q549" i="6"/>
  <c r="R549" i="6"/>
  <c r="S549" i="6"/>
  <c r="T549" i="6"/>
  <c r="C550" i="6"/>
  <c r="D550" i="6"/>
  <c r="E550" i="6"/>
  <c r="F550" i="6"/>
  <c r="H550" i="6"/>
  <c r="I550" i="6"/>
  <c r="L550" i="6"/>
  <c r="N550" i="6"/>
  <c r="Q550" i="6"/>
  <c r="R550" i="6"/>
  <c r="S550" i="6"/>
  <c r="T550" i="6"/>
  <c r="C551" i="6"/>
  <c r="D551" i="6"/>
  <c r="E551" i="6"/>
  <c r="F551" i="6"/>
  <c r="H551" i="6"/>
  <c r="I551" i="6"/>
  <c r="L551" i="6"/>
  <c r="N551" i="6"/>
  <c r="Q551" i="6"/>
  <c r="R551" i="6"/>
  <c r="S551" i="6"/>
  <c r="T551" i="6"/>
  <c r="C552" i="6"/>
  <c r="D552" i="6"/>
  <c r="E552" i="6"/>
  <c r="F552" i="6"/>
  <c r="H552" i="6"/>
  <c r="I552" i="6"/>
  <c r="L552" i="6"/>
  <c r="N552" i="6"/>
  <c r="Q552" i="6"/>
  <c r="R552" i="6"/>
  <c r="S552" i="6"/>
  <c r="T552" i="6"/>
  <c r="C553" i="6"/>
  <c r="D553" i="6"/>
  <c r="E553" i="6"/>
  <c r="F553" i="6"/>
  <c r="H553" i="6"/>
  <c r="I553" i="6"/>
  <c r="L553" i="6"/>
  <c r="N553" i="6"/>
  <c r="Q553" i="6"/>
  <c r="R553" i="6"/>
  <c r="S553" i="6"/>
  <c r="T553" i="6"/>
  <c r="C554" i="6"/>
  <c r="D554" i="6"/>
  <c r="E554" i="6"/>
  <c r="F554" i="6"/>
  <c r="H554" i="6"/>
  <c r="I554" i="6"/>
  <c r="L554" i="6"/>
  <c r="N554" i="6"/>
  <c r="Q554" i="6"/>
  <c r="R554" i="6"/>
  <c r="S554" i="6"/>
  <c r="T554" i="6"/>
  <c r="C555" i="6"/>
  <c r="D555" i="6"/>
  <c r="E555" i="6"/>
  <c r="F555" i="6"/>
  <c r="H555" i="6"/>
  <c r="I555" i="6"/>
  <c r="L555" i="6"/>
  <c r="N555" i="6"/>
  <c r="Q555" i="6"/>
  <c r="R555" i="6"/>
  <c r="S555" i="6"/>
  <c r="T555" i="6"/>
  <c r="C556" i="6"/>
  <c r="D556" i="6"/>
  <c r="E556" i="6"/>
  <c r="F556" i="6"/>
  <c r="H556" i="6"/>
  <c r="I556" i="6"/>
  <c r="L556" i="6"/>
  <c r="N556" i="6"/>
  <c r="Q556" i="6"/>
  <c r="R556" i="6"/>
  <c r="S556" i="6"/>
  <c r="T556" i="6"/>
  <c r="C557" i="6"/>
  <c r="D557" i="6"/>
  <c r="E557" i="6"/>
  <c r="F557" i="6"/>
  <c r="H557" i="6"/>
  <c r="I557" i="6"/>
  <c r="L557" i="6"/>
  <c r="N557" i="6"/>
  <c r="Q557" i="6"/>
  <c r="R557" i="6"/>
  <c r="S557" i="6"/>
  <c r="T557" i="6"/>
  <c r="C558" i="6"/>
  <c r="D558" i="6"/>
  <c r="E558" i="6"/>
  <c r="F558" i="6"/>
  <c r="H558" i="6"/>
  <c r="I558" i="6"/>
  <c r="L558" i="6"/>
  <c r="N558" i="6"/>
  <c r="Q558" i="6"/>
  <c r="R558" i="6"/>
  <c r="S558" i="6"/>
  <c r="T558" i="6"/>
  <c r="C559" i="6"/>
  <c r="D559" i="6"/>
  <c r="E559" i="6"/>
  <c r="F559" i="6"/>
  <c r="H559" i="6"/>
  <c r="I559" i="6"/>
  <c r="L559" i="6"/>
  <c r="N559" i="6"/>
  <c r="Q559" i="6"/>
  <c r="R559" i="6"/>
  <c r="S559" i="6"/>
  <c r="T559" i="6"/>
  <c r="C560" i="6"/>
  <c r="D560" i="6"/>
  <c r="E560" i="6"/>
  <c r="F560" i="6"/>
  <c r="H560" i="6"/>
  <c r="I560" i="6"/>
  <c r="L560" i="6"/>
  <c r="N560" i="6"/>
  <c r="Q560" i="6"/>
  <c r="R560" i="6"/>
  <c r="S560" i="6"/>
  <c r="T560" i="6"/>
  <c r="C561" i="6"/>
  <c r="D561" i="6"/>
  <c r="E561" i="6"/>
  <c r="F561" i="6"/>
  <c r="H561" i="6"/>
  <c r="I561" i="6"/>
  <c r="L561" i="6"/>
  <c r="N561" i="6"/>
  <c r="Q561" i="6"/>
  <c r="R561" i="6"/>
  <c r="S561" i="6"/>
  <c r="T561" i="6"/>
  <c r="C562" i="6"/>
  <c r="D562" i="6"/>
  <c r="E562" i="6"/>
  <c r="F562" i="6"/>
  <c r="H562" i="6"/>
  <c r="I562" i="6"/>
  <c r="L562" i="6"/>
  <c r="N562" i="6"/>
  <c r="Q562" i="6"/>
  <c r="R562" i="6"/>
  <c r="S562" i="6"/>
  <c r="T562" i="6"/>
  <c r="C563" i="6"/>
  <c r="D563" i="6"/>
  <c r="E563" i="6"/>
  <c r="F563" i="6"/>
  <c r="H563" i="6"/>
  <c r="I563" i="6"/>
  <c r="L563" i="6"/>
  <c r="N563" i="6"/>
  <c r="Q563" i="6"/>
  <c r="R563" i="6"/>
  <c r="S563" i="6"/>
  <c r="T563" i="6"/>
  <c r="C564" i="6"/>
  <c r="D564" i="6"/>
  <c r="E564" i="6"/>
  <c r="F564" i="6"/>
  <c r="H564" i="6"/>
  <c r="I564" i="6"/>
  <c r="L564" i="6"/>
  <c r="N564" i="6"/>
  <c r="Q564" i="6"/>
  <c r="R564" i="6"/>
  <c r="S564" i="6"/>
  <c r="T564" i="6"/>
  <c r="C565" i="6"/>
  <c r="D565" i="6"/>
  <c r="E565" i="6"/>
  <c r="F565" i="6"/>
  <c r="H565" i="6"/>
  <c r="I565" i="6"/>
  <c r="L565" i="6"/>
  <c r="N565" i="6"/>
  <c r="Q565" i="6"/>
  <c r="R565" i="6"/>
  <c r="S565" i="6"/>
  <c r="T565" i="6"/>
  <c r="C566" i="6"/>
  <c r="D566" i="6"/>
  <c r="E566" i="6"/>
  <c r="F566" i="6"/>
  <c r="H566" i="6"/>
  <c r="I566" i="6"/>
  <c r="L566" i="6"/>
  <c r="N566" i="6"/>
  <c r="Q566" i="6"/>
  <c r="R566" i="6"/>
  <c r="S566" i="6"/>
  <c r="T566" i="6"/>
  <c r="C567" i="6"/>
  <c r="D567" i="6"/>
  <c r="E567" i="6"/>
  <c r="F567" i="6"/>
  <c r="H567" i="6"/>
  <c r="I567" i="6"/>
  <c r="L567" i="6"/>
  <c r="N567" i="6"/>
  <c r="Q567" i="6"/>
  <c r="R567" i="6"/>
  <c r="S567" i="6"/>
  <c r="T567" i="6"/>
  <c r="C568" i="6"/>
  <c r="D568" i="6"/>
  <c r="E568" i="6"/>
  <c r="F568" i="6"/>
  <c r="H568" i="6"/>
  <c r="I568" i="6"/>
  <c r="L568" i="6"/>
  <c r="N568" i="6"/>
  <c r="Q568" i="6"/>
  <c r="R568" i="6"/>
  <c r="S568" i="6"/>
  <c r="T568" i="6"/>
  <c r="C569" i="6"/>
  <c r="D569" i="6"/>
  <c r="E569" i="6"/>
  <c r="F569" i="6"/>
  <c r="H569" i="6"/>
  <c r="I569" i="6"/>
  <c r="L569" i="6"/>
  <c r="N569" i="6"/>
  <c r="Q569" i="6"/>
  <c r="R569" i="6"/>
  <c r="S569" i="6"/>
  <c r="T569" i="6"/>
  <c r="C570" i="6"/>
  <c r="D570" i="6"/>
  <c r="E570" i="6"/>
  <c r="F570" i="6"/>
  <c r="H570" i="6"/>
  <c r="I570" i="6"/>
  <c r="L570" i="6"/>
  <c r="N570" i="6"/>
  <c r="Q570" i="6"/>
  <c r="R570" i="6"/>
  <c r="S570" i="6"/>
  <c r="T570" i="6"/>
  <c r="C571" i="6"/>
  <c r="D571" i="6"/>
  <c r="E571" i="6"/>
  <c r="F571" i="6"/>
  <c r="H571" i="6"/>
  <c r="I571" i="6"/>
  <c r="L571" i="6"/>
  <c r="N571" i="6"/>
  <c r="Q571" i="6"/>
  <c r="R571" i="6"/>
  <c r="S571" i="6"/>
  <c r="T571" i="6"/>
  <c r="C572" i="6"/>
  <c r="D572" i="6"/>
  <c r="E572" i="6"/>
  <c r="F572" i="6"/>
  <c r="H572" i="6"/>
  <c r="I572" i="6"/>
  <c r="L572" i="6"/>
  <c r="N572" i="6"/>
  <c r="Q572" i="6"/>
  <c r="R572" i="6"/>
  <c r="S572" i="6"/>
  <c r="T572" i="6"/>
  <c r="C573" i="6"/>
  <c r="D573" i="6"/>
  <c r="E573" i="6"/>
  <c r="F573" i="6"/>
  <c r="H573" i="6"/>
  <c r="I573" i="6"/>
  <c r="L573" i="6"/>
  <c r="N573" i="6"/>
  <c r="Q573" i="6"/>
  <c r="R573" i="6"/>
  <c r="S573" i="6"/>
  <c r="T573" i="6"/>
  <c r="C574" i="6"/>
  <c r="D574" i="6"/>
  <c r="E574" i="6"/>
  <c r="F574" i="6"/>
  <c r="H574" i="6"/>
  <c r="I574" i="6"/>
  <c r="L574" i="6"/>
  <c r="N574" i="6"/>
  <c r="Q574" i="6"/>
  <c r="R574" i="6"/>
  <c r="S574" i="6"/>
  <c r="T574" i="6"/>
  <c r="C575" i="6"/>
  <c r="D575" i="6"/>
  <c r="E575" i="6"/>
  <c r="F575" i="6"/>
  <c r="H575" i="6"/>
  <c r="I575" i="6"/>
  <c r="L575" i="6"/>
  <c r="N575" i="6"/>
  <c r="Q575" i="6"/>
  <c r="R575" i="6"/>
  <c r="S575" i="6"/>
  <c r="T575" i="6"/>
  <c r="C576" i="6"/>
  <c r="D576" i="6"/>
  <c r="E576" i="6"/>
  <c r="F576" i="6"/>
  <c r="H576" i="6"/>
  <c r="I576" i="6"/>
  <c r="L576" i="6"/>
  <c r="N576" i="6"/>
  <c r="Q576" i="6"/>
  <c r="R576" i="6"/>
  <c r="S576" i="6"/>
  <c r="T576" i="6"/>
  <c r="C577" i="6"/>
  <c r="D577" i="6"/>
  <c r="E577" i="6"/>
  <c r="F577" i="6"/>
  <c r="H577" i="6"/>
  <c r="I577" i="6"/>
  <c r="L577" i="6"/>
  <c r="N577" i="6"/>
  <c r="Q577" i="6"/>
  <c r="R577" i="6"/>
  <c r="S577" i="6"/>
  <c r="T577" i="6"/>
  <c r="C578" i="6"/>
  <c r="D578" i="6"/>
  <c r="E578" i="6"/>
  <c r="F578" i="6"/>
  <c r="H578" i="6"/>
  <c r="I578" i="6"/>
  <c r="L578" i="6"/>
  <c r="N578" i="6"/>
  <c r="Q578" i="6"/>
  <c r="R578" i="6"/>
  <c r="S578" i="6"/>
  <c r="T578" i="6"/>
  <c r="C579" i="6"/>
  <c r="D579" i="6"/>
  <c r="E579" i="6"/>
  <c r="F579" i="6"/>
  <c r="H579" i="6"/>
  <c r="I579" i="6"/>
  <c r="L579" i="6"/>
  <c r="N579" i="6"/>
  <c r="Q579" i="6"/>
  <c r="R579" i="6"/>
  <c r="S579" i="6"/>
  <c r="T579" i="6"/>
  <c r="C580" i="6"/>
  <c r="D580" i="6"/>
  <c r="E580" i="6"/>
  <c r="F580" i="6"/>
  <c r="H580" i="6"/>
  <c r="I580" i="6"/>
  <c r="L580" i="6"/>
  <c r="N580" i="6"/>
  <c r="Q580" i="6"/>
  <c r="R580" i="6"/>
  <c r="S580" i="6"/>
  <c r="T580" i="6"/>
  <c r="C581" i="6"/>
  <c r="D581" i="6"/>
  <c r="E581" i="6"/>
  <c r="F581" i="6"/>
  <c r="H581" i="6"/>
  <c r="I581" i="6"/>
  <c r="L581" i="6"/>
  <c r="N581" i="6"/>
  <c r="Q581" i="6"/>
  <c r="R581" i="6"/>
  <c r="S581" i="6"/>
  <c r="T581" i="6"/>
  <c r="C582" i="6"/>
  <c r="D582" i="6"/>
  <c r="E582" i="6"/>
  <c r="F582" i="6"/>
  <c r="H582" i="6"/>
  <c r="I582" i="6"/>
  <c r="L582" i="6"/>
  <c r="N582" i="6"/>
  <c r="Q582" i="6"/>
  <c r="R582" i="6"/>
  <c r="S582" i="6"/>
  <c r="T582" i="6"/>
  <c r="C583" i="6"/>
  <c r="D583" i="6"/>
  <c r="E583" i="6"/>
  <c r="F583" i="6"/>
  <c r="H583" i="6"/>
  <c r="I583" i="6"/>
  <c r="L583" i="6"/>
  <c r="N583" i="6"/>
  <c r="Q583" i="6"/>
  <c r="R583" i="6"/>
  <c r="S583" i="6"/>
  <c r="T583" i="6"/>
  <c r="C584" i="6"/>
  <c r="D584" i="6"/>
  <c r="E584" i="6"/>
  <c r="F584" i="6"/>
  <c r="H584" i="6"/>
  <c r="I584" i="6"/>
  <c r="L584" i="6"/>
  <c r="N584" i="6"/>
  <c r="Q584" i="6"/>
  <c r="R584" i="6"/>
  <c r="S584" i="6"/>
  <c r="T584" i="6"/>
  <c r="C585" i="6"/>
  <c r="D585" i="6"/>
  <c r="E585" i="6"/>
  <c r="F585" i="6"/>
  <c r="H585" i="6"/>
  <c r="I585" i="6"/>
  <c r="L585" i="6"/>
  <c r="N585" i="6"/>
  <c r="Q585" i="6"/>
  <c r="R585" i="6"/>
  <c r="S585" i="6"/>
  <c r="T585" i="6"/>
  <c r="C586" i="6"/>
  <c r="D586" i="6"/>
  <c r="E586" i="6"/>
  <c r="F586" i="6"/>
  <c r="H586" i="6"/>
  <c r="I586" i="6"/>
  <c r="L586" i="6"/>
  <c r="N586" i="6"/>
  <c r="Q586" i="6"/>
  <c r="R586" i="6"/>
  <c r="S586" i="6"/>
  <c r="T586" i="6"/>
  <c r="C587" i="6"/>
  <c r="D587" i="6"/>
  <c r="E587" i="6"/>
  <c r="F587" i="6"/>
  <c r="H587" i="6"/>
  <c r="I587" i="6"/>
  <c r="L587" i="6"/>
  <c r="N587" i="6"/>
  <c r="Q587" i="6"/>
  <c r="R587" i="6"/>
  <c r="S587" i="6"/>
  <c r="T587" i="6"/>
  <c r="C588" i="6"/>
  <c r="D588" i="6"/>
  <c r="E588" i="6"/>
  <c r="F588" i="6"/>
  <c r="H588" i="6"/>
  <c r="I588" i="6"/>
  <c r="L588" i="6"/>
  <c r="N588" i="6"/>
  <c r="Q588" i="6"/>
  <c r="R588" i="6"/>
  <c r="S588" i="6"/>
  <c r="T588" i="6"/>
  <c r="C589" i="6"/>
  <c r="D589" i="6"/>
  <c r="E589" i="6"/>
  <c r="F589" i="6"/>
  <c r="H589" i="6"/>
  <c r="I589" i="6"/>
  <c r="L589" i="6"/>
  <c r="N589" i="6"/>
  <c r="Q589" i="6"/>
  <c r="R589" i="6"/>
  <c r="S589" i="6"/>
  <c r="T589" i="6"/>
  <c r="C590" i="6"/>
  <c r="D590" i="6"/>
  <c r="E590" i="6"/>
  <c r="F590" i="6"/>
  <c r="H590" i="6"/>
  <c r="I590" i="6"/>
  <c r="L590" i="6"/>
  <c r="N590" i="6"/>
  <c r="Q590" i="6"/>
  <c r="R590" i="6"/>
  <c r="S590" i="6"/>
  <c r="T590" i="6"/>
  <c r="C591" i="6"/>
  <c r="D591" i="6"/>
  <c r="E591" i="6"/>
  <c r="F591" i="6"/>
  <c r="H591" i="6"/>
  <c r="I591" i="6"/>
  <c r="L591" i="6"/>
  <c r="N591" i="6"/>
  <c r="Q591" i="6"/>
  <c r="R591" i="6"/>
  <c r="S591" i="6"/>
  <c r="T591" i="6"/>
  <c r="C592" i="6"/>
  <c r="D592" i="6"/>
  <c r="E592" i="6"/>
  <c r="F592" i="6"/>
  <c r="H592" i="6"/>
  <c r="I592" i="6"/>
  <c r="L592" i="6"/>
  <c r="N592" i="6"/>
  <c r="Q592" i="6"/>
  <c r="R592" i="6"/>
  <c r="S592" i="6"/>
  <c r="T592" i="6"/>
  <c r="C593" i="6"/>
  <c r="D593" i="6"/>
  <c r="E593" i="6"/>
  <c r="F593" i="6"/>
  <c r="H593" i="6"/>
  <c r="I593" i="6"/>
  <c r="L593" i="6"/>
  <c r="N593" i="6"/>
  <c r="Q593" i="6"/>
  <c r="R593" i="6"/>
  <c r="S593" i="6"/>
  <c r="T593" i="6"/>
  <c r="C594" i="6"/>
  <c r="D594" i="6"/>
  <c r="E594" i="6"/>
  <c r="F594" i="6"/>
  <c r="H594" i="6"/>
  <c r="I594" i="6"/>
  <c r="L594" i="6"/>
  <c r="N594" i="6"/>
  <c r="Q594" i="6"/>
  <c r="R594" i="6"/>
  <c r="S594" i="6"/>
  <c r="T594" i="6"/>
  <c r="C595" i="6"/>
  <c r="D595" i="6"/>
  <c r="E595" i="6"/>
  <c r="F595" i="6"/>
  <c r="H595" i="6"/>
  <c r="I595" i="6"/>
  <c r="L595" i="6"/>
  <c r="N595" i="6"/>
  <c r="Q595" i="6"/>
  <c r="R595" i="6"/>
  <c r="S595" i="6"/>
  <c r="T595" i="6"/>
  <c r="C596" i="6"/>
  <c r="D596" i="6"/>
  <c r="E596" i="6"/>
  <c r="F596" i="6"/>
  <c r="H596" i="6"/>
  <c r="I596" i="6"/>
  <c r="L596" i="6"/>
  <c r="N596" i="6"/>
  <c r="Q596" i="6"/>
  <c r="R596" i="6"/>
  <c r="S596" i="6"/>
  <c r="T596" i="6"/>
  <c r="C597" i="6"/>
  <c r="D597" i="6"/>
  <c r="E597" i="6"/>
  <c r="F597" i="6"/>
  <c r="H597" i="6"/>
  <c r="I597" i="6"/>
  <c r="L597" i="6"/>
  <c r="N597" i="6"/>
  <c r="Q597" i="6"/>
  <c r="R597" i="6"/>
  <c r="S597" i="6"/>
  <c r="T597" i="6"/>
  <c r="C598" i="6"/>
  <c r="D598" i="6"/>
  <c r="E598" i="6"/>
  <c r="F598" i="6"/>
  <c r="H598" i="6"/>
  <c r="I598" i="6"/>
  <c r="L598" i="6"/>
  <c r="N598" i="6"/>
  <c r="Q598" i="6"/>
  <c r="R598" i="6"/>
  <c r="S598" i="6"/>
  <c r="T598" i="6"/>
  <c r="C599" i="6"/>
  <c r="D599" i="6"/>
  <c r="E599" i="6"/>
  <c r="F599" i="6"/>
  <c r="H599" i="6"/>
  <c r="I599" i="6"/>
  <c r="L599" i="6"/>
  <c r="N599" i="6"/>
  <c r="Q599" i="6"/>
  <c r="R599" i="6"/>
  <c r="S599" i="6"/>
  <c r="T599" i="6"/>
  <c r="B600" i="6"/>
  <c r="C600" i="6"/>
  <c r="D600" i="6"/>
  <c r="E600" i="6"/>
  <c r="F600" i="6"/>
  <c r="H600" i="6"/>
  <c r="I600" i="6"/>
  <c r="N600" i="6"/>
  <c r="R600" i="6"/>
  <c r="Q600" i="6" s="1"/>
  <c r="S600" i="6" s="1"/>
  <c r="T600" i="6"/>
  <c r="B601" i="6"/>
  <c r="C601" i="6"/>
  <c r="D601" i="6"/>
  <c r="E601" i="6"/>
  <c r="F601" i="6"/>
  <c r="H601" i="6"/>
  <c r="I601" i="6"/>
  <c r="L601" i="6"/>
  <c r="N601" i="6"/>
  <c r="Q601" i="6"/>
  <c r="R601" i="6"/>
  <c r="S601" i="6"/>
  <c r="T601" i="6"/>
  <c r="B602" i="6"/>
  <c r="C602" i="6"/>
  <c r="D602" i="6"/>
  <c r="E602" i="6"/>
  <c r="F602" i="6"/>
  <c r="H602" i="6"/>
  <c r="I602" i="6"/>
  <c r="N602" i="6"/>
  <c r="R602" i="6"/>
  <c r="Q602" i="6" s="1"/>
  <c r="S602" i="6" s="1"/>
  <c r="T602" i="6"/>
  <c r="B603" i="6"/>
  <c r="C603" i="6"/>
  <c r="D603" i="6"/>
  <c r="E603" i="6"/>
  <c r="F603" i="6"/>
  <c r="H603" i="6"/>
  <c r="I603" i="6"/>
  <c r="L603" i="6"/>
  <c r="N603" i="6"/>
  <c r="Q603" i="6"/>
  <c r="R603" i="6"/>
  <c r="S603" i="6"/>
  <c r="T603" i="6"/>
  <c r="B604" i="6"/>
  <c r="C604" i="6"/>
  <c r="D604" i="6"/>
  <c r="E604" i="6"/>
  <c r="F604" i="6"/>
  <c r="H604" i="6"/>
  <c r="I604" i="6"/>
  <c r="N604" i="6"/>
  <c r="R604" i="6"/>
  <c r="Q604" i="6" s="1"/>
  <c r="S604" i="6" s="1"/>
  <c r="T604" i="6"/>
  <c r="B605" i="6"/>
  <c r="C605" i="6"/>
  <c r="D605" i="6"/>
  <c r="E605" i="6"/>
  <c r="F605" i="6"/>
  <c r="H605" i="6"/>
  <c r="I605" i="6"/>
  <c r="L605" i="6"/>
  <c r="N605" i="6"/>
  <c r="Q605" i="6"/>
  <c r="R605" i="6"/>
  <c r="S605" i="6"/>
  <c r="T605" i="6"/>
  <c r="B606" i="6"/>
  <c r="C606" i="6"/>
  <c r="D606" i="6"/>
  <c r="E606" i="6"/>
  <c r="F606" i="6"/>
  <c r="H606" i="6"/>
  <c r="I606" i="6"/>
  <c r="N606" i="6"/>
  <c r="R606" i="6"/>
  <c r="Q606" i="6" s="1"/>
  <c r="S606" i="6" s="1"/>
  <c r="T606" i="6"/>
  <c r="B607" i="6"/>
  <c r="C607" i="6"/>
  <c r="D607" i="6"/>
  <c r="E607" i="6"/>
  <c r="F607" i="6"/>
  <c r="H607" i="6"/>
  <c r="I607" i="6"/>
  <c r="L607" i="6"/>
  <c r="N607" i="6"/>
  <c r="Q607" i="6"/>
  <c r="R607" i="6"/>
  <c r="S607" i="6"/>
  <c r="T607" i="6"/>
  <c r="B608" i="6"/>
  <c r="C608" i="6"/>
  <c r="D608" i="6"/>
  <c r="E608" i="6"/>
  <c r="F608" i="6"/>
  <c r="H608" i="6"/>
  <c r="I608" i="6"/>
  <c r="N608" i="6"/>
  <c r="R608" i="6"/>
  <c r="Q608" i="6" s="1"/>
  <c r="S608" i="6" s="1"/>
  <c r="T608" i="6"/>
  <c r="B609" i="6"/>
  <c r="C609" i="6"/>
  <c r="D609" i="6"/>
  <c r="E609" i="6"/>
  <c r="F609" i="6"/>
  <c r="H609" i="6"/>
  <c r="I609" i="6"/>
  <c r="L609" i="6"/>
  <c r="N609" i="6"/>
  <c r="Q609" i="6"/>
  <c r="R609" i="6"/>
  <c r="S609" i="6"/>
  <c r="T609" i="6"/>
  <c r="B610" i="6"/>
  <c r="C610" i="6"/>
  <c r="D610" i="6"/>
  <c r="E610" i="6"/>
  <c r="F610" i="6"/>
  <c r="H610" i="6"/>
  <c r="I610" i="6"/>
  <c r="N610" i="6"/>
  <c r="R610" i="6"/>
  <c r="Q610" i="6" s="1"/>
  <c r="S610" i="6" s="1"/>
  <c r="T610" i="6"/>
  <c r="B611" i="6"/>
  <c r="C611" i="6"/>
  <c r="D611" i="6"/>
  <c r="E611" i="6"/>
  <c r="F611" i="6"/>
  <c r="H611" i="6"/>
  <c r="I611" i="6"/>
  <c r="L611" i="6"/>
  <c r="N611" i="6"/>
  <c r="Q611" i="6"/>
  <c r="R611" i="6"/>
  <c r="S611" i="6"/>
  <c r="T611" i="6"/>
  <c r="B612" i="6"/>
  <c r="C612" i="6"/>
  <c r="D612" i="6"/>
  <c r="E612" i="6"/>
  <c r="F612" i="6"/>
  <c r="H612" i="6"/>
  <c r="I612" i="6"/>
  <c r="N612" i="6"/>
  <c r="R612" i="6"/>
  <c r="Q612" i="6" s="1"/>
  <c r="S612" i="6" s="1"/>
  <c r="T612" i="6"/>
  <c r="B613" i="6"/>
  <c r="C613" i="6"/>
  <c r="D613" i="6"/>
  <c r="E613" i="6"/>
  <c r="F613" i="6"/>
  <c r="H613" i="6"/>
  <c r="I613" i="6"/>
  <c r="L613" i="6"/>
  <c r="N613" i="6"/>
  <c r="Q613" i="6"/>
  <c r="R613" i="6"/>
  <c r="S613" i="6"/>
  <c r="T613" i="6"/>
  <c r="B614" i="6"/>
  <c r="C614" i="6"/>
  <c r="D614" i="6"/>
  <c r="E614" i="6"/>
  <c r="F614" i="6"/>
  <c r="H614" i="6"/>
  <c r="I614" i="6"/>
  <c r="N614" i="6"/>
  <c r="R614" i="6"/>
  <c r="Q614" i="6" s="1"/>
  <c r="S614" i="6" s="1"/>
  <c r="T614" i="6"/>
  <c r="B615" i="6"/>
  <c r="C615" i="6"/>
  <c r="D615" i="6"/>
  <c r="E615" i="6"/>
  <c r="F615" i="6"/>
  <c r="H615" i="6"/>
  <c r="I615" i="6"/>
  <c r="L615" i="6"/>
  <c r="N615" i="6"/>
  <c r="Q615" i="6"/>
  <c r="R615" i="6"/>
  <c r="S615" i="6"/>
  <c r="T615" i="6"/>
  <c r="B616" i="6"/>
  <c r="C616" i="6"/>
  <c r="D616" i="6"/>
  <c r="E616" i="6"/>
  <c r="F616" i="6"/>
  <c r="H616" i="6"/>
  <c r="I616" i="6"/>
  <c r="N616" i="6"/>
  <c r="R616" i="6"/>
  <c r="Q616" i="6" s="1"/>
  <c r="S616" i="6" s="1"/>
  <c r="T616" i="6"/>
  <c r="B617" i="6"/>
  <c r="C617" i="6"/>
  <c r="D617" i="6"/>
  <c r="E617" i="6"/>
  <c r="F617" i="6"/>
  <c r="H617" i="6"/>
  <c r="I617" i="6"/>
  <c r="L617" i="6"/>
  <c r="N617" i="6"/>
  <c r="Q617" i="6"/>
  <c r="R617" i="6"/>
  <c r="S617" i="6"/>
  <c r="T617" i="6"/>
  <c r="B618" i="6"/>
  <c r="C618" i="6"/>
  <c r="D618" i="6"/>
  <c r="E618" i="6"/>
  <c r="F618" i="6"/>
  <c r="H618" i="6"/>
  <c r="I618" i="6"/>
  <c r="N618" i="6"/>
  <c r="R618" i="6"/>
  <c r="Q618" i="6" s="1"/>
  <c r="S618" i="6" s="1"/>
  <c r="T618" i="6"/>
  <c r="B619" i="6"/>
  <c r="C619" i="6"/>
  <c r="D619" i="6"/>
  <c r="E619" i="6"/>
  <c r="F619" i="6"/>
  <c r="H619" i="6"/>
  <c r="I619" i="6"/>
  <c r="L619" i="6"/>
  <c r="N619" i="6"/>
  <c r="Q619" i="6"/>
  <c r="R619" i="6"/>
  <c r="S619" i="6"/>
  <c r="T619" i="6"/>
  <c r="B620" i="6"/>
  <c r="C620" i="6"/>
  <c r="D620" i="6"/>
  <c r="E620" i="6"/>
  <c r="F620" i="6"/>
  <c r="H620" i="6"/>
  <c r="I620" i="6"/>
  <c r="N620" i="6"/>
  <c r="R620" i="6"/>
  <c r="Q620" i="6" s="1"/>
  <c r="S620" i="6" s="1"/>
  <c r="T620" i="6"/>
  <c r="B621" i="6"/>
  <c r="C621" i="6"/>
  <c r="D621" i="6"/>
  <c r="E621" i="6"/>
  <c r="F621" i="6"/>
  <c r="H621" i="6"/>
  <c r="I621" i="6"/>
  <c r="L621" i="6"/>
  <c r="N621" i="6"/>
  <c r="Q621" i="6"/>
  <c r="R621" i="6"/>
  <c r="S621" i="6"/>
  <c r="T621" i="6"/>
  <c r="B622" i="6"/>
  <c r="C622" i="6"/>
  <c r="D622" i="6"/>
  <c r="E622" i="6"/>
  <c r="F622" i="6"/>
  <c r="H622" i="6"/>
  <c r="I622" i="6"/>
  <c r="N622" i="6"/>
  <c r="R622" i="6"/>
  <c r="Q622" i="6" s="1"/>
  <c r="S622" i="6" s="1"/>
  <c r="T622" i="6"/>
  <c r="B623" i="6"/>
  <c r="C623" i="6"/>
  <c r="D623" i="6"/>
  <c r="E623" i="6"/>
  <c r="F623" i="6"/>
  <c r="H623" i="6"/>
  <c r="I623" i="6"/>
  <c r="L623" i="6"/>
  <c r="N623" i="6"/>
  <c r="Q623" i="6"/>
  <c r="R623" i="6"/>
  <c r="S623" i="6"/>
  <c r="T623" i="6"/>
  <c r="B624" i="6"/>
  <c r="C624" i="6"/>
  <c r="D624" i="6"/>
  <c r="E624" i="6"/>
  <c r="F624" i="6"/>
  <c r="H624" i="6"/>
  <c r="I624" i="6"/>
  <c r="N624" i="6"/>
  <c r="R624" i="6"/>
  <c r="Q624" i="6" s="1"/>
  <c r="S624" i="6" s="1"/>
  <c r="T624" i="6"/>
  <c r="B625" i="6"/>
  <c r="C625" i="6"/>
  <c r="D625" i="6"/>
  <c r="E625" i="6"/>
  <c r="F625" i="6"/>
  <c r="H625" i="6"/>
  <c r="I625" i="6"/>
  <c r="L625" i="6"/>
  <c r="N625" i="6"/>
  <c r="Q625" i="6"/>
  <c r="R625" i="6"/>
  <c r="S625" i="6"/>
  <c r="T625" i="6"/>
  <c r="B626" i="6"/>
  <c r="C626" i="6"/>
  <c r="D626" i="6"/>
  <c r="E626" i="6"/>
  <c r="F626" i="6"/>
  <c r="H626" i="6"/>
  <c r="I626" i="6"/>
  <c r="N626" i="6"/>
  <c r="R626" i="6"/>
  <c r="Q626" i="6" s="1"/>
  <c r="S626" i="6" s="1"/>
  <c r="T626" i="6"/>
  <c r="B627" i="6"/>
  <c r="C627" i="6"/>
  <c r="D627" i="6"/>
  <c r="E627" i="6"/>
  <c r="F627" i="6"/>
  <c r="H627" i="6"/>
  <c r="I627" i="6"/>
  <c r="L627" i="6"/>
  <c r="N627" i="6"/>
  <c r="Q627" i="6"/>
  <c r="R627" i="6"/>
  <c r="S627" i="6"/>
  <c r="T627" i="6"/>
  <c r="B628" i="6"/>
  <c r="C628" i="6"/>
  <c r="D628" i="6"/>
  <c r="E628" i="6"/>
  <c r="F628" i="6"/>
  <c r="H628" i="6"/>
  <c r="I628" i="6"/>
  <c r="N628" i="6"/>
  <c r="R628" i="6"/>
  <c r="Q628" i="6" s="1"/>
  <c r="S628" i="6" s="1"/>
  <c r="T628" i="6"/>
  <c r="B629" i="6"/>
  <c r="C629" i="6"/>
  <c r="D629" i="6"/>
  <c r="E629" i="6"/>
  <c r="F629" i="6"/>
  <c r="H629" i="6"/>
  <c r="I629" i="6"/>
  <c r="L629" i="6"/>
  <c r="N629" i="6"/>
  <c r="Q629" i="6"/>
  <c r="R629" i="6"/>
  <c r="S629" i="6"/>
  <c r="T629" i="6"/>
  <c r="B630" i="6"/>
  <c r="C630" i="6"/>
  <c r="D630" i="6"/>
  <c r="E630" i="6"/>
  <c r="F630" i="6"/>
  <c r="H630" i="6"/>
  <c r="I630" i="6"/>
  <c r="N630" i="6"/>
  <c r="R630" i="6"/>
  <c r="Q630" i="6" s="1"/>
  <c r="S630" i="6" s="1"/>
  <c r="T630" i="6"/>
  <c r="B631" i="6"/>
  <c r="C631" i="6"/>
  <c r="D631" i="6"/>
  <c r="E631" i="6"/>
  <c r="F631" i="6"/>
  <c r="H631" i="6"/>
  <c r="I631" i="6"/>
  <c r="L631" i="6"/>
  <c r="N631" i="6"/>
  <c r="Q631" i="6"/>
  <c r="R631" i="6"/>
  <c r="S631" i="6"/>
  <c r="T631" i="6"/>
  <c r="B632" i="6"/>
  <c r="C632" i="6"/>
  <c r="D632" i="6"/>
  <c r="E632" i="6"/>
  <c r="F632" i="6"/>
  <c r="H632" i="6"/>
  <c r="I632" i="6"/>
  <c r="N632" i="6"/>
  <c r="R632" i="6"/>
  <c r="Q632" i="6" s="1"/>
  <c r="S632" i="6" s="1"/>
  <c r="T632" i="6"/>
  <c r="B633" i="6"/>
  <c r="C633" i="6"/>
  <c r="D633" i="6"/>
  <c r="E633" i="6"/>
  <c r="F633" i="6"/>
  <c r="H633" i="6"/>
  <c r="I633" i="6"/>
  <c r="L633" i="6"/>
  <c r="N633" i="6"/>
  <c r="Q633" i="6"/>
  <c r="R633" i="6"/>
  <c r="S633" i="6"/>
  <c r="T633" i="6"/>
  <c r="B634" i="6"/>
  <c r="C634" i="6"/>
  <c r="D634" i="6"/>
  <c r="E634" i="6"/>
  <c r="F634" i="6"/>
  <c r="H634" i="6"/>
  <c r="I634" i="6"/>
  <c r="N634" i="6"/>
  <c r="R634" i="6"/>
  <c r="Q634" i="6" s="1"/>
  <c r="S634" i="6" s="1"/>
  <c r="T634" i="6"/>
  <c r="B635" i="6"/>
  <c r="C635" i="6"/>
  <c r="D635" i="6"/>
  <c r="E635" i="6"/>
  <c r="F635" i="6"/>
  <c r="H635" i="6"/>
  <c r="I635" i="6"/>
  <c r="L635" i="6"/>
  <c r="N635" i="6"/>
  <c r="Q635" i="6"/>
  <c r="R635" i="6"/>
  <c r="S635" i="6"/>
  <c r="T635" i="6"/>
  <c r="B636" i="6"/>
  <c r="C636" i="6"/>
  <c r="D636" i="6"/>
  <c r="E636" i="6"/>
  <c r="F636" i="6"/>
  <c r="H636" i="6"/>
  <c r="I636" i="6"/>
  <c r="N636" i="6"/>
  <c r="R636" i="6"/>
  <c r="Q636" i="6" s="1"/>
  <c r="S636" i="6" s="1"/>
  <c r="T636" i="6"/>
  <c r="B637" i="6"/>
  <c r="C637" i="6"/>
  <c r="D637" i="6"/>
  <c r="E637" i="6"/>
  <c r="F637" i="6"/>
  <c r="H637" i="6"/>
  <c r="I637" i="6"/>
  <c r="L637" i="6"/>
  <c r="N637" i="6"/>
  <c r="Q637" i="6"/>
  <c r="R637" i="6"/>
  <c r="S637" i="6"/>
  <c r="T637" i="6"/>
  <c r="B638" i="6"/>
  <c r="C638" i="6"/>
  <c r="D638" i="6"/>
  <c r="E638" i="6"/>
  <c r="F638" i="6"/>
  <c r="H638" i="6"/>
  <c r="I638" i="6"/>
  <c r="N638" i="6"/>
  <c r="R638" i="6"/>
  <c r="Q638" i="6" s="1"/>
  <c r="S638" i="6" s="1"/>
  <c r="T638" i="6"/>
  <c r="B639" i="6"/>
  <c r="C639" i="6"/>
  <c r="D639" i="6"/>
  <c r="E639" i="6"/>
  <c r="F639" i="6"/>
  <c r="H639" i="6"/>
  <c r="I639" i="6"/>
  <c r="L639" i="6"/>
  <c r="N639" i="6"/>
  <c r="Q639" i="6"/>
  <c r="R639" i="6"/>
  <c r="S639" i="6"/>
  <c r="T639" i="6"/>
  <c r="B640" i="6"/>
  <c r="C640" i="6"/>
  <c r="D640" i="6"/>
  <c r="E640" i="6"/>
  <c r="F640" i="6"/>
  <c r="H640" i="6"/>
  <c r="I640" i="6"/>
  <c r="N640" i="6"/>
  <c r="R640" i="6"/>
  <c r="Q640" i="6" s="1"/>
  <c r="S640" i="6" s="1"/>
  <c r="T640" i="6"/>
  <c r="B641" i="6"/>
  <c r="C641" i="6"/>
  <c r="D641" i="6"/>
  <c r="L641" i="6" s="1"/>
  <c r="E641" i="6"/>
  <c r="F641" i="6"/>
  <c r="H641" i="6"/>
  <c r="I641" i="6"/>
  <c r="N641" i="6"/>
  <c r="R641" i="6"/>
  <c r="Q641" i="6" s="1"/>
  <c r="S641" i="6" s="1"/>
  <c r="T641" i="6"/>
  <c r="B642" i="6"/>
  <c r="C642" i="6"/>
  <c r="D642" i="6"/>
  <c r="E642" i="6"/>
  <c r="F642" i="6"/>
  <c r="H642" i="6"/>
  <c r="I642" i="6"/>
  <c r="L642" i="6"/>
  <c r="N642" i="6"/>
  <c r="Q642" i="6"/>
  <c r="R642" i="6"/>
  <c r="S642" i="6"/>
  <c r="T642" i="6"/>
  <c r="B643" i="6"/>
  <c r="C643" i="6"/>
  <c r="D643" i="6"/>
  <c r="L643" i="6" s="1"/>
  <c r="E643" i="6"/>
  <c r="F643" i="6"/>
  <c r="H643" i="6"/>
  <c r="I643" i="6"/>
  <c r="N643" i="6"/>
  <c r="R643" i="6"/>
  <c r="Q643" i="6" s="1"/>
  <c r="S643" i="6" s="1"/>
  <c r="T643" i="6"/>
  <c r="B644" i="6"/>
  <c r="C644" i="6"/>
  <c r="D644" i="6"/>
  <c r="E644" i="6"/>
  <c r="F644" i="6"/>
  <c r="H644" i="6"/>
  <c r="I644" i="6"/>
  <c r="L644" i="6"/>
  <c r="N644" i="6"/>
  <c r="Q644" i="6"/>
  <c r="R644" i="6"/>
  <c r="S644" i="6"/>
  <c r="T644" i="6"/>
  <c r="B645" i="6"/>
  <c r="C645" i="6"/>
  <c r="D645" i="6"/>
  <c r="L645" i="6" s="1"/>
  <c r="E645" i="6"/>
  <c r="F645" i="6"/>
  <c r="H645" i="6"/>
  <c r="I645" i="6"/>
  <c r="N645" i="6"/>
  <c r="R645" i="6"/>
  <c r="Q645" i="6" s="1"/>
  <c r="S645" i="6" s="1"/>
  <c r="T645" i="6"/>
  <c r="B646" i="6"/>
  <c r="C646" i="6"/>
  <c r="D646" i="6"/>
  <c r="E646" i="6"/>
  <c r="F646" i="6"/>
  <c r="H646" i="6"/>
  <c r="I646" i="6"/>
  <c r="L646" i="6"/>
  <c r="N646" i="6"/>
  <c r="Q646" i="6"/>
  <c r="R646" i="6"/>
  <c r="S646" i="6"/>
  <c r="T646" i="6"/>
  <c r="B647" i="6"/>
  <c r="C647" i="6"/>
  <c r="D647" i="6"/>
  <c r="L647" i="6" s="1"/>
  <c r="E647" i="6"/>
  <c r="F647" i="6"/>
  <c r="H647" i="6"/>
  <c r="I647" i="6"/>
  <c r="N647" i="6"/>
  <c r="R647" i="6"/>
  <c r="Q647" i="6" s="1"/>
  <c r="S647" i="6" s="1"/>
  <c r="T647" i="6"/>
  <c r="B648" i="6"/>
  <c r="C648" i="6"/>
  <c r="D648" i="6"/>
  <c r="E648" i="6"/>
  <c r="F648" i="6"/>
  <c r="H648" i="6"/>
  <c r="I648" i="6"/>
  <c r="L648" i="6"/>
  <c r="N648" i="6"/>
  <c r="Q648" i="6"/>
  <c r="R648" i="6"/>
  <c r="S648" i="6"/>
  <c r="T648" i="6"/>
  <c r="B649" i="6"/>
  <c r="C649" i="6"/>
  <c r="D649" i="6"/>
  <c r="L649" i="6" s="1"/>
  <c r="E649" i="6"/>
  <c r="F649" i="6"/>
  <c r="H649" i="6"/>
  <c r="I649" i="6"/>
  <c r="N649" i="6"/>
  <c r="R649" i="6"/>
  <c r="Q649" i="6" s="1"/>
  <c r="S649" i="6" s="1"/>
  <c r="T649" i="6"/>
  <c r="B650" i="6"/>
  <c r="C650" i="6"/>
  <c r="D650" i="6"/>
  <c r="E650" i="6"/>
  <c r="F650" i="6"/>
  <c r="H650" i="6"/>
  <c r="I650" i="6"/>
  <c r="L650" i="6"/>
  <c r="N650" i="6"/>
  <c r="Q650" i="6"/>
  <c r="R650" i="6"/>
  <c r="S650" i="6"/>
  <c r="T650" i="6"/>
  <c r="B651" i="6"/>
  <c r="C651" i="6"/>
  <c r="D651" i="6"/>
  <c r="L651" i="6" s="1"/>
  <c r="E651" i="6"/>
  <c r="F651" i="6"/>
  <c r="H651" i="6"/>
  <c r="I651" i="6"/>
  <c r="N651" i="6"/>
  <c r="R651" i="6"/>
  <c r="Q651" i="6" s="1"/>
  <c r="S651" i="6" s="1"/>
  <c r="T651" i="6"/>
  <c r="B652" i="6"/>
  <c r="C652" i="6"/>
  <c r="D652" i="6"/>
  <c r="E652" i="6"/>
  <c r="F652" i="6"/>
  <c r="H652" i="6"/>
  <c r="I652" i="6"/>
  <c r="L652" i="6"/>
  <c r="N652" i="6"/>
  <c r="Q652" i="6"/>
  <c r="R652" i="6"/>
  <c r="S652" i="6"/>
  <c r="T652" i="6"/>
  <c r="B653" i="6"/>
  <c r="C653" i="6"/>
  <c r="D653" i="6"/>
  <c r="L653" i="6" s="1"/>
  <c r="E653" i="6"/>
  <c r="F653" i="6"/>
  <c r="H653" i="6"/>
  <c r="I653" i="6"/>
  <c r="N653" i="6"/>
  <c r="R653" i="6"/>
  <c r="Q653" i="6" s="1"/>
  <c r="S653" i="6" s="1"/>
  <c r="T653" i="6"/>
  <c r="B654" i="6"/>
  <c r="C654" i="6"/>
  <c r="D654" i="6"/>
  <c r="E654" i="6"/>
  <c r="F654" i="6"/>
  <c r="H654" i="6"/>
  <c r="I654" i="6"/>
  <c r="L654" i="6"/>
  <c r="N654" i="6"/>
  <c r="Q654" i="6"/>
  <c r="R654" i="6"/>
  <c r="S654" i="6"/>
  <c r="T654" i="6"/>
  <c r="B655" i="6"/>
  <c r="C655" i="6"/>
  <c r="D655" i="6"/>
  <c r="L655" i="6" s="1"/>
  <c r="E655" i="6"/>
  <c r="F655" i="6"/>
  <c r="H655" i="6"/>
  <c r="I655" i="6"/>
  <c r="N655" i="6"/>
  <c r="R655" i="6"/>
  <c r="Q655" i="6" s="1"/>
  <c r="S655" i="6" s="1"/>
  <c r="T655" i="6"/>
  <c r="B656" i="6"/>
  <c r="C656" i="6"/>
  <c r="D656" i="6"/>
  <c r="E656" i="6"/>
  <c r="F656" i="6"/>
  <c r="H656" i="6"/>
  <c r="I656" i="6"/>
  <c r="L656" i="6"/>
  <c r="N656" i="6"/>
  <c r="Q656" i="6"/>
  <c r="R656" i="6"/>
  <c r="S656" i="6"/>
  <c r="T656" i="6"/>
  <c r="B657" i="6"/>
  <c r="C657" i="6"/>
  <c r="D657" i="6"/>
  <c r="L657" i="6" s="1"/>
  <c r="E657" i="6"/>
  <c r="F657" i="6"/>
  <c r="H657" i="6"/>
  <c r="I657" i="6"/>
  <c r="N657" i="6"/>
  <c r="R657" i="6"/>
  <c r="Q657" i="6" s="1"/>
  <c r="S657" i="6" s="1"/>
  <c r="T657" i="6"/>
  <c r="B658" i="6"/>
  <c r="C658" i="6"/>
  <c r="D658" i="6"/>
  <c r="E658" i="6"/>
  <c r="F658" i="6"/>
  <c r="H658" i="6"/>
  <c r="I658" i="6"/>
  <c r="L658" i="6"/>
  <c r="N658" i="6"/>
  <c r="Q658" i="6"/>
  <c r="R658" i="6"/>
  <c r="S658" i="6"/>
  <c r="T658" i="6"/>
  <c r="B659" i="6"/>
  <c r="C659" i="6"/>
  <c r="D659" i="6"/>
  <c r="L659" i="6" s="1"/>
  <c r="E659" i="6"/>
  <c r="F659" i="6"/>
  <c r="H659" i="6"/>
  <c r="I659" i="6"/>
  <c r="N659" i="6"/>
  <c r="R659" i="6"/>
  <c r="Q659" i="6" s="1"/>
  <c r="S659" i="6" s="1"/>
  <c r="T659" i="6"/>
  <c r="B660" i="6"/>
  <c r="C660" i="6"/>
  <c r="D660" i="6"/>
  <c r="E660" i="6"/>
  <c r="F660" i="6"/>
  <c r="H660" i="6"/>
  <c r="I660" i="6"/>
  <c r="L660" i="6"/>
  <c r="N660" i="6"/>
  <c r="Q660" i="6"/>
  <c r="R660" i="6"/>
  <c r="S660" i="6"/>
  <c r="T660" i="6"/>
  <c r="B661" i="6"/>
  <c r="C661" i="6"/>
  <c r="D661" i="6"/>
  <c r="L661" i="6" s="1"/>
  <c r="E661" i="6"/>
  <c r="F661" i="6"/>
  <c r="H661" i="6"/>
  <c r="I661" i="6"/>
  <c r="N661" i="6"/>
  <c r="R661" i="6"/>
  <c r="Q661" i="6" s="1"/>
  <c r="S661" i="6" s="1"/>
  <c r="T661" i="6"/>
  <c r="B662" i="6"/>
  <c r="C662" i="6"/>
  <c r="D662" i="6"/>
  <c r="E662" i="6"/>
  <c r="F662" i="6"/>
  <c r="H662" i="6"/>
  <c r="I662" i="6"/>
  <c r="L662" i="6"/>
  <c r="N662" i="6"/>
  <c r="Q662" i="6"/>
  <c r="R662" i="6"/>
  <c r="S662" i="6"/>
  <c r="T662" i="6"/>
  <c r="B663" i="6"/>
  <c r="C663" i="6"/>
  <c r="D663" i="6"/>
  <c r="L663" i="6" s="1"/>
  <c r="E663" i="6"/>
  <c r="F663" i="6"/>
  <c r="H663" i="6"/>
  <c r="I663" i="6"/>
  <c r="N663" i="6"/>
  <c r="R663" i="6"/>
  <c r="Q663" i="6" s="1"/>
  <c r="S663" i="6" s="1"/>
  <c r="T663" i="6"/>
  <c r="B664" i="6"/>
  <c r="C664" i="6"/>
  <c r="D664" i="6"/>
  <c r="E664" i="6"/>
  <c r="F664" i="6"/>
  <c r="H664" i="6"/>
  <c r="I664" i="6"/>
  <c r="L664" i="6"/>
  <c r="N664" i="6"/>
  <c r="Q664" i="6"/>
  <c r="R664" i="6"/>
  <c r="S664" i="6"/>
  <c r="T664" i="6"/>
  <c r="B665" i="6"/>
  <c r="C665" i="6"/>
  <c r="D665" i="6"/>
  <c r="L665" i="6" s="1"/>
  <c r="E665" i="6"/>
  <c r="F665" i="6"/>
  <c r="H665" i="6"/>
  <c r="I665" i="6"/>
  <c r="N665" i="6"/>
  <c r="R665" i="6"/>
  <c r="Q665" i="6" s="1"/>
  <c r="S665" i="6" s="1"/>
  <c r="T665" i="6"/>
  <c r="B666" i="6"/>
  <c r="C666" i="6"/>
  <c r="D666" i="6"/>
  <c r="E666" i="6"/>
  <c r="F666" i="6"/>
  <c r="H666" i="6"/>
  <c r="I666" i="6"/>
  <c r="L666" i="6"/>
  <c r="N666" i="6"/>
  <c r="Q666" i="6"/>
  <c r="R666" i="6"/>
  <c r="S666" i="6"/>
  <c r="T666" i="6"/>
  <c r="B667" i="6"/>
  <c r="C667" i="6"/>
  <c r="D667" i="6"/>
  <c r="L667" i="6" s="1"/>
  <c r="E667" i="6"/>
  <c r="F667" i="6"/>
  <c r="H667" i="6"/>
  <c r="I667" i="6"/>
  <c r="N667" i="6"/>
  <c r="R667" i="6"/>
  <c r="Q667" i="6" s="1"/>
  <c r="S667" i="6" s="1"/>
  <c r="T667" i="6"/>
  <c r="B668" i="6"/>
  <c r="C668" i="6"/>
  <c r="D668" i="6"/>
  <c r="E668" i="6"/>
  <c r="F668" i="6"/>
  <c r="H668" i="6"/>
  <c r="I668" i="6"/>
  <c r="L668" i="6"/>
  <c r="N668" i="6"/>
  <c r="Q668" i="6"/>
  <c r="R668" i="6"/>
  <c r="S668" i="6"/>
  <c r="T668" i="6"/>
  <c r="B669" i="6"/>
  <c r="C669" i="6"/>
  <c r="D669" i="6"/>
  <c r="L669" i="6" s="1"/>
  <c r="E669" i="6"/>
  <c r="F669" i="6"/>
  <c r="H669" i="6"/>
  <c r="I669" i="6"/>
  <c r="N669" i="6"/>
  <c r="R669" i="6"/>
  <c r="Q669" i="6" s="1"/>
  <c r="S669" i="6" s="1"/>
  <c r="T669" i="6"/>
  <c r="B670" i="6"/>
  <c r="C670" i="6"/>
  <c r="D670" i="6"/>
  <c r="E670" i="6"/>
  <c r="F670" i="6"/>
  <c r="H670" i="6"/>
  <c r="I670" i="6"/>
  <c r="L670" i="6"/>
  <c r="N670" i="6"/>
  <c r="Q670" i="6"/>
  <c r="R670" i="6"/>
  <c r="S670" i="6"/>
  <c r="T670" i="6"/>
  <c r="B671" i="6"/>
  <c r="C671" i="6"/>
  <c r="D671" i="6"/>
  <c r="L671" i="6" s="1"/>
  <c r="E671" i="6"/>
  <c r="F671" i="6"/>
  <c r="H671" i="6"/>
  <c r="I671" i="6"/>
  <c r="N671" i="6"/>
  <c r="R671" i="6"/>
  <c r="Q671" i="6" s="1"/>
  <c r="S671" i="6" s="1"/>
  <c r="T671" i="6"/>
  <c r="B672" i="6"/>
  <c r="C672" i="6"/>
  <c r="D672" i="6"/>
  <c r="E672" i="6"/>
  <c r="F672" i="6"/>
  <c r="H672" i="6"/>
  <c r="I672" i="6"/>
  <c r="L672" i="6"/>
  <c r="N672" i="6"/>
  <c r="Q672" i="6"/>
  <c r="R672" i="6"/>
  <c r="S672" i="6"/>
  <c r="T672" i="6"/>
  <c r="B673" i="6"/>
  <c r="C673" i="6"/>
  <c r="D673" i="6"/>
  <c r="L673" i="6" s="1"/>
  <c r="E673" i="6"/>
  <c r="F673" i="6"/>
  <c r="H673" i="6"/>
  <c r="I673" i="6"/>
  <c r="N673" i="6"/>
  <c r="R673" i="6"/>
  <c r="Q673" i="6" s="1"/>
  <c r="S673" i="6" s="1"/>
  <c r="T673" i="6"/>
  <c r="B674" i="6"/>
  <c r="C674" i="6"/>
  <c r="D674" i="6"/>
  <c r="E674" i="6"/>
  <c r="F674" i="6"/>
  <c r="H674" i="6"/>
  <c r="I674" i="6"/>
  <c r="L674" i="6"/>
  <c r="N674" i="6"/>
  <c r="Q674" i="6"/>
  <c r="R674" i="6"/>
  <c r="S674" i="6"/>
  <c r="T674" i="6"/>
  <c r="B675" i="6"/>
  <c r="C675" i="6"/>
  <c r="D675" i="6"/>
  <c r="L675" i="6" s="1"/>
  <c r="E675" i="6"/>
  <c r="F675" i="6"/>
  <c r="H675" i="6"/>
  <c r="I675" i="6"/>
  <c r="N675" i="6"/>
  <c r="R675" i="6"/>
  <c r="Q675" i="6" s="1"/>
  <c r="S675" i="6" s="1"/>
  <c r="T675" i="6"/>
  <c r="B676" i="6"/>
  <c r="C676" i="6"/>
  <c r="D676" i="6"/>
  <c r="E676" i="6"/>
  <c r="F676" i="6"/>
  <c r="H676" i="6"/>
  <c r="I676" i="6"/>
  <c r="L676" i="6"/>
  <c r="N676" i="6"/>
  <c r="Q676" i="6"/>
  <c r="R676" i="6"/>
  <c r="S676" i="6"/>
  <c r="T676" i="6"/>
  <c r="B677" i="6"/>
  <c r="C677" i="6"/>
  <c r="D677" i="6"/>
  <c r="L677" i="6" s="1"/>
  <c r="E677" i="6"/>
  <c r="F677" i="6"/>
  <c r="H677" i="6"/>
  <c r="I677" i="6"/>
  <c r="N677" i="6"/>
  <c r="R677" i="6"/>
  <c r="Q677" i="6" s="1"/>
  <c r="S677" i="6" s="1"/>
  <c r="T677" i="6"/>
  <c r="B678" i="6"/>
  <c r="C678" i="6"/>
  <c r="D678" i="6"/>
  <c r="E678" i="6"/>
  <c r="F678" i="6"/>
  <c r="H678" i="6"/>
  <c r="I678" i="6"/>
  <c r="L678" i="6"/>
  <c r="N678" i="6"/>
  <c r="Q678" i="6"/>
  <c r="R678" i="6"/>
  <c r="S678" i="6"/>
  <c r="T678" i="6"/>
  <c r="B679" i="6"/>
  <c r="C679" i="6"/>
  <c r="D679" i="6"/>
  <c r="L679" i="6" s="1"/>
  <c r="E679" i="6"/>
  <c r="F679" i="6"/>
  <c r="H679" i="6"/>
  <c r="I679" i="6"/>
  <c r="N679" i="6"/>
  <c r="R679" i="6"/>
  <c r="Q679" i="6" s="1"/>
  <c r="S679" i="6" s="1"/>
  <c r="T679" i="6"/>
  <c r="B680" i="6"/>
  <c r="C680" i="6"/>
  <c r="D680" i="6"/>
  <c r="E680" i="6"/>
  <c r="F680" i="6"/>
  <c r="H680" i="6"/>
  <c r="I680" i="6"/>
  <c r="L680" i="6"/>
  <c r="N680" i="6"/>
  <c r="Q680" i="6"/>
  <c r="R680" i="6"/>
  <c r="S680" i="6"/>
  <c r="T680" i="6"/>
  <c r="B681" i="6"/>
  <c r="C681" i="6"/>
  <c r="D681" i="6"/>
  <c r="L681" i="6" s="1"/>
  <c r="E681" i="6"/>
  <c r="F681" i="6"/>
  <c r="H681" i="6"/>
  <c r="I681" i="6"/>
  <c r="N681" i="6"/>
  <c r="R681" i="6"/>
  <c r="Q681" i="6" s="1"/>
  <c r="S681" i="6" s="1"/>
  <c r="T681" i="6"/>
  <c r="B682" i="6"/>
  <c r="C682" i="6"/>
  <c r="D682" i="6"/>
  <c r="E682" i="6"/>
  <c r="F682" i="6"/>
  <c r="H682" i="6"/>
  <c r="I682" i="6"/>
  <c r="L682" i="6"/>
  <c r="N682" i="6"/>
  <c r="Q682" i="6"/>
  <c r="R682" i="6"/>
  <c r="S682" i="6"/>
  <c r="T682" i="6"/>
  <c r="B683" i="6"/>
  <c r="C683" i="6"/>
  <c r="D683" i="6"/>
  <c r="L683" i="6" s="1"/>
  <c r="E683" i="6"/>
  <c r="F683" i="6"/>
  <c r="H683" i="6"/>
  <c r="I683" i="6"/>
  <c r="N683" i="6"/>
  <c r="R683" i="6"/>
  <c r="Q683" i="6" s="1"/>
  <c r="S683" i="6" s="1"/>
  <c r="T683" i="6"/>
  <c r="B684" i="6"/>
  <c r="C684" i="6"/>
  <c r="D684" i="6"/>
  <c r="E684" i="6"/>
  <c r="F684" i="6"/>
  <c r="H684" i="6"/>
  <c r="I684" i="6"/>
  <c r="L684" i="6"/>
  <c r="N684" i="6"/>
  <c r="Q684" i="6"/>
  <c r="R684" i="6"/>
  <c r="S684" i="6"/>
  <c r="T684" i="6"/>
  <c r="B685" i="6"/>
  <c r="C685" i="6"/>
  <c r="D685" i="6"/>
  <c r="L685" i="6" s="1"/>
  <c r="E685" i="6"/>
  <c r="F685" i="6"/>
  <c r="H685" i="6"/>
  <c r="I685" i="6"/>
  <c r="N685" i="6"/>
  <c r="R685" i="6"/>
  <c r="Q685" i="6" s="1"/>
  <c r="S685" i="6" s="1"/>
  <c r="T685" i="6"/>
  <c r="B686" i="6"/>
  <c r="C686" i="6"/>
  <c r="D686" i="6"/>
  <c r="E686" i="6"/>
  <c r="F686" i="6"/>
  <c r="H686" i="6"/>
  <c r="I686" i="6"/>
  <c r="L686" i="6"/>
  <c r="N686" i="6"/>
  <c r="Q686" i="6"/>
  <c r="R686" i="6"/>
  <c r="S686" i="6"/>
  <c r="T686" i="6"/>
  <c r="B687" i="6"/>
  <c r="C687" i="6"/>
  <c r="D687" i="6"/>
  <c r="L687" i="6" s="1"/>
  <c r="E687" i="6"/>
  <c r="F687" i="6"/>
  <c r="H687" i="6"/>
  <c r="I687" i="6"/>
  <c r="N687" i="6"/>
  <c r="R687" i="6"/>
  <c r="Q687" i="6" s="1"/>
  <c r="S687" i="6" s="1"/>
  <c r="T687" i="6"/>
  <c r="B688" i="6"/>
  <c r="C688" i="6"/>
  <c r="D688" i="6"/>
  <c r="E688" i="6"/>
  <c r="F688" i="6"/>
  <c r="H688" i="6"/>
  <c r="I688" i="6"/>
  <c r="L688" i="6"/>
  <c r="N688" i="6"/>
  <c r="Q688" i="6"/>
  <c r="R688" i="6"/>
  <c r="S688" i="6"/>
  <c r="T688" i="6"/>
  <c r="B689" i="6"/>
  <c r="C689" i="6"/>
  <c r="D689" i="6"/>
  <c r="L689" i="6" s="1"/>
  <c r="E689" i="6"/>
  <c r="F689" i="6"/>
  <c r="H689" i="6"/>
  <c r="I689" i="6"/>
  <c r="N689" i="6"/>
  <c r="R689" i="6"/>
  <c r="Q689" i="6" s="1"/>
  <c r="S689" i="6" s="1"/>
  <c r="T689" i="6"/>
  <c r="B690" i="6"/>
  <c r="C690" i="6"/>
  <c r="D690" i="6"/>
  <c r="E690" i="6"/>
  <c r="F690" i="6"/>
  <c r="H690" i="6"/>
  <c r="I690" i="6"/>
  <c r="L690" i="6"/>
  <c r="N690" i="6"/>
  <c r="Q690" i="6"/>
  <c r="R690" i="6"/>
  <c r="S690" i="6"/>
  <c r="T690" i="6"/>
  <c r="B691" i="6"/>
  <c r="C691" i="6"/>
  <c r="D691" i="6"/>
  <c r="L691" i="6" s="1"/>
  <c r="E691" i="6"/>
  <c r="F691" i="6"/>
  <c r="H691" i="6"/>
  <c r="I691" i="6"/>
  <c r="N691" i="6"/>
  <c r="R691" i="6"/>
  <c r="Q691" i="6" s="1"/>
  <c r="S691" i="6" s="1"/>
  <c r="T691" i="6"/>
  <c r="B692" i="6"/>
  <c r="C692" i="6"/>
  <c r="D692" i="6"/>
  <c r="E692" i="6"/>
  <c r="F692" i="6"/>
  <c r="H692" i="6"/>
  <c r="I692" i="6"/>
  <c r="L692" i="6"/>
  <c r="N692" i="6"/>
  <c r="Q692" i="6"/>
  <c r="R692" i="6"/>
  <c r="S692" i="6"/>
  <c r="T692" i="6"/>
  <c r="B693" i="6"/>
  <c r="C693" i="6"/>
  <c r="D693" i="6"/>
  <c r="L693" i="6" s="1"/>
  <c r="E693" i="6"/>
  <c r="F693" i="6"/>
  <c r="H693" i="6"/>
  <c r="I693" i="6"/>
  <c r="N693" i="6"/>
  <c r="R693" i="6"/>
  <c r="Q693" i="6" s="1"/>
  <c r="S693" i="6" s="1"/>
  <c r="T693" i="6"/>
  <c r="B694" i="6"/>
  <c r="C694" i="6"/>
  <c r="D694" i="6"/>
  <c r="E694" i="6"/>
  <c r="F694" i="6"/>
  <c r="H694" i="6"/>
  <c r="I694" i="6"/>
  <c r="L694" i="6"/>
  <c r="N694" i="6"/>
  <c r="Q694" i="6"/>
  <c r="R694" i="6"/>
  <c r="S694" i="6"/>
  <c r="T694" i="6"/>
  <c r="B695" i="6"/>
  <c r="C695" i="6"/>
  <c r="D695" i="6"/>
  <c r="L695" i="6" s="1"/>
  <c r="E695" i="6"/>
  <c r="F695" i="6"/>
  <c r="H695" i="6"/>
  <c r="I695" i="6"/>
  <c r="N695" i="6"/>
  <c r="R695" i="6"/>
  <c r="Q695" i="6" s="1"/>
  <c r="S695" i="6" s="1"/>
  <c r="T695" i="6"/>
  <c r="B696" i="6"/>
  <c r="C696" i="6"/>
  <c r="D696" i="6"/>
  <c r="E696" i="6"/>
  <c r="F696" i="6"/>
  <c r="H696" i="6"/>
  <c r="I696" i="6"/>
  <c r="L696" i="6"/>
  <c r="N696" i="6"/>
  <c r="Q696" i="6"/>
  <c r="R696" i="6"/>
  <c r="S696" i="6"/>
  <c r="T696" i="6"/>
  <c r="B697" i="6"/>
  <c r="C697" i="6"/>
  <c r="D697" i="6"/>
  <c r="L697" i="6" s="1"/>
  <c r="E697" i="6"/>
  <c r="F697" i="6"/>
  <c r="H697" i="6"/>
  <c r="I697" i="6"/>
  <c r="N697" i="6"/>
  <c r="R697" i="6"/>
  <c r="Q697" i="6" s="1"/>
  <c r="S697" i="6" s="1"/>
  <c r="T697" i="6"/>
  <c r="B698" i="6"/>
  <c r="C698" i="6"/>
  <c r="D698" i="6"/>
  <c r="E698" i="6"/>
  <c r="F698" i="6"/>
  <c r="H698" i="6"/>
  <c r="I698" i="6"/>
  <c r="L698" i="6"/>
  <c r="N698" i="6"/>
  <c r="Q698" i="6"/>
  <c r="R698" i="6"/>
  <c r="S698" i="6"/>
  <c r="T698" i="6"/>
  <c r="B699" i="6"/>
  <c r="C699" i="6"/>
  <c r="D699" i="6"/>
  <c r="L699" i="6" s="1"/>
  <c r="E699" i="6"/>
  <c r="F699" i="6"/>
  <c r="H699" i="6"/>
  <c r="I699" i="6"/>
  <c r="N699" i="6"/>
  <c r="R699" i="6"/>
  <c r="Q699" i="6" s="1"/>
  <c r="S699" i="6" s="1"/>
  <c r="T699" i="6"/>
  <c r="B700" i="6"/>
  <c r="C700" i="6"/>
  <c r="D700" i="6"/>
  <c r="E700" i="6"/>
  <c r="F700" i="6"/>
  <c r="H700" i="6"/>
  <c r="I700" i="6"/>
  <c r="L700" i="6"/>
  <c r="N700" i="6"/>
  <c r="Q700" i="6"/>
  <c r="R700" i="6"/>
  <c r="S700" i="6"/>
  <c r="T700" i="6"/>
  <c r="B701" i="6"/>
  <c r="C701" i="6"/>
  <c r="D701" i="6"/>
  <c r="L701" i="6" s="1"/>
  <c r="E701" i="6"/>
  <c r="F701" i="6"/>
  <c r="H701" i="6"/>
  <c r="I701" i="6"/>
  <c r="N701" i="6"/>
  <c r="R701" i="6"/>
  <c r="Q701" i="6" s="1"/>
  <c r="S701" i="6" s="1"/>
  <c r="T701" i="6"/>
  <c r="B702" i="6"/>
  <c r="C702" i="6"/>
  <c r="D702" i="6"/>
  <c r="E702" i="6"/>
  <c r="F702" i="6"/>
  <c r="H702" i="6"/>
  <c r="I702" i="6"/>
  <c r="L702" i="6"/>
  <c r="N702" i="6"/>
  <c r="Q702" i="6"/>
  <c r="R702" i="6"/>
  <c r="S702" i="6"/>
  <c r="T702" i="6"/>
  <c r="B703" i="6"/>
  <c r="C703" i="6"/>
  <c r="D703" i="6"/>
  <c r="L703" i="6" s="1"/>
  <c r="E703" i="6"/>
  <c r="F703" i="6"/>
  <c r="H703" i="6"/>
  <c r="I703" i="6"/>
  <c r="N703" i="6"/>
  <c r="R703" i="6"/>
  <c r="Q703" i="6" s="1"/>
  <c r="S703" i="6" s="1"/>
  <c r="T703" i="6"/>
  <c r="B704" i="6"/>
  <c r="C704" i="6"/>
  <c r="D704" i="6"/>
  <c r="E704" i="6"/>
  <c r="F704" i="6"/>
  <c r="H704" i="6"/>
  <c r="I704" i="6"/>
  <c r="L704" i="6"/>
  <c r="N704" i="6"/>
  <c r="Q704" i="6"/>
  <c r="R704" i="6"/>
  <c r="S704" i="6"/>
  <c r="T704" i="6"/>
  <c r="B705" i="6"/>
  <c r="C705" i="6"/>
  <c r="D705" i="6"/>
  <c r="L705" i="6" s="1"/>
  <c r="E705" i="6"/>
  <c r="F705" i="6"/>
  <c r="H705" i="6"/>
  <c r="I705" i="6"/>
  <c r="N705" i="6"/>
  <c r="R705" i="6"/>
  <c r="Q705" i="6" s="1"/>
  <c r="S705" i="6" s="1"/>
  <c r="T705" i="6"/>
  <c r="B706" i="6"/>
  <c r="C706" i="6"/>
  <c r="D706" i="6"/>
  <c r="E706" i="6"/>
  <c r="F706" i="6"/>
  <c r="H706" i="6"/>
  <c r="I706" i="6"/>
  <c r="L706" i="6"/>
  <c r="N706" i="6"/>
  <c r="Q706" i="6"/>
  <c r="R706" i="6"/>
  <c r="S706" i="6"/>
  <c r="T706" i="6"/>
  <c r="B707" i="6"/>
  <c r="C707" i="6"/>
  <c r="D707" i="6"/>
  <c r="L707" i="6" s="1"/>
  <c r="E707" i="6"/>
  <c r="F707" i="6"/>
  <c r="H707" i="6"/>
  <c r="I707" i="6"/>
  <c r="N707" i="6"/>
  <c r="R707" i="6"/>
  <c r="Q707" i="6" s="1"/>
  <c r="S707" i="6" s="1"/>
  <c r="T707" i="6"/>
  <c r="B708" i="6"/>
  <c r="C708" i="6"/>
  <c r="D708" i="6"/>
  <c r="E708" i="6"/>
  <c r="F708" i="6"/>
  <c r="H708" i="6"/>
  <c r="I708" i="6"/>
  <c r="L708" i="6"/>
  <c r="N708" i="6"/>
  <c r="Q708" i="6"/>
  <c r="R708" i="6"/>
  <c r="S708" i="6"/>
  <c r="T708" i="6"/>
  <c r="B709" i="6"/>
  <c r="C709" i="6"/>
  <c r="D709" i="6"/>
  <c r="L709" i="6" s="1"/>
  <c r="E709" i="6"/>
  <c r="F709" i="6"/>
  <c r="H709" i="6"/>
  <c r="I709" i="6"/>
  <c r="N709" i="6"/>
  <c r="R709" i="6"/>
  <c r="Q709" i="6" s="1"/>
  <c r="S709" i="6" s="1"/>
  <c r="T709" i="6"/>
  <c r="B710" i="6"/>
  <c r="C710" i="6"/>
  <c r="D710" i="6"/>
  <c r="E710" i="6"/>
  <c r="F710" i="6"/>
  <c r="H710" i="6"/>
  <c r="I710" i="6"/>
  <c r="L710" i="6"/>
  <c r="N710" i="6"/>
  <c r="Q710" i="6"/>
  <c r="R710" i="6"/>
  <c r="S710" i="6"/>
  <c r="T710" i="6"/>
  <c r="B711" i="6"/>
  <c r="C711" i="6"/>
  <c r="D711" i="6"/>
  <c r="L711" i="6" s="1"/>
  <c r="E711" i="6"/>
  <c r="F711" i="6"/>
  <c r="H711" i="6"/>
  <c r="I711" i="6"/>
  <c r="N711" i="6"/>
  <c r="R711" i="6"/>
  <c r="Q711" i="6" s="1"/>
  <c r="S711" i="6" s="1"/>
  <c r="T711" i="6"/>
  <c r="B712" i="6"/>
  <c r="C712" i="6"/>
  <c r="D712" i="6"/>
  <c r="E712" i="6"/>
  <c r="F712" i="6"/>
  <c r="H712" i="6"/>
  <c r="I712" i="6"/>
  <c r="L712" i="6"/>
  <c r="N712" i="6"/>
  <c r="Q712" i="6"/>
  <c r="R712" i="6"/>
  <c r="S712" i="6"/>
  <c r="T712" i="6"/>
  <c r="B713" i="6"/>
  <c r="C713" i="6"/>
  <c r="D713" i="6"/>
  <c r="L713" i="6" s="1"/>
  <c r="E713" i="6"/>
  <c r="F713" i="6"/>
  <c r="H713" i="6"/>
  <c r="I713" i="6"/>
  <c r="N713" i="6"/>
  <c r="R713" i="6"/>
  <c r="Q713" i="6" s="1"/>
  <c r="S713" i="6" s="1"/>
  <c r="T713" i="6"/>
  <c r="B714" i="6"/>
  <c r="C714" i="6"/>
  <c r="D714" i="6"/>
  <c r="E714" i="6"/>
  <c r="F714" i="6"/>
  <c r="H714" i="6"/>
  <c r="I714" i="6"/>
  <c r="L714" i="6"/>
  <c r="N714" i="6"/>
  <c r="Q714" i="6"/>
  <c r="R714" i="6"/>
  <c r="S714" i="6"/>
  <c r="T714" i="6"/>
  <c r="B715" i="6"/>
  <c r="C715" i="6"/>
  <c r="D715" i="6"/>
  <c r="L715" i="6" s="1"/>
  <c r="E715" i="6"/>
  <c r="F715" i="6"/>
  <c r="H715" i="6"/>
  <c r="I715" i="6"/>
  <c r="N715" i="6"/>
  <c r="R715" i="6"/>
  <c r="Q715" i="6" s="1"/>
  <c r="S715" i="6" s="1"/>
  <c r="T715" i="6"/>
  <c r="B716" i="6"/>
  <c r="C716" i="6"/>
  <c r="D716" i="6"/>
  <c r="E716" i="6"/>
  <c r="F716" i="6"/>
  <c r="H716" i="6"/>
  <c r="I716" i="6"/>
  <c r="L716" i="6"/>
  <c r="N716" i="6"/>
  <c r="Q716" i="6"/>
  <c r="R716" i="6"/>
  <c r="S716" i="6"/>
  <c r="T716" i="6"/>
  <c r="B717" i="6"/>
  <c r="C717" i="6"/>
  <c r="D717" i="6"/>
  <c r="L717" i="6" s="1"/>
  <c r="E717" i="6"/>
  <c r="F717" i="6"/>
  <c r="H717" i="6"/>
  <c r="I717" i="6"/>
  <c r="N717" i="6"/>
  <c r="R717" i="6"/>
  <c r="Q717" i="6" s="1"/>
  <c r="S717" i="6" s="1"/>
  <c r="T717" i="6"/>
  <c r="B718" i="6"/>
  <c r="C718" i="6"/>
  <c r="D718" i="6"/>
  <c r="E718" i="6"/>
  <c r="F718" i="6"/>
  <c r="H718" i="6"/>
  <c r="I718" i="6"/>
  <c r="L718" i="6"/>
  <c r="N718" i="6"/>
  <c r="Q718" i="6"/>
  <c r="R718" i="6"/>
  <c r="S718" i="6"/>
  <c r="T718" i="6"/>
  <c r="B719" i="6"/>
  <c r="C719" i="6"/>
  <c r="D719" i="6"/>
  <c r="L719" i="6" s="1"/>
  <c r="E719" i="6"/>
  <c r="F719" i="6"/>
  <c r="H719" i="6"/>
  <c r="I719" i="6"/>
  <c r="N719" i="6"/>
  <c r="R719" i="6"/>
  <c r="Q719" i="6" s="1"/>
  <c r="S719" i="6" s="1"/>
  <c r="T719" i="6"/>
  <c r="B720" i="6"/>
  <c r="C720" i="6"/>
  <c r="D720" i="6"/>
  <c r="E720" i="6"/>
  <c r="F720" i="6"/>
  <c r="H720" i="6"/>
  <c r="I720" i="6"/>
  <c r="L720" i="6"/>
  <c r="N720" i="6"/>
  <c r="Q720" i="6"/>
  <c r="R720" i="6"/>
  <c r="S720" i="6"/>
  <c r="T720" i="6"/>
  <c r="B721" i="6"/>
  <c r="C721" i="6"/>
  <c r="D721" i="6"/>
  <c r="L721" i="6" s="1"/>
  <c r="E721" i="6"/>
  <c r="F721" i="6"/>
  <c r="H721" i="6"/>
  <c r="I721" i="6"/>
  <c r="N721" i="6"/>
  <c r="R721" i="6"/>
  <c r="Q721" i="6" s="1"/>
  <c r="S721" i="6" s="1"/>
  <c r="T721" i="6"/>
  <c r="B722" i="6"/>
  <c r="C722" i="6"/>
  <c r="D722" i="6"/>
  <c r="E722" i="6"/>
  <c r="F722" i="6"/>
  <c r="H722" i="6"/>
  <c r="I722" i="6"/>
  <c r="L722" i="6"/>
  <c r="N722" i="6"/>
  <c r="Q722" i="6"/>
  <c r="R722" i="6"/>
  <c r="S722" i="6"/>
  <c r="T722" i="6"/>
  <c r="B723" i="6"/>
  <c r="C723" i="6"/>
  <c r="D723" i="6"/>
  <c r="L723" i="6" s="1"/>
  <c r="E723" i="6"/>
  <c r="F723" i="6"/>
  <c r="H723" i="6"/>
  <c r="I723" i="6"/>
  <c r="N723" i="6"/>
  <c r="R723" i="6"/>
  <c r="Q723" i="6" s="1"/>
  <c r="S723" i="6" s="1"/>
  <c r="T723" i="6"/>
  <c r="B724" i="6"/>
  <c r="C724" i="6"/>
  <c r="D724" i="6"/>
  <c r="E724" i="6"/>
  <c r="F724" i="6"/>
  <c r="H724" i="6"/>
  <c r="I724" i="6"/>
  <c r="L724" i="6"/>
  <c r="N724" i="6"/>
  <c r="Q724" i="6"/>
  <c r="R724" i="6"/>
  <c r="S724" i="6"/>
  <c r="T724" i="6"/>
  <c r="B725" i="6"/>
  <c r="C725" i="6"/>
  <c r="D725" i="6"/>
  <c r="L725" i="6" s="1"/>
  <c r="E725" i="6"/>
  <c r="F725" i="6"/>
  <c r="H725" i="6"/>
  <c r="I725" i="6"/>
  <c r="N725" i="6"/>
  <c r="R725" i="6"/>
  <c r="Q725" i="6" s="1"/>
  <c r="S725" i="6" s="1"/>
  <c r="T725" i="6"/>
  <c r="B726" i="6"/>
  <c r="C726" i="6"/>
  <c r="D726" i="6"/>
  <c r="E726" i="6"/>
  <c r="F726" i="6"/>
  <c r="H726" i="6"/>
  <c r="I726" i="6"/>
  <c r="L726" i="6"/>
  <c r="N726" i="6"/>
  <c r="Q726" i="6"/>
  <c r="R726" i="6"/>
  <c r="S726" i="6"/>
  <c r="T726" i="6"/>
  <c r="B727" i="6"/>
  <c r="C727" i="6"/>
  <c r="D727" i="6"/>
  <c r="L727" i="6" s="1"/>
  <c r="E727" i="6"/>
  <c r="F727" i="6"/>
  <c r="H727" i="6"/>
  <c r="I727" i="6"/>
  <c r="N727" i="6"/>
  <c r="R727" i="6"/>
  <c r="Q727" i="6" s="1"/>
  <c r="S727" i="6" s="1"/>
  <c r="T727" i="6"/>
  <c r="B728" i="6"/>
  <c r="C728" i="6"/>
  <c r="D728" i="6"/>
  <c r="E728" i="6"/>
  <c r="F728" i="6"/>
  <c r="H728" i="6"/>
  <c r="I728" i="6"/>
  <c r="L728" i="6"/>
  <c r="N728" i="6"/>
  <c r="Q728" i="6"/>
  <c r="R728" i="6"/>
  <c r="S728" i="6"/>
  <c r="T728" i="6"/>
  <c r="B729" i="6"/>
  <c r="C729" i="6"/>
  <c r="D729" i="6"/>
  <c r="E729" i="6"/>
  <c r="F729" i="6"/>
  <c r="H729" i="6"/>
  <c r="I729" i="6"/>
  <c r="N729" i="6"/>
  <c r="R729" i="6"/>
  <c r="Q729" i="6" s="1"/>
  <c r="S729" i="6" s="1"/>
  <c r="T729" i="6"/>
  <c r="B730" i="6"/>
  <c r="C730" i="6"/>
  <c r="D730" i="6"/>
  <c r="E730" i="6"/>
  <c r="F730" i="6"/>
  <c r="H730" i="6"/>
  <c r="I730" i="6"/>
  <c r="L730" i="6"/>
  <c r="N730" i="6"/>
  <c r="Q730" i="6"/>
  <c r="R730" i="6"/>
  <c r="S730" i="6"/>
  <c r="T730" i="6"/>
  <c r="B731" i="6"/>
  <c r="C731" i="6"/>
  <c r="D731" i="6"/>
  <c r="E731" i="6"/>
  <c r="F731" i="6"/>
  <c r="H731" i="6"/>
  <c r="I731" i="6"/>
  <c r="N731" i="6"/>
  <c r="R731" i="6"/>
  <c r="Q731" i="6" s="1"/>
  <c r="S731" i="6" s="1"/>
  <c r="T731" i="6"/>
  <c r="B732" i="6"/>
  <c r="C732" i="6"/>
  <c r="D732" i="6"/>
  <c r="E732" i="6"/>
  <c r="F732" i="6"/>
  <c r="H732" i="6"/>
  <c r="I732" i="6"/>
  <c r="L732" i="6"/>
  <c r="N732" i="6"/>
  <c r="Q732" i="6"/>
  <c r="R732" i="6"/>
  <c r="S732" i="6"/>
  <c r="T732" i="6"/>
  <c r="B733" i="6"/>
  <c r="C733" i="6"/>
  <c r="D733" i="6"/>
  <c r="E733" i="6"/>
  <c r="F733" i="6"/>
  <c r="H733" i="6"/>
  <c r="I733" i="6"/>
  <c r="N733" i="6"/>
  <c r="R733" i="6"/>
  <c r="Q733" i="6" s="1"/>
  <c r="S733" i="6" s="1"/>
  <c r="T733" i="6"/>
  <c r="B734" i="6"/>
  <c r="C734" i="6"/>
  <c r="D734" i="6"/>
  <c r="E734" i="6"/>
  <c r="F734" i="6"/>
  <c r="H734" i="6"/>
  <c r="I734" i="6"/>
  <c r="L734" i="6"/>
  <c r="N734" i="6"/>
  <c r="Q734" i="6"/>
  <c r="R734" i="6"/>
  <c r="S734" i="6"/>
  <c r="T734" i="6"/>
  <c r="B735" i="6"/>
  <c r="C735" i="6"/>
  <c r="D735" i="6"/>
  <c r="E735" i="6"/>
  <c r="F735" i="6"/>
  <c r="H735" i="6"/>
  <c r="I735" i="6"/>
  <c r="N735" i="6"/>
  <c r="R735" i="6"/>
  <c r="Q735" i="6" s="1"/>
  <c r="S735" i="6" s="1"/>
  <c r="T735" i="6"/>
  <c r="B736" i="6"/>
  <c r="C736" i="6"/>
  <c r="D736" i="6"/>
  <c r="E736" i="6"/>
  <c r="F736" i="6"/>
  <c r="H736" i="6"/>
  <c r="I736" i="6"/>
  <c r="L736" i="6"/>
  <c r="N736" i="6"/>
  <c r="Q736" i="6"/>
  <c r="R736" i="6"/>
  <c r="S736" i="6"/>
  <c r="T736" i="6"/>
  <c r="B737" i="6"/>
  <c r="C737" i="6"/>
  <c r="D737" i="6"/>
  <c r="E737" i="6"/>
  <c r="F737" i="6"/>
  <c r="H737" i="6"/>
  <c r="I737" i="6"/>
  <c r="N737" i="6"/>
  <c r="R737" i="6"/>
  <c r="Q737" i="6" s="1"/>
  <c r="S737" i="6" s="1"/>
  <c r="T737" i="6"/>
  <c r="B738" i="6"/>
  <c r="C738" i="6"/>
  <c r="D738" i="6"/>
  <c r="E738" i="6"/>
  <c r="F738" i="6"/>
  <c r="H738" i="6"/>
  <c r="I738" i="6"/>
  <c r="L738" i="6"/>
  <c r="N738" i="6"/>
  <c r="Q738" i="6"/>
  <c r="R738" i="6"/>
  <c r="S738" i="6"/>
  <c r="T738" i="6"/>
  <c r="B739" i="6"/>
  <c r="C739" i="6"/>
  <c r="D739" i="6"/>
  <c r="E739" i="6"/>
  <c r="F739" i="6"/>
  <c r="H739" i="6"/>
  <c r="I739" i="6"/>
  <c r="N739" i="6"/>
  <c r="R739" i="6"/>
  <c r="Q739" i="6" s="1"/>
  <c r="S739" i="6" s="1"/>
  <c r="T739" i="6"/>
  <c r="B740" i="6"/>
  <c r="C740" i="6"/>
  <c r="D740" i="6"/>
  <c r="E740" i="6"/>
  <c r="F740" i="6"/>
  <c r="H740" i="6"/>
  <c r="I740" i="6"/>
  <c r="L740" i="6"/>
  <c r="N740" i="6"/>
  <c r="Q740" i="6"/>
  <c r="R740" i="6"/>
  <c r="S740" i="6"/>
  <c r="T740" i="6"/>
  <c r="B741" i="6"/>
  <c r="C741" i="6"/>
  <c r="D741" i="6"/>
  <c r="E741" i="6"/>
  <c r="F741" i="6"/>
  <c r="H741" i="6"/>
  <c r="I741" i="6"/>
  <c r="N741" i="6"/>
  <c r="R741" i="6"/>
  <c r="Q741" i="6" s="1"/>
  <c r="S741" i="6" s="1"/>
  <c r="T741" i="6"/>
  <c r="B742" i="6"/>
  <c r="C742" i="6"/>
  <c r="D742" i="6"/>
  <c r="E742" i="6"/>
  <c r="F742" i="6"/>
  <c r="H742" i="6"/>
  <c r="I742" i="6"/>
  <c r="L742" i="6"/>
  <c r="N742" i="6"/>
  <c r="Q742" i="6"/>
  <c r="R742" i="6"/>
  <c r="S742" i="6"/>
  <c r="T742" i="6"/>
  <c r="B743" i="6"/>
  <c r="C743" i="6"/>
  <c r="D743" i="6"/>
  <c r="E743" i="6"/>
  <c r="F743" i="6"/>
  <c r="H743" i="6"/>
  <c r="I743" i="6"/>
  <c r="N743" i="6"/>
  <c r="R743" i="6"/>
  <c r="Q743" i="6" s="1"/>
  <c r="S743" i="6" s="1"/>
  <c r="T743" i="6"/>
  <c r="B744" i="6"/>
  <c r="C744" i="6"/>
  <c r="D744" i="6"/>
  <c r="E744" i="6"/>
  <c r="F744" i="6"/>
  <c r="H744" i="6"/>
  <c r="I744" i="6"/>
  <c r="L744" i="6"/>
  <c r="N744" i="6"/>
  <c r="Q744" i="6"/>
  <c r="R744" i="6"/>
  <c r="S744" i="6"/>
  <c r="T744" i="6"/>
  <c r="B745" i="6"/>
  <c r="C745" i="6"/>
  <c r="D745" i="6"/>
  <c r="E745" i="6"/>
  <c r="F745" i="6"/>
  <c r="H745" i="6"/>
  <c r="I745" i="6"/>
  <c r="N745" i="6"/>
  <c r="R745" i="6"/>
  <c r="Q745" i="6" s="1"/>
  <c r="S745" i="6" s="1"/>
  <c r="T745" i="6"/>
  <c r="B746" i="6"/>
  <c r="C746" i="6"/>
  <c r="D746" i="6"/>
  <c r="E746" i="6"/>
  <c r="F746" i="6"/>
  <c r="H746" i="6"/>
  <c r="I746" i="6"/>
  <c r="L746" i="6"/>
  <c r="N746" i="6"/>
  <c r="Q746" i="6"/>
  <c r="R746" i="6"/>
  <c r="S746" i="6"/>
  <c r="T746" i="6"/>
  <c r="B747" i="6"/>
  <c r="C747" i="6"/>
  <c r="D747" i="6"/>
  <c r="E747" i="6"/>
  <c r="F747" i="6"/>
  <c r="H747" i="6"/>
  <c r="I747" i="6"/>
  <c r="N747" i="6"/>
  <c r="Q747" i="6"/>
  <c r="R747" i="6"/>
  <c r="S747" i="6"/>
  <c r="T747" i="6"/>
  <c r="B748" i="6"/>
  <c r="C748" i="6"/>
  <c r="D748" i="6"/>
  <c r="L748" i="6" s="1"/>
  <c r="E748" i="6"/>
  <c r="F748" i="6"/>
  <c r="H748" i="6"/>
  <c r="I748" i="6"/>
  <c r="N748" i="6"/>
  <c r="R748" i="6"/>
  <c r="Q748" i="6" s="1"/>
  <c r="S748" i="6" s="1"/>
  <c r="T748" i="6"/>
  <c r="B749" i="6"/>
  <c r="C749" i="6"/>
  <c r="D749" i="6"/>
  <c r="E749" i="6"/>
  <c r="F749" i="6"/>
  <c r="H749" i="6"/>
  <c r="I749" i="6"/>
  <c r="L749" i="6"/>
  <c r="N749" i="6"/>
  <c r="Q749" i="6"/>
  <c r="R749" i="6"/>
  <c r="S749" i="6"/>
  <c r="T749" i="6"/>
  <c r="B750" i="6"/>
  <c r="C750" i="6"/>
  <c r="D750" i="6"/>
  <c r="L750" i="6" s="1"/>
  <c r="E750" i="6"/>
  <c r="F750" i="6"/>
  <c r="H750" i="6"/>
  <c r="I750" i="6"/>
  <c r="N750" i="6"/>
  <c r="R750" i="6"/>
  <c r="Q750" i="6" s="1"/>
  <c r="S750" i="6" s="1"/>
  <c r="T750" i="6"/>
  <c r="B751" i="6"/>
  <c r="C751" i="6"/>
  <c r="D751" i="6"/>
  <c r="E751" i="6"/>
  <c r="F751" i="6"/>
  <c r="H751" i="6"/>
  <c r="I751" i="6"/>
  <c r="L751" i="6"/>
  <c r="N751" i="6"/>
  <c r="Q751" i="6"/>
  <c r="R751" i="6"/>
  <c r="S751" i="6"/>
  <c r="T751" i="6"/>
  <c r="B752" i="6"/>
  <c r="C752" i="6"/>
  <c r="D752" i="6"/>
  <c r="L752" i="6" s="1"/>
  <c r="E752" i="6"/>
  <c r="F752" i="6"/>
  <c r="H752" i="6"/>
  <c r="I752" i="6"/>
  <c r="N752" i="6"/>
  <c r="R752" i="6"/>
  <c r="Q752" i="6" s="1"/>
  <c r="S752" i="6" s="1"/>
  <c r="T752" i="6"/>
  <c r="B753" i="6"/>
  <c r="C753" i="6"/>
  <c r="D753" i="6"/>
  <c r="E753" i="6"/>
  <c r="F753" i="6"/>
  <c r="H753" i="6"/>
  <c r="I753" i="6"/>
  <c r="L753" i="6"/>
  <c r="N753" i="6"/>
  <c r="Q753" i="6"/>
  <c r="R753" i="6"/>
  <c r="S753" i="6"/>
  <c r="T753" i="6"/>
  <c r="B754" i="6"/>
  <c r="C754" i="6"/>
  <c r="D754" i="6"/>
  <c r="L754" i="6" s="1"/>
  <c r="E754" i="6"/>
  <c r="F754" i="6"/>
  <c r="H754" i="6"/>
  <c r="I754" i="6"/>
  <c r="N754" i="6"/>
  <c r="R754" i="6"/>
  <c r="Q754" i="6" s="1"/>
  <c r="S754" i="6" s="1"/>
  <c r="T754" i="6"/>
  <c r="B755" i="6"/>
  <c r="C755" i="6"/>
  <c r="D755" i="6"/>
  <c r="E755" i="6"/>
  <c r="F755" i="6"/>
  <c r="H755" i="6"/>
  <c r="I755" i="6"/>
  <c r="L755" i="6"/>
  <c r="N755" i="6"/>
  <c r="Q755" i="6"/>
  <c r="R755" i="6"/>
  <c r="S755" i="6"/>
  <c r="T755" i="6"/>
  <c r="B756" i="6"/>
  <c r="C756" i="6"/>
  <c r="D756" i="6"/>
  <c r="L756" i="6" s="1"/>
  <c r="E756" i="6"/>
  <c r="F756" i="6"/>
  <c r="H756" i="6"/>
  <c r="I756" i="6"/>
  <c r="N756" i="6"/>
  <c r="R756" i="6"/>
  <c r="Q756" i="6" s="1"/>
  <c r="S756" i="6" s="1"/>
  <c r="T756" i="6"/>
  <c r="B757" i="6"/>
  <c r="C757" i="6"/>
  <c r="D757" i="6"/>
  <c r="E757" i="6"/>
  <c r="F757" i="6"/>
  <c r="H757" i="6"/>
  <c r="I757" i="6"/>
  <c r="L757" i="6"/>
  <c r="N757" i="6"/>
  <c r="Q757" i="6"/>
  <c r="R757" i="6"/>
  <c r="S757" i="6"/>
  <c r="T757" i="6"/>
  <c r="B758" i="6"/>
  <c r="C758" i="6"/>
  <c r="D758" i="6"/>
  <c r="L758" i="6" s="1"/>
  <c r="E758" i="6"/>
  <c r="F758" i="6"/>
  <c r="H758" i="6"/>
  <c r="I758" i="6"/>
  <c r="N758" i="6"/>
  <c r="R758" i="6"/>
  <c r="Q758" i="6" s="1"/>
  <c r="S758" i="6" s="1"/>
  <c r="T758" i="6"/>
  <c r="B759" i="6"/>
  <c r="C759" i="6"/>
  <c r="D759" i="6"/>
  <c r="E759" i="6"/>
  <c r="F759" i="6"/>
  <c r="H759" i="6"/>
  <c r="I759" i="6"/>
  <c r="L759" i="6" s="1"/>
  <c r="N759" i="6"/>
  <c r="R759" i="6"/>
  <c r="Q759" i="6" s="1"/>
  <c r="S759" i="6" s="1"/>
  <c r="T759" i="6"/>
  <c r="B760" i="6"/>
  <c r="C760" i="6"/>
  <c r="D760" i="6"/>
  <c r="L760" i="6" s="1"/>
  <c r="E760" i="6"/>
  <c r="F760" i="6"/>
  <c r="H760" i="6"/>
  <c r="I760" i="6"/>
  <c r="N760" i="6"/>
  <c r="R760" i="6"/>
  <c r="Q760" i="6" s="1"/>
  <c r="S760" i="6" s="1"/>
  <c r="T760" i="6"/>
  <c r="B761" i="6"/>
  <c r="C761" i="6"/>
  <c r="D761" i="6"/>
  <c r="E761" i="6"/>
  <c r="F761" i="6"/>
  <c r="H761" i="6"/>
  <c r="I761" i="6"/>
  <c r="L761" i="6"/>
  <c r="N761" i="6"/>
  <c r="Q761" i="6"/>
  <c r="R761" i="6"/>
  <c r="S761" i="6"/>
  <c r="T761" i="6"/>
  <c r="B762" i="6"/>
  <c r="C762" i="6"/>
  <c r="D762" i="6"/>
  <c r="L762" i="6" s="1"/>
  <c r="E762" i="6"/>
  <c r="F762" i="6"/>
  <c r="H762" i="6"/>
  <c r="I762" i="6"/>
  <c r="N762" i="6"/>
  <c r="R762" i="6"/>
  <c r="Q762" i="6" s="1"/>
  <c r="S762" i="6" s="1"/>
  <c r="T762" i="6"/>
  <c r="B763" i="6"/>
  <c r="C763" i="6"/>
  <c r="D763" i="6"/>
  <c r="E763" i="6"/>
  <c r="F763" i="6"/>
  <c r="H763" i="6"/>
  <c r="I763" i="6"/>
  <c r="L763" i="6"/>
  <c r="N763" i="6"/>
  <c r="Q763" i="6"/>
  <c r="R763" i="6"/>
  <c r="S763" i="6"/>
  <c r="T763" i="6"/>
  <c r="B764" i="6"/>
  <c r="C764" i="6"/>
  <c r="D764" i="6"/>
  <c r="L764" i="6" s="1"/>
  <c r="E764" i="6"/>
  <c r="F764" i="6"/>
  <c r="H764" i="6"/>
  <c r="I764" i="6"/>
  <c r="N764" i="6"/>
  <c r="R764" i="6"/>
  <c r="Q764" i="6" s="1"/>
  <c r="S764" i="6" s="1"/>
  <c r="T764" i="6"/>
  <c r="B765" i="6"/>
  <c r="C765" i="6"/>
  <c r="D765" i="6"/>
  <c r="E765" i="6"/>
  <c r="F765" i="6"/>
  <c r="H765" i="6"/>
  <c r="I765" i="6"/>
  <c r="L765" i="6"/>
  <c r="N765" i="6"/>
  <c r="Q765" i="6"/>
  <c r="R765" i="6"/>
  <c r="S765" i="6"/>
  <c r="T765" i="6"/>
  <c r="B766" i="6"/>
  <c r="C766" i="6"/>
  <c r="D766" i="6"/>
  <c r="L766" i="6" s="1"/>
  <c r="E766" i="6"/>
  <c r="F766" i="6"/>
  <c r="H766" i="6"/>
  <c r="I766" i="6"/>
  <c r="N766" i="6"/>
  <c r="R766" i="6"/>
  <c r="Q766" i="6" s="1"/>
  <c r="S766" i="6" s="1"/>
  <c r="T766" i="6"/>
  <c r="B767" i="6"/>
  <c r="C767" i="6"/>
  <c r="D767" i="6"/>
  <c r="E767" i="6"/>
  <c r="F767" i="6"/>
  <c r="H767" i="6"/>
  <c r="I767" i="6"/>
  <c r="L767" i="6"/>
  <c r="N767" i="6"/>
  <c r="Q767" i="6"/>
  <c r="R767" i="6"/>
  <c r="S767" i="6"/>
  <c r="T767" i="6"/>
  <c r="B768" i="6"/>
  <c r="C768" i="6"/>
  <c r="D768" i="6"/>
  <c r="L768" i="6" s="1"/>
  <c r="E768" i="6"/>
  <c r="F768" i="6"/>
  <c r="H768" i="6"/>
  <c r="I768" i="6"/>
  <c r="N768" i="6"/>
  <c r="R768" i="6"/>
  <c r="Q768" i="6" s="1"/>
  <c r="S768" i="6" s="1"/>
  <c r="T768" i="6"/>
  <c r="B769" i="6"/>
  <c r="C769" i="6"/>
  <c r="D769" i="6"/>
  <c r="E769" i="6"/>
  <c r="F769" i="6"/>
  <c r="H769" i="6"/>
  <c r="I769" i="6"/>
  <c r="L769" i="6"/>
  <c r="N769" i="6"/>
  <c r="Q769" i="6"/>
  <c r="R769" i="6"/>
  <c r="S769" i="6"/>
  <c r="T769" i="6"/>
  <c r="B770" i="6"/>
  <c r="C770" i="6"/>
  <c r="D770" i="6"/>
  <c r="L770" i="6" s="1"/>
  <c r="E770" i="6"/>
  <c r="F770" i="6"/>
  <c r="H770" i="6"/>
  <c r="I770" i="6"/>
  <c r="N770" i="6"/>
  <c r="R770" i="6"/>
  <c r="Q770" i="6" s="1"/>
  <c r="S770" i="6" s="1"/>
  <c r="T770" i="6"/>
  <c r="B771" i="6"/>
  <c r="C771" i="6"/>
  <c r="D771" i="6"/>
  <c r="E771" i="6"/>
  <c r="F771" i="6"/>
  <c r="H771" i="6"/>
  <c r="I771" i="6"/>
  <c r="L771" i="6"/>
  <c r="N771" i="6"/>
  <c r="Q771" i="6"/>
  <c r="R771" i="6"/>
  <c r="S771" i="6"/>
  <c r="T771" i="6"/>
  <c r="B772" i="6"/>
  <c r="C772" i="6"/>
  <c r="D772" i="6"/>
  <c r="L772" i="6" s="1"/>
  <c r="E772" i="6"/>
  <c r="F772" i="6"/>
  <c r="H772" i="6"/>
  <c r="I772" i="6"/>
  <c r="N772" i="6"/>
  <c r="R772" i="6"/>
  <c r="Q772" i="6" s="1"/>
  <c r="S772" i="6" s="1"/>
  <c r="T772" i="6"/>
  <c r="B773" i="6"/>
  <c r="C773" i="6"/>
  <c r="D773" i="6"/>
  <c r="E773" i="6"/>
  <c r="F773" i="6"/>
  <c r="L773" i="6" s="1"/>
  <c r="H773" i="6"/>
  <c r="I773" i="6"/>
  <c r="N773" i="6"/>
  <c r="R773" i="6"/>
  <c r="Q773" i="6" s="1"/>
  <c r="S773" i="6" s="1"/>
  <c r="T773" i="6"/>
  <c r="B774" i="6"/>
  <c r="C774" i="6"/>
  <c r="D774" i="6"/>
  <c r="L774" i="6" s="1"/>
  <c r="E774" i="6"/>
  <c r="F774" i="6"/>
  <c r="H774" i="6"/>
  <c r="I774" i="6"/>
  <c r="N774" i="6"/>
  <c r="R774" i="6"/>
  <c r="Q774" i="6" s="1"/>
  <c r="S774" i="6" s="1"/>
  <c r="T774" i="6"/>
  <c r="B775" i="6"/>
  <c r="C775" i="6"/>
  <c r="D775" i="6"/>
  <c r="E775" i="6"/>
  <c r="F775" i="6"/>
  <c r="L775" i="6" s="1"/>
  <c r="H775" i="6"/>
  <c r="I775" i="6"/>
  <c r="N775" i="6"/>
  <c r="R775" i="6"/>
  <c r="Q775" i="6" s="1"/>
  <c r="S775" i="6" s="1"/>
  <c r="T775" i="6"/>
  <c r="B776" i="6"/>
  <c r="C776" i="6"/>
  <c r="D776" i="6"/>
  <c r="L776" i="6" s="1"/>
  <c r="E776" i="6"/>
  <c r="F776" i="6"/>
  <c r="H776" i="6"/>
  <c r="I776" i="6"/>
  <c r="N776" i="6"/>
  <c r="R776" i="6"/>
  <c r="Q776" i="6" s="1"/>
  <c r="S776" i="6" s="1"/>
  <c r="T776" i="6"/>
  <c r="B777" i="6"/>
  <c r="C777" i="6"/>
  <c r="D777" i="6"/>
  <c r="E777" i="6"/>
  <c r="F777" i="6"/>
  <c r="L777" i="6" s="1"/>
  <c r="H777" i="6"/>
  <c r="I777" i="6"/>
  <c r="N777" i="6"/>
  <c r="R777" i="6"/>
  <c r="Q777" i="6" s="1"/>
  <c r="S777" i="6" s="1"/>
  <c r="T777" i="6"/>
  <c r="B778" i="6"/>
  <c r="C778" i="6"/>
  <c r="D778" i="6"/>
  <c r="L778" i="6" s="1"/>
  <c r="E778" i="6"/>
  <c r="F778" i="6"/>
  <c r="H778" i="6"/>
  <c r="I778" i="6"/>
  <c r="N778" i="6"/>
  <c r="R778" i="6"/>
  <c r="Q778" i="6" s="1"/>
  <c r="S778" i="6" s="1"/>
  <c r="T778" i="6"/>
  <c r="B779" i="6"/>
  <c r="C779" i="6"/>
  <c r="D779" i="6"/>
  <c r="L779" i="6" s="1"/>
  <c r="E779" i="6"/>
  <c r="F779" i="6"/>
  <c r="H779" i="6"/>
  <c r="I779" i="6"/>
  <c r="N779" i="6"/>
  <c r="R779" i="6"/>
  <c r="Q779" i="6" s="1"/>
  <c r="S779" i="6" s="1"/>
  <c r="T779" i="6"/>
  <c r="B780" i="6"/>
  <c r="C780" i="6"/>
  <c r="D780" i="6"/>
  <c r="L780" i="6" s="1"/>
  <c r="E780" i="6"/>
  <c r="F780" i="6"/>
  <c r="H780" i="6"/>
  <c r="I780" i="6"/>
  <c r="N780" i="6"/>
  <c r="R780" i="6"/>
  <c r="Q780" i="6" s="1"/>
  <c r="S780" i="6" s="1"/>
  <c r="T780" i="6"/>
  <c r="B781" i="6"/>
  <c r="C781" i="6"/>
  <c r="D781" i="6"/>
  <c r="L781" i="6" s="1"/>
  <c r="E781" i="6"/>
  <c r="F781" i="6"/>
  <c r="H781" i="6"/>
  <c r="I781" i="6"/>
  <c r="N781" i="6"/>
  <c r="R781" i="6"/>
  <c r="Q781" i="6" s="1"/>
  <c r="S781" i="6" s="1"/>
  <c r="T781" i="6"/>
  <c r="B782" i="6"/>
  <c r="C782" i="6"/>
  <c r="D782" i="6"/>
  <c r="L782" i="6" s="1"/>
  <c r="E782" i="6"/>
  <c r="F782" i="6"/>
  <c r="H782" i="6"/>
  <c r="I782" i="6"/>
  <c r="N782" i="6"/>
  <c r="R782" i="6"/>
  <c r="Q782" i="6" s="1"/>
  <c r="S782" i="6" s="1"/>
  <c r="T782" i="6"/>
  <c r="B783" i="6"/>
  <c r="C783" i="6"/>
  <c r="D783" i="6"/>
  <c r="L783" i="6" s="1"/>
  <c r="E783" i="6"/>
  <c r="F783" i="6"/>
  <c r="H783" i="6"/>
  <c r="I783" i="6"/>
  <c r="N783" i="6"/>
  <c r="R783" i="6"/>
  <c r="Q783" i="6" s="1"/>
  <c r="S783" i="6" s="1"/>
  <c r="T783" i="6"/>
  <c r="B784" i="6"/>
  <c r="C784" i="6"/>
  <c r="D784" i="6"/>
  <c r="L784" i="6" s="1"/>
  <c r="E784" i="6"/>
  <c r="F784" i="6"/>
  <c r="H784" i="6"/>
  <c r="I784" i="6"/>
  <c r="N784" i="6"/>
  <c r="R784" i="6"/>
  <c r="Q784" i="6" s="1"/>
  <c r="S784" i="6" s="1"/>
  <c r="T784" i="6"/>
  <c r="B785" i="6"/>
  <c r="C785" i="6"/>
  <c r="D785" i="6"/>
  <c r="L785" i="6" s="1"/>
  <c r="E785" i="6"/>
  <c r="F785" i="6"/>
  <c r="H785" i="6"/>
  <c r="I785" i="6"/>
  <c r="N785" i="6"/>
  <c r="R785" i="6"/>
  <c r="Q785" i="6" s="1"/>
  <c r="S785" i="6" s="1"/>
  <c r="T785" i="6"/>
  <c r="B786" i="6"/>
  <c r="C786" i="6"/>
  <c r="D786" i="6"/>
  <c r="L786" i="6" s="1"/>
  <c r="E786" i="6"/>
  <c r="F786" i="6"/>
  <c r="H786" i="6"/>
  <c r="I786" i="6"/>
  <c r="N786" i="6"/>
  <c r="R786" i="6"/>
  <c r="Q786" i="6" s="1"/>
  <c r="S786" i="6" s="1"/>
  <c r="T786" i="6"/>
  <c r="B787" i="6"/>
  <c r="C787" i="6"/>
  <c r="D787" i="6"/>
  <c r="L787" i="6" s="1"/>
  <c r="E787" i="6"/>
  <c r="F787" i="6"/>
  <c r="H787" i="6"/>
  <c r="I787" i="6"/>
  <c r="N787" i="6"/>
  <c r="R787" i="6"/>
  <c r="Q787" i="6" s="1"/>
  <c r="S787" i="6" s="1"/>
  <c r="T787" i="6"/>
  <c r="B788" i="6"/>
  <c r="C788" i="6"/>
  <c r="D788" i="6"/>
  <c r="L788" i="6" s="1"/>
  <c r="E788" i="6"/>
  <c r="F788" i="6"/>
  <c r="H788" i="6"/>
  <c r="I788" i="6"/>
  <c r="N788" i="6"/>
  <c r="R788" i="6"/>
  <c r="Q788" i="6" s="1"/>
  <c r="S788" i="6" s="1"/>
  <c r="T788" i="6"/>
  <c r="B789" i="6"/>
  <c r="C789" i="6"/>
  <c r="D789" i="6"/>
  <c r="L789" i="6" s="1"/>
  <c r="E789" i="6"/>
  <c r="F789" i="6"/>
  <c r="H789" i="6"/>
  <c r="I789" i="6"/>
  <c r="N789" i="6"/>
  <c r="R789" i="6"/>
  <c r="Q789" i="6" s="1"/>
  <c r="S789" i="6" s="1"/>
  <c r="T789" i="6"/>
  <c r="B790" i="6"/>
  <c r="C790" i="6"/>
  <c r="D790" i="6"/>
  <c r="L790" i="6" s="1"/>
  <c r="E790" i="6"/>
  <c r="F790" i="6"/>
  <c r="H790" i="6"/>
  <c r="I790" i="6"/>
  <c r="N790" i="6"/>
  <c r="R790" i="6"/>
  <c r="Q790" i="6" s="1"/>
  <c r="S790" i="6" s="1"/>
  <c r="T790" i="6"/>
  <c r="B791" i="6"/>
  <c r="C791" i="6"/>
  <c r="D791" i="6"/>
  <c r="L791" i="6" s="1"/>
  <c r="E791" i="6"/>
  <c r="F791" i="6"/>
  <c r="H791" i="6"/>
  <c r="I791" i="6"/>
  <c r="N791" i="6"/>
  <c r="R791" i="6"/>
  <c r="Q791" i="6" s="1"/>
  <c r="S791" i="6" s="1"/>
  <c r="T791" i="6"/>
  <c r="B792" i="6"/>
  <c r="C792" i="6"/>
  <c r="D792" i="6"/>
  <c r="L792" i="6" s="1"/>
  <c r="E792" i="6"/>
  <c r="F792" i="6"/>
  <c r="H792" i="6"/>
  <c r="I792" i="6"/>
  <c r="N792" i="6"/>
  <c r="R792" i="6"/>
  <c r="Q792" i="6" s="1"/>
  <c r="S792" i="6" s="1"/>
  <c r="T792" i="6"/>
  <c r="B793" i="6"/>
  <c r="C793" i="6"/>
  <c r="D793" i="6"/>
  <c r="L793" i="6" s="1"/>
  <c r="E793" i="6"/>
  <c r="F793" i="6"/>
  <c r="H793" i="6"/>
  <c r="I793" i="6"/>
  <c r="N793" i="6"/>
  <c r="R793" i="6"/>
  <c r="Q793" i="6" s="1"/>
  <c r="S793" i="6" s="1"/>
  <c r="T793" i="6"/>
  <c r="B794" i="6"/>
  <c r="C794" i="6"/>
  <c r="D794" i="6"/>
  <c r="L794" i="6" s="1"/>
  <c r="E794" i="6"/>
  <c r="F794" i="6"/>
  <c r="H794" i="6"/>
  <c r="I794" i="6"/>
  <c r="N794" i="6"/>
  <c r="R794" i="6"/>
  <c r="Q794" i="6" s="1"/>
  <c r="S794" i="6" s="1"/>
  <c r="T794" i="6"/>
  <c r="B795" i="6"/>
  <c r="C795" i="6"/>
  <c r="D795" i="6"/>
  <c r="L795" i="6" s="1"/>
  <c r="E795" i="6"/>
  <c r="F795" i="6"/>
  <c r="H795" i="6"/>
  <c r="I795" i="6"/>
  <c r="N795" i="6"/>
  <c r="R795" i="6"/>
  <c r="Q795" i="6" s="1"/>
  <c r="S795" i="6" s="1"/>
  <c r="T795" i="6"/>
  <c r="B796" i="6"/>
  <c r="C796" i="6"/>
  <c r="D796" i="6"/>
  <c r="L796" i="6" s="1"/>
  <c r="E796" i="6"/>
  <c r="F796" i="6"/>
  <c r="H796" i="6"/>
  <c r="I796" i="6"/>
  <c r="N796" i="6"/>
  <c r="R796" i="6"/>
  <c r="Q796" i="6" s="1"/>
  <c r="S796" i="6" s="1"/>
  <c r="T796" i="6"/>
  <c r="B797" i="6"/>
  <c r="C797" i="6"/>
  <c r="D797" i="6"/>
  <c r="L797" i="6" s="1"/>
  <c r="E797" i="6"/>
  <c r="F797" i="6"/>
  <c r="H797" i="6"/>
  <c r="I797" i="6"/>
  <c r="N797" i="6"/>
  <c r="R797" i="6"/>
  <c r="Q797" i="6" s="1"/>
  <c r="S797" i="6" s="1"/>
  <c r="T797" i="6"/>
  <c r="B798" i="6"/>
  <c r="C798" i="6"/>
  <c r="D798" i="6"/>
  <c r="L798" i="6" s="1"/>
  <c r="E798" i="6"/>
  <c r="F798" i="6"/>
  <c r="H798" i="6"/>
  <c r="I798" i="6"/>
  <c r="N798" i="6"/>
  <c r="R798" i="6"/>
  <c r="Q798" i="6" s="1"/>
  <c r="S798" i="6" s="1"/>
  <c r="T798" i="6"/>
  <c r="B799" i="6"/>
  <c r="C799" i="6"/>
  <c r="D799" i="6"/>
  <c r="L799" i="6" s="1"/>
  <c r="E799" i="6"/>
  <c r="F799" i="6"/>
  <c r="H799" i="6"/>
  <c r="I799" i="6"/>
  <c r="N799" i="6"/>
  <c r="R799" i="6"/>
  <c r="Q799" i="6" s="1"/>
  <c r="S799" i="6" s="1"/>
  <c r="T799" i="6"/>
  <c r="B800" i="6"/>
  <c r="C800" i="6"/>
  <c r="D800" i="6"/>
  <c r="E800" i="6"/>
  <c r="F800" i="6"/>
  <c r="H800" i="6"/>
  <c r="I800" i="6"/>
  <c r="N800" i="6"/>
  <c r="R800" i="6"/>
  <c r="Q800" i="6" s="1"/>
  <c r="S800" i="6" s="1"/>
  <c r="T800" i="6"/>
  <c r="B801" i="6"/>
  <c r="C801" i="6"/>
  <c r="D801" i="6"/>
  <c r="E801" i="6"/>
  <c r="F801" i="6"/>
  <c r="H801" i="6"/>
  <c r="I801" i="6"/>
  <c r="L801" i="6"/>
  <c r="N801" i="6"/>
  <c r="Q801" i="6"/>
  <c r="R801" i="6"/>
  <c r="S801" i="6"/>
  <c r="T801" i="6"/>
  <c r="B802" i="6"/>
  <c r="C802" i="6"/>
  <c r="D802" i="6"/>
  <c r="L802" i="6" s="1"/>
  <c r="E802" i="6"/>
  <c r="F802" i="6"/>
  <c r="H802" i="6"/>
  <c r="I802" i="6"/>
  <c r="N802" i="6"/>
  <c r="R802" i="6"/>
  <c r="Q802" i="6" s="1"/>
  <c r="S802" i="6" s="1"/>
  <c r="T802" i="6"/>
  <c r="B803" i="6"/>
  <c r="C803" i="6"/>
  <c r="D803" i="6"/>
  <c r="E803" i="6"/>
  <c r="F803" i="6"/>
  <c r="H803" i="6"/>
  <c r="I803" i="6"/>
  <c r="L803" i="6"/>
  <c r="N803" i="6"/>
  <c r="Q803" i="6"/>
  <c r="R803" i="6"/>
  <c r="S803" i="6"/>
  <c r="T803" i="6"/>
  <c r="B804" i="6"/>
  <c r="C804" i="6"/>
  <c r="D804" i="6"/>
  <c r="L804" i="6" s="1"/>
  <c r="E804" i="6"/>
  <c r="F804" i="6"/>
  <c r="H804" i="6"/>
  <c r="I804" i="6"/>
  <c r="N804" i="6"/>
  <c r="R804" i="6"/>
  <c r="Q804" i="6" s="1"/>
  <c r="S804" i="6" s="1"/>
  <c r="T804" i="6"/>
  <c r="B805" i="6"/>
  <c r="C805" i="6"/>
  <c r="D805" i="6"/>
  <c r="E805" i="6"/>
  <c r="F805" i="6"/>
  <c r="H805" i="6"/>
  <c r="I805" i="6"/>
  <c r="L805" i="6"/>
  <c r="N805" i="6"/>
  <c r="Q805" i="6"/>
  <c r="R805" i="6"/>
  <c r="S805" i="6"/>
  <c r="T805" i="6"/>
  <c r="B806" i="6"/>
  <c r="C806" i="6"/>
  <c r="D806" i="6"/>
  <c r="L806" i="6" s="1"/>
  <c r="E806" i="6"/>
  <c r="F806" i="6"/>
  <c r="H806" i="6"/>
  <c r="I806" i="6"/>
  <c r="N806" i="6"/>
  <c r="R806" i="6"/>
  <c r="Q806" i="6" s="1"/>
  <c r="S806" i="6" s="1"/>
  <c r="T806" i="6"/>
  <c r="B807" i="6"/>
  <c r="C807" i="6"/>
  <c r="D807" i="6"/>
  <c r="E807" i="6"/>
  <c r="F807" i="6"/>
  <c r="H807" i="6"/>
  <c r="I807" i="6"/>
  <c r="L807" i="6"/>
  <c r="N807" i="6"/>
  <c r="Q807" i="6"/>
  <c r="R807" i="6"/>
  <c r="S807" i="6"/>
  <c r="T807" i="6"/>
  <c r="B808" i="6"/>
  <c r="C808" i="6"/>
  <c r="D808" i="6"/>
  <c r="L808" i="6" s="1"/>
  <c r="E808" i="6"/>
  <c r="F808" i="6"/>
  <c r="H808" i="6"/>
  <c r="I808" i="6"/>
  <c r="N808" i="6"/>
  <c r="R808" i="6"/>
  <c r="Q808" i="6" s="1"/>
  <c r="S808" i="6" s="1"/>
  <c r="T808" i="6"/>
  <c r="B809" i="6"/>
  <c r="C809" i="6"/>
  <c r="D809" i="6"/>
  <c r="L809" i="6" s="1"/>
  <c r="E809" i="6"/>
  <c r="F809" i="6"/>
  <c r="H809" i="6"/>
  <c r="I809" i="6"/>
  <c r="N809" i="6"/>
  <c r="R809" i="6"/>
  <c r="Q809" i="6" s="1"/>
  <c r="S809" i="6" s="1"/>
  <c r="T809" i="6"/>
  <c r="B810" i="6"/>
  <c r="C810" i="6"/>
  <c r="D810" i="6"/>
  <c r="E810" i="6"/>
  <c r="F810" i="6"/>
  <c r="H810" i="6"/>
  <c r="I810" i="6"/>
  <c r="L810" i="6"/>
  <c r="N810" i="6"/>
  <c r="Q810" i="6"/>
  <c r="R810" i="6"/>
  <c r="S810" i="6"/>
  <c r="T810" i="6"/>
  <c r="B811" i="6"/>
  <c r="C811" i="6"/>
  <c r="D811" i="6"/>
  <c r="L811" i="6" s="1"/>
  <c r="E811" i="6"/>
  <c r="F811" i="6"/>
  <c r="H811" i="6"/>
  <c r="I811" i="6"/>
  <c r="N811" i="6"/>
  <c r="R811" i="6"/>
  <c r="Q811" i="6" s="1"/>
  <c r="S811" i="6" s="1"/>
  <c r="T811" i="6"/>
  <c r="B812" i="6"/>
  <c r="C812" i="6"/>
  <c r="D812" i="6"/>
  <c r="E812" i="6"/>
  <c r="F812" i="6"/>
  <c r="H812" i="6"/>
  <c r="I812" i="6"/>
  <c r="L812" i="6"/>
  <c r="N812" i="6"/>
  <c r="Q812" i="6"/>
  <c r="R812" i="6"/>
  <c r="S812" i="6"/>
  <c r="T812" i="6"/>
  <c r="B813" i="6"/>
  <c r="C813" i="6"/>
  <c r="D813" i="6"/>
  <c r="L813" i="6" s="1"/>
  <c r="E813" i="6"/>
  <c r="F813" i="6"/>
  <c r="H813" i="6"/>
  <c r="I813" i="6"/>
  <c r="N813" i="6"/>
  <c r="R813" i="6"/>
  <c r="Q813" i="6" s="1"/>
  <c r="S813" i="6" s="1"/>
  <c r="T813" i="6"/>
  <c r="B814" i="6"/>
  <c r="C814" i="6"/>
  <c r="D814" i="6"/>
  <c r="E814" i="6"/>
  <c r="F814" i="6"/>
  <c r="H814" i="6"/>
  <c r="I814" i="6"/>
  <c r="L814" i="6"/>
  <c r="N814" i="6"/>
  <c r="Q814" i="6"/>
  <c r="R814" i="6"/>
  <c r="S814" i="6"/>
  <c r="T814" i="6"/>
  <c r="B815" i="6"/>
  <c r="C815" i="6"/>
  <c r="D815" i="6"/>
  <c r="L815" i="6" s="1"/>
  <c r="E815" i="6"/>
  <c r="F815" i="6"/>
  <c r="H815" i="6"/>
  <c r="I815" i="6"/>
  <c r="N815" i="6"/>
  <c r="R815" i="6"/>
  <c r="Q815" i="6" s="1"/>
  <c r="S815" i="6" s="1"/>
  <c r="T815" i="6"/>
  <c r="B816" i="6"/>
  <c r="C816" i="6"/>
  <c r="D816" i="6"/>
  <c r="E816" i="6"/>
  <c r="F816" i="6"/>
  <c r="H816" i="6"/>
  <c r="I816" i="6"/>
  <c r="L816" i="6"/>
  <c r="N816" i="6"/>
  <c r="Q816" i="6"/>
  <c r="R816" i="6"/>
  <c r="S816" i="6"/>
  <c r="T816" i="6"/>
  <c r="B817" i="6"/>
  <c r="C817" i="6"/>
  <c r="D817" i="6"/>
  <c r="L817" i="6" s="1"/>
  <c r="E817" i="6"/>
  <c r="F817" i="6"/>
  <c r="H817" i="6"/>
  <c r="I817" i="6"/>
  <c r="N817" i="6"/>
  <c r="R817" i="6"/>
  <c r="Q817" i="6" s="1"/>
  <c r="S817" i="6" s="1"/>
  <c r="T817" i="6"/>
  <c r="B818" i="6"/>
  <c r="C818" i="6"/>
  <c r="D818" i="6"/>
  <c r="E818" i="6"/>
  <c r="F818" i="6"/>
  <c r="H818" i="6"/>
  <c r="I818" i="6"/>
  <c r="L818" i="6"/>
  <c r="N818" i="6"/>
  <c r="Q818" i="6"/>
  <c r="R818" i="6"/>
  <c r="S818" i="6"/>
  <c r="T818" i="6"/>
  <c r="B819" i="6"/>
  <c r="C819" i="6"/>
  <c r="D819" i="6"/>
  <c r="L819" i="6" s="1"/>
  <c r="E819" i="6"/>
  <c r="F819" i="6"/>
  <c r="H819" i="6"/>
  <c r="I819" i="6"/>
  <c r="N819" i="6"/>
  <c r="R819" i="6"/>
  <c r="Q819" i="6" s="1"/>
  <c r="S819" i="6" s="1"/>
  <c r="T819" i="6"/>
  <c r="B820" i="6"/>
  <c r="C820" i="6"/>
  <c r="D820" i="6"/>
  <c r="E820" i="6"/>
  <c r="F820" i="6"/>
  <c r="H820" i="6"/>
  <c r="I820" i="6"/>
  <c r="L820" i="6"/>
  <c r="N820" i="6"/>
  <c r="Q820" i="6"/>
  <c r="R820" i="6"/>
  <c r="S820" i="6"/>
  <c r="T820" i="6"/>
  <c r="B821" i="6"/>
  <c r="C821" i="6"/>
  <c r="D821" i="6"/>
  <c r="L821" i="6" s="1"/>
  <c r="E821" i="6"/>
  <c r="F821" i="6"/>
  <c r="H821" i="6"/>
  <c r="I821" i="6"/>
  <c r="N821" i="6"/>
  <c r="R821" i="6"/>
  <c r="Q821" i="6" s="1"/>
  <c r="S821" i="6" s="1"/>
  <c r="T821" i="6"/>
  <c r="B822" i="6"/>
  <c r="C822" i="6"/>
  <c r="D822" i="6"/>
  <c r="E822" i="6"/>
  <c r="F822" i="6"/>
  <c r="H822" i="6"/>
  <c r="I822" i="6"/>
  <c r="L822" i="6"/>
  <c r="N822" i="6"/>
  <c r="Q822" i="6"/>
  <c r="R822" i="6"/>
  <c r="S822" i="6"/>
  <c r="T822" i="6"/>
  <c r="B823" i="6"/>
  <c r="C823" i="6"/>
  <c r="D823" i="6"/>
  <c r="L823" i="6" s="1"/>
  <c r="E823" i="6"/>
  <c r="F823" i="6"/>
  <c r="H823" i="6"/>
  <c r="I823" i="6"/>
  <c r="N823" i="6"/>
  <c r="R823" i="6"/>
  <c r="Q823" i="6" s="1"/>
  <c r="S823" i="6" s="1"/>
  <c r="T823" i="6"/>
  <c r="B824" i="6"/>
  <c r="C824" i="6"/>
  <c r="D824" i="6"/>
  <c r="E824" i="6"/>
  <c r="F824" i="6"/>
  <c r="H824" i="6"/>
  <c r="I824" i="6"/>
  <c r="L824" i="6"/>
  <c r="N824" i="6"/>
  <c r="Q824" i="6"/>
  <c r="R824" i="6"/>
  <c r="S824" i="6"/>
  <c r="T824" i="6"/>
  <c r="B825" i="6"/>
  <c r="C825" i="6"/>
  <c r="D825" i="6"/>
  <c r="L825" i="6" s="1"/>
  <c r="E825" i="6"/>
  <c r="F825" i="6"/>
  <c r="H825" i="6"/>
  <c r="I825" i="6"/>
  <c r="N825" i="6"/>
  <c r="R825" i="6"/>
  <c r="Q825" i="6" s="1"/>
  <c r="S825" i="6" s="1"/>
  <c r="T825" i="6"/>
  <c r="B826" i="6"/>
  <c r="C826" i="6"/>
  <c r="D826" i="6"/>
  <c r="E826" i="6"/>
  <c r="F826" i="6"/>
  <c r="H826" i="6"/>
  <c r="I826" i="6"/>
  <c r="L826" i="6"/>
  <c r="N826" i="6"/>
  <c r="Q826" i="6"/>
  <c r="R826" i="6"/>
  <c r="S826" i="6"/>
  <c r="T826" i="6"/>
  <c r="B827" i="6"/>
  <c r="C827" i="6"/>
  <c r="D827" i="6"/>
  <c r="L827" i="6" s="1"/>
  <c r="E827" i="6"/>
  <c r="F827" i="6"/>
  <c r="H827" i="6"/>
  <c r="I827" i="6"/>
  <c r="N827" i="6"/>
  <c r="R827" i="6"/>
  <c r="Q827" i="6" s="1"/>
  <c r="S827" i="6" s="1"/>
  <c r="T827" i="6"/>
  <c r="B828" i="6"/>
  <c r="C828" i="6"/>
  <c r="D828" i="6"/>
  <c r="E828" i="6"/>
  <c r="F828" i="6"/>
  <c r="H828" i="6"/>
  <c r="I828" i="6"/>
  <c r="L828" i="6"/>
  <c r="N828" i="6"/>
  <c r="Q828" i="6"/>
  <c r="R828" i="6"/>
  <c r="S828" i="6"/>
  <c r="T828" i="6"/>
  <c r="B829" i="6"/>
  <c r="C829" i="6"/>
  <c r="D829" i="6"/>
  <c r="L829" i="6" s="1"/>
  <c r="E829" i="6"/>
  <c r="F829" i="6"/>
  <c r="H829" i="6"/>
  <c r="I829" i="6"/>
  <c r="N829" i="6"/>
  <c r="R829" i="6"/>
  <c r="Q829" i="6" s="1"/>
  <c r="S829" i="6" s="1"/>
  <c r="T829" i="6"/>
  <c r="B830" i="6"/>
  <c r="C830" i="6"/>
  <c r="D830" i="6"/>
  <c r="E830" i="6"/>
  <c r="F830" i="6"/>
  <c r="H830" i="6"/>
  <c r="I830" i="6"/>
  <c r="L830" i="6"/>
  <c r="N830" i="6"/>
  <c r="Q830" i="6"/>
  <c r="R830" i="6"/>
  <c r="S830" i="6"/>
  <c r="T830" i="6"/>
  <c r="B831" i="6"/>
  <c r="C831" i="6"/>
  <c r="D831" i="6"/>
  <c r="L831" i="6" s="1"/>
  <c r="E831" i="6"/>
  <c r="F831" i="6"/>
  <c r="H831" i="6"/>
  <c r="I831" i="6"/>
  <c r="N831" i="6"/>
  <c r="R831" i="6"/>
  <c r="Q831" i="6" s="1"/>
  <c r="S831" i="6" s="1"/>
  <c r="T831" i="6"/>
  <c r="B832" i="6"/>
  <c r="C832" i="6"/>
  <c r="D832" i="6"/>
  <c r="E832" i="6"/>
  <c r="F832" i="6"/>
  <c r="H832" i="6"/>
  <c r="I832" i="6"/>
  <c r="L832" i="6"/>
  <c r="N832" i="6"/>
  <c r="Q832" i="6"/>
  <c r="R832" i="6"/>
  <c r="S832" i="6"/>
  <c r="T832" i="6"/>
  <c r="B833" i="6"/>
  <c r="C833" i="6"/>
  <c r="D833" i="6"/>
  <c r="L833" i="6" s="1"/>
  <c r="E833" i="6"/>
  <c r="F833" i="6"/>
  <c r="H833" i="6"/>
  <c r="I833" i="6"/>
  <c r="N833" i="6"/>
  <c r="R833" i="6"/>
  <c r="Q833" i="6" s="1"/>
  <c r="S833" i="6" s="1"/>
  <c r="T833" i="6"/>
  <c r="B834" i="6"/>
  <c r="C834" i="6"/>
  <c r="D834" i="6"/>
  <c r="E834" i="6"/>
  <c r="F834" i="6"/>
  <c r="H834" i="6"/>
  <c r="I834" i="6"/>
  <c r="L834" i="6"/>
  <c r="N834" i="6"/>
  <c r="Q834" i="6"/>
  <c r="R834" i="6"/>
  <c r="S834" i="6"/>
  <c r="T834" i="6"/>
  <c r="B835" i="6"/>
  <c r="C835" i="6"/>
  <c r="D835" i="6"/>
  <c r="L835" i="6" s="1"/>
  <c r="E835" i="6"/>
  <c r="F835" i="6"/>
  <c r="H835" i="6"/>
  <c r="I835" i="6"/>
  <c r="N835" i="6"/>
  <c r="R835" i="6"/>
  <c r="Q835" i="6" s="1"/>
  <c r="S835" i="6" s="1"/>
  <c r="T835" i="6"/>
  <c r="B836" i="6"/>
  <c r="C836" i="6"/>
  <c r="D836" i="6"/>
  <c r="E836" i="6"/>
  <c r="F836" i="6"/>
  <c r="H836" i="6"/>
  <c r="I836" i="6"/>
  <c r="L836" i="6"/>
  <c r="N836" i="6"/>
  <c r="Q836" i="6"/>
  <c r="R836" i="6"/>
  <c r="S836" i="6"/>
  <c r="T836" i="6"/>
  <c r="B837" i="6"/>
  <c r="C837" i="6"/>
  <c r="D837" i="6"/>
  <c r="L837" i="6" s="1"/>
  <c r="E837" i="6"/>
  <c r="F837" i="6"/>
  <c r="H837" i="6"/>
  <c r="I837" i="6"/>
  <c r="N837" i="6"/>
  <c r="R837" i="6"/>
  <c r="Q837" i="6" s="1"/>
  <c r="S837" i="6" s="1"/>
  <c r="T837" i="6"/>
  <c r="B838" i="6"/>
  <c r="C838" i="6"/>
  <c r="D838" i="6"/>
  <c r="E838" i="6"/>
  <c r="F838" i="6"/>
  <c r="H838" i="6"/>
  <c r="I838" i="6"/>
  <c r="L838" i="6"/>
  <c r="N838" i="6"/>
  <c r="Q838" i="6"/>
  <c r="R838" i="6"/>
  <c r="S838" i="6"/>
  <c r="T838" i="6"/>
  <c r="B839" i="6"/>
  <c r="C839" i="6"/>
  <c r="D839" i="6"/>
  <c r="L839" i="6" s="1"/>
  <c r="E839" i="6"/>
  <c r="F839" i="6"/>
  <c r="H839" i="6"/>
  <c r="I839" i="6"/>
  <c r="N839" i="6"/>
  <c r="R839" i="6"/>
  <c r="Q839" i="6" s="1"/>
  <c r="S839" i="6" s="1"/>
  <c r="T839" i="6"/>
  <c r="B840" i="6"/>
  <c r="C840" i="6"/>
  <c r="D840" i="6"/>
  <c r="E840" i="6"/>
  <c r="F840" i="6"/>
  <c r="H840" i="6"/>
  <c r="I840" i="6"/>
  <c r="L840" i="6"/>
  <c r="N840" i="6"/>
  <c r="Q840" i="6"/>
  <c r="R840" i="6"/>
  <c r="S840" i="6"/>
  <c r="T840" i="6"/>
  <c r="B841" i="6"/>
  <c r="C841" i="6"/>
  <c r="D841" i="6"/>
  <c r="L841" i="6" s="1"/>
  <c r="E841" i="6"/>
  <c r="F841" i="6"/>
  <c r="H841" i="6"/>
  <c r="I841" i="6"/>
  <c r="N841" i="6"/>
  <c r="R841" i="6"/>
  <c r="Q841" i="6" s="1"/>
  <c r="S841" i="6" s="1"/>
  <c r="T841" i="6"/>
  <c r="B842" i="6"/>
  <c r="C842" i="6"/>
  <c r="D842" i="6"/>
  <c r="E842" i="6"/>
  <c r="F842" i="6"/>
  <c r="H842" i="6"/>
  <c r="I842" i="6"/>
  <c r="L842" i="6"/>
  <c r="N842" i="6"/>
  <c r="Q842" i="6"/>
  <c r="R842" i="6"/>
  <c r="S842" i="6"/>
  <c r="T842" i="6"/>
  <c r="B843" i="6"/>
  <c r="C843" i="6"/>
  <c r="D843" i="6"/>
  <c r="L843" i="6" s="1"/>
  <c r="E843" i="6"/>
  <c r="F843" i="6"/>
  <c r="H843" i="6"/>
  <c r="I843" i="6"/>
  <c r="N843" i="6"/>
  <c r="R843" i="6"/>
  <c r="Q843" i="6" s="1"/>
  <c r="S843" i="6" s="1"/>
  <c r="T843" i="6"/>
  <c r="B844" i="6"/>
  <c r="C844" i="6"/>
  <c r="D844" i="6"/>
  <c r="E844" i="6"/>
  <c r="F844" i="6"/>
  <c r="H844" i="6"/>
  <c r="I844" i="6"/>
  <c r="L844" i="6"/>
  <c r="N844" i="6"/>
  <c r="Q844" i="6"/>
  <c r="R844" i="6"/>
  <c r="S844" i="6"/>
  <c r="T844" i="6"/>
  <c r="B845" i="6"/>
  <c r="C845" i="6"/>
  <c r="D845" i="6"/>
  <c r="L845" i="6" s="1"/>
  <c r="E845" i="6"/>
  <c r="F845" i="6"/>
  <c r="H845" i="6"/>
  <c r="I845" i="6"/>
  <c r="N845" i="6"/>
  <c r="R845" i="6"/>
  <c r="Q845" i="6" s="1"/>
  <c r="S845" i="6" s="1"/>
  <c r="T845" i="6"/>
  <c r="B846" i="6"/>
  <c r="C846" i="6"/>
  <c r="D846" i="6"/>
  <c r="E846" i="6"/>
  <c r="F846" i="6"/>
  <c r="H846" i="6"/>
  <c r="I846" i="6"/>
  <c r="L846" i="6"/>
  <c r="N846" i="6"/>
  <c r="Q846" i="6"/>
  <c r="R846" i="6"/>
  <c r="S846" i="6"/>
  <c r="T846" i="6"/>
  <c r="B847" i="6"/>
  <c r="C847" i="6"/>
  <c r="D847" i="6"/>
  <c r="L847" i="6" s="1"/>
  <c r="E847" i="6"/>
  <c r="F847" i="6"/>
  <c r="H847" i="6"/>
  <c r="I847" i="6"/>
  <c r="N847" i="6"/>
  <c r="R847" i="6"/>
  <c r="Q847" i="6" s="1"/>
  <c r="S847" i="6" s="1"/>
  <c r="T847" i="6"/>
  <c r="B848" i="6"/>
  <c r="C848" i="6"/>
  <c r="D848" i="6"/>
  <c r="E848" i="6"/>
  <c r="F848" i="6"/>
  <c r="H848" i="6"/>
  <c r="I848" i="6"/>
  <c r="L848" i="6"/>
  <c r="N848" i="6"/>
  <c r="Q848" i="6"/>
  <c r="R848" i="6"/>
  <c r="S848" i="6"/>
  <c r="T848" i="6"/>
  <c r="B849" i="6"/>
  <c r="C849" i="6"/>
  <c r="D849" i="6"/>
  <c r="L849" i="6" s="1"/>
  <c r="E849" i="6"/>
  <c r="F849" i="6"/>
  <c r="H849" i="6"/>
  <c r="I849" i="6"/>
  <c r="N849" i="6"/>
  <c r="R849" i="6"/>
  <c r="Q849" i="6" s="1"/>
  <c r="S849" i="6" s="1"/>
  <c r="T849" i="6"/>
  <c r="B850" i="6"/>
  <c r="C850" i="6"/>
  <c r="D850" i="6"/>
  <c r="E850" i="6"/>
  <c r="F850" i="6"/>
  <c r="H850" i="6"/>
  <c r="I850" i="6"/>
  <c r="L850" i="6"/>
  <c r="N850" i="6"/>
  <c r="Q850" i="6"/>
  <c r="R850" i="6"/>
  <c r="S850" i="6"/>
  <c r="T850" i="6"/>
  <c r="B851" i="6"/>
  <c r="C851" i="6"/>
  <c r="D851" i="6"/>
  <c r="L851" i="6" s="1"/>
  <c r="E851" i="6"/>
  <c r="F851" i="6"/>
  <c r="H851" i="6"/>
  <c r="I851" i="6"/>
  <c r="N851" i="6"/>
  <c r="R851" i="6"/>
  <c r="Q851" i="6" s="1"/>
  <c r="S851" i="6" s="1"/>
  <c r="T851" i="6"/>
  <c r="B852" i="6"/>
  <c r="C852" i="6"/>
  <c r="D852" i="6"/>
  <c r="E852" i="6"/>
  <c r="F852" i="6"/>
  <c r="H852" i="6"/>
  <c r="I852" i="6"/>
  <c r="L852" i="6"/>
  <c r="N852" i="6"/>
  <c r="Q852" i="6"/>
  <c r="R852" i="6"/>
  <c r="S852" i="6"/>
  <c r="T852" i="6"/>
  <c r="B853" i="6"/>
  <c r="C853" i="6"/>
  <c r="D853" i="6"/>
  <c r="L853" i="6" s="1"/>
  <c r="E853" i="6"/>
  <c r="F853" i="6"/>
  <c r="H853" i="6"/>
  <c r="I853" i="6"/>
  <c r="N853" i="6"/>
  <c r="R853" i="6"/>
  <c r="Q853" i="6" s="1"/>
  <c r="S853" i="6" s="1"/>
  <c r="T853" i="6"/>
  <c r="B854" i="6"/>
  <c r="C854" i="6"/>
  <c r="D854" i="6"/>
  <c r="E854" i="6"/>
  <c r="F854" i="6"/>
  <c r="H854" i="6"/>
  <c r="I854" i="6"/>
  <c r="L854" i="6"/>
  <c r="N854" i="6"/>
  <c r="Q854" i="6"/>
  <c r="R854" i="6"/>
  <c r="S854" i="6"/>
  <c r="T854" i="6"/>
  <c r="B855" i="6"/>
  <c r="C855" i="6"/>
  <c r="D855" i="6"/>
  <c r="L855" i="6" s="1"/>
  <c r="E855" i="6"/>
  <c r="F855" i="6"/>
  <c r="H855" i="6"/>
  <c r="I855" i="6"/>
  <c r="N855" i="6"/>
  <c r="R855" i="6"/>
  <c r="Q855" i="6" s="1"/>
  <c r="S855" i="6" s="1"/>
  <c r="T855" i="6"/>
  <c r="B856" i="6"/>
  <c r="C856" i="6"/>
  <c r="D856" i="6"/>
  <c r="E856" i="6"/>
  <c r="F856" i="6"/>
  <c r="H856" i="6"/>
  <c r="I856" i="6"/>
  <c r="L856" i="6"/>
  <c r="N856" i="6"/>
  <c r="Q856" i="6"/>
  <c r="R856" i="6"/>
  <c r="S856" i="6"/>
  <c r="T856" i="6"/>
  <c r="B857" i="6"/>
  <c r="C857" i="6"/>
  <c r="D857" i="6"/>
  <c r="L857" i="6" s="1"/>
  <c r="E857" i="6"/>
  <c r="F857" i="6"/>
  <c r="H857" i="6"/>
  <c r="I857" i="6"/>
  <c r="N857" i="6"/>
  <c r="R857" i="6"/>
  <c r="Q857" i="6" s="1"/>
  <c r="S857" i="6" s="1"/>
  <c r="T857" i="6"/>
  <c r="B858" i="6"/>
  <c r="C858" i="6"/>
  <c r="D858" i="6"/>
  <c r="E858" i="6"/>
  <c r="F858" i="6"/>
  <c r="H858" i="6"/>
  <c r="I858" i="6"/>
  <c r="L858" i="6"/>
  <c r="N858" i="6"/>
  <c r="Q858" i="6"/>
  <c r="R858" i="6"/>
  <c r="S858" i="6"/>
  <c r="T858" i="6"/>
  <c r="B859" i="6"/>
  <c r="C859" i="6"/>
  <c r="D859" i="6"/>
  <c r="L859" i="6" s="1"/>
  <c r="E859" i="6"/>
  <c r="F859" i="6"/>
  <c r="H859" i="6"/>
  <c r="I859" i="6"/>
  <c r="N859" i="6"/>
  <c r="R859" i="6"/>
  <c r="Q859" i="6" s="1"/>
  <c r="S859" i="6" s="1"/>
  <c r="T859" i="6"/>
  <c r="B860" i="6"/>
  <c r="C860" i="6"/>
  <c r="D860" i="6"/>
  <c r="E860" i="6"/>
  <c r="F860" i="6"/>
  <c r="H860" i="6"/>
  <c r="I860" i="6"/>
  <c r="L860" i="6"/>
  <c r="N860" i="6"/>
  <c r="Q860" i="6"/>
  <c r="R860" i="6"/>
  <c r="S860" i="6"/>
  <c r="T860" i="6"/>
  <c r="B861" i="6"/>
  <c r="C861" i="6"/>
  <c r="D861" i="6"/>
  <c r="L861" i="6" s="1"/>
  <c r="E861" i="6"/>
  <c r="F861" i="6"/>
  <c r="H861" i="6"/>
  <c r="I861" i="6"/>
  <c r="N861" i="6"/>
  <c r="R861" i="6"/>
  <c r="Q861" i="6" s="1"/>
  <c r="S861" i="6" s="1"/>
  <c r="T861" i="6"/>
  <c r="B862" i="6"/>
  <c r="C862" i="6"/>
  <c r="D862" i="6"/>
  <c r="E862" i="6"/>
  <c r="F862" i="6"/>
  <c r="H862" i="6"/>
  <c r="I862" i="6"/>
  <c r="L862" i="6"/>
  <c r="N862" i="6"/>
  <c r="Q862" i="6"/>
  <c r="R862" i="6"/>
  <c r="S862" i="6"/>
  <c r="T862" i="6"/>
  <c r="B863" i="6"/>
  <c r="C863" i="6"/>
  <c r="D863" i="6"/>
  <c r="L863" i="6" s="1"/>
  <c r="E863" i="6"/>
  <c r="F863" i="6"/>
  <c r="H863" i="6"/>
  <c r="I863" i="6"/>
  <c r="N863" i="6"/>
  <c r="R863" i="6"/>
  <c r="Q863" i="6" s="1"/>
  <c r="S863" i="6" s="1"/>
  <c r="T863" i="6"/>
  <c r="B864" i="6"/>
  <c r="C864" i="6"/>
  <c r="D864" i="6"/>
  <c r="E864" i="6"/>
  <c r="F864" i="6"/>
  <c r="H864" i="6"/>
  <c r="I864" i="6"/>
  <c r="L864" i="6"/>
  <c r="N864" i="6"/>
  <c r="Q864" i="6"/>
  <c r="R864" i="6"/>
  <c r="S864" i="6"/>
  <c r="T864" i="6"/>
  <c r="B865" i="6"/>
  <c r="C865" i="6"/>
  <c r="D865" i="6"/>
  <c r="L865" i="6" s="1"/>
  <c r="E865" i="6"/>
  <c r="F865" i="6"/>
  <c r="H865" i="6"/>
  <c r="I865" i="6"/>
  <c r="N865" i="6"/>
  <c r="R865" i="6"/>
  <c r="Q865" i="6" s="1"/>
  <c r="S865" i="6" s="1"/>
  <c r="T865" i="6"/>
  <c r="B866" i="6"/>
  <c r="C866" i="6"/>
  <c r="D866" i="6"/>
  <c r="E866" i="6"/>
  <c r="F866" i="6"/>
  <c r="H866" i="6"/>
  <c r="I866" i="6"/>
  <c r="L866" i="6"/>
  <c r="N866" i="6"/>
  <c r="Q866" i="6"/>
  <c r="R866" i="6"/>
  <c r="S866" i="6"/>
  <c r="T866" i="6"/>
  <c r="B867" i="6"/>
  <c r="C867" i="6"/>
  <c r="D867" i="6"/>
  <c r="L867" i="6" s="1"/>
  <c r="E867" i="6"/>
  <c r="F867" i="6"/>
  <c r="H867" i="6"/>
  <c r="I867" i="6"/>
  <c r="N867" i="6"/>
  <c r="R867" i="6"/>
  <c r="Q867" i="6" s="1"/>
  <c r="S867" i="6" s="1"/>
  <c r="T867" i="6"/>
  <c r="B868" i="6"/>
  <c r="C868" i="6"/>
  <c r="D868" i="6"/>
  <c r="E868" i="6"/>
  <c r="F868" i="6"/>
  <c r="H868" i="6"/>
  <c r="I868" i="6"/>
  <c r="L868" i="6"/>
  <c r="N868" i="6"/>
  <c r="Q868" i="6"/>
  <c r="R868" i="6"/>
  <c r="S868" i="6"/>
  <c r="T868" i="6"/>
  <c r="B869" i="6"/>
  <c r="C869" i="6"/>
  <c r="D869" i="6"/>
  <c r="L869" i="6" s="1"/>
  <c r="E869" i="6"/>
  <c r="F869" i="6"/>
  <c r="H869" i="6"/>
  <c r="I869" i="6"/>
  <c r="N869" i="6"/>
  <c r="R869" i="6"/>
  <c r="Q869" i="6" s="1"/>
  <c r="S869" i="6" s="1"/>
  <c r="T869" i="6"/>
  <c r="B870" i="6"/>
  <c r="C870" i="6"/>
  <c r="D870" i="6"/>
  <c r="E870" i="6"/>
  <c r="F870" i="6"/>
  <c r="H870" i="6"/>
  <c r="I870" i="6"/>
  <c r="L870" i="6"/>
  <c r="N870" i="6"/>
  <c r="Q870" i="6"/>
  <c r="R870" i="6"/>
  <c r="S870" i="6"/>
  <c r="T870" i="6"/>
  <c r="B871" i="6"/>
  <c r="C871" i="6"/>
  <c r="D871" i="6"/>
  <c r="L871" i="6" s="1"/>
  <c r="E871" i="6"/>
  <c r="F871" i="6"/>
  <c r="H871" i="6"/>
  <c r="I871" i="6"/>
  <c r="N871" i="6"/>
  <c r="R871" i="6"/>
  <c r="Q871" i="6" s="1"/>
  <c r="S871" i="6" s="1"/>
  <c r="T871" i="6"/>
  <c r="B872" i="6"/>
  <c r="C872" i="6"/>
  <c r="D872" i="6"/>
  <c r="E872" i="6"/>
  <c r="F872" i="6"/>
  <c r="H872" i="6"/>
  <c r="I872" i="6"/>
  <c r="L872" i="6"/>
  <c r="N872" i="6"/>
  <c r="Q872" i="6"/>
  <c r="R872" i="6"/>
  <c r="S872" i="6"/>
  <c r="T872" i="6"/>
  <c r="B873" i="6"/>
  <c r="C873" i="6"/>
  <c r="D873" i="6"/>
  <c r="L873" i="6" s="1"/>
  <c r="E873" i="6"/>
  <c r="F873" i="6"/>
  <c r="H873" i="6"/>
  <c r="I873" i="6"/>
  <c r="N873" i="6"/>
  <c r="R873" i="6"/>
  <c r="Q873" i="6" s="1"/>
  <c r="S873" i="6" s="1"/>
  <c r="T873" i="6"/>
  <c r="B874" i="6"/>
  <c r="C874" i="6"/>
  <c r="D874" i="6"/>
  <c r="E874" i="6"/>
  <c r="F874" i="6"/>
  <c r="H874" i="6"/>
  <c r="I874" i="6"/>
  <c r="L874" i="6"/>
  <c r="N874" i="6"/>
  <c r="Q874" i="6"/>
  <c r="R874" i="6"/>
  <c r="S874" i="6"/>
  <c r="T874" i="6"/>
  <c r="B875" i="6"/>
  <c r="C875" i="6"/>
  <c r="D875" i="6"/>
  <c r="L875" i="6" s="1"/>
  <c r="E875" i="6"/>
  <c r="F875" i="6"/>
  <c r="H875" i="6"/>
  <c r="I875" i="6"/>
  <c r="N875" i="6"/>
  <c r="R875" i="6"/>
  <c r="Q875" i="6" s="1"/>
  <c r="S875" i="6" s="1"/>
  <c r="T875" i="6"/>
  <c r="B876" i="6"/>
  <c r="C876" i="6"/>
  <c r="D876" i="6"/>
  <c r="E876" i="6"/>
  <c r="F876" i="6"/>
  <c r="H876" i="6"/>
  <c r="I876" i="6"/>
  <c r="L876" i="6"/>
  <c r="N876" i="6"/>
  <c r="Q876" i="6"/>
  <c r="R876" i="6"/>
  <c r="S876" i="6"/>
  <c r="T876" i="6"/>
  <c r="B877" i="6"/>
  <c r="C877" i="6"/>
  <c r="D877" i="6"/>
  <c r="L877" i="6" s="1"/>
  <c r="E877" i="6"/>
  <c r="F877" i="6"/>
  <c r="H877" i="6"/>
  <c r="I877" i="6"/>
  <c r="N877" i="6"/>
  <c r="R877" i="6"/>
  <c r="Q877" i="6" s="1"/>
  <c r="S877" i="6" s="1"/>
  <c r="T877" i="6"/>
  <c r="B878" i="6"/>
  <c r="C878" i="6"/>
  <c r="D878" i="6"/>
  <c r="E878" i="6"/>
  <c r="F878" i="6"/>
  <c r="H878" i="6"/>
  <c r="I878" i="6"/>
  <c r="L878" i="6"/>
  <c r="N878" i="6"/>
  <c r="Q878" i="6"/>
  <c r="R878" i="6"/>
  <c r="S878" i="6"/>
  <c r="T878" i="6"/>
  <c r="B879" i="6"/>
  <c r="C879" i="6"/>
  <c r="D879" i="6"/>
  <c r="L879" i="6" s="1"/>
  <c r="E879" i="6"/>
  <c r="F879" i="6"/>
  <c r="H879" i="6"/>
  <c r="I879" i="6"/>
  <c r="N879" i="6"/>
  <c r="R879" i="6"/>
  <c r="Q879" i="6" s="1"/>
  <c r="S879" i="6" s="1"/>
  <c r="T879" i="6"/>
  <c r="B880" i="6"/>
  <c r="C880" i="6"/>
  <c r="D880" i="6"/>
  <c r="E880" i="6"/>
  <c r="F880" i="6"/>
  <c r="H880" i="6"/>
  <c r="I880" i="6"/>
  <c r="L880" i="6"/>
  <c r="N880" i="6"/>
  <c r="Q880" i="6"/>
  <c r="R880" i="6"/>
  <c r="S880" i="6"/>
  <c r="T880" i="6"/>
  <c r="B881" i="6"/>
  <c r="C881" i="6"/>
  <c r="D881" i="6"/>
  <c r="L881" i="6" s="1"/>
  <c r="E881" i="6"/>
  <c r="F881" i="6"/>
  <c r="H881" i="6"/>
  <c r="I881" i="6"/>
  <c r="N881" i="6"/>
  <c r="R881" i="6"/>
  <c r="Q881" i="6" s="1"/>
  <c r="S881" i="6" s="1"/>
  <c r="T881" i="6"/>
  <c r="B882" i="6"/>
  <c r="C882" i="6"/>
  <c r="D882" i="6"/>
  <c r="E882" i="6"/>
  <c r="F882" i="6"/>
  <c r="H882" i="6"/>
  <c r="I882" i="6"/>
  <c r="L882" i="6"/>
  <c r="N882" i="6"/>
  <c r="Q882" i="6"/>
  <c r="R882" i="6"/>
  <c r="S882" i="6"/>
  <c r="T882" i="6"/>
  <c r="B883" i="6"/>
  <c r="C883" i="6"/>
  <c r="D883" i="6"/>
  <c r="L883" i="6" s="1"/>
  <c r="E883" i="6"/>
  <c r="F883" i="6"/>
  <c r="H883" i="6"/>
  <c r="I883" i="6"/>
  <c r="N883" i="6"/>
  <c r="R883" i="6"/>
  <c r="Q883" i="6" s="1"/>
  <c r="S883" i="6" s="1"/>
  <c r="T883" i="6"/>
  <c r="B884" i="6"/>
  <c r="C884" i="6"/>
  <c r="D884" i="6"/>
  <c r="E884" i="6"/>
  <c r="F884" i="6"/>
  <c r="H884" i="6"/>
  <c r="I884" i="6"/>
  <c r="L884" i="6"/>
  <c r="N884" i="6"/>
  <c r="Q884" i="6"/>
  <c r="R884" i="6"/>
  <c r="S884" i="6"/>
  <c r="T884" i="6"/>
  <c r="B885" i="6"/>
  <c r="C885" i="6"/>
  <c r="D885" i="6"/>
  <c r="L885" i="6" s="1"/>
  <c r="E885" i="6"/>
  <c r="F885" i="6"/>
  <c r="H885" i="6"/>
  <c r="I885" i="6"/>
  <c r="N885" i="6"/>
  <c r="R885" i="6"/>
  <c r="Q885" i="6" s="1"/>
  <c r="S885" i="6" s="1"/>
  <c r="T885" i="6"/>
  <c r="B886" i="6"/>
  <c r="C886" i="6"/>
  <c r="D886" i="6"/>
  <c r="E886" i="6"/>
  <c r="F886" i="6"/>
  <c r="H886" i="6"/>
  <c r="I886" i="6"/>
  <c r="L886" i="6"/>
  <c r="N886" i="6"/>
  <c r="Q886" i="6"/>
  <c r="R886" i="6"/>
  <c r="S886" i="6"/>
  <c r="T886" i="6"/>
  <c r="B887" i="6"/>
  <c r="C887" i="6"/>
  <c r="D887" i="6"/>
  <c r="L887" i="6" s="1"/>
  <c r="E887" i="6"/>
  <c r="F887" i="6"/>
  <c r="H887" i="6"/>
  <c r="I887" i="6"/>
  <c r="N887" i="6"/>
  <c r="R887" i="6"/>
  <c r="Q887" i="6" s="1"/>
  <c r="S887" i="6" s="1"/>
  <c r="T887" i="6"/>
  <c r="B888" i="6"/>
  <c r="C888" i="6"/>
  <c r="D888" i="6"/>
  <c r="E888" i="6"/>
  <c r="F888" i="6"/>
  <c r="H888" i="6"/>
  <c r="I888" i="6"/>
  <c r="L888" i="6"/>
  <c r="N888" i="6"/>
  <c r="Q888" i="6"/>
  <c r="R888" i="6"/>
  <c r="S888" i="6"/>
  <c r="T888" i="6"/>
  <c r="B889" i="6"/>
  <c r="C889" i="6"/>
  <c r="D889" i="6"/>
  <c r="L889" i="6" s="1"/>
  <c r="E889" i="6"/>
  <c r="F889" i="6"/>
  <c r="H889" i="6"/>
  <c r="I889" i="6"/>
  <c r="N889" i="6"/>
  <c r="R889" i="6"/>
  <c r="Q889" i="6" s="1"/>
  <c r="S889" i="6" s="1"/>
  <c r="T889" i="6"/>
  <c r="B890" i="6"/>
  <c r="C890" i="6"/>
  <c r="D890" i="6"/>
  <c r="E890" i="6"/>
  <c r="F890" i="6"/>
  <c r="H890" i="6"/>
  <c r="I890" i="6"/>
  <c r="L890" i="6"/>
  <c r="N890" i="6"/>
  <c r="Q890" i="6"/>
  <c r="R890" i="6"/>
  <c r="S890" i="6"/>
  <c r="T890" i="6"/>
  <c r="B891" i="6"/>
  <c r="C891" i="6"/>
  <c r="D891" i="6"/>
  <c r="L891" i="6" s="1"/>
  <c r="E891" i="6"/>
  <c r="F891" i="6"/>
  <c r="H891" i="6"/>
  <c r="I891" i="6"/>
  <c r="N891" i="6"/>
  <c r="R891" i="6"/>
  <c r="Q891" i="6" s="1"/>
  <c r="S891" i="6" s="1"/>
  <c r="T891" i="6"/>
  <c r="B892" i="6"/>
  <c r="C892" i="6"/>
  <c r="D892" i="6"/>
  <c r="E892" i="6"/>
  <c r="F892" i="6"/>
  <c r="H892" i="6"/>
  <c r="I892" i="6"/>
  <c r="L892" i="6"/>
  <c r="N892" i="6"/>
  <c r="Q892" i="6"/>
  <c r="R892" i="6"/>
  <c r="S892" i="6"/>
  <c r="T892" i="6"/>
  <c r="B893" i="6"/>
  <c r="C893" i="6"/>
  <c r="D893" i="6"/>
  <c r="L893" i="6" s="1"/>
  <c r="E893" i="6"/>
  <c r="F893" i="6"/>
  <c r="H893" i="6"/>
  <c r="I893" i="6"/>
  <c r="N893" i="6"/>
  <c r="R893" i="6"/>
  <c r="Q893" i="6" s="1"/>
  <c r="S893" i="6" s="1"/>
  <c r="T893" i="6"/>
  <c r="B894" i="6"/>
  <c r="C894" i="6"/>
  <c r="D894" i="6"/>
  <c r="E894" i="6"/>
  <c r="F894" i="6"/>
  <c r="H894" i="6"/>
  <c r="I894" i="6"/>
  <c r="L894" i="6"/>
  <c r="N894" i="6"/>
  <c r="Q894" i="6"/>
  <c r="R894" i="6"/>
  <c r="S894" i="6"/>
  <c r="T894" i="6"/>
  <c r="B895" i="6"/>
  <c r="C895" i="6"/>
  <c r="D895" i="6"/>
  <c r="E895" i="6"/>
  <c r="F895" i="6"/>
  <c r="H895" i="6"/>
  <c r="I895" i="6"/>
  <c r="N895" i="6"/>
  <c r="R895" i="6"/>
  <c r="Q895" i="6" s="1"/>
  <c r="S895" i="6" s="1"/>
  <c r="T895" i="6"/>
  <c r="B896" i="6"/>
  <c r="C896" i="6"/>
  <c r="D896" i="6"/>
  <c r="E896" i="6"/>
  <c r="F896" i="6"/>
  <c r="H896" i="6"/>
  <c r="I896" i="6"/>
  <c r="L896" i="6"/>
  <c r="N896" i="6"/>
  <c r="Q896" i="6"/>
  <c r="R896" i="6"/>
  <c r="S896" i="6"/>
  <c r="T896" i="6"/>
  <c r="B897" i="6"/>
  <c r="C897" i="6"/>
  <c r="D897" i="6"/>
  <c r="E897" i="6"/>
  <c r="F897" i="6"/>
  <c r="H897" i="6"/>
  <c r="I897" i="6"/>
  <c r="N897" i="6"/>
  <c r="R897" i="6"/>
  <c r="Q897" i="6" s="1"/>
  <c r="S897" i="6" s="1"/>
  <c r="T897" i="6"/>
  <c r="B898" i="6"/>
  <c r="C898" i="6"/>
  <c r="D898" i="6"/>
  <c r="E898" i="6"/>
  <c r="F898" i="6"/>
  <c r="H898" i="6"/>
  <c r="I898" i="6"/>
  <c r="L898" i="6"/>
  <c r="N898" i="6"/>
  <c r="Q898" i="6"/>
  <c r="R898" i="6"/>
  <c r="S898" i="6"/>
  <c r="T898" i="6"/>
  <c r="B899" i="6"/>
  <c r="C899" i="6"/>
  <c r="D899" i="6"/>
  <c r="E899" i="6"/>
  <c r="F899" i="6"/>
  <c r="H899" i="6"/>
  <c r="I899" i="6"/>
  <c r="N899" i="6"/>
  <c r="R899" i="6"/>
  <c r="Q899" i="6" s="1"/>
  <c r="S899" i="6" s="1"/>
  <c r="T899" i="6"/>
  <c r="B900" i="6"/>
  <c r="C900" i="6"/>
  <c r="D900" i="6"/>
  <c r="E900" i="6"/>
  <c r="F900" i="6"/>
  <c r="H900" i="6"/>
  <c r="I900" i="6"/>
  <c r="L900" i="6"/>
  <c r="N900" i="6"/>
  <c r="Q900" i="6"/>
  <c r="R900" i="6"/>
  <c r="S900" i="6"/>
  <c r="T900" i="6"/>
  <c r="B901" i="6"/>
  <c r="C901" i="6"/>
  <c r="D901" i="6"/>
  <c r="E901" i="6"/>
  <c r="F901" i="6"/>
  <c r="H901" i="6"/>
  <c r="I901" i="6"/>
  <c r="N901" i="6"/>
  <c r="R901" i="6"/>
  <c r="Q901" i="6" s="1"/>
  <c r="S901" i="6" s="1"/>
  <c r="T901" i="6"/>
  <c r="B902" i="6"/>
  <c r="C902" i="6"/>
  <c r="D902" i="6"/>
  <c r="E902" i="6"/>
  <c r="F902" i="6"/>
  <c r="H902" i="6"/>
  <c r="I902" i="6"/>
  <c r="L902" i="6"/>
  <c r="N902" i="6"/>
  <c r="Q902" i="6"/>
  <c r="R902" i="6"/>
  <c r="S902" i="6"/>
  <c r="T902" i="6"/>
  <c r="B903" i="6"/>
  <c r="C903" i="6"/>
  <c r="D903" i="6"/>
  <c r="E903" i="6"/>
  <c r="F903" i="6"/>
  <c r="H903" i="6"/>
  <c r="I903" i="6"/>
  <c r="N903" i="6"/>
  <c r="R903" i="6"/>
  <c r="Q903" i="6" s="1"/>
  <c r="S903" i="6" s="1"/>
  <c r="T903" i="6"/>
  <c r="B904" i="6"/>
  <c r="C904" i="6"/>
  <c r="D904" i="6"/>
  <c r="E904" i="6"/>
  <c r="F904" i="6"/>
  <c r="H904" i="6"/>
  <c r="I904" i="6"/>
  <c r="L904" i="6"/>
  <c r="N904" i="6"/>
  <c r="Q904" i="6"/>
  <c r="R904" i="6"/>
  <c r="S904" i="6"/>
  <c r="T904" i="6"/>
  <c r="B905" i="6"/>
  <c r="C905" i="6"/>
  <c r="D905" i="6"/>
  <c r="E905" i="6"/>
  <c r="F905" i="6"/>
  <c r="H905" i="6"/>
  <c r="I905" i="6"/>
  <c r="N905" i="6"/>
  <c r="R905" i="6"/>
  <c r="Q905" i="6" s="1"/>
  <c r="S905" i="6" s="1"/>
  <c r="T905" i="6"/>
  <c r="B906" i="6"/>
  <c r="C906" i="6"/>
  <c r="D906" i="6"/>
  <c r="E906" i="6"/>
  <c r="F906" i="6"/>
  <c r="H906" i="6"/>
  <c r="I906" i="6"/>
  <c r="L906" i="6"/>
  <c r="N906" i="6"/>
  <c r="Q906" i="6"/>
  <c r="R906" i="6"/>
  <c r="S906" i="6"/>
  <c r="T906" i="6"/>
  <c r="B907" i="6"/>
  <c r="C907" i="6"/>
  <c r="D907" i="6"/>
  <c r="E907" i="6"/>
  <c r="F907" i="6"/>
  <c r="H907" i="6"/>
  <c r="I907" i="6"/>
  <c r="N907" i="6"/>
  <c r="R907" i="6"/>
  <c r="Q907" i="6" s="1"/>
  <c r="S907" i="6" s="1"/>
  <c r="T907" i="6"/>
  <c r="B908" i="6"/>
  <c r="C908" i="6"/>
  <c r="D908" i="6"/>
  <c r="E908" i="6"/>
  <c r="F908" i="6"/>
  <c r="H908" i="6"/>
  <c r="I908" i="6"/>
  <c r="L908" i="6"/>
  <c r="N908" i="6"/>
  <c r="Q908" i="6"/>
  <c r="R908" i="6"/>
  <c r="S908" i="6"/>
  <c r="T908" i="6"/>
  <c r="B909" i="6"/>
  <c r="C909" i="6"/>
  <c r="D909" i="6"/>
  <c r="E909" i="6"/>
  <c r="F909" i="6"/>
  <c r="H909" i="6"/>
  <c r="I909" i="6"/>
  <c r="N909" i="6"/>
  <c r="R909" i="6"/>
  <c r="Q909" i="6" s="1"/>
  <c r="S909" i="6" s="1"/>
  <c r="T909" i="6"/>
  <c r="B910" i="6"/>
  <c r="C910" i="6"/>
  <c r="D910" i="6"/>
  <c r="E910" i="6"/>
  <c r="F910" i="6"/>
  <c r="H910" i="6"/>
  <c r="I910" i="6"/>
  <c r="L910" i="6"/>
  <c r="N910" i="6"/>
  <c r="Q910" i="6"/>
  <c r="R910" i="6"/>
  <c r="S910" i="6"/>
  <c r="T910" i="6"/>
  <c r="B911" i="6"/>
  <c r="C911" i="6"/>
  <c r="D911" i="6"/>
  <c r="E911" i="6"/>
  <c r="F911" i="6"/>
  <c r="H911" i="6"/>
  <c r="I911" i="6"/>
  <c r="N911" i="6"/>
  <c r="R911" i="6"/>
  <c r="Q911" i="6" s="1"/>
  <c r="S911" i="6" s="1"/>
  <c r="T911" i="6"/>
  <c r="B912" i="6"/>
  <c r="C912" i="6"/>
  <c r="D912" i="6"/>
  <c r="E912" i="6"/>
  <c r="F912" i="6"/>
  <c r="H912" i="6"/>
  <c r="I912" i="6"/>
  <c r="L912" i="6"/>
  <c r="N912" i="6"/>
  <c r="Q912" i="6"/>
  <c r="R912" i="6"/>
  <c r="S912" i="6"/>
  <c r="T912" i="6"/>
  <c r="B913" i="6"/>
  <c r="C913" i="6"/>
  <c r="D913" i="6"/>
  <c r="E913" i="6"/>
  <c r="F913" i="6"/>
  <c r="H913" i="6"/>
  <c r="I913" i="6"/>
  <c r="N913" i="6"/>
  <c r="R913" i="6"/>
  <c r="Q913" i="6" s="1"/>
  <c r="S913" i="6" s="1"/>
  <c r="T913" i="6"/>
  <c r="B914" i="6"/>
  <c r="C914" i="6"/>
  <c r="D914" i="6"/>
  <c r="E914" i="6"/>
  <c r="F914" i="6"/>
  <c r="H914" i="6"/>
  <c r="I914" i="6"/>
  <c r="L914" i="6"/>
  <c r="N914" i="6"/>
  <c r="Q914" i="6"/>
  <c r="R914" i="6"/>
  <c r="S914" i="6"/>
  <c r="T914" i="6"/>
  <c r="B915" i="6"/>
  <c r="C915" i="6"/>
  <c r="D915" i="6"/>
  <c r="E915" i="6"/>
  <c r="F915" i="6"/>
  <c r="H915" i="6"/>
  <c r="I915" i="6"/>
  <c r="N915" i="6"/>
  <c r="R915" i="6"/>
  <c r="Q915" i="6" s="1"/>
  <c r="S915" i="6" s="1"/>
  <c r="T915" i="6"/>
  <c r="B916" i="6"/>
  <c r="C916" i="6"/>
  <c r="D916" i="6"/>
  <c r="E916" i="6"/>
  <c r="F916" i="6"/>
  <c r="H916" i="6"/>
  <c r="I916" i="6"/>
  <c r="L916" i="6"/>
  <c r="N916" i="6"/>
  <c r="Q916" i="6"/>
  <c r="R916" i="6"/>
  <c r="S916" i="6"/>
  <c r="T916" i="6"/>
  <c r="B917" i="6"/>
  <c r="C917" i="6"/>
  <c r="D917" i="6"/>
  <c r="E917" i="6"/>
  <c r="F917" i="6"/>
  <c r="H917" i="6"/>
  <c r="I917" i="6"/>
  <c r="N917" i="6"/>
  <c r="R917" i="6"/>
  <c r="Q917" i="6" s="1"/>
  <c r="S917" i="6" s="1"/>
  <c r="T917" i="6"/>
  <c r="B918" i="6"/>
  <c r="C918" i="6"/>
  <c r="D918" i="6"/>
  <c r="E918" i="6"/>
  <c r="F918" i="6"/>
  <c r="H918" i="6"/>
  <c r="I918" i="6"/>
  <c r="L918" i="6"/>
  <c r="N918" i="6"/>
  <c r="Q918" i="6"/>
  <c r="R918" i="6"/>
  <c r="S918" i="6"/>
  <c r="T918" i="6"/>
  <c r="B919" i="6"/>
  <c r="C919" i="6"/>
  <c r="D919" i="6"/>
  <c r="E919" i="6"/>
  <c r="F919" i="6"/>
  <c r="H919" i="6"/>
  <c r="I919" i="6"/>
  <c r="N919" i="6"/>
  <c r="R919" i="6"/>
  <c r="Q919" i="6" s="1"/>
  <c r="S919" i="6" s="1"/>
  <c r="T919" i="6"/>
  <c r="B920" i="6"/>
  <c r="C920" i="6"/>
  <c r="D920" i="6"/>
  <c r="E920" i="6"/>
  <c r="F920" i="6"/>
  <c r="H920" i="6"/>
  <c r="I920" i="6"/>
  <c r="L920" i="6"/>
  <c r="N920" i="6"/>
  <c r="Q920" i="6"/>
  <c r="R920" i="6"/>
  <c r="S920" i="6"/>
  <c r="T920" i="6"/>
  <c r="B921" i="6"/>
  <c r="C921" i="6"/>
  <c r="D921" i="6"/>
  <c r="E921" i="6"/>
  <c r="F921" i="6"/>
  <c r="H921" i="6"/>
  <c r="I921" i="6"/>
  <c r="N921" i="6"/>
  <c r="Q921" i="6"/>
  <c r="R921" i="6"/>
  <c r="S921" i="6"/>
  <c r="T921" i="6"/>
  <c r="B922" i="6"/>
  <c r="C922" i="6"/>
  <c r="D922" i="6"/>
  <c r="L922" i="6" s="1"/>
  <c r="E922" i="6"/>
  <c r="F922" i="6"/>
  <c r="H922" i="6"/>
  <c r="I922" i="6"/>
  <c r="N922" i="6"/>
  <c r="R922" i="6"/>
  <c r="Q922" i="6" s="1"/>
  <c r="T922" i="6"/>
  <c r="B923" i="6"/>
  <c r="C923" i="6"/>
  <c r="D923" i="6"/>
  <c r="E923" i="6"/>
  <c r="F923" i="6"/>
  <c r="H923" i="6"/>
  <c r="I923" i="6"/>
  <c r="L923" i="6"/>
  <c r="N923" i="6"/>
  <c r="Q923" i="6"/>
  <c r="R923" i="6"/>
  <c r="S923" i="6"/>
  <c r="T923" i="6"/>
  <c r="B924" i="6"/>
  <c r="C924" i="6"/>
  <c r="D924" i="6"/>
  <c r="L924" i="6" s="1"/>
  <c r="E924" i="6"/>
  <c r="F924" i="6"/>
  <c r="H924" i="6"/>
  <c r="I924" i="6"/>
  <c r="N924" i="6"/>
  <c r="R924" i="6"/>
  <c r="Q924" i="6" s="1"/>
  <c r="T924" i="6"/>
  <c r="B925" i="6"/>
  <c r="C925" i="6"/>
  <c r="D925" i="6"/>
  <c r="E925" i="6"/>
  <c r="F925" i="6"/>
  <c r="H925" i="6"/>
  <c r="I925" i="6"/>
  <c r="L925" i="6"/>
  <c r="N925" i="6"/>
  <c r="Q925" i="6"/>
  <c r="R925" i="6"/>
  <c r="S925" i="6"/>
  <c r="T925" i="6"/>
  <c r="B926" i="6"/>
  <c r="C926" i="6"/>
  <c r="D926" i="6"/>
  <c r="L926" i="6" s="1"/>
  <c r="E926" i="6"/>
  <c r="F926" i="6"/>
  <c r="H926" i="6"/>
  <c r="I926" i="6"/>
  <c r="N926" i="6"/>
  <c r="R926" i="6"/>
  <c r="Q926" i="6" s="1"/>
  <c r="S926" i="6" s="1"/>
  <c r="T926" i="6"/>
  <c r="B927" i="6"/>
  <c r="C927" i="6"/>
  <c r="D927" i="6"/>
  <c r="E927" i="6"/>
  <c r="F927" i="6"/>
  <c r="H927" i="6"/>
  <c r="I927" i="6"/>
  <c r="L927" i="6"/>
  <c r="N927" i="6"/>
  <c r="Q927" i="6"/>
  <c r="R927" i="6"/>
  <c r="S927" i="6"/>
  <c r="T927" i="6"/>
  <c r="B928" i="6"/>
  <c r="C928" i="6"/>
  <c r="D928" i="6"/>
  <c r="L928" i="6" s="1"/>
  <c r="E928" i="6"/>
  <c r="F928" i="6"/>
  <c r="H928" i="6"/>
  <c r="I928" i="6"/>
  <c r="N928" i="6"/>
  <c r="R928" i="6"/>
  <c r="Q928" i="6" s="1"/>
  <c r="S928" i="6" s="1"/>
  <c r="T928" i="6"/>
  <c r="B929" i="6"/>
  <c r="C929" i="6"/>
  <c r="D929" i="6"/>
  <c r="E929" i="6"/>
  <c r="F929" i="6"/>
  <c r="H929" i="6"/>
  <c r="I929" i="6"/>
  <c r="L929" i="6"/>
  <c r="N929" i="6"/>
  <c r="Q929" i="6"/>
  <c r="R929" i="6"/>
  <c r="S929" i="6"/>
  <c r="T929" i="6"/>
  <c r="B930" i="6"/>
  <c r="C930" i="6"/>
  <c r="D930" i="6"/>
  <c r="L930" i="6" s="1"/>
  <c r="E930" i="6"/>
  <c r="F930" i="6"/>
  <c r="H930" i="6"/>
  <c r="I930" i="6"/>
  <c r="N930" i="6"/>
  <c r="R930" i="6"/>
  <c r="Q930" i="6" s="1"/>
  <c r="S930" i="6" s="1"/>
  <c r="T930" i="6"/>
  <c r="B931" i="6"/>
  <c r="C931" i="6"/>
  <c r="D931" i="6"/>
  <c r="E931" i="6"/>
  <c r="F931" i="6"/>
  <c r="H931" i="6"/>
  <c r="I931" i="6"/>
  <c r="L931" i="6"/>
  <c r="N931" i="6"/>
  <c r="Q931" i="6"/>
  <c r="R931" i="6"/>
  <c r="S931" i="6"/>
  <c r="T931" i="6"/>
  <c r="B932" i="6"/>
  <c r="C932" i="6"/>
  <c r="D932" i="6"/>
  <c r="L932" i="6" s="1"/>
  <c r="E932" i="6"/>
  <c r="F932" i="6"/>
  <c r="H932" i="6"/>
  <c r="I932" i="6"/>
  <c r="N932" i="6"/>
  <c r="R932" i="6"/>
  <c r="Q932" i="6" s="1"/>
  <c r="S932" i="6" s="1"/>
  <c r="T932" i="6"/>
  <c r="B933" i="6"/>
  <c r="C933" i="6"/>
  <c r="D933" i="6"/>
  <c r="E933" i="6"/>
  <c r="F933" i="6"/>
  <c r="H933" i="6"/>
  <c r="I933" i="6"/>
  <c r="L933" i="6"/>
  <c r="N933" i="6"/>
  <c r="Q933" i="6"/>
  <c r="R933" i="6"/>
  <c r="S933" i="6"/>
  <c r="T933" i="6"/>
  <c r="B934" i="6"/>
  <c r="C934" i="6"/>
  <c r="D934" i="6"/>
  <c r="L934" i="6" s="1"/>
  <c r="E934" i="6"/>
  <c r="F934" i="6"/>
  <c r="H934" i="6"/>
  <c r="I934" i="6"/>
  <c r="N934" i="6"/>
  <c r="R934" i="6"/>
  <c r="Q934" i="6" s="1"/>
  <c r="S934" i="6" s="1"/>
  <c r="T934" i="6"/>
  <c r="B935" i="6"/>
  <c r="C935" i="6"/>
  <c r="D935" i="6"/>
  <c r="E935" i="6"/>
  <c r="F935" i="6"/>
  <c r="H935" i="6"/>
  <c r="I935" i="6"/>
  <c r="L935" i="6"/>
  <c r="N935" i="6"/>
  <c r="Q935" i="6"/>
  <c r="R935" i="6"/>
  <c r="S935" i="6"/>
  <c r="T935" i="6"/>
  <c r="B936" i="6"/>
  <c r="C936" i="6"/>
  <c r="D936" i="6"/>
  <c r="L936" i="6" s="1"/>
  <c r="E936" i="6"/>
  <c r="F936" i="6"/>
  <c r="H936" i="6"/>
  <c r="I936" i="6"/>
  <c r="N936" i="6"/>
  <c r="R936" i="6"/>
  <c r="Q936" i="6" s="1"/>
  <c r="T936" i="6"/>
  <c r="B937" i="6"/>
  <c r="C937" i="6"/>
  <c r="D937" i="6"/>
  <c r="E937" i="6"/>
  <c r="F937" i="6"/>
  <c r="H937" i="6"/>
  <c r="I937" i="6"/>
  <c r="L937" i="6"/>
  <c r="N937" i="6"/>
  <c r="Q937" i="6"/>
  <c r="R937" i="6"/>
  <c r="S937" i="6"/>
  <c r="T937" i="6"/>
  <c r="B938" i="6"/>
  <c r="C938" i="6"/>
  <c r="D938" i="6"/>
  <c r="L938" i="6" s="1"/>
  <c r="E938" i="6"/>
  <c r="F938" i="6"/>
  <c r="H938" i="6"/>
  <c r="I938" i="6"/>
  <c r="N938" i="6"/>
  <c r="R938" i="6"/>
  <c r="Q938" i="6" s="1"/>
  <c r="S938" i="6" s="1"/>
  <c r="T938" i="6"/>
  <c r="B939" i="6"/>
  <c r="C939" i="6"/>
  <c r="D939" i="6"/>
  <c r="E939" i="6"/>
  <c r="F939" i="6"/>
  <c r="H939" i="6"/>
  <c r="I939" i="6"/>
  <c r="L939" i="6"/>
  <c r="N939" i="6"/>
  <c r="Q939" i="6"/>
  <c r="R939" i="6"/>
  <c r="S939" i="6"/>
  <c r="T939" i="6"/>
  <c r="B940" i="6"/>
  <c r="C940" i="6"/>
  <c r="D940" i="6"/>
  <c r="L940" i="6" s="1"/>
  <c r="E940" i="6"/>
  <c r="F940" i="6"/>
  <c r="H940" i="6"/>
  <c r="I940" i="6"/>
  <c r="N940" i="6"/>
  <c r="R940" i="6"/>
  <c r="Q940" i="6" s="1"/>
  <c r="S940" i="6" s="1"/>
  <c r="T940" i="6"/>
  <c r="B941" i="6"/>
  <c r="C941" i="6"/>
  <c r="D941" i="6"/>
  <c r="E941" i="6"/>
  <c r="F941" i="6"/>
  <c r="H941" i="6"/>
  <c r="I941" i="6"/>
  <c r="L941" i="6"/>
  <c r="N941" i="6"/>
  <c r="Q941" i="6"/>
  <c r="R941" i="6"/>
  <c r="S941" i="6"/>
  <c r="T941" i="6"/>
  <c r="B942" i="6"/>
  <c r="C942" i="6"/>
  <c r="D942" i="6"/>
  <c r="L942" i="6" s="1"/>
  <c r="E942" i="6"/>
  <c r="F942" i="6"/>
  <c r="H942" i="6"/>
  <c r="I942" i="6"/>
  <c r="N942" i="6"/>
  <c r="R942" i="6"/>
  <c r="Q942" i="6" s="1"/>
  <c r="S942" i="6" s="1"/>
  <c r="T942" i="6"/>
  <c r="B943" i="6"/>
  <c r="C943" i="6"/>
  <c r="D943" i="6"/>
  <c r="E943" i="6"/>
  <c r="F943" i="6"/>
  <c r="H943" i="6"/>
  <c r="I943" i="6"/>
  <c r="L943" i="6"/>
  <c r="N943" i="6"/>
  <c r="Q943" i="6"/>
  <c r="R943" i="6"/>
  <c r="S943" i="6"/>
  <c r="T943" i="6"/>
  <c r="B944" i="6"/>
  <c r="C944" i="6"/>
  <c r="D944" i="6"/>
  <c r="L944" i="6" s="1"/>
  <c r="E944" i="6"/>
  <c r="F944" i="6"/>
  <c r="H944" i="6"/>
  <c r="I944" i="6"/>
  <c r="N944" i="6"/>
  <c r="R944" i="6"/>
  <c r="Q944" i="6" s="1"/>
  <c r="S944" i="6" s="1"/>
  <c r="T944" i="6"/>
  <c r="B945" i="6"/>
  <c r="C945" i="6"/>
  <c r="D945" i="6"/>
  <c r="E945" i="6"/>
  <c r="F945" i="6"/>
  <c r="H945" i="6"/>
  <c r="I945" i="6"/>
  <c r="L945" i="6"/>
  <c r="N945" i="6"/>
  <c r="Q945" i="6"/>
  <c r="R945" i="6"/>
  <c r="S945" i="6"/>
  <c r="T945" i="6"/>
  <c r="B946" i="6"/>
  <c r="C946" i="6"/>
  <c r="D946" i="6"/>
  <c r="L946" i="6" s="1"/>
  <c r="E946" i="6"/>
  <c r="F946" i="6"/>
  <c r="H946" i="6"/>
  <c r="I946" i="6"/>
  <c r="N946" i="6"/>
  <c r="R946" i="6"/>
  <c r="Q946" i="6" s="1"/>
  <c r="S946" i="6" s="1"/>
  <c r="T946" i="6"/>
  <c r="B947" i="6"/>
  <c r="C947" i="6"/>
  <c r="D947" i="6"/>
  <c r="E947" i="6"/>
  <c r="F947" i="6"/>
  <c r="H947" i="6"/>
  <c r="I947" i="6"/>
  <c r="L947" i="6"/>
  <c r="N947" i="6"/>
  <c r="Q947" i="6"/>
  <c r="R947" i="6"/>
  <c r="S947" i="6"/>
  <c r="T947" i="6"/>
  <c r="B948" i="6"/>
  <c r="C948" i="6"/>
  <c r="D948" i="6"/>
  <c r="L948" i="6" s="1"/>
  <c r="E948" i="6"/>
  <c r="F948" i="6"/>
  <c r="H948" i="6"/>
  <c r="I948" i="6"/>
  <c r="N948" i="6"/>
  <c r="R948" i="6"/>
  <c r="Q948" i="6" s="1"/>
  <c r="T948" i="6"/>
  <c r="B949" i="6"/>
  <c r="C949" i="6"/>
  <c r="D949" i="6"/>
  <c r="E949" i="6"/>
  <c r="F949" i="6"/>
  <c r="H949" i="6"/>
  <c r="I949" i="6"/>
  <c r="L949" i="6"/>
  <c r="N949" i="6"/>
  <c r="Q949" i="6"/>
  <c r="R949" i="6"/>
  <c r="S949" i="6"/>
  <c r="T949" i="6"/>
  <c r="B950" i="6"/>
  <c r="C950" i="6"/>
  <c r="D950" i="6"/>
  <c r="L950" i="6" s="1"/>
  <c r="E950" i="6"/>
  <c r="F950" i="6"/>
  <c r="H950" i="6"/>
  <c r="I950" i="6"/>
  <c r="N950" i="6"/>
  <c r="R950" i="6"/>
  <c r="Q950" i="6" s="1"/>
  <c r="S950" i="6" s="1"/>
  <c r="T950" i="6"/>
  <c r="B951" i="6"/>
  <c r="C951" i="6"/>
  <c r="D951" i="6"/>
  <c r="E951" i="6"/>
  <c r="F951" i="6"/>
  <c r="H951" i="6"/>
  <c r="I951" i="6"/>
  <c r="L951" i="6"/>
  <c r="N951" i="6"/>
  <c r="Q951" i="6"/>
  <c r="R951" i="6"/>
  <c r="S951" i="6"/>
  <c r="T951" i="6"/>
  <c r="B952" i="6"/>
  <c r="C952" i="6"/>
  <c r="D952" i="6"/>
  <c r="L952" i="6" s="1"/>
  <c r="E952" i="6"/>
  <c r="F952" i="6"/>
  <c r="H952" i="6"/>
  <c r="I952" i="6"/>
  <c r="N952" i="6"/>
  <c r="R952" i="6"/>
  <c r="Q952" i="6" s="1"/>
  <c r="S952" i="6" s="1"/>
  <c r="T952" i="6"/>
  <c r="B953" i="6"/>
  <c r="C953" i="6"/>
  <c r="D953" i="6"/>
  <c r="E953" i="6"/>
  <c r="F953" i="6"/>
  <c r="H953" i="6"/>
  <c r="I953" i="6"/>
  <c r="L953" i="6"/>
  <c r="N953" i="6"/>
  <c r="Q953" i="6"/>
  <c r="R953" i="6"/>
  <c r="S953" i="6"/>
  <c r="T953" i="6"/>
  <c r="B954" i="6"/>
  <c r="C954" i="6"/>
  <c r="D954" i="6"/>
  <c r="L954" i="6" s="1"/>
  <c r="E954" i="6"/>
  <c r="F954" i="6"/>
  <c r="H954" i="6"/>
  <c r="I954" i="6"/>
  <c r="N954" i="6"/>
  <c r="R954" i="6"/>
  <c r="Q954" i="6" s="1"/>
  <c r="S954" i="6" s="1"/>
  <c r="T954" i="6"/>
  <c r="B955" i="6"/>
  <c r="C955" i="6"/>
  <c r="D955" i="6"/>
  <c r="E955" i="6"/>
  <c r="F955" i="6"/>
  <c r="H955" i="6"/>
  <c r="I955" i="6"/>
  <c r="L955" i="6"/>
  <c r="N955" i="6"/>
  <c r="Q955" i="6"/>
  <c r="R955" i="6"/>
  <c r="S955" i="6"/>
  <c r="T955" i="6"/>
  <c r="B956" i="6"/>
  <c r="C956" i="6"/>
  <c r="D956" i="6"/>
  <c r="L956" i="6" s="1"/>
  <c r="E956" i="6"/>
  <c r="F956" i="6"/>
  <c r="H956" i="6"/>
  <c r="I956" i="6"/>
  <c r="N956" i="6"/>
  <c r="R956" i="6"/>
  <c r="Q956" i="6" s="1"/>
  <c r="S956" i="6" s="1"/>
  <c r="T956" i="6"/>
  <c r="B957" i="6"/>
  <c r="C957" i="6"/>
  <c r="D957" i="6"/>
  <c r="E957" i="6"/>
  <c r="F957" i="6"/>
  <c r="H957" i="6"/>
  <c r="I957" i="6"/>
  <c r="L957" i="6"/>
  <c r="N957" i="6"/>
  <c r="Q957" i="6"/>
  <c r="R957" i="6"/>
  <c r="S957" i="6"/>
  <c r="T957" i="6"/>
  <c r="B958" i="6"/>
  <c r="C958" i="6"/>
  <c r="D958" i="6"/>
  <c r="L958" i="6" s="1"/>
  <c r="E958" i="6"/>
  <c r="F958" i="6"/>
  <c r="H958" i="6"/>
  <c r="I958" i="6"/>
  <c r="N958" i="6"/>
  <c r="R958" i="6"/>
  <c r="Q958" i="6" s="1"/>
  <c r="S958" i="6" s="1"/>
  <c r="T958" i="6"/>
  <c r="B959" i="6"/>
  <c r="C959" i="6"/>
  <c r="D959" i="6"/>
  <c r="E959" i="6"/>
  <c r="F959" i="6"/>
  <c r="H959" i="6"/>
  <c r="I959" i="6"/>
  <c r="L959" i="6"/>
  <c r="N959" i="6"/>
  <c r="Q959" i="6"/>
  <c r="R959" i="6"/>
  <c r="S959" i="6"/>
  <c r="T959" i="6"/>
  <c r="B960" i="6"/>
  <c r="C960" i="6"/>
  <c r="D960" i="6"/>
  <c r="L960" i="6" s="1"/>
  <c r="E960" i="6"/>
  <c r="F960" i="6"/>
  <c r="H960" i="6"/>
  <c r="I960" i="6"/>
  <c r="N960" i="6"/>
  <c r="R960" i="6"/>
  <c r="Q960" i="6" s="1"/>
  <c r="T960" i="6"/>
  <c r="B961" i="6"/>
  <c r="C961" i="6"/>
  <c r="D961" i="6"/>
  <c r="E961" i="6"/>
  <c r="F961" i="6"/>
  <c r="H961" i="6"/>
  <c r="I961" i="6"/>
  <c r="L961" i="6"/>
  <c r="N961" i="6"/>
  <c r="Q961" i="6"/>
  <c r="R961" i="6"/>
  <c r="S961" i="6"/>
  <c r="T961" i="6"/>
  <c r="B962" i="6"/>
  <c r="C962" i="6"/>
  <c r="D962" i="6"/>
  <c r="L962" i="6" s="1"/>
  <c r="E962" i="6"/>
  <c r="F962" i="6"/>
  <c r="H962" i="6"/>
  <c r="I962" i="6"/>
  <c r="N962" i="6"/>
  <c r="R962" i="6"/>
  <c r="Q962" i="6" s="1"/>
  <c r="S962" i="6" s="1"/>
  <c r="T962" i="6"/>
  <c r="B963" i="6"/>
  <c r="C963" i="6"/>
  <c r="D963" i="6"/>
  <c r="E963" i="6"/>
  <c r="F963" i="6"/>
  <c r="H963" i="6"/>
  <c r="I963" i="6"/>
  <c r="L963" i="6"/>
  <c r="N963" i="6"/>
  <c r="Q963" i="6"/>
  <c r="R963" i="6"/>
  <c r="S963" i="6"/>
  <c r="T963" i="6"/>
  <c r="B964" i="6"/>
  <c r="C964" i="6"/>
  <c r="D964" i="6"/>
  <c r="L964" i="6" s="1"/>
  <c r="E964" i="6"/>
  <c r="F964" i="6"/>
  <c r="H964" i="6"/>
  <c r="I964" i="6"/>
  <c r="N964" i="6"/>
  <c r="R964" i="6"/>
  <c r="Q964" i="6" s="1"/>
  <c r="S964" i="6" s="1"/>
  <c r="T964" i="6"/>
  <c r="B965" i="6"/>
  <c r="C965" i="6"/>
  <c r="D965" i="6"/>
  <c r="E965" i="6"/>
  <c r="F965" i="6"/>
  <c r="H965" i="6"/>
  <c r="I965" i="6"/>
  <c r="L965" i="6"/>
  <c r="N965" i="6"/>
  <c r="Q965" i="6"/>
  <c r="R965" i="6"/>
  <c r="S965" i="6"/>
  <c r="T965" i="6"/>
  <c r="B966" i="6"/>
  <c r="C966" i="6"/>
  <c r="D966" i="6"/>
  <c r="L966" i="6" s="1"/>
  <c r="E966" i="6"/>
  <c r="F966" i="6"/>
  <c r="H966" i="6"/>
  <c r="I966" i="6"/>
  <c r="N966" i="6"/>
  <c r="R966" i="6"/>
  <c r="Q966" i="6" s="1"/>
  <c r="S966" i="6" s="1"/>
  <c r="T966" i="6"/>
  <c r="B967" i="6"/>
  <c r="C967" i="6"/>
  <c r="D967" i="6"/>
  <c r="E967" i="6"/>
  <c r="F967" i="6"/>
  <c r="H967" i="6"/>
  <c r="I967" i="6"/>
  <c r="L967" i="6"/>
  <c r="N967" i="6"/>
  <c r="Q967" i="6"/>
  <c r="R967" i="6"/>
  <c r="S967" i="6"/>
  <c r="T967" i="6"/>
  <c r="B968" i="6"/>
  <c r="C968" i="6"/>
  <c r="D968" i="6"/>
  <c r="L968" i="6" s="1"/>
  <c r="E968" i="6"/>
  <c r="F968" i="6"/>
  <c r="H968" i="6"/>
  <c r="I968" i="6"/>
  <c r="N968" i="6"/>
  <c r="R968" i="6"/>
  <c r="Q968" i="6" s="1"/>
  <c r="S968" i="6" s="1"/>
  <c r="T968" i="6"/>
  <c r="B969" i="6"/>
  <c r="C969" i="6"/>
  <c r="D969" i="6"/>
  <c r="E969" i="6"/>
  <c r="F969" i="6"/>
  <c r="H969" i="6"/>
  <c r="I969" i="6"/>
  <c r="L969" i="6"/>
  <c r="N969" i="6"/>
  <c r="Q969" i="6"/>
  <c r="R969" i="6"/>
  <c r="S969" i="6"/>
  <c r="T969" i="6"/>
  <c r="B970" i="6"/>
  <c r="C970" i="6"/>
  <c r="D970" i="6"/>
  <c r="L970" i="6" s="1"/>
  <c r="E970" i="6"/>
  <c r="F970" i="6"/>
  <c r="H970" i="6"/>
  <c r="I970" i="6"/>
  <c r="N970" i="6"/>
  <c r="R970" i="6"/>
  <c r="Q970" i="6" s="1"/>
  <c r="S970" i="6" s="1"/>
  <c r="T970" i="6"/>
  <c r="B971" i="6"/>
  <c r="C971" i="6"/>
  <c r="D971" i="6"/>
  <c r="E971" i="6"/>
  <c r="F971" i="6"/>
  <c r="H971" i="6"/>
  <c r="I971" i="6"/>
  <c r="L971" i="6"/>
  <c r="N971" i="6"/>
  <c r="Q971" i="6"/>
  <c r="R971" i="6"/>
  <c r="S971" i="6"/>
  <c r="T971" i="6"/>
  <c r="B972" i="6"/>
  <c r="C972" i="6"/>
  <c r="D972" i="6"/>
  <c r="L972" i="6" s="1"/>
  <c r="E972" i="6"/>
  <c r="F972" i="6"/>
  <c r="H972" i="6"/>
  <c r="I972" i="6"/>
  <c r="N972" i="6"/>
  <c r="R972" i="6"/>
  <c r="Q972" i="6" s="1"/>
  <c r="T972" i="6"/>
  <c r="B973" i="6"/>
  <c r="C973" i="6"/>
  <c r="D973" i="6"/>
  <c r="E973" i="6"/>
  <c r="F973" i="6"/>
  <c r="H973" i="6"/>
  <c r="I973" i="6"/>
  <c r="L973" i="6"/>
  <c r="N973" i="6"/>
  <c r="Q973" i="6"/>
  <c r="R973" i="6"/>
  <c r="S973" i="6"/>
  <c r="T973" i="6"/>
  <c r="B974" i="6"/>
  <c r="C974" i="6"/>
  <c r="D974" i="6"/>
  <c r="L974" i="6" s="1"/>
  <c r="E974" i="6"/>
  <c r="F974" i="6"/>
  <c r="H974" i="6"/>
  <c r="I974" i="6"/>
  <c r="N974" i="6"/>
  <c r="R974" i="6"/>
  <c r="Q974" i="6" s="1"/>
  <c r="S974" i="6" s="1"/>
  <c r="T974" i="6"/>
  <c r="B975" i="6"/>
  <c r="C975" i="6"/>
  <c r="D975" i="6"/>
  <c r="E975" i="6"/>
  <c r="F975" i="6"/>
  <c r="H975" i="6"/>
  <c r="I975" i="6"/>
  <c r="L975" i="6"/>
  <c r="N975" i="6"/>
  <c r="Q975" i="6"/>
  <c r="R975" i="6"/>
  <c r="S975" i="6"/>
  <c r="T975" i="6"/>
  <c r="B976" i="6"/>
  <c r="C976" i="6"/>
  <c r="D976" i="6"/>
  <c r="L976" i="6" s="1"/>
  <c r="E976" i="6"/>
  <c r="F976" i="6"/>
  <c r="H976" i="6"/>
  <c r="I976" i="6"/>
  <c r="N976" i="6"/>
  <c r="R976" i="6"/>
  <c r="Q976" i="6" s="1"/>
  <c r="S976" i="6" s="1"/>
  <c r="T976" i="6"/>
  <c r="B977" i="6"/>
  <c r="C977" i="6"/>
  <c r="D977" i="6"/>
  <c r="E977" i="6"/>
  <c r="F977" i="6"/>
  <c r="H977" i="6"/>
  <c r="I977" i="6"/>
  <c r="L977" i="6"/>
  <c r="N977" i="6"/>
  <c r="Q977" i="6"/>
  <c r="R977" i="6"/>
  <c r="S977" i="6"/>
  <c r="T977" i="6"/>
  <c r="B978" i="6"/>
  <c r="C978" i="6"/>
  <c r="D978" i="6"/>
  <c r="L978" i="6" s="1"/>
  <c r="E978" i="6"/>
  <c r="F978" i="6"/>
  <c r="H978" i="6"/>
  <c r="I978" i="6"/>
  <c r="N978" i="6"/>
  <c r="R978" i="6"/>
  <c r="Q978" i="6" s="1"/>
  <c r="S978" i="6" s="1"/>
  <c r="T978" i="6"/>
  <c r="B979" i="6"/>
  <c r="C979" i="6"/>
  <c r="D979" i="6"/>
  <c r="E979" i="6"/>
  <c r="F979" i="6"/>
  <c r="H979" i="6"/>
  <c r="I979" i="6"/>
  <c r="L979" i="6"/>
  <c r="N979" i="6"/>
  <c r="Q979" i="6"/>
  <c r="R979" i="6"/>
  <c r="S979" i="6"/>
  <c r="T979" i="6"/>
  <c r="B980" i="6"/>
  <c r="C980" i="6"/>
  <c r="D980" i="6"/>
  <c r="L980" i="6" s="1"/>
  <c r="E980" i="6"/>
  <c r="F980" i="6"/>
  <c r="H980" i="6"/>
  <c r="I980" i="6"/>
  <c r="N980" i="6"/>
  <c r="R980" i="6"/>
  <c r="Q980" i="6" s="1"/>
  <c r="S980" i="6" s="1"/>
  <c r="T980" i="6"/>
  <c r="B981" i="6"/>
  <c r="C981" i="6"/>
  <c r="D981" i="6"/>
  <c r="E981" i="6"/>
  <c r="F981" i="6"/>
  <c r="H981" i="6"/>
  <c r="I981" i="6"/>
  <c r="L981" i="6"/>
  <c r="N981" i="6"/>
  <c r="Q981" i="6"/>
  <c r="R981" i="6"/>
  <c r="S981" i="6"/>
  <c r="T981" i="6"/>
  <c r="B982" i="6"/>
  <c r="C982" i="6"/>
  <c r="D982" i="6"/>
  <c r="L982" i="6" s="1"/>
  <c r="E982" i="6"/>
  <c r="F982" i="6"/>
  <c r="H982" i="6"/>
  <c r="I982" i="6"/>
  <c r="N982" i="6"/>
  <c r="R982" i="6"/>
  <c r="Q982" i="6" s="1"/>
  <c r="S982" i="6" s="1"/>
  <c r="T982" i="6"/>
  <c r="B983" i="6"/>
  <c r="C983" i="6"/>
  <c r="D983" i="6"/>
  <c r="E983" i="6"/>
  <c r="F983" i="6"/>
  <c r="H983" i="6"/>
  <c r="I983" i="6"/>
  <c r="L983" i="6"/>
  <c r="N983" i="6"/>
  <c r="Q983" i="6"/>
  <c r="R983" i="6"/>
  <c r="S983" i="6"/>
  <c r="T983" i="6"/>
  <c r="B984" i="6"/>
  <c r="C984" i="6"/>
  <c r="D984" i="6"/>
  <c r="L984" i="6" s="1"/>
  <c r="E984" i="6"/>
  <c r="F984" i="6"/>
  <c r="H984" i="6"/>
  <c r="I984" i="6"/>
  <c r="N984" i="6"/>
  <c r="R984" i="6"/>
  <c r="Q984" i="6" s="1"/>
  <c r="T984" i="6"/>
  <c r="B985" i="6"/>
  <c r="C985" i="6"/>
  <c r="D985" i="6"/>
  <c r="E985" i="6"/>
  <c r="F985" i="6"/>
  <c r="H985" i="6"/>
  <c r="I985" i="6"/>
  <c r="L985" i="6"/>
  <c r="N985" i="6"/>
  <c r="Q985" i="6"/>
  <c r="R985" i="6"/>
  <c r="S985" i="6"/>
  <c r="T985" i="6"/>
  <c r="B986" i="6"/>
  <c r="C986" i="6"/>
  <c r="D986" i="6"/>
  <c r="L986" i="6" s="1"/>
  <c r="E986" i="6"/>
  <c r="F986" i="6"/>
  <c r="H986" i="6"/>
  <c r="I986" i="6"/>
  <c r="N986" i="6"/>
  <c r="R986" i="6"/>
  <c r="Q986" i="6" s="1"/>
  <c r="S986" i="6" s="1"/>
  <c r="T986" i="6"/>
  <c r="B987" i="6"/>
  <c r="C987" i="6"/>
  <c r="D987" i="6"/>
  <c r="E987" i="6"/>
  <c r="F987" i="6"/>
  <c r="H987" i="6"/>
  <c r="I987" i="6"/>
  <c r="L987" i="6"/>
  <c r="N987" i="6"/>
  <c r="Q987" i="6"/>
  <c r="R987" i="6"/>
  <c r="S987" i="6"/>
  <c r="T987" i="6"/>
  <c r="B988" i="6"/>
  <c r="C988" i="6"/>
  <c r="D988" i="6"/>
  <c r="L988" i="6" s="1"/>
  <c r="E988" i="6"/>
  <c r="F988" i="6"/>
  <c r="H988" i="6"/>
  <c r="I988" i="6"/>
  <c r="N988" i="6"/>
  <c r="R988" i="6"/>
  <c r="Q988" i="6" s="1"/>
  <c r="S988" i="6" s="1"/>
  <c r="T988" i="6"/>
  <c r="B989" i="6"/>
  <c r="C989" i="6"/>
  <c r="D989" i="6"/>
  <c r="E989" i="6"/>
  <c r="F989" i="6"/>
  <c r="H989" i="6"/>
  <c r="I989" i="6"/>
  <c r="L989" i="6"/>
  <c r="N989" i="6"/>
  <c r="Q989" i="6"/>
  <c r="R989" i="6"/>
  <c r="S989" i="6"/>
  <c r="T989" i="6"/>
  <c r="B990" i="6"/>
  <c r="C990" i="6"/>
  <c r="D990" i="6"/>
  <c r="L990" i="6" s="1"/>
  <c r="E990" i="6"/>
  <c r="F990" i="6"/>
  <c r="H990" i="6"/>
  <c r="I990" i="6"/>
  <c r="N990" i="6"/>
  <c r="R990" i="6"/>
  <c r="Q990" i="6" s="1"/>
  <c r="S990" i="6" s="1"/>
  <c r="T990" i="6"/>
  <c r="B991" i="6"/>
  <c r="C991" i="6"/>
  <c r="D991" i="6"/>
  <c r="E991" i="6"/>
  <c r="F991" i="6"/>
  <c r="H991" i="6"/>
  <c r="I991" i="6"/>
  <c r="L991" i="6"/>
  <c r="N991" i="6"/>
  <c r="Q991" i="6"/>
  <c r="R991" i="6"/>
  <c r="S991" i="6"/>
  <c r="T991" i="6"/>
  <c r="B992" i="6"/>
  <c r="C992" i="6"/>
  <c r="D992" i="6"/>
  <c r="L992" i="6" s="1"/>
  <c r="E992" i="6"/>
  <c r="F992" i="6"/>
  <c r="H992" i="6"/>
  <c r="I992" i="6"/>
  <c r="N992" i="6"/>
  <c r="R992" i="6"/>
  <c r="Q992" i="6" s="1"/>
  <c r="S992" i="6" s="1"/>
  <c r="T992" i="6"/>
  <c r="B993" i="6"/>
  <c r="C993" i="6"/>
  <c r="D993" i="6"/>
  <c r="E993" i="6"/>
  <c r="F993" i="6"/>
  <c r="H993" i="6"/>
  <c r="I993" i="6"/>
  <c r="L993" i="6"/>
  <c r="N993" i="6"/>
  <c r="Q993" i="6"/>
  <c r="R993" i="6"/>
  <c r="S993" i="6"/>
  <c r="T993" i="6"/>
  <c r="B994" i="6"/>
  <c r="C994" i="6"/>
  <c r="D994" i="6"/>
  <c r="L994" i="6" s="1"/>
  <c r="E994" i="6"/>
  <c r="F994" i="6"/>
  <c r="H994" i="6"/>
  <c r="I994" i="6"/>
  <c r="N994" i="6"/>
  <c r="R994" i="6"/>
  <c r="Q994" i="6" s="1"/>
  <c r="S994" i="6" s="1"/>
  <c r="T994" i="6"/>
  <c r="B995" i="6"/>
  <c r="C995" i="6"/>
  <c r="D995" i="6"/>
  <c r="E995" i="6"/>
  <c r="F995" i="6"/>
  <c r="H995" i="6"/>
  <c r="I995" i="6"/>
  <c r="L995" i="6"/>
  <c r="N995" i="6"/>
  <c r="Q995" i="6"/>
  <c r="R995" i="6"/>
  <c r="S995" i="6"/>
  <c r="T995" i="6"/>
  <c r="B996" i="6"/>
  <c r="C996" i="6"/>
  <c r="D996" i="6"/>
  <c r="L996" i="6" s="1"/>
  <c r="E996" i="6"/>
  <c r="F996" i="6"/>
  <c r="H996" i="6"/>
  <c r="I996" i="6"/>
  <c r="N996" i="6"/>
  <c r="R996" i="6"/>
  <c r="Q996" i="6" s="1"/>
  <c r="T996" i="6"/>
  <c r="B997" i="6"/>
  <c r="C997" i="6"/>
  <c r="D997" i="6"/>
  <c r="E997" i="6"/>
  <c r="F997" i="6"/>
  <c r="H997" i="6"/>
  <c r="I997" i="6"/>
  <c r="L997" i="6"/>
  <c r="N997" i="6"/>
  <c r="Q997" i="6"/>
  <c r="R997" i="6"/>
  <c r="S997" i="6"/>
  <c r="T997" i="6"/>
  <c r="B998" i="6"/>
  <c r="C998" i="6"/>
  <c r="D998" i="6"/>
  <c r="L998" i="6" s="1"/>
  <c r="E998" i="6"/>
  <c r="F998" i="6"/>
  <c r="H998" i="6"/>
  <c r="I998" i="6"/>
  <c r="N998" i="6"/>
  <c r="R998" i="6"/>
  <c r="Q998" i="6" s="1"/>
  <c r="S998" i="6" s="1"/>
  <c r="T998" i="6"/>
  <c r="B999" i="6"/>
  <c r="C999" i="6"/>
  <c r="D999" i="6"/>
  <c r="E999" i="6"/>
  <c r="F999" i="6"/>
  <c r="H999" i="6"/>
  <c r="I999" i="6"/>
  <c r="L999" i="6"/>
  <c r="N999" i="6"/>
  <c r="Q999" i="6"/>
  <c r="R999" i="6"/>
  <c r="S999" i="6"/>
  <c r="T999" i="6"/>
  <c r="B1000" i="6"/>
  <c r="C1000" i="6"/>
  <c r="D1000" i="6"/>
  <c r="L1000" i="6" s="1"/>
  <c r="E1000" i="6"/>
  <c r="F1000" i="6"/>
  <c r="H1000" i="6"/>
  <c r="I1000" i="6"/>
  <c r="N1000" i="6"/>
  <c r="R1000" i="6"/>
  <c r="Q1000" i="6" s="1"/>
  <c r="S1000" i="6" s="1"/>
  <c r="T1000" i="6"/>
  <c r="B1001" i="6"/>
  <c r="C1001" i="6"/>
  <c r="D1001" i="6"/>
  <c r="E1001" i="6"/>
  <c r="F1001" i="6"/>
  <c r="H1001" i="6"/>
  <c r="I1001" i="6"/>
  <c r="L1001" i="6"/>
  <c r="N1001" i="6"/>
  <c r="Q1001" i="6"/>
  <c r="R1001" i="6"/>
  <c r="S1001" i="6"/>
  <c r="T1001" i="6"/>
  <c r="B1002" i="6"/>
  <c r="C1002" i="6"/>
  <c r="D1002" i="6"/>
  <c r="L1002" i="6" s="1"/>
  <c r="E1002" i="6"/>
  <c r="F1002" i="6"/>
  <c r="H1002" i="6"/>
  <c r="I1002" i="6"/>
  <c r="N1002" i="6"/>
  <c r="R1002" i="6"/>
  <c r="Q1002" i="6" s="1"/>
  <c r="S1002" i="6" s="1"/>
  <c r="T1002" i="6"/>
  <c r="B1003" i="6"/>
  <c r="C1003" i="6"/>
  <c r="D1003" i="6"/>
  <c r="E1003" i="6"/>
  <c r="F1003" i="6"/>
  <c r="H1003" i="6"/>
  <c r="I1003" i="6"/>
  <c r="L1003" i="6"/>
  <c r="N1003" i="6"/>
  <c r="Q1003" i="6"/>
  <c r="R1003" i="6"/>
  <c r="S1003" i="6"/>
  <c r="T1003" i="6"/>
  <c r="B1004" i="6"/>
  <c r="C1004" i="6"/>
  <c r="D1004" i="6"/>
  <c r="L1004" i="6" s="1"/>
  <c r="E1004" i="6"/>
  <c r="F1004" i="6"/>
  <c r="H1004" i="6"/>
  <c r="I1004" i="6"/>
  <c r="N1004" i="6"/>
  <c r="R1004" i="6"/>
  <c r="Q1004" i="6" s="1"/>
  <c r="S1004" i="6" s="1"/>
  <c r="T1004" i="6"/>
  <c r="B1005" i="6"/>
  <c r="C1005" i="6"/>
  <c r="D1005" i="6"/>
  <c r="E1005" i="6"/>
  <c r="F1005" i="6"/>
  <c r="H1005" i="6"/>
  <c r="I1005" i="6"/>
  <c r="L1005" i="6"/>
  <c r="N1005" i="6"/>
  <c r="Q1005" i="6"/>
  <c r="R1005" i="6"/>
  <c r="S1005" i="6"/>
  <c r="T1005" i="6"/>
  <c r="B1006" i="6"/>
  <c r="C1006" i="6"/>
  <c r="D1006" i="6"/>
  <c r="L1006" i="6" s="1"/>
  <c r="E1006" i="6"/>
  <c r="F1006" i="6"/>
  <c r="H1006" i="6"/>
  <c r="I1006" i="6"/>
  <c r="N1006" i="6"/>
  <c r="R1006" i="6"/>
  <c r="Q1006" i="6" s="1"/>
  <c r="S1006" i="6" s="1"/>
  <c r="T1006" i="6"/>
  <c r="B1007" i="6"/>
  <c r="C1007" i="6"/>
  <c r="D1007" i="6"/>
  <c r="E1007" i="6"/>
  <c r="F1007" i="6"/>
  <c r="H1007" i="6"/>
  <c r="I1007" i="6"/>
  <c r="L1007" i="6"/>
  <c r="N1007" i="6"/>
  <c r="Q1007" i="6"/>
  <c r="R1007" i="6"/>
  <c r="S1007" i="6"/>
  <c r="T1007" i="6"/>
  <c r="B1008" i="6"/>
  <c r="C1008" i="6"/>
  <c r="D1008" i="6"/>
  <c r="L1008" i="6" s="1"/>
  <c r="E1008" i="6"/>
  <c r="F1008" i="6"/>
  <c r="H1008" i="6"/>
  <c r="I1008" i="6"/>
  <c r="N1008" i="6"/>
  <c r="R1008" i="6"/>
  <c r="Q1008" i="6" s="1"/>
  <c r="T1008" i="6"/>
  <c r="B1009" i="6"/>
  <c r="C1009" i="6"/>
  <c r="D1009" i="6"/>
  <c r="E1009" i="6"/>
  <c r="F1009" i="6"/>
  <c r="H1009" i="6"/>
  <c r="I1009" i="6"/>
  <c r="L1009" i="6"/>
  <c r="N1009" i="6"/>
  <c r="Q1009" i="6"/>
  <c r="R1009" i="6"/>
  <c r="S1009" i="6"/>
  <c r="T1009" i="6"/>
  <c r="B1010" i="6"/>
  <c r="C1010" i="6"/>
  <c r="D1010" i="6"/>
  <c r="L1010" i="6" s="1"/>
  <c r="E1010" i="6"/>
  <c r="F1010" i="6"/>
  <c r="H1010" i="6"/>
  <c r="I1010" i="6"/>
  <c r="N1010" i="6"/>
  <c r="R1010" i="6"/>
  <c r="Q1010" i="6" s="1"/>
  <c r="S1010" i="6" s="1"/>
  <c r="T1010" i="6"/>
  <c r="B1011" i="6"/>
  <c r="C1011" i="6"/>
  <c r="D1011" i="6"/>
  <c r="E1011" i="6"/>
  <c r="F1011" i="6"/>
  <c r="H1011" i="6"/>
  <c r="I1011" i="6"/>
  <c r="L1011" i="6"/>
  <c r="N1011" i="6"/>
  <c r="Q1011" i="6"/>
  <c r="R1011" i="6"/>
  <c r="S1011" i="6"/>
  <c r="T1011" i="6"/>
  <c r="B1012" i="6"/>
  <c r="C1012" i="6"/>
  <c r="D1012" i="6"/>
  <c r="L1012" i="6" s="1"/>
  <c r="E1012" i="6"/>
  <c r="F1012" i="6"/>
  <c r="H1012" i="6"/>
  <c r="I1012" i="6"/>
  <c r="N1012" i="6"/>
  <c r="R1012" i="6"/>
  <c r="Q1012" i="6" s="1"/>
  <c r="S1012" i="6" s="1"/>
  <c r="T1012" i="6"/>
  <c r="B1013" i="6"/>
  <c r="C1013" i="6"/>
  <c r="D1013" i="6"/>
  <c r="E1013" i="6"/>
  <c r="F1013" i="6"/>
  <c r="H1013" i="6"/>
  <c r="I1013" i="6"/>
  <c r="L1013" i="6"/>
  <c r="N1013" i="6"/>
  <c r="Q1013" i="6"/>
  <c r="R1013" i="6"/>
  <c r="S1013" i="6"/>
  <c r="T1013" i="6"/>
  <c r="B1014" i="6"/>
  <c r="C1014" i="6"/>
  <c r="D1014" i="6"/>
  <c r="L1014" i="6" s="1"/>
  <c r="E1014" i="6"/>
  <c r="F1014" i="6"/>
  <c r="H1014" i="6"/>
  <c r="I1014" i="6"/>
  <c r="N1014" i="6"/>
  <c r="R1014" i="6"/>
  <c r="Q1014" i="6" s="1"/>
  <c r="S1014" i="6" s="1"/>
  <c r="T1014" i="6"/>
  <c r="B1015" i="6"/>
  <c r="C1015" i="6"/>
  <c r="D1015" i="6"/>
  <c r="E1015" i="6"/>
  <c r="F1015" i="6"/>
  <c r="H1015" i="6"/>
  <c r="I1015" i="6"/>
  <c r="L1015" i="6"/>
  <c r="N1015" i="6"/>
  <c r="Q1015" i="6"/>
  <c r="R1015" i="6"/>
  <c r="S1015" i="6"/>
  <c r="T1015" i="6"/>
  <c r="B1016" i="6"/>
  <c r="C1016" i="6"/>
  <c r="D1016" i="6"/>
  <c r="L1016" i="6" s="1"/>
  <c r="E1016" i="6"/>
  <c r="F1016" i="6"/>
  <c r="H1016" i="6"/>
  <c r="I1016" i="6"/>
  <c r="N1016" i="6"/>
  <c r="R1016" i="6"/>
  <c r="Q1016" i="6" s="1"/>
  <c r="S1016" i="6" s="1"/>
  <c r="T1016" i="6"/>
  <c r="B1017" i="6"/>
  <c r="C1017" i="6"/>
  <c r="D1017" i="6"/>
  <c r="E1017" i="6"/>
  <c r="F1017" i="6"/>
  <c r="H1017" i="6"/>
  <c r="I1017" i="6"/>
  <c r="L1017" i="6"/>
  <c r="N1017" i="6"/>
  <c r="Q1017" i="6"/>
  <c r="R1017" i="6"/>
  <c r="S1017" i="6"/>
  <c r="T1017" i="6"/>
  <c r="B1018" i="6"/>
  <c r="C1018" i="6"/>
  <c r="D1018" i="6"/>
  <c r="L1018" i="6" s="1"/>
  <c r="E1018" i="6"/>
  <c r="F1018" i="6"/>
  <c r="H1018" i="6"/>
  <c r="I1018" i="6"/>
  <c r="N1018" i="6"/>
  <c r="R1018" i="6"/>
  <c r="Q1018" i="6" s="1"/>
  <c r="S1018" i="6" s="1"/>
  <c r="T1018" i="6"/>
  <c r="B1019" i="6"/>
  <c r="C1019" i="6"/>
  <c r="D1019" i="6"/>
  <c r="E1019" i="6"/>
  <c r="F1019" i="6"/>
  <c r="H1019" i="6"/>
  <c r="I1019" i="6"/>
  <c r="L1019" i="6"/>
  <c r="N1019" i="6"/>
  <c r="Q1019" i="6"/>
  <c r="R1019" i="6"/>
  <c r="S1019" i="6"/>
  <c r="T1019" i="6"/>
  <c r="B1020" i="6"/>
  <c r="C1020" i="6"/>
  <c r="D1020" i="6"/>
  <c r="L1020" i="6" s="1"/>
  <c r="E1020" i="6"/>
  <c r="F1020" i="6"/>
  <c r="H1020" i="6"/>
  <c r="I1020" i="6"/>
  <c r="N1020" i="6"/>
  <c r="R1020" i="6"/>
  <c r="Q1020" i="6" s="1"/>
  <c r="T1020" i="6"/>
  <c r="B1021" i="6"/>
  <c r="C1021" i="6"/>
  <c r="D1021" i="6"/>
  <c r="E1021" i="6"/>
  <c r="F1021" i="6"/>
  <c r="H1021" i="6"/>
  <c r="I1021" i="6"/>
  <c r="L1021" i="6"/>
  <c r="N1021" i="6"/>
  <c r="Q1021" i="6"/>
  <c r="R1021" i="6"/>
  <c r="S1021" i="6"/>
  <c r="T1021" i="6"/>
  <c r="B1022" i="6"/>
  <c r="C1022" i="6"/>
  <c r="D1022" i="6"/>
  <c r="L1022" i="6" s="1"/>
  <c r="E1022" i="6"/>
  <c r="F1022" i="6"/>
  <c r="H1022" i="6"/>
  <c r="I1022" i="6"/>
  <c r="N1022" i="6"/>
  <c r="R1022" i="6"/>
  <c r="Q1022" i="6" s="1"/>
  <c r="S1022" i="6" s="1"/>
  <c r="T1022" i="6"/>
  <c r="B1023" i="6"/>
  <c r="C1023" i="6"/>
  <c r="D1023" i="6"/>
  <c r="E1023" i="6"/>
  <c r="F1023" i="6"/>
  <c r="H1023" i="6"/>
  <c r="I1023" i="6"/>
  <c r="L1023" i="6"/>
  <c r="N1023" i="6"/>
  <c r="Q1023" i="6"/>
  <c r="R1023" i="6"/>
  <c r="S1023" i="6"/>
  <c r="T1023" i="6"/>
  <c r="B1024" i="6"/>
  <c r="C1024" i="6"/>
  <c r="D1024" i="6"/>
  <c r="L1024" i="6" s="1"/>
  <c r="E1024" i="6"/>
  <c r="F1024" i="6"/>
  <c r="H1024" i="6"/>
  <c r="I1024" i="6"/>
  <c r="N1024" i="6"/>
  <c r="R1024" i="6"/>
  <c r="Q1024" i="6" s="1"/>
  <c r="S1024" i="6" s="1"/>
  <c r="T1024" i="6"/>
  <c r="B1025" i="6"/>
  <c r="C1025" i="6"/>
  <c r="D1025" i="6"/>
  <c r="E1025" i="6"/>
  <c r="F1025" i="6"/>
  <c r="H1025" i="6"/>
  <c r="I1025" i="6"/>
  <c r="L1025" i="6"/>
  <c r="N1025" i="6"/>
  <c r="Q1025" i="6"/>
  <c r="R1025" i="6"/>
  <c r="S1025" i="6"/>
  <c r="T1025" i="6"/>
  <c r="B1026" i="6"/>
  <c r="C1026" i="6"/>
  <c r="D1026" i="6"/>
  <c r="L1026" i="6" s="1"/>
  <c r="E1026" i="6"/>
  <c r="F1026" i="6"/>
  <c r="H1026" i="6"/>
  <c r="I1026" i="6"/>
  <c r="N1026" i="6"/>
  <c r="R1026" i="6"/>
  <c r="Q1026" i="6" s="1"/>
  <c r="S1026" i="6" s="1"/>
  <c r="T1026" i="6"/>
  <c r="B1027" i="6"/>
  <c r="C1027" i="6"/>
  <c r="D1027" i="6"/>
  <c r="E1027" i="6"/>
  <c r="F1027" i="6"/>
  <c r="H1027" i="6"/>
  <c r="I1027" i="6"/>
  <c r="L1027" i="6"/>
  <c r="N1027" i="6"/>
  <c r="Q1027" i="6"/>
  <c r="R1027" i="6"/>
  <c r="S1027" i="6"/>
  <c r="T1027" i="6"/>
  <c r="B1028" i="6"/>
  <c r="C1028" i="6"/>
  <c r="D1028" i="6"/>
  <c r="L1028" i="6" s="1"/>
  <c r="E1028" i="6"/>
  <c r="F1028" i="6"/>
  <c r="H1028" i="6"/>
  <c r="I1028" i="6"/>
  <c r="N1028" i="6"/>
  <c r="R1028" i="6"/>
  <c r="Q1028" i="6" s="1"/>
  <c r="S1028" i="6" s="1"/>
  <c r="T1028" i="6"/>
  <c r="B1029" i="6"/>
  <c r="C1029" i="6"/>
  <c r="D1029" i="6"/>
  <c r="E1029" i="6"/>
  <c r="F1029" i="6"/>
  <c r="H1029" i="6"/>
  <c r="I1029" i="6"/>
  <c r="L1029" i="6"/>
  <c r="N1029" i="6"/>
  <c r="Q1029" i="6"/>
  <c r="R1029" i="6"/>
  <c r="S1029" i="6"/>
  <c r="T1029" i="6"/>
  <c r="B1030" i="6"/>
  <c r="C1030" i="6"/>
  <c r="D1030" i="6"/>
  <c r="L1030" i="6" s="1"/>
  <c r="E1030" i="6"/>
  <c r="F1030" i="6"/>
  <c r="H1030" i="6"/>
  <c r="I1030" i="6"/>
  <c r="N1030" i="6"/>
  <c r="R1030" i="6"/>
  <c r="Q1030" i="6" s="1"/>
  <c r="S1030" i="6" s="1"/>
  <c r="T1030" i="6"/>
  <c r="B1031" i="6"/>
  <c r="C1031" i="6"/>
  <c r="D1031" i="6"/>
  <c r="E1031" i="6"/>
  <c r="F1031" i="6"/>
  <c r="H1031" i="6"/>
  <c r="I1031" i="6"/>
  <c r="L1031" i="6"/>
  <c r="N1031" i="6"/>
  <c r="Q1031" i="6"/>
  <c r="R1031" i="6"/>
  <c r="S1031" i="6"/>
  <c r="T1031" i="6"/>
  <c r="B1032" i="6"/>
  <c r="C1032" i="6"/>
  <c r="D1032" i="6"/>
  <c r="L1032" i="6" s="1"/>
  <c r="E1032" i="6"/>
  <c r="F1032" i="6"/>
  <c r="H1032" i="6"/>
  <c r="I1032" i="6"/>
  <c r="N1032" i="6"/>
  <c r="R1032" i="6"/>
  <c r="Q1032" i="6" s="1"/>
  <c r="T1032" i="6"/>
  <c r="B1033" i="6"/>
  <c r="C1033" i="6"/>
  <c r="D1033" i="6"/>
  <c r="E1033" i="6"/>
  <c r="F1033" i="6"/>
  <c r="H1033" i="6"/>
  <c r="I1033" i="6"/>
  <c r="L1033" i="6"/>
  <c r="N1033" i="6"/>
  <c r="Q1033" i="6"/>
  <c r="R1033" i="6"/>
  <c r="S1033" i="6"/>
  <c r="T1033" i="6"/>
  <c r="B1034" i="6"/>
  <c r="C1034" i="6"/>
  <c r="D1034" i="6"/>
  <c r="L1034" i="6" s="1"/>
  <c r="E1034" i="6"/>
  <c r="F1034" i="6"/>
  <c r="H1034" i="6"/>
  <c r="I1034" i="6"/>
  <c r="N1034" i="6"/>
  <c r="R1034" i="6"/>
  <c r="Q1034" i="6" s="1"/>
  <c r="S1034" i="6" s="1"/>
  <c r="T1034" i="6"/>
  <c r="B1035" i="6"/>
  <c r="C1035" i="6"/>
  <c r="D1035" i="6"/>
  <c r="E1035" i="6"/>
  <c r="F1035" i="6"/>
  <c r="H1035" i="6"/>
  <c r="I1035" i="6"/>
  <c r="L1035" i="6"/>
  <c r="N1035" i="6"/>
  <c r="Q1035" i="6"/>
  <c r="R1035" i="6"/>
  <c r="S1035" i="6"/>
  <c r="T1035" i="6"/>
  <c r="B1036" i="6"/>
  <c r="C1036" i="6"/>
  <c r="D1036" i="6"/>
  <c r="L1036" i="6" s="1"/>
  <c r="E1036" i="6"/>
  <c r="F1036" i="6"/>
  <c r="H1036" i="6"/>
  <c r="I1036" i="6"/>
  <c r="N1036" i="6"/>
  <c r="R1036" i="6"/>
  <c r="Q1036" i="6" s="1"/>
  <c r="S1036" i="6" s="1"/>
  <c r="T1036" i="6"/>
  <c r="B1037" i="6"/>
  <c r="C1037" i="6"/>
  <c r="D1037" i="6"/>
  <c r="E1037" i="6"/>
  <c r="F1037" i="6"/>
  <c r="H1037" i="6"/>
  <c r="I1037" i="6"/>
  <c r="L1037" i="6"/>
  <c r="N1037" i="6"/>
  <c r="Q1037" i="6"/>
  <c r="R1037" i="6"/>
  <c r="S1037" i="6"/>
  <c r="T1037" i="6"/>
  <c r="B1038" i="6"/>
  <c r="C1038" i="6"/>
  <c r="D1038" i="6"/>
  <c r="L1038" i="6" s="1"/>
  <c r="E1038" i="6"/>
  <c r="F1038" i="6"/>
  <c r="H1038" i="6"/>
  <c r="I1038" i="6"/>
  <c r="N1038" i="6"/>
  <c r="R1038" i="6"/>
  <c r="Q1038" i="6" s="1"/>
  <c r="S1038" i="6" s="1"/>
  <c r="T1038" i="6"/>
  <c r="B1039" i="6"/>
  <c r="C1039" i="6"/>
  <c r="D1039" i="6"/>
  <c r="E1039" i="6"/>
  <c r="F1039" i="6"/>
  <c r="H1039" i="6"/>
  <c r="I1039" i="6"/>
  <c r="L1039" i="6"/>
  <c r="N1039" i="6"/>
  <c r="Q1039" i="6"/>
  <c r="R1039" i="6"/>
  <c r="S1039" i="6"/>
  <c r="T1039" i="6"/>
  <c r="B1040" i="6"/>
  <c r="C1040" i="6"/>
  <c r="D1040" i="6"/>
  <c r="L1040" i="6" s="1"/>
  <c r="E1040" i="6"/>
  <c r="F1040" i="6"/>
  <c r="H1040" i="6"/>
  <c r="I1040" i="6"/>
  <c r="N1040" i="6"/>
  <c r="R1040" i="6"/>
  <c r="Q1040" i="6" s="1"/>
  <c r="S1040" i="6" s="1"/>
  <c r="T1040" i="6"/>
  <c r="B1041" i="6"/>
  <c r="C1041" i="6"/>
  <c r="D1041" i="6"/>
  <c r="E1041" i="6"/>
  <c r="F1041" i="6"/>
  <c r="H1041" i="6"/>
  <c r="I1041" i="6"/>
  <c r="L1041" i="6"/>
  <c r="N1041" i="6"/>
  <c r="Q1041" i="6"/>
  <c r="R1041" i="6"/>
  <c r="S1041" i="6"/>
  <c r="T1041" i="6"/>
  <c r="B1042" i="6"/>
  <c r="C1042" i="6"/>
  <c r="D1042" i="6"/>
  <c r="L1042" i="6" s="1"/>
  <c r="E1042" i="6"/>
  <c r="F1042" i="6"/>
  <c r="H1042" i="6"/>
  <c r="I1042" i="6"/>
  <c r="N1042" i="6"/>
  <c r="R1042" i="6"/>
  <c r="Q1042" i="6" s="1"/>
  <c r="S1042" i="6" s="1"/>
  <c r="T1042" i="6"/>
  <c r="B1043" i="6"/>
  <c r="C1043" i="6"/>
  <c r="D1043" i="6"/>
  <c r="E1043" i="6"/>
  <c r="F1043" i="6"/>
  <c r="H1043" i="6"/>
  <c r="I1043" i="6"/>
  <c r="L1043" i="6"/>
  <c r="N1043" i="6"/>
  <c r="Q1043" i="6"/>
  <c r="R1043" i="6"/>
  <c r="S1043" i="6"/>
  <c r="T1043" i="6"/>
  <c r="B1044" i="6"/>
  <c r="C1044" i="6"/>
  <c r="D1044" i="6"/>
  <c r="L1044" i="6" s="1"/>
  <c r="E1044" i="6"/>
  <c r="F1044" i="6"/>
  <c r="H1044" i="6"/>
  <c r="I1044" i="6"/>
  <c r="N1044" i="6"/>
  <c r="R1044" i="6"/>
  <c r="Q1044" i="6" s="1"/>
  <c r="T1044" i="6"/>
  <c r="B1045" i="6"/>
  <c r="C1045" i="6"/>
  <c r="D1045" i="6"/>
  <c r="E1045" i="6"/>
  <c r="F1045" i="6"/>
  <c r="H1045" i="6"/>
  <c r="I1045" i="6"/>
  <c r="L1045" i="6"/>
  <c r="N1045" i="6"/>
  <c r="Q1045" i="6"/>
  <c r="R1045" i="6"/>
  <c r="S1045" i="6"/>
  <c r="T1045" i="6"/>
  <c r="B1046" i="6"/>
  <c r="C1046" i="6"/>
  <c r="D1046" i="6"/>
  <c r="L1046" i="6" s="1"/>
  <c r="E1046" i="6"/>
  <c r="F1046" i="6"/>
  <c r="H1046" i="6"/>
  <c r="I1046" i="6"/>
  <c r="N1046" i="6"/>
  <c r="R1046" i="6"/>
  <c r="Q1046" i="6" s="1"/>
  <c r="S1046" i="6" s="1"/>
  <c r="T1046" i="6"/>
  <c r="B1047" i="6"/>
  <c r="C1047" i="6"/>
  <c r="D1047" i="6"/>
  <c r="E1047" i="6"/>
  <c r="F1047" i="6"/>
  <c r="H1047" i="6"/>
  <c r="I1047" i="6"/>
  <c r="L1047" i="6"/>
  <c r="N1047" i="6"/>
  <c r="Q1047" i="6"/>
  <c r="R1047" i="6"/>
  <c r="S1047" i="6"/>
  <c r="T1047" i="6"/>
  <c r="B1048" i="6"/>
  <c r="C1048" i="6"/>
  <c r="D1048" i="6"/>
  <c r="L1048" i="6" s="1"/>
  <c r="E1048" i="6"/>
  <c r="F1048" i="6"/>
  <c r="H1048" i="6"/>
  <c r="I1048" i="6"/>
  <c r="N1048" i="6"/>
  <c r="R1048" i="6"/>
  <c r="Q1048" i="6" s="1"/>
  <c r="S1048" i="6" s="1"/>
  <c r="T1048" i="6"/>
  <c r="B1049" i="6"/>
  <c r="C1049" i="6"/>
  <c r="D1049" i="6"/>
  <c r="E1049" i="6"/>
  <c r="F1049" i="6"/>
  <c r="H1049" i="6"/>
  <c r="I1049" i="6"/>
  <c r="L1049" i="6"/>
  <c r="N1049" i="6"/>
  <c r="Q1049" i="6"/>
  <c r="R1049" i="6"/>
  <c r="S1049" i="6"/>
  <c r="T1049" i="6"/>
  <c r="B1050" i="6"/>
  <c r="C1050" i="6"/>
  <c r="D1050" i="6"/>
  <c r="L1050" i="6" s="1"/>
  <c r="E1050" i="6"/>
  <c r="F1050" i="6"/>
  <c r="H1050" i="6"/>
  <c r="I1050" i="6"/>
  <c r="N1050" i="6"/>
  <c r="R1050" i="6"/>
  <c r="Q1050" i="6" s="1"/>
  <c r="S1050" i="6" s="1"/>
  <c r="T1050" i="6"/>
  <c r="B1051" i="6"/>
  <c r="C1051" i="6"/>
  <c r="D1051" i="6"/>
  <c r="E1051" i="6"/>
  <c r="F1051" i="6"/>
  <c r="H1051" i="6"/>
  <c r="I1051" i="6"/>
  <c r="L1051" i="6"/>
  <c r="N1051" i="6"/>
  <c r="Q1051" i="6"/>
  <c r="R1051" i="6"/>
  <c r="S1051" i="6"/>
  <c r="T1051" i="6"/>
  <c r="B1052" i="6"/>
  <c r="C1052" i="6"/>
  <c r="D1052" i="6"/>
  <c r="L1052" i="6" s="1"/>
  <c r="E1052" i="6"/>
  <c r="F1052" i="6"/>
  <c r="H1052" i="6"/>
  <c r="I1052" i="6"/>
  <c r="N1052" i="6"/>
  <c r="R1052" i="6"/>
  <c r="Q1052" i="6" s="1"/>
  <c r="S1052" i="6" s="1"/>
  <c r="T1052" i="6"/>
  <c r="B1053" i="6"/>
  <c r="C1053" i="6"/>
  <c r="D1053" i="6"/>
  <c r="E1053" i="6"/>
  <c r="F1053" i="6"/>
  <c r="H1053" i="6"/>
  <c r="I1053" i="6"/>
  <c r="L1053" i="6"/>
  <c r="N1053" i="6"/>
  <c r="Q1053" i="6"/>
  <c r="R1053" i="6"/>
  <c r="S1053" i="6"/>
  <c r="T1053" i="6"/>
  <c r="B1054" i="6"/>
  <c r="C1054" i="6"/>
  <c r="D1054" i="6"/>
  <c r="L1054" i="6" s="1"/>
  <c r="E1054" i="6"/>
  <c r="F1054" i="6"/>
  <c r="H1054" i="6"/>
  <c r="I1054" i="6"/>
  <c r="N1054" i="6"/>
  <c r="R1054" i="6"/>
  <c r="Q1054" i="6" s="1"/>
  <c r="S1054" i="6" s="1"/>
  <c r="T1054" i="6"/>
  <c r="B1055" i="6"/>
  <c r="C1055" i="6"/>
  <c r="D1055" i="6"/>
  <c r="E1055" i="6"/>
  <c r="F1055" i="6"/>
  <c r="H1055" i="6"/>
  <c r="I1055" i="6"/>
  <c r="L1055" i="6"/>
  <c r="N1055" i="6"/>
  <c r="Q1055" i="6"/>
  <c r="R1055" i="6"/>
  <c r="S1055" i="6"/>
  <c r="T1055" i="6"/>
  <c r="B1056" i="6"/>
  <c r="C1056" i="6"/>
  <c r="D1056" i="6"/>
  <c r="L1056" i="6" s="1"/>
  <c r="E1056" i="6"/>
  <c r="F1056" i="6"/>
  <c r="H1056" i="6"/>
  <c r="I1056" i="6"/>
  <c r="N1056" i="6"/>
  <c r="R1056" i="6"/>
  <c r="Q1056" i="6" s="1"/>
  <c r="T1056" i="6"/>
  <c r="B1057" i="6"/>
  <c r="C1057" i="6"/>
  <c r="D1057" i="6"/>
  <c r="E1057" i="6"/>
  <c r="F1057" i="6"/>
  <c r="H1057" i="6"/>
  <c r="I1057" i="6"/>
  <c r="L1057" i="6"/>
  <c r="N1057" i="6"/>
  <c r="Q1057" i="6"/>
  <c r="R1057" i="6"/>
  <c r="S1057" i="6"/>
  <c r="T1057" i="6"/>
  <c r="B1058" i="6"/>
  <c r="C1058" i="6"/>
  <c r="D1058" i="6"/>
  <c r="L1058" i="6" s="1"/>
  <c r="E1058" i="6"/>
  <c r="F1058" i="6"/>
  <c r="H1058" i="6"/>
  <c r="I1058" i="6"/>
  <c r="N1058" i="6"/>
  <c r="R1058" i="6"/>
  <c r="Q1058" i="6" s="1"/>
  <c r="S1058" i="6" s="1"/>
  <c r="T1058" i="6"/>
  <c r="B1059" i="6"/>
  <c r="C1059" i="6"/>
  <c r="D1059" i="6"/>
  <c r="E1059" i="6"/>
  <c r="F1059" i="6"/>
  <c r="H1059" i="6"/>
  <c r="I1059" i="6"/>
  <c r="L1059" i="6"/>
  <c r="N1059" i="6"/>
  <c r="Q1059" i="6"/>
  <c r="R1059" i="6"/>
  <c r="S1059" i="6"/>
  <c r="T1059" i="6"/>
  <c r="B1060" i="6"/>
  <c r="C1060" i="6"/>
  <c r="D1060" i="6"/>
  <c r="L1060" i="6" s="1"/>
  <c r="E1060" i="6"/>
  <c r="F1060" i="6"/>
  <c r="H1060" i="6"/>
  <c r="I1060" i="6"/>
  <c r="N1060" i="6"/>
  <c r="R1060" i="6"/>
  <c r="Q1060" i="6" s="1"/>
  <c r="S1060" i="6" s="1"/>
  <c r="T1060" i="6"/>
  <c r="B1061" i="6"/>
  <c r="C1061" i="6"/>
  <c r="D1061" i="6"/>
  <c r="E1061" i="6"/>
  <c r="F1061" i="6"/>
  <c r="H1061" i="6"/>
  <c r="I1061" i="6"/>
  <c r="L1061" i="6"/>
  <c r="N1061" i="6"/>
  <c r="Q1061" i="6"/>
  <c r="R1061" i="6"/>
  <c r="S1061" i="6"/>
  <c r="T1061" i="6"/>
  <c r="B1062" i="6"/>
  <c r="C1062" i="6"/>
  <c r="D1062" i="6"/>
  <c r="L1062" i="6" s="1"/>
  <c r="E1062" i="6"/>
  <c r="F1062" i="6"/>
  <c r="H1062" i="6"/>
  <c r="I1062" i="6"/>
  <c r="N1062" i="6"/>
  <c r="R1062" i="6"/>
  <c r="Q1062" i="6" s="1"/>
  <c r="S1062" i="6" s="1"/>
  <c r="T1062" i="6"/>
  <c r="B1063" i="6"/>
  <c r="C1063" i="6"/>
  <c r="D1063" i="6"/>
  <c r="E1063" i="6"/>
  <c r="F1063" i="6"/>
  <c r="H1063" i="6"/>
  <c r="I1063" i="6"/>
  <c r="L1063" i="6"/>
  <c r="N1063" i="6"/>
  <c r="Q1063" i="6"/>
  <c r="R1063" i="6"/>
  <c r="S1063" i="6"/>
  <c r="T1063" i="6"/>
  <c r="B1064" i="6"/>
  <c r="C1064" i="6"/>
  <c r="D1064" i="6"/>
  <c r="L1064" i="6" s="1"/>
  <c r="E1064" i="6"/>
  <c r="F1064" i="6"/>
  <c r="H1064" i="6"/>
  <c r="I1064" i="6"/>
  <c r="N1064" i="6"/>
  <c r="R1064" i="6"/>
  <c r="Q1064" i="6" s="1"/>
  <c r="S1064" i="6" s="1"/>
  <c r="T1064" i="6"/>
  <c r="B1065" i="6"/>
  <c r="C1065" i="6"/>
  <c r="D1065" i="6"/>
  <c r="E1065" i="6"/>
  <c r="F1065" i="6"/>
  <c r="H1065" i="6"/>
  <c r="I1065" i="6"/>
  <c r="L1065" i="6"/>
  <c r="N1065" i="6"/>
  <c r="Q1065" i="6"/>
  <c r="R1065" i="6"/>
  <c r="S1065" i="6"/>
  <c r="T1065" i="6"/>
  <c r="B1066" i="6"/>
  <c r="C1066" i="6"/>
  <c r="D1066" i="6"/>
  <c r="L1066" i="6" s="1"/>
  <c r="E1066" i="6"/>
  <c r="F1066" i="6"/>
  <c r="H1066" i="6"/>
  <c r="I1066" i="6"/>
  <c r="N1066" i="6"/>
  <c r="R1066" i="6"/>
  <c r="Q1066" i="6" s="1"/>
  <c r="S1066" i="6" s="1"/>
  <c r="T1066" i="6"/>
  <c r="B1067" i="6"/>
  <c r="C1067" i="6"/>
  <c r="D1067" i="6"/>
  <c r="E1067" i="6"/>
  <c r="F1067" i="6"/>
  <c r="H1067" i="6"/>
  <c r="I1067" i="6"/>
  <c r="L1067" i="6"/>
  <c r="N1067" i="6"/>
  <c r="Q1067" i="6"/>
  <c r="R1067" i="6"/>
  <c r="S1067" i="6"/>
  <c r="T1067" i="6"/>
  <c r="B1069" i="6"/>
  <c r="C1069" i="6"/>
  <c r="D1069" i="6"/>
  <c r="E1069" i="6"/>
  <c r="F1069" i="6"/>
  <c r="G1069" i="6"/>
  <c r="H1069" i="6"/>
  <c r="I1069" i="6"/>
  <c r="J1069" i="6"/>
  <c r="K1069" i="6"/>
  <c r="L1069" i="6"/>
  <c r="N1069" i="6"/>
  <c r="O1069" i="6"/>
  <c r="P1069" i="6"/>
  <c r="Q1069" i="6"/>
  <c r="R1069" i="6"/>
  <c r="T1069" i="6"/>
  <c r="B1070" i="6"/>
  <c r="C1070" i="6"/>
  <c r="D1070" i="6"/>
  <c r="E1070" i="6"/>
  <c r="F1070" i="6"/>
  <c r="G1070" i="6"/>
  <c r="H1070" i="6"/>
  <c r="I1070" i="6"/>
  <c r="J1070" i="6"/>
  <c r="K1070" i="6"/>
  <c r="L1070" i="6"/>
  <c r="N1070" i="6"/>
  <c r="O1070" i="6"/>
  <c r="P1070" i="6"/>
  <c r="Q1070" i="6"/>
  <c r="R1070" i="6"/>
  <c r="T1070" i="6"/>
  <c r="B1071" i="6"/>
  <c r="C1071" i="6"/>
  <c r="D1071" i="6"/>
  <c r="E1071" i="6"/>
  <c r="F1071" i="6"/>
  <c r="G1071" i="6"/>
  <c r="H1071" i="6"/>
  <c r="I1071" i="6"/>
  <c r="J1071" i="6"/>
  <c r="K1071" i="6"/>
  <c r="L1071" i="6"/>
  <c r="N1071" i="6"/>
  <c r="O1071" i="6"/>
  <c r="P1071" i="6"/>
  <c r="Q1071" i="6"/>
  <c r="R1071" i="6"/>
  <c r="S1071" i="6"/>
  <c r="T1071" i="6"/>
  <c r="B1072" i="6"/>
  <c r="C1072" i="6"/>
  <c r="D1072" i="6"/>
  <c r="E1072" i="6"/>
  <c r="F1072" i="6"/>
  <c r="G1072" i="6"/>
  <c r="H1072" i="6"/>
  <c r="I1072" i="6"/>
  <c r="J1072" i="6"/>
  <c r="K1072" i="6"/>
  <c r="L1072" i="6"/>
  <c r="N1072" i="6"/>
  <c r="O1072" i="6"/>
  <c r="P1072" i="6"/>
  <c r="Q1072" i="6"/>
  <c r="R1072" i="6"/>
  <c r="S1072" i="6"/>
  <c r="T1072" i="6"/>
  <c r="B1073" i="6"/>
  <c r="C1073" i="6"/>
  <c r="D1073" i="6"/>
  <c r="E1073" i="6"/>
  <c r="F1073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B1074" i="6"/>
  <c r="C1074" i="6"/>
  <c r="D1074" i="6"/>
  <c r="E1074" i="6"/>
  <c r="F1074" i="6"/>
  <c r="G1074" i="6"/>
  <c r="H1074" i="6"/>
  <c r="I1074" i="6"/>
  <c r="J1074" i="6"/>
  <c r="K1074" i="6"/>
  <c r="L1074" i="6"/>
  <c r="M1074" i="6"/>
  <c r="N1074" i="6"/>
  <c r="O1074" i="6"/>
  <c r="P1074" i="6"/>
  <c r="Q1074" i="6"/>
  <c r="R1074" i="6"/>
  <c r="S1074" i="6"/>
  <c r="T1074" i="6"/>
  <c r="B1075" i="6"/>
  <c r="C1075" i="6"/>
  <c r="D1075" i="6"/>
  <c r="E1075" i="6"/>
  <c r="F1075" i="6"/>
  <c r="G1075" i="6"/>
  <c r="H1075" i="6"/>
  <c r="I1075" i="6"/>
  <c r="J1075" i="6"/>
  <c r="K1075" i="6"/>
  <c r="L1075" i="6"/>
  <c r="M1075" i="6"/>
  <c r="N1075" i="6"/>
  <c r="O1075" i="6"/>
  <c r="P1075" i="6"/>
  <c r="Q1075" i="6"/>
  <c r="R1075" i="6"/>
  <c r="S1075" i="6"/>
  <c r="T1075" i="6"/>
  <c r="B1076" i="6"/>
  <c r="C1076" i="6"/>
  <c r="D1076" i="6"/>
  <c r="E1076" i="6"/>
  <c r="F1076" i="6"/>
  <c r="G1076" i="6"/>
  <c r="H1076" i="6"/>
  <c r="I1076" i="6"/>
  <c r="J1076" i="6"/>
  <c r="K1076" i="6"/>
  <c r="L1076" i="6"/>
  <c r="M1076" i="6"/>
  <c r="N1076" i="6"/>
  <c r="O1076" i="6"/>
  <c r="P1076" i="6"/>
  <c r="Q1076" i="6"/>
  <c r="R1076" i="6"/>
  <c r="S1076" i="6"/>
  <c r="T1076" i="6"/>
  <c r="B1077" i="6"/>
  <c r="C1077" i="6"/>
  <c r="D1077" i="6"/>
  <c r="E1077" i="6"/>
  <c r="F1077" i="6"/>
  <c r="G1077" i="6"/>
  <c r="H1077" i="6"/>
  <c r="I1077" i="6"/>
  <c r="J1077" i="6"/>
  <c r="K1077" i="6"/>
  <c r="L1077" i="6"/>
  <c r="M1077" i="6"/>
  <c r="N1077" i="6"/>
  <c r="O1077" i="6"/>
  <c r="P1077" i="6"/>
  <c r="Q1077" i="6"/>
  <c r="R1077" i="6"/>
  <c r="S1077" i="6"/>
  <c r="T1077" i="6"/>
  <c r="B1078" i="6"/>
  <c r="C1078" i="6"/>
  <c r="D1078" i="6"/>
  <c r="E1078" i="6"/>
  <c r="F1078" i="6"/>
  <c r="G1078" i="6"/>
  <c r="H1078" i="6"/>
  <c r="I1078" i="6"/>
  <c r="J1078" i="6"/>
  <c r="K1078" i="6"/>
  <c r="L1078" i="6"/>
  <c r="M1078" i="6"/>
  <c r="N1078" i="6"/>
  <c r="O1078" i="6"/>
  <c r="P1078" i="6"/>
  <c r="Q1078" i="6"/>
  <c r="R1078" i="6"/>
  <c r="S1078" i="6"/>
  <c r="T1078" i="6"/>
  <c r="B1079" i="6"/>
  <c r="C1079" i="6"/>
  <c r="D1079" i="6"/>
  <c r="E1079" i="6"/>
  <c r="F1079" i="6"/>
  <c r="G1079" i="6"/>
  <c r="H1079" i="6"/>
  <c r="I1079" i="6"/>
  <c r="J1079" i="6"/>
  <c r="K1079" i="6"/>
  <c r="L1079" i="6"/>
  <c r="M1079" i="6"/>
  <c r="N1079" i="6"/>
  <c r="O1079" i="6"/>
  <c r="P1079" i="6"/>
  <c r="Q1079" i="6"/>
  <c r="R1079" i="6"/>
  <c r="S1079" i="6"/>
  <c r="T1079" i="6"/>
  <c r="B1080" i="6"/>
  <c r="C1080" i="6"/>
  <c r="D1080" i="6"/>
  <c r="E1080" i="6"/>
  <c r="F1080" i="6"/>
  <c r="G1080" i="6"/>
  <c r="H1080" i="6"/>
  <c r="I1080" i="6"/>
  <c r="J1080" i="6"/>
  <c r="K1080" i="6"/>
  <c r="L1080" i="6"/>
  <c r="M1080" i="6"/>
  <c r="N1080" i="6"/>
  <c r="O1080" i="6"/>
  <c r="P1080" i="6"/>
  <c r="Q1080" i="6"/>
  <c r="R1080" i="6"/>
  <c r="S1080" i="6"/>
  <c r="T1080" i="6"/>
  <c r="B1081" i="6"/>
  <c r="C1081" i="6"/>
  <c r="D1081" i="6"/>
  <c r="E1081" i="6"/>
  <c r="F1081" i="6"/>
  <c r="G1081" i="6"/>
  <c r="H1081" i="6"/>
  <c r="I1081" i="6"/>
  <c r="J1081" i="6"/>
  <c r="K1081" i="6"/>
  <c r="L1081" i="6"/>
  <c r="M1081" i="6"/>
  <c r="N1081" i="6"/>
  <c r="O1081" i="6"/>
  <c r="P1081" i="6"/>
  <c r="Q1081" i="6"/>
  <c r="R1081" i="6"/>
  <c r="S1081" i="6"/>
  <c r="T1081" i="6"/>
  <c r="B1082" i="6"/>
  <c r="C1082" i="6"/>
  <c r="D1082" i="6"/>
  <c r="E1082" i="6"/>
  <c r="F1082" i="6"/>
  <c r="G1082" i="6"/>
  <c r="H1082" i="6"/>
  <c r="I1082" i="6"/>
  <c r="J1082" i="6"/>
  <c r="K1082" i="6"/>
  <c r="L1082" i="6"/>
  <c r="M1082" i="6"/>
  <c r="N1082" i="6"/>
  <c r="O1082" i="6"/>
  <c r="P1082" i="6"/>
  <c r="Q1082" i="6"/>
  <c r="R1082" i="6"/>
  <c r="S1082" i="6"/>
  <c r="T1082" i="6"/>
  <c r="B1083" i="6"/>
  <c r="C1083" i="6"/>
  <c r="D1083" i="6"/>
  <c r="E1083" i="6"/>
  <c r="F1083" i="6"/>
  <c r="G1083" i="6"/>
  <c r="H1083" i="6"/>
  <c r="I1083" i="6"/>
  <c r="J1083" i="6"/>
  <c r="K1083" i="6"/>
  <c r="L1083" i="6"/>
  <c r="M1083" i="6"/>
  <c r="N1083" i="6"/>
  <c r="O1083" i="6"/>
  <c r="P1083" i="6"/>
  <c r="Q1083" i="6"/>
  <c r="R1083" i="6"/>
  <c r="S1083" i="6"/>
  <c r="T1083" i="6"/>
  <c r="B1084" i="6"/>
  <c r="C1084" i="6"/>
  <c r="D1084" i="6"/>
  <c r="E1084" i="6"/>
  <c r="F1084" i="6"/>
  <c r="G1084" i="6"/>
  <c r="H1084" i="6"/>
  <c r="I1084" i="6"/>
  <c r="J1084" i="6"/>
  <c r="K1084" i="6"/>
  <c r="L1084" i="6"/>
  <c r="M1084" i="6"/>
  <c r="N1084" i="6"/>
  <c r="O1084" i="6"/>
  <c r="P1084" i="6"/>
  <c r="Q1084" i="6"/>
  <c r="R1084" i="6"/>
  <c r="S1084" i="6"/>
  <c r="T1084" i="6"/>
  <c r="B1085" i="6"/>
  <c r="C1085" i="6"/>
  <c r="D1085" i="6"/>
  <c r="E1085" i="6"/>
  <c r="F1085" i="6"/>
  <c r="G1085" i="6"/>
  <c r="H1085" i="6"/>
  <c r="I1085" i="6"/>
  <c r="J1085" i="6"/>
  <c r="K1085" i="6"/>
  <c r="L1085" i="6"/>
  <c r="M1085" i="6"/>
  <c r="N1085" i="6"/>
  <c r="O1085" i="6"/>
  <c r="P1085" i="6"/>
  <c r="Q1085" i="6"/>
  <c r="R1085" i="6"/>
  <c r="S1085" i="6"/>
  <c r="T1085" i="6"/>
  <c r="B1086" i="6"/>
  <c r="C1086" i="6"/>
  <c r="D1086" i="6"/>
  <c r="E1086" i="6"/>
  <c r="F1086" i="6"/>
  <c r="G1086" i="6"/>
  <c r="H1086" i="6"/>
  <c r="I1086" i="6"/>
  <c r="J1086" i="6"/>
  <c r="K1086" i="6"/>
  <c r="L1086" i="6"/>
  <c r="M1086" i="6"/>
  <c r="N1086" i="6"/>
  <c r="O1086" i="6"/>
  <c r="P1086" i="6"/>
  <c r="Q1086" i="6"/>
  <c r="R1086" i="6"/>
  <c r="S1086" i="6"/>
  <c r="T1086" i="6"/>
  <c r="B1087" i="6"/>
  <c r="C1087" i="6"/>
  <c r="D1087" i="6"/>
  <c r="E1087" i="6"/>
  <c r="F1087" i="6"/>
  <c r="G1087" i="6"/>
  <c r="H1087" i="6"/>
  <c r="I1087" i="6"/>
  <c r="J1087" i="6"/>
  <c r="K1087" i="6"/>
  <c r="L1087" i="6"/>
  <c r="M1087" i="6"/>
  <c r="N1087" i="6"/>
  <c r="O1087" i="6"/>
  <c r="P1087" i="6"/>
  <c r="Q1087" i="6"/>
  <c r="R1087" i="6"/>
  <c r="S1087" i="6"/>
  <c r="T1087" i="6"/>
  <c r="B1088" i="6"/>
  <c r="C1088" i="6"/>
  <c r="D1088" i="6"/>
  <c r="E1088" i="6"/>
  <c r="F1088" i="6"/>
  <c r="G1088" i="6"/>
  <c r="H1088" i="6"/>
  <c r="I1088" i="6"/>
  <c r="J1088" i="6"/>
  <c r="K1088" i="6"/>
  <c r="L1088" i="6"/>
  <c r="M1088" i="6"/>
  <c r="N1088" i="6"/>
  <c r="O1088" i="6"/>
  <c r="P1088" i="6"/>
  <c r="Q1088" i="6"/>
  <c r="R1088" i="6"/>
  <c r="S1088" i="6"/>
  <c r="T1088" i="6"/>
  <c r="B1089" i="6"/>
  <c r="C1089" i="6"/>
  <c r="D1089" i="6"/>
  <c r="E1089" i="6"/>
  <c r="F1089" i="6"/>
  <c r="G1089" i="6"/>
  <c r="H1089" i="6"/>
  <c r="I1089" i="6"/>
  <c r="J1089" i="6"/>
  <c r="K1089" i="6"/>
  <c r="L1089" i="6"/>
  <c r="M1089" i="6"/>
  <c r="N1089" i="6"/>
  <c r="O1089" i="6"/>
  <c r="P1089" i="6"/>
  <c r="Q1089" i="6"/>
  <c r="R1089" i="6"/>
  <c r="S1089" i="6"/>
  <c r="T1089" i="6"/>
  <c r="B1090" i="6"/>
  <c r="C1090" i="6"/>
  <c r="D1090" i="6"/>
  <c r="E1090" i="6"/>
  <c r="F1090" i="6"/>
  <c r="G1090" i="6"/>
  <c r="H1090" i="6"/>
  <c r="I1090" i="6"/>
  <c r="J1090" i="6"/>
  <c r="K1090" i="6"/>
  <c r="L1090" i="6"/>
  <c r="M1090" i="6"/>
  <c r="N1090" i="6"/>
  <c r="O1090" i="6"/>
  <c r="P1090" i="6"/>
  <c r="Q1090" i="6"/>
  <c r="R1090" i="6"/>
  <c r="S1090" i="6"/>
  <c r="T1090" i="6"/>
  <c r="B1091" i="6"/>
  <c r="C1091" i="6"/>
  <c r="D1091" i="6"/>
  <c r="E1091" i="6"/>
  <c r="F1091" i="6"/>
  <c r="G1091" i="6"/>
  <c r="H1091" i="6"/>
  <c r="I1091" i="6"/>
  <c r="J1091" i="6"/>
  <c r="K1091" i="6"/>
  <c r="L1091" i="6"/>
  <c r="M1091" i="6"/>
  <c r="N1091" i="6"/>
  <c r="O1091" i="6"/>
  <c r="P1091" i="6"/>
  <c r="Q1091" i="6"/>
  <c r="R1091" i="6"/>
  <c r="S1091" i="6"/>
  <c r="T1091" i="6"/>
  <c r="B1092" i="6"/>
  <c r="C1092" i="6"/>
  <c r="D1092" i="6"/>
  <c r="E1092" i="6"/>
  <c r="F1092" i="6"/>
  <c r="G1092" i="6"/>
  <c r="H1092" i="6"/>
  <c r="I1092" i="6"/>
  <c r="J1092" i="6"/>
  <c r="K1092" i="6"/>
  <c r="L1092" i="6"/>
  <c r="M1092" i="6"/>
  <c r="N1092" i="6"/>
  <c r="O1092" i="6"/>
  <c r="P1092" i="6"/>
  <c r="Q1092" i="6"/>
  <c r="R1092" i="6"/>
  <c r="S1092" i="6"/>
  <c r="T1092" i="6"/>
  <c r="B1093" i="6"/>
  <c r="C1093" i="6"/>
  <c r="D1093" i="6"/>
  <c r="E1093" i="6"/>
  <c r="F1093" i="6"/>
  <c r="G1093" i="6"/>
  <c r="H1093" i="6"/>
  <c r="I1093" i="6"/>
  <c r="J1093" i="6"/>
  <c r="K1093" i="6"/>
  <c r="L1093" i="6"/>
  <c r="M1093" i="6"/>
  <c r="N1093" i="6"/>
  <c r="O1093" i="6"/>
  <c r="P1093" i="6"/>
  <c r="Q1093" i="6"/>
  <c r="R1093" i="6"/>
  <c r="S1093" i="6"/>
  <c r="T1093" i="6"/>
  <c r="A1094" i="6"/>
  <c r="B1094" i="6"/>
  <c r="C1094" i="6"/>
  <c r="D1094" i="6"/>
  <c r="E1094" i="6"/>
  <c r="F1094" i="6"/>
  <c r="G1094" i="6"/>
  <c r="H1094" i="6"/>
  <c r="I1094" i="6"/>
  <c r="J1094" i="6"/>
  <c r="K1094" i="6"/>
  <c r="L1094" i="6"/>
  <c r="M1094" i="6"/>
  <c r="N1094" i="6"/>
  <c r="O1094" i="6"/>
  <c r="P1094" i="6"/>
  <c r="Q1094" i="6"/>
  <c r="R1094" i="6"/>
  <c r="S1094" i="6"/>
  <c r="T1094" i="6"/>
  <c r="A1095" i="6"/>
  <c r="B1095" i="6"/>
  <c r="C1095" i="6"/>
  <c r="D1095" i="6"/>
  <c r="E1095" i="6"/>
  <c r="F1095" i="6"/>
  <c r="G1095" i="6"/>
  <c r="H1095" i="6"/>
  <c r="I1095" i="6"/>
  <c r="J1095" i="6"/>
  <c r="K1095" i="6"/>
  <c r="L1095" i="6"/>
  <c r="M1095" i="6"/>
  <c r="N1095" i="6"/>
  <c r="O1095" i="6"/>
  <c r="P1095" i="6"/>
  <c r="Q1095" i="6"/>
  <c r="R1095" i="6"/>
  <c r="S1095" i="6"/>
  <c r="T1095" i="6"/>
  <c r="A1096" i="6"/>
  <c r="B1096" i="6"/>
  <c r="C1096" i="6"/>
  <c r="D1096" i="6"/>
  <c r="E1096" i="6"/>
  <c r="F1096" i="6"/>
  <c r="G1096" i="6"/>
  <c r="H1096" i="6"/>
  <c r="I1096" i="6"/>
  <c r="J1096" i="6"/>
  <c r="K1096" i="6"/>
  <c r="L1096" i="6"/>
  <c r="M1096" i="6"/>
  <c r="N1096" i="6"/>
  <c r="O1096" i="6"/>
  <c r="P1096" i="6"/>
  <c r="Q1096" i="6"/>
  <c r="R1096" i="6"/>
  <c r="S1096" i="6"/>
  <c r="T1096" i="6"/>
  <c r="A1097" i="6"/>
  <c r="B1097" i="6"/>
  <c r="C1097" i="6"/>
  <c r="D1097" i="6"/>
  <c r="E1097" i="6"/>
  <c r="F1097" i="6"/>
  <c r="G1097" i="6"/>
  <c r="H1097" i="6"/>
  <c r="I1097" i="6"/>
  <c r="J1097" i="6"/>
  <c r="K1097" i="6"/>
  <c r="L1097" i="6"/>
  <c r="M1097" i="6"/>
  <c r="N1097" i="6"/>
  <c r="O1097" i="6"/>
  <c r="P1097" i="6"/>
  <c r="Q1097" i="6"/>
  <c r="R1097" i="6"/>
  <c r="S1097" i="6"/>
  <c r="T1097" i="6"/>
  <c r="A1098" i="6"/>
  <c r="B1098" i="6"/>
  <c r="C1098" i="6"/>
  <c r="D1098" i="6"/>
  <c r="E1098" i="6"/>
  <c r="F1098" i="6"/>
  <c r="G1098" i="6"/>
  <c r="H1098" i="6"/>
  <c r="I1098" i="6"/>
  <c r="J1098" i="6"/>
  <c r="K1098" i="6"/>
  <c r="L1098" i="6"/>
  <c r="M1098" i="6"/>
  <c r="N1098" i="6"/>
  <c r="O1098" i="6"/>
  <c r="P1098" i="6"/>
  <c r="Q1098" i="6"/>
  <c r="R1098" i="6"/>
  <c r="S1098" i="6"/>
  <c r="T1098" i="6"/>
  <c r="A1099" i="6"/>
  <c r="B1099" i="6"/>
  <c r="C1099" i="6"/>
  <c r="D1099" i="6"/>
  <c r="E1099" i="6"/>
  <c r="F1099" i="6"/>
  <c r="G1099" i="6"/>
  <c r="H1099" i="6"/>
  <c r="I1099" i="6"/>
  <c r="J1099" i="6"/>
  <c r="K1099" i="6"/>
  <c r="L1099" i="6"/>
  <c r="M1099" i="6"/>
  <c r="N1099" i="6"/>
  <c r="O1099" i="6"/>
  <c r="P1099" i="6"/>
  <c r="Q1099" i="6"/>
  <c r="R1099" i="6"/>
  <c r="S1099" i="6"/>
  <c r="T1099" i="6"/>
  <c r="A1100" i="6"/>
  <c r="B1100" i="6"/>
  <c r="C1100" i="6"/>
  <c r="D1100" i="6"/>
  <c r="E1100" i="6"/>
  <c r="F1100" i="6"/>
  <c r="G1100" i="6"/>
  <c r="H1100" i="6"/>
  <c r="I1100" i="6"/>
  <c r="J1100" i="6"/>
  <c r="K1100" i="6"/>
  <c r="L1100" i="6"/>
  <c r="M1100" i="6"/>
  <c r="N1100" i="6"/>
  <c r="O1100" i="6"/>
  <c r="P1100" i="6"/>
  <c r="Q1100" i="6"/>
  <c r="R1100" i="6"/>
  <c r="S1100" i="6"/>
  <c r="T1100" i="6"/>
  <c r="A1101" i="6"/>
  <c r="B1101" i="6"/>
  <c r="C1101" i="6"/>
  <c r="D1101" i="6"/>
  <c r="E1101" i="6"/>
  <c r="F1101" i="6"/>
  <c r="G1101" i="6"/>
  <c r="H1101" i="6"/>
  <c r="I1101" i="6"/>
  <c r="J1101" i="6"/>
  <c r="K1101" i="6"/>
  <c r="L1101" i="6"/>
  <c r="M1101" i="6"/>
  <c r="N1101" i="6"/>
  <c r="O1101" i="6"/>
  <c r="P1101" i="6"/>
  <c r="Q1101" i="6"/>
  <c r="R1101" i="6"/>
  <c r="S1101" i="6"/>
  <c r="T1101" i="6"/>
  <c r="A1102" i="6"/>
  <c r="B1102" i="6"/>
  <c r="C1102" i="6"/>
  <c r="D1102" i="6"/>
  <c r="E1102" i="6"/>
  <c r="F1102" i="6"/>
  <c r="G1102" i="6"/>
  <c r="H1102" i="6"/>
  <c r="I1102" i="6"/>
  <c r="J1102" i="6"/>
  <c r="K1102" i="6"/>
  <c r="L1102" i="6"/>
  <c r="M1102" i="6"/>
  <c r="N1102" i="6"/>
  <c r="O1102" i="6"/>
  <c r="P1102" i="6"/>
  <c r="Q1102" i="6"/>
  <c r="R1102" i="6"/>
  <c r="S1102" i="6"/>
  <c r="T1102" i="6"/>
  <c r="A1103" i="6"/>
  <c r="B1103" i="6"/>
  <c r="C1103" i="6"/>
  <c r="D1103" i="6"/>
  <c r="E1103" i="6"/>
  <c r="F1103" i="6"/>
  <c r="G1103" i="6"/>
  <c r="H1103" i="6"/>
  <c r="I1103" i="6"/>
  <c r="J1103" i="6"/>
  <c r="K1103" i="6"/>
  <c r="L1103" i="6"/>
  <c r="M1103" i="6"/>
  <c r="N1103" i="6"/>
  <c r="O1103" i="6"/>
  <c r="P1103" i="6"/>
  <c r="Q1103" i="6"/>
  <c r="R1103" i="6"/>
  <c r="S1103" i="6"/>
  <c r="T1103" i="6"/>
  <c r="A1104" i="6"/>
  <c r="B1104" i="6"/>
  <c r="C1104" i="6"/>
  <c r="D1104" i="6"/>
  <c r="E1104" i="6"/>
  <c r="F1104" i="6"/>
  <c r="G1104" i="6"/>
  <c r="H1104" i="6"/>
  <c r="I1104" i="6"/>
  <c r="J1104" i="6"/>
  <c r="K1104" i="6"/>
  <c r="L1104" i="6"/>
  <c r="M1104" i="6"/>
  <c r="N1104" i="6"/>
  <c r="O1104" i="6"/>
  <c r="P1104" i="6"/>
  <c r="Q1104" i="6"/>
  <c r="R1104" i="6"/>
  <c r="S1104" i="6"/>
  <c r="T1104" i="6"/>
  <c r="A1105" i="6"/>
  <c r="B1105" i="6"/>
  <c r="C1105" i="6"/>
  <c r="D1105" i="6"/>
  <c r="E1105" i="6"/>
  <c r="F1105" i="6"/>
  <c r="G1105" i="6"/>
  <c r="H1105" i="6"/>
  <c r="I1105" i="6"/>
  <c r="J1105" i="6"/>
  <c r="K1105" i="6"/>
  <c r="L1105" i="6"/>
  <c r="M1105" i="6"/>
  <c r="N1105" i="6"/>
  <c r="O1105" i="6"/>
  <c r="P1105" i="6"/>
  <c r="Q1105" i="6"/>
  <c r="R1105" i="6"/>
  <c r="S1105" i="6"/>
  <c r="T1105" i="6"/>
  <c r="A1106" i="6"/>
  <c r="B1106" i="6"/>
  <c r="C1106" i="6"/>
  <c r="D1106" i="6"/>
  <c r="E1106" i="6"/>
  <c r="F1106" i="6"/>
  <c r="G1106" i="6"/>
  <c r="H1106" i="6"/>
  <c r="I1106" i="6"/>
  <c r="J1106" i="6"/>
  <c r="K1106" i="6"/>
  <c r="L1106" i="6"/>
  <c r="M1106" i="6"/>
  <c r="N1106" i="6"/>
  <c r="O1106" i="6"/>
  <c r="P1106" i="6"/>
  <c r="Q1106" i="6"/>
  <c r="R1106" i="6"/>
  <c r="S1106" i="6"/>
  <c r="T1106" i="6"/>
  <c r="A1107" i="6"/>
  <c r="B1107" i="6"/>
  <c r="C1107" i="6"/>
  <c r="D1107" i="6"/>
  <c r="E1107" i="6"/>
  <c r="F1107" i="6"/>
  <c r="G1107" i="6"/>
  <c r="H1107" i="6"/>
  <c r="I1107" i="6"/>
  <c r="J1107" i="6"/>
  <c r="K1107" i="6"/>
  <c r="L1107" i="6"/>
  <c r="M1107" i="6"/>
  <c r="N1107" i="6"/>
  <c r="O1107" i="6"/>
  <c r="P1107" i="6"/>
  <c r="Q1107" i="6"/>
  <c r="R1107" i="6"/>
  <c r="S1107" i="6"/>
  <c r="T1107" i="6"/>
  <c r="A1108" i="6"/>
  <c r="B1108" i="6"/>
  <c r="C1108" i="6"/>
  <c r="D1108" i="6"/>
  <c r="E1108" i="6"/>
  <c r="F1108" i="6"/>
  <c r="G1108" i="6"/>
  <c r="H1108" i="6"/>
  <c r="I1108" i="6"/>
  <c r="J1108" i="6"/>
  <c r="K1108" i="6"/>
  <c r="L1108" i="6"/>
  <c r="M1108" i="6"/>
  <c r="N1108" i="6"/>
  <c r="O1108" i="6"/>
  <c r="P1108" i="6"/>
  <c r="Q1108" i="6"/>
  <c r="R1108" i="6"/>
  <c r="S1108" i="6"/>
  <c r="T1108" i="6"/>
  <c r="A1109" i="6"/>
  <c r="B1109" i="6"/>
  <c r="C1109" i="6"/>
  <c r="D1109" i="6"/>
  <c r="E1109" i="6"/>
  <c r="F1109" i="6"/>
  <c r="G1109" i="6"/>
  <c r="H1109" i="6"/>
  <c r="I1109" i="6"/>
  <c r="J1109" i="6"/>
  <c r="K1109" i="6"/>
  <c r="L1109" i="6"/>
  <c r="M1109" i="6"/>
  <c r="N1109" i="6"/>
  <c r="O1109" i="6"/>
  <c r="P1109" i="6"/>
  <c r="Q1109" i="6"/>
  <c r="R1109" i="6"/>
  <c r="S1109" i="6"/>
  <c r="T1109" i="6"/>
  <c r="A1110" i="6"/>
  <c r="B1110" i="6"/>
  <c r="C1110" i="6"/>
  <c r="D1110" i="6"/>
  <c r="E1110" i="6"/>
  <c r="F1110" i="6"/>
  <c r="G1110" i="6"/>
  <c r="H1110" i="6"/>
  <c r="I1110" i="6"/>
  <c r="J1110" i="6"/>
  <c r="K1110" i="6"/>
  <c r="L1110" i="6"/>
  <c r="M1110" i="6"/>
  <c r="N1110" i="6"/>
  <c r="O1110" i="6"/>
  <c r="P1110" i="6"/>
  <c r="Q1110" i="6"/>
  <c r="R1110" i="6"/>
  <c r="S1110" i="6"/>
  <c r="T1110" i="6"/>
  <c r="A1111" i="6"/>
  <c r="B1111" i="6"/>
  <c r="C1111" i="6"/>
  <c r="D1111" i="6"/>
  <c r="E1111" i="6"/>
  <c r="F1111" i="6"/>
  <c r="G1111" i="6"/>
  <c r="H1111" i="6"/>
  <c r="I1111" i="6"/>
  <c r="J1111" i="6"/>
  <c r="K1111" i="6"/>
  <c r="L1111" i="6"/>
  <c r="M1111" i="6"/>
  <c r="N1111" i="6"/>
  <c r="O1111" i="6"/>
  <c r="P1111" i="6"/>
  <c r="Q1111" i="6"/>
  <c r="R1111" i="6"/>
  <c r="S1111" i="6"/>
  <c r="T1111" i="6"/>
  <c r="A1112" i="6"/>
  <c r="B1112" i="6"/>
  <c r="C1112" i="6"/>
  <c r="D1112" i="6"/>
  <c r="E1112" i="6"/>
  <c r="F1112" i="6"/>
  <c r="G1112" i="6"/>
  <c r="H1112" i="6"/>
  <c r="I1112" i="6"/>
  <c r="J1112" i="6"/>
  <c r="K1112" i="6"/>
  <c r="L1112" i="6"/>
  <c r="M1112" i="6"/>
  <c r="N1112" i="6"/>
  <c r="O1112" i="6"/>
  <c r="P1112" i="6"/>
  <c r="Q1112" i="6"/>
  <c r="R1112" i="6"/>
  <c r="S1112" i="6"/>
  <c r="T1112" i="6"/>
  <c r="A1113" i="6"/>
  <c r="B1113" i="6"/>
  <c r="C1113" i="6"/>
  <c r="D1113" i="6"/>
  <c r="E1113" i="6"/>
  <c r="F1113" i="6"/>
  <c r="G1113" i="6"/>
  <c r="H1113" i="6"/>
  <c r="I1113" i="6"/>
  <c r="J1113" i="6"/>
  <c r="K1113" i="6"/>
  <c r="L1113" i="6"/>
  <c r="M1113" i="6"/>
  <c r="N1113" i="6"/>
  <c r="O1113" i="6"/>
  <c r="P1113" i="6"/>
  <c r="Q1113" i="6"/>
  <c r="R1113" i="6"/>
  <c r="S1113" i="6"/>
  <c r="T1113" i="6"/>
  <c r="A1114" i="6"/>
  <c r="B1114" i="6"/>
  <c r="C1114" i="6"/>
  <c r="D1114" i="6"/>
  <c r="E1114" i="6"/>
  <c r="F1114" i="6"/>
  <c r="G1114" i="6"/>
  <c r="H1114" i="6"/>
  <c r="I1114" i="6"/>
  <c r="J1114" i="6"/>
  <c r="K1114" i="6"/>
  <c r="L1114" i="6"/>
  <c r="M1114" i="6"/>
  <c r="N1114" i="6"/>
  <c r="O1114" i="6"/>
  <c r="P1114" i="6"/>
  <c r="Q1114" i="6"/>
  <c r="R1114" i="6"/>
  <c r="S1114" i="6"/>
  <c r="T1114" i="6"/>
  <c r="A1115" i="6"/>
  <c r="B1115" i="6"/>
  <c r="C1115" i="6"/>
  <c r="D1115" i="6"/>
  <c r="E1115" i="6"/>
  <c r="F1115" i="6"/>
  <c r="G1115" i="6"/>
  <c r="H1115" i="6"/>
  <c r="I1115" i="6"/>
  <c r="J1115" i="6"/>
  <c r="K1115" i="6"/>
  <c r="L1115" i="6"/>
  <c r="M1115" i="6"/>
  <c r="N1115" i="6"/>
  <c r="O1115" i="6"/>
  <c r="P1115" i="6"/>
  <c r="Q1115" i="6"/>
  <c r="R1115" i="6"/>
  <c r="S1115" i="6"/>
  <c r="T1115" i="6"/>
  <c r="A1116" i="6"/>
  <c r="B1116" i="6"/>
  <c r="C1116" i="6"/>
  <c r="D1116" i="6"/>
  <c r="E1116" i="6"/>
  <c r="F1116" i="6"/>
  <c r="G1116" i="6"/>
  <c r="H1116" i="6"/>
  <c r="I1116" i="6"/>
  <c r="J1116" i="6"/>
  <c r="K1116" i="6"/>
  <c r="L1116" i="6"/>
  <c r="M1116" i="6"/>
  <c r="N1116" i="6"/>
  <c r="O1116" i="6"/>
  <c r="P1116" i="6"/>
  <c r="Q1116" i="6"/>
  <c r="R1116" i="6"/>
  <c r="S1116" i="6"/>
  <c r="T1116" i="6"/>
  <c r="A1117" i="6"/>
  <c r="B1117" i="6"/>
  <c r="C1117" i="6"/>
  <c r="D1117" i="6"/>
  <c r="E1117" i="6"/>
  <c r="F1117" i="6"/>
  <c r="G1117" i="6"/>
  <c r="H1117" i="6"/>
  <c r="I1117" i="6"/>
  <c r="J1117" i="6"/>
  <c r="K1117" i="6"/>
  <c r="L1117" i="6"/>
  <c r="M1117" i="6"/>
  <c r="N1117" i="6"/>
  <c r="O1117" i="6"/>
  <c r="P1117" i="6"/>
  <c r="Q1117" i="6"/>
  <c r="R1117" i="6"/>
  <c r="S1117" i="6"/>
  <c r="T1117" i="6"/>
  <c r="A1118" i="6"/>
  <c r="B1118" i="6"/>
  <c r="C1118" i="6"/>
  <c r="D1118" i="6"/>
  <c r="E1118" i="6"/>
  <c r="F1118" i="6"/>
  <c r="G1118" i="6"/>
  <c r="H1118" i="6"/>
  <c r="I1118" i="6"/>
  <c r="J1118" i="6"/>
  <c r="K1118" i="6"/>
  <c r="M1118" i="6"/>
  <c r="N1118" i="6"/>
  <c r="O1118" i="6"/>
  <c r="P1118" i="6"/>
  <c r="Q1118" i="6"/>
  <c r="R1118" i="6"/>
  <c r="S1118" i="6"/>
  <c r="T1118" i="6"/>
  <c r="A1119" i="6"/>
  <c r="B1119" i="6"/>
  <c r="C1119" i="6"/>
  <c r="D1119" i="6"/>
  <c r="E1119" i="6"/>
  <c r="F1119" i="6"/>
  <c r="G1119" i="6"/>
  <c r="H1119" i="6"/>
  <c r="I1119" i="6"/>
  <c r="J1119" i="6"/>
  <c r="K1119" i="6"/>
  <c r="M1119" i="6"/>
  <c r="N1119" i="6"/>
  <c r="O1119" i="6"/>
  <c r="P1119" i="6"/>
  <c r="Q1119" i="6"/>
  <c r="R1119" i="6"/>
  <c r="S1119" i="6"/>
  <c r="T1119" i="6"/>
  <c r="A1120" i="6"/>
  <c r="B1120" i="6"/>
  <c r="C1120" i="6"/>
  <c r="D1120" i="6"/>
  <c r="E1120" i="6"/>
  <c r="F1120" i="6"/>
  <c r="G1120" i="6"/>
  <c r="H1120" i="6"/>
  <c r="I1120" i="6"/>
  <c r="J1120" i="6"/>
  <c r="K1120" i="6"/>
  <c r="M1120" i="6"/>
  <c r="N1120" i="6"/>
  <c r="O1120" i="6"/>
  <c r="P1120" i="6"/>
  <c r="Q1120" i="6"/>
  <c r="R1120" i="6"/>
  <c r="S1120" i="6"/>
  <c r="T1120" i="6"/>
  <c r="A1121" i="6"/>
  <c r="B1121" i="6"/>
  <c r="C1121" i="6"/>
  <c r="D1121" i="6"/>
  <c r="E1121" i="6"/>
  <c r="F1121" i="6"/>
  <c r="G1121" i="6"/>
  <c r="H1121" i="6"/>
  <c r="I1121" i="6"/>
  <c r="J1121" i="6"/>
  <c r="K1121" i="6"/>
  <c r="M1121" i="6"/>
  <c r="N1121" i="6"/>
  <c r="O1121" i="6"/>
  <c r="P1121" i="6"/>
  <c r="Q1121" i="6"/>
  <c r="R1121" i="6"/>
  <c r="S1121" i="6"/>
  <c r="T1121" i="6"/>
  <c r="A1122" i="6"/>
  <c r="B1122" i="6"/>
  <c r="C1122" i="6"/>
  <c r="D1122" i="6"/>
  <c r="E1122" i="6"/>
  <c r="F1122" i="6"/>
  <c r="G1122" i="6"/>
  <c r="H1122" i="6"/>
  <c r="I1122" i="6"/>
  <c r="J1122" i="6"/>
  <c r="K1122" i="6"/>
  <c r="L1122" i="6"/>
  <c r="M1122" i="6"/>
  <c r="N1122" i="6"/>
  <c r="O1122" i="6"/>
  <c r="P1122" i="6"/>
  <c r="Q1122" i="6"/>
  <c r="R1122" i="6"/>
  <c r="S1122" i="6"/>
  <c r="T1122" i="6"/>
  <c r="A1123" i="6"/>
  <c r="B1123" i="6"/>
  <c r="C1123" i="6"/>
  <c r="D1123" i="6"/>
  <c r="E1123" i="6"/>
  <c r="F1123" i="6"/>
  <c r="G1123" i="6"/>
  <c r="H1123" i="6"/>
  <c r="I1123" i="6"/>
  <c r="J1123" i="6"/>
  <c r="K1123" i="6"/>
  <c r="L1123" i="6"/>
  <c r="M1123" i="6"/>
  <c r="N1123" i="6"/>
  <c r="O1123" i="6"/>
  <c r="P1123" i="6"/>
  <c r="Q1123" i="6"/>
  <c r="R1123" i="6"/>
  <c r="S1123" i="6"/>
  <c r="T1123" i="6"/>
  <c r="A1124" i="6"/>
  <c r="B1124" i="6"/>
  <c r="C1124" i="6"/>
  <c r="D1124" i="6"/>
  <c r="E1124" i="6"/>
  <c r="F1124" i="6"/>
  <c r="G1124" i="6"/>
  <c r="H1124" i="6"/>
  <c r="I1124" i="6"/>
  <c r="J1124" i="6"/>
  <c r="K1124" i="6"/>
  <c r="L1124" i="6"/>
  <c r="M1124" i="6"/>
  <c r="N1124" i="6"/>
  <c r="O1124" i="6"/>
  <c r="P1124" i="6"/>
  <c r="Q1124" i="6"/>
  <c r="R1124" i="6"/>
  <c r="S1124" i="6"/>
  <c r="T1124" i="6"/>
  <c r="A1125" i="6"/>
  <c r="B1125" i="6"/>
  <c r="C1125" i="6"/>
  <c r="D1125" i="6"/>
  <c r="E1125" i="6"/>
  <c r="F1125" i="6"/>
  <c r="G1125" i="6"/>
  <c r="H1125" i="6"/>
  <c r="I1125" i="6"/>
  <c r="J1125" i="6"/>
  <c r="K1125" i="6"/>
  <c r="L1125" i="6"/>
  <c r="M1125" i="6"/>
  <c r="N1125" i="6"/>
  <c r="O1125" i="6"/>
  <c r="P1125" i="6"/>
  <c r="Q1125" i="6"/>
  <c r="R1125" i="6"/>
  <c r="S1125" i="6"/>
  <c r="T1125" i="6"/>
  <c r="A1126" i="6"/>
  <c r="B1126" i="6"/>
  <c r="C1126" i="6"/>
  <c r="D1126" i="6"/>
  <c r="E1126" i="6"/>
  <c r="F1126" i="6"/>
  <c r="G1126" i="6"/>
  <c r="H1126" i="6"/>
  <c r="I1126" i="6"/>
  <c r="J1126" i="6"/>
  <c r="K1126" i="6"/>
  <c r="L1126" i="6"/>
  <c r="M1126" i="6"/>
  <c r="N1126" i="6"/>
  <c r="O1126" i="6"/>
  <c r="P1126" i="6"/>
  <c r="Q1126" i="6"/>
  <c r="R1126" i="6"/>
  <c r="S1126" i="6"/>
  <c r="T1126" i="6"/>
  <c r="A1127" i="6"/>
  <c r="B1127" i="6"/>
  <c r="C1127" i="6"/>
  <c r="D1127" i="6"/>
  <c r="E1127" i="6"/>
  <c r="F1127" i="6"/>
  <c r="G1127" i="6"/>
  <c r="H1127" i="6"/>
  <c r="I1127" i="6"/>
  <c r="J1127" i="6"/>
  <c r="K1127" i="6"/>
  <c r="L1127" i="6"/>
  <c r="M1127" i="6"/>
  <c r="N1127" i="6"/>
  <c r="O1127" i="6"/>
  <c r="P1127" i="6"/>
  <c r="Q1127" i="6"/>
  <c r="R1127" i="6"/>
  <c r="S1127" i="6"/>
  <c r="T1127" i="6"/>
  <c r="A1128" i="6"/>
  <c r="B1128" i="6"/>
  <c r="C1128" i="6"/>
  <c r="D1128" i="6"/>
  <c r="E1128" i="6"/>
  <c r="F1128" i="6"/>
  <c r="G1128" i="6"/>
  <c r="H1128" i="6"/>
  <c r="I1128" i="6"/>
  <c r="J1128" i="6"/>
  <c r="K1128" i="6"/>
  <c r="M1128" i="6"/>
  <c r="N1128" i="6"/>
  <c r="O1128" i="6"/>
  <c r="P1128" i="6"/>
  <c r="Q1128" i="6"/>
  <c r="R1128" i="6"/>
  <c r="S1128" i="6"/>
  <c r="T1128" i="6"/>
  <c r="A1129" i="6"/>
  <c r="B1129" i="6"/>
  <c r="C1129" i="6"/>
  <c r="D1129" i="6"/>
  <c r="E1129" i="6"/>
  <c r="F1129" i="6"/>
  <c r="G1129" i="6"/>
  <c r="H1129" i="6"/>
  <c r="I1129" i="6"/>
  <c r="J1129" i="6"/>
  <c r="K1129" i="6"/>
  <c r="M1129" i="6"/>
  <c r="N1129" i="6"/>
  <c r="O1129" i="6"/>
  <c r="P1129" i="6"/>
  <c r="Q1129" i="6"/>
  <c r="R1129" i="6"/>
  <c r="S1129" i="6"/>
  <c r="T1129" i="6"/>
  <c r="A1130" i="6"/>
  <c r="B1130" i="6"/>
  <c r="C1130" i="6"/>
  <c r="D1130" i="6"/>
  <c r="E1130" i="6"/>
  <c r="F1130" i="6"/>
  <c r="G1130" i="6"/>
  <c r="H1130" i="6"/>
  <c r="I1130" i="6"/>
  <c r="J1130" i="6"/>
  <c r="K1130" i="6"/>
  <c r="M1130" i="6"/>
  <c r="N1130" i="6"/>
  <c r="O1130" i="6"/>
  <c r="P1130" i="6"/>
  <c r="Q1130" i="6"/>
  <c r="R1130" i="6"/>
  <c r="S1130" i="6"/>
  <c r="T1130" i="6"/>
  <c r="A1131" i="6"/>
  <c r="B1131" i="6"/>
  <c r="C1131" i="6"/>
  <c r="D1131" i="6"/>
  <c r="E1131" i="6"/>
  <c r="F1131" i="6"/>
  <c r="G1131" i="6"/>
  <c r="H1131" i="6"/>
  <c r="I1131" i="6"/>
  <c r="J1131" i="6"/>
  <c r="K1131" i="6"/>
  <c r="L1131" i="6"/>
  <c r="M1131" i="6"/>
  <c r="N1131" i="6"/>
  <c r="O1131" i="6"/>
  <c r="P1131" i="6"/>
  <c r="Q1131" i="6"/>
  <c r="R1131" i="6"/>
  <c r="S1131" i="6"/>
  <c r="T1131" i="6"/>
  <c r="A1132" i="6"/>
  <c r="B1132" i="6"/>
  <c r="C1132" i="6"/>
  <c r="D1132" i="6"/>
  <c r="E1132" i="6"/>
  <c r="F1132" i="6"/>
  <c r="G1132" i="6"/>
  <c r="H1132" i="6"/>
  <c r="I1132" i="6"/>
  <c r="J1132" i="6"/>
  <c r="K1132" i="6"/>
  <c r="L1132" i="6"/>
  <c r="M1132" i="6"/>
  <c r="N1132" i="6"/>
  <c r="O1132" i="6"/>
  <c r="P1132" i="6"/>
  <c r="Q1132" i="6"/>
  <c r="R1132" i="6"/>
  <c r="S1132" i="6"/>
  <c r="T1132" i="6"/>
  <c r="A1133" i="6"/>
  <c r="B1133" i="6"/>
  <c r="C1133" i="6"/>
  <c r="D1133" i="6"/>
  <c r="E1133" i="6"/>
  <c r="F1133" i="6"/>
  <c r="G1133" i="6"/>
  <c r="H1133" i="6"/>
  <c r="I1133" i="6"/>
  <c r="J1133" i="6"/>
  <c r="K1133" i="6"/>
  <c r="L1133" i="6"/>
  <c r="M1133" i="6"/>
  <c r="N1133" i="6"/>
  <c r="O1133" i="6"/>
  <c r="P1133" i="6"/>
  <c r="Q1133" i="6"/>
  <c r="R1133" i="6"/>
  <c r="S1133" i="6"/>
  <c r="T1133" i="6"/>
  <c r="A1134" i="6"/>
  <c r="B1134" i="6"/>
  <c r="C1134" i="6"/>
  <c r="D1134" i="6"/>
  <c r="E1134" i="6"/>
  <c r="F1134" i="6"/>
  <c r="G1134" i="6"/>
  <c r="H1134" i="6"/>
  <c r="I1134" i="6"/>
  <c r="J1134" i="6"/>
  <c r="K1134" i="6"/>
  <c r="M1134" i="6"/>
  <c r="N1134" i="6"/>
  <c r="O1134" i="6"/>
  <c r="P1134" i="6"/>
  <c r="Q1134" i="6"/>
  <c r="R1134" i="6"/>
  <c r="S1134" i="6"/>
  <c r="T1134" i="6"/>
  <c r="A1135" i="6"/>
  <c r="B1135" i="6"/>
  <c r="C1135" i="6"/>
  <c r="D1135" i="6"/>
  <c r="E1135" i="6"/>
  <c r="F1135" i="6"/>
  <c r="G1135" i="6"/>
  <c r="H1135" i="6"/>
  <c r="I1135" i="6"/>
  <c r="J1135" i="6"/>
  <c r="K1135" i="6"/>
  <c r="L1135" i="6"/>
  <c r="M1135" i="6"/>
  <c r="N1135" i="6"/>
  <c r="O1135" i="6"/>
  <c r="P1135" i="6"/>
  <c r="Q1135" i="6"/>
  <c r="R1135" i="6"/>
  <c r="S1135" i="6"/>
  <c r="T1135" i="6"/>
  <c r="A1136" i="6"/>
  <c r="B1136" i="6"/>
  <c r="C1136" i="6"/>
  <c r="D1136" i="6"/>
  <c r="E1136" i="6"/>
  <c r="F1136" i="6"/>
  <c r="G1136" i="6"/>
  <c r="H1136" i="6"/>
  <c r="I1136" i="6"/>
  <c r="J1136" i="6"/>
  <c r="K1136" i="6"/>
  <c r="L1136" i="6"/>
  <c r="M1136" i="6"/>
  <c r="N1136" i="6"/>
  <c r="O1136" i="6"/>
  <c r="P1136" i="6"/>
  <c r="Q1136" i="6"/>
  <c r="R1136" i="6"/>
  <c r="S1136" i="6"/>
  <c r="T1136" i="6"/>
  <c r="A1137" i="6"/>
  <c r="B1137" i="6"/>
  <c r="C1137" i="6"/>
  <c r="D1137" i="6"/>
  <c r="E1137" i="6"/>
  <c r="F1137" i="6"/>
  <c r="G1137" i="6"/>
  <c r="H1137" i="6"/>
  <c r="I1137" i="6"/>
  <c r="J1137" i="6"/>
  <c r="K1137" i="6"/>
  <c r="L1137" i="6"/>
  <c r="M1137" i="6"/>
  <c r="N1137" i="6"/>
  <c r="O1137" i="6"/>
  <c r="P1137" i="6"/>
  <c r="Q1137" i="6"/>
  <c r="R1137" i="6"/>
  <c r="S1137" i="6"/>
  <c r="T1137" i="6"/>
  <c r="A1138" i="6"/>
  <c r="B1138" i="6"/>
  <c r="C1138" i="6"/>
  <c r="D1138" i="6"/>
  <c r="E1138" i="6"/>
  <c r="F1138" i="6"/>
  <c r="G1138" i="6"/>
  <c r="H1138" i="6"/>
  <c r="I1138" i="6"/>
  <c r="J1138" i="6"/>
  <c r="K1138" i="6"/>
  <c r="L1138" i="6"/>
  <c r="M1138" i="6"/>
  <c r="N1138" i="6"/>
  <c r="O1138" i="6"/>
  <c r="P1138" i="6"/>
  <c r="Q1138" i="6"/>
  <c r="R1138" i="6"/>
  <c r="S1138" i="6"/>
  <c r="T1138" i="6"/>
  <c r="A1139" i="6"/>
  <c r="B1139" i="6"/>
  <c r="C1139" i="6"/>
  <c r="D1139" i="6"/>
  <c r="E1139" i="6"/>
  <c r="F1139" i="6"/>
  <c r="G1139" i="6"/>
  <c r="H1139" i="6"/>
  <c r="I1139" i="6"/>
  <c r="J1139" i="6"/>
  <c r="K1139" i="6"/>
  <c r="L1139" i="6"/>
  <c r="M1139" i="6"/>
  <c r="N1139" i="6"/>
  <c r="O1139" i="6"/>
  <c r="P1139" i="6"/>
  <c r="Q1139" i="6"/>
  <c r="R1139" i="6"/>
  <c r="S1139" i="6"/>
  <c r="T1139" i="6"/>
  <c r="A1140" i="6"/>
  <c r="B1140" i="6"/>
  <c r="C1140" i="6"/>
  <c r="D1140" i="6"/>
  <c r="E1140" i="6"/>
  <c r="F1140" i="6"/>
  <c r="G1140" i="6"/>
  <c r="H1140" i="6"/>
  <c r="I1140" i="6"/>
  <c r="J1140" i="6"/>
  <c r="K1140" i="6"/>
  <c r="L1140" i="6"/>
  <c r="M1140" i="6"/>
  <c r="N1140" i="6"/>
  <c r="O1140" i="6"/>
  <c r="P1140" i="6"/>
  <c r="Q1140" i="6"/>
  <c r="R1140" i="6"/>
  <c r="S1140" i="6"/>
  <c r="T1140" i="6"/>
  <c r="A1141" i="6"/>
  <c r="B1141" i="6"/>
  <c r="C1141" i="6"/>
  <c r="D1141" i="6"/>
  <c r="E1141" i="6"/>
  <c r="F1141" i="6"/>
  <c r="G1141" i="6"/>
  <c r="H1141" i="6"/>
  <c r="I1141" i="6"/>
  <c r="J1141" i="6"/>
  <c r="K1141" i="6"/>
  <c r="L1141" i="6"/>
  <c r="M1141" i="6"/>
  <c r="N1141" i="6"/>
  <c r="O1141" i="6"/>
  <c r="P1141" i="6"/>
  <c r="Q1141" i="6"/>
  <c r="R1141" i="6"/>
  <c r="S1141" i="6"/>
  <c r="T1141" i="6"/>
  <c r="A1142" i="6"/>
  <c r="B1142" i="6"/>
  <c r="C1142" i="6"/>
  <c r="D1142" i="6"/>
  <c r="E1142" i="6"/>
  <c r="F1142" i="6"/>
  <c r="G1142" i="6"/>
  <c r="H1142" i="6"/>
  <c r="I1142" i="6"/>
  <c r="J1142" i="6"/>
  <c r="K1142" i="6"/>
  <c r="M1142" i="6"/>
  <c r="N1142" i="6"/>
  <c r="O1142" i="6"/>
  <c r="P1142" i="6"/>
  <c r="Q1142" i="6"/>
  <c r="R1142" i="6"/>
  <c r="S1142" i="6"/>
  <c r="T1142" i="6"/>
  <c r="A1143" i="6"/>
  <c r="B1143" i="6"/>
  <c r="C1143" i="6"/>
  <c r="D1143" i="6"/>
  <c r="E1143" i="6"/>
  <c r="F1143" i="6"/>
  <c r="G1143" i="6"/>
  <c r="H1143" i="6"/>
  <c r="I1143" i="6"/>
  <c r="J1143" i="6"/>
  <c r="K1143" i="6"/>
  <c r="M1143" i="6"/>
  <c r="N1143" i="6"/>
  <c r="O1143" i="6"/>
  <c r="P1143" i="6"/>
  <c r="Q1143" i="6"/>
  <c r="R1143" i="6"/>
  <c r="S1143" i="6"/>
  <c r="T1143" i="6"/>
  <c r="A1144" i="6"/>
  <c r="B1144" i="6"/>
  <c r="C1144" i="6"/>
  <c r="D1144" i="6"/>
  <c r="E1144" i="6"/>
  <c r="F1144" i="6"/>
  <c r="G1144" i="6"/>
  <c r="H1144" i="6"/>
  <c r="I1144" i="6"/>
  <c r="J1144" i="6"/>
  <c r="K1144" i="6"/>
  <c r="M1144" i="6"/>
  <c r="N1144" i="6"/>
  <c r="O1144" i="6"/>
  <c r="P1144" i="6"/>
  <c r="R1144" i="6"/>
  <c r="T1144" i="6"/>
  <c r="A1145" i="6"/>
  <c r="B1145" i="6"/>
  <c r="C1145" i="6"/>
  <c r="D1145" i="6"/>
  <c r="E1145" i="6"/>
  <c r="F1145" i="6"/>
  <c r="G1145" i="6"/>
  <c r="H1145" i="6"/>
  <c r="I1145" i="6"/>
  <c r="J1145" i="6"/>
  <c r="K1145" i="6"/>
  <c r="M1145" i="6"/>
  <c r="N1145" i="6"/>
  <c r="O1145" i="6"/>
  <c r="P1145" i="6"/>
  <c r="R1145" i="6"/>
  <c r="T1145" i="6"/>
  <c r="A1146" i="6"/>
  <c r="B1146" i="6"/>
  <c r="C1146" i="6"/>
  <c r="D1146" i="6"/>
  <c r="E1146" i="6"/>
  <c r="F1146" i="6"/>
  <c r="G1146" i="6"/>
  <c r="H1146" i="6"/>
  <c r="I1146" i="6"/>
  <c r="J1146" i="6"/>
  <c r="K1146" i="6"/>
  <c r="M1146" i="6"/>
  <c r="N1146" i="6"/>
  <c r="O1146" i="6"/>
  <c r="P1146" i="6"/>
  <c r="R1146" i="6"/>
  <c r="T1146" i="6"/>
  <c r="A1147" i="6"/>
  <c r="B1147" i="6"/>
  <c r="C1147" i="6"/>
  <c r="D1147" i="6"/>
  <c r="E1147" i="6"/>
  <c r="F1147" i="6"/>
  <c r="G1147" i="6"/>
  <c r="H1147" i="6"/>
  <c r="I1147" i="6"/>
  <c r="J1147" i="6"/>
  <c r="K1147" i="6"/>
  <c r="M1147" i="6"/>
  <c r="N1147" i="6"/>
  <c r="O1147" i="6"/>
  <c r="P1147" i="6"/>
  <c r="R1147" i="6"/>
  <c r="T1147" i="6"/>
  <c r="A1148" i="6"/>
  <c r="B1148" i="6"/>
  <c r="C1148" i="6"/>
  <c r="D1148" i="6"/>
  <c r="E1148" i="6"/>
  <c r="F1148" i="6"/>
  <c r="G1148" i="6"/>
  <c r="H1148" i="6"/>
  <c r="I1148" i="6"/>
  <c r="J1148" i="6"/>
  <c r="K1148" i="6"/>
  <c r="M1148" i="6"/>
  <c r="N1148" i="6"/>
  <c r="O1148" i="6"/>
  <c r="P1148" i="6"/>
  <c r="R1148" i="6"/>
  <c r="T1148" i="6"/>
  <c r="A1149" i="6"/>
  <c r="B1149" i="6"/>
  <c r="C1149" i="6"/>
  <c r="D1149" i="6"/>
  <c r="E1149" i="6"/>
  <c r="F1149" i="6"/>
  <c r="G1149" i="6"/>
  <c r="H1149" i="6"/>
  <c r="I1149" i="6"/>
  <c r="J1149" i="6"/>
  <c r="K1149" i="6"/>
  <c r="M1149" i="6"/>
  <c r="N1149" i="6"/>
  <c r="O1149" i="6"/>
  <c r="P1149" i="6"/>
  <c r="R1149" i="6"/>
  <c r="T1149" i="6"/>
  <c r="A1150" i="6"/>
  <c r="B1150" i="6"/>
  <c r="C1150" i="6"/>
  <c r="D1150" i="6"/>
  <c r="E1150" i="6"/>
  <c r="F1150" i="6"/>
  <c r="G1150" i="6"/>
  <c r="H1150" i="6"/>
  <c r="I1150" i="6"/>
  <c r="J1150" i="6"/>
  <c r="K1150" i="6"/>
  <c r="M1150" i="6"/>
  <c r="N1150" i="6"/>
  <c r="O1150" i="6"/>
  <c r="P1150" i="6"/>
  <c r="R1150" i="6"/>
  <c r="T1150" i="6"/>
  <c r="A1151" i="6"/>
  <c r="B1151" i="6"/>
  <c r="C1151" i="6"/>
  <c r="D1151" i="6"/>
  <c r="E1151" i="6"/>
  <c r="F1151" i="6"/>
  <c r="G1151" i="6"/>
  <c r="H1151" i="6"/>
  <c r="I1151" i="6"/>
  <c r="J1151" i="6"/>
  <c r="K1151" i="6"/>
  <c r="M1151" i="6"/>
  <c r="N1151" i="6"/>
  <c r="O1151" i="6"/>
  <c r="P1151" i="6"/>
  <c r="R1151" i="6"/>
  <c r="T1151" i="6"/>
  <c r="A1152" i="6"/>
  <c r="B1152" i="6"/>
  <c r="C1152" i="6"/>
  <c r="D1152" i="6"/>
  <c r="E1152" i="6"/>
  <c r="F1152" i="6"/>
  <c r="G1152" i="6"/>
  <c r="H1152" i="6"/>
  <c r="I1152" i="6"/>
  <c r="J1152" i="6"/>
  <c r="K1152" i="6"/>
  <c r="M1152" i="6"/>
  <c r="N1152" i="6"/>
  <c r="O1152" i="6"/>
  <c r="P1152" i="6"/>
  <c r="R1152" i="6"/>
  <c r="T1152" i="6"/>
  <c r="A1153" i="6"/>
  <c r="B1153" i="6"/>
  <c r="C1153" i="6"/>
  <c r="D1153" i="6"/>
  <c r="E1153" i="6"/>
  <c r="F1153" i="6"/>
  <c r="G1153" i="6"/>
  <c r="H1153" i="6"/>
  <c r="I1153" i="6"/>
  <c r="J1153" i="6"/>
  <c r="K1153" i="6"/>
  <c r="M1153" i="6"/>
  <c r="N1153" i="6"/>
  <c r="O1153" i="6"/>
  <c r="P1153" i="6"/>
  <c r="R1153" i="6"/>
  <c r="T1153" i="6"/>
  <c r="A1154" i="6"/>
  <c r="B1154" i="6"/>
  <c r="C1154" i="6"/>
  <c r="D1154" i="6"/>
  <c r="E1154" i="6"/>
  <c r="F1154" i="6"/>
  <c r="G1154" i="6"/>
  <c r="H1154" i="6"/>
  <c r="I1154" i="6"/>
  <c r="J1154" i="6"/>
  <c r="K1154" i="6"/>
  <c r="M1154" i="6"/>
  <c r="N1154" i="6"/>
  <c r="O1154" i="6"/>
  <c r="P1154" i="6"/>
  <c r="R1154" i="6"/>
  <c r="T1154" i="6"/>
  <c r="A1155" i="6"/>
  <c r="B1155" i="6"/>
  <c r="C1155" i="6"/>
  <c r="D1155" i="6"/>
  <c r="E1155" i="6"/>
  <c r="F1155" i="6"/>
  <c r="G1155" i="6"/>
  <c r="H1155" i="6"/>
  <c r="I1155" i="6"/>
  <c r="J1155" i="6"/>
  <c r="K1155" i="6"/>
  <c r="M1155" i="6"/>
  <c r="N1155" i="6"/>
  <c r="O1155" i="6"/>
  <c r="P1155" i="6"/>
  <c r="R1155" i="6"/>
  <c r="T1155" i="6"/>
  <c r="A1156" i="6"/>
  <c r="B1156" i="6"/>
  <c r="C1156" i="6"/>
  <c r="D1156" i="6"/>
  <c r="E1156" i="6"/>
  <c r="F1156" i="6"/>
  <c r="G1156" i="6"/>
  <c r="H1156" i="6"/>
  <c r="I1156" i="6"/>
  <c r="J1156" i="6"/>
  <c r="K1156" i="6"/>
  <c r="M1156" i="6"/>
  <c r="N1156" i="6"/>
  <c r="O1156" i="6"/>
  <c r="P1156" i="6"/>
  <c r="R1156" i="6"/>
  <c r="T1156" i="6"/>
  <c r="C9" i="5"/>
  <c r="B17" i="5"/>
  <c r="C17" i="5"/>
  <c r="D17" i="5"/>
  <c r="E17" i="5"/>
  <c r="F17" i="5"/>
  <c r="G17" i="5"/>
  <c r="H17" i="5"/>
  <c r="I17" i="5"/>
  <c r="J17" i="5"/>
  <c r="L17" i="5"/>
  <c r="M17" i="5"/>
  <c r="AC17" i="5" s="1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B18" i="5"/>
  <c r="C18" i="5"/>
  <c r="D18" i="5"/>
  <c r="E18" i="5"/>
  <c r="F18" i="5"/>
  <c r="G18" i="5"/>
  <c r="H18" i="5"/>
  <c r="I18" i="5"/>
  <c r="J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B19" i="5"/>
  <c r="C19" i="5"/>
  <c r="D19" i="5"/>
  <c r="E19" i="5"/>
  <c r="F19" i="5"/>
  <c r="G19" i="5"/>
  <c r="H19" i="5"/>
  <c r="I19" i="5"/>
  <c r="J19" i="5"/>
  <c r="L19" i="5"/>
  <c r="M19" i="5"/>
  <c r="N19" i="5"/>
  <c r="AC19" i="5" s="1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B20" i="5"/>
  <c r="C20" i="5"/>
  <c r="D20" i="5"/>
  <c r="E20" i="5"/>
  <c r="F20" i="5"/>
  <c r="G20" i="5"/>
  <c r="H20" i="5"/>
  <c r="I20" i="5"/>
  <c r="J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B21" i="5"/>
  <c r="C21" i="5"/>
  <c r="D21" i="5"/>
  <c r="E21" i="5"/>
  <c r="F21" i="5"/>
  <c r="G21" i="5"/>
  <c r="H21" i="5"/>
  <c r="I21" i="5"/>
  <c r="J21" i="5"/>
  <c r="L21" i="5"/>
  <c r="M21" i="5"/>
  <c r="N21" i="5"/>
  <c r="AC21" i="5" s="1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B22" i="5"/>
  <c r="C22" i="5"/>
  <c r="D22" i="5"/>
  <c r="E22" i="5"/>
  <c r="F22" i="5"/>
  <c r="G22" i="5"/>
  <c r="H22" i="5"/>
  <c r="I22" i="5"/>
  <c r="J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B23" i="5"/>
  <c r="C23" i="5"/>
  <c r="D23" i="5"/>
  <c r="E23" i="5"/>
  <c r="AB23" i="5" s="1"/>
  <c r="F23" i="5"/>
  <c r="G23" i="5"/>
  <c r="H23" i="5"/>
  <c r="I23" i="5"/>
  <c r="J23" i="5"/>
  <c r="L23" i="5"/>
  <c r="M23" i="5"/>
  <c r="N23" i="5"/>
  <c r="O23" i="5"/>
  <c r="P23" i="5"/>
  <c r="Q23" i="5"/>
  <c r="R23" i="5"/>
  <c r="S23" i="5"/>
  <c r="T23" i="5"/>
  <c r="U23" i="5"/>
  <c r="V23" i="5"/>
  <c r="W23" i="5"/>
  <c r="Y23" i="5"/>
  <c r="Z23" i="5"/>
  <c r="AA23" i="5"/>
  <c r="B24" i="5"/>
  <c r="C24" i="5"/>
  <c r="D24" i="5"/>
  <c r="AB24" i="5" s="1"/>
  <c r="E24" i="5"/>
  <c r="F24" i="5"/>
  <c r="G24" i="5"/>
  <c r="H24" i="5"/>
  <c r="I24" i="5"/>
  <c r="J24" i="5"/>
  <c r="L24" i="5"/>
  <c r="M24" i="5"/>
  <c r="AC24" i="5" s="1"/>
  <c r="N24" i="5"/>
  <c r="O24" i="5"/>
  <c r="P24" i="5"/>
  <c r="Q24" i="5"/>
  <c r="R24" i="5"/>
  <c r="S24" i="5"/>
  <c r="T24" i="5"/>
  <c r="U24" i="5"/>
  <c r="V24" i="5"/>
  <c r="W24" i="5"/>
  <c r="Y24" i="5"/>
  <c r="Z24" i="5"/>
  <c r="AA24" i="5"/>
  <c r="B25" i="5"/>
  <c r="C25" i="5"/>
  <c r="AB25" i="5" s="1"/>
  <c r="D25" i="5"/>
  <c r="E25" i="5"/>
  <c r="F25" i="5"/>
  <c r="G25" i="5"/>
  <c r="H25" i="5"/>
  <c r="I25" i="5"/>
  <c r="J25" i="5"/>
  <c r="L25" i="5"/>
  <c r="M25" i="5"/>
  <c r="N25" i="5"/>
  <c r="O25" i="5"/>
  <c r="P25" i="5"/>
  <c r="Q25" i="5"/>
  <c r="R25" i="5"/>
  <c r="S25" i="5"/>
  <c r="T25" i="5"/>
  <c r="U25" i="5"/>
  <c r="V25" i="5"/>
  <c r="W25" i="5"/>
  <c r="Y25" i="5"/>
  <c r="Z25" i="5"/>
  <c r="AA25" i="5"/>
  <c r="B26" i="5"/>
  <c r="C26" i="5"/>
  <c r="D26" i="5"/>
  <c r="E26" i="5"/>
  <c r="F26" i="5"/>
  <c r="G26" i="5"/>
  <c r="H26" i="5"/>
  <c r="I26" i="5"/>
  <c r="J26" i="5"/>
  <c r="L26" i="5"/>
  <c r="M26" i="5"/>
  <c r="N26" i="5"/>
  <c r="O26" i="5"/>
  <c r="P26" i="5"/>
  <c r="Q26" i="5"/>
  <c r="R26" i="5"/>
  <c r="S26" i="5"/>
  <c r="T26" i="5"/>
  <c r="U26" i="5"/>
  <c r="V26" i="5"/>
  <c r="W26" i="5"/>
  <c r="Y26" i="5"/>
  <c r="Z26" i="5"/>
  <c r="AA26" i="5"/>
  <c r="AB26" i="5"/>
  <c r="B27" i="5"/>
  <c r="C27" i="5"/>
  <c r="D27" i="5"/>
  <c r="E27" i="5"/>
  <c r="AB27" i="5" s="1"/>
  <c r="F27" i="5"/>
  <c r="G27" i="5"/>
  <c r="H27" i="5"/>
  <c r="I27" i="5"/>
  <c r="J27" i="5"/>
  <c r="L27" i="5"/>
  <c r="M27" i="5"/>
  <c r="N27" i="5"/>
  <c r="O27" i="5"/>
  <c r="P27" i="5"/>
  <c r="Q27" i="5"/>
  <c r="R27" i="5"/>
  <c r="S27" i="5"/>
  <c r="T27" i="5"/>
  <c r="U27" i="5"/>
  <c r="V27" i="5"/>
  <c r="W27" i="5"/>
  <c r="Y27" i="5"/>
  <c r="Z27" i="5"/>
  <c r="AA27" i="5"/>
  <c r="B28" i="5"/>
  <c r="C28" i="5"/>
  <c r="D28" i="5"/>
  <c r="AB28" i="5" s="1"/>
  <c r="E28" i="5"/>
  <c r="F28" i="5"/>
  <c r="G28" i="5"/>
  <c r="H28" i="5"/>
  <c r="I28" i="5"/>
  <c r="J28" i="5"/>
  <c r="L28" i="5"/>
  <c r="M28" i="5"/>
  <c r="AC28" i="5" s="1"/>
  <c r="N28" i="5"/>
  <c r="O28" i="5"/>
  <c r="P28" i="5"/>
  <c r="Q28" i="5"/>
  <c r="R28" i="5"/>
  <c r="S28" i="5"/>
  <c r="T28" i="5"/>
  <c r="U28" i="5"/>
  <c r="V28" i="5"/>
  <c r="W28" i="5"/>
  <c r="X28" i="5"/>
  <c r="Z28" i="5"/>
  <c r="AA28" i="5"/>
  <c r="B29" i="5"/>
  <c r="C29" i="5"/>
  <c r="AB29" i="5" s="1"/>
  <c r="D29" i="5"/>
  <c r="E29" i="5"/>
  <c r="F29" i="5"/>
  <c r="G29" i="5"/>
  <c r="H29" i="5"/>
  <c r="I29" i="5"/>
  <c r="J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Z29" i="5"/>
  <c r="AA29" i="5"/>
  <c r="B30" i="5"/>
  <c r="C30" i="5"/>
  <c r="D30" i="5"/>
  <c r="E30" i="5"/>
  <c r="F30" i="5"/>
  <c r="G30" i="5"/>
  <c r="H30" i="5"/>
  <c r="I30" i="5"/>
  <c r="J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Z30" i="5"/>
  <c r="AA30" i="5"/>
  <c r="AB30" i="5"/>
  <c r="B31" i="5"/>
  <c r="C31" i="5"/>
  <c r="D31" i="5"/>
  <c r="E31" i="5"/>
  <c r="AB31" i="5" s="1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Z31" i="5"/>
  <c r="AA31" i="5"/>
  <c r="B32" i="5"/>
  <c r="C32" i="5"/>
  <c r="D32" i="5"/>
  <c r="AB32" i="5" s="1"/>
  <c r="E32" i="5"/>
  <c r="F32" i="5"/>
  <c r="G32" i="5"/>
  <c r="H32" i="5"/>
  <c r="I32" i="5"/>
  <c r="J32" i="5"/>
  <c r="L32" i="5"/>
  <c r="M32" i="5"/>
  <c r="AC32" i="5" s="1"/>
  <c r="N32" i="5"/>
  <c r="O32" i="5"/>
  <c r="P32" i="5"/>
  <c r="Q32" i="5"/>
  <c r="R32" i="5"/>
  <c r="S32" i="5"/>
  <c r="T32" i="5"/>
  <c r="U32" i="5"/>
  <c r="V32" i="5"/>
  <c r="W32" i="5"/>
  <c r="X32" i="5"/>
  <c r="Z32" i="5"/>
  <c r="AA32" i="5"/>
  <c r="B33" i="5"/>
  <c r="C33" i="5"/>
  <c r="AB33" i="5" s="1"/>
  <c r="D33" i="5"/>
  <c r="E33" i="5"/>
  <c r="F33" i="5"/>
  <c r="G33" i="5"/>
  <c r="H33" i="5"/>
  <c r="I33" i="5"/>
  <c r="J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Z33" i="5"/>
  <c r="AA33" i="5"/>
  <c r="B34" i="5"/>
  <c r="C34" i="5"/>
  <c r="D34" i="5"/>
  <c r="E34" i="5"/>
  <c r="F34" i="5"/>
  <c r="G34" i="5"/>
  <c r="H34" i="5"/>
  <c r="I34" i="5"/>
  <c r="J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Z34" i="5"/>
  <c r="AA34" i="5"/>
  <c r="AB34" i="5"/>
  <c r="B35" i="5"/>
  <c r="C35" i="5"/>
  <c r="D35" i="5"/>
  <c r="E35" i="5"/>
  <c r="F35" i="5"/>
  <c r="G35" i="5"/>
  <c r="H35" i="5"/>
  <c r="I35" i="5"/>
  <c r="J35" i="5"/>
  <c r="L35" i="5"/>
  <c r="M35" i="5"/>
  <c r="N35" i="5"/>
  <c r="O35" i="5"/>
  <c r="P35" i="5"/>
  <c r="Q35" i="5"/>
  <c r="R35" i="5"/>
  <c r="S35" i="5"/>
  <c r="T35" i="5"/>
  <c r="U35" i="5"/>
  <c r="V35" i="5"/>
  <c r="W35" i="5"/>
  <c r="Z35" i="5"/>
  <c r="AA35" i="5"/>
  <c r="AC35" i="5"/>
  <c r="B36" i="5"/>
  <c r="C36" i="5"/>
  <c r="D36" i="5"/>
  <c r="E36" i="5"/>
  <c r="F36" i="5"/>
  <c r="G36" i="5"/>
  <c r="H36" i="5"/>
  <c r="I36" i="5"/>
  <c r="J36" i="5"/>
  <c r="L36" i="5"/>
  <c r="M36" i="5"/>
  <c r="N36" i="5"/>
  <c r="AC36" i="5" s="1"/>
  <c r="O36" i="5"/>
  <c r="P36" i="5"/>
  <c r="Q36" i="5"/>
  <c r="R36" i="5"/>
  <c r="S36" i="5"/>
  <c r="T36" i="5"/>
  <c r="U36" i="5"/>
  <c r="V36" i="5"/>
  <c r="W36" i="5"/>
  <c r="Z36" i="5"/>
  <c r="AA36" i="5"/>
  <c r="AB36" i="5"/>
  <c r="B37" i="5"/>
  <c r="C37" i="5"/>
  <c r="D37" i="5"/>
  <c r="E37" i="5"/>
  <c r="F37" i="5"/>
  <c r="G37" i="5"/>
  <c r="H37" i="5"/>
  <c r="I37" i="5"/>
  <c r="J37" i="5"/>
  <c r="L37" i="5"/>
  <c r="M37" i="5"/>
  <c r="N37" i="5"/>
  <c r="O37" i="5"/>
  <c r="P37" i="5"/>
  <c r="Q37" i="5"/>
  <c r="R37" i="5"/>
  <c r="S37" i="5"/>
  <c r="T37" i="5"/>
  <c r="U37" i="5"/>
  <c r="V37" i="5"/>
  <c r="W37" i="5"/>
  <c r="Z37" i="5"/>
  <c r="AA37" i="5"/>
  <c r="AC37" i="5"/>
  <c r="B38" i="5"/>
  <c r="C38" i="5"/>
  <c r="D38" i="5"/>
  <c r="E38" i="5"/>
  <c r="F38" i="5"/>
  <c r="G38" i="5"/>
  <c r="H38" i="5"/>
  <c r="I38" i="5"/>
  <c r="J38" i="5"/>
  <c r="L38" i="5"/>
  <c r="M38" i="5"/>
  <c r="N38" i="5"/>
  <c r="AC38" i="5" s="1"/>
  <c r="O38" i="5"/>
  <c r="P38" i="5"/>
  <c r="Q38" i="5"/>
  <c r="R38" i="5"/>
  <c r="S38" i="5"/>
  <c r="T38" i="5"/>
  <c r="U38" i="5"/>
  <c r="V38" i="5"/>
  <c r="W38" i="5"/>
  <c r="Z38" i="5"/>
  <c r="AA38" i="5"/>
  <c r="AB38" i="5"/>
  <c r="B39" i="5"/>
  <c r="C39" i="5"/>
  <c r="D39" i="5"/>
  <c r="E39" i="5"/>
  <c r="F39" i="5"/>
  <c r="G39" i="5"/>
  <c r="H39" i="5"/>
  <c r="I39" i="5"/>
  <c r="J39" i="5"/>
  <c r="L39" i="5"/>
  <c r="M39" i="5"/>
  <c r="N39" i="5"/>
  <c r="O39" i="5"/>
  <c r="P39" i="5"/>
  <c r="Q39" i="5"/>
  <c r="R39" i="5"/>
  <c r="S39" i="5"/>
  <c r="T39" i="5"/>
  <c r="U39" i="5"/>
  <c r="V39" i="5"/>
  <c r="W39" i="5"/>
  <c r="Z39" i="5"/>
  <c r="AA39" i="5"/>
  <c r="AC39" i="5"/>
  <c r="B40" i="5"/>
  <c r="C40" i="5"/>
  <c r="D40" i="5"/>
  <c r="E40" i="5"/>
  <c r="F40" i="5"/>
  <c r="G40" i="5"/>
  <c r="H40" i="5"/>
  <c r="I40" i="5"/>
  <c r="J40" i="5"/>
  <c r="L40" i="5"/>
  <c r="M40" i="5"/>
  <c r="N40" i="5"/>
  <c r="AC40" i="5" s="1"/>
  <c r="O40" i="5"/>
  <c r="P40" i="5"/>
  <c r="Q40" i="5"/>
  <c r="R40" i="5"/>
  <c r="S40" i="5"/>
  <c r="T40" i="5"/>
  <c r="U40" i="5"/>
  <c r="V40" i="5"/>
  <c r="W40" i="5"/>
  <c r="X40" i="5"/>
  <c r="Z40" i="5"/>
  <c r="AA40" i="5"/>
  <c r="B41" i="5"/>
  <c r="C41" i="5"/>
  <c r="D41" i="5"/>
  <c r="E41" i="5"/>
  <c r="F41" i="5"/>
  <c r="G41" i="5"/>
  <c r="H41" i="5"/>
  <c r="I41" i="5"/>
  <c r="J41" i="5"/>
  <c r="L41" i="5"/>
  <c r="M41" i="5"/>
  <c r="AC41" i="5" s="1"/>
  <c r="N41" i="5"/>
  <c r="O41" i="5"/>
  <c r="P41" i="5"/>
  <c r="Q41" i="5"/>
  <c r="R41" i="5"/>
  <c r="S41" i="5"/>
  <c r="T41" i="5"/>
  <c r="U41" i="5"/>
  <c r="V41" i="5"/>
  <c r="W41" i="5"/>
  <c r="X41" i="5"/>
  <c r="Z41" i="5"/>
  <c r="AA41" i="5"/>
  <c r="B42" i="5"/>
  <c r="C42" i="5"/>
  <c r="D42" i="5"/>
  <c r="E42" i="5"/>
  <c r="F42" i="5"/>
  <c r="G42" i="5"/>
  <c r="H42" i="5"/>
  <c r="I42" i="5"/>
  <c r="J42" i="5"/>
  <c r="L42" i="5"/>
  <c r="M42" i="5"/>
  <c r="AC42" i="5" s="1"/>
  <c r="N42" i="5"/>
  <c r="O42" i="5"/>
  <c r="P42" i="5"/>
  <c r="Q42" i="5"/>
  <c r="R42" i="5"/>
  <c r="S42" i="5"/>
  <c r="T42" i="5"/>
  <c r="U42" i="5"/>
  <c r="V42" i="5"/>
  <c r="W42" i="5"/>
  <c r="X42" i="5"/>
  <c r="Z42" i="5"/>
  <c r="AA42" i="5"/>
  <c r="B43" i="5"/>
  <c r="C43" i="5"/>
  <c r="D43" i="5"/>
  <c r="E43" i="5"/>
  <c r="F43" i="5"/>
  <c r="G43" i="5"/>
  <c r="H43" i="5"/>
  <c r="I43" i="5"/>
  <c r="J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Z43" i="5"/>
  <c r="AA43" i="5"/>
  <c r="AC43" i="5"/>
  <c r="B44" i="5"/>
  <c r="C44" i="5"/>
  <c r="D44" i="5"/>
  <c r="E44" i="5"/>
  <c r="F44" i="5"/>
  <c r="G44" i="5"/>
  <c r="H44" i="5"/>
  <c r="I44" i="5"/>
  <c r="J44" i="5"/>
  <c r="L44" i="5"/>
  <c r="M44" i="5"/>
  <c r="N44" i="5"/>
  <c r="AC44" i="5" s="1"/>
  <c r="O44" i="5"/>
  <c r="P44" i="5"/>
  <c r="Q44" i="5"/>
  <c r="R44" i="5"/>
  <c r="S44" i="5"/>
  <c r="T44" i="5"/>
  <c r="U44" i="5"/>
  <c r="V44" i="5"/>
  <c r="W44" i="5"/>
  <c r="X44" i="5"/>
  <c r="Z44" i="5"/>
  <c r="AA44" i="5"/>
  <c r="B45" i="5"/>
  <c r="C45" i="5"/>
  <c r="D45" i="5"/>
  <c r="E45" i="5"/>
  <c r="F45" i="5"/>
  <c r="G45" i="5"/>
  <c r="H45" i="5"/>
  <c r="I45" i="5"/>
  <c r="J45" i="5"/>
  <c r="L45" i="5"/>
  <c r="M45" i="5"/>
  <c r="AC45" i="5" s="1"/>
  <c r="N45" i="5"/>
  <c r="O45" i="5"/>
  <c r="P45" i="5"/>
  <c r="Q45" i="5"/>
  <c r="R45" i="5"/>
  <c r="S45" i="5"/>
  <c r="T45" i="5"/>
  <c r="U45" i="5"/>
  <c r="V45" i="5"/>
  <c r="W45" i="5"/>
  <c r="X45" i="5"/>
  <c r="Z45" i="5"/>
  <c r="AA45" i="5"/>
  <c r="B46" i="5"/>
  <c r="C46" i="5"/>
  <c r="D46" i="5"/>
  <c r="E46" i="5"/>
  <c r="F46" i="5"/>
  <c r="G46" i="5"/>
  <c r="H46" i="5"/>
  <c r="I46" i="5"/>
  <c r="J46" i="5"/>
  <c r="L46" i="5"/>
  <c r="M46" i="5"/>
  <c r="N46" i="5"/>
  <c r="O46" i="5"/>
  <c r="P46" i="5"/>
  <c r="AC46" i="5" s="1"/>
  <c r="Q46" i="5"/>
  <c r="R46" i="5"/>
  <c r="S46" i="5"/>
  <c r="T46" i="5"/>
  <c r="U46" i="5"/>
  <c r="V46" i="5"/>
  <c r="W46" i="5"/>
  <c r="X46" i="5"/>
  <c r="Z46" i="5"/>
  <c r="AA46" i="5"/>
  <c r="B47" i="5"/>
  <c r="C47" i="5"/>
  <c r="D47" i="5"/>
  <c r="E47" i="5"/>
  <c r="F47" i="5"/>
  <c r="G47" i="5"/>
  <c r="H47" i="5"/>
  <c r="I47" i="5"/>
  <c r="J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Z47" i="5"/>
  <c r="AA47" i="5"/>
  <c r="AC47" i="5"/>
  <c r="B48" i="5"/>
  <c r="C48" i="5"/>
  <c r="D48" i="5"/>
  <c r="E48" i="5"/>
  <c r="F48" i="5"/>
  <c r="G48" i="5"/>
  <c r="H48" i="5"/>
  <c r="I48" i="5"/>
  <c r="J48" i="5"/>
  <c r="L48" i="5"/>
  <c r="M48" i="5"/>
  <c r="N48" i="5"/>
  <c r="AC48" i="5" s="1"/>
  <c r="O48" i="5"/>
  <c r="P48" i="5"/>
  <c r="Q48" i="5"/>
  <c r="R48" i="5"/>
  <c r="S48" i="5"/>
  <c r="T48" i="5"/>
  <c r="U48" i="5"/>
  <c r="V48" i="5"/>
  <c r="W48" i="5"/>
  <c r="X48" i="5"/>
  <c r="Z48" i="5"/>
  <c r="AA48" i="5"/>
  <c r="B49" i="5"/>
  <c r="C49" i="5"/>
  <c r="D49" i="5"/>
  <c r="E49" i="5"/>
  <c r="F49" i="5"/>
  <c r="G49" i="5"/>
  <c r="H49" i="5"/>
  <c r="I49" i="5"/>
  <c r="J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AC49" i="5"/>
  <c r="B50" i="5"/>
  <c r="C50" i="5"/>
  <c r="D50" i="5"/>
  <c r="E50" i="5"/>
  <c r="F50" i="5"/>
  <c r="G50" i="5"/>
  <c r="H50" i="5"/>
  <c r="I50" i="5"/>
  <c r="J50" i="5"/>
  <c r="L50" i="5"/>
  <c r="M50" i="5"/>
  <c r="N50" i="5"/>
  <c r="AC50" i="5" s="1"/>
  <c r="O50" i="5"/>
  <c r="P50" i="5"/>
  <c r="Q50" i="5"/>
  <c r="R50" i="5"/>
  <c r="S50" i="5"/>
  <c r="T50" i="5"/>
  <c r="U50" i="5"/>
  <c r="V50" i="5"/>
  <c r="W50" i="5"/>
  <c r="X50" i="5"/>
  <c r="B51" i="5"/>
  <c r="C51" i="5"/>
  <c r="D51" i="5"/>
  <c r="E51" i="5"/>
  <c r="F51" i="5"/>
  <c r="G51" i="5"/>
  <c r="H51" i="5"/>
  <c r="I51" i="5"/>
  <c r="J51" i="5"/>
  <c r="L51" i="5"/>
  <c r="M51" i="5"/>
  <c r="N51" i="5"/>
  <c r="O51" i="5"/>
  <c r="AC51" i="5" s="1"/>
  <c r="P51" i="5"/>
  <c r="Q51" i="5"/>
  <c r="R51" i="5"/>
  <c r="S51" i="5"/>
  <c r="T51" i="5"/>
  <c r="U51" i="5"/>
  <c r="V51" i="5"/>
  <c r="W51" i="5"/>
  <c r="X51" i="5"/>
  <c r="B52" i="5"/>
  <c r="C52" i="5"/>
  <c r="D52" i="5"/>
  <c r="E52" i="5"/>
  <c r="F52" i="5"/>
  <c r="G52" i="5"/>
  <c r="H52" i="5"/>
  <c r="I52" i="5"/>
  <c r="J52" i="5"/>
  <c r="L52" i="5"/>
  <c r="M52" i="5"/>
  <c r="N52" i="5"/>
  <c r="O52" i="5"/>
  <c r="P52" i="5"/>
  <c r="AC52" i="5" s="1"/>
  <c r="Q52" i="5"/>
  <c r="R52" i="5"/>
  <c r="S52" i="5"/>
  <c r="T52" i="5"/>
  <c r="U52" i="5"/>
  <c r="V52" i="5"/>
  <c r="W52" i="5"/>
  <c r="X52" i="5"/>
  <c r="B53" i="5"/>
  <c r="C53" i="5"/>
  <c r="D53" i="5"/>
  <c r="E53" i="5"/>
  <c r="F53" i="5"/>
  <c r="G53" i="5"/>
  <c r="H53" i="5"/>
  <c r="I53" i="5"/>
  <c r="J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AC53" i="5"/>
  <c r="B54" i="5"/>
  <c r="C54" i="5"/>
  <c r="D54" i="5"/>
  <c r="E54" i="5"/>
  <c r="F54" i="5"/>
  <c r="G54" i="5"/>
  <c r="H54" i="5"/>
  <c r="I54" i="5"/>
  <c r="J54" i="5"/>
  <c r="L54" i="5"/>
  <c r="M54" i="5"/>
  <c r="N54" i="5"/>
  <c r="AC54" i="5" s="1"/>
  <c r="O54" i="5"/>
  <c r="P54" i="5"/>
  <c r="Q54" i="5"/>
  <c r="R54" i="5"/>
  <c r="S54" i="5"/>
  <c r="T54" i="5"/>
  <c r="U54" i="5"/>
  <c r="V54" i="5"/>
  <c r="W54" i="5"/>
  <c r="X54" i="5"/>
  <c r="B55" i="5"/>
  <c r="C55" i="5"/>
  <c r="D55" i="5"/>
  <c r="E55" i="5"/>
  <c r="F55" i="5"/>
  <c r="G55" i="5"/>
  <c r="H55" i="5"/>
  <c r="I55" i="5"/>
  <c r="J55" i="5"/>
  <c r="L55" i="5"/>
  <c r="M55" i="5"/>
  <c r="N55" i="5"/>
  <c r="O55" i="5"/>
  <c r="AC55" i="5" s="1"/>
  <c r="P55" i="5"/>
  <c r="Q55" i="5"/>
  <c r="R55" i="5"/>
  <c r="S55" i="5"/>
  <c r="T55" i="5"/>
  <c r="U55" i="5"/>
  <c r="V55" i="5"/>
  <c r="W55" i="5"/>
  <c r="X55" i="5"/>
  <c r="B56" i="5"/>
  <c r="C56" i="5"/>
  <c r="D56" i="5"/>
  <c r="E56" i="5"/>
  <c r="F56" i="5"/>
  <c r="G56" i="5"/>
  <c r="H56" i="5"/>
  <c r="I56" i="5"/>
  <c r="J56" i="5"/>
  <c r="L56" i="5"/>
  <c r="M56" i="5"/>
  <c r="N56" i="5"/>
  <c r="O56" i="5"/>
  <c r="P56" i="5"/>
  <c r="AC56" i="5" s="1"/>
  <c r="Q56" i="5"/>
  <c r="R56" i="5"/>
  <c r="S56" i="5"/>
  <c r="T56" i="5"/>
  <c r="U56" i="5"/>
  <c r="V56" i="5"/>
  <c r="W56" i="5"/>
  <c r="X56" i="5"/>
  <c r="B57" i="5"/>
  <c r="C57" i="5"/>
  <c r="D57" i="5"/>
  <c r="E57" i="5"/>
  <c r="F57" i="5"/>
  <c r="G57" i="5"/>
  <c r="H57" i="5"/>
  <c r="I57" i="5"/>
  <c r="J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AC57" i="5"/>
  <c r="B58" i="5"/>
  <c r="C58" i="5"/>
  <c r="D58" i="5"/>
  <c r="E58" i="5"/>
  <c r="F58" i="5"/>
  <c r="G58" i="5"/>
  <c r="H58" i="5"/>
  <c r="I58" i="5"/>
  <c r="J58" i="5"/>
  <c r="L58" i="5"/>
  <c r="M58" i="5"/>
  <c r="N58" i="5"/>
  <c r="AC58" i="5" s="1"/>
  <c r="O58" i="5"/>
  <c r="P58" i="5"/>
  <c r="Q58" i="5"/>
  <c r="R58" i="5"/>
  <c r="S58" i="5"/>
  <c r="T58" i="5"/>
  <c r="U58" i="5"/>
  <c r="V58" i="5"/>
  <c r="W58" i="5"/>
  <c r="X58" i="5"/>
  <c r="B59" i="5"/>
  <c r="C59" i="5"/>
  <c r="D59" i="5"/>
  <c r="E59" i="5"/>
  <c r="F59" i="5"/>
  <c r="G59" i="5"/>
  <c r="H59" i="5"/>
  <c r="I59" i="5"/>
  <c r="J59" i="5"/>
  <c r="L59" i="5"/>
  <c r="M59" i="5"/>
  <c r="N59" i="5"/>
  <c r="O59" i="5"/>
  <c r="AC59" i="5" s="1"/>
  <c r="P59" i="5"/>
  <c r="Q59" i="5"/>
  <c r="R59" i="5"/>
  <c r="S59" i="5"/>
  <c r="T59" i="5"/>
  <c r="U59" i="5"/>
  <c r="V59" i="5"/>
  <c r="W59" i="5"/>
  <c r="X59" i="5"/>
  <c r="B60" i="5"/>
  <c r="C60" i="5"/>
  <c r="D60" i="5"/>
  <c r="E60" i="5"/>
  <c r="F60" i="5"/>
  <c r="G60" i="5"/>
  <c r="H60" i="5"/>
  <c r="I60" i="5"/>
  <c r="J60" i="5"/>
  <c r="L60" i="5"/>
  <c r="M60" i="5"/>
  <c r="N60" i="5"/>
  <c r="O60" i="5"/>
  <c r="P60" i="5"/>
  <c r="AC60" i="5" s="1"/>
  <c r="Q60" i="5"/>
  <c r="R60" i="5"/>
  <c r="S60" i="5"/>
  <c r="T60" i="5"/>
  <c r="U60" i="5"/>
  <c r="V60" i="5"/>
  <c r="W60" i="5"/>
  <c r="X60" i="5"/>
  <c r="B61" i="5"/>
  <c r="C61" i="5"/>
  <c r="D61" i="5"/>
  <c r="AB61" i="5" s="1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C62" i="5" s="1"/>
  <c r="Q62" i="5"/>
  <c r="R62" i="5"/>
  <c r="S62" i="5"/>
  <c r="T62" i="5"/>
  <c r="U62" i="5"/>
  <c r="V62" i="5"/>
  <c r="W62" i="5"/>
  <c r="X62" i="5"/>
  <c r="B63" i="5"/>
  <c r="C63" i="5"/>
  <c r="D63" i="5"/>
  <c r="AB63" i="5" s="1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C64" i="5" s="1"/>
  <c r="Q64" i="5"/>
  <c r="R64" i="5"/>
  <c r="S64" i="5"/>
  <c r="T64" i="5"/>
  <c r="U64" i="5"/>
  <c r="V64" i="5"/>
  <c r="W64" i="5"/>
  <c r="X64" i="5"/>
  <c r="B65" i="5"/>
  <c r="C65" i="5"/>
  <c r="D65" i="5"/>
  <c r="AB65" i="5" s="1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C66" i="5" s="1"/>
  <c r="Q66" i="5"/>
  <c r="R66" i="5"/>
  <c r="S66" i="5"/>
  <c r="T66" i="5"/>
  <c r="U66" i="5"/>
  <c r="V66" i="5"/>
  <c r="W66" i="5"/>
  <c r="X66" i="5"/>
  <c r="B67" i="5"/>
  <c r="C67" i="5"/>
  <c r="D67" i="5"/>
  <c r="AB67" i="5" s="1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C68" i="5" s="1"/>
  <c r="Q68" i="5"/>
  <c r="R68" i="5"/>
  <c r="S68" i="5"/>
  <c r="T68" i="5"/>
  <c r="U68" i="5"/>
  <c r="V68" i="5"/>
  <c r="W68" i="5"/>
  <c r="X68" i="5"/>
  <c r="B69" i="5"/>
  <c r="C69" i="5"/>
  <c r="D69" i="5"/>
  <c r="AB69" i="5" s="1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C70" i="5" s="1"/>
  <c r="Q70" i="5"/>
  <c r="R70" i="5"/>
  <c r="S70" i="5"/>
  <c r="T70" i="5"/>
  <c r="U70" i="5"/>
  <c r="V70" i="5"/>
  <c r="W70" i="5"/>
  <c r="X70" i="5"/>
  <c r="B71" i="5"/>
  <c r="C71" i="5"/>
  <c r="D71" i="5"/>
  <c r="AB71" i="5" s="1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C72" i="5" s="1"/>
  <c r="Q72" i="5"/>
  <c r="R72" i="5"/>
  <c r="S72" i="5"/>
  <c r="T72" i="5"/>
  <c r="U72" i="5"/>
  <c r="V72" i="5"/>
  <c r="W72" i="5"/>
  <c r="X72" i="5"/>
  <c r="B73" i="5"/>
  <c r="C73" i="5"/>
  <c r="D73" i="5"/>
  <c r="AB73" i="5" s="1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C74" i="5" s="1"/>
  <c r="Q74" i="5"/>
  <c r="R74" i="5"/>
  <c r="S74" i="5"/>
  <c r="T74" i="5"/>
  <c r="U74" i="5"/>
  <c r="V74" i="5"/>
  <c r="W74" i="5"/>
  <c r="X74" i="5"/>
  <c r="B75" i="5"/>
  <c r="C75" i="5"/>
  <c r="D75" i="5"/>
  <c r="AB75" i="5" s="1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C76" i="5" s="1"/>
  <c r="Q76" i="5"/>
  <c r="R76" i="5"/>
  <c r="S76" i="5"/>
  <c r="T76" i="5"/>
  <c r="U76" i="5"/>
  <c r="V76" i="5"/>
  <c r="W76" i="5"/>
  <c r="X76" i="5"/>
  <c r="B77" i="5"/>
  <c r="C77" i="5"/>
  <c r="D77" i="5"/>
  <c r="AB77" i="5" s="1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C78" i="5" s="1"/>
  <c r="Q78" i="5"/>
  <c r="R78" i="5"/>
  <c r="S78" i="5"/>
  <c r="T78" i="5"/>
  <c r="U78" i="5"/>
  <c r="V78" i="5"/>
  <c r="W78" i="5"/>
  <c r="X78" i="5"/>
  <c r="B79" i="5"/>
  <c r="C79" i="5"/>
  <c r="D79" i="5"/>
  <c r="AB79" i="5" s="1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C80" i="5" s="1"/>
  <c r="Q80" i="5"/>
  <c r="R80" i="5"/>
  <c r="S80" i="5"/>
  <c r="T80" i="5"/>
  <c r="U80" i="5"/>
  <c r="V80" i="5"/>
  <c r="W80" i="5"/>
  <c r="X80" i="5"/>
  <c r="B81" i="5"/>
  <c r="C81" i="5"/>
  <c r="D81" i="5"/>
  <c r="AB81" i="5" s="1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C82" i="5" s="1"/>
  <c r="Q82" i="5"/>
  <c r="R82" i="5"/>
  <c r="S82" i="5"/>
  <c r="T82" i="5"/>
  <c r="U82" i="5"/>
  <c r="V82" i="5"/>
  <c r="W82" i="5"/>
  <c r="X82" i="5"/>
  <c r="B83" i="5"/>
  <c r="C83" i="5"/>
  <c r="D83" i="5"/>
  <c r="AB83" i="5" s="1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C84" i="5" s="1"/>
  <c r="Q84" i="5"/>
  <c r="R84" i="5"/>
  <c r="S84" i="5"/>
  <c r="T84" i="5"/>
  <c r="U84" i="5"/>
  <c r="V84" i="5"/>
  <c r="W84" i="5"/>
  <c r="X84" i="5"/>
  <c r="B85" i="5"/>
  <c r="C85" i="5"/>
  <c r="D85" i="5"/>
  <c r="AB85" i="5" s="1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C86" i="5" s="1"/>
  <c r="Q86" i="5"/>
  <c r="R86" i="5"/>
  <c r="S86" i="5"/>
  <c r="T86" i="5"/>
  <c r="U86" i="5"/>
  <c r="V86" i="5"/>
  <c r="W86" i="5"/>
  <c r="X86" i="5"/>
  <c r="B87" i="5"/>
  <c r="C87" i="5"/>
  <c r="D87" i="5"/>
  <c r="AB87" i="5" s="1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C88" i="5" s="1"/>
  <c r="Q88" i="5"/>
  <c r="R88" i="5"/>
  <c r="S88" i="5"/>
  <c r="T88" i="5"/>
  <c r="U88" i="5"/>
  <c r="V88" i="5"/>
  <c r="W88" i="5"/>
  <c r="X88" i="5"/>
  <c r="B89" i="5"/>
  <c r="C89" i="5"/>
  <c r="D89" i="5"/>
  <c r="AB89" i="5" s="1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C90" i="5" s="1"/>
  <c r="Q90" i="5"/>
  <c r="R90" i="5"/>
  <c r="S90" i="5"/>
  <c r="T90" i="5"/>
  <c r="U90" i="5"/>
  <c r="V90" i="5"/>
  <c r="W90" i="5"/>
  <c r="X90" i="5"/>
  <c r="B91" i="5"/>
  <c r="C91" i="5"/>
  <c r="D91" i="5"/>
  <c r="AB91" i="5" s="1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C92" i="5" s="1"/>
  <c r="Q92" i="5"/>
  <c r="R92" i="5"/>
  <c r="S92" i="5"/>
  <c r="T92" i="5"/>
  <c r="U92" i="5"/>
  <c r="V92" i="5"/>
  <c r="W92" i="5"/>
  <c r="X92" i="5"/>
  <c r="B93" i="5"/>
  <c r="C93" i="5"/>
  <c r="D93" i="5"/>
  <c r="AB93" i="5" s="1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C94" i="5" s="1"/>
  <c r="Q94" i="5"/>
  <c r="R94" i="5"/>
  <c r="S94" i="5"/>
  <c r="T94" i="5"/>
  <c r="U94" i="5"/>
  <c r="V94" i="5"/>
  <c r="W94" i="5"/>
  <c r="X94" i="5"/>
  <c r="B95" i="5"/>
  <c r="C95" i="5"/>
  <c r="D95" i="5"/>
  <c r="AB95" i="5" s="1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AB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B99" i="5"/>
  <c r="AB99" i="5" s="1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AC100" i="5" s="1"/>
  <c r="O100" i="5"/>
  <c r="P100" i="5"/>
  <c r="Q100" i="5"/>
  <c r="R100" i="5"/>
  <c r="S100" i="5"/>
  <c r="T100" i="5"/>
  <c r="U100" i="5"/>
  <c r="V100" i="5"/>
  <c r="W100" i="5"/>
  <c r="X100" i="5"/>
  <c r="B101" i="5"/>
  <c r="C101" i="5"/>
  <c r="AB101" i="5" s="1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B103" i="5"/>
  <c r="C103" i="5"/>
  <c r="D103" i="5"/>
  <c r="AB103" i="5" s="1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AB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AC106" i="5" s="1"/>
  <c r="N106" i="5"/>
  <c r="O106" i="5"/>
  <c r="P106" i="5"/>
  <c r="Q106" i="5"/>
  <c r="R106" i="5"/>
  <c r="S106" i="5"/>
  <c r="T106" i="5"/>
  <c r="U106" i="5"/>
  <c r="V106" i="5"/>
  <c r="W106" i="5"/>
  <c r="X106" i="5"/>
  <c r="AB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AC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AC108" i="5" s="1"/>
  <c r="N108" i="5"/>
  <c r="O108" i="5"/>
  <c r="P108" i="5"/>
  <c r="Q108" i="5"/>
  <c r="R108" i="5"/>
  <c r="S108" i="5"/>
  <c r="T108" i="5"/>
  <c r="U108" i="5"/>
  <c r="V108" i="5"/>
  <c r="W108" i="5"/>
  <c r="X108" i="5"/>
  <c r="AB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AC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AC110" i="5" s="1"/>
  <c r="N110" i="5"/>
  <c r="O110" i="5"/>
  <c r="P110" i="5"/>
  <c r="Q110" i="5"/>
  <c r="R110" i="5"/>
  <c r="S110" i="5"/>
  <c r="T110" i="5"/>
  <c r="U110" i="5"/>
  <c r="V110" i="5"/>
  <c r="W110" i="5"/>
  <c r="X110" i="5"/>
  <c r="AB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AC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AC112" i="5" s="1"/>
  <c r="N112" i="5"/>
  <c r="O112" i="5"/>
  <c r="P112" i="5"/>
  <c r="Q112" i="5"/>
  <c r="R112" i="5"/>
  <c r="S112" i="5"/>
  <c r="T112" i="5"/>
  <c r="U112" i="5"/>
  <c r="V112" i="5"/>
  <c r="W112" i="5"/>
  <c r="X112" i="5"/>
  <c r="AB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AC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AC114" i="5" s="1"/>
  <c r="N114" i="5"/>
  <c r="O114" i="5"/>
  <c r="P114" i="5"/>
  <c r="Q114" i="5"/>
  <c r="R114" i="5"/>
  <c r="S114" i="5"/>
  <c r="T114" i="5"/>
  <c r="U114" i="5"/>
  <c r="V114" i="5"/>
  <c r="W114" i="5"/>
  <c r="X114" i="5"/>
  <c r="AB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AC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AC116" i="5" s="1"/>
  <c r="N116" i="5"/>
  <c r="O116" i="5"/>
  <c r="P116" i="5"/>
  <c r="Q116" i="5"/>
  <c r="R116" i="5"/>
  <c r="S116" i="5"/>
  <c r="T116" i="5"/>
  <c r="U116" i="5"/>
  <c r="V116" i="5"/>
  <c r="W116" i="5"/>
  <c r="X116" i="5"/>
  <c r="AB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AC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AC118" i="5" s="1"/>
  <c r="N118" i="5"/>
  <c r="O118" i="5"/>
  <c r="P118" i="5"/>
  <c r="Q118" i="5"/>
  <c r="R118" i="5"/>
  <c r="S118" i="5"/>
  <c r="T118" i="5"/>
  <c r="U118" i="5"/>
  <c r="V118" i="5"/>
  <c r="W118" i="5"/>
  <c r="X118" i="5"/>
  <c r="AB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AC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AC120" i="5" s="1"/>
  <c r="N120" i="5"/>
  <c r="O120" i="5"/>
  <c r="P120" i="5"/>
  <c r="Q120" i="5"/>
  <c r="R120" i="5"/>
  <c r="S120" i="5"/>
  <c r="T120" i="5"/>
  <c r="U120" i="5"/>
  <c r="V120" i="5"/>
  <c r="W120" i="5"/>
  <c r="X120" i="5"/>
  <c r="AB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AC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AC122" i="5" s="1"/>
  <c r="N122" i="5"/>
  <c r="O122" i="5"/>
  <c r="P122" i="5"/>
  <c r="Q122" i="5"/>
  <c r="R122" i="5"/>
  <c r="S122" i="5"/>
  <c r="T122" i="5"/>
  <c r="U122" i="5"/>
  <c r="V122" i="5"/>
  <c r="W122" i="5"/>
  <c r="X122" i="5"/>
  <c r="AB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AC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AC124" i="5" s="1"/>
  <c r="N124" i="5"/>
  <c r="O124" i="5"/>
  <c r="P124" i="5"/>
  <c r="Q124" i="5"/>
  <c r="R124" i="5"/>
  <c r="S124" i="5"/>
  <c r="T124" i="5"/>
  <c r="U124" i="5"/>
  <c r="V124" i="5"/>
  <c r="W124" i="5"/>
  <c r="X124" i="5"/>
  <c r="AB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AC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AC126" i="5" s="1"/>
  <c r="N126" i="5"/>
  <c r="O126" i="5"/>
  <c r="P126" i="5"/>
  <c r="Q126" i="5"/>
  <c r="R126" i="5"/>
  <c r="S126" i="5"/>
  <c r="T126" i="5"/>
  <c r="U126" i="5"/>
  <c r="V126" i="5"/>
  <c r="W126" i="5"/>
  <c r="X126" i="5"/>
  <c r="AB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AC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AC128" i="5" s="1"/>
  <c r="N128" i="5"/>
  <c r="O128" i="5"/>
  <c r="P128" i="5"/>
  <c r="Q128" i="5"/>
  <c r="R128" i="5"/>
  <c r="S128" i="5"/>
  <c r="T128" i="5"/>
  <c r="U128" i="5"/>
  <c r="V128" i="5"/>
  <c r="W128" i="5"/>
  <c r="X128" i="5"/>
  <c r="AB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AC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AC130" i="5" s="1"/>
  <c r="N130" i="5"/>
  <c r="O130" i="5"/>
  <c r="P130" i="5"/>
  <c r="Q130" i="5"/>
  <c r="R130" i="5"/>
  <c r="S130" i="5"/>
  <c r="T130" i="5"/>
  <c r="U130" i="5"/>
  <c r="V130" i="5"/>
  <c r="W130" i="5"/>
  <c r="X130" i="5"/>
  <c r="AB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AC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AC132" i="5" s="1"/>
  <c r="N132" i="5"/>
  <c r="O132" i="5"/>
  <c r="P132" i="5"/>
  <c r="Q132" i="5"/>
  <c r="R132" i="5"/>
  <c r="S132" i="5"/>
  <c r="T132" i="5"/>
  <c r="U132" i="5"/>
  <c r="V132" i="5"/>
  <c r="W132" i="5"/>
  <c r="X132" i="5"/>
  <c r="AB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AC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AC134" i="5" s="1"/>
  <c r="N134" i="5"/>
  <c r="O134" i="5"/>
  <c r="P134" i="5"/>
  <c r="Q134" i="5"/>
  <c r="R134" i="5"/>
  <c r="S134" i="5"/>
  <c r="T134" i="5"/>
  <c r="U134" i="5"/>
  <c r="V134" i="5"/>
  <c r="W134" i="5"/>
  <c r="X134" i="5"/>
  <c r="AB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AC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AC136" i="5" s="1"/>
  <c r="N136" i="5"/>
  <c r="O136" i="5"/>
  <c r="P136" i="5"/>
  <c r="Q136" i="5"/>
  <c r="R136" i="5"/>
  <c r="S136" i="5"/>
  <c r="T136" i="5"/>
  <c r="U136" i="5"/>
  <c r="V136" i="5"/>
  <c r="W136" i="5"/>
  <c r="X136" i="5"/>
  <c r="AB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AC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AC138" i="5" s="1"/>
  <c r="N138" i="5"/>
  <c r="O138" i="5"/>
  <c r="P138" i="5"/>
  <c r="Q138" i="5"/>
  <c r="R138" i="5"/>
  <c r="S138" i="5"/>
  <c r="T138" i="5"/>
  <c r="U138" i="5"/>
  <c r="V138" i="5"/>
  <c r="W138" i="5"/>
  <c r="X138" i="5"/>
  <c r="AB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AC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AC140" i="5" s="1"/>
  <c r="N140" i="5"/>
  <c r="O140" i="5"/>
  <c r="P140" i="5"/>
  <c r="Q140" i="5"/>
  <c r="R140" i="5"/>
  <c r="S140" i="5"/>
  <c r="T140" i="5"/>
  <c r="U140" i="5"/>
  <c r="V140" i="5"/>
  <c r="W140" i="5"/>
  <c r="X140" i="5"/>
  <c r="AB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AC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AC142" i="5" s="1"/>
  <c r="N142" i="5"/>
  <c r="O142" i="5"/>
  <c r="P142" i="5"/>
  <c r="Q142" i="5"/>
  <c r="R142" i="5"/>
  <c r="S142" i="5"/>
  <c r="T142" i="5"/>
  <c r="U142" i="5"/>
  <c r="V142" i="5"/>
  <c r="W142" i="5"/>
  <c r="X142" i="5"/>
  <c r="AB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AC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AC144" i="5" s="1"/>
  <c r="N144" i="5"/>
  <c r="O144" i="5"/>
  <c r="P144" i="5"/>
  <c r="Q144" i="5"/>
  <c r="R144" i="5"/>
  <c r="S144" i="5"/>
  <c r="T144" i="5"/>
  <c r="U144" i="5"/>
  <c r="V144" i="5"/>
  <c r="W144" i="5"/>
  <c r="X144" i="5"/>
  <c r="AB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AC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AC146" i="5" s="1"/>
  <c r="N146" i="5"/>
  <c r="O146" i="5"/>
  <c r="P146" i="5"/>
  <c r="Q146" i="5"/>
  <c r="R146" i="5"/>
  <c r="S146" i="5"/>
  <c r="T146" i="5"/>
  <c r="U146" i="5"/>
  <c r="V146" i="5"/>
  <c r="W146" i="5"/>
  <c r="X146" i="5"/>
  <c r="AB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AC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AC148" i="5" s="1"/>
  <c r="N148" i="5"/>
  <c r="O148" i="5"/>
  <c r="P148" i="5"/>
  <c r="Q148" i="5"/>
  <c r="R148" i="5"/>
  <c r="S148" i="5"/>
  <c r="T148" i="5"/>
  <c r="U148" i="5"/>
  <c r="V148" i="5"/>
  <c r="W148" i="5"/>
  <c r="X148" i="5"/>
  <c r="AB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AC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AC150" i="5" s="1"/>
  <c r="N150" i="5"/>
  <c r="O150" i="5"/>
  <c r="P150" i="5"/>
  <c r="Q150" i="5"/>
  <c r="R150" i="5"/>
  <c r="S150" i="5"/>
  <c r="T150" i="5"/>
  <c r="U150" i="5"/>
  <c r="V150" i="5"/>
  <c r="W150" i="5"/>
  <c r="X150" i="5"/>
  <c r="AB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AC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AC152" i="5" s="1"/>
  <c r="N152" i="5"/>
  <c r="O152" i="5"/>
  <c r="P152" i="5"/>
  <c r="Q152" i="5"/>
  <c r="R152" i="5"/>
  <c r="S152" i="5"/>
  <c r="T152" i="5"/>
  <c r="U152" i="5"/>
  <c r="V152" i="5"/>
  <c r="W152" i="5"/>
  <c r="X152" i="5"/>
  <c r="AB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AC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AC154" i="5" s="1"/>
  <c r="N154" i="5"/>
  <c r="O154" i="5"/>
  <c r="P154" i="5"/>
  <c r="Q154" i="5"/>
  <c r="R154" i="5"/>
  <c r="S154" i="5"/>
  <c r="T154" i="5"/>
  <c r="U154" i="5"/>
  <c r="V154" i="5"/>
  <c r="W154" i="5"/>
  <c r="X154" i="5"/>
  <c r="AB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AC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AC156" i="5" s="1"/>
  <c r="N156" i="5"/>
  <c r="O156" i="5"/>
  <c r="P156" i="5"/>
  <c r="Q156" i="5"/>
  <c r="R156" i="5"/>
  <c r="S156" i="5"/>
  <c r="T156" i="5"/>
  <c r="U156" i="5"/>
  <c r="V156" i="5"/>
  <c r="W156" i="5"/>
  <c r="X156" i="5"/>
  <c r="AB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AC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AC158" i="5" s="1"/>
  <c r="N158" i="5"/>
  <c r="O158" i="5"/>
  <c r="P158" i="5"/>
  <c r="Q158" i="5"/>
  <c r="R158" i="5"/>
  <c r="S158" i="5"/>
  <c r="T158" i="5"/>
  <c r="U158" i="5"/>
  <c r="V158" i="5"/>
  <c r="W158" i="5"/>
  <c r="X158" i="5"/>
  <c r="AB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AC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AC160" i="5" s="1"/>
  <c r="N160" i="5"/>
  <c r="O160" i="5"/>
  <c r="P160" i="5"/>
  <c r="Q160" i="5"/>
  <c r="R160" i="5"/>
  <c r="S160" i="5"/>
  <c r="T160" i="5"/>
  <c r="U160" i="5"/>
  <c r="V160" i="5"/>
  <c r="W160" i="5"/>
  <c r="X160" i="5"/>
  <c r="AB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AC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AC162" i="5" s="1"/>
  <c r="N162" i="5"/>
  <c r="O162" i="5"/>
  <c r="P162" i="5"/>
  <c r="Q162" i="5"/>
  <c r="R162" i="5"/>
  <c r="S162" i="5"/>
  <c r="T162" i="5"/>
  <c r="U162" i="5"/>
  <c r="V162" i="5"/>
  <c r="W162" i="5"/>
  <c r="X162" i="5"/>
  <c r="AB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AC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AC164" i="5" s="1"/>
  <c r="N164" i="5"/>
  <c r="O164" i="5"/>
  <c r="P164" i="5"/>
  <c r="Q164" i="5"/>
  <c r="R164" i="5"/>
  <c r="S164" i="5"/>
  <c r="T164" i="5"/>
  <c r="U164" i="5"/>
  <c r="V164" i="5"/>
  <c r="W164" i="5"/>
  <c r="X164" i="5"/>
  <c r="AB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AC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AC166" i="5" s="1"/>
  <c r="N166" i="5"/>
  <c r="O166" i="5"/>
  <c r="P166" i="5"/>
  <c r="Q166" i="5"/>
  <c r="R166" i="5"/>
  <c r="S166" i="5"/>
  <c r="T166" i="5"/>
  <c r="U166" i="5"/>
  <c r="V166" i="5"/>
  <c r="W166" i="5"/>
  <c r="X166" i="5"/>
  <c r="AB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AC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AC168" i="5" s="1"/>
  <c r="N168" i="5"/>
  <c r="O168" i="5"/>
  <c r="P168" i="5"/>
  <c r="Q168" i="5"/>
  <c r="R168" i="5"/>
  <c r="S168" i="5"/>
  <c r="T168" i="5"/>
  <c r="U168" i="5"/>
  <c r="V168" i="5"/>
  <c r="W168" i="5"/>
  <c r="X168" i="5"/>
  <c r="AB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AC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AC170" i="5" s="1"/>
  <c r="N170" i="5"/>
  <c r="O170" i="5"/>
  <c r="P170" i="5"/>
  <c r="Q170" i="5"/>
  <c r="R170" i="5"/>
  <c r="S170" i="5"/>
  <c r="T170" i="5"/>
  <c r="U170" i="5"/>
  <c r="V170" i="5"/>
  <c r="W170" i="5"/>
  <c r="X170" i="5"/>
  <c r="AB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AC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AC172" i="5" s="1"/>
  <c r="N172" i="5"/>
  <c r="O172" i="5"/>
  <c r="P172" i="5"/>
  <c r="Q172" i="5"/>
  <c r="R172" i="5"/>
  <c r="S172" i="5"/>
  <c r="T172" i="5"/>
  <c r="U172" i="5"/>
  <c r="V172" i="5"/>
  <c r="W172" i="5"/>
  <c r="X172" i="5"/>
  <c r="AB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AC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AC174" i="5" s="1"/>
  <c r="N174" i="5"/>
  <c r="O174" i="5"/>
  <c r="P174" i="5"/>
  <c r="Q174" i="5"/>
  <c r="R174" i="5"/>
  <c r="S174" i="5"/>
  <c r="T174" i="5"/>
  <c r="U174" i="5"/>
  <c r="V174" i="5"/>
  <c r="W174" i="5"/>
  <c r="X174" i="5"/>
  <c r="AB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AC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AC176" i="5" s="1"/>
  <c r="N176" i="5"/>
  <c r="O176" i="5"/>
  <c r="P176" i="5"/>
  <c r="Q176" i="5"/>
  <c r="R176" i="5"/>
  <c r="S176" i="5"/>
  <c r="T176" i="5"/>
  <c r="U176" i="5"/>
  <c r="V176" i="5"/>
  <c r="W176" i="5"/>
  <c r="X176" i="5"/>
  <c r="AB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AC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AC178" i="5" s="1"/>
  <c r="N178" i="5"/>
  <c r="O178" i="5"/>
  <c r="P178" i="5"/>
  <c r="Q178" i="5"/>
  <c r="R178" i="5"/>
  <c r="S178" i="5"/>
  <c r="T178" i="5"/>
  <c r="U178" i="5"/>
  <c r="V178" i="5"/>
  <c r="W178" i="5"/>
  <c r="X178" i="5"/>
  <c r="AB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AC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AC180" i="5" s="1"/>
  <c r="N180" i="5"/>
  <c r="O180" i="5"/>
  <c r="P180" i="5"/>
  <c r="Q180" i="5"/>
  <c r="R180" i="5"/>
  <c r="S180" i="5"/>
  <c r="T180" i="5"/>
  <c r="U180" i="5"/>
  <c r="V180" i="5"/>
  <c r="W180" i="5"/>
  <c r="X180" i="5"/>
  <c r="AB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AC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AC182" i="5" s="1"/>
  <c r="N182" i="5"/>
  <c r="O182" i="5"/>
  <c r="P182" i="5"/>
  <c r="Q182" i="5"/>
  <c r="R182" i="5"/>
  <c r="S182" i="5"/>
  <c r="T182" i="5"/>
  <c r="U182" i="5"/>
  <c r="V182" i="5"/>
  <c r="W182" i="5"/>
  <c r="X182" i="5"/>
  <c r="AB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AC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AC184" i="5" s="1"/>
  <c r="N184" i="5"/>
  <c r="O184" i="5"/>
  <c r="P184" i="5"/>
  <c r="Q184" i="5"/>
  <c r="R184" i="5"/>
  <c r="S184" i="5"/>
  <c r="T184" i="5"/>
  <c r="U184" i="5"/>
  <c r="V184" i="5"/>
  <c r="W184" i="5"/>
  <c r="X184" i="5"/>
  <c r="AB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AC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AC186" i="5" s="1"/>
  <c r="N186" i="5"/>
  <c r="O186" i="5"/>
  <c r="P186" i="5"/>
  <c r="Q186" i="5"/>
  <c r="R186" i="5"/>
  <c r="S186" i="5"/>
  <c r="T186" i="5"/>
  <c r="U186" i="5"/>
  <c r="V186" i="5"/>
  <c r="W186" i="5"/>
  <c r="X186" i="5"/>
  <c r="AB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AC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AC188" i="5" s="1"/>
  <c r="N188" i="5"/>
  <c r="O188" i="5"/>
  <c r="P188" i="5"/>
  <c r="Q188" i="5"/>
  <c r="R188" i="5"/>
  <c r="S188" i="5"/>
  <c r="T188" i="5"/>
  <c r="U188" i="5"/>
  <c r="V188" i="5"/>
  <c r="W188" i="5"/>
  <c r="X188" i="5"/>
  <c r="AB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AC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AC190" i="5" s="1"/>
  <c r="N190" i="5"/>
  <c r="O190" i="5"/>
  <c r="P190" i="5"/>
  <c r="Q190" i="5"/>
  <c r="R190" i="5"/>
  <c r="S190" i="5"/>
  <c r="T190" i="5"/>
  <c r="U190" i="5"/>
  <c r="V190" i="5"/>
  <c r="W190" i="5"/>
  <c r="X190" i="5"/>
  <c r="AB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AC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AC192" i="5" s="1"/>
  <c r="N192" i="5"/>
  <c r="O192" i="5"/>
  <c r="P192" i="5"/>
  <c r="Q192" i="5"/>
  <c r="R192" i="5"/>
  <c r="S192" i="5"/>
  <c r="T192" i="5"/>
  <c r="U192" i="5"/>
  <c r="V192" i="5"/>
  <c r="W192" i="5"/>
  <c r="X192" i="5"/>
  <c r="AB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AC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AC194" i="5" s="1"/>
  <c r="N194" i="5"/>
  <c r="O194" i="5"/>
  <c r="P194" i="5"/>
  <c r="Q194" i="5"/>
  <c r="R194" i="5"/>
  <c r="S194" i="5"/>
  <c r="T194" i="5"/>
  <c r="U194" i="5"/>
  <c r="V194" i="5"/>
  <c r="W194" i="5"/>
  <c r="X194" i="5"/>
  <c r="AB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AC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AC196" i="5" s="1"/>
  <c r="N196" i="5"/>
  <c r="O196" i="5"/>
  <c r="P196" i="5"/>
  <c r="Q196" i="5"/>
  <c r="R196" i="5"/>
  <c r="S196" i="5"/>
  <c r="T196" i="5"/>
  <c r="U196" i="5"/>
  <c r="V196" i="5"/>
  <c r="W196" i="5"/>
  <c r="X196" i="5"/>
  <c r="AB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AC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AC198" i="5" s="1"/>
  <c r="N198" i="5"/>
  <c r="O198" i="5"/>
  <c r="P198" i="5"/>
  <c r="Q198" i="5"/>
  <c r="R198" i="5"/>
  <c r="S198" i="5"/>
  <c r="T198" i="5"/>
  <c r="U198" i="5"/>
  <c r="V198" i="5"/>
  <c r="W198" i="5"/>
  <c r="X198" i="5"/>
  <c r="AB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AC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AC200" i="5" s="1"/>
  <c r="N200" i="5"/>
  <c r="O200" i="5"/>
  <c r="P200" i="5"/>
  <c r="Q200" i="5"/>
  <c r="R200" i="5"/>
  <c r="S200" i="5"/>
  <c r="T200" i="5"/>
  <c r="U200" i="5"/>
  <c r="V200" i="5"/>
  <c r="W200" i="5"/>
  <c r="X200" i="5"/>
  <c r="AB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AC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AC202" i="5" s="1"/>
  <c r="N202" i="5"/>
  <c r="O202" i="5"/>
  <c r="P202" i="5"/>
  <c r="Q202" i="5"/>
  <c r="R202" i="5"/>
  <c r="S202" i="5"/>
  <c r="T202" i="5"/>
  <c r="U202" i="5"/>
  <c r="V202" i="5"/>
  <c r="W202" i="5"/>
  <c r="X202" i="5"/>
  <c r="AB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AC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AC204" i="5" s="1"/>
  <c r="N204" i="5"/>
  <c r="O204" i="5"/>
  <c r="P204" i="5"/>
  <c r="Q204" i="5"/>
  <c r="R204" i="5"/>
  <c r="S204" i="5"/>
  <c r="T204" i="5"/>
  <c r="U204" i="5"/>
  <c r="V204" i="5"/>
  <c r="W204" i="5"/>
  <c r="X204" i="5"/>
  <c r="AB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AC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AC206" i="5" s="1"/>
  <c r="N206" i="5"/>
  <c r="O206" i="5"/>
  <c r="P206" i="5"/>
  <c r="Q206" i="5"/>
  <c r="R206" i="5"/>
  <c r="S206" i="5"/>
  <c r="T206" i="5"/>
  <c r="U206" i="5"/>
  <c r="V206" i="5"/>
  <c r="W206" i="5"/>
  <c r="X206" i="5"/>
  <c r="AB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AC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AC208" i="5" s="1"/>
  <c r="N208" i="5"/>
  <c r="O208" i="5"/>
  <c r="P208" i="5"/>
  <c r="Q208" i="5"/>
  <c r="R208" i="5"/>
  <c r="S208" i="5"/>
  <c r="T208" i="5"/>
  <c r="U208" i="5"/>
  <c r="V208" i="5"/>
  <c r="W208" i="5"/>
  <c r="X208" i="5"/>
  <c r="AB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AC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AC210" i="5" s="1"/>
  <c r="N210" i="5"/>
  <c r="O210" i="5"/>
  <c r="P210" i="5"/>
  <c r="Q210" i="5"/>
  <c r="R210" i="5"/>
  <c r="S210" i="5"/>
  <c r="T210" i="5"/>
  <c r="U210" i="5"/>
  <c r="V210" i="5"/>
  <c r="W210" i="5"/>
  <c r="X210" i="5"/>
  <c r="AB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AC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AC212" i="5" s="1"/>
  <c r="N212" i="5"/>
  <c r="O212" i="5"/>
  <c r="P212" i="5"/>
  <c r="Q212" i="5"/>
  <c r="R212" i="5"/>
  <c r="S212" i="5"/>
  <c r="T212" i="5"/>
  <c r="U212" i="5"/>
  <c r="V212" i="5"/>
  <c r="W212" i="5"/>
  <c r="X212" i="5"/>
  <c r="AB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AC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AC214" i="5" s="1"/>
  <c r="N214" i="5"/>
  <c r="O214" i="5"/>
  <c r="P214" i="5"/>
  <c r="Q214" i="5"/>
  <c r="R214" i="5"/>
  <c r="S214" i="5"/>
  <c r="T214" i="5"/>
  <c r="U214" i="5"/>
  <c r="V214" i="5"/>
  <c r="W214" i="5"/>
  <c r="X214" i="5"/>
  <c r="AB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AC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AC216" i="5" s="1"/>
  <c r="N216" i="5"/>
  <c r="O216" i="5"/>
  <c r="P216" i="5"/>
  <c r="Q216" i="5"/>
  <c r="R216" i="5"/>
  <c r="S216" i="5"/>
  <c r="T216" i="5"/>
  <c r="U216" i="5"/>
  <c r="V216" i="5"/>
  <c r="W216" i="5"/>
  <c r="X216" i="5"/>
  <c r="AB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AC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AC218" i="5" s="1"/>
  <c r="N218" i="5"/>
  <c r="O218" i="5"/>
  <c r="P218" i="5"/>
  <c r="Q218" i="5"/>
  <c r="R218" i="5"/>
  <c r="S218" i="5"/>
  <c r="T218" i="5"/>
  <c r="U218" i="5"/>
  <c r="V218" i="5"/>
  <c r="W218" i="5"/>
  <c r="X218" i="5"/>
  <c r="AB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AC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AC220" i="5" s="1"/>
  <c r="N220" i="5"/>
  <c r="O220" i="5"/>
  <c r="P220" i="5"/>
  <c r="Q220" i="5"/>
  <c r="R220" i="5"/>
  <c r="S220" i="5"/>
  <c r="T220" i="5"/>
  <c r="U220" i="5"/>
  <c r="V220" i="5"/>
  <c r="W220" i="5"/>
  <c r="X220" i="5"/>
  <c r="AB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AC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AC222" i="5" s="1"/>
  <c r="N222" i="5"/>
  <c r="O222" i="5"/>
  <c r="P222" i="5"/>
  <c r="Q222" i="5"/>
  <c r="R222" i="5"/>
  <c r="S222" i="5"/>
  <c r="T222" i="5"/>
  <c r="U222" i="5"/>
  <c r="V222" i="5"/>
  <c r="W222" i="5"/>
  <c r="X222" i="5"/>
  <c r="AB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AC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AC224" i="5" s="1"/>
  <c r="N224" i="5"/>
  <c r="O224" i="5"/>
  <c r="P224" i="5"/>
  <c r="Q224" i="5"/>
  <c r="R224" i="5"/>
  <c r="S224" i="5"/>
  <c r="T224" i="5"/>
  <c r="U224" i="5"/>
  <c r="V224" i="5"/>
  <c r="W224" i="5"/>
  <c r="X224" i="5"/>
  <c r="AB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AC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AC226" i="5" s="1"/>
  <c r="N226" i="5"/>
  <c r="O226" i="5"/>
  <c r="P226" i="5"/>
  <c r="Q226" i="5"/>
  <c r="R226" i="5"/>
  <c r="S226" i="5"/>
  <c r="T226" i="5"/>
  <c r="U226" i="5"/>
  <c r="V226" i="5"/>
  <c r="W226" i="5"/>
  <c r="X226" i="5"/>
  <c r="AB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AC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AC228" i="5" s="1"/>
  <c r="N228" i="5"/>
  <c r="O228" i="5"/>
  <c r="P228" i="5"/>
  <c r="Q228" i="5"/>
  <c r="R228" i="5"/>
  <c r="S228" i="5"/>
  <c r="T228" i="5"/>
  <c r="U228" i="5"/>
  <c r="V228" i="5"/>
  <c r="W228" i="5"/>
  <c r="X228" i="5"/>
  <c r="AB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AC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AC230" i="5" s="1"/>
  <c r="N230" i="5"/>
  <c r="O230" i="5"/>
  <c r="P230" i="5"/>
  <c r="Q230" i="5"/>
  <c r="R230" i="5"/>
  <c r="S230" i="5"/>
  <c r="T230" i="5"/>
  <c r="U230" i="5"/>
  <c r="V230" i="5"/>
  <c r="W230" i="5"/>
  <c r="X230" i="5"/>
  <c r="AB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AC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AC232" i="5" s="1"/>
  <c r="N232" i="5"/>
  <c r="O232" i="5"/>
  <c r="P232" i="5"/>
  <c r="Q232" i="5"/>
  <c r="R232" i="5"/>
  <c r="S232" i="5"/>
  <c r="T232" i="5"/>
  <c r="U232" i="5"/>
  <c r="V232" i="5"/>
  <c r="W232" i="5"/>
  <c r="X232" i="5"/>
  <c r="AB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AC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AC234" i="5" s="1"/>
  <c r="N234" i="5"/>
  <c r="O234" i="5"/>
  <c r="P234" i="5"/>
  <c r="Q234" i="5"/>
  <c r="R234" i="5"/>
  <c r="S234" i="5"/>
  <c r="T234" i="5"/>
  <c r="U234" i="5"/>
  <c r="V234" i="5"/>
  <c r="W234" i="5"/>
  <c r="X234" i="5"/>
  <c r="AB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AC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AC236" i="5" s="1"/>
  <c r="N236" i="5"/>
  <c r="O236" i="5"/>
  <c r="P236" i="5"/>
  <c r="Q236" i="5"/>
  <c r="R236" i="5"/>
  <c r="S236" i="5"/>
  <c r="T236" i="5"/>
  <c r="U236" i="5"/>
  <c r="V236" i="5"/>
  <c r="W236" i="5"/>
  <c r="X236" i="5"/>
  <c r="AB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AC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AC238" i="5" s="1"/>
  <c r="N238" i="5"/>
  <c r="O238" i="5"/>
  <c r="P238" i="5"/>
  <c r="Q238" i="5"/>
  <c r="R238" i="5"/>
  <c r="S238" i="5"/>
  <c r="T238" i="5"/>
  <c r="U238" i="5"/>
  <c r="V238" i="5"/>
  <c r="W238" i="5"/>
  <c r="X238" i="5"/>
  <c r="AB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AC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AC240" i="5" s="1"/>
  <c r="N240" i="5"/>
  <c r="O240" i="5"/>
  <c r="P240" i="5"/>
  <c r="Q240" i="5"/>
  <c r="R240" i="5"/>
  <c r="S240" i="5"/>
  <c r="T240" i="5"/>
  <c r="U240" i="5"/>
  <c r="V240" i="5"/>
  <c r="W240" i="5"/>
  <c r="X240" i="5"/>
  <c r="AB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AC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AC242" i="5" s="1"/>
  <c r="N242" i="5"/>
  <c r="O242" i="5"/>
  <c r="P242" i="5"/>
  <c r="Q242" i="5"/>
  <c r="R242" i="5"/>
  <c r="S242" i="5"/>
  <c r="T242" i="5"/>
  <c r="U242" i="5"/>
  <c r="V242" i="5"/>
  <c r="W242" i="5"/>
  <c r="X242" i="5"/>
  <c r="AB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AC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AC244" i="5" s="1"/>
  <c r="N244" i="5"/>
  <c r="O244" i="5"/>
  <c r="P244" i="5"/>
  <c r="Q244" i="5"/>
  <c r="R244" i="5"/>
  <c r="S244" i="5"/>
  <c r="T244" i="5"/>
  <c r="U244" i="5"/>
  <c r="V244" i="5"/>
  <c r="W244" i="5"/>
  <c r="X244" i="5"/>
  <c r="AB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AC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AC246" i="5" s="1"/>
  <c r="N246" i="5"/>
  <c r="O246" i="5"/>
  <c r="P246" i="5"/>
  <c r="Q246" i="5"/>
  <c r="R246" i="5"/>
  <c r="S246" i="5"/>
  <c r="T246" i="5"/>
  <c r="U246" i="5"/>
  <c r="V246" i="5"/>
  <c r="W246" i="5"/>
  <c r="X246" i="5"/>
  <c r="AB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AC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AC248" i="5" s="1"/>
  <c r="N248" i="5"/>
  <c r="O248" i="5"/>
  <c r="P248" i="5"/>
  <c r="Q248" i="5"/>
  <c r="R248" i="5"/>
  <c r="S248" i="5"/>
  <c r="T248" i="5"/>
  <c r="U248" i="5"/>
  <c r="V248" i="5"/>
  <c r="W248" i="5"/>
  <c r="X248" i="5"/>
  <c r="AB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AC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AC250" i="5" s="1"/>
  <c r="N250" i="5"/>
  <c r="O250" i="5"/>
  <c r="P250" i="5"/>
  <c r="Q250" i="5"/>
  <c r="R250" i="5"/>
  <c r="S250" i="5"/>
  <c r="T250" i="5"/>
  <c r="U250" i="5"/>
  <c r="V250" i="5"/>
  <c r="W250" i="5"/>
  <c r="X250" i="5"/>
  <c r="AB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AC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AC252" i="5" s="1"/>
  <c r="N252" i="5"/>
  <c r="O252" i="5"/>
  <c r="P252" i="5"/>
  <c r="Q252" i="5"/>
  <c r="R252" i="5"/>
  <c r="S252" i="5"/>
  <c r="T252" i="5"/>
  <c r="U252" i="5"/>
  <c r="V252" i="5"/>
  <c r="W252" i="5"/>
  <c r="X252" i="5"/>
  <c r="AB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AC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AC254" i="5" s="1"/>
  <c r="N254" i="5"/>
  <c r="O254" i="5"/>
  <c r="P254" i="5"/>
  <c r="Q254" i="5"/>
  <c r="R254" i="5"/>
  <c r="S254" i="5"/>
  <c r="T254" i="5"/>
  <c r="U254" i="5"/>
  <c r="V254" i="5"/>
  <c r="W254" i="5"/>
  <c r="X254" i="5"/>
  <c r="AB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AC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AC256" i="5" s="1"/>
  <c r="N256" i="5"/>
  <c r="O256" i="5"/>
  <c r="P256" i="5"/>
  <c r="Q256" i="5"/>
  <c r="R256" i="5"/>
  <c r="S256" i="5"/>
  <c r="T256" i="5"/>
  <c r="U256" i="5"/>
  <c r="V256" i="5"/>
  <c r="W256" i="5"/>
  <c r="X256" i="5"/>
  <c r="AB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AC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AC258" i="5" s="1"/>
  <c r="N258" i="5"/>
  <c r="O258" i="5"/>
  <c r="P258" i="5"/>
  <c r="Q258" i="5"/>
  <c r="R258" i="5"/>
  <c r="S258" i="5"/>
  <c r="T258" i="5"/>
  <c r="U258" i="5"/>
  <c r="V258" i="5"/>
  <c r="W258" i="5"/>
  <c r="X258" i="5"/>
  <c r="AB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AC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AC260" i="5" s="1"/>
  <c r="N260" i="5"/>
  <c r="O260" i="5"/>
  <c r="P260" i="5"/>
  <c r="Q260" i="5"/>
  <c r="R260" i="5"/>
  <c r="S260" i="5"/>
  <c r="T260" i="5"/>
  <c r="U260" i="5"/>
  <c r="V260" i="5"/>
  <c r="W260" i="5"/>
  <c r="X260" i="5"/>
  <c r="AB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AC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AC262" i="5" s="1"/>
  <c r="N262" i="5"/>
  <c r="O262" i="5"/>
  <c r="P262" i="5"/>
  <c r="Q262" i="5"/>
  <c r="R262" i="5"/>
  <c r="S262" i="5"/>
  <c r="T262" i="5"/>
  <c r="U262" i="5"/>
  <c r="V262" i="5"/>
  <c r="W262" i="5"/>
  <c r="X262" i="5"/>
  <c r="AB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AC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AC264" i="5" s="1"/>
  <c r="N264" i="5"/>
  <c r="O264" i="5"/>
  <c r="P264" i="5"/>
  <c r="Q264" i="5"/>
  <c r="R264" i="5"/>
  <c r="S264" i="5"/>
  <c r="T264" i="5"/>
  <c r="U264" i="5"/>
  <c r="V264" i="5"/>
  <c r="W264" i="5"/>
  <c r="X264" i="5"/>
  <c r="AB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AC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AC266" i="5" s="1"/>
  <c r="N266" i="5"/>
  <c r="O266" i="5"/>
  <c r="P266" i="5"/>
  <c r="Q266" i="5"/>
  <c r="R266" i="5"/>
  <c r="S266" i="5"/>
  <c r="T266" i="5"/>
  <c r="U266" i="5"/>
  <c r="V266" i="5"/>
  <c r="W266" i="5"/>
  <c r="X266" i="5"/>
  <c r="AB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AC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AC268" i="5" s="1"/>
  <c r="N268" i="5"/>
  <c r="O268" i="5"/>
  <c r="P268" i="5"/>
  <c r="Q268" i="5"/>
  <c r="R268" i="5"/>
  <c r="S268" i="5"/>
  <c r="T268" i="5"/>
  <c r="U268" i="5"/>
  <c r="V268" i="5"/>
  <c r="W268" i="5"/>
  <c r="X268" i="5"/>
  <c r="AB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AC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AC270" i="5" s="1"/>
  <c r="N270" i="5"/>
  <c r="O270" i="5"/>
  <c r="P270" i="5"/>
  <c r="Q270" i="5"/>
  <c r="R270" i="5"/>
  <c r="S270" i="5"/>
  <c r="T270" i="5"/>
  <c r="U270" i="5"/>
  <c r="V270" i="5"/>
  <c r="W270" i="5"/>
  <c r="X270" i="5"/>
  <c r="AB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AC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AC272" i="5" s="1"/>
  <c r="N272" i="5"/>
  <c r="O272" i="5"/>
  <c r="P272" i="5"/>
  <c r="Q272" i="5"/>
  <c r="R272" i="5"/>
  <c r="S272" i="5"/>
  <c r="T272" i="5"/>
  <c r="U272" i="5"/>
  <c r="V272" i="5"/>
  <c r="W272" i="5"/>
  <c r="X272" i="5"/>
  <c r="AB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AC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AC274" i="5" s="1"/>
  <c r="N274" i="5"/>
  <c r="O274" i="5"/>
  <c r="P274" i="5"/>
  <c r="Q274" i="5"/>
  <c r="R274" i="5"/>
  <c r="S274" i="5"/>
  <c r="T274" i="5"/>
  <c r="U274" i="5"/>
  <c r="V274" i="5"/>
  <c r="W274" i="5"/>
  <c r="X274" i="5"/>
  <c r="AB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AC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AC276" i="5" s="1"/>
  <c r="N276" i="5"/>
  <c r="O276" i="5"/>
  <c r="P276" i="5"/>
  <c r="Q276" i="5"/>
  <c r="R276" i="5"/>
  <c r="S276" i="5"/>
  <c r="T276" i="5"/>
  <c r="U276" i="5"/>
  <c r="V276" i="5"/>
  <c r="W276" i="5"/>
  <c r="X276" i="5"/>
  <c r="AB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AC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AC278" i="5" s="1"/>
  <c r="N278" i="5"/>
  <c r="O278" i="5"/>
  <c r="P278" i="5"/>
  <c r="Q278" i="5"/>
  <c r="R278" i="5"/>
  <c r="S278" i="5"/>
  <c r="T278" i="5"/>
  <c r="U278" i="5"/>
  <c r="V278" i="5"/>
  <c r="W278" i="5"/>
  <c r="X278" i="5"/>
  <c r="AB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AC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AC280" i="5" s="1"/>
  <c r="N280" i="5"/>
  <c r="O280" i="5"/>
  <c r="P280" i="5"/>
  <c r="Q280" i="5"/>
  <c r="R280" i="5"/>
  <c r="S280" i="5"/>
  <c r="T280" i="5"/>
  <c r="U280" i="5"/>
  <c r="V280" i="5"/>
  <c r="W280" i="5"/>
  <c r="X280" i="5"/>
  <c r="AB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AC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AC282" i="5" s="1"/>
  <c r="N282" i="5"/>
  <c r="O282" i="5"/>
  <c r="P282" i="5"/>
  <c r="Q282" i="5"/>
  <c r="R282" i="5"/>
  <c r="S282" i="5"/>
  <c r="T282" i="5"/>
  <c r="U282" i="5"/>
  <c r="V282" i="5"/>
  <c r="W282" i="5"/>
  <c r="X282" i="5"/>
  <c r="AB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AC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AC284" i="5" s="1"/>
  <c r="N284" i="5"/>
  <c r="O284" i="5"/>
  <c r="P284" i="5"/>
  <c r="Q284" i="5"/>
  <c r="R284" i="5"/>
  <c r="S284" i="5"/>
  <c r="T284" i="5"/>
  <c r="U284" i="5"/>
  <c r="V284" i="5"/>
  <c r="W284" i="5"/>
  <c r="X284" i="5"/>
  <c r="AB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AC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AC286" i="5" s="1"/>
  <c r="N286" i="5"/>
  <c r="O286" i="5"/>
  <c r="P286" i="5"/>
  <c r="Q286" i="5"/>
  <c r="R286" i="5"/>
  <c r="S286" i="5"/>
  <c r="T286" i="5"/>
  <c r="U286" i="5"/>
  <c r="V286" i="5"/>
  <c r="W286" i="5"/>
  <c r="X286" i="5"/>
  <c r="AB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AC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AC288" i="5" s="1"/>
  <c r="N288" i="5"/>
  <c r="O288" i="5"/>
  <c r="P288" i="5"/>
  <c r="Q288" i="5"/>
  <c r="R288" i="5"/>
  <c r="S288" i="5"/>
  <c r="T288" i="5"/>
  <c r="U288" i="5"/>
  <c r="V288" i="5"/>
  <c r="W288" i="5"/>
  <c r="X288" i="5"/>
  <c r="AB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AC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AC290" i="5" s="1"/>
  <c r="N290" i="5"/>
  <c r="O290" i="5"/>
  <c r="P290" i="5"/>
  <c r="Q290" i="5"/>
  <c r="R290" i="5"/>
  <c r="S290" i="5"/>
  <c r="T290" i="5"/>
  <c r="U290" i="5"/>
  <c r="V290" i="5"/>
  <c r="W290" i="5"/>
  <c r="X290" i="5"/>
  <c r="AB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AC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AC292" i="5" s="1"/>
  <c r="N292" i="5"/>
  <c r="O292" i="5"/>
  <c r="P292" i="5"/>
  <c r="Q292" i="5"/>
  <c r="R292" i="5"/>
  <c r="S292" i="5"/>
  <c r="T292" i="5"/>
  <c r="U292" i="5"/>
  <c r="V292" i="5"/>
  <c r="W292" i="5"/>
  <c r="X292" i="5"/>
  <c r="AB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AC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AC294" i="5" s="1"/>
  <c r="N294" i="5"/>
  <c r="O294" i="5"/>
  <c r="P294" i="5"/>
  <c r="Q294" i="5"/>
  <c r="R294" i="5"/>
  <c r="S294" i="5"/>
  <c r="T294" i="5"/>
  <c r="U294" i="5"/>
  <c r="V294" i="5"/>
  <c r="W294" i="5"/>
  <c r="X294" i="5"/>
  <c r="AB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AC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AC296" i="5" s="1"/>
  <c r="N296" i="5"/>
  <c r="O296" i="5"/>
  <c r="P296" i="5"/>
  <c r="Q296" i="5"/>
  <c r="R296" i="5"/>
  <c r="S296" i="5"/>
  <c r="T296" i="5"/>
  <c r="U296" i="5"/>
  <c r="V296" i="5"/>
  <c r="W296" i="5"/>
  <c r="X296" i="5"/>
  <c r="AB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AC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AC298" i="5" s="1"/>
  <c r="N298" i="5"/>
  <c r="O298" i="5"/>
  <c r="P298" i="5"/>
  <c r="Q298" i="5"/>
  <c r="R298" i="5"/>
  <c r="S298" i="5"/>
  <c r="T298" i="5"/>
  <c r="U298" i="5"/>
  <c r="V298" i="5"/>
  <c r="W298" i="5"/>
  <c r="X298" i="5"/>
  <c r="AB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AC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AC300" i="5" s="1"/>
  <c r="N300" i="5"/>
  <c r="O300" i="5"/>
  <c r="P300" i="5"/>
  <c r="Q300" i="5"/>
  <c r="R300" i="5"/>
  <c r="S300" i="5"/>
  <c r="T300" i="5"/>
  <c r="U300" i="5"/>
  <c r="V300" i="5"/>
  <c r="W300" i="5"/>
  <c r="X300" i="5"/>
  <c r="AB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AC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AC302" i="5" s="1"/>
  <c r="N302" i="5"/>
  <c r="O302" i="5"/>
  <c r="P302" i="5"/>
  <c r="Q302" i="5"/>
  <c r="R302" i="5"/>
  <c r="S302" i="5"/>
  <c r="T302" i="5"/>
  <c r="U302" i="5"/>
  <c r="V302" i="5"/>
  <c r="W302" i="5"/>
  <c r="X302" i="5"/>
  <c r="AB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AC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AC304" i="5" s="1"/>
  <c r="N304" i="5"/>
  <c r="O304" i="5"/>
  <c r="P304" i="5"/>
  <c r="Q304" i="5"/>
  <c r="R304" i="5"/>
  <c r="S304" i="5"/>
  <c r="T304" i="5"/>
  <c r="U304" i="5"/>
  <c r="V304" i="5"/>
  <c r="W304" i="5"/>
  <c r="X304" i="5"/>
  <c r="AB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AC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AC306" i="5" s="1"/>
  <c r="N306" i="5"/>
  <c r="O306" i="5"/>
  <c r="P306" i="5"/>
  <c r="Q306" i="5"/>
  <c r="R306" i="5"/>
  <c r="S306" i="5"/>
  <c r="T306" i="5"/>
  <c r="U306" i="5"/>
  <c r="V306" i="5"/>
  <c r="W306" i="5"/>
  <c r="X306" i="5"/>
  <c r="AB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AC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AC308" i="5" s="1"/>
  <c r="N308" i="5"/>
  <c r="O308" i="5"/>
  <c r="P308" i="5"/>
  <c r="Q308" i="5"/>
  <c r="R308" i="5"/>
  <c r="S308" i="5"/>
  <c r="T308" i="5"/>
  <c r="U308" i="5"/>
  <c r="V308" i="5"/>
  <c r="W308" i="5"/>
  <c r="X308" i="5"/>
  <c r="AB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AC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AC310" i="5" s="1"/>
  <c r="N310" i="5"/>
  <c r="O310" i="5"/>
  <c r="P310" i="5"/>
  <c r="Q310" i="5"/>
  <c r="R310" i="5"/>
  <c r="S310" i="5"/>
  <c r="T310" i="5"/>
  <c r="U310" i="5"/>
  <c r="V310" i="5"/>
  <c r="W310" i="5"/>
  <c r="X310" i="5"/>
  <c r="AB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AC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AC312" i="5" s="1"/>
  <c r="N312" i="5"/>
  <c r="O312" i="5"/>
  <c r="P312" i="5"/>
  <c r="Q312" i="5"/>
  <c r="R312" i="5"/>
  <c r="S312" i="5"/>
  <c r="T312" i="5"/>
  <c r="U312" i="5"/>
  <c r="V312" i="5"/>
  <c r="W312" i="5"/>
  <c r="X312" i="5"/>
  <c r="AB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AC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AC314" i="5" s="1"/>
  <c r="N314" i="5"/>
  <c r="O314" i="5"/>
  <c r="P314" i="5"/>
  <c r="Q314" i="5"/>
  <c r="R314" i="5"/>
  <c r="S314" i="5"/>
  <c r="T314" i="5"/>
  <c r="U314" i="5"/>
  <c r="V314" i="5"/>
  <c r="W314" i="5"/>
  <c r="X314" i="5"/>
  <c r="AB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AC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AC316" i="5" s="1"/>
  <c r="N316" i="5"/>
  <c r="O316" i="5"/>
  <c r="P316" i="5"/>
  <c r="Q316" i="5"/>
  <c r="R316" i="5"/>
  <c r="S316" i="5"/>
  <c r="T316" i="5"/>
  <c r="U316" i="5"/>
  <c r="V316" i="5"/>
  <c r="W316" i="5"/>
  <c r="X316" i="5"/>
  <c r="AB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AC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AC318" i="5" s="1"/>
  <c r="N318" i="5"/>
  <c r="O318" i="5"/>
  <c r="P318" i="5"/>
  <c r="Q318" i="5"/>
  <c r="R318" i="5"/>
  <c r="S318" i="5"/>
  <c r="T318" i="5"/>
  <c r="U318" i="5"/>
  <c r="V318" i="5"/>
  <c r="W318" i="5"/>
  <c r="X318" i="5"/>
  <c r="AB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AC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AC320" i="5" s="1"/>
  <c r="N320" i="5"/>
  <c r="O320" i="5"/>
  <c r="P320" i="5"/>
  <c r="Q320" i="5"/>
  <c r="R320" i="5"/>
  <c r="S320" i="5"/>
  <c r="T320" i="5"/>
  <c r="U320" i="5"/>
  <c r="V320" i="5"/>
  <c r="W320" i="5"/>
  <c r="X320" i="5"/>
  <c r="AB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AC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AC322" i="5" s="1"/>
  <c r="N322" i="5"/>
  <c r="O322" i="5"/>
  <c r="P322" i="5"/>
  <c r="Q322" i="5"/>
  <c r="R322" i="5"/>
  <c r="S322" i="5"/>
  <c r="T322" i="5"/>
  <c r="U322" i="5"/>
  <c r="V322" i="5"/>
  <c r="W322" i="5"/>
  <c r="X322" i="5"/>
  <c r="AB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AC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AC324" i="5" s="1"/>
  <c r="N324" i="5"/>
  <c r="O324" i="5"/>
  <c r="P324" i="5"/>
  <c r="Q324" i="5"/>
  <c r="R324" i="5"/>
  <c r="S324" i="5"/>
  <c r="T324" i="5"/>
  <c r="U324" i="5"/>
  <c r="V324" i="5"/>
  <c r="W324" i="5"/>
  <c r="X324" i="5"/>
  <c r="AB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AC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AC326" i="5" s="1"/>
  <c r="N326" i="5"/>
  <c r="O326" i="5"/>
  <c r="P326" i="5"/>
  <c r="Q326" i="5"/>
  <c r="R326" i="5"/>
  <c r="S326" i="5"/>
  <c r="T326" i="5"/>
  <c r="U326" i="5"/>
  <c r="V326" i="5"/>
  <c r="W326" i="5"/>
  <c r="X326" i="5"/>
  <c r="AB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AC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AC328" i="5" s="1"/>
  <c r="N328" i="5"/>
  <c r="O328" i="5"/>
  <c r="P328" i="5"/>
  <c r="Q328" i="5"/>
  <c r="R328" i="5"/>
  <c r="S328" i="5"/>
  <c r="T328" i="5"/>
  <c r="U328" i="5"/>
  <c r="V328" i="5"/>
  <c r="W328" i="5"/>
  <c r="X328" i="5"/>
  <c r="AB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AC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AC330" i="5" s="1"/>
  <c r="N330" i="5"/>
  <c r="O330" i="5"/>
  <c r="P330" i="5"/>
  <c r="Q330" i="5"/>
  <c r="R330" i="5"/>
  <c r="S330" i="5"/>
  <c r="T330" i="5"/>
  <c r="U330" i="5"/>
  <c r="V330" i="5"/>
  <c r="W330" i="5"/>
  <c r="X330" i="5"/>
  <c r="AB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AC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AC332" i="5" s="1"/>
  <c r="N332" i="5"/>
  <c r="O332" i="5"/>
  <c r="P332" i="5"/>
  <c r="Q332" i="5"/>
  <c r="R332" i="5"/>
  <c r="S332" i="5"/>
  <c r="T332" i="5"/>
  <c r="U332" i="5"/>
  <c r="V332" i="5"/>
  <c r="W332" i="5"/>
  <c r="X332" i="5"/>
  <c r="AB332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AC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AC334" i="5" s="1"/>
  <c r="N334" i="5"/>
  <c r="O334" i="5"/>
  <c r="P334" i="5"/>
  <c r="Q334" i="5"/>
  <c r="R334" i="5"/>
  <c r="S334" i="5"/>
  <c r="T334" i="5"/>
  <c r="U334" i="5"/>
  <c r="V334" i="5"/>
  <c r="W334" i="5"/>
  <c r="X334" i="5"/>
  <c r="AB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AC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AC336" i="5" s="1"/>
  <c r="N336" i="5"/>
  <c r="O336" i="5"/>
  <c r="P336" i="5"/>
  <c r="Q336" i="5"/>
  <c r="R336" i="5"/>
  <c r="S336" i="5"/>
  <c r="T336" i="5"/>
  <c r="U336" i="5"/>
  <c r="V336" i="5"/>
  <c r="W336" i="5"/>
  <c r="X336" i="5"/>
  <c r="AB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AC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AC338" i="5" s="1"/>
  <c r="N338" i="5"/>
  <c r="O338" i="5"/>
  <c r="P338" i="5"/>
  <c r="Q338" i="5"/>
  <c r="R338" i="5"/>
  <c r="S338" i="5"/>
  <c r="T338" i="5"/>
  <c r="U338" i="5"/>
  <c r="V338" i="5"/>
  <c r="W338" i="5"/>
  <c r="X338" i="5"/>
  <c r="AB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AC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AC340" i="5" s="1"/>
  <c r="N340" i="5"/>
  <c r="O340" i="5"/>
  <c r="P340" i="5"/>
  <c r="Q340" i="5"/>
  <c r="R340" i="5"/>
  <c r="S340" i="5"/>
  <c r="T340" i="5"/>
  <c r="U340" i="5"/>
  <c r="V340" i="5"/>
  <c r="W340" i="5"/>
  <c r="X340" i="5"/>
  <c r="AB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AC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AC342" i="5" s="1"/>
  <c r="N342" i="5"/>
  <c r="O342" i="5"/>
  <c r="P342" i="5"/>
  <c r="Q342" i="5"/>
  <c r="R342" i="5"/>
  <c r="S342" i="5"/>
  <c r="T342" i="5"/>
  <c r="U342" i="5"/>
  <c r="V342" i="5"/>
  <c r="W342" i="5"/>
  <c r="X342" i="5"/>
  <c r="AB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AC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AC344" i="5" s="1"/>
  <c r="N344" i="5"/>
  <c r="O344" i="5"/>
  <c r="P344" i="5"/>
  <c r="Q344" i="5"/>
  <c r="R344" i="5"/>
  <c r="S344" i="5"/>
  <c r="T344" i="5"/>
  <c r="U344" i="5"/>
  <c r="V344" i="5"/>
  <c r="W344" i="5"/>
  <c r="X344" i="5"/>
  <c r="AB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AC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AC346" i="5" s="1"/>
  <c r="N346" i="5"/>
  <c r="O346" i="5"/>
  <c r="P346" i="5"/>
  <c r="Q346" i="5"/>
  <c r="R346" i="5"/>
  <c r="S346" i="5"/>
  <c r="T346" i="5"/>
  <c r="U346" i="5"/>
  <c r="V346" i="5"/>
  <c r="W346" i="5"/>
  <c r="X346" i="5"/>
  <c r="AB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AC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AC348" i="5" s="1"/>
  <c r="N348" i="5"/>
  <c r="O348" i="5"/>
  <c r="P348" i="5"/>
  <c r="Q348" i="5"/>
  <c r="R348" i="5"/>
  <c r="S348" i="5"/>
  <c r="T348" i="5"/>
  <c r="U348" i="5"/>
  <c r="V348" i="5"/>
  <c r="W348" i="5"/>
  <c r="X348" i="5"/>
  <c r="AB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AC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AC350" i="5" s="1"/>
  <c r="N350" i="5"/>
  <c r="O350" i="5"/>
  <c r="P350" i="5"/>
  <c r="Q350" i="5"/>
  <c r="R350" i="5"/>
  <c r="S350" i="5"/>
  <c r="T350" i="5"/>
  <c r="U350" i="5"/>
  <c r="V350" i="5"/>
  <c r="W350" i="5"/>
  <c r="X350" i="5"/>
  <c r="AB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AC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AC352" i="5" s="1"/>
  <c r="N352" i="5"/>
  <c r="O352" i="5"/>
  <c r="P352" i="5"/>
  <c r="Q352" i="5"/>
  <c r="R352" i="5"/>
  <c r="S352" i="5"/>
  <c r="T352" i="5"/>
  <c r="U352" i="5"/>
  <c r="V352" i="5"/>
  <c r="W352" i="5"/>
  <c r="X352" i="5"/>
  <c r="AB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AC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AC354" i="5" s="1"/>
  <c r="N354" i="5"/>
  <c r="O354" i="5"/>
  <c r="P354" i="5"/>
  <c r="Q354" i="5"/>
  <c r="R354" i="5"/>
  <c r="S354" i="5"/>
  <c r="T354" i="5"/>
  <c r="U354" i="5"/>
  <c r="V354" i="5"/>
  <c r="W354" i="5"/>
  <c r="X354" i="5"/>
  <c r="AB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AC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AC356" i="5" s="1"/>
  <c r="N356" i="5"/>
  <c r="O356" i="5"/>
  <c r="P356" i="5"/>
  <c r="Q356" i="5"/>
  <c r="R356" i="5"/>
  <c r="S356" i="5"/>
  <c r="T356" i="5"/>
  <c r="U356" i="5"/>
  <c r="V356" i="5"/>
  <c r="W356" i="5"/>
  <c r="X356" i="5"/>
  <c r="AB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AC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AC358" i="5" s="1"/>
  <c r="N358" i="5"/>
  <c r="O358" i="5"/>
  <c r="P358" i="5"/>
  <c r="Q358" i="5"/>
  <c r="R358" i="5"/>
  <c r="S358" i="5"/>
  <c r="T358" i="5"/>
  <c r="U358" i="5"/>
  <c r="V358" i="5"/>
  <c r="W358" i="5"/>
  <c r="X358" i="5"/>
  <c r="AB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AC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AC360" i="5" s="1"/>
  <c r="N360" i="5"/>
  <c r="O360" i="5"/>
  <c r="P360" i="5"/>
  <c r="Q360" i="5"/>
  <c r="R360" i="5"/>
  <c r="S360" i="5"/>
  <c r="T360" i="5"/>
  <c r="U360" i="5"/>
  <c r="V360" i="5"/>
  <c r="W360" i="5"/>
  <c r="X360" i="5"/>
  <c r="AB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AC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AC362" i="5" s="1"/>
  <c r="N362" i="5"/>
  <c r="O362" i="5"/>
  <c r="P362" i="5"/>
  <c r="Q362" i="5"/>
  <c r="R362" i="5"/>
  <c r="S362" i="5"/>
  <c r="T362" i="5"/>
  <c r="U362" i="5"/>
  <c r="V362" i="5"/>
  <c r="W362" i="5"/>
  <c r="X362" i="5"/>
  <c r="AB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AC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AC364" i="5" s="1"/>
  <c r="N364" i="5"/>
  <c r="O364" i="5"/>
  <c r="P364" i="5"/>
  <c r="Q364" i="5"/>
  <c r="R364" i="5"/>
  <c r="S364" i="5"/>
  <c r="T364" i="5"/>
  <c r="U364" i="5"/>
  <c r="V364" i="5"/>
  <c r="W364" i="5"/>
  <c r="X364" i="5"/>
  <c r="AB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AC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AC366" i="5" s="1"/>
  <c r="N366" i="5"/>
  <c r="O366" i="5"/>
  <c r="P366" i="5"/>
  <c r="Q366" i="5"/>
  <c r="R366" i="5"/>
  <c r="S366" i="5"/>
  <c r="T366" i="5"/>
  <c r="U366" i="5"/>
  <c r="V366" i="5"/>
  <c r="W366" i="5"/>
  <c r="X366" i="5"/>
  <c r="AB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AC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AC368" i="5" s="1"/>
  <c r="N368" i="5"/>
  <c r="O368" i="5"/>
  <c r="P368" i="5"/>
  <c r="Q368" i="5"/>
  <c r="R368" i="5"/>
  <c r="S368" i="5"/>
  <c r="T368" i="5"/>
  <c r="U368" i="5"/>
  <c r="V368" i="5"/>
  <c r="W368" i="5"/>
  <c r="X368" i="5"/>
  <c r="AB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AC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AC370" i="5" s="1"/>
  <c r="N370" i="5"/>
  <c r="O370" i="5"/>
  <c r="P370" i="5"/>
  <c r="Q370" i="5"/>
  <c r="R370" i="5"/>
  <c r="S370" i="5"/>
  <c r="T370" i="5"/>
  <c r="U370" i="5"/>
  <c r="V370" i="5"/>
  <c r="W370" i="5"/>
  <c r="X370" i="5"/>
  <c r="AB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AC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AC372" i="5" s="1"/>
  <c r="N372" i="5"/>
  <c r="O372" i="5"/>
  <c r="P372" i="5"/>
  <c r="Q372" i="5"/>
  <c r="R372" i="5"/>
  <c r="S372" i="5"/>
  <c r="T372" i="5"/>
  <c r="U372" i="5"/>
  <c r="V372" i="5"/>
  <c r="W372" i="5"/>
  <c r="X372" i="5"/>
  <c r="AB372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AC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AC374" i="5" s="1"/>
  <c r="N374" i="5"/>
  <c r="O374" i="5"/>
  <c r="P374" i="5"/>
  <c r="Q374" i="5"/>
  <c r="R374" i="5"/>
  <c r="S374" i="5"/>
  <c r="T374" i="5"/>
  <c r="U374" i="5"/>
  <c r="V374" i="5"/>
  <c r="W374" i="5"/>
  <c r="X374" i="5"/>
  <c r="AB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AC375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AC376" i="5" s="1"/>
  <c r="N376" i="5"/>
  <c r="O376" i="5"/>
  <c r="P376" i="5"/>
  <c r="Q376" i="5"/>
  <c r="R376" i="5"/>
  <c r="S376" i="5"/>
  <c r="T376" i="5"/>
  <c r="U376" i="5"/>
  <c r="V376" i="5"/>
  <c r="W376" i="5"/>
  <c r="X376" i="5"/>
  <c r="AB376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AC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AC378" i="5" s="1"/>
  <c r="N378" i="5"/>
  <c r="O378" i="5"/>
  <c r="P378" i="5"/>
  <c r="Q378" i="5"/>
  <c r="R378" i="5"/>
  <c r="S378" i="5"/>
  <c r="T378" i="5"/>
  <c r="U378" i="5"/>
  <c r="V378" i="5"/>
  <c r="W378" i="5"/>
  <c r="X378" i="5"/>
  <c r="AB378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AC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AC380" i="5" s="1"/>
  <c r="N380" i="5"/>
  <c r="O380" i="5"/>
  <c r="P380" i="5"/>
  <c r="Q380" i="5"/>
  <c r="R380" i="5"/>
  <c r="S380" i="5"/>
  <c r="T380" i="5"/>
  <c r="U380" i="5"/>
  <c r="V380" i="5"/>
  <c r="W380" i="5"/>
  <c r="X380" i="5"/>
  <c r="AB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AC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AC382" i="5" s="1"/>
  <c r="N382" i="5"/>
  <c r="O382" i="5"/>
  <c r="P382" i="5"/>
  <c r="Q382" i="5"/>
  <c r="R382" i="5"/>
  <c r="S382" i="5"/>
  <c r="T382" i="5"/>
  <c r="U382" i="5"/>
  <c r="V382" i="5"/>
  <c r="W382" i="5"/>
  <c r="X382" i="5"/>
  <c r="AB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AC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AC384" i="5" s="1"/>
  <c r="N384" i="5"/>
  <c r="O384" i="5"/>
  <c r="P384" i="5"/>
  <c r="Q384" i="5"/>
  <c r="R384" i="5"/>
  <c r="S384" i="5"/>
  <c r="T384" i="5"/>
  <c r="U384" i="5"/>
  <c r="V384" i="5"/>
  <c r="W384" i="5"/>
  <c r="X384" i="5"/>
  <c r="AB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AC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AC386" i="5" s="1"/>
  <c r="N386" i="5"/>
  <c r="O386" i="5"/>
  <c r="P386" i="5"/>
  <c r="Q386" i="5"/>
  <c r="R386" i="5"/>
  <c r="S386" i="5"/>
  <c r="T386" i="5"/>
  <c r="U386" i="5"/>
  <c r="V386" i="5"/>
  <c r="W386" i="5"/>
  <c r="X386" i="5"/>
  <c r="AB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AC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AC388" i="5" s="1"/>
  <c r="N388" i="5"/>
  <c r="O388" i="5"/>
  <c r="P388" i="5"/>
  <c r="Q388" i="5"/>
  <c r="R388" i="5"/>
  <c r="S388" i="5"/>
  <c r="T388" i="5"/>
  <c r="U388" i="5"/>
  <c r="V388" i="5"/>
  <c r="W388" i="5"/>
  <c r="X388" i="5"/>
  <c r="AB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AC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AC390" i="5" s="1"/>
  <c r="N390" i="5"/>
  <c r="O390" i="5"/>
  <c r="P390" i="5"/>
  <c r="Q390" i="5"/>
  <c r="R390" i="5"/>
  <c r="S390" i="5"/>
  <c r="T390" i="5"/>
  <c r="U390" i="5"/>
  <c r="V390" i="5"/>
  <c r="W390" i="5"/>
  <c r="X390" i="5"/>
  <c r="AB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AC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AC392" i="5" s="1"/>
  <c r="N392" i="5"/>
  <c r="O392" i="5"/>
  <c r="P392" i="5"/>
  <c r="Q392" i="5"/>
  <c r="R392" i="5"/>
  <c r="S392" i="5"/>
  <c r="T392" i="5"/>
  <c r="U392" i="5"/>
  <c r="V392" i="5"/>
  <c r="W392" i="5"/>
  <c r="X392" i="5"/>
  <c r="AB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AC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AC394" i="5" s="1"/>
  <c r="N394" i="5"/>
  <c r="O394" i="5"/>
  <c r="P394" i="5"/>
  <c r="Q394" i="5"/>
  <c r="R394" i="5"/>
  <c r="S394" i="5"/>
  <c r="T394" i="5"/>
  <c r="U394" i="5"/>
  <c r="V394" i="5"/>
  <c r="W394" i="5"/>
  <c r="X394" i="5"/>
  <c r="AB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AC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AC396" i="5" s="1"/>
  <c r="N396" i="5"/>
  <c r="O396" i="5"/>
  <c r="P396" i="5"/>
  <c r="Q396" i="5"/>
  <c r="R396" i="5"/>
  <c r="S396" i="5"/>
  <c r="T396" i="5"/>
  <c r="U396" i="5"/>
  <c r="V396" i="5"/>
  <c r="W396" i="5"/>
  <c r="X396" i="5"/>
  <c r="AB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AC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AC398" i="5" s="1"/>
  <c r="N398" i="5"/>
  <c r="O398" i="5"/>
  <c r="P398" i="5"/>
  <c r="Q398" i="5"/>
  <c r="R398" i="5"/>
  <c r="S398" i="5"/>
  <c r="T398" i="5"/>
  <c r="U398" i="5"/>
  <c r="V398" i="5"/>
  <c r="W398" i="5"/>
  <c r="X398" i="5"/>
  <c r="AB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AC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AC400" i="5" s="1"/>
  <c r="N400" i="5"/>
  <c r="O400" i="5"/>
  <c r="P400" i="5"/>
  <c r="Q400" i="5"/>
  <c r="R400" i="5"/>
  <c r="S400" i="5"/>
  <c r="T400" i="5"/>
  <c r="U400" i="5"/>
  <c r="V400" i="5"/>
  <c r="W400" i="5"/>
  <c r="X400" i="5"/>
  <c r="AB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AC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AC402" i="5" s="1"/>
  <c r="N402" i="5"/>
  <c r="O402" i="5"/>
  <c r="P402" i="5"/>
  <c r="Q402" i="5"/>
  <c r="R402" i="5"/>
  <c r="S402" i="5"/>
  <c r="T402" i="5"/>
  <c r="U402" i="5"/>
  <c r="V402" i="5"/>
  <c r="W402" i="5"/>
  <c r="X402" i="5"/>
  <c r="AB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AC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AC404" i="5" s="1"/>
  <c r="N404" i="5"/>
  <c r="O404" i="5"/>
  <c r="P404" i="5"/>
  <c r="Q404" i="5"/>
  <c r="R404" i="5"/>
  <c r="S404" i="5"/>
  <c r="T404" i="5"/>
  <c r="U404" i="5"/>
  <c r="V404" i="5"/>
  <c r="W404" i="5"/>
  <c r="X404" i="5"/>
  <c r="AB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AC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AC406" i="5" s="1"/>
  <c r="N406" i="5"/>
  <c r="O406" i="5"/>
  <c r="P406" i="5"/>
  <c r="Q406" i="5"/>
  <c r="R406" i="5"/>
  <c r="S406" i="5"/>
  <c r="T406" i="5"/>
  <c r="U406" i="5"/>
  <c r="V406" i="5"/>
  <c r="W406" i="5"/>
  <c r="X406" i="5"/>
  <c r="AB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AC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AC408" i="5" s="1"/>
  <c r="N408" i="5"/>
  <c r="O408" i="5"/>
  <c r="P408" i="5"/>
  <c r="Q408" i="5"/>
  <c r="R408" i="5"/>
  <c r="S408" i="5"/>
  <c r="T408" i="5"/>
  <c r="U408" i="5"/>
  <c r="V408" i="5"/>
  <c r="W408" i="5"/>
  <c r="X408" i="5"/>
  <c r="AB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AC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AC410" i="5" s="1"/>
  <c r="N410" i="5"/>
  <c r="O410" i="5"/>
  <c r="P410" i="5"/>
  <c r="Q410" i="5"/>
  <c r="R410" i="5"/>
  <c r="S410" i="5"/>
  <c r="T410" i="5"/>
  <c r="U410" i="5"/>
  <c r="V410" i="5"/>
  <c r="W410" i="5"/>
  <c r="X410" i="5"/>
  <c r="AB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AC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AC412" i="5" s="1"/>
  <c r="N412" i="5"/>
  <c r="O412" i="5"/>
  <c r="P412" i="5"/>
  <c r="Q412" i="5"/>
  <c r="R412" i="5"/>
  <c r="S412" i="5"/>
  <c r="T412" i="5"/>
  <c r="U412" i="5"/>
  <c r="V412" i="5"/>
  <c r="W412" i="5"/>
  <c r="X412" i="5"/>
  <c r="AB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AC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AC414" i="5" s="1"/>
  <c r="N414" i="5"/>
  <c r="O414" i="5"/>
  <c r="P414" i="5"/>
  <c r="Q414" i="5"/>
  <c r="R414" i="5"/>
  <c r="S414" i="5"/>
  <c r="T414" i="5"/>
  <c r="U414" i="5"/>
  <c r="V414" i="5"/>
  <c r="W414" i="5"/>
  <c r="X414" i="5"/>
  <c r="AB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AC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AC416" i="5" s="1"/>
  <c r="N416" i="5"/>
  <c r="O416" i="5"/>
  <c r="P416" i="5"/>
  <c r="Q416" i="5"/>
  <c r="R416" i="5"/>
  <c r="S416" i="5"/>
  <c r="T416" i="5"/>
  <c r="U416" i="5"/>
  <c r="V416" i="5"/>
  <c r="W416" i="5"/>
  <c r="X416" i="5"/>
  <c r="AB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AC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AC418" i="5" s="1"/>
  <c r="N418" i="5"/>
  <c r="O418" i="5"/>
  <c r="P418" i="5"/>
  <c r="Q418" i="5"/>
  <c r="R418" i="5"/>
  <c r="S418" i="5"/>
  <c r="T418" i="5"/>
  <c r="U418" i="5"/>
  <c r="V418" i="5"/>
  <c r="W418" i="5"/>
  <c r="X418" i="5"/>
  <c r="AB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AC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AC420" i="5" s="1"/>
  <c r="N420" i="5"/>
  <c r="O420" i="5"/>
  <c r="P420" i="5"/>
  <c r="Q420" i="5"/>
  <c r="R420" i="5"/>
  <c r="S420" i="5"/>
  <c r="T420" i="5"/>
  <c r="U420" i="5"/>
  <c r="V420" i="5"/>
  <c r="W420" i="5"/>
  <c r="X420" i="5"/>
  <c r="AB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AC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AC422" i="5" s="1"/>
  <c r="N422" i="5"/>
  <c r="O422" i="5"/>
  <c r="P422" i="5"/>
  <c r="Q422" i="5"/>
  <c r="R422" i="5"/>
  <c r="S422" i="5"/>
  <c r="T422" i="5"/>
  <c r="U422" i="5"/>
  <c r="V422" i="5"/>
  <c r="W422" i="5"/>
  <c r="X422" i="5"/>
  <c r="AB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AC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AC424" i="5" s="1"/>
  <c r="N424" i="5"/>
  <c r="O424" i="5"/>
  <c r="P424" i="5"/>
  <c r="Q424" i="5"/>
  <c r="R424" i="5"/>
  <c r="S424" i="5"/>
  <c r="T424" i="5"/>
  <c r="U424" i="5"/>
  <c r="V424" i="5"/>
  <c r="W424" i="5"/>
  <c r="X424" i="5"/>
  <c r="AB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AC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AC426" i="5" s="1"/>
  <c r="N426" i="5"/>
  <c r="O426" i="5"/>
  <c r="P426" i="5"/>
  <c r="Q426" i="5"/>
  <c r="R426" i="5"/>
  <c r="S426" i="5"/>
  <c r="T426" i="5"/>
  <c r="U426" i="5"/>
  <c r="V426" i="5"/>
  <c r="W426" i="5"/>
  <c r="X426" i="5"/>
  <c r="AB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AC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AC428" i="5" s="1"/>
  <c r="N428" i="5"/>
  <c r="O428" i="5"/>
  <c r="P428" i="5"/>
  <c r="Q428" i="5"/>
  <c r="R428" i="5"/>
  <c r="S428" i="5"/>
  <c r="T428" i="5"/>
  <c r="U428" i="5"/>
  <c r="V428" i="5"/>
  <c r="W428" i="5"/>
  <c r="X428" i="5"/>
  <c r="AB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AC429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AC430" i="5" s="1"/>
  <c r="N430" i="5"/>
  <c r="O430" i="5"/>
  <c r="P430" i="5"/>
  <c r="Q430" i="5"/>
  <c r="R430" i="5"/>
  <c r="S430" i="5"/>
  <c r="T430" i="5"/>
  <c r="U430" i="5"/>
  <c r="V430" i="5"/>
  <c r="W430" i="5"/>
  <c r="X430" i="5"/>
  <c r="AB430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AC431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AC432" i="5" s="1"/>
  <c r="N432" i="5"/>
  <c r="O432" i="5"/>
  <c r="P432" i="5"/>
  <c r="Q432" i="5"/>
  <c r="R432" i="5"/>
  <c r="S432" i="5"/>
  <c r="T432" i="5"/>
  <c r="U432" i="5"/>
  <c r="V432" i="5"/>
  <c r="W432" i="5"/>
  <c r="X432" i="5"/>
  <c r="AB432" i="5"/>
  <c r="B433" i="5"/>
  <c r="C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AC433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AC434" i="5" s="1"/>
  <c r="N434" i="5"/>
  <c r="O434" i="5"/>
  <c r="P434" i="5"/>
  <c r="Q434" i="5"/>
  <c r="R434" i="5"/>
  <c r="S434" i="5"/>
  <c r="T434" i="5"/>
  <c r="U434" i="5"/>
  <c r="V434" i="5"/>
  <c r="W434" i="5"/>
  <c r="X434" i="5"/>
  <c r="AB434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AC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AC436" i="5" s="1"/>
  <c r="N436" i="5"/>
  <c r="O436" i="5"/>
  <c r="P436" i="5"/>
  <c r="Q436" i="5"/>
  <c r="R436" i="5"/>
  <c r="S436" i="5"/>
  <c r="T436" i="5"/>
  <c r="U436" i="5"/>
  <c r="V436" i="5"/>
  <c r="W436" i="5"/>
  <c r="X436" i="5"/>
  <c r="AB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AC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AC438" i="5" s="1"/>
  <c r="N438" i="5"/>
  <c r="O438" i="5"/>
  <c r="P438" i="5"/>
  <c r="Q438" i="5"/>
  <c r="R438" i="5"/>
  <c r="S438" i="5"/>
  <c r="T438" i="5"/>
  <c r="U438" i="5"/>
  <c r="V438" i="5"/>
  <c r="W438" i="5"/>
  <c r="X438" i="5"/>
  <c r="AB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AC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AC440" i="5" s="1"/>
  <c r="N440" i="5"/>
  <c r="O440" i="5"/>
  <c r="P440" i="5"/>
  <c r="Q440" i="5"/>
  <c r="R440" i="5"/>
  <c r="S440" i="5"/>
  <c r="T440" i="5"/>
  <c r="U440" i="5"/>
  <c r="V440" i="5"/>
  <c r="W440" i="5"/>
  <c r="X440" i="5"/>
  <c r="AB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AC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AC442" i="5" s="1"/>
  <c r="N442" i="5"/>
  <c r="O442" i="5"/>
  <c r="P442" i="5"/>
  <c r="Q442" i="5"/>
  <c r="R442" i="5"/>
  <c r="S442" i="5"/>
  <c r="T442" i="5"/>
  <c r="U442" i="5"/>
  <c r="V442" i="5"/>
  <c r="W442" i="5"/>
  <c r="X442" i="5"/>
  <c r="AB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AC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AC444" i="5" s="1"/>
  <c r="N444" i="5"/>
  <c r="O444" i="5"/>
  <c r="P444" i="5"/>
  <c r="Q444" i="5"/>
  <c r="R444" i="5"/>
  <c r="S444" i="5"/>
  <c r="T444" i="5"/>
  <c r="U444" i="5"/>
  <c r="V444" i="5"/>
  <c r="W444" i="5"/>
  <c r="X444" i="5"/>
  <c r="AB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AC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AC446" i="5" s="1"/>
  <c r="N446" i="5"/>
  <c r="O446" i="5"/>
  <c r="P446" i="5"/>
  <c r="Q446" i="5"/>
  <c r="R446" i="5"/>
  <c r="S446" i="5"/>
  <c r="T446" i="5"/>
  <c r="U446" i="5"/>
  <c r="V446" i="5"/>
  <c r="W446" i="5"/>
  <c r="X446" i="5"/>
  <c r="AB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AC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AC448" i="5" s="1"/>
  <c r="N448" i="5"/>
  <c r="O448" i="5"/>
  <c r="P448" i="5"/>
  <c r="Q448" i="5"/>
  <c r="R448" i="5"/>
  <c r="S448" i="5"/>
  <c r="T448" i="5"/>
  <c r="U448" i="5"/>
  <c r="V448" i="5"/>
  <c r="W448" i="5"/>
  <c r="X448" i="5"/>
  <c r="AB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AC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AC450" i="5" s="1"/>
  <c r="N450" i="5"/>
  <c r="O450" i="5"/>
  <c r="P450" i="5"/>
  <c r="Q450" i="5"/>
  <c r="R450" i="5"/>
  <c r="S450" i="5"/>
  <c r="T450" i="5"/>
  <c r="U450" i="5"/>
  <c r="V450" i="5"/>
  <c r="W450" i="5"/>
  <c r="X450" i="5"/>
  <c r="AB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AC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AC452" i="5" s="1"/>
  <c r="N452" i="5"/>
  <c r="O452" i="5"/>
  <c r="P452" i="5"/>
  <c r="Q452" i="5"/>
  <c r="R452" i="5"/>
  <c r="S452" i="5"/>
  <c r="T452" i="5"/>
  <c r="U452" i="5"/>
  <c r="V452" i="5"/>
  <c r="W452" i="5"/>
  <c r="X452" i="5"/>
  <c r="AB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AC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AC454" i="5" s="1"/>
  <c r="N454" i="5"/>
  <c r="O454" i="5"/>
  <c r="P454" i="5"/>
  <c r="Q454" i="5"/>
  <c r="R454" i="5"/>
  <c r="S454" i="5"/>
  <c r="T454" i="5"/>
  <c r="U454" i="5"/>
  <c r="V454" i="5"/>
  <c r="W454" i="5"/>
  <c r="X454" i="5"/>
  <c r="AB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AC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AC456" i="5" s="1"/>
  <c r="N456" i="5"/>
  <c r="O456" i="5"/>
  <c r="P456" i="5"/>
  <c r="Q456" i="5"/>
  <c r="R456" i="5"/>
  <c r="S456" i="5"/>
  <c r="T456" i="5"/>
  <c r="U456" i="5"/>
  <c r="V456" i="5"/>
  <c r="W456" i="5"/>
  <c r="X456" i="5"/>
  <c r="AB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AC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AC458" i="5" s="1"/>
  <c r="N458" i="5"/>
  <c r="O458" i="5"/>
  <c r="P458" i="5"/>
  <c r="Q458" i="5"/>
  <c r="R458" i="5"/>
  <c r="S458" i="5"/>
  <c r="T458" i="5"/>
  <c r="U458" i="5"/>
  <c r="V458" i="5"/>
  <c r="W458" i="5"/>
  <c r="X458" i="5"/>
  <c r="AB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AC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AC460" i="5" s="1"/>
  <c r="N460" i="5"/>
  <c r="O460" i="5"/>
  <c r="P460" i="5"/>
  <c r="Q460" i="5"/>
  <c r="R460" i="5"/>
  <c r="S460" i="5"/>
  <c r="T460" i="5"/>
  <c r="U460" i="5"/>
  <c r="V460" i="5"/>
  <c r="W460" i="5"/>
  <c r="X460" i="5"/>
  <c r="AB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AC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AC462" i="5" s="1"/>
  <c r="N462" i="5"/>
  <c r="O462" i="5"/>
  <c r="P462" i="5"/>
  <c r="Q462" i="5"/>
  <c r="R462" i="5"/>
  <c r="S462" i="5"/>
  <c r="T462" i="5"/>
  <c r="U462" i="5"/>
  <c r="V462" i="5"/>
  <c r="W462" i="5"/>
  <c r="X462" i="5"/>
  <c r="AB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AC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AC464" i="5" s="1"/>
  <c r="N464" i="5"/>
  <c r="O464" i="5"/>
  <c r="P464" i="5"/>
  <c r="Q464" i="5"/>
  <c r="R464" i="5"/>
  <c r="S464" i="5"/>
  <c r="T464" i="5"/>
  <c r="U464" i="5"/>
  <c r="V464" i="5"/>
  <c r="W464" i="5"/>
  <c r="X464" i="5"/>
  <c r="AB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AC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AC466" i="5" s="1"/>
  <c r="N466" i="5"/>
  <c r="O466" i="5"/>
  <c r="P466" i="5"/>
  <c r="Q466" i="5"/>
  <c r="R466" i="5"/>
  <c r="S466" i="5"/>
  <c r="T466" i="5"/>
  <c r="U466" i="5"/>
  <c r="V466" i="5"/>
  <c r="W466" i="5"/>
  <c r="X466" i="5"/>
  <c r="AB466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AC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AC468" i="5" s="1"/>
  <c r="N468" i="5"/>
  <c r="O468" i="5"/>
  <c r="P468" i="5"/>
  <c r="Q468" i="5"/>
  <c r="R468" i="5"/>
  <c r="S468" i="5"/>
  <c r="T468" i="5"/>
  <c r="U468" i="5"/>
  <c r="V468" i="5"/>
  <c r="W468" i="5"/>
  <c r="X468" i="5"/>
  <c r="AB468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AC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AC470" i="5" s="1"/>
  <c r="N470" i="5"/>
  <c r="O470" i="5"/>
  <c r="P470" i="5"/>
  <c r="Q470" i="5"/>
  <c r="R470" i="5"/>
  <c r="S470" i="5"/>
  <c r="T470" i="5"/>
  <c r="U470" i="5"/>
  <c r="V470" i="5"/>
  <c r="W470" i="5"/>
  <c r="X470" i="5"/>
  <c r="AB470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AC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AC472" i="5" s="1"/>
  <c r="N472" i="5"/>
  <c r="O472" i="5"/>
  <c r="P472" i="5"/>
  <c r="Q472" i="5"/>
  <c r="R472" i="5"/>
  <c r="S472" i="5"/>
  <c r="T472" i="5"/>
  <c r="U472" i="5"/>
  <c r="V472" i="5"/>
  <c r="W472" i="5"/>
  <c r="X472" i="5"/>
  <c r="AB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AC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AC474" i="5" s="1"/>
  <c r="N474" i="5"/>
  <c r="O474" i="5"/>
  <c r="P474" i="5"/>
  <c r="Q474" i="5"/>
  <c r="R474" i="5"/>
  <c r="S474" i="5"/>
  <c r="T474" i="5"/>
  <c r="U474" i="5"/>
  <c r="V474" i="5"/>
  <c r="W474" i="5"/>
  <c r="X474" i="5"/>
  <c r="AB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AC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AC476" i="5" s="1"/>
  <c r="N476" i="5"/>
  <c r="O476" i="5"/>
  <c r="P476" i="5"/>
  <c r="Q476" i="5"/>
  <c r="R476" i="5"/>
  <c r="S476" i="5"/>
  <c r="T476" i="5"/>
  <c r="U476" i="5"/>
  <c r="V476" i="5"/>
  <c r="W476" i="5"/>
  <c r="X476" i="5"/>
  <c r="AB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AC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AC478" i="5" s="1"/>
  <c r="N478" i="5"/>
  <c r="O478" i="5"/>
  <c r="P478" i="5"/>
  <c r="Q478" i="5"/>
  <c r="R478" i="5"/>
  <c r="S478" i="5"/>
  <c r="T478" i="5"/>
  <c r="U478" i="5"/>
  <c r="V478" i="5"/>
  <c r="W478" i="5"/>
  <c r="X478" i="5"/>
  <c r="AB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AC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AC480" i="5" s="1"/>
  <c r="N480" i="5"/>
  <c r="O480" i="5"/>
  <c r="P480" i="5"/>
  <c r="Q480" i="5"/>
  <c r="R480" i="5"/>
  <c r="S480" i="5"/>
  <c r="T480" i="5"/>
  <c r="U480" i="5"/>
  <c r="V480" i="5"/>
  <c r="W480" i="5"/>
  <c r="X480" i="5"/>
  <c r="AB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AC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AC482" i="5" s="1"/>
  <c r="N482" i="5"/>
  <c r="O482" i="5"/>
  <c r="P482" i="5"/>
  <c r="Q482" i="5"/>
  <c r="R482" i="5"/>
  <c r="S482" i="5"/>
  <c r="T482" i="5"/>
  <c r="U482" i="5"/>
  <c r="V482" i="5"/>
  <c r="W482" i="5"/>
  <c r="X482" i="5"/>
  <c r="AB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AC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AC484" i="5" s="1"/>
  <c r="N484" i="5"/>
  <c r="O484" i="5"/>
  <c r="P484" i="5"/>
  <c r="Q484" i="5"/>
  <c r="R484" i="5"/>
  <c r="S484" i="5"/>
  <c r="T484" i="5"/>
  <c r="U484" i="5"/>
  <c r="V484" i="5"/>
  <c r="W484" i="5"/>
  <c r="X484" i="5"/>
  <c r="AB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AC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AC486" i="5" s="1"/>
  <c r="N486" i="5"/>
  <c r="O486" i="5"/>
  <c r="P486" i="5"/>
  <c r="Q486" i="5"/>
  <c r="R486" i="5"/>
  <c r="S486" i="5"/>
  <c r="T486" i="5"/>
  <c r="U486" i="5"/>
  <c r="V486" i="5"/>
  <c r="W486" i="5"/>
  <c r="X486" i="5"/>
  <c r="AB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AC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AC488" i="5" s="1"/>
  <c r="N488" i="5"/>
  <c r="O488" i="5"/>
  <c r="P488" i="5"/>
  <c r="Q488" i="5"/>
  <c r="R488" i="5"/>
  <c r="S488" i="5"/>
  <c r="T488" i="5"/>
  <c r="U488" i="5"/>
  <c r="V488" i="5"/>
  <c r="W488" i="5"/>
  <c r="X488" i="5"/>
  <c r="AB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AC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AC490" i="5" s="1"/>
  <c r="N490" i="5"/>
  <c r="O490" i="5"/>
  <c r="P490" i="5"/>
  <c r="Q490" i="5"/>
  <c r="R490" i="5"/>
  <c r="S490" i="5"/>
  <c r="T490" i="5"/>
  <c r="U490" i="5"/>
  <c r="V490" i="5"/>
  <c r="W490" i="5"/>
  <c r="X490" i="5"/>
  <c r="AB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AC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AC492" i="5" s="1"/>
  <c r="N492" i="5"/>
  <c r="O492" i="5"/>
  <c r="P492" i="5"/>
  <c r="Q492" i="5"/>
  <c r="R492" i="5"/>
  <c r="S492" i="5"/>
  <c r="T492" i="5"/>
  <c r="U492" i="5"/>
  <c r="V492" i="5"/>
  <c r="W492" i="5"/>
  <c r="X492" i="5"/>
  <c r="AB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AC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AC494" i="5" s="1"/>
  <c r="N494" i="5"/>
  <c r="O494" i="5"/>
  <c r="P494" i="5"/>
  <c r="Q494" i="5"/>
  <c r="R494" i="5"/>
  <c r="S494" i="5"/>
  <c r="T494" i="5"/>
  <c r="U494" i="5"/>
  <c r="V494" i="5"/>
  <c r="W494" i="5"/>
  <c r="X494" i="5"/>
  <c r="AB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AC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AC496" i="5" s="1"/>
  <c r="N496" i="5"/>
  <c r="O496" i="5"/>
  <c r="P496" i="5"/>
  <c r="Q496" i="5"/>
  <c r="R496" i="5"/>
  <c r="S496" i="5"/>
  <c r="T496" i="5"/>
  <c r="U496" i="5"/>
  <c r="V496" i="5"/>
  <c r="W496" i="5"/>
  <c r="X496" i="5"/>
  <c r="AB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AC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AC498" i="5" s="1"/>
  <c r="N498" i="5"/>
  <c r="O498" i="5"/>
  <c r="P498" i="5"/>
  <c r="Q498" i="5"/>
  <c r="R498" i="5"/>
  <c r="S498" i="5"/>
  <c r="T498" i="5"/>
  <c r="U498" i="5"/>
  <c r="V498" i="5"/>
  <c r="W498" i="5"/>
  <c r="X498" i="5"/>
  <c r="AB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AC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AC500" i="5" s="1"/>
  <c r="N500" i="5"/>
  <c r="O500" i="5"/>
  <c r="P500" i="5"/>
  <c r="Q500" i="5"/>
  <c r="R500" i="5"/>
  <c r="S500" i="5"/>
  <c r="T500" i="5"/>
  <c r="U500" i="5"/>
  <c r="V500" i="5"/>
  <c r="W500" i="5"/>
  <c r="X500" i="5"/>
  <c r="AB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AC501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AC502" i="5" s="1"/>
  <c r="N502" i="5"/>
  <c r="O502" i="5"/>
  <c r="P502" i="5"/>
  <c r="Q502" i="5"/>
  <c r="R502" i="5"/>
  <c r="S502" i="5"/>
  <c r="T502" i="5"/>
  <c r="U502" i="5"/>
  <c r="V502" i="5"/>
  <c r="W502" i="5"/>
  <c r="X502" i="5"/>
  <c r="AB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AC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AC504" i="5" s="1"/>
  <c r="N504" i="5"/>
  <c r="O504" i="5"/>
  <c r="P504" i="5"/>
  <c r="Q504" i="5"/>
  <c r="R504" i="5"/>
  <c r="S504" i="5"/>
  <c r="T504" i="5"/>
  <c r="U504" i="5"/>
  <c r="V504" i="5"/>
  <c r="W504" i="5"/>
  <c r="X504" i="5"/>
  <c r="AB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N505" i="5"/>
  <c r="O505" i="5"/>
  <c r="P505" i="5"/>
  <c r="Q505" i="5"/>
  <c r="R505" i="5"/>
  <c r="S505" i="5"/>
  <c r="T505" i="5"/>
  <c r="U505" i="5"/>
  <c r="V505" i="5"/>
  <c r="W505" i="5"/>
  <c r="X505" i="5"/>
  <c r="AC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AC506" i="5" s="1"/>
  <c r="N506" i="5"/>
  <c r="O506" i="5"/>
  <c r="P506" i="5"/>
  <c r="Q506" i="5"/>
  <c r="R506" i="5"/>
  <c r="S506" i="5"/>
  <c r="T506" i="5"/>
  <c r="U506" i="5"/>
  <c r="V506" i="5"/>
  <c r="W506" i="5"/>
  <c r="X506" i="5"/>
  <c r="AB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AC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AC508" i="5" s="1"/>
  <c r="N508" i="5"/>
  <c r="O508" i="5"/>
  <c r="P508" i="5"/>
  <c r="Q508" i="5"/>
  <c r="R508" i="5"/>
  <c r="S508" i="5"/>
  <c r="T508" i="5"/>
  <c r="U508" i="5"/>
  <c r="V508" i="5"/>
  <c r="W508" i="5"/>
  <c r="X508" i="5"/>
  <c r="AB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AC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AC510" i="5" s="1"/>
  <c r="N510" i="5"/>
  <c r="O510" i="5"/>
  <c r="P510" i="5"/>
  <c r="Q510" i="5"/>
  <c r="R510" i="5"/>
  <c r="S510" i="5"/>
  <c r="T510" i="5"/>
  <c r="U510" i="5"/>
  <c r="V510" i="5"/>
  <c r="W510" i="5"/>
  <c r="X510" i="5"/>
  <c r="AB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AC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AC512" i="5" s="1"/>
  <c r="N512" i="5"/>
  <c r="O512" i="5"/>
  <c r="P512" i="5"/>
  <c r="Q512" i="5"/>
  <c r="R512" i="5"/>
  <c r="S512" i="5"/>
  <c r="T512" i="5"/>
  <c r="U512" i="5"/>
  <c r="V512" i="5"/>
  <c r="W512" i="5"/>
  <c r="X512" i="5"/>
  <c r="AB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AC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AC514" i="5" s="1"/>
  <c r="N514" i="5"/>
  <c r="O514" i="5"/>
  <c r="P514" i="5"/>
  <c r="Q514" i="5"/>
  <c r="R514" i="5"/>
  <c r="S514" i="5"/>
  <c r="T514" i="5"/>
  <c r="U514" i="5"/>
  <c r="V514" i="5"/>
  <c r="W514" i="5"/>
  <c r="X514" i="5"/>
  <c r="AB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AC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AC516" i="5" s="1"/>
  <c r="N516" i="5"/>
  <c r="O516" i="5"/>
  <c r="P516" i="5"/>
  <c r="Q516" i="5"/>
  <c r="R516" i="5"/>
  <c r="S516" i="5"/>
  <c r="T516" i="5"/>
  <c r="U516" i="5"/>
  <c r="V516" i="5"/>
  <c r="W516" i="5"/>
  <c r="X516" i="5"/>
  <c r="AB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AC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AC518" i="5" s="1"/>
  <c r="N518" i="5"/>
  <c r="O518" i="5"/>
  <c r="P518" i="5"/>
  <c r="Q518" i="5"/>
  <c r="R518" i="5"/>
  <c r="S518" i="5"/>
  <c r="T518" i="5"/>
  <c r="U518" i="5"/>
  <c r="V518" i="5"/>
  <c r="W518" i="5"/>
  <c r="X518" i="5"/>
  <c r="AB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AC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AC520" i="5" s="1"/>
  <c r="N520" i="5"/>
  <c r="O520" i="5"/>
  <c r="P520" i="5"/>
  <c r="Q520" i="5"/>
  <c r="R520" i="5"/>
  <c r="S520" i="5"/>
  <c r="T520" i="5"/>
  <c r="U520" i="5"/>
  <c r="V520" i="5"/>
  <c r="W520" i="5"/>
  <c r="X520" i="5"/>
  <c r="AB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AC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AC522" i="5" s="1"/>
  <c r="N522" i="5"/>
  <c r="O522" i="5"/>
  <c r="P522" i="5"/>
  <c r="Q522" i="5"/>
  <c r="R522" i="5"/>
  <c r="S522" i="5"/>
  <c r="T522" i="5"/>
  <c r="U522" i="5"/>
  <c r="V522" i="5"/>
  <c r="W522" i="5"/>
  <c r="X522" i="5"/>
  <c r="AB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AC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AC524" i="5" s="1"/>
  <c r="N524" i="5"/>
  <c r="O524" i="5"/>
  <c r="P524" i="5"/>
  <c r="Q524" i="5"/>
  <c r="R524" i="5"/>
  <c r="S524" i="5"/>
  <c r="T524" i="5"/>
  <c r="U524" i="5"/>
  <c r="V524" i="5"/>
  <c r="W524" i="5"/>
  <c r="X524" i="5"/>
  <c r="AB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AC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AC526" i="5" s="1"/>
  <c r="N526" i="5"/>
  <c r="O526" i="5"/>
  <c r="P526" i="5"/>
  <c r="Q526" i="5"/>
  <c r="R526" i="5"/>
  <c r="S526" i="5"/>
  <c r="T526" i="5"/>
  <c r="U526" i="5"/>
  <c r="V526" i="5"/>
  <c r="W526" i="5"/>
  <c r="X526" i="5"/>
  <c r="AB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AC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AC528" i="5" s="1"/>
  <c r="N528" i="5"/>
  <c r="O528" i="5"/>
  <c r="P528" i="5"/>
  <c r="Q528" i="5"/>
  <c r="R528" i="5"/>
  <c r="S528" i="5"/>
  <c r="T528" i="5"/>
  <c r="U528" i="5"/>
  <c r="V528" i="5"/>
  <c r="W528" i="5"/>
  <c r="X528" i="5"/>
  <c r="AB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AC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AC530" i="5" s="1"/>
  <c r="N530" i="5"/>
  <c r="O530" i="5"/>
  <c r="P530" i="5"/>
  <c r="Q530" i="5"/>
  <c r="R530" i="5"/>
  <c r="S530" i="5"/>
  <c r="T530" i="5"/>
  <c r="U530" i="5"/>
  <c r="V530" i="5"/>
  <c r="W530" i="5"/>
  <c r="X530" i="5"/>
  <c r="AB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AC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AC532" i="5" s="1"/>
  <c r="N532" i="5"/>
  <c r="O532" i="5"/>
  <c r="P532" i="5"/>
  <c r="Q532" i="5"/>
  <c r="R532" i="5"/>
  <c r="S532" i="5"/>
  <c r="T532" i="5"/>
  <c r="U532" i="5"/>
  <c r="V532" i="5"/>
  <c r="W532" i="5"/>
  <c r="X532" i="5"/>
  <c r="AB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AC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AC534" i="5" s="1"/>
  <c r="N534" i="5"/>
  <c r="O534" i="5"/>
  <c r="P534" i="5"/>
  <c r="Q534" i="5"/>
  <c r="R534" i="5"/>
  <c r="S534" i="5"/>
  <c r="T534" i="5"/>
  <c r="U534" i="5"/>
  <c r="V534" i="5"/>
  <c r="W534" i="5"/>
  <c r="X534" i="5"/>
  <c r="AB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AC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AC536" i="5" s="1"/>
  <c r="N536" i="5"/>
  <c r="O536" i="5"/>
  <c r="P536" i="5"/>
  <c r="Q536" i="5"/>
  <c r="R536" i="5"/>
  <c r="S536" i="5"/>
  <c r="T536" i="5"/>
  <c r="U536" i="5"/>
  <c r="V536" i="5"/>
  <c r="W536" i="5"/>
  <c r="X536" i="5"/>
  <c r="AB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AC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AC538" i="5" s="1"/>
  <c r="N538" i="5"/>
  <c r="O538" i="5"/>
  <c r="P538" i="5"/>
  <c r="Q538" i="5"/>
  <c r="R538" i="5"/>
  <c r="S538" i="5"/>
  <c r="T538" i="5"/>
  <c r="U538" i="5"/>
  <c r="V538" i="5"/>
  <c r="W538" i="5"/>
  <c r="X538" i="5"/>
  <c r="AB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N539" i="5"/>
  <c r="O539" i="5"/>
  <c r="P539" i="5"/>
  <c r="Q539" i="5"/>
  <c r="R539" i="5"/>
  <c r="S539" i="5"/>
  <c r="T539" i="5"/>
  <c r="U539" i="5"/>
  <c r="V539" i="5"/>
  <c r="W539" i="5"/>
  <c r="X539" i="5"/>
  <c r="AC539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AC540" i="5" s="1"/>
  <c r="N540" i="5"/>
  <c r="O540" i="5"/>
  <c r="P540" i="5"/>
  <c r="Q540" i="5"/>
  <c r="R540" i="5"/>
  <c r="S540" i="5"/>
  <c r="T540" i="5"/>
  <c r="U540" i="5"/>
  <c r="V540" i="5"/>
  <c r="W540" i="5"/>
  <c r="X540" i="5"/>
  <c r="AB540" i="5"/>
  <c r="B541" i="5"/>
  <c r="C541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AC541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AC542" i="5" s="1"/>
  <c r="N542" i="5"/>
  <c r="O542" i="5"/>
  <c r="P542" i="5"/>
  <c r="Q542" i="5"/>
  <c r="R542" i="5"/>
  <c r="S542" i="5"/>
  <c r="T542" i="5"/>
  <c r="U542" i="5"/>
  <c r="V542" i="5"/>
  <c r="W542" i="5"/>
  <c r="X542" i="5"/>
  <c r="AB542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AC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AC544" i="5" s="1"/>
  <c r="N544" i="5"/>
  <c r="O544" i="5"/>
  <c r="P544" i="5"/>
  <c r="Q544" i="5"/>
  <c r="R544" i="5"/>
  <c r="S544" i="5"/>
  <c r="T544" i="5"/>
  <c r="U544" i="5"/>
  <c r="V544" i="5"/>
  <c r="W544" i="5"/>
  <c r="X544" i="5"/>
  <c r="AB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AC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AC546" i="5" s="1"/>
  <c r="N546" i="5"/>
  <c r="O546" i="5"/>
  <c r="P546" i="5"/>
  <c r="Q546" i="5"/>
  <c r="R546" i="5"/>
  <c r="S546" i="5"/>
  <c r="T546" i="5"/>
  <c r="U546" i="5"/>
  <c r="V546" i="5"/>
  <c r="W546" i="5"/>
  <c r="X546" i="5"/>
  <c r="AB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AC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AC548" i="5" s="1"/>
  <c r="N548" i="5"/>
  <c r="O548" i="5"/>
  <c r="P548" i="5"/>
  <c r="Q548" i="5"/>
  <c r="R548" i="5"/>
  <c r="S548" i="5"/>
  <c r="T548" i="5"/>
  <c r="U548" i="5"/>
  <c r="V548" i="5"/>
  <c r="W548" i="5"/>
  <c r="X548" i="5"/>
  <c r="AB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AC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AC550" i="5" s="1"/>
  <c r="N550" i="5"/>
  <c r="O550" i="5"/>
  <c r="P550" i="5"/>
  <c r="Q550" i="5"/>
  <c r="R550" i="5"/>
  <c r="S550" i="5"/>
  <c r="T550" i="5"/>
  <c r="U550" i="5"/>
  <c r="V550" i="5"/>
  <c r="W550" i="5"/>
  <c r="X550" i="5"/>
  <c r="AB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AC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AC552" i="5" s="1"/>
  <c r="N552" i="5"/>
  <c r="O552" i="5"/>
  <c r="P552" i="5"/>
  <c r="Q552" i="5"/>
  <c r="R552" i="5"/>
  <c r="S552" i="5"/>
  <c r="T552" i="5"/>
  <c r="U552" i="5"/>
  <c r="V552" i="5"/>
  <c r="W552" i="5"/>
  <c r="X552" i="5"/>
  <c r="AB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AC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AC554" i="5" s="1"/>
  <c r="N554" i="5"/>
  <c r="O554" i="5"/>
  <c r="P554" i="5"/>
  <c r="Q554" i="5"/>
  <c r="R554" i="5"/>
  <c r="S554" i="5"/>
  <c r="T554" i="5"/>
  <c r="U554" i="5"/>
  <c r="V554" i="5"/>
  <c r="W554" i="5"/>
  <c r="X554" i="5"/>
  <c r="AB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AC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AC556" i="5" s="1"/>
  <c r="N556" i="5"/>
  <c r="O556" i="5"/>
  <c r="P556" i="5"/>
  <c r="Q556" i="5"/>
  <c r="R556" i="5"/>
  <c r="S556" i="5"/>
  <c r="T556" i="5"/>
  <c r="U556" i="5"/>
  <c r="V556" i="5"/>
  <c r="W556" i="5"/>
  <c r="X556" i="5"/>
  <c r="AB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AC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AC558" i="5" s="1"/>
  <c r="N558" i="5"/>
  <c r="O558" i="5"/>
  <c r="P558" i="5"/>
  <c r="Q558" i="5"/>
  <c r="R558" i="5"/>
  <c r="S558" i="5"/>
  <c r="T558" i="5"/>
  <c r="U558" i="5"/>
  <c r="V558" i="5"/>
  <c r="W558" i="5"/>
  <c r="X558" i="5"/>
  <c r="AB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AC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AC560" i="5" s="1"/>
  <c r="N560" i="5"/>
  <c r="O560" i="5"/>
  <c r="P560" i="5"/>
  <c r="Q560" i="5"/>
  <c r="R560" i="5"/>
  <c r="S560" i="5"/>
  <c r="T560" i="5"/>
  <c r="U560" i="5"/>
  <c r="V560" i="5"/>
  <c r="W560" i="5"/>
  <c r="X560" i="5"/>
  <c r="AB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AC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AC562" i="5" s="1"/>
  <c r="N562" i="5"/>
  <c r="O562" i="5"/>
  <c r="P562" i="5"/>
  <c r="Q562" i="5"/>
  <c r="R562" i="5"/>
  <c r="S562" i="5"/>
  <c r="T562" i="5"/>
  <c r="U562" i="5"/>
  <c r="V562" i="5"/>
  <c r="W562" i="5"/>
  <c r="X562" i="5"/>
  <c r="AB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AC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AC564" i="5" s="1"/>
  <c r="N564" i="5"/>
  <c r="O564" i="5"/>
  <c r="P564" i="5"/>
  <c r="Q564" i="5"/>
  <c r="R564" i="5"/>
  <c r="S564" i="5"/>
  <c r="T564" i="5"/>
  <c r="U564" i="5"/>
  <c r="V564" i="5"/>
  <c r="W564" i="5"/>
  <c r="X564" i="5"/>
  <c r="AB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W565" i="5"/>
  <c r="X565" i="5"/>
  <c r="AC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AC566" i="5" s="1"/>
  <c r="N566" i="5"/>
  <c r="O566" i="5"/>
  <c r="P566" i="5"/>
  <c r="Q566" i="5"/>
  <c r="R566" i="5"/>
  <c r="S566" i="5"/>
  <c r="T566" i="5"/>
  <c r="U566" i="5"/>
  <c r="V566" i="5"/>
  <c r="W566" i="5"/>
  <c r="X566" i="5"/>
  <c r="AB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AC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AC568" i="5" s="1"/>
  <c r="N568" i="5"/>
  <c r="O568" i="5"/>
  <c r="P568" i="5"/>
  <c r="Q568" i="5"/>
  <c r="R568" i="5"/>
  <c r="S568" i="5"/>
  <c r="T568" i="5"/>
  <c r="U568" i="5"/>
  <c r="V568" i="5"/>
  <c r="W568" i="5"/>
  <c r="X568" i="5"/>
  <c r="AB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AC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AC570" i="5" s="1"/>
  <c r="N570" i="5"/>
  <c r="O570" i="5"/>
  <c r="P570" i="5"/>
  <c r="Q570" i="5"/>
  <c r="R570" i="5"/>
  <c r="S570" i="5"/>
  <c r="T570" i="5"/>
  <c r="U570" i="5"/>
  <c r="V570" i="5"/>
  <c r="W570" i="5"/>
  <c r="X570" i="5"/>
  <c r="AB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AC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AC572" i="5" s="1"/>
  <c r="N572" i="5"/>
  <c r="O572" i="5"/>
  <c r="P572" i="5"/>
  <c r="Q572" i="5"/>
  <c r="R572" i="5"/>
  <c r="S572" i="5"/>
  <c r="T572" i="5"/>
  <c r="U572" i="5"/>
  <c r="V572" i="5"/>
  <c r="W572" i="5"/>
  <c r="X572" i="5"/>
  <c r="AB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AC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AC574" i="5" s="1"/>
  <c r="N574" i="5"/>
  <c r="O574" i="5"/>
  <c r="P574" i="5"/>
  <c r="Q574" i="5"/>
  <c r="R574" i="5"/>
  <c r="S574" i="5"/>
  <c r="T574" i="5"/>
  <c r="U574" i="5"/>
  <c r="V574" i="5"/>
  <c r="W574" i="5"/>
  <c r="X574" i="5"/>
  <c r="AB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N575" i="5"/>
  <c r="O575" i="5"/>
  <c r="P575" i="5"/>
  <c r="Q575" i="5"/>
  <c r="R575" i="5"/>
  <c r="S575" i="5"/>
  <c r="T575" i="5"/>
  <c r="U575" i="5"/>
  <c r="V575" i="5"/>
  <c r="W575" i="5"/>
  <c r="X575" i="5"/>
  <c r="AC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AC576" i="5" s="1"/>
  <c r="N576" i="5"/>
  <c r="O576" i="5"/>
  <c r="P576" i="5"/>
  <c r="Q576" i="5"/>
  <c r="R576" i="5"/>
  <c r="S576" i="5"/>
  <c r="T576" i="5"/>
  <c r="U576" i="5"/>
  <c r="V576" i="5"/>
  <c r="W576" i="5"/>
  <c r="X576" i="5"/>
  <c r="AB576" i="5"/>
  <c r="B577" i="5"/>
  <c r="C577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AC577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AC578" i="5" s="1"/>
  <c r="N578" i="5"/>
  <c r="O578" i="5"/>
  <c r="P578" i="5"/>
  <c r="Q578" i="5"/>
  <c r="R578" i="5"/>
  <c r="S578" i="5"/>
  <c r="T578" i="5"/>
  <c r="U578" i="5"/>
  <c r="V578" i="5"/>
  <c r="W578" i="5"/>
  <c r="X578" i="5"/>
  <c r="AB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AC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AC580" i="5" s="1"/>
  <c r="N580" i="5"/>
  <c r="O580" i="5"/>
  <c r="P580" i="5"/>
  <c r="Q580" i="5"/>
  <c r="R580" i="5"/>
  <c r="S580" i="5"/>
  <c r="T580" i="5"/>
  <c r="U580" i="5"/>
  <c r="V580" i="5"/>
  <c r="W580" i="5"/>
  <c r="X580" i="5"/>
  <c r="AB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AC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AC582" i="5" s="1"/>
  <c r="N582" i="5"/>
  <c r="O582" i="5"/>
  <c r="P582" i="5"/>
  <c r="Q582" i="5"/>
  <c r="R582" i="5"/>
  <c r="S582" i="5"/>
  <c r="T582" i="5"/>
  <c r="U582" i="5"/>
  <c r="V582" i="5"/>
  <c r="W582" i="5"/>
  <c r="X582" i="5"/>
  <c r="AB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AC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AC584" i="5" s="1"/>
  <c r="N584" i="5"/>
  <c r="O584" i="5"/>
  <c r="P584" i="5"/>
  <c r="Q584" i="5"/>
  <c r="R584" i="5"/>
  <c r="S584" i="5"/>
  <c r="T584" i="5"/>
  <c r="U584" i="5"/>
  <c r="V584" i="5"/>
  <c r="W584" i="5"/>
  <c r="X584" i="5"/>
  <c r="AB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AC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AC586" i="5" s="1"/>
  <c r="N586" i="5"/>
  <c r="O586" i="5"/>
  <c r="P586" i="5"/>
  <c r="Q586" i="5"/>
  <c r="R586" i="5"/>
  <c r="S586" i="5"/>
  <c r="T586" i="5"/>
  <c r="U586" i="5"/>
  <c r="V586" i="5"/>
  <c r="W586" i="5"/>
  <c r="X586" i="5"/>
  <c r="AB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AC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AC588" i="5" s="1"/>
  <c r="N588" i="5"/>
  <c r="O588" i="5"/>
  <c r="P588" i="5"/>
  <c r="Q588" i="5"/>
  <c r="R588" i="5"/>
  <c r="S588" i="5"/>
  <c r="T588" i="5"/>
  <c r="U588" i="5"/>
  <c r="V588" i="5"/>
  <c r="W588" i="5"/>
  <c r="X588" i="5"/>
  <c r="AB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AC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AC590" i="5" s="1"/>
  <c r="N590" i="5"/>
  <c r="O590" i="5"/>
  <c r="P590" i="5"/>
  <c r="Q590" i="5"/>
  <c r="R590" i="5"/>
  <c r="S590" i="5"/>
  <c r="T590" i="5"/>
  <c r="U590" i="5"/>
  <c r="V590" i="5"/>
  <c r="W590" i="5"/>
  <c r="X590" i="5"/>
  <c r="AB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AC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AC592" i="5" s="1"/>
  <c r="N592" i="5"/>
  <c r="O592" i="5"/>
  <c r="P592" i="5"/>
  <c r="Q592" i="5"/>
  <c r="R592" i="5"/>
  <c r="S592" i="5"/>
  <c r="T592" i="5"/>
  <c r="U592" i="5"/>
  <c r="V592" i="5"/>
  <c r="W592" i="5"/>
  <c r="X592" i="5"/>
  <c r="AB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AC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AC594" i="5" s="1"/>
  <c r="N594" i="5"/>
  <c r="O594" i="5"/>
  <c r="P594" i="5"/>
  <c r="Q594" i="5"/>
  <c r="R594" i="5"/>
  <c r="S594" i="5"/>
  <c r="T594" i="5"/>
  <c r="U594" i="5"/>
  <c r="V594" i="5"/>
  <c r="W594" i="5"/>
  <c r="X594" i="5"/>
  <c r="AB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AC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AC596" i="5" s="1"/>
  <c r="N596" i="5"/>
  <c r="O596" i="5"/>
  <c r="P596" i="5"/>
  <c r="Q596" i="5"/>
  <c r="R596" i="5"/>
  <c r="S596" i="5"/>
  <c r="T596" i="5"/>
  <c r="U596" i="5"/>
  <c r="V596" i="5"/>
  <c r="W596" i="5"/>
  <c r="X596" i="5"/>
  <c r="AB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AC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AC598" i="5" s="1"/>
  <c r="N598" i="5"/>
  <c r="O598" i="5"/>
  <c r="P598" i="5"/>
  <c r="Q598" i="5"/>
  <c r="R598" i="5"/>
  <c r="S598" i="5"/>
  <c r="T598" i="5"/>
  <c r="U598" i="5"/>
  <c r="V598" i="5"/>
  <c r="W598" i="5"/>
  <c r="X598" i="5"/>
  <c r="AB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AC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AC600" i="5" s="1"/>
  <c r="N600" i="5"/>
  <c r="O600" i="5"/>
  <c r="P600" i="5"/>
  <c r="Q600" i="5"/>
  <c r="R600" i="5"/>
  <c r="S600" i="5"/>
  <c r="T600" i="5"/>
  <c r="U600" i="5"/>
  <c r="V600" i="5"/>
  <c r="W600" i="5"/>
  <c r="X600" i="5"/>
  <c r="AB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AC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AC602" i="5" s="1"/>
  <c r="N602" i="5"/>
  <c r="O602" i="5"/>
  <c r="P602" i="5"/>
  <c r="Q602" i="5"/>
  <c r="R602" i="5"/>
  <c r="S602" i="5"/>
  <c r="T602" i="5"/>
  <c r="U602" i="5"/>
  <c r="V602" i="5"/>
  <c r="W602" i="5"/>
  <c r="X602" i="5"/>
  <c r="AB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AC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AC604" i="5" s="1"/>
  <c r="N604" i="5"/>
  <c r="O604" i="5"/>
  <c r="P604" i="5"/>
  <c r="Q604" i="5"/>
  <c r="R604" i="5"/>
  <c r="S604" i="5"/>
  <c r="T604" i="5"/>
  <c r="U604" i="5"/>
  <c r="V604" i="5"/>
  <c r="W604" i="5"/>
  <c r="X604" i="5"/>
  <c r="AB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AC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AC606" i="5" s="1"/>
  <c r="N606" i="5"/>
  <c r="O606" i="5"/>
  <c r="P606" i="5"/>
  <c r="Q606" i="5"/>
  <c r="R606" i="5"/>
  <c r="S606" i="5"/>
  <c r="T606" i="5"/>
  <c r="U606" i="5"/>
  <c r="V606" i="5"/>
  <c r="W606" i="5"/>
  <c r="X606" i="5"/>
  <c r="AB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AC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AC608" i="5" s="1"/>
  <c r="N608" i="5"/>
  <c r="O608" i="5"/>
  <c r="P608" i="5"/>
  <c r="Q608" i="5"/>
  <c r="R608" i="5"/>
  <c r="S608" i="5"/>
  <c r="T608" i="5"/>
  <c r="U608" i="5"/>
  <c r="V608" i="5"/>
  <c r="W608" i="5"/>
  <c r="X608" i="5"/>
  <c r="AB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AC609" i="5"/>
  <c r="B610" i="5"/>
  <c r="C610" i="5"/>
  <c r="D610" i="5"/>
  <c r="E610" i="5"/>
  <c r="F610" i="5"/>
  <c r="G610" i="5"/>
  <c r="H610" i="5"/>
  <c r="I610" i="5"/>
  <c r="J610" i="5"/>
  <c r="K610" i="5"/>
  <c r="L610" i="5"/>
  <c r="M610" i="5"/>
  <c r="AC610" i="5" s="1"/>
  <c r="N610" i="5"/>
  <c r="O610" i="5"/>
  <c r="P610" i="5"/>
  <c r="Q610" i="5"/>
  <c r="R610" i="5"/>
  <c r="S610" i="5"/>
  <c r="T610" i="5"/>
  <c r="U610" i="5"/>
  <c r="V610" i="5"/>
  <c r="W610" i="5"/>
  <c r="X610" i="5"/>
  <c r="AB610" i="5"/>
  <c r="B611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P611" i="5"/>
  <c r="Q611" i="5"/>
  <c r="R611" i="5"/>
  <c r="S611" i="5"/>
  <c r="T611" i="5"/>
  <c r="U611" i="5"/>
  <c r="V611" i="5"/>
  <c r="W611" i="5"/>
  <c r="X611" i="5"/>
  <c r="AC611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AC612" i="5" s="1"/>
  <c r="N612" i="5"/>
  <c r="O612" i="5"/>
  <c r="P612" i="5"/>
  <c r="Q612" i="5"/>
  <c r="R612" i="5"/>
  <c r="S612" i="5"/>
  <c r="T612" i="5"/>
  <c r="U612" i="5"/>
  <c r="V612" i="5"/>
  <c r="W612" i="5"/>
  <c r="X612" i="5"/>
  <c r="AB612" i="5"/>
  <c r="B613" i="5"/>
  <c r="C613" i="5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Q613" i="5"/>
  <c r="R613" i="5"/>
  <c r="S613" i="5"/>
  <c r="T613" i="5"/>
  <c r="U613" i="5"/>
  <c r="V613" i="5"/>
  <c r="W613" i="5"/>
  <c r="X613" i="5"/>
  <c r="AC613" i="5"/>
  <c r="B614" i="5"/>
  <c r="C614" i="5"/>
  <c r="D614" i="5"/>
  <c r="E614" i="5"/>
  <c r="F614" i="5"/>
  <c r="G614" i="5"/>
  <c r="H614" i="5"/>
  <c r="I614" i="5"/>
  <c r="J614" i="5"/>
  <c r="K614" i="5"/>
  <c r="L614" i="5"/>
  <c r="M614" i="5"/>
  <c r="AC614" i="5" s="1"/>
  <c r="N614" i="5"/>
  <c r="O614" i="5"/>
  <c r="P614" i="5"/>
  <c r="Q614" i="5"/>
  <c r="R614" i="5"/>
  <c r="S614" i="5"/>
  <c r="T614" i="5"/>
  <c r="U614" i="5"/>
  <c r="V614" i="5"/>
  <c r="W614" i="5"/>
  <c r="X614" i="5"/>
  <c r="AB614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AC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AC616" i="5" s="1"/>
  <c r="N616" i="5"/>
  <c r="O616" i="5"/>
  <c r="P616" i="5"/>
  <c r="Q616" i="5"/>
  <c r="R616" i="5"/>
  <c r="S616" i="5"/>
  <c r="T616" i="5"/>
  <c r="U616" i="5"/>
  <c r="V616" i="5"/>
  <c r="W616" i="5"/>
  <c r="X616" i="5"/>
  <c r="AB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AC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AC618" i="5" s="1"/>
  <c r="N618" i="5"/>
  <c r="O618" i="5"/>
  <c r="P618" i="5"/>
  <c r="Q618" i="5"/>
  <c r="R618" i="5"/>
  <c r="S618" i="5"/>
  <c r="T618" i="5"/>
  <c r="U618" i="5"/>
  <c r="V618" i="5"/>
  <c r="W618" i="5"/>
  <c r="X618" i="5"/>
  <c r="AB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AC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AC620" i="5" s="1"/>
  <c r="N620" i="5"/>
  <c r="O620" i="5"/>
  <c r="P620" i="5"/>
  <c r="Q620" i="5"/>
  <c r="R620" i="5"/>
  <c r="S620" i="5"/>
  <c r="T620" i="5"/>
  <c r="U620" i="5"/>
  <c r="V620" i="5"/>
  <c r="W620" i="5"/>
  <c r="X620" i="5"/>
  <c r="AB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AC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AC622" i="5" s="1"/>
  <c r="N622" i="5"/>
  <c r="O622" i="5"/>
  <c r="P622" i="5"/>
  <c r="Q622" i="5"/>
  <c r="R622" i="5"/>
  <c r="S622" i="5"/>
  <c r="T622" i="5"/>
  <c r="U622" i="5"/>
  <c r="V622" i="5"/>
  <c r="W622" i="5"/>
  <c r="X622" i="5"/>
  <c r="AB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AC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AC624" i="5" s="1"/>
  <c r="N624" i="5"/>
  <c r="O624" i="5"/>
  <c r="P624" i="5"/>
  <c r="Q624" i="5"/>
  <c r="R624" i="5"/>
  <c r="S624" i="5"/>
  <c r="T624" i="5"/>
  <c r="U624" i="5"/>
  <c r="V624" i="5"/>
  <c r="W624" i="5"/>
  <c r="X624" i="5"/>
  <c r="AB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AC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AC626" i="5" s="1"/>
  <c r="N626" i="5"/>
  <c r="O626" i="5"/>
  <c r="P626" i="5"/>
  <c r="Q626" i="5"/>
  <c r="R626" i="5"/>
  <c r="S626" i="5"/>
  <c r="T626" i="5"/>
  <c r="U626" i="5"/>
  <c r="V626" i="5"/>
  <c r="W626" i="5"/>
  <c r="X626" i="5"/>
  <c r="AB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AC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AC628" i="5" s="1"/>
  <c r="N628" i="5"/>
  <c r="O628" i="5"/>
  <c r="P628" i="5"/>
  <c r="Q628" i="5"/>
  <c r="R628" i="5"/>
  <c r="S628" i="5"/>
  <c r="T628" i="5"/>
  <c r="U628" i="5"/>
  <c r="V628" i="5"/>
  <c r="W628" i="5"/>
  <c r="X628" i="5"/>
  <c r="AB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AC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AC630" i="5" s="1"/>
  <c r="N630" i="5"/>
  <c r="O630" i="5"/>
  <c r="P630" i="5"/>
  <c r="Q630" i="5"/>
  <c r="R630" i="5"/>
  <c r="S630" i="5"/>
  <c r="T630" i="5"/>
  <c r="U630" i="5"/>
  <c r="V630" i="5"/>
  <c r="W630" i="5"/>
  <c r="X630" i="5"/>
  <c r="AB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AC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AC632" i="5" s="1"/>
  <c r="N632" i="5"/>
  <c r="O632" i="5"/>
  <c r="P632" i="5"/>
  <c r="Q632" i="5"/>
  <c r="R632" i="5"/>
  <c r="S632" i="5"/>
  <c r="T632" i="5"/>
  <c r="U632" i="5"/>
  <c r="V632" i="5"/>
  <c r="W632" i="5"/>
  <c r="X632" i="5"/>
  <c r="AB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AC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AC634" i="5" s="1"/>
  <c r="N634" i="5"/>
  <c r="O634" i="5"/>
  <c r="P634" i="5"/>
  <c r="Q634" i="5"/>
  <c r="R634" i="5"/>
  <c r="S634" i="5"/>
  <c r="T634" i="5"/>
  <c r="U634" i="5"/>
  <c r="V634" i="5"/>
  <c r="W634" i="5"/>
  <c r="X634" i="5"/>
  <c r="AB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AC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AC636" i="5" s="1"/>
  <c r="N636" i="5"/>
  <c r="O636" i="5"/>
  <c r="P636" i="5"/>
  <c r="Q636" i="5"/>
  <c r="R636" i="5"/>
  <c r="S636" i="5"/>
  <c r="T636" i="5"/>
  <c r="U636" i="5"/>
  <c r="V636" i="5"/>
  <c r="W636" i="5"/>
  <c r="X636" i="5"/>
  <c r="AB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AC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AC638" i="5" s="1"/>
  <c r="N638" i="5"/>
  <c r="O638" i="5"/>
  <c r="P638" i="5"/>
  <c r="Q638" i="5"/>
  <c r="R638" i="5"/>
  <c r="S638" i="5"/>
  <c r="T638" i="5"/>
  <c r="U638" i="5"/>
  <c r="V638" i="5"/>
  <c r="W638" i="5"/>
  <c r="X638" i="5"/>
  <c r="AB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AC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AC640" i="5" s="1"/>
  <c r="N640" i="5"/>
  <c r="O640" i="5"/>
  <c r="P640" i="5"/>
  <c r="Q640" i="5"/>
  <c r="R640" i="5"/>
  <c r="S640" i="5"/>
  <c r="T640" i="5"/>
  <c r="U640" i="5"/>
  <c r="V640" i="5"/>
  <c r="W640" i="5"/>
  <c r="X640" i="5"/>
  <c r="AB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AC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AC642" i="5" s="1"/>
  <c r="N642" i="5"/>
  <c r="O642" i="5"/>
  <c r="P642" i="5"/>
  <c r="Q642" i="5"/>
  <c r="R642" i="5"/>
  <c r="S642" i="5"/>
  <c r="T642" i="5"/>
  <c r="U642" i="5"/>
  <c r="V642" i="5"/>
  <c r="W642" i="5"/>
  <c r="X642" i="5"/>
  <c r="AB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AC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AC644" i="5" s="1"/>
  <c r="N644" i="5"/>
  <c r="O644" i="5"/>
  <c r="P644" i="5"/>
  <c r="Q644" i="5"/>
  <c r="R644" i="5"/>
  <c r="S644" i="5"/>
  <c r="T644" i="5"/>
  <c r="U644" i="5"/>
  <c r="V644" i="5"/>
  <c r="W644" i="5"/>
  <c r="X644" i="5"/>
  <c r="AB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AC645" i="5"/>
  <c r="B646" i="5"/>
  <c r="C646" i="5"/>
  <c r="D646" i="5"/>
  <c r="E646" i="5"/>
  <c r="F646" i="5"/>
  <c r="G646" i="5"/>
  <c r="H646" i="5"/>
  <c r="I646" i="5"/>
  <c r="J646" i="5"/>
  <c r="K646" i="5"/>
  <c r="L646" i="5"/>
  <c r="M646" i="5"/>
  <c r="AC646" i="5" s="1"/>
  <c r="N646" i="5"/>
  <c r="O646" i="5"/>
  <c r="P646" i="5"/>
  <c r="Q646" i="5"/>
  <c r="R646" i="5"/>
  <c r="S646" i="5"/>
  <c r="T646" i="5"/>
  <c r="U646" i="5"/>
  <c r="V646" i="5"/>
  <c r="W646" i="5"/>
  <c r="X646" i="5"/>
  <c r="AB646" i="5"/>
  <c r="B647" i="5"/>
  <c r="C647" i="5"/>
  <c r="D647" i="5"/>
  <c r="E647" i="5"/>
  <c r="F647" i="5"/>
  <c r="G647" i="5"/>
  <c r="H647" i="5"/>
  <c r="I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V647" i="5"/>
  <c r="W647" i="5"/>
  <c r="X647" i="5"/>
  <c r="AC647" i="5"/>
  <c r="B648" i="5"/>
  <c r="C648" i="5"/>
  <c r="D648" i="5"/>
  <c r="E648" i="5"/>
  <c r="F648" i="5"/>
  <c r="G648" i="5"/>
  <c r="H648" i="5"/>
  <c r="I648" i="5"/>
  <c r="J648" i="5"/>
  <c r="K648" i="5"/>
  <c r="L648" i="5"/>
  <c r="M648" i="5"/>
  <c r="AC648" i="5" s="1"/>
  <c r="N648" i="5"/>
  <c r="O648" i="5"/>
  <c r="P648" i="5"/>
  <c r="Q648" i="5"/>
  <c r="R648" i="5"/>
  <c r="S648" i="5"/>
  <c r="T648" i="5"/>
  <c r="U648" i="5"/>
  <c r="V648" i="5"/>
  <c r="W648" i="5"/>
  <c r="X648" i="5"/>
  <c r="AB648" i="5"/>
  <c r="B649" i="5"/>
  <c r="C649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V649" i="5"/>
  <c r="W649" i="5"/>
  <c r="X649" i="5"/>
  <c r="AC649" i="5"/>
  <c r="B650" i="5"/>
  <c r="C650" i="5"/>
  <c r="D650" i="5"/>
  <c r="E650" i="5"/>
  <c r="F650" i="5"/>
  <c r="G650" i="5"/>
  <c r="H650" i="5"/>
  <c r="I650" i="5"/>
  <c r="J650" i="5"/>
  <c r="K650" i="5"/>
  <c r="L650" i="5"/>
  <c r="M650" i="5"/>
  <c r="AC650" i="5" s="1"/>
  <c r="N650" i="5"/>
  <c r="O650" i="5"/>
  <c r="P650" i="5"/>
  <c r="Q650" i="5"/>
  <c r="R650" i="5"/>
  <c r="S650" i="5"/>
  <c r="T650" i="5"/>
  <c r="U650" i="5"/>
  <c r="V650" i="5"/>
  <c r="W650" i="5"/>
  <c r="X650" i="5"/>
  <c r="AB650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AC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AC652" i="5" s="1"/>
  <c r="N652" i="5"/>
  <c r="O652" i="5"/>
  <c r="P652" i="5"/>
  <c r="Q652" i="5"/>
  <c r="R652" i="5"/>
  <c r="S652" i="5"/>
  <c r="T652" i="5"/>
  <c r="U652" i="5"/>
  <c r="V652" i="5"/>
  <c r="W652" i="5"/>
  <c r="X652" i="5"/>
  <c r="AB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AC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AC654" i="5" s="1"/>
  <c r="N654" i="5"/>
  <c r="O654" i="5"/>
  <c r="P654" i="5"/>
  <c r="Q654" i="5"/>
  <c r="R654" i="5"/>
  <c r="S654" i="5"/>
  <c r="T654" i="5"/>
  <c r="U654" i="5"/>
  <c r="V654" i="5"/>
  <c r="W654" i="5"/>
  <c r="X654" i="5"/>
  <c r="AB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AC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AC656" i="5" s="1"/>
  <c r="N656" i="5"/>
  <c r="O656" i="5"/>
  <c r="P656" i="5"/>
  <c r="Q656" i="5"/>
  <c r="R656" i="5"/>
  <c r="S656" i="5"/>
  <c r="T656" i="5"/>
  <c r="U656" i="5"/>
  <c r="V656" i="5"/>
  <c r="W656" i="5"/>
  <c r="X656" i="5"/>
  <c r="AB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AC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AC658" i="5" s="1"/>
  <c r="N658" i="5"/>
  <c r="O658" i="5"/>
  <c r="P658" i="5"/>
  <c r="Q658" i="5"/>
  <c r="R658" i="5"/>
  <c r="S658" i="5"/>
  <c r="T658" i="5"/>
  <c r="U658" i="5"/>
  <c r="V658" i="5"/>
  <c r="W658" i="5"/>
  <c r="X658" i="5"/>
  <c r="AB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AC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AC660" i="5" s="1"/>
  <c r="N660" i="5"/>
  <c r="O660" i="5"/>
  <c r="P660" i="5"/>
  <c r="Q660" i="5"/>
  <c r="R660" i="5"/>
  <c r="S660" i="5"/>
  <c r="T660" i="5"/>
  <c r="U660" i="5"/>
  <c r="V660" i="5"/>
  <c r="W660" i="5"/>
  <c r="X660" i="5"/>
  <c r="AB660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AC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AC662" i="5" s="1"/>
  <c r="N662" i="5"/>
  <c r="O662" i="5"/>
  <c r="P662" i="5"/>
  <c r="Q662" i="5"/>
  <c r="R662" i="5"/>
  <c r="S662" i="5"/>
  <c r="T662" i="5"/>
  <c r="U662" i="5"/>
  <c r="V662" i="5"/>
  <c r="W662" i="5"/>
  <c r="X662" i="5"/>
  <c r="AB662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AC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AC664" i="5" s="1"/>
  <c r="N664" i="5"/>
  <c r="O664" i="5"/>
  <c r="P664" i="5"/>
  <c r="Q664" i="5"/>
  <c r="R664" i="5"/>
  <c r="S664" i="5"/>
  <c r="T664" i="5"/>
  <c r="U664" i="5"/>
  <c r="V664" i="5"/>
  <c r="W664" i="5"/>
  <c r="X664" i="5"/>
  <c r="AB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AC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AC666" i="5" s="1"/>
  <c r="N666" i="5"/>
  <c r="O666" i="5"/>
  <c r="P666" i="5"/>
  <c r="Q666" i="5"/>
  <c r="R666" i="5"/>
  <c r="S666" i="5"/>
  <c r="T666" i="5"/>
  <c r="U666" i="5"/>
  <c r="V666" i="5"/>
  <c r="W666" i="5"/>
  <c r="X666" i="5"/>
  <c r="AB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AC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AC668" i="5" s="1"/>
  <c r="N668" i="5"/>
  <c r="O668" i="5"/>
  <c r="P668" i="5"/>
  <c r="Q668" i="5"/>
  <c r="R668" i="5"/>
  <c r="S668" i="5"/>
  <c r="T668" i="5"/>
  <c r="U668" i="5"/>
  <c r="V668" i="5"/>
  <c r="W668" i="5"/>
  <c r="X668" i="5"/>
  <c r="AB668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AC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AC670" i="5" s="1"/>
  <c r="N670" i="5"/>
  <c r="O670" i="5"/>
  <c r="P670" i="5"/>
  <c r="Q670" i="5"/>
  <c r="R670" i="5"/>
  <c r="S670" i="5"/>
  <c r="T670" i="5"/>
  <c r="U670" i="5"/>
  <c r="V670" i="5"/>
  <c r="W670" i="5"/>
  <c r="X670" i="5"/>
  <c r="AB670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AC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AC672" i="5" s="1"/>
  <c r="N672" i="5"/>
  <c r="O672" i="5"/>
  <c r="P672" i="5"/>
  <c r="Q672" i="5"/>
  <c r="R672" i="5"/>
  <c r="S672" i="5"/>
  <c r="T672" i="5"/>
  <c r="U672" i="5"/>
  <c r="V672" i="5"/>
  <c r="W672" i="5"/>
  <c r="X672" i="5"/>
  <c r="AB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AC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AC674" i="5" s="1"/>
  <c r="N674" i="5"/>
  <c r="O674" i="5"/>
  <c r="P674" i="5"/>
  <c r="Q674" i="5"/>
  <c r="R674" i="5"/>
  <c r="S674" i="5"/>
  <c r="T674" i="5"/>
  <c r="U674" i="5"/>
  <c r="V674" i="5"/>
  <c r="W674" i="5"/>
  <c r="X674" i="5"/>
  <c r="AB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W675" i="5"/>
  <c r="X675" i="5"/>
  <c r="AC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AC676" i="5" s="1"/>
  <c r="N676" i="5"/>
  <c r="O676" i="5"/>
  <c r="P676" i="5"/>
  <c r="Q676" i="5"/>
  <c r="R676" i="5"/>
  <c r="S676" i="5"/>
  <c r="T676" i="5"/>
  <c r="U676" i="5"/>
  <c r="V676" i="5"/>
  <c r="W676" i="5"/>
  <c r="X676" i="5"/>
  <c r="AB676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AC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AC678" i="5" s="1"/>
  <c r="N678" i="5"/>
  <c r="O678" i="5"/>
  <c r="P678" i="5"/>
  <c r="Q678" i="5"/>
  <c r="R678" i="5"/>
  <c r="S678" i="5"/>
  <c r="T678" i="5"/>
  <c r="U678" i="5"/>
  <c r="V678" i="5"/>
  <c r="W678" i="5"/>
  <c r="X678" i="5"/>
  <c r="AB678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AC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AC680" i="5" s="1"/>
  <c r="N680" i="5"/>
  <c r="O680" i="5"/>
  <c r="P680" i="5"/>
  <c r="Q680" i="5"/>
  <c r="R680" i="5"/>
  <c r="S680" i="5"/>
  <c r="T680" i="5"/>
  <c r="U680" i="5"/>
  <c r="V680" i="5"/>
  <c r="W680" i="5"/>
  <c r="X680" i="5"/>
  <c r="AB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AC681" i="5"/>
  <c r="B682" i="5"/>
  <c r="C682" i="5"/>
  <c r="D682" i="5"/>
  <c r="E682" i="5"/>
  <c r="F682" i="5"/>
  <c r="G682" i="5"/>
  <c r="H682" i="5"/>
  <c r="I682" i="5"/>
  <c r="J682" i="5"/>
  <c r="K682" i="5"/>
  <c r="L682" i="5"/>
  <c r="M682" i="5"/>
  <c r="AC682" i="5" s="1"/>
  <c r="N682" i="5"/>
  <c r="O682" i="5"/>
  <c r="P682" i="5"/>
  <c r="Q682" i="5"/>
  <c r="R682" i="5"/>
  <c r="S682" i="5"/>
  <c r="T682" i="5"/>
  <c r="U682" i="5"/>
  <c r="V682" i="5"/>
  <c r="W682" i="5"/>
  <c r="X682" i="5"/>
  <c r="AB682" i="5"/>
  <c r="B683" i="5"/>
  <c r="C683" i="5"/>
  <c r="D683" i="5"/>
  <c r="E683" i="5"/>
  <c r="F683" i="5"/>
  <c r="G683" i="5"/>
  <c r="H683" i="5"/>
  <c r="I683" i="5"/>
  <c r="J683" i="5"/>
  <c r="K683" i="5"/>
  <c r="L683" i="5"/>
  <c r="M683" i="5"/>
  <c r="N683" i="5"/>
  <c r="O683" i="5"/>
  <c r="P683" i="5"/>
  <c r="Q683" i="5"/>
  <c r="R683" i="5"/>
  <c r="S683" i="5"/>
  <c r="T683" i="5"/>
  <c r="U683" i="5"/>
  <c r="V683" i="5"/>
  <c r="W683" i="5"/>
  <c r="X683" i="5"/>
  <c r="AC683" i="5"/>
  <c r="B684" i="5"/>
  <c r="C684" i="5"/>
  <c r="D684" i="5"/>
  <c r="E684" i="5"/>
  <c r="F684" i="5"/>
  <c r="G684" i="5"/>
  <c r="H684" i="5"/>
  <c r="I684" i="5"/>
  <c r="J684" i="5"/>
  <c r="K684" i="5"/>
  <c r="L684" i="5"/>
  <c r="M684" i="5"/>
  <c r="AC684" i="5" s="1"/>
  <c r="N684" i="5"/>
  <c r="O684" i="5"/>
  <c r="P684" i="5"/>
  <c r="Q684" i="5"/>
  <c r="R684" i="5"/>
  <c r="S684" i="5"/>
  <c r="T684" i="5"/>
  <c r="U684" i="5"/>
  <c r="V684" i="5"/>
  <c r="W684" i="5"/>
  <c r="X684" i="5"/>
  <c r="AB684" i="5"/>
  <c r="B685" i="5"/>
  <c r="C685" i="5"/>
  <c r="D685" i="5"/>
  <c r="E685" i="5"/>
  <c r="F685" i="5"/>
  <c r="G685" i="5"/>
  <c r="H685" i="5"/>
  <c r="I685" i="5"/>
  <c r="J685" i="5"/>
  <c r="K685" i="5"/>
  <c r="L685" i="5"/>
  <c r="M685" i="5"/>
  <c r="N685" i="5"/>
  <c r="O685" i="5"/>
  <c r="P685" i="5"/>
  <c r="Q685" i="5"/>
  <c r="R685" i="5"/>
  <c r="S685" i="5"/>
  <c r="T685" i="5"/>
  <c r="U685" i="5"/>
  <c r="V685" i="5"/>
  <c r="W685" i="5"/>
  <c r="X685" i="5"/>
  <c r="AC685" i="5"/>
  <c r="B686" i="5"/>
  <c r="C686" i="5"/>
  <c r="D686" i="5"/>
  <c r="E686" i="5"/>
  <c r="F686" i="5"/>
  <c r="G686" i="5"/>
  <c r="H686" i="5"/>
  <c r="I686" i="5"/>
  <c r="J686" i="5"/>
  <c r="K686" i="5"/>
  <c r="L686" i="5"/>
  <c r="M686" i="5"/>
  <c r="AC686" i="5" s="1"/>
  <c r="N686" i="5"/>
  <c r="O686" i="5"/>
  <c r="P686" i="5"/>
  <c r="Q686" i="5"/>
  <c r="R686" i="5"/>
  <c r="S686" i="5"/>
  <c r="T686" i="5"/>
  <c r="U686" i="5"/>
  <c r="V686" i="5"/>
  <c r="W686" i="5"/>
  <c r="X686" i="5"/>
  <c r="AB686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W687" i="5"/>
  <c r="X687" i="5"/>
  <c r="AC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AC688" i="5" s="1"/>
  <c r="N688" i="5"/>
  <c r="O688" i="5"/>
  <c r="P688" i="5"/>
  <c r="Q688" i="5"/>
  <c r="R688" i="5"/>
  <c r="S688" i="5"/>
  <c r="T688" i="5"/>
  <c r="U688" i="5"/>
  <c r="V688" i="5"/>
  <c r="W688" i="5"/>
  <c r="X688" i="5"/>
  <c r="AB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AC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AC690" i="5" s="1"/>
  <c r="N690" i="5"/>
  <c r="O690" i="5"/>
  <c r="P690" i="5"/>
  <c r="Q690" i="5"/>
  <c r="R690" i="5"/>
  <c r="S690" i="5"/>
  <c r="T690" i="5"/>
  <c r="U690" i="5"/>
  <c r="V690" i="5"/>
  <c r="W690" i="5"/>
  <c r="X690" i="5"/>
  <c r="AB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AC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AC692" i="5" s="1"/>
  <c r="N692" i="5"/>
  <c r="O692" i="5"/>
  <c r="P692" i="5"/>
  <c r="Q692" i="5"/>
  <c r="R692" i="5"/>
  <c r="S692" i="5"/>
  <c r="T692" i="5"/>
  <c r="U692" i="5"/>
  <c r="V692" i="5"/>
  <c r="W692" i="5"/>
  <c r="X692" i="5"/>
  <c r="AB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AC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AC694" i="5" s="1"/>
  <c r="N694" i="5"/>
  <c r="O694" i="5"/>
  <c r="P694" i="5"/>
  <c r="Q694" i="5"/>
  <c r="R694" i="5"/>
  <c r="S694" i="5"/>
  <c r="T694" i="5"/>
  <c r="U694" i="5"/>
  <c r="V694" i="5"/>
  <c r="W694" i="5"/>
  <c r="X694" i="5"/>
  <c r="AB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AC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AC696" i="5" s="1"/>
  <c r="N696" i="5"/>
  <c r="O696" i="5"/>
  <c r="P696" i="5"/>
  <c r="Q696" i="5"/>
  <c r="R696" i="5"/>
  <c r="S696" i="5"/>
  <c r="T696" i="5"/>
  <c r="U696" i="5"/>
  <c r="V696" i="5"/>
  <c r="W696" i="5"/>
  <c r="X696" i="5"/>
  <c r="AB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AC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AC698" i="5" s="1"/>
  <c r="N698" i="5"/>
  <c r="O698" i="5"/>
  <c r="P698" i="5"/>
  <c r="Q698" i="5"/>
  <c r="R698" i="5"/>
  <c r="S698" i="5"/>
  <c r="T698" i="5"/>
  <c r="U698" i="5"/>
  <c r="V698" i="5"/>
  <c r="W698" i="5"/>
  <c r="X698" i="5"/>
  <c r="AB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AC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AC700" i="5" s="1"/>
  <c r="N700" i="5"/>
  <c r="O700" i="5"/>
  <c r="P700" i="5"/>
  <c r="Q700" i="5"/>
  <c r="R700" i="5"/>
  <c r="S700" i="5"/>
  <c r="T700" i="5"/>
  <c r="U700" i="5"/>
  <c r="V700" i="5"/>
  <c r="W700" i="5"/>
  <c r="X700" i="5"/>
  <c r="AB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AC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AC702" i="5" s="1"/>
  <c r="N702" i="5"/>
  <c r="O702" i="5"/>
  <c r="P702" i="5"/>
  <c r="Q702" i="5"/>
  <c r="R702" i="5"/>
  <c r="S702" i="5"/>
  <c r="T702" i="5"/>
  <c r="U702" i="5"/>
  <c r="V702" i="5"/>
  <c r="W702" i="5"/>
  <c r="X702" i="5"/>
  <c r="AB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W703" i="5"/>
  <c r="X703" i="5"/>
  <c r="AC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AC704" i="5" s="1"/>
  <c r="N704" i="5"/>
  <c r="O704" i="5"/>
  <c r="P704" i="5"/>
  <c r="Q704" i="5"/>
  <c r="R704" i="5"/>
  <c r="S704" i="5"/>
  <c r="T704" i="5"/>
  <c r="U704" i="5"/>
  <c r="V704" i="5"/>
  <c r="W704" i="5"/>
  <c r="X704" i="5"/>
  <c r="AB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AC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AC706" i="5" s="1"/>
  <c r="N706" i="5"/>
  <c r="O706" i="5"/>
  <c r="P706" i="5"/>
  <c r="Q706" i="5"/>
  <c r="R706" i="5"/>
  <c r="S706" i="5"/>
  <c r="T706" i="5"/>
  <c r="U706" i="5"/>
  <c r="V706" i="5"/>
  <c r="W706" i="5"/>
  <c r="X706" i="5"/>
  <c r="AB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AC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AC708" i="5" s="1"/>
  <c r="N708" i="5"/>
  <c r="O708" i="5"/>
  <c r="P708" i="5"/>
  <c r="Q708" i="5"/>
  <c r="R708" i="5"/>
  <c r="S708" i="5"/>
  <c r="T708" i="5"/>
  <c r="U708" i="5"/>
  <c r="V708" i="5"/>
  <c r="W708" i="5"/>
  <c r="X708" i="5"/>
  <c r="AB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W709" i="5"/>
  <c r="X709" i="5"/>
  <c r="AC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AC710" i="5" s="1"/>
  <c r="N710" i="5"/>
  <c r="O710" i="5"/>
  <c r="P710" i="5"/>
  <c r="Q710" i="5"/>
  <c r="R710" i="5"/>
  <c r="S710" i="5"/>
  <c r="T710" i="5"/>
  <c r="U710" i="5"/>
  <c r="V710" i="5"/>
  <c r="W710" i="5"/>
  <c r="X710" i="5"/>
  <c r="AB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AC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AC712" i="5" s="1"/>
  <c r="N712" i="5"/>
  <c r="O712" i="5"/>
  <c r="P712" i="5"/>
  <c r="Q712" i="5"/>
  <c r="R712" i="5"/>
  <c r="S712" i="5"/>
  <c r="T712" i="5"/>
  <c r="U712" i="5"/>
  <c r="V712" i="5"/>
  <c r="W712" i="5"/>
  <c r="X712" i="5"/>
  <c r="AB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AC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AC714" i="5" s="1"/>
  <c r="N714" i="5"/>
  <c r="O714" i="5"/>
  <c r="P714" i="5"/>
  <c r="Q714" i="5"/>
  <c r="R714" i="5"/>
  <c r="S714" i="5"/>
  <c r="T714" i="5"/>
  <c r="U714" i="5"/>
  <c r="V714" i="5"/>
  <c r="W714" i="5"/>
  <c r="X714" i="5"/>
  <c r="AB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AC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AC716" i="5" s="1"/>
  <c r="N716" i="5"/>
  <c r="O716" i="5"/>
  <c r="P716" i="5"/>
  <c r="Q716" i="5"/>
  <c r="R716" i="5"/>
  <c r="S716" i="5"/>
  <c r="T716" i="5"/>
  <c r="U716" i="5"/>
  <c r="V716" i="5"/>
  <c r="W716" i="5"/>
  <c r="X716" i="5"/>
  <c r="AB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W717" i="5"/>
  <c r="X717" i="5"/>
  <c r="AC717" i="5"/>
  <c r="B718" i="5"/>
  <c r="C718" i="5"/>
  <c r="D718" i="5"/>
  <c r="E718" i="5"/>
  <c r="F718" i="5"/>
  <c r="G718" i="5"/>
  <c r="H718" i="5"/>
  <c r="I718" i="5"/>
  <c r="J718" i="5"/>
  <c r="K718" i="5"/>
  <c r="L718" i="5"/>
  <c r="M718" i="5"/>
  <c r="AC718" i="5" s="1"/>
  <c r="N718" i="5"/>
  <c r="O718" i="5"/>
  <c r="P718" i="5"/>
  <c r="Q718" i="5"/>
  <c r="R718" i="5"/>
  <c r="S718" i="5"/>
  <c r="T718" i="5"/>
  <c r="U718" i="5"/>
  <c r="V718" i="5"/>
  <c r="W718" i="5"/>
  <c r="X718" i="5"/>
  <c r="AB718" i="5"/>
  <c r="B719" i="5"/>
  <c r="C719" i="5"/>
  <c r="D719" i="5"/>
  <c r="E719" i="5"/>
  <c r="F719" i="5"/>
  <c r="G719" i="5"/>
  <c r="H719" i="5"/>
  <c r="I719" i="5"/>
  <c r="J719" i="5"/>
  <c r="K719" i="5"/>
  <c r="L719" i="5"/>
  <c r="M719" i="5"/>
  <c r="N719" i="5"/>
  <c r="O719" i="5"/>
  <c r="P719" i="5"/>
  <c r="Q719" i="5"/>
  <c r="R719" i="5"/>
  <c r="S719" i="5"/>
  <c r="T719" i="5"/>
  <c r="U719" i="5"/>
  <c r="V719" i="5"/>
  <c r="W719" i="5"/>
  <c r="X719" i="5"/>
  <c r="AC719" i="5"/>
  <c r="B720" i="5"/>
  <c r="C720" i="5"/>
  <c r="D720" i="5"/>
  <c r="E720" i="5"/>
  <c r="F720" i="5"/>
  <c r="G720" i="5"/>
  <c r="H720" i="5"/>
  <c r="I720" i="5"/>
  <c r="J720" i="5"/>
  <c r="K720" i="5"/>
  <c r="L720" i="5"/>
  <c r="M720" i="5"/>
  <c r="AC720" i="5" s="1"/>
  <c r="N720" i="5"/>
  <c r="O720" i="5"/>
  <c r="P720" i="5"/>
  <c r="Q720" i="5"/>
  <c r="R720" i="5"/>
  <c r="S720" i="5"/>
  <c r="T720" i="5"/>
  <c r="U720" i="5"/>
  <c r="V720" i="5"/>
  <c r="W720" i="5"/>
  <c r="X720" i="5"/>
  <c r="AB720" i="5"/>
  <c r="B721" i="5"/>
  <c r="C721" i="5"/>
  <c r="D721" i="5"/>
  <c r="E721" i="5"/>
  <c r="F721" i="5"/>
  <c r="G721" i="5"/>
  <c r="H721" i="5"/>
  <c r="I721" i="5"/>
  <c r="J721" i="5"/>
  <c r="K721" i="5"/>
  <c r="L721" i="5"/>
  <c r="M721" i="5"/>
  <c r="N721" i="5"/>
  <c r="O721" i="5"/>
  <c r="P721" i="5"/>
  <c r="Q721" i="5"/>
  <c r="R721" i="5"/>
  <c r="S721" i="5"/>
  <c r="T721" i="5"/>
  <c r="U721" i="5"/>
  <c r="V721" i="5"/>
  <c r="W721" i="5"/>
  <c r="X721" i="5"/>
  <c r="AC721" i="5"/>
  <c r="B722" i="5"/>
  <c r="C722" i="5"/>
  <c r="D722" i="5"/>
  <c r="E722" i="5"/>
  <c r="F722" i="5"/>
  <c r="G722" i="5"/>
  <c r="H722" i="5"/>
  <c r="I722" i="5"/>
  <c r="J722" i="5"/>
  <c r="K722" i="5"/>
  <c r="L722" i="5"/>
  <c r="M722" i="5"/>
  <c r="AC722" i="5" s="1"/>
  <c r="N722" i="5"/>
  <c r="O722" i="5"/>
  <c r="P722" i="5"/>
  <c r="Q722" i="5"/>
  <c r="R722" i="5"/>
  <c r="S722" i="5"/>
  <c r="T722" i="5"/>
  <c r="U722" i="5"/>
  <c r="V722" i="5"/>
  <c r="W722" i="5"/>
  <c r="X722" i="5"/>
  <c r="AB722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AC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AC724" i="5" s="1"/>
  <c r="N724" i="5"/>
  <c r="O724" i="5"/>
  <c r="P724" i="5"/>
  <c r="Q724" i="5"/>
  <c r="R724" i="5"/>
  <c r="S724" i="5"/>
  <c r="T724" i="5"/>
  <c r="U724" i="5"/>
  <c r="V724" i="5"/>
  <c r="W724" i="5"/>
  <c r="X724" i="5"/>
  <c r="AB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AC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AC726" i="5" s="1"/>
  <c r="N726" i="5"/>
  <c r="O726" i="5"/>
  <c r="P726" i="5"/>
  <c r="Q726" i="5"/>
  <c r="R726" i="5"/>
  <c r="S726" i="5"/>
  <c r="T726" i="5"/>
  <c r="U726" i="5"/>
  <c r="V726" i="5"/>
  <c r="W726" i="5"/>
  <c r="X726" i="5"/>
  <c r="AB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W727" i="5"/>
  <c r="X727" i="5"/>
  <c r="AC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AC728" i="5" s="1"/>
  <c r="N728" i="5"/>
  <c r="O728" i="5"/>
  <c r="P728" i="5"/>
  <c r="Q728" i="5"/>
  <c r="R728" i="5"/>
  <c r="S728" i="5"/>
  <c r="T728" i="5"/>
  <c r="U728" i="5"/>
  <c r="V728" i="5"/>
  <c r="W728" i="5"/>
  <c r="X728" i="5"/>
  <c r="AB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AC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AC730" i="5" s="1"/>
  <c r="N730" i="5"/>
  <c r="O730" i="5"/>
  <c r="P730" i="5"/>
  <c r="Q730" i="5"/>
  <c r="R730" i="5"/>
  <c r="S730" i="5"/>
  <c r="T730" i="5"/>
  <c r="U730" i="5"/>
  <c r="V730" i="5"/>
  <c r="W730" i="5"/>
  <c r="X730" i="5"/>
  <c r="AB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AC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AC732" i="5" s="1"/>
  <c r="N732" i="5"/>
  <c r="O732" i="5"/>
  <c r="P732" i="5"/>
  <c r="Q732" i="5"/>
  <c r="R732" i="5"/>
  <c r="S732" i="5"/>
  <c r="T732" i="5"/>
  <c r="U732" i="5"/>
  <c r="V732" i="5"/>
  <c r="W732" i="5"/>
  <c r="X732" i="5"/>
  <c r="AB732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AC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AC734" i="5" s="1"/>
  <c r="N734" i="5"/>
  <c r="O734" i="5"/>
  <c r="P734" i="5"/>
  <c r="Q734" i="5"/>
  <c r="R734" i="5"/>
  <c r="S734" i="5"/>
  <c r="T734" i="5"/>
  <c r="U734" i="5"/>
  <c r="V734" i="5"/>
  <c r="W734" i="5"/>
  <c r="X734" i="5"/>
  <c r="AB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AC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AC736" i="5" s="1"/>
  <c r="N736" i="5"/>
  <c r="O736" i="5"/>
  <c r="P736" i="5"/>
  <c r="Q736" i="5"/>
  <c r="R736" i="5"/>
  <c r="S736" i="5"/>
  <c r="T736" i="5"/>
  <c r="U736" i="5"/>
  <c r="V736" i="5"/>
  <c r="W736" i="5"/>
  <c r="X736" i="5"/>
  <c r="AB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AC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W738" i="5"/>
  <c r="X738" i="5"/>
  <c r="AB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W739" i="5"/>
  <c r="X739" i="5"/>
  <c r="AC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AB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AC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AB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AC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AB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AC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AB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AC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AB748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AC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AB750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AC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AB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AC753" i="5"/>
  <c r="B754" i="5"/>
  <c r="C754" i="5"/>
  <c r="D754" i="5"/>
  <c r="E754" i="5"/>
  <c r="F754" i="5"/>
  <c r="G754" i="5"/>
  <c r="H754" i="5"/>
  <c r="I754" i="5"/>
  <c r="J754" i="5"/>
  <c r="K754" i="5"/>
  <c r="L754" i="5"/>
  <c r="M754" i="5"/>
  <c r="N754" i="5"/>
  <c r="O754" i="5"/>
  <c r="P754" i="5"/>
  <c r="Q754" i="5"/>
  <c r="R754" i="5"/>
  <c r="S754" i="5"/>
  <c r="T754" i="5"/>
  <c r="U754" i="5"/>
  <c r="V754" i="5"/>
  <c r="W754" i="5"/>
  <c r="X754" i="5"/>
  <c r="AB754" i="5"/>
  <c r="B755" i="5"/>
  <c r="C755" i="5"/>
  <c r="D755" i="5"/>
  <c r="E755" i="5"/>
  <c r="F755" i="5"/>
  <c r="G755" i="5"/>
  <c r="H755" i="5"/>
  <c r="I755" i="5"/>
  <c r="J755" i="5"/>
  <c r="K755" i="5"/>
  <c r="L755" i="5"/>
  <c r="M755" i="5"/>
  <c r="N755" i="5"/>
  <c r="O755" i="5"/>
  <c r="P755" i="5"/>
  <c r="Q755" i="5"/>
  <c r="R755" i="5"/>
  <c r="S755" i="5"/>
  <c r="T755" i="5"/>
  <c r="U755" i="5"/>
  <c r="V755" i="5"/>
  <c r="W755" i="5"/>
  <c r="X755" i="5"/>
  <c r="AC755" i="5"/>
  <c r="B756" i="5"/>
  <c r="C756" i="5"/>
  <c r="D756" i="5"/>
  <c r="E756" i="5"/>
  <c r="F756" i="5"/>
  <c r="G756" i="5"/>
  <c r="H756" i="5"/>
  <c r="I756" i="5"/>
  <c r="J756" i="5"/>
  <c r="K756" i="5"/>
  <c r="L756" i="5"/>
  <c r="M756" i="5"/>
  <c r="N756" i="5"/>
  <c r="O756" i="5"/>
  <c r="P756" i="5"/>
  <c r="Q756" i="5"/>
  <c r="R756" i="5"/>
  <c r="S756" i="5"/>
  <c r="T756" i="5"/>
  <c r="U756" i="5"/>
  <c r="V756" i="5"/>
  <c r="W756" i="5"/>
  <c r="X756" i="5"/>
  <c r="AB756" i="5"/>
  <c r="B757" i="5"/>
  <c r="C757" i="5"/>
  <c r="D757" i="5"/>
  <c r="E757" i="5"/>
  <c r="F757" i="5"/>
  <c r="G757" i="5"/>
  <c r="H757" i="5"/>
  <c r="I757" i="5"/>
  <c r="J757" i="5"/>
  <c r="K757" i="5"/>
  <c r="L757" i="5"/>
  <c r="M757" i="5"/>
  <c r="N757" i="5"/>
  <c r="O757" i="5"/>
  <c r="P757" i="5"/>
  <c r="Q757" i="5"/>
  <c r="R757" i="5"/>
  <c r="S757" i="5"/>
  <c r="T757" i="5"/>
  <c r="U757" i="5"/>
  <c r="V757" i="5"/>
  <c r="W757" i="5"/>
  <c r="X757" i="5"/>
  <c r="AC757" i="5"/>
  <c r="B758" i="5"/>
  <c r="C758" i="5"/>
  <c r="D758" i="5"/>
  <c r="E758" i="5"/>
  <c r="F758" i="5"/>
  <c r="G758" i="5"/>
  <c r="H758" i="5"/>
  <c r="I758" i="5"/>
  <c r="J758" i="5"/>
  <c r="K758" i="5"/>
  <c r="L758" i="5"/>
  <c r="M758" i="5"/>
  <c r="N758" i="5"/>
  <c r="O758" i="5"/>
  <c r="P758" i="5"/>
  <c r="Q758" i="5"/>
  <c r="R758" i="5"/>
  <c r="S758" i="5"/>
  <c r="T758" i="5"/>
  <c r="U758" i="5"/>
  <c r="V758" i="5"/>
  <c r="W758" i="5"/>
  <c r="X758" i="5"/>
  <c r="AB758" i="5"/>
  <c r="B759" i="5"/>
  <c r="C759" i="5"/>
  <c r="D759" i="5"/>
  <c r="E759" i="5"/>
  <c r="F759" i="5"/>
  <c r="G759" i="5"/>
  <c r="H759" i="5"/>
  <c r="I759" i="5"/>
  <c r="J759" i="5"/>
  <c r="K759" i="5"/>
  <c r="L759" i="5"/>
  <c r="M759" i="5"/>
  <c r="N759" i="5"/>
  <c r="O759" i="5"/>
  <c r="P759" i="5"/>
  <c r="Q759" i="5"/>
  <c r="R759" i="5"/>
  <c r="S759" i="5"/>
  <c r="T759" i="5"/>
  <c r="U759" i="5"/>
  <c r="V759" i="5"/>
  <c r="W759" i="5"/>
  <c r="X759" i="5"/>
  <c r="AC759" i="5"/>
  <c r="B760" i="5"/>
  <c r="C760" i="5"/>
  <c r="D760" i="5"/>
  <c r="E760" i="5"/>
  <c r="F760" i="5"/>
  <c r="G760" i="5"/>
  <c r="H760" i="5"/>
  <c r="I760" i="5"/>
  <c r="J760" i="5"/>
  <c r="K760" i="5"/>
  <c r="L760" i="5"/>
  <c r="M760" i="5"/>
  <c r="N760" i="5"/>
  <c r="O760" i="5"/>
  <c r="P760" i="5"/>
  <c r="Q760" i="5"/>
  <c r="R760" i="5"/>
  <c r="S760" i="5"/>
  <c r="T760" i="5"/>
  <c r="U760" i="5"/>
  <c r="V760" i="5"/>
  <c r="W760" i="5"/>
  <c r="X760" i="5"/>
  <c r="AB760" i="5"/>
  <c r="B761" i="5"/>
  <c r="C761" i="5"/>
  <c r="D761" i="5"/>
  <c r="E761" i="5"/>
  <c r="F761" i="5"/>
  <c r="G761" i="5"/>
  <c r="H761" i="5"/>
  <c r="I761" i="5"/>
  <c r="J761" i="5"/>
  <c r="K761" i="5"/>
  <c r="L761" i="5"/>
  <c r="M761" i="5"/>
  <c r="N761" i="5"/>
  <c r="O761" i="5"/>
  <c r="P761" i="5"/>
  <c r="Q761" i="5"/>
  <c r="R761" i="5"/>
  <c r="S761" i="5"/>
  <c r="T761" i="5"/>
  <c r="U761" i="5"/>
  <c r="V761" i="5"/>
  <c r="W761" i="5"/>
  <c r="X761" i="5"/>
  <c r="AC761" i="5"/>
  <c r="B762" i="5"/>
  <c r="C762" i="5"/>
  <c r="D762" i="5"/>
  <c r="E762" i="5"/>
  <c r="F762" i="5"/>
  <c r="G762" i="5"/>
  <c r="H762" i="5"/>
  <c r="I762" i="5"/>
  <c r="J762" i="5"/>
  <c r="K762" i="5"/>
  <c r="L762" i="5"/>
  <c r="M762" i="5"/>
  <c r="N762" i="5"/>
  <c r="O762" i="5"/>
  <c r="P762" i="5"/>
  <c r="Q762" i="5"/>
  <c r="R762" i="5"/>
  <c r="S762" i="5"/>
  <c r="T762" i="5"/>
  <c r="U762" i="5"/>
  <c r="V762" i="5"/>
  <c r="W762" i="5"/>
  <c r="X762" i="5"/>
  <c r="AB762" i="5"/>
  <c r="B763" i="5"/>
  <c r="C763" i="5"/>
  <c r="D763" i="5"/>
  <c r="E763" i="5"/>
  <c r="F763" i="5"/>
  <c r="G763" i="5"/>
  <c r="H763" i="5"/>
  <c r="I763" i="5"/>
  <c r="J763" i="5"/>
  <c r="K763" i="5"/>
  <c r="L763" i="5"/>
  <c r="M763" i="5"/>
  <c r="N763" i="5"/>
  <c r="O763" i="5"/>
  <c r="P763" i="5"/>
  <c r="Q763" i="5"/>
  <c r="R763" i="5"/>
  <c r="S763" i="5"/>
  <c r="T763" i="5"/>
  <c r="U763" i="5"/>
  <c r="V763" i="5"/>
  <c r="W763" i="5"/>
  <c r="X763" i="5"/>
  <c r="AC763" i="5"/>
  <c r="B764" i="5"/>
  <c r="C764" i="5"/>
  <c r="D764" i="5"/>
  <c r="E764" i="5"/>
  <c r="F764" i="5"/>
  <c r="G764" i="5"/>
  <c r="H764" i="5"/>
  <c r="I764" i="5"/>
  <c r="J764" i="5"/>
  <c r="K764" i="5"/>
  <c r="L764" i="5"/>
  <c r="M764" i="5"/>
  <c r="N764" i="5"/>
  <c r="O764" i="5"/>
  <c r="P764" i="5"/>
  <c r="Q764" i="5"/>
  <c r="R764" i="5"/>
  <c r="S764" i="5"/>
  <c r="T764" i="5"/>
  <c r="U764" i="5"/>
  <c r="V764" i="5"/>
  <c r="W764" i="5"/>
  <c r="X764" i="5"/>
  <c r="AB764" i="5"/>
  <c r="B765" i="5"/>
  <c r="C765" i="5"/>
  <c r="D765" i="5"/>
  <c r="E765" i="5"/>
  <c r="F765" i="5"/>
  <c r="G765" i="5"/>
  <c r="H765" i="5"/>
  <c r="I765" i="5"/>
  <c r="J765" i="5"/>
  <c r="K765" i="5"/>
  <c r="L765" i="5"/>
  <c r="M765" i="5"/>
  <c r="N765" i="5"/>
  <c r="O765" i="5"/>
  <c r="P765" i="5"/>
  <c r="Q765" i="5"/>
  <c r="R765" i="5"/>
  <c r="S765" i="5"/>
  <c r="T765" i="5"/>
  <c r="U765" i="5"/>
  <c r="V765" i="5"/>
  <c r="W765" i="5"/>
  <c r="X765" i="5"/>
  <c r="AC765" i="5"/>
  <c r="B766" i="5"/>
  <c r="C766" i="5"/>
  <c r="D766" i="5"/>
  <c r="E766" i="5"/>
  <c r="F766" i="5"/>
  <c r="G766" i="5"/>
  <c r="H766" i="5"/>
  <c r="I766" i="5"/>
  <c r="J766" i="5"/>
  <c r="K766" i="5"/>
  <c r="L766" i="5"/>
  <c r="M766" i="5"/>
  <c r="N766" i="5"/>
  <c r="O766" i="5"/>
  <c r="P766" i="5"/>
  <c r="Q766" i="5"/>
  <c r="R766" i="5"/>
  <c r="S766" i="5"/>
  <c r="T766" i="5"/>
  <c r="U766" i="5"/>
  <c r="V766" i="5"/>
  <c r="W766" i="5"/>
  <c r="X766" i="5"/>
  <c r="AB766" i="5"/>
  <c r="B767" i="5"/>
  <c r="C767" i="5"/>
  <c r="D767" i="5"/>
  <c r="E767" i="5"/>
  <c r="F767" i="5"/>
  <c r="G767" i="5"/>
  <c r="H767" i="5"/>
  <c r="I767" i="5"/>
  <c r="J767" i="5"/>
  <c r="K767" i="5"/>
  <c r="L767" i="5"/>
  <c r="M767" i="5"/>
  <c r="AC767" i="5" s="1"/>
  <c r="N767" i="5"/>
  <c r="O767" i="5"/>
  <c r="P767" i="5"/>
  <c r="Q767" i="5"/>
  <c r="R767" i="5"/>
  <c r="S767" i="5"/>
  <c r="T767" i="5"/>
  <c r="U767" i="5"/>
  <c r="V767" i="5"/>
  <c r="W767" i="5"/>
  <c r="X767" i="5"/>
  <c r="AB767" i="5"/>
  <c r="B768" i="5"/>
  <c r="C768" i="5"/>
  <c r="D768" i="5"/>
  <c r="E768" i="5"/>
  <c r="F768" i="5"/>
  <c r="G768" i="5"/>
  <c r="H768" i="5"/>
  <c r="I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V768" i="5"/>
  <c r="W768" i="5"/>
  <c r="X768" i="5"/>
  <c r="AC768" i="5"/>
  <c r="B769" i="5"/>
  <c r="C769" i="5"/>
  <c r="D769" i="5"/>
  <c r="E769" i="5"/>
  <c r="F769" i="5"/>
  <c r="G769" i="5"/>
  <c r="H769" i="5"/>
  <c r="I769" i="5"/>
  <c r="J769" i="5"/>
  <c r="K769" i="5"/>
  <c r="L769" i="5"/>
  <c r="M769" i="5"/>
  <c r="AC769" i="5" s="1"/>
  <c r="N769" i="5"/>
  <c r="O769" i="5"/>
  <c r="P769" i="5"/>
  <c r="Q769" i="5"/>
  <c r="R769" i="5"/>
  <c r="S769" i="5"/>
  <c r="T769" i="5"/>
  <c r="U769" i="5"/>
  <c r="V769" i="5"/>
  <c r="W769" i="5"/>
  <c r="X769" i="5"/>
  <c r="AB769" i="5"/>
  <c r="B770" i="5"/>
  <c r="C770" i="5"/>
  <c r="D770" i="5"/>
  <c r="E770" i="5"/>
  <c r="F770" i="5"/>
  <c r="G770" i="5"/>
  <c r="H770" i="5"/>
  <c r="I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V770" i="5"/>
  <c r="W770" i="5"/>
  <c r="X770" i="5"/>
  <c r="AC770" i="5"/>
  <c r="B771" i="5"/>
  <c r="C771" i="5"/>
  <c r="D771" i="5"/>
  <c r="E771" i="5"/>
  <c r="F771" i="5"/>
  <c r="G771" i="5"/>
  <c r="H771" i="5"/>
  <c r="I771" i="5"/>
  <c r="J771" i="5"/>
  <c r="K771" i="5"/>
  <c r="L771" i="5"/>
  <c r="M771" i="5"/>
  <c r="AC771" i="5" s="1"/>
  <c r="N771" i="5"/>
  <c r="O771" i="5"/>
  <c r="P771" i="5"/>
  <c r="Q771" i="5"/>
  <c r="R771" i="5"/>
  <c r="S771" i="5"/>
  <c r="T771" i="5"/>
  <c r="U771" i="5"/>
  <c r="V771" i="5"/>
  <c r="W771" i="5"/>
  <c r="X771" i="5"/>
  <c r="AB771" i="5"/>
  <c r="B772" i="5"/>
  <c r="C772" i="5"/>
  <c r="D772" i="5"/>
  <c r="E772" i="5"/>
  <c r="F772" i="5"/>
  <c r="G772" i="5"/>
  <c r="H772" i="5"/>
  <c r="I772" i="5"/>
  <c r="J772" i="5"/>
  <c r="K772" i="5"/>
  <c r="L772" i="5"/>
  <c r="M772" i="5"/>
  <c r="N772" i="5"/>
  <c r="O772" i="5"/>
  <c r="P772" i="5"/>
  <c r="Q772" i="5"/>
  <c r="R772" i="5"/>
  <c r="S772" i="5"/>
  <c r="T772" i="5"/>
  <c r="U772" i="5"/>
  <c r="V772" i="5"/>
  <c r="W772" i="5"/>
  <c r="X772" i="5"/>
  <c r="AC772" i="5"/>
  <c r="B773" i="5"/>
  <c r="C773" i="5"/>
  <c r="D773" i="5"/>
  <c r="E773" i="5"/>
  <c r="F773" i="5"/>
  <c r="G773" i="5"/>
  <c r="H773" i="5"/>
  <c r="I773" i="5"/>
  <c r="J773" i="5"/>
  <c r="K773" i="5"/>
  <c r="L773" i="5"/>
  <c r="M773" i="5"/>
  <c r="AC773" i="5" s="1"/>
  <c r="N773" i="5"/>
  <c r="O773" i="5"/>
  <c r="P773" i="5"/>
  <c r="Q773" i="5"/>
  <c r="R773" i="5"/>
  <c r="S773" i="5"/>
  <c r="T773" i="5"/>
  <c r="U773" i="5"/>
  <c r="V773" i="5"/>
  <c r="W773" i="5"/>
  <c r="X773" i="5"/>
  <c r="AB773" i="5"/>
  <c r="B774" i="5"/>
  <c r="C774" i="5"/>
  <c r="D774" i="5"/>
  <c r="E774" i="5"/>
  <c r="F774" i="5"/>
  <c r="G774" i="5"/>
  <c r="H774" i="5"/>
  <c r="I774" i="5"/>
  <c r="J774" i="5"/>
  <c r="K774" i="5"/>
  <c r="L774" i="5"/>
  <c r="M774" i="5"/>
  <c r="N774" i="5"/>
  <c r="O774" i="5"/>
  <c r="P774" i="5"/>
  <c r="Q774" i="5"/>
  <c r="R774" i="5"/>
  <c r="S774" i="5"/>
  <c r="T774" i="5"/>
  <c r="U774" i="5"/>
  <c r="V774" i="5"/>
  <c r="W774" i="5"/>
  <c r="X774" i="5"/>
  <c r="AC774" i="5"/>
  <c r="B775" i="5"/>
  <c r="C775" i="5"/>
  <c r="D775" i="5"/>
  <c r="E775" i="5"/>
  <c r="F775" i="5"/>
  <c r="G775" i="5"/>
  <c r="H775" i="5"/>
  <c r="I775" i="5"/>
  <c r="J775" i="5"/>
  <c r="K775" i="5"/>
  <c r="L775" i="5"/>
  <c r="M775" i="5"/>
  <c r="AC775" i="5" s="1"/>
  <c r="N775" i="5"/>
  <c r="O775" i="5"/>
  <c r="P775" i="5"/>
  <c r="Q775" i="5"/>
  <c r="R775" i="5"/>
  <c r="S775" i="5"/>
  <c r="T775" i="5"/>
  <c r="U775" i="5"/>
  <c r="V775" i="5"/>
  <c r="W775" i="5"/>
  <c r="X775" i="5"/>
  <c r="AB775" i="5"/>
  <c r="B776" i="5"/>
  <c r="C776" i="5"/>
  <c r="D776" i="5"/>
  <c r="E776" i="5"/>
  <c r="F776" i="5"/>
  <c r="G776" i="5"/>
  <c r="H776" i="5"/>
  <c r="I776" i="5"/>
  <c r="J776" i="5"/>
  <c r="K776" i="5"/>
  <c r="L776" i="5"/>
  <c r="M776" i="5"/>
  <c r="N776" i="5"/>
  <c r="O776" i="5"/>
  <c r="P776" i="5"/>
  <c r="Q776" i="5"/>
  <c r="R776" i="5"/>
  <c r="S776" i="5"/>
  <c r="T776" i="5"/>
  <c r="U776" i="5"/>
  <c r="V776" i="5"/>
  <c r="W776" i="5"/>
  <c r="X776" i="5"/>
  <c r="AC776" i="5"/>
  <c r="B777" i="5"/>
  <c r="C777" i="5"/>
  <c r="D777" i="5"/>
  <c r="E777" i="5"/>
  <c r="F777" i="5"/>
  <c r="G777" i="5"/>
  <c r="H777" i="5"/>
  <c r="I777" i="5"/>
  <c r="J777" i="5"/>
  <c r="K777" i="5"/>
  <c r="L777" i="5"/>
  <c r="M777" i="5"/>
  <c r="AC777" i="5" s="1"/>
  <c r="N777" i="5"/>
  <c r="O777" i="5"/>
  <c r="P777" i="5"/>
  <c r="Q777" i="5"/>
  <c r="R777" i="5"/>
  <c r="S777" i="5"/>
  <c r="T777" i="5"/>
  <c r="U777" i="5"/>
  <c r="V777" i="5"/>
  <c r="W777" i="5"/>
  <c r="X777" i="5"/>
  <c r="AB777" i="5"/>
  <c r="B778" i="5"/>
  <c r="C778" i="5"/>
  <c r="D778" i="5"/>
  <c r="E778" i="5"/>
  <c r="F778" i="5"/>
  <c r="G778" i="5"/>
  <c r="H778" i="5"/>
  <c r="I778" i="5"/>
  <c r="J778" i="5"/>
  <c r="K778" i="5"/>
  <c r="L778" i="5"/>
  <c r="M778" i="5"/>
  <c r="N778" i="5"/>
  <c r="O778" i="5"/>
  <c r="P778" i="5"/>
  <c r="Q778" i="5"/>
  <c r="R778" i="5"/>
  <c r="S778" i="5"/>
  <c r="T778" i="5"/>
  <c r="U778" i="5"/>
  <c r="V778" i="5"/>
  <c r="W778" i="5"/>
  <c r="X778" i="5"/>
  <c r="AC778" i="5"/>
  <c r="B779" i="5"/>
  <c r="C779" i="5"/>
  <c r="D779" i="5"/>
  <c r="E779" i="5"/>
  <c r="F779" i="5"/>
  <c r="G779" i="5"/>
  <c r="H779" i="5"/>
  <c r="I779" i="5"/>
  <c r="J779" i="5"/>
  <c r="K779" i="5"/>
  <c r="L779" i="5"/>
  <c r="M779" i="5"/>
  <c r="AC779" i="5" s="1"/>
  <c r="N779" i="5"/>
  <c r="O779" i="5"/>
  <c r="P779" i="5"/>
  <c r="Q779" i="5"/>
  <c r="R779" i="5"/>
  <c r="S779" i="5"/>
  <c r="T779" i="5"/>
  <c r="U779" i="5"/>
  <c r="V779" i="5"/>
  <c r="W779" i="5"/>
  <c r="X779" i="5"/>
  <c r="AB779" i="5"/>
  <c r="B780" i="5"/>
  <c r="C780" i="5"/>
  <c r="D780" i="5"/>
  <c r="E780" i="5"/>
  <c r="F780" i="5"/>
  <c r="G780" i="5"/>
  <c r="H780" i="5"/>
  <c r="I780" i="5"/>
  <c r="J780" i="5"/>
  <c r="K780" i="5"/>
  <c r="L780" i="5"/>
  <c r="M780" i="5"/>
  <c r="N780" i="5"/>
  <c r="O780" i="5"/>
  <c r="P780" i="5"/>
  <c r="Q780" i="5"/>
  <c r="R780" i="5"/>
  <c r="S780" i="5"/>
  <c r="T780" i="5"/>
  <c r="U780" i="5"/>
  <c r="V780" i="5"/>
  <c r="W780" i="5"/>
  <c r="X780" i="5"/>
  <c r="AC780" i="5"/>
  <c r="B781" i="5"/>
  <c r="C781" i="5"/>
  <c r="D781" i="5"/>
  <c r="E781" i="5"/>
  <c r="F781" i="5"/>
  <c r="G781" i="5"/>
  <c r="H781" i="5"/>
  <c r="I781" i="5"/>
  <c r="J781" i="5"/>
  <c r="K781" i="5"/>
  <c r="L781" i="5"/>
  <c r="M781" i="5"/>
  <c r="AC781" i="5" s="1"/>
  <c r="N781" i="5"/>
  <c r="O781" i="5"/>
  <c r="P781" i="5"/>
  <c r="Q781" i="5"/>
  <c r="R781" i="5"/>
  <c r="S781" i="5"/>
  <c r="T781" i="5"/>
  <c r="U781" i="5"/>
  <c r="V781" i="5"/>
  <c r="W781" i="5"/>
  <c r="X781" i="5"/>
  <c r="AB781" i="5"/>
  <c r="B782" i="5"/>
  <c r="C782" i="5"/>
  <c r="D782" i="5"/>
  <c r="E782" i="5"/>
  <c r="F782" i="5"/>
  <c r="G782" i="5"/>
  <c r="H782" i="5"/>
  <c r="I782" i="5"/>
  <c r="J782" i="5"/>
  <c r="K782" i="5"/>
  <c r="L782" i="5"/>
  <c r="M782" i="5"/>
  <c r="N782" i="5"/>
  <c r="O782" i="5"/>
  <c r="P782" i="5"/>
  <c r="Q782" i="5"/>
  <c r="R782" i="5"/>
  <c r="S782" i="5"/>
  <c r="T782" i="5"/>
  <c r="U782" i="5"/>
  <c r="V782" i="5"/>
  <c r="W782" i="5"/>
  <c r="X782" i="5"/>
  <c r="AC782" i="5"/>
  <c r="B783" i="5"/>
  <c r="C783" i="5"/>
  <c r="D783" i="5"/>
  <c r="E783" i="5"/>
  <c r="F783" i="5"/>
  <c r="G783" i="5"/>
  <c r="H783" i="5"/>
  <c r="I783" i="5"/>
  <c r="J783" i="5"/>
  <c r="K783" i="5"/>
  <c r="L783" i="5"/>
  <c r="M783" i="5"/>
  <c r="AC783" i="5" s="1"/>
  <c r="N783" i="5"/>
  <c r="O783" i="5"/>
  <c r="P783" i="5"/>
  <c r="Q783" i="5"/>
  <c r="R783" i="5"/>
  <c r="S783" i="5"/>
  <c r="T783" i="5"/>
  <c r="U783" i="5"/>
  <c r="V783" i="5"/>
  <c r="W783" i="5"/>
  <c r="X783" i="5"/>
  <c r="AB783" i="5"/>
  <c r="B784" i="5"/>
  <c r="C784" i="5"/>
  <c r="D784" i="5"/>
  <c r="E784" i="5"/>
  <c r="F784" i="5"/>
  <c r="G784" i="5"/>
  <c r="H784" i="5"/>
  <c r="I784" i="5"/>
  <c r="J784" i="5"/>
  <c r="K784" i="5"/>
  <c r="L784" i="5"/>
  <c r="M784" i="5"/>
  <c r="N784" i="5"/>
  <c r="O784" i="5"/>
  <c r="P784" i="5"/>
  <c r="Q784" i="5"/>
  <c r="R784" i="5"/>
  <c r="S784" i="5"/>
  <c r="T784" i="5"/>
  <c r="U784" i="5"/>
  <c r="V784" i="5"/>
  <c r="W784" i="5"/>
  <c r="X784" i="5"/>
  <c r="AC784" i="5"/>
  <c r="B785" i="5"/>
  <c r="C785" i="5"/>
  <c r="D785" i="5"/>
  <c r="E785" i="5"/>
  <c r="F785" i="5"/>
  <c r="G785" i="5"/>
  <c r="H785" i="5"/>
  <c r="I785" i="5"/>
  <c r="J785" i="5"/>
  <c r="K785" i="5"/>
  <c r="L785" i="5"/>
  <c r="M785" i="5"/>
  <c r="AC785" i="5" s="1"/>
  <c r="N785" i="5"/>
  <c r="O785" i="5"/>
  <c r="P785" i="5"/>
  <c r="Q785" i="5"/>
  <c r="R785" i="5"/>
  <c r="S785" i="5"/>
  <c r="T785" i="5"/>
  <c r="U785" i="5"/>
  <c r="V785" i="5"/>
  <c r="W785" i="5"/>
  <c r="X785" i="5"/>
  <c r="AB785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AC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AC787" i="5" s="1"/>
  <c r="N787" i="5"/>
  <c r="O787" i="5"/>
  <c r="P787" i="5"/>
  <c r="Q787" i="5"/>
  <c r="R787" i="5"/>
  <c r="S787" i="5"/>
  <c r="T787" i="5"/>
  <c r="U787" i="5"/>
  <c r="V787" i="5"/>
  <c r="W787" i="5"/>
  <c r="X787" i="5"/>
  <c r="AB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AC788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AC789" i="5" s="1"/>
  <c r="N789" i="5"/>
  <c r="O789" i="5"/>
  <c r="P789" i="5"/>
  <c r="Q789" i="5"/>
  <c r="R789" i="5"/>
  <c r="S789" i="5"/>
  <c r="T789" i="5"/>
  <c r="U789" i="5"/>
  <c r="V789" i="5"/>
  <c r="W789" i="5"/>
  <c r="X789" i="5"/>
  <c r="AB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AC790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AC791" i="5" s="1"/>
  <c r="N791" i="5"/>
  <c r="O791" i="5"/>
  <c r="P791" i="5"/>
  <c r="Q791" i="5"/>
  <c r="R791" i="5"/>
  <c r="S791" i="5"/>
  <c r="T791" i="5"/>
  <c r="U791" i="5"/>
  <c r="V791" i="5"/>
  <c r="W791" i="5"/>
  <c r="X791" i="5"/>
  <c r="AB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AC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AC793" i="5" s="1"/>
  <c r="N793" i="5"/>
  <c r="O793" i="5"/>
  <c r="P793" i="5"/>
  <c r="Q793" i="5"/>
  <c r="R793" i="5"/>
  <c r="S793" i="5"/>
  <c r="T793" i="5"/>
  <c r="U793" i="5"/>
  <c r="V793" i="5"/>
  <c r="W793" i="5"/>
  <c r="X793" i="5"/>
  <c r="AB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AC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AC795" i="5" s="1"/>
  <c r="N795" i="5"/>
  <c r="O795" i="5"/>
  <c r="P795" i="5"/>
  <c r="Q795" i="5"/>
  <c r="R795" i="5"/>
  <c r="S795" i="5"/>
  <c r="T795" i="5"/>
  <c r="U795" i="5"/>
  <c r="V795" i="5"/>
  <c r="W795" i="5"/>
  <c r="X795" i="5"/>
  <c r="AB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AC796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AC797" i="5" s="1"/>
  <c r="N797" i="5"/>
  <c r="O797" i="5"/>
  <c r="P797" i="5"/>
  <c r="Q797" i="5"/>
  <c r="R797" i="5"/>
  <c r="S797" i="5"/>
  <c r="T797" i="5"/>
  <c r="U797" i="5"/>
  <c r="V797" i="5"/>
  <c r="W797" i="5"/>
  <c r="X797" i="5"/>
  <c r="AB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AC798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AC799" i="5" s="1"/>
  <c r="N799" i="5"/>
  <c r="O799" i="5"/>
  <c r="P799" i="5"/>
  <c r="Q799" i="5"/>
  <c r="R799" i="5"/>
  <c r="S799" i="5"/>
  <c r="T799" i="5"/>
  <c r="U799" i="5"/>
  <c r="V799" i="5"/>
  <c r="W799" i="5"/>
  <c r="X799" i="5"/>
  <c r="AB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AC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AC801" i="5" s="1"/>
  <c r="N801" i="5"/>
  <c r="O801" i="5"/>
  <c r="P801" i="5"/>
  <c r="Q801" i="5"/>
  <c r="R801" i="5"/>
  <c r="S801" i="5"/>
  <c r="T801" i="5"/>
  <c r="U801" i="5"/>
  <c r="V801" i="5"/>
  <c r="W801" i="5"/>
  <c r="X801" i="5"/>
  <c r="AB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AC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AC803" i="5" s="1"/>
  <c r="N803" i="5"/>
  <c r="O803" i="5"/>
  <c r="P803" i="5"/>
  <c r="Q803" i="5"/>
  <c r="R803" i="5"/>
  <c r="S803" i="5"/>
  <c r="T803" i="5"/>
  <c r="U803" i="5"/>
  <c r="V803" i="5"/>
  <c r="W803" i="5"/>
  <c r="X803" i="5"/>
  <c r="AB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AC804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AC805" i="5" s="1"/>
  <c r="N805" i="5"/>
  <c r="O805" i="5"/>
  <c r="P805" i="5"/>
  <c r="Q805" i="5"/>
  <c r="R805" i="5"/>
  <c r="S805" i="5"/>
  <c r="T805" i="5"/>
  <c r="U805" i="5"/>
  <c r="V805" i="5"/>
  <c r="W805" i="5"/>
  <c r="X805" i="5"/>
  <c r="AB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AC806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AC807" i="5" s="1"/>
  <c r="N807" i="5"/>
  <c r="O807" i="5"/>
  <c r="P807" i="5"/>
  <c r="Q807" i="5"/>
  <c r="R807" i="5"/>
  <c r="S807" i="5"/>
  <c r="T807" i="5"/>
  <c r="U807" i="5"/>
  <c r="V807" i="5"/>
  <c r="W807" i="5"/>
  <c r="X807" i="5"/>
  <c r="AB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AC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AC809" i="5" s="1"/>
  <c r="N809" i="5"/>
  <c r="O809" i="5"/>
  <c r="P809" i="5"/>
  <c r="Q809" i="5"/>
  <c r="R809" i="5"/>
  <c r="S809" i="5"/>
  <c r="T809" i="5"/>
  <c r="U809" i="5"/>
  <c r="V809" i="5"/>
  <c r="W809" i="5"/>
  <c r="X809" i="5"/>
  <c r="AB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AC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AC811" i="5" s="1"/>
  <c r="N811" i="5"/>
  <c r="O811" i="5"/>
  <c r="P811" i="5"/>
  <c r="Q811" i="5"/>
  <c r="R811" i="5"/>
  <c r="S811" i="5"/>
  <c r="T811" i="5"/>
  <c r="U811" i="5"/>
  <c r="V811" i="5"/>
  <c r="W811" i="5"/>
  <c r="X811" i="5"/>
  <c r="AB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AC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AC813" i="5" s="1"/>
  <c r="N813" i="5"/>
  <c r="O813" i="5"/>
  <c r="P813" i="5"/>
  <c r="Q813" i="5"/>
  <c r="R813" i="5"/>
  <c r="S813" i="5"/>
  <c r="T813" i="5"/>
  <c r="U813" i="5"/>
  <c r="V813" i="5"/>
  <c r="W813" i="5"/>
  <c r="X813" i="5"/>
  <c r="AB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AC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AC815" i="5" s="1"/>
  <c r="N815" i="5"/>
  <c r="O815" i="5"/>
  <c r="P815" i="5"/>
  <c r="Q815" i="5"/>
  <c r="R815" i="5"/>
  <c r="S815" i="5"/>
  <c r="T815" i="5"/>
  <c r="U815" i="5"/>
  <c r="V815" i="5"/>
  <c r="W815" i="5"/>
  <c r="X815" i="5"/>
  <c r="AB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AC816" i="5"/>
  <c r="B817" i="5"/>
  <c r="C817" i="5"/>
  <c r="D817" i="5"/>
  <c r="E817" i="5"/>
  <c r="F817" i="5"/>
  <c r="G817" i="5"/>
  <c r="H817" i="5"/>
  <c r="I817" i="5"/>
  <c r="J817" i="5"/>
  <c r="K817" i="5"/>
  <c r="L817" i="5"/>
  <c r="M817" i="5"/>
  <c r="AC817" i="5" s="1"/>
  <c r="N817" i="5"/>
  <c r="O817" i="5"/>
  <c r="P817" i="5"/>
  <c r="Q817" i="5"/>
  <c r="R817" i="5"/>
  <c r="S817" i="5"/>
  <c r="T817" i="5"/>
  <c r="U817" i="5"/>
  <c r="V817" i="5"/>
  <c r="W817" i="5"/>
  <c r="X817" i="5"/>
  <c r="AB817" i="5"/>
  <c r="B818" i="5"/>
  <c r="C818" i="5"/>
  <c r="D818" i="5"/>
  <c r="E818" i="5"/>
  <c r="F818" i="5"/>
  <c r="G818" i="5"/>
  <c r="H818" i="5"/>
  <c r="I818" i="5"/>
  <c r="J818" i="5"/>
  <c r="K818" i="5"/>
  <c r="L818" i="5"/>
  <c r="M818" i="5"/>
  <c r="N818" i="5"/>
  <c r="O818" i="5"/>
  <c r="P818" i="5"/>
  <c r="Q818" i="5"/>
  <c r="R818" i="5"/>
  <c r="S818" i="5"/>
  <c r="T818" i="5"/>
  <c r="U818" i="5"/>
  <c r="V818" i="5"/>
  <c r="W818" i="5"/>
  <c r="X818" i="5"/>
  <c r="AC818" i="5"/>
  <c r="B819" i="5"/>
  <c r="C819" i="5"/>
  <c r="D819" i="5"/>
  <c r="E819" i="5"/>
  <c r="F819" i="5"/>
  <c r="G819" i="5"/>
  <c r="H819" i="5"/>
  <c r="I819" i="5"/>
  <c r="J819" i="5"/>
  <c r="K819" i="5"/>
  <c r="L819" i="5"/>
  <c r="M819" i="5"/>
  <c r="AC819" i="5" s="1"/>
  <c r="N819" i="5"/>
  <c r="O819" i="5"/>
  <c r="P819" i="5"/>
  <c r="Q819" i="5"/>
  <c r="R819" i="5"/>
  <c r="S819" i="5"/>
  <c r="T819" i="5"/>
  <c r="U819" i="5"/>
  <c r="V819" i="5"/>
  <c r="W819" i="5"/>
  <c r="X819" i="5"/>
  <c r="AB819" i="5"/>
  <c r="B820" i="5"/>
  <c r="C820" i="5"/>
  <c r="D820" i="5"/>
  <c r="E820" i="5"/>
  <c r="F820" i="5"/>
  <c r="G820" i="5"/>
  <c r="H820" i="5"/>
  <c r="I820" i="5"/>
  <c r="J820" i="5"/>
  <c r="K820" i="5"/>
  <c r="L820" i="5"/>
  <c r="M820" i="5"/>
  <c r="N820" i="5"/>
  <c r="O820" i="5"/>
  <c r="P820" i="5"/>
  <c r="Q820" i="5"/>
  <c r="R820" i="5"/>
  <c r="S820" i="5"/>
  <c r="T820" i="5"/>
  <c r="U820" i="5"/>
  <c r="V820" i="5"/>
  <c r="W820" i="5"/>
  <c r="X820" i="5"/>
  <c r="AC820" i="5"/>
  <c r="B821" i="5"/>
  <c r="C821" i="5"/>
  <c r="D821" i="5"/>
  <c r="E821" i="5"/>
  <c r="F821" i="5"/>
  <c r="G821" i="5"/>
  <c r="H821" i="5"/>
  <c r="I821" i="5"/>
  <c r="J821" i="5"/>
  <c r="K821" i="5"/>
  <c r="L821" i="5"/>
  <c r="M821" i="5"/>
  <c r="AC821" i="5" s="1"/>
  <c r="N821" i="5"/>
  <c r="O821" i="5"/>
  <c r="P821" i="5"/>
  <c r="Q821" i="5"/>
  <c r="R821" i="5"/>
  <c r="S821" i="5"/>
  <c r="T821" i="5"/>
  <c r="U821" i="5"/>
  <c r="V821" i="5"/>
  <c r="W821" i="5"/>
  <c r="X821" i="5"/>
  <c r="AB821" i="5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AC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AC823" i="5" s="1"/>
  <c r="N823" i="5"/>
  <c r="O823" i="5"/>
  <c r="P823" i="5"/>
  <c r="Q823" i="5"/>
  <c r="R823" i="5"/>
  <c r="S823" i="5"/>
  <c r="T823" i="5"/>
  <c r="U823" i="5"/>
  <c r="V823" i="5"/>
  <c r="W823" i="5"/>
  <c r="X823" i="5"/>
  <c r="AB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AC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AC825" i="5" s="1"/>
  <c r="N825" i="5"/>
  <c r="O825" i="5"/>
  <c r="P825" i="5"/>
  <c r="Q825" i="5"/>
  <c r="R825" i="5"/>
  <c r="S825" i="5"/>
  <c r="T825" i="5"/>
  <c r="U825" i="5"/>
  <c r="V825" i="5"/>
  <c r="W825" i="5"/>
  <c r="X825" i="5"/>
  <c r="AB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AC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AC827" i="5" s="1"/>
  <c r="N827" i="5"/>
  <c r="O827" i="5"/>
  <c r="P827" i="5"/>
  <c r="Q827" i="5"/>
  <c r="R827" i="5"/>
  <c r="S827" i="5"/>
  <c r="T827" i="5"/>
  <c r="U827" i="5"/>
  <c r="V827" i="5"/>
  <c r="W827" i="5"/>
  <c r="X827" i="5"/>
  <c r="AB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V828" i="5"/>
  <c r="W828" i="5"/>
  <c r="X828" i="5"/>
  <c r="AC828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AC829" i="5" s="1"/>
  <c r="N829" i="5"/>
  <c r="O829" i="5"/>
  <c r="P829" i="5"/>
  <c r="Q829" i="5"/>
  <c r="R829" i="5"/>
  <c r="S829" i="5"/>
  <c r="T829" i="5"/>
  <c r="U829" i="5"/>
  <c r="V829" i="5"/>
  <c r="W829" i="5"/>
  <c r="X829" i="5"/>
  <c r="AB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AC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AC831" i="5" s="1"/>
  <c r="N831" i="5"/>
  <c r="O831" i="5"/>
  <c r="P831" i="5"/>
  <c r="Q831" i="5"/>
  <c r="R831" i="5"/>
  <c r="S831" i="5"/>
  <c r="T831" i="5"/>
  <c r="U831" i="5"/>
  <c r="V831" i="5"/>
  <c r="W831" i="5"/>
  <c r="X831" i="5"/>
  <c r="AB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AC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AC833" i="5" s="1"/>
  <c r="N833" i="5"/>
  <c r="O833" i="5"/>
  <c r="P833" i="5"/>
  <c r="Q833" i="5"/>
  <c r="R833" i="5"/>
  <c r="S833" i="5"/>
  <c r="T833" i="5"/>
  <c r="U833" i="5"/>
  <c r="V833" i="5"/>
  <c r="W833" i="5"/>
  <c r="X833" i="5"/>
  <c r="AB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AC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AC835" i="5" s="1"/>
  <c r="N835" i="5"/>
  <c r="O835" i="5"/>
  <c r="P835" i="5"/>
  <c r="Q835" i="5"/>
  <c r="R835" i="5"/>
  <c r="S835" i="5"/>
  <c r="T835" i="5"/>
  <c r="U835" i="5"/>
  <c r="V835" i="5"/>
  <c r="W835" i="5"/>
  <c r="X835" i="5"/>
  <c r="AB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W836" i="5"/>
  <c r="X836" i="5"/>
  <c r="AC836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AC837" i="5" s="1"/>
  <c r="N837" i="5"/>
  <c r="O837" i="5"/>
  <c r="P837" i="5"/>
  <c r="Q837" i="5"/>
  <c r="R837" i="5"/>
  <c r="S837" i="5"/>
  <c r="T837" i="5"/>
  <c r="U837" i="5"/>
  <c r="V837" i="5"/>
  <c r="W837" i="5"/>
  <c r="X837" i="5"/>
  <c r="AB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W838" i="5"/>
  <c r="X838" i="5"/>
  <c r="AC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AC839" i="5" s="1"/>
  <c r="N839" i="5"/>
  <c r="O839" i="5"/>
  <c r="P839" i="5"/>
  <c r="Q839" i="5"/>
  <c r="R839" i="5"/>
  <c r="S839" i="5"/>
  <c r="T839" i="5"/>
  <c r="U839" i="5"/>
  <c r="V839" i="5"/>
  <c r="W839" i="5"/>
  <c r="X839" i="5"/>
  <c r="AB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W840" i="5"/>
  <c r="X840" i="5"/>
  <c r="AC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AC841" i="5" s="1"/>
  <c r="N841" i="5"/>
  <c r="O841" i="5"/>
  <c r="P841" i="5"/>
  <c r="Q841" i="5"/>
  <c r="R841" i="5"/>
  <c r="S841" i="5"/>
  <c r="T841" i="5"/>
  <c r="U841" i="5"/>
  <c r="V841" i="5"/>
  <c r="W841" i="5"/>
  <c r="X841" i="5"/>
  <c r="AB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AC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AC843" i="5" s="1"/>
  <c r="N843" i="5"/>
  <c r="O843" i="5"/>
  <c r="P843" i="5"/>
  <c r="Q843" i="5"/>
  <c r="R843" i="5"/>
  <c r="S843" i="5"/>
  <c r="T843" i="5"/>
  <c r="U843" i="5"/>
  <c r="V843" i="5"/>
  <c r="W843" i="5"/>
  <c r="X843" i="5"/>
  <c r="AB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W844" i="5"/>
  <c r="X844" i="5"/>
  <c r="AC844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AC845" i="5" s="1"/>
  <c r="N845" i="5"/>
  <c r="O845" i="5"/>
  <c r="P845" i="5"/>
  <c r="Q845" i="5"/>
  <c r="R845" i="5"/>
  <c r="S845" i="5"/>
  <c r="T845" i="5"/>
  <c r="U845" i="5"/>
  <c r="V845" i="5"/>
  <c r="W845" i="5"/>
  <c r="X845" i="5"/>
  <c r="AB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W846" i="5"/>
  <c r="X846" i="5"/>
  <c r="AC846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AC847" i="5" s="1"/>
  <c r="N847" i="5"/>
  <c r="O847" i="5"/>
  <c r="P847" i="5"/>
  <c r="Q847" i="5"/>
  <c r="R847" i="5"/>
  <c r="S847" i="5"/>
  <c r="T847" i="5"/>
  <c r="U847" i="5"/>
  <c r="V847" i="5"/>
  <c r="W847" i="5"/>
  <c r="X847" i="5"/>
  <c r="AB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AC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AC849" i="5" s="1"/>
  <c r="N849" i="5"/>
  <c r="O849" i="5"/>
  <c r="P849" i="5"/>
  <c r="Q849" i="5"/>
  <c r="R849" i="5"/>
  <c r="S849" i="5"/>
  <c r="T849" i="5"/>
  <c r="U849" i="5"/>
  <c r="V849" i="5"/>
  <c r="W849" i="5"/>
  <c r="X849" i="5"/>
  <c r="AB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W850" i="5"/>
  <c r="X850" i="5"/>
  <c r="AC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AC851" i="5" s="1"/>
  <c r="N851" i="5"/>
  <c r="O851" i="5"/>
  <c r="P851" i="5"/>
  <c r="Q851" i="5"/>
  <c r="R851" i="5"/>
  <c r="S851" i="5"/>
  <c r="T851" i="5"/>
  <c r="U851" i="5"/>
  <c r="V851" i="5"/>
  <c r="W851" i="5"/>
  <c r="X851" i="5"/>
  <c r="AB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W852" i="5"/>
  <c r="X852" i="5"/>
  <c r="AC852" i="5"/>
  <c r="B853" i="5"/>
  <c r="C853" i="5"/>
  <c r="D853" i="5"/>
  <c r="E853" i="5"/>
  <c r="F853" i="5"/>
  <c r="G853" i="5"/>
  <c r="H853" i="5"/>
  <c r="I853" i="5"/>
  <c r="J853" i="5"/>
  <c r="K853" i="5"/>
  <c r="L853" i="5"/>
  <c r="M853" i="5"/>
  <c r="AC853" i="5" s="1"/>
  <c r="N853" i="5"/>
  <c r="O853" i="5"/>
  <c r="P853" i="5"/>
  <c r="Q853" i="5"/>
  <c r="R853" i="5"/>
  <c r="S853" i="5"/>
  <c r="T853" i="5"/>
  <c r="U853" i="5"/>
  <c r="V853" i="5"/>
  <c r="W853" i="5"/>
  <c r="X853" i="5"/>
  <c r="AB853" i="5"/>
  <c r="B854" i="5"/>
  <c r="C854" i="5"/>
  <c r="D854" i="5"/>
  <c r="E854" i="5"/>
  <c r="F854" i="5"/>
  <c r="G854" i="5"/>
  <c r="H854" i="5"/>
  <c r="I854" i="5"/>
  <c r="J854" i="5"/>
  <c r="K854" i="5"/>
  <c r="L854" i="5"/>
  <c r="M854" i="5"/>
  <c r="N854" i="5"/>
  <c r="O854" i="5"/>
  <c r="P854" i="5"/>
  <c r="Q854" i="5"/>
  <c r="R854" i="5"/>
  <c r="S854" i="5"/>
  <c r="T854" i="5"/>
  <c r="U854" i="5"/>
  <c r="V854" i="5"/>
  <c r="W854" i="5"/>
  <c r="X854" i="5"/>
  <c r="AC854" i="5"/>
  <c r="B855" i="5"/>
  <c r="C855" i="5"/>
  <c r="D855" i="5"/>
  <c r="E855" i="5"/>
  <c r="F855" i="5"/>
  <c r="G855" i="5"/>
  <c r="H855" i="5"/>
  <c r="I855" i="5"/>
  <c r="J855" i="5"/>
  <c r="K855" i="5"/>
  <c r="L855" i="5"/>
  <c r="M855" i="5"/>
  <c r="AC855" i="5" s="1"/>
  <c r="N855" i="5"/>
  <c r="O855" i="5"/>
  <c r="P855" i="5"/>
  <c r="Q855" i="5"/>
  <c r="R855" i="5"/>
  <c r="S855" i="5"/>
  <c r="T855" i="5"/>
  <c r="U855" i="5"/>
  <c r="V855" i="5"/>
  <c r="W855" i="5"/>
  <c r="X855" i="5"/>
  <c r="AB855" i="5"/>
  <c r="B856" i="5"/>
  <c r="C856" i="5"/>
  <c r="D856" i="5"/>
  <c r="E856" i="5"/>
  <c r="F856" i="5"/>
  <c r="G856" i="5"/>
  <c r="H856" i="5"/>
  <c r="I856" i="5"/>
  <c r="J856" i="5"/>
  <c r="K856" i="5"/>
  <c r="L856" i="5"/>
  <c r="M856" i="5"/>
  <c r="N856" i="5"/>
  <c r="O856" i="5"/>
  <c r="P856" i="5"/>
  <c r="Q856" i="5"/>
  <c r="R856" i="5"/>
  <c r="S856" i="5"/>
  <c r="T856" i="5"/>
  <c r="U856" i="5"/>
  <c r="V856" i="5"/>
  <c r="W856" i="5"/>
  <c r="X856" i="5"/>
  <c r="AC856" i="5"/>
  <c r="B857" i="5"/>
  <c r="C857" i="5"/>
  <c r="D857" i="5"/>
  <c r="E857" i="5"/>
  <c r="F857" i="5"/>
  <c r="G857" i="5"/>
  <c r="H857" i="5"/>
  <c r="I857" i="5"/>
  <c r="J857" i="5"/>
  <c r="K857" i="5"/>
  <c r="L857" i="5"/>
  <c r="M857" i="5"/>
  <c r="AC857" i="5" s="1"/>
  <c r="N857" i="5"/>
  <c r="O857" i="5"/>
  <c r="P857" i="5"/>
  <c r="Q857" i="5"/>
  <c r="R857" i="5"/>
  <c r="S857" i="5"/>
  <c r="T857" i="5"/>
  <c r="U857" i="5"/>
  <c r="V857" i="5"/>
  <c r="W857" i="5"/>
  <c r="X857" i="5"/>
  <c r="AB857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W858" i="5"/>
  <c r="X858" i="5"/>
  <c r="AC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AC859" i="5" s="1"/>
  <c r="N859" i="5"/>
  <c r="O859" i="5"/>
  <c r="P859" i="5"/>
  <c r="Q859" i="5"/>
  <c r="R859" i="5"/>
  <c r="S859" i="5"/>
  <c r="T859" i="5"/>
  <c r="U859" i="5"/>
  <c r="V859" i="5"/>
  <c r="W859" i="5"/>
  <c r="X859" i="5"/>
  <c r="AB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W860" i="5"/>
  <c r="X860" i="5"/>
  <c r="AC860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AC861" i="5" s="1"/>
  <c r="N861" i="5"/>
  <c r="O861" i="5"/>
  <c r="P861" i="5"/>
  <c r="Q861" i="5"/>
  <c r="R861" i="5"/>
  <c r="S861" i="5"/>
  <c r="T861" i="5"/>
  <c r="U861" i="5"/>
  <c r="V861" i="5"/>
  <c r="W861" i="5"/>
  <c r="X861" i="5"/>
  <c r="AB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W862" i="5"/>
  <c r="X862" i="5"/>
  <c r="AC862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AC863" i="5" s="1"/>
  <c r="N863" i="5"/>
  <c r="O863" i="5"/>
  <c r="P863" i="5"/>
  <c r="Q863" i="5"/>
  <c r="R863" i="5"/>
  <c r="S863" i="5"/>
  <c r="T863" i="5"/>
  <c r="U863" i="5"/>
  <c r="V863" i="5"/>
  <c r="W863" i="5"/>
  <c r="X863" i="5"/>
  <c r="AB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AC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AC865" i="5" s="1"/>
  <c r="N865" i="5"/>
  <c r="O865" i="5"/>
  <c r="P865" i="5"/>
  <c r="Q865" i="5"/>
  <c r="R865" i="5"/>
  <c r="S865" i="5"/>
  <c r="T865" i="5"/>
  <c r="U865" i="5"/>
  <c r="V865" i="5"/>
  <c r="W865" i="5"/>
  <c r="X865" i="5"/>
  <c r="AB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AC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AC867" i="5" s="1"/>
  <c r="N867" i="5"/>
  <c r="O867" i="5"/>
  <c r="P867" i="5"/>
  <c r="Q867" i="5"/>
  <c r="R867" i="5"/>
  <c r="S867" i="5"/>
  <c r="T867" i="5"/>
  <c r="U867" i="5"/>
  <c r="V867" i="5"/>
  <c r="W867" i="5"/>
  <c r="X867" i="5"/>
  <c r="AB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AC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AC869" i="5" s="1"/>
  <c r="N869" i="5"/>
  <c r="O869" i="5"/>
  <c r="P869" i="5"/>
  <c r="Q869" i="5"/>
  <c r="R869" i="5"/>
  <c r="S869" i="5"/>
  <c r="T869" i="5"/>
  <c r="U869" i="5"/>
  <c r="V869" i="5"/>
  <c r="W869" i="5"/>
  <c r="X869" i="5"/>
  <c r="AB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AC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AC871" i="5" s="1"/>
  <c r="N871" i="5"/>
  <c r="O871" i="5"/>
  <c r="P871" i="5"/>
  <c r="Q871" i="5"/>
  <c r="R871" i="5"/>
  <c r="S871" i="5"/>
  <c r="T871" i="5"/>
  <c r="U871" i="5"/>
  <c r="V871" i="5"/>
  <c r="W871" i="5"/>
  <c r="X871" i="5"/>
  <c r="AB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W872" i="5"/>
  <c r="X872" i="5"/>
  <c r="AC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AC873" i="5" s="1"/>
  <c r="N873" i="5"/>
  <c r="O873" i="5"/>
  <c r="P873" i="5"/>
  <c r="Q873" i="5"/>
  <c r="R873" i="5"/>
  <c r="S873" i="5"/>
  <c r="T873" i="5"/>
  <c r="U873" i="5"/>
  <c r="V873" i="5"/>
  <c r="W873" i="5"/>
  <c r="X873" i="5"/>
  <c r="AB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AC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AC875" i="5" s="1"/>
  <c r="N875" i="5"/>
  <c r="O875" i="5"/>
  <c r="P875" i="5"/>
  <c r="Q875" i="5"/>
  <c r="R875" i="5"/>
  <c r="S875" i="5"/>
  <c r="T875" i="5"/>
  <c r="U875" i="5"/>
  <c r="V875" i="5"/>
  <c r="W875" i="5"/>
  <c r="X875" i="5"/>
  <c r="AB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W876" i="5"/>
  <c r="X876" i="5"/>
  <c r="AC876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AC877" i="5" s="1"/>
  <c r="N877" i="5"/>
  <c r="O877" i="5"/>
  <c r="P877" i="5"/>
  <c r="Q877" i="5"/>
  <c r="R877" i="5"/>
  <c r="S877" i="5"/>
  <c r="T877" i="5"/>
  <c r="U877" i="5"/>
  <c r="V877" i="5"/>
  <c r="W877" i="5"/>
  <c r="X877" i="5"/>
  <c r="AB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W878" i="5"/>
  <c r="X878" i="5"/>
  <c r="AC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AC879" i="5" s="1"/>
  <c r="N879" i="5"/>
  <c r="O879" i="5"/>
  <c r="P879" i="5"/>
  <c r="Q879" i="5"/>
  <c r="R879" i="5"/>
  <c r="S879" i="5"/>
  <c r="T879" i="5"/>
  <c r="U879" i="5"/>
  <c r="V879" i="5"/>
  <c r="W879" i="5"/>
  <c r="X879" i="5"/>
  <c r="AB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W880" i="5"/>
  <c r="X880" i="5"/>
  <c r="AC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AC881" i="5" s="1"/>
  <c r="N881" i="5"/>
  <c r="O881" i="5"/>
  <c r="P881" i="5"/>
  <c r="Q881" i="5"/>
  <c r="R881" i="5"/>
  <c r="S881" i="5"/>
  <c r="T881" i="5"/>
  <c r="U881" i="5"/>
  <c r="V881" i="5"/>
  <c r="W881" i="5"/>
  <c r="X881" i="5"/>
  <c r="AB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W882" i="5"/>
  <c r="X882" i="5"/>
  <c r="AC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AC883" i="5" s="1"/>
  <c r="N883" i="5"/>
  <c r="O883" i="5"/>
  <c r="P883" i="5"/>
  <c r="Q883" i="5"/>
  <c r="R883" i="5"/>
  <c r="S883" i="5"/>
  <c r="T883" i="5"/>
  <c r="U883" i="5"/>
  <c r="V883" i="5"/>
  <c r="W883" i="5"/>
  <c r="X883" i="5"/>
  <c r="AB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W884" i="5"/>
  <c r="X884" i="5"/>
  <c r="AC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AC885" i="5" s="1"/>
  <c r="N885" i="5"/>
  <c r="O885" i="5"/>
  <c r="P885" i="5"/>
  <c r="Q885" i="5"/>
  <c r="R885" i="5"/>
  <c r="S885" i="5"/>
  <c r="T885" i="5"/>
  <c r="U885" i="5"/>
  <c r="V885" i="5"/>
  <c r="W885" i="5"/>
  <c r="X885" i="5"/>
  <c r="AB885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AC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AC887" i="5" s="1"/>
  <c r="N887" i="5"/>
  <c r="O887" i="5"/>
  <c r="P887" i="5"/>
  <c r="Q887" i="5"/>
  <c r="R887" i="5"/>
  <c r="S887" i="5"/>
  <c r="T887" i="5"/>
  <c r="U887" i="5"/>
  <c r="V887" i="5"/>
  <c r="W887" i="5"/>
  <c r="X887" i="5"/>
  <c r="AB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AC888" i="5"/>
  <c r="B889" i="5"/>
  <c r="C889" i="5"/>
  <c r="D889" i="5"/>
  <c r="E889" i="5"/>
  <c r="F889" i="5"/>
  <c r="G889" i="5"/>
  <c r="H889" i="5"/>
  <c r="I889" i="5"/>
  <c r="J889" i="5"/>
  <c r="K889" i="5"/>
  <c r="L889" i="5"/>
  <c r="M889" i="5"/>
  <c r="AC889" i="5" s="1"/>
  <c r="N889" i="5"/>
  <c r="O889" i="5"/>
  <c r="P889" i="5"/>
  <c r="Q889" i="5"/>
  <c r="R889" i="5"/>
  <c r="S889" i="5"/>
  <c r="T889" i="5"/>
  <c r="U889" i="5"/>
  <c r="V889" i="5"/>
  <c r="W889" i="5"/>
  <c r="X889" i="5"/>
  <c r="AB889" i="5"/>
  <c r="B890" i="5"/>
  <c r="C890" i="5"/>
  <c r="D890" i="5"/>
  <c r="E890" i="5"/>
  <c r="F890" i="5"/>
  <c r="G890" i="5"/>
  <c r="H890" i="5"/>
  <c r="I890" i="5"/>
  <c r="J890" i="5"/>
  <c r="K890" i="5"/>
  <c r="L890" i="5"/>
  <c r="M890" i="5"/>
  <c r="N890" i="5"/>
  <c r="O890" i="5"/>
  <c r="P890" i="5"/>
  <c r="Q890" i="5"/>
  <c r="R890" i="5"/>
  <c r="S890" i="5"/>
  <c r="T890" i="5"/>
  <c r="U890" i="5"/>
  <c r="V890" i="5"/>
  <c r="W890" i="5"/>
  <c r="X890" i="5"/>
  <c r="AC890" i="5"/>
  <c r="B891" i="5"/>
  <c r="C891" i="5"/>
  <c r="D891" i="5"/>
  <c r="E891" i="5"/>
  <c r="F891" i="5"/>
  <c r="G891" i="5"/>
  <c r="H891" i="5"/>
  <c r="I891" i="5"/>
  <c r="J891" i="5"/>
  <c r="K891" i="5"/>
  <c r="L891" i="5"/>
  <c r="M891" i="5"/>
  <c r="AC891" i="5" s="1"/>
  <c r="N891" i="5"/>
  <c r="O891" i="5"/>
  <c r="P891" i="5"/>
  <c r="Q891" i="5"/>
  <c r="R891" i="5"/>
  <c r="S891" i="5"/>
  <c r="T891" i="5"/>
  <c r="U891" i="5"/>
  <c r="V891" i="5"/>
  <c r="W891" i="5"/>
  <c r="X891" i="5"/>
  <c r="AB891" i="5"/>
  <c r="B892" i="5"/>
  <c r="C892" i="5"/>
  <c r="D892" i="5"/>
  <c r="E892" i="5"/>
  <c r="F892" i="5"/>
  <c r="G892" i="5"/>
  <c r="H892" i="5"/>
  <c r="I892" i="5"/>
  <c r="J892" i="5"/>
  <c r="K892" i="5"/>
  <c r="L892" i="5"/>
  <c r="M892" i="5"/>
  <c r="N892" i="5"/>
  <c r="O892" i="5"/>
  <c r="P892" i="5"/>
  <c r="Q892" i="5"/>
  <c r="R892" i="5"/>
  <c r="S892" i="5"/>
  <c r="T892" i="5"/>
  <c r="U892" i="5"/>
  <c r="V892" i="5"/>
  <c r="W892" i="5"/>
  <c r="X892" i="5"/>
  <c r="AC892" i="5"/>
  <c r="B893" i="5"/>
  <c r="C893" i="5"/>
  <c r="D893" i="5"/>
  <c r="E893" i="5"/>
  <c r="F893" i="5"/>
  <c r="G893" i="5"/>
  <c r="H893" i="5"/>
  <c r="I893" i="5"/>
  <c r="J893" i="5"/>
  <c r="K893" i="5"/>
  <c r="L893" i="5"/>
  <c r="M893" i="5"/>
  <c r="AC893" i="5" s="1"/>
  <c r="N893" i="5"/>
  <c r="O893" i="5"/>
  <c r="P893" i="5"/>
  <c r="Q893" i="5"/>
  <c r="R893" i="5"/>
  <c r="S893" i="5"/>
  <c r="T893" i="5"/>
  <c r="U893" i="5"/>
  <c r="V893" i="5"/>
  <c r="W893" i="5"/>
  <c r="X893" i="5"/>
  <c r="AB893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AC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AC895" i="5" s="1"/>
  <c r="N895" i="5"/>
  <c r="O895" i="5"/>
  <c r="P895" i="5"/>
  <c r="Q895" i="5"/>
  <c r="R895" i="5"/>
  <c r="S895" i="5"/>
  <c r="T895" i="5"/>
  <c r="U895" i="5"/>
  <c r="V895" i="5"/>
  <c r="W895" i="5"/>
  <c r="X895" i="5"/>
  <c r="AB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AC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AC897" i="5" s="1"/>
  <c r="N897" i="5"/>
  <c r="O897" i="5"/>
  <c r="P897" i="5"/>
  <c r="Q897" i="5"/>
  <c r="R897" i="5"/>
  <c r="S897" i="5"/>
  <c r="T897" i="5"/>
  <c r="U897" i="5"/>
  <c r="V897" i="5"/>
  <c r="W897" i="5"/>
  <c r="X897" i="5"/>
  <c r="AB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W898" i="5"/>
  <c r="X898" i="5"/>
  <c r="AC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AC899" i="5" s="1"/>
  <c r="N899" i="5"/>
  <c r="O899" i="5"/>
  <c r="P899" i="5"/>
  <c r="Q899" i="5"/>
  <c r="R899" i="5"/>
  <c r="S899" i="5"/>
  <c r="T899" i="5"/>
  <c r="U899" i="5"/>
  <c r="V899" i="5"/>
  <c r="W899" i="5"/>
  <c r="X899" i="5"/>
  <c r="AB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W900" i="5"/>
  <c r="X900" i="5"/>
  <c r="AC900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AC901" i="5" s="1"/>
  <c r="N901" i="5"/>
  <c r="O901" i="5"/>
  <c r="P901" i="5"/>
  <c r="Q901" i="5"/>
  <c r="R901" i="5"/>
  <c r="S901" i="5"/>
  <c r="T901" i="5"/>
  <c r="U901" i="5"/>
  <c r="V901" i="5"/>
  <c r="W901" i="5"/>
  <c r="X901" i="5"/>
  <c r="AB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W902" i="5"/>
  <c r="X902" i="5"/>
  <c r="AC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AC903" i="5" s="1"/>
  <c r="N903" i="5"/>
  <c r="O903" i="5"/>
  <c r="P903" i="5"/>
  <c r="Q903" i="5"/>
  <c r="R903" i="5"/>
  <c r="S903" i="5"/>
  <c r="T903" i="5"/>
  <c r="U903" i="5"/>
  <c r="V903" i="5"/>
  <c r="W903" i="5"/>
  <c r="X903" i="5"/>
  <c r="AB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AC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AC905" i="5" s="1"/>
  <c r="N905" i="5"/>
  <c r="O905" i="5"/>
  <c r="P905" i="5"/>
  <c r="Q905" i="5"/>
  <c r="R905" i="5"/>
  <c r="S905" i="5"/>
  <c r="T905" i="5"/>
  <c r="U905" i="5"/>
  <c r="V905" i="5"/>
  <c r="W905" i="5"/>
  <c r="X905" i="5"/>
  <c r="AB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AC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AC907" i="5" s="1"/>
  <c r="N907" i="5"/>
  <c r="O907" i="5"/>
  <c r="P907" i="5"/>
  <c r="Q907" i="5"/>
  <c r="R907" i="5"/>
  <c r="S907" i="5"/>
  <c r="T907" i="5"/>
  <c r="U907" i="5"/>
  <c r="V907" i="5"/>
  <c r="W907" i="5"/>
  <c r="X907" i="5"/>
  <c r="AB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W908" i="5"/>
  <c r="X908" i="5"/>
  <c r="AC908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AC909" i="5" s="1"/>
  <c r="N909" i="5"/>
  <c r="O909" i="5"/>
  <c r="P909" i="5"/>
  <c r="Q909" i="5"/>
  <c r="R909" i="5"/>
  <c r="S909" i="5"/>
  <c r="T909" i="5"/>
  <c r="U909" i="5"/>
  <c r="V909" i="5"/>
  <c r="W909" i="5"/>
  <c r="X909" i="5"/>
  <c r="AB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W910" i="5"/>
  <c r="X910" i="5"/>
  <c r="AC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AC911" i="5" s="1"/>
  <c r="N911" i="5"/>
  <c r="O911" i="5"/>
  <c r="P911" i="5"/>
  <c r="Q911" i="5"/>
  <c r="R911" i="5"/>
  <c r="S911" i="5"/>
  <c r="T911" i="5"/>
  <c r="U911" i="5"/>
  <c r="V911" i="5"/>
  <c r="W911" i="5"/>
  <c r="X911" i="5"/>
  <c r="AB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AC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AC913" i="5" s="1"/>
  <c r="N913" i="5"/>
  <c r="O913" i="5"/>
  <c r="P913" i="5"/>
  <c r="Q913" i="5"/>
  <c r="R913" i="5"/>
  <c r="S913" i="5"/>
  <c r="T913" i="5"/>
  <c r="U913" i="5"/>
  <c r="V913" i="5"/>
  <c r="W913" i="5"/>
  <c r="X913" i="5"/>
  <c r="AB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AC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AC915" i="5" s="1"/>
  <c r="N915" i="5"/>
  <c r="O915" i="5"/>
  <c r="P915" i="5"/>
  <c r="Q915" i="5"/>
  <c r="R915" i="5"/>
  <c r="S915" i="5"/>
  <c r="T915" i="5"/>
  <c r="U915" i="5"/>
  <c r="V915" i="5"/>
  <c r="W915" i="5"/>
  <c r="X915" i="5"/>
  <c r="AB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V916" i="5"/>
  <c r="W916" i="5"/>
  <c r="X916" i="5"/>
  <c r="AC916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AC917" i="5" s="1"/>
  <c r="N917" i="5"/>
  <c r="O917" i="5"/>
  <c r="P917" i="5"/>
  <c r="Q917" i="5"/>
  <c r="R917" i="5"/>
  <c r="S917" i="5"/>
  <c r="T917" i="5"/>
  <c r="U917" i="5"/>
  <c r="V917" i="5"/>
  <c r="W917" i="5"/>
  <c r="X917" i="5"/>
  <c r="AB917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W918" i="5"/>
  <c r="X918" i="5"/>
  <c r="AC918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AC919" i="5" s="1"/>
  <c r="N919" i="5"/>
  <c r="O919" i="5"/>
  <c r="P919" i="5"/>
  <c r="Q919" i="5"/>
  <c r="R919" i="5"/>
  <c r="S919" i="5"/>
  <c r="T919" i="5"/>
  <c r="U919" i="5"/>
  <c r="V919" i="5"/>
  <c r="W919" i="5"/>
  <c r="X919" i="5"/>
  <c r="AB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AC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AC921" i="5" s="1"/>
  <c r="N921" i="5"/>
  <c r="O921" i="5"/>
  <c r="P921" i="5"/>
  <c r="Q921" i="5"/>
  <c r="R921" i="5"/>
  <c r="S921" i="5"/>
  <c r="T921" i="5"/>
  <c r="U921" i="5"/>
  <c r="V921" i="5"/>
  <c r="W921" i="5"/>
  <c r="X921" i="5"/>
  <c r="AB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AC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AC923" i="5" s="1"/>
  <c r="N923" i="5"/>
  <c r="O923" i="5"/>
  <c r="P923" i="5"/>
  <c r="Q923" i="5"/>
  <c r="R923" i="5"/>
  <c r="S923" i="5"/>
  <c r="T923" i="5"/>
  <c r="U923" i="5"/>
  <c r="V923" i="5"/>
  <c r="W923" i="5"/>
  <c r="X923" i="5"/>
  <c r="AB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AC924" i="5"/>
  <c r="B925" i="5"/>
  <c r="C925" i="5"/>
  <c r="D925" i="5"/>
  <c r="E925" i="5"/>
  <c r="F925" i="5"/>
  <c r="G925" i="5"/>
  <c r="H925" i="5"/>
  <c r="I925" i="5"/>
  <c r="J925" i="5"/>
  <c r="K925" i="5"/>
  <c r="L925" i="5"/>
  <c r="M925" i="5"/>
  <c r="AC925" i="5" s="1"/>
  <c r="N925" i="5"/>
  <c r="O925" i="5"/>
  <c r="P925" i="5"/>
  <c r="Q925" i="5"/>
  <c r="R925" i="5"/>
  <c r="S925" i="5"/>
  <c r="T925" i="5"/>
  <c r="U925" i="5"/>
  <c r="V925" i="5"/>
  <c r="W925" i="5"/>
  <c r="X925" i="5"/>
  <c r="AB925" i="5"/>
  <c r="B926" i="5"/>
  <c r="C926" i="5"/>
  <c r="D926" i="5"/>
  <c r="E926" i="5"/>
  <c r="F926" i="5"/>
  <c r="G926" i="5"/>
  <c r="H926" i="5"/>
  <c r="I926" i="5"/>
  <c r="J926" i="5"/>
  <c r="K926" i="5"/>
  <c r="L926" i="5"/>
  <c r="M926" i="5"/>
  <c r="N926" i="5"/>
  <c r="O926" i="5"/>
  <c r="P926" i="5"/>
  <c r="Q926" i="5"/>
  <c r="R926" i="5"/>
  <c r="S926" i="5"/>
  <c r="T926" i="5"/>
  <c r="U926" i="5"/>
  <c r="V926" i="5"/>
  <c r="W926" i="5"/>
  <c r="X926" i="5"/>
  <c r="AC926" i="5"/>
  <c r="B927" i="5"/>
  <c r="C927" i="5"/>
  <c r="D927" i="5"/>
  <c r="E927" i="5"/>
  <c r="F927" i="5"/>
  <c r="G927" i="5"/>
  <c r="H927" i="5"/>
  <c r="I927" i="5"/>
  <c r="J927" i="5"/>
  <c r="K927" i="5"/>
  <c r="L927" i="5"/>
  <c r="M927" i="5"/>
  <c r="AC927" i="5" s="1"/>
  <c r="N927" i="5"/>
  <c r="O927" i="5"/>
  <c r="P927" i="5"/>
  <c r="Q927" i="5"/>
  <c r="R927" i="5"/>
  <c r="S927" i="5"/>
  <c r="T927" i="5"/>
  <c r="U927" i="5"/>
  <c r="V927" i="5"/>
  <c r="W927" i="5"/>
  <c r="X927" i="5"/>
  <c r="AB927" i="5"/>
  <c r="B928" i="5"/>
  <c r="C928" i="5"/>
  <c r="D928" i="5"/>
  <c r="E928" i="5"/>
  <c r="F928" i="5"/>
  <c r="G928" i="5"/>
  <c r="H928" i="5"/>
  <c r="I928" i="5"/>
  <c r="J928" i="5"/>
  <c r="K928" i="5"/>
  <c r="L928" i="5"/>
  <c r="M928" i="5"/>
  <c r="N928" i="5"/>
  <c r="O928" i="5"/>
  <c r="P928" i="5"/>
  <c r="Q928" i="5"/>
  <c r="R928" i="5"/>
  <c r="S928" i="5"/>
  <c r="T928" i="5"/>
  <c r="U928" i="5"/>
  <c r="V928" i="5"/>
  <c r="W928" i="5"/>
  <c r="X928" i="5"/>
  <c r="AC928" i="5"/>
  <c r="B929" i="5"/>
  <c r="C929" i="5"/>
  <c r="D929" i="5"/>
  <c r="E929" i="5"/>
  <c r="F929" i="5"/>
  <c r="G929" i="5"/>
  <c r="H929" i="5"/>
  <c r="I929" i="5"/>
  <c r="J929" i="5"/>
  <c r="K929" i="5"/>
  <c r="L929" i="5"/>
  <c r="M929" i="5"/>
  <c r="AC929" i="5" s="1"/>
  <c r="N929" i="5"/>
  <c r="O929" i="5"/>
  <c r="P929" i="5"/>
  <c r="Q929" i="5"/>
  <c r="R929" i="5"/>
  <c r="S929" i="5"/>
  <c r="T929" i="5"/>
  <c r="U929" i="5"/>
  <c r="V929" i="5"/>
  <c r="W929" i="5"/>
  <c r="X929" i="5"/>
  <c r="AB929" i="5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AC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AC931" i="5" s="1"/>
  <c r="N931" i="5"/>
  <c r="O931" i="5"/>
  <c r="P931" i="5"/>
  <c r="Q931" i="5"/>
  <c r="R931" i="5"/>
  <c r="S931" i="5"/>
  <c r="T931" i="5"/>
  <c r="U931" i="5"/>
  <c r="V931" i="5"/>
  <c r="W931" i="5"/>
  <c r="X931" i="5"/>
  <c r="AB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W932" i="5"/>
  <c r="X932" i="5"/>
  <c r="AC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AC933" i="5" s="1"/>
  <c r="N933" i="5"/>
  <c r="O933" i="5"/>
  <c r="P933" i="5"/>
  <c r="Q933" i="5"/>
  <c r="R933" i="5"/>
  <c r="S933" i="5"/>
  <c r="T933" i="5"/>
  <c r="U933" i="5"/>
  <c r="V933" i="5"/>
  <c r="W933" i="5"/>
  <c r="X933" i="5"/>
  <c r="AB933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AC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AC935" i="5" s="1"/>
  <c r="N935" i="5"/>
  <c r="O935" i="5"/>
  <c r="P935" i="5"/>
  <c r="Q935" i="5"/>
  <c r="R935" i="5"/>
  <c r="S935" i="5"/>
  <c r="T935" i="5"/>
  <c r="U935" i="5"/>
  <c r="V935" i="5"/>
  <c r="W935" i="5"/>
  <c r="X935" i="5"/>
  <c r="AB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W936" i="5"/>
  <c r="X936" i="5"/>
  <c r="AC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AC937" i="5" s="1"/>
  <c r="N937" i="5"/>
  <c r="O937" i="5"/>
  <c r="P937" i="5"/>
  <c r="Q937" i="5"/>
  <c r="R937" i="5"/>
  <c r="S937" i="5"/>
  <c r="T937" i="5"/>
  <c r="U937" i="5"/>
  <c r="V937" i="5"/>
  <c r="W937" i="5"/>
  <c r="X937" i="5"/>
  <c r="AB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AC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AC939" i="5" s="1"/>
  <c r="N939" i="5"/>
  <c r="O939" i="5"/>
  <c r="P939" i="5"/>
  <c r="Q939" i="5"/>
  <c r="R939" i="5"/>
  <c r="S939" i="5"/>
  <c r="T939" i="5"/>
  <c r="U939" i="5"/>
  <c r="V939" i="5"/>
  <c r="W939" i="5"/>
  <c r="X939" i="5"/>
  <c r="AB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W940" i="5"/>
  <c r="X940" i="5"/>
  <c r="AC940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AC941" i="5" s="1"/>
  <c r="N941" i="5"/>
  <c r="O941" i="5"/>
  <c r="P941" i="5"/>
  <c r="Q941" i="5"/>
  <c r="R941" i="5"/>
  <c r="S941" i="5"/>
  <c r="T941" i="5"/>
  <c r="U941" i="5"/>
  <c r="V941" i="5"/>
  <c r="W941" i="5"/>
  <c r="X941" i="5"/>
  <c r="AB941" i="5"/>
  <c r="B942" i="5"/>
  <c r="C942" i="5"/>
  <c r="D942" i="5"/>
  <c r="E942" i="5"/>
  <c r="E1147" i="5" s="1"/>
  <c r="F942" i="5"/>
  <c r="G942" i="5"/>
  <c r="H942" i="5"/>
  <c r="I942" i="5"/>
  <c r="I1147" i="5" s="1"/>
  <c r="J942" i="5"/>
  <c r="K942" i="5"/>
  <c r="L942" i="5"/>
  <c r="M942" i="5"/>
  <c r="M1147" i="5" s="1"/>
  <c r="N942" i="5"/>
  <c r="O942" i="5"/>
  <c r="P942" i="5"/>
  <c r="Q942" i="5"/>
  <c r="Q1147" i="5" s="1"/>
  <c r="R942" i="5"/>
  <c r="S942" i="5"/>
  <c r="T942" i="5"/>
  <c r="U942" i="5"/>
  <c r="U1147" i="5" s="1"/>
  <c r="V942" i="5"/>
  <c r="W942" i="5"/>
  <c r="X942" i="5"/>
  <c r="AC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AC943" i="5" s="1"/>
  <c r="N943" i="5"/>
  <c r="O943" i="5"/>
  <c r="P943" i="5"/>
  <c r="Q943" i="5"/>
  <c r="R943" i="5"/>
  <c r="S943" i="5"/>
  <c r="T943" i="5"/>
  <c r="U943" i="5"/>
  <c r="V943" i="5"/>
  <c r="W943" i="5"/>
  <c r="X943" i="5"/>
  <c r="AB943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W944" i="5"/>
  <c r="X944" i="5"/>
  <c r="AC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AC945" i="5" s="1"/>
  <c r="N945" i="5"/>
  <c r="O945" i="5"/>
  <c r="P945" i="5"/>
  <c r="Q945" i="5"/>
  <c r="R945" i="5"/>
  <c r="S945" i="5"/>
  <c r="T945" i="5"/>
  <c r="U945" i="5"/>
  <c r="V945" i="5"/>
  <c r="W945" i="5"/>
  <c r="X945" i="5"/>
  <c r="AB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W946" i="5"/>
  <c r="X946" i="5"/>
  <c r="AC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AC947" i="5" s="1"/>
  <c r="N947" i="5"/>
  <c r="O947" i="5"/>
  <c r="P947" i="5"/>
  <c r="Q947" i="5"/>
  <c r="R947" i="5"/>
  <c r="S947" i="5"/>
  <c r="T947" i="5"/>
  <c r="U947" i="5"/>
  <c r="V947" i="5"/>
  <c r="W947" i="5"/>
  <c r="X947" i="5"/>
  <c r="AB947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W948" i="5"/>
  <c r="X948" i="5"/>
  <c r="AC948" i="5"/>
  <c r="B949" i="5"/>
  <c r="C949" i="5"/>
  <c r="D949" i="5"/>
  <c r="E949" i="5"/>
  <c r="E1148" i="5" s="1"/>
  <c r="F949" i="5"/>
  <c r="G949" i="5"/>
  <c r="H949" i="5"/>
  <c r="I949" i="5"/>
  <c r="I1148" i="5" s="1"/>
  <c r="J949" i="5"/>
  <c r="K949" i="5"/>
  <c r="L949" i="5"/>
  <c r="M949" i="5"/>
  <c r="AC949" i="5" s="1"/>
  <c r="N949" i="5"/>
  <c r="O949" i="5"/>
  <c r="P949" i="5"/>
  <c r="Q949" i="5"/>
  <c r="Q1148" i="5" s="1"/>
  <c r="R949" i="5"/>
  <c r="S949" i="5"/>
  <c r="T949" i="5"/>
  <c r="U949" i="5"/>
  <c r="U1148" i="5" s="1"/>
  <c r="V949" i="5"/>
  <c r="W949" i="5"/>
  <c r="X949" i="5"/>
  <c r="AB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W950" i="5"/>
  <c r="X950" i="5"/>
  <c r="AC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AC951" i="5" s="1"/>
  <c r="N951" i="5"/>
  <c r="O951" i="5"/>
  <c r="P951" i="5"/>
  <c r="Q951" i="5"/>
  <c r="R951" i="5"/>
  <c r="S951" i="5"/>
  <c r="T951" i="5"/>
  <c r="U951" i="5"/>
  <c r="V951" i="5"/>
  <c r="W951" i="5"/>
  <c r="X951" i="5"/>
  <c r="AB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W952" i="5"/>
  <c r="X952" i="5"/>
  <c r="AC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AC953" i="5" s="1"/>
  <c r="N953" i="5"/>
  <c r="O953" i="5"/>
  <c r="P953" i="5"/>
  <c r="Q953" i="5"/>
  <c r="R953" i="5"/>
  <c r="S953" i="5"/>
  <c r="T953" i="5"/>
  <c r="U953" i="5"/>
  <c r="V953" i="5"/>
  <c r="W953" i="5"/>
  <c r="X953" i="5"/>
  <c r="AB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AC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AC955" i="5" s="1"/>
  <c r="N955" i="5"/>
  <c r="O955" i="5"/>
  <c r="P955" i="5"/>
  <c r="Q955" i="5"/>
  <c r="R955" i="5"/>
  <c r="S955" i="5"/>
  <c r="T955" i="5"/>
  <c r="U955" i="5"/>
  <c r="V955" i="5"/>
  <c r="W955" i="5"/>
  <c r="X955" i="5"/>
  <c r="AB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V956" i="5"/>
  <c r="W956" i="5"/>
  <c r="X956" i="5"/>
  <c r="AC956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AC957" i="5" s="1"/>
  <c r="N957" i="5"/>
  <c r="O957" i="5"/>
  <c r="P957" i="5"/>
  <c r="Q957" i="5"/>
  <c r="R957" i="5"/>
  <c r="S957" i="5"/>
  <c r="T957" i="5"/>
  <c r="U957" i="5"/>
  <c r="V957" i="5"/>
  <c r="W957" i="5"/>
  <c r="X957" i="5"/>
  <c r="AB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W958" i="5"/>
  <c r="X958" i="5"/>
  <c r="AC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AC959" i="5" s="1"/>
  <c r="N959" i="5"/>
  <c r="O959" i="5"/>
  <c r="P959" i="5"/>
  <c r="Q959" i="5"/>
  <c r="R959" i="5"/>
  <c r="S959" i="5"/>
  <c r="T959" i="5"/>
  <c r="U959" i="5"/>
  <c r="V959" i="5"/>
  <c r="W959" i="5"/>
  <c r="X959" i="5"/>
  <c r="AB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W960" i="5"/>
  <c r="X960" i="5"/>
  <c r="AC960" i="5"/>
  <c r="B961" i="5"/>
  <c r="C961" i="5"/>
  <c r="D961" i="5"/>
  <c r="E961" i="5"/>
  <c r="E1149" i="5" s="1"/>
  <c r="F961" i="5"/>
  <c r="G961" i="5"/>
  <c r="H961" i="5"/>
  <c r="I961" i="5"/>
  <c r="I1149" i="5" s="1"/>
  <c r="J961" i="5"/>
  <c r="K961" i="5"/>
  <c r="L961" i="5"/>
  <c r="M961" i="5"/>
  <c r="AC961" i="5" s="1"/>
  <c r="N961" i="5"/>
  <c r="O961" i="5"/>
  <c r="P961" i="5"/>
  <c r="Q961" i="5"/>
  <c r="Q1149" i="5" s="1"/>
  <c r="R961" i="5"/>
  <c r="S961" i="5"/>
  <c r="T961" i="5"/>
  <c r="U961" i="5"/>
  <c r="U1149" i="5" s="1"/>
  <c r="V961" i="5"/>
  <c r="W961" i="5"/>
  <c r="X961" i="5"/>
  <c r="AB961" i="5"/>
  <c r="B962" i="5"/>
  <c r="C962" i="5"/>
  <c r="D962" i="5"/>
  <c r="E962" i="5"/>
  <c r="F962" i="5"/>
  <c r="G962" i="5"/>
  <c r="H962" i="5"/>
  <c r="I962" i="5"/>
  <c r="J962" i="5"/>
  <c r="K962" i="5"/>
  <c r="L962" i="5"/>
  <c r="M962" i="5"/>
  <c r="N962" i="5"/>
  <c r="O962" i="5"/>
  <c r="P962" i="5"/>
  <c r="Q962" i="5"/>
  <c r="R962" i="5"/>
  <c r="S962" i="5"/>
  <c r="T962" i="5"/>
  <c r="U962" i="5"/>
  <c r="V962" i="5"/>
  <c r="W962" i="5"/>
  <c r="X962" i="5"/>
  <c r="AC962" i="5"/>
  <c r="B963" i="5"/>
  <c r="C963" i="5"/>
  <c r="D963" i="5"/>
  <c r="E963" i="5"/>
  <c r="F963" i="5"/>
  <c r="G963" i="5"/>
  <c r="H963" i="5"/>
  <c r="I963" i="5"/>
  <c r="J963" i="5"/>
  <c r="K963" i="5"/>
  <c r="L963" i="5"/>
  <c r="M963" i="5"/>
  <c r="AC963" i="5" s="1"/>
  <c r="N963" i="5"/>
  <c r="O963" i="5"/>
  <c r="P963" i="5"/>
  <c r="Q963" i="5"/>
  <c r="R963" i="5"/>
  <c r="S963" i="5"/>
  <c r="T963" i="5"/>
  <c r="U963" i="5"/>
  <c r="V963" i="5"/>
  <c r="W963" i="5"/>
  <c r="X963" i="5"/>
  <c r="AB963" i="5"/>
  <c r="B964" i="5"/>
  <c r="C964" i="5"/>
  <c r="D964" i="5"/>
  <c r="E964" i="5"/>
  <c r="F964" i="5"/>
  <c r="G964" i="5"/>
  <c r="H964" i="5"/>
  <c r="I964" i="5"/>
  <c r="J964" i="5"/>
  <c r="K964" i="5"/>
  <c r="L964" i="5"/>
  <c r="M964" i="5"/>
  <c r="N964" i="5"/>
  <c r="O964" i="5"/>
  <c r="P964" i="5"/>
  <c r="Q964" i="5"/>
  <c r="R964" i="5"/>
  <c r="S964" i="5"/>
  <c r="T964" i="5"/>
  <c r="U964" i="5"/>
  <c r="V964" i="5"/>
  <c r="W964" i="5"/>
  <c r="X964" i="5"/>
  <c r="AC964" i="5"/>
  <c r="B965" i="5"/>
  <c r="C965" i="5"/>
  <c r="D965" i="5"/>
  <c r="E965" i="5"/>
  <c r="F965" i="5"/>
  <c r="G965" i="5"/>
  <c r="H965" i="5"/>
  <c r="I965" i="5"/>
  <c r="J965" i="5"/>
  <c r="K965" i="5"/>
  <c r="L965" i="5"/>
  <c r="M965" i="5"/>
  <c r="AC965" i="5" s="1"/>
  <c r="N965" i="5"/>
  <c r="O965" i="5"/>
  <c r="P965" i="5"/>
  <c r="Q965" i="5"/>
  <c r="R965" i="5"/>
  <c r="S965" i="5"/>
  <c r="T965" i="5"/>
  <c r="U965" i="5"/>
  <c r="V965" i="5"/>
  <c r="W965" i="5"/>
  <c r="X965" i="5"/>
  <c r="AB965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W966" i="5"/>
  <c r="X966" i="5"/>
  <c r="AC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AC967" i="5" s="1"/>
  <c r="N967" i="5"/>
  <c r="O967" i="5"/>
  <c r="P967" i="5"/>
  <c r="Q967" i="5"/>
  <c r="R967" i="5"/>
  <c r="S967" i="5"/>
  <c r="T967" i="5"/>
  <c r="U967" i="5"/>
  <c r="V967" i="5"/>
  <c r="W967" i="5"/>
  <c r="X967" i="5"/>
  <c r="AB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W968" i="5"/>
  <c r="X968" i="5"/>
  <c r="AC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AC969" i="5" s="1"/>
  <c r="N969" i="5"/>
  <c r="O969" i="5"/>
  <c r="P969" i="5"/>
  <c r="Q969" i="5"/>
  <c r="R969" i="5"/>
  <c r="S969" i="5"/>
  <c r="T969" i="5"/>
  <c r="U969" i="5"/>
  <c r="V969" i="5"/>
  <c r="W969" i="5"/>
  <c r="X969" i="5"/>
  <c r="AB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W970" i="5"/>
  <c r="X970" i="5"/>
  <c r="AC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AC971" i="5" s="1"/>
  <c r="N971" i="5"/>
  <c r="O971" i="5"/>
  <c r="P971" i="5"/>
  <c r="Q971" i="5"/>
  <c r="R971" i="5"/>
  <c r="S971" i="5"/>
  <c r="T971" i="5"/>
  <c r="U971" i="5"/>
  <c r="V971" i="5"/>
  <c r="W971" i="5"/>
  <c r="X971" i="5"/>
  <c r="AB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V972" i="5"/>
  <c r="W972" i="5"/>
  <c r="X972" i="5"/>
  <c r="AC972" i="5"/>
  <c r="B973" i="5"/>
  <c r="C973" i="5"/>
  <c r="D973" i="5"/>
  <c r="E973" i="5"/>
  <c r="E1150" i="5" s="1"/>
  <c r="F973" i="5"/>
  <c r="G973" i="5"/>
  <c r="H973" i="5"/>
  <c r="I973" i="5"/>
  <c r="I1150" i="5" s="1"/>
  <c r="J973" i="5"/>
  <c r="K973" i="5"/>
  <c r="L973" i="5"/>
  <c r="M973" i="5"/>
  <c r="AC973" i="5" s="1"/>
  <c r="AC1150" i="5" s="1"/>
  <c r="N973" i="5"/>
  <c r="O973" i="5"/>
  <c r="P973" i="5"/>
  <c r="Q973" i="5"/>
  <c r="Q1150" i="5" s="1"/>
  <c r="R973" i="5"/>
  <c r="S973" i="5"/>
  <c r="T973" i="5"/>
  <c r="U973" i="5"/>
  <c r="U1150" i="5" s="1"/>
  <c r="V973" i="5"/>
  <c r="W973" i="5"/>
  <c r="X973" i="5"/>
  <c r="AB973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W974" i="5"/>
  <c r="X974" i="5"/>
  <c r="AC974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AC975" i="5" s="1"/>
  <c r="N975" i="5"/>
  <c r="O975" i="5"/>
  <c r="P975" i="5"/>
  <c r="Q975" i="5"/>
  <c r="R975" i="5"/>
  <c r="S975" i="5"/>
  <c r="T975" i="5"/>
  <c r="U975" i="5"/>
  <c r="V975" i="5"/>
  <c r="W975" i="5"/>
  <c r="X975" i="5"/>
  <c r="AB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AC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AC977" i="5" s="1"/>
  <c r="N977" i="5"/>
  <c r="O977" i="5"/>
  <c r="P977" i="5"/>
  <c r="Q977" i="5"/>
  <c r="R977" i="5"/>
  <c r="S977" i="5"/>
  <c r="T977" i="5"/>
  <c r="U977" i="5"/>
  <c r="V977" i="5"/>
  <c r="W977" i="5"/>
  <c r="X977" i="5"/>
  <c r="AB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V978" i="5"/>
  <c r="W978" i="5"/>
  <c r="X978" i="5"/>
  <c r="AC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AC979" i="5" s="1"/>
  <c r="N979" i="5"/>
  <c r="O979" i="5"/>
  <c r="P979" i="5"/>
  <c r="Q979" i="5"/>
  <c r="R979" i="5"/>
  <c r="S979" i="5"/>
  <c r="T979" i="5"/>
  <c r="U979" i="5"/>
  <c r="V979" i="5"/>
  <c r="W979" i="5"/>
  <c r="X979" i="5"/>
  <c r="AB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V980" i="5"/>
  <c r="W980" i="5"/>
  <c r="X980" i="5"/>
  <c r="AC980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AC981" i="5" s="1"/>
  <c r="N981" i="5"/>
  <c r="O981" i="5"/>
  <c r="P981" i="5"/>
  <c r="Q981" i="5"/>
  <c r="R981" i="5"/>
  <c r="S981" i="5"/>
  <c r="T981" i="5"/>
  <c r="U981" i="5"/>
  <c r="V981" i="5"/>
  <c r="W981" i="5"/>
  <c r="X981" i="5"/>
  <c r="AB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W982" i="5"/>
  <c r="X982" i="5"/>
  <c r="AC982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AC983" i="5" s="1"/>
  <c r="N983" i="5"/>
  <c r="O983" i="5"/>
  <c r="P983" i="5"/>
  <c r="Q983" i="5"/>
  <c r="R983" i="5"/>
  <c r="S983" i="5"/>
  <c r="T983" i="5"/>
  <c r="U983" i="5"/>
  <c r="V983" i="5"/>
  <c r="W983" i="5"/>
  <c r="X983" i="5"/>
  <c r="AB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AC984" i="5"/>
  <c r="B985" i="5"/>
  <c r="C985" i="5"/>
  <c r="D985" i="5"/>
  <c r="E985" i="5"/>
  <c r="E1151" i="5" s="1"/>
  <c r="F985" i="5"/>
  <c r="G985" i="5"/>
  <c r="H985" i="5"/>
  <c r="I985" i="5"/>
  <c r="I1151" i="5" s="1"/>
  <c r="J985" i="5"/>
  <c r="K985" i="5"/>
  <c r="L985" i="5"/>
  <c r="M985" i="5"/>
  <c r="AC985" i="5" s="1"/>
  <c r="N985" i="5"/>
  <c r="O985" i="5"/>
  <c r="P985" i="5"/>
  <c r="Q985" i="5"/>
  <c r="Q1151" i="5" s="1"/>
  <c r="R985" i="5"/>
  <c r="S985" i="5"/>
  <c r="T985" i="5"/>
  <c r="U985" i="5"/>
  <c r="U1151" i="5" s="1"/>
  <c r="V985" i="5"/>
  <c r="W985" i="5"/>
  <c r="X985" i="5"/>
  <c r="AB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AC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AC987" i="5" s="1"/>
  <c r="N987" i="5"/>
  <c r="O987" i="5"/>
  <c r="P987" i="5"/>
  <c r="Q987" i="5"/>
  <c r="R987" i="5"/>
  <c r="S987" i="5"/>
  <c r="T987" i="5"/>
  <c r="U987" i="5"/>
  <c r="V987" i="5"/>
  <c r="W987" i="5"/>
  <c r="X987" i="5"/>
  <c r="AB987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V988" i="5"/>
  <c r="W988" i="5"/>
  <c r="X988" i="5"/>
  <c r="AC988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AC989" i="5" s="1"/>
  <c r="N989" i="5"/>
  <c r="O989" i="5"/>
  <c r="P989" i="5"/>
  <c r="Q989" i="5"/>
  <c r="R989" i="5"/>
  <c r="S989" i="5"/>
  <c r="T989" i="5"/>
  <c r="U989" i="5"/>
  <c r="V989" i="5"/>
  <c r="W989" i="5"/>
  <c r="X989" i="5"/>
  <c r="AB989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W990" i="5"/>
  <c r="X990" i="5"/>
  <c r="AC990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AC991" i="5" s="1"/>
  <c r="N991" i="5"/>
  <c r="O991" i="5"/>
  <c r="P991" i="5"/>
  <c r="Q991" i="5"/>
  <c r="R991" i="5"/>
  <c r="S991" i="5"/>
  <c r="T991" i="5"/>
  <c r="U991" i="5"/>
  <c r="V991" i="5"/>
  <c r="W991" i="5"/>
  <c r="X991" i="5"/>
  <c r="AB991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AC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AC993" i="5" s="1"/>
  <c r="N993" i="5"/>
  <c r="O993" i="5"/>
  <c r="P993" i="5"/>
  <c r="Q993" i="5"/>
  <c r="R993" i="5"/>
  <c r="S993" i="5"/>
  <c r="T993" i="5"/>
  <c r="U993" i="5"/>
  <c r="V993" i="5"/>
  <c r="W993" i="5"/>
  <c r="X993" i="5"/>
  <c r="AB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AC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AC995" i="5" s="1"/>
  <c r="N995" i="5"/>
  <c r="O995" i="5"/>
  <c r="P995" i="5"/>
  <c r="Q995" i="5"/>
  <c r="R995" i="5"/>
  <c r="S995" i="5"/>
  <c r="T995" i="5"/>
  <c r="U995" i="5"/>
  <c r="V995" i="5"/>
  <c r="W995" i="5"/>
  <c r="X995" i="5"/>
  <c r="AB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AC996" i="5"/>
  <c r="B997" i="5"/>
  <c r="C997" i="5"/>
  <c r="D997" i="5"/>
  <c r="E997" i="5"/>
  <c r="E1152" i="5" s="1"/>
  <c r="F997" i="5"/>
  <c r="G997" i="5"/>
  <c r="H997" i="5"/>
  <c r="I997" i="5"/>
  <c r="J997" i="5"/>
  <c r="K997" i="5"/>
  <c r="L997" i="5"/>
  <c r="M997" i="5"/>
  <c r="AC997" i="5" s="1"/>
  <c r="N997" i="5"/>
  <c r="O997" i="5"/>
  <c r="P997" i="5"/>
  <c r="Q997" i="5"/>
  <c r="R997" i="5"/>
  <c r="S997" i="5"/>
  <c r="T997" i="5"/>
  <c r="U997" i="5"/>
  <c r="U1152" i="5" s="1"/>
  <c r="V997" i="5"/>
  <c r="W997" i="5"/>
  <c r="X997" i="5"/>
  <c r="AB997" i="5"/>
  <c r="B998" i="5"/>
  <c r="C998" i="5"/>
  <c r="D998" i="5"/>
  <c r="E998" i="5"/>
  <c r="F998" i="5"/>
  <c r="G998" i="5"/>
  <c r="H998" i="5"/>
  <c r="I998" i="5"/>
  <c r="J998" i="5"/>
  <c r="K998" i="5"/>
  <c r="L998" i="5"/>
  <c r="M998" i="5"/>
  <c r="N998" i="5"/>
  <c r="O998" i="5"/>
  <c r="P998" i="5"/>
  <c r="Q998" i="5"/>
  <c r="R998" i="5"/>
  <c r="S998" i="5"/>
  <c r="T998" i="5"/>
  <c r="U998" i="5"/>
  <c r="V998" i="5"/>
  <c r="W998" i="5"/>
  <c r="X998" i="5"/>
  <c r="AC998" i="5"/>
  <c r="B999" i="5"/>
  <c r="C999" i="5"/>
  <c r="D999" i="5"/>
  <c r="E999" i="5"/>
  <c r="F999" i="5"/>
  <c r="G999" i="5"/>
  <c r="H999" i="5"/>
  <c r="I999" i="5"/>
  <c r="J999" i="5"/>
  <c r="K999" i="5"/>
  <c r="L999" i="5"/>
  <c r="M999" i="5"/>
  <c r="AC999" i="5" s="1"/>
  <c r="N999" i="5"/>
  <c r="O999" i="5"/>
  <c r="P999" i="5"/>
  <c r="Q999" i="5"/>
  <c r="R999" i="5"/>
  <c r="S999" i="5"/>
  <c r="T999" i="5"/>
  <c r="U999" i="5"/>
  <c r="V999" i="5"/>
  <c r="W999" i="5"/>
  <c r="X999" i="5"/>
  <c r="AB999" i="5"/>
  <c r="B1000" i="5"/>
  <c r="C1000" i="5"/>
  <c r="D1000" i="5"/>
  <c r="E1000" i="5"/>
  <c r="F1000" i="5"/>
  <c r="G1000" i="5"/>
  <c r="H1000" i="5"/>
  <c r="I1000" i="5"/>
  <c r="J1000" i="5"/>
  <c r="K1000" i="5"/>
  <c r="L1000" i="5"/>
  <c r="M1000" i="5"/>
  <c r="N1000" i="5"/>
  <c r="O1000" i="5"/>
  <c r="P1000" i="5"/>
  <c r="Q1000" i="5"/>
  <c r="R1000" i="5"/>
  <c r="S1000" i="5"/>
  <c r="T1000" i="5"/>
  <c r="U1000" i="5"/>
  <c r="V1000" i="5"/>
  <c r="W1000" i="5"/>
  <c r="X1000" i="5"/>
  <c r="AC1000" i="5"/>
  <c r="B1001" i="5"/>
  <c r="C1001" i="5"/>
  <c r="D1001" i="5"/>
  <c r="E1001" i="5"/>
  <c r="F1001" i="5"/>
  <c r="G1001" i="5"/>
  <c r="H1001" i="5"/>
  <c r="I1001" i="5"/>
  <c r="J1001" i="5"/>
  <c r="K1001" i="5"/>
  <c r="L1001" i="5"/>
  <c r="M1001" i="5"/>
  <c r="AC1001" i="5" s="1"/>
  <c r="N1001" i="5"/>
  <c r="O1001" i="5"/>
  <c r="P1001" i="5"/>
  <c r="Q1001" i="5"/>
  <c r="R1001" i="5"/>
  <c r="S1001" i="5"/>
  <c r="T1001" i="5"/>
  <c r="U1001" i="5"/>
  <c r="V1001" i="5"/>
  <c r="W1001" i="5"/>
  <c r="X1001" i="5"/>
  <c r="AB1001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V1002" i="5"/>
  <c r="W1002" i="5"/>
  <c r="X1002" i="5"/>
  <c r="AC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AC1003" i="5" s="1"/>
  <c r="N1003" i="5"/>
  <c r="O1003" i="5"/>
  <c r="P1003" i="5"/>
  <c r="Q1003" i="5"/>
  <c r="R1003" i="5"/>
  <c r="S1003" i="5"/>
  <c r="T1003" i="5"/>
  <c r="U1003" i="5"/>
  <c r="V1003" i="5"/>
  <c r="W1003" i="5"/>
  <c r="X1003" i="5"/>
  <c r="AB1003" i="5"/>
  <c r="B1004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V1004" i="5"/>
  <c r="W1004" i="5"/>
  <c r="X1004" i="5"/>
  <c r="AC1004" i="5"/>
  <c r="B1005" i="5"/>
  <c r="C1005" i="5"/>
  <c r="D1005" i="5"/>
  <c r="E1005" i="5"/>
  <c r="F1005" i="5"/>
  <c r="G1005" i="5"/>
  <c r="H1005" i="5"/>
  <c r="I1005" i="5"/>
  <c r="J1005" i="5"/>
  <c r="K1005" i="5"/>
  <c r="L1005" i="5"/>
  <c r="M1005" i="5"/>
  <c r="AC1005" i="5" s="1"/>
  <c r="N1005" i="5"/>
  <c r="O1005" i="5"/>
  <c r="P1005" i="5"/>
  <c r="Q1005" i="5"/>
  <c r="R1005" i="5"/>
  <c r="S1005" i="5"/>
  <c r="T1005" i="5"/>
  <c r="U1005" i="5"/>
  <c r="V1005" i="5"/>
  <c r="W1005" i="5"/>
  <c r="X1005" i="5"/>
  <c r="AB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V1006" i="5"/>
  <c r="W1006" i="5"/>
  <c r="X1006" i="5"/>
  <c r="AC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AC1007" i="5" s="1"/>
  <c r="N1007" i="5"/>
  <c r="O1007" i="5"/>
  <c r="P1007" i="5"/>
  <c r="Q1007" i="5"/>
  <c r="R1007" i="5"/>
  <c r="S1007" i="5"/>
  <c r="T1007" i="5"/>
  <c r="U1007" i="5"/>
  <c r="V1007" i="5"/>
  <c r="W1007" i="5"/>
  <c r="X1007" i="5"/>
  <c r="AB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V1008" i="5"/>
  <c r="W1008" i="5"/>
  <c r="X1008" i="5"/>
  <c r="AC1008" i="5"/>
  <c r="B1009" i="5"/>
  <c r="C1009" i="5"/>
  <c r="D1009" i="5"/>
  <c r="E1009" i="5"/>
  <c r="E1153" i="5" s="1"/>
  <c r="F1009" i="5"/>
  <c r="G1009" i="5"/>
  <c r="H1009" i="5"/>
  <c r="I1009" i="5"/>
  <c r="I1153" i="5" s="1"/>
  <c r="J1009" i="5"/>
  <c r="K1009" i="5"/>
  <c r="L1009" i="5"/>
  <c r="M1009" i="5"/>
  <c r="AC1009" i="5" s="1"/>
  <c r="N1009" i="5"/>
  <c r="O1009" i="5"/>
  <c r="P1009" i="5"/>
  <c r="Q1009" i="5"/>
  <c r="Q1153" i="5" s="1"/>
  <c r="R1009" i="5"/>
  <c r="S1009" i="5"/>
  <c r="T1009" i="5"/>
  <c r="U1009" i="5"/>
  <c r="U1153" i="5" s="1"/>
  <c r="V1009" i="5"/>
  <c r="W1009" i="5"/>
  <c r="X1009" i="5"/>
  <c r="AB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W1010" i="5"/>
  <c r="X1010" i="5"/>
  <c r="AC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AC1011" i="5" s="1"/>
  <c r="N1011" i="5"/>
  <c r="O1011" i="5"/>
  <c r="P1011" i="5"/>
  <c r="Q1011" i="5"/>
  <c r="R1011" i="5"/>
  <c r="S1011" i="5"/>
  <c r="T1011" i="5"/>
  <c r="U1011" i="5"/>
  <c r="V1011" i="5"/>
  <c r="W1011" i="5"/>
  <c r="X1011" i="5"/>
  <c r="AB1011" i="5"/>
  <c r="B1012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V1012" i="5"/>
  <c r="W1012" i="5"/>
  <c r="X1012" i="5"/>
  <c r="AC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AC1013" i="5" s="1"/>
  <c r="N1013" i="5"/>
  <c r="O1013" i="5"/>
  <c r="P1013" i="5"/>
  <c r="Q1013" i="5"/>
  <c r="R1013" i="5"/>
  <c r="S1013" i="5"/>
  <c r="T1013" i="5"/>
  <c r="U1013" i="5"/>
  <c r="V1013" i="5"/>
  <c r="W1013" i="5"/>
  <c r="X1013" i="5"/>
  <c r="AB1013" i="5"/>
  <c r="B1014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V1014" i="5"/>
  <c r="W1014" i="5"/>
  <c r="X1014" i="5"/>
  <c r="AC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AC1015" i="5" s="1"/>
  <c r="N1015" i="5"/>
  <c r="O1015" i="5"/>
  <c r="P1015" i="5"/>
  <c r="Q1015" i="5"/>
  <c r="R1015" i="5"/>
  <c r="S1015" i="5"/>
  <c r="T1015" i="5"/>
  <c r="U1015" i="5"/>
  <c r="V1015" i="5"/>
  <c r="W1015" i="5"/>
  <c r="X1015" i="5"/>
  <c r="AB1015" i="5"/>
  <c r="B1016" i="5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V1016" i="5"/>
  <c r="W1016" i="5"/>
  <c r="X1016" i="5"/>
  <c r="AC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AC1017" i="5" s="1"/>
  <c r="N1017" i="5"/>
  <c r="O1017" i="5"/>
  <c r="P1017" i="5"/>
  <c r="Q1017" i="5"/>
  <c r="R1017" i="5"/>
  <c r="S1017" i="5"/>
  <c r="T1017" i="5"/>
  <c r="U1017" i="5"/>
  <c r="V1017" i="5"/>
  <c r="W1017" i="5"/>
  <c r="X1017" i="5"/>
  <c r="AB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W1018" i="5"/>
  <c r="X1018" i="5"/>
  <c r="AC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AC1019" i="5" s="1"/>
  <c r="N1019" i="5"/>
  <c r="O1019" i="5"/>
  <c r="P1019" i="5"/>
  <c r="Q1019" i="5"/>
  <c r="R1019" i="5"/>
  <c r="S1019" i="5"/>
  <c r="T1019" i="5"/>
  <c r="U1019" i="5"/>
  <c r="V1019" i="5"/>
  <c r="W1019" i="5"/>
  <c r="X1019" i="5"/>
  <c r="AB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V1020" i="5"/>
  <c r="W1020" i="5"/>
  <c r="X1020" i="5"/>
  <c r="AC1020" i="5"/>
  <c r="B1021" i="5"/>
  <c r="C1021" i="5"/>
  <c r="D1021" i="5"/>
  <c r="E1021" i="5"/>
  <c r="F1021" i="5"/>
  <c r="G1021" i="5"/>
  <c r="H1021" i="5"/>
  <c r="I1021" i="5"/>
  <c r="I1154" i="5" s="1"/>
  <c r="J1021" i="5"/>
  <c r="K1021" i="5"/>
  <c r="L1021" i="5"/>
  <c r="M1021" i="5"/>
  <c r="AC1021" i="5" s="1"/>
  <c r="N1021" i="5"/>
  <c r="O1021" i="5"/>
  <c r="P1021" i="5"/>
  <c r="Q1021" i="5"/>
  <c r="Q1154" i="5" s="1"/>
  <c r="R1021" i="5"/>
  <c r="S1021" i="5"/>
  <c r="T1021" i="5"/>
  <c r="U1021" i="5"/>
  <c r="V1021" i="5"/>
  <c r="W1021" i="5"/>
  <c r="X1021" i="5"/>
  <c r="AB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V1022" i="5"/>
  <c r="W1022" i="5"/>
  <c r="X1022" i="5"/>
  <c r="AC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AC1023" i="5" s="1"/>
  <c r="N1023" i="5"/>
  <c r="O1023" i="5"/>
  <c r="P1023" i="5"/>
  <c r="Q1023" i="5"/>
  <c r="R1023" i="5"/>
  <c r="S1023" i="5"/>
  <c r="T1023" i="5"/>
  <c r="U1023" i="5"/>
  <c r="V1023" i="5"/>
  <c r="W1023" i="5"/>
  <c r="X1023" i="5"/>
  <c r="AB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V1024" i="5"/>
  <c r="W1024" i="5"/>
  <c r="X1024" i="5"/>
  <c r="AC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AC1025" i="5" s="1"/>
  <c r="N1025" i="5"/>
  <c r="O1025" i="5"/>
  <c r="P1025" i="5"/>
  <c r="Q1025" i="5"/>
  <c r="R1025" i="5"/>
  <c r="S1025" i="5"/>
  <c r="T1025" i="5"/>
  <c r="U1025" i="5"/>
  <c r="V1025" i="5"/>
  <c r="W1025" i="5"/>
  <c r="X1025" i="5"/>
  <c r="AB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W1026" i="5"/>
  <c r="X1026" i="5"/>
  <c r="AC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AC1027" i="5" s="1"/>
  <c r="N1027" i="5"/>
  <c r="O1027" i="5"/>
  <c r="P1027" i="5"/>
  <c r="Q1027" i="5"/>
  <c r="R1027" i="5"/>
  <c r="S1027" i="5"/>
  <c r="T1027" i="5"/>
  <c r="U1027" i="5"/>
  <c r="V1027" i="5"/>
  <c r="W1027" i="5"/>
  <c r="X1027" i="5"/>
  <c r="AB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V1028" i="5"/>
  <c r="W1028" i="5"/>
  <c r="X1028" i="5"/>
  <c r="AC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AC1029" i="5" s="1"/>
  <c r="N1029" i="5"/>
  <c r="O1029" i="5"/>
  <c r="P1029" i="5"/>
  <c r="Q1029" i="5"/>
  <c r="R1029" i="5"/>
  <c r="S1029" i="5"/>
  <c r="T1029" i="5"/>
  <c r="U1029" i="5"/>
  <c r="V1029" i="5"/>
  <c r="W1029" i="5"/>
  <c r="X1029" i="5"/>
  <c r="AB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V1030" i="5"/>
  <c r="W1030" i="5"/>
  <c r="X1030" i="5"/>
  <c r="AC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AC1031" i="5" s="1"/>
  <c r="N1031" i="5"/>
  <c r="O1031" i="5"/>
  <c r="P1031" i="5"/>
  <c r="Q1031" i="5"/>
  <c r="R1031" i="5"/>
  <c r="S1031" i="5"/>
  <c r="T1031" i="5"/>
  <c r="U1031" i="5"/>
  <c r="V1031" i="5"/>
  <c r="W1031" i="5"/>
  <c r="X1031" i="5"/>
  <c r="AB1031" i="5"/>
  <c r="B1032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V1032" i="5"/>
  <c r="W1032" i="5"/>
  <c r="X1032" i="5"/>
  <c r="AC1032" i="5"/>
  <c r="B1033" i="5"/>
  <c r="C1033" i="5"/>
  <c r="D1033" i="5"/>
  <c r="E1033" i="5"/>
  <c r="E1155" i="5" s="1"/>
  <c r="F1033" i="5"/>
  <c r="G1033" i="5"/>
  <c r="H1033" i="5"/>
  <c r="I1033" i="5"/>
  <c r="I1155" i="5" s="1"/>
  <c r="J1033" i="5"/>
  <c r="K1033" i="5"/>
  <c r="L1033" i="5"/>
  <c r="M1033" i="5"/>
  <c r="AC1033" i="5" s="1"/>
  <c r="N1033" i="5"/>
  <c r="O1033" i="5"/>
  <c r="P1033" i="5"/>
  <c r="Q1033" i="5"/>
  <c r="Q1155" i="5" s="1"/>
  <c r="R1033" i="5"/>
  <c r="S1033" i="5"/>
  <c r="T1033" i="5"/>
  <c r="U1033" i="5"/>
  <c r="U1155" i="5" s="1"/>
  <c r="V1033" i="5"/>
  <c r="W1033" i="5"/>
  <c r="X1033" i="5"/>
  <c r="AB1033" i="5"/>
  <c r="B1034" i="5"/>
  <c r="C1034" i="5"/>
  <c r="D1034" i="5"/>
  <c r="E1034" i="5"/>
  <c r="F1034" i="5"/>
  <c r="G1034" i="5"/>
  <c r="H1034" i="5"/>
  <c r="I1034" i="5"/>
  <c r="J1034" i="5"/>
  <c r="K1034" i="5"/>
  <c r="L1034" i="5"/>
  <c r="M1034" i="5"/>
  <c r="N1034" i="5"/>
  <c r="O1034" i="5"/>
  <c r="P1034" i="5"/>
  <c r="Q1034" i="5"/>
  <c r="R1034" i="5"/>
  <c r="S1034" i="5"/>
  <c r="T1034" i="5"/>
  <c r="U1034" i="5"/>
  <c r="V1034" i="5"/>
  <c r="W1034" i="5"/>
  <c r="X1034" i="5"/>
  <c r="AC1034" i="5"/>
  <c r="B1035" i="5"/>
  <c r="C1035" i="5"/>
  <c r="D1035" i="5"/>
  <c r="E1035" i="5"/>
  <c r="F1035" i="5"/>
  <c r="G1035" i="5"/>
  <c r="H1035" i="5"/>
  <c r="I1035" i="5"/>
  <c r="J1035" i="5"/>
  <c r="K1035" i="5"/>
  <c r="L1035" i="5"/>
  <c r="M1035" i="5"/>
  <c r="AC1035" i="5" s="1"/>
  <c r="N1035" i="5"/>
  <c r="O1035" i="5"/>
  <c r="P1035" i="5"/>
  <c r="Q1035" i="5"/>
  <c r="R1035" i="5"/>
  <c r="S1035" i="5"/>
  <c r="T1035" i="5"/>
  <c r="U1035" i="5"/>
  <c r="V1035" i="5"/>
  <c r="W1035" i="5"/>
  <c r="X1035" i="5"/>
  <c r="AB1035" i="5"/>
  <c r="B1036" i="5"/>
  <c r="C1036" i="5"/>
  <c r="D1036" i="5"/>
  <c r="E1036" i="5"/>
  <c r="F1036" i="5"/>
  <c r="G1036" i="5"/>
  <c r="H1036" i="5"/>
  <c r="I1036" i="5"/>
  <c r="J1036" i="5"/>
  <c r="K1036" i="5"/>
  <c r="L1036" i="5"/>
  <c r="M1036" i="5"/>
  <c r="N1036" i="5"/>
  <c r="O1036" i="5"/>
  <c r="P1036" i="5"/>
  <c r="Q1036" i="5"/>
  <c r="R1036" i="5"/>
  <c r="S1036" i="5"/>
  <c r="T1036" i="5"/>
  <c r="U1036" i="5"/>
  <c r="V1036" i="5"/>
  <c r="W1036" i="5"/>
  <c r="X1036" i="5"/>
  <c r="AC1036" i="5"/>
  <c r="B1037" i="5"/>
  <c r="C1037" i="5"/>
  <c r="D1037" i="5"/>
  <c r="E1037" i="5"/>
  <c r="F1037" i="5"/>
  <c r="G1037" i="5"/>
  <c r="H1037" i="5"/>
  <c r="I1037" i="5"/>
  <c r="J1037" i="5"/>
  <c r="K1037" i="5"/>
  <c r="L1037" i="5"/>
  <c r="M1037" i="5"/>
  <c r="AC1037" i="5" s="1"/>
  <c r="N1037" i="5"/>
  <c r="O1037" i="5"/>
  <c r="P1037" i="5"/>
  <c r="Q1037" i="5"/>
  <c r="R1037" i="5"/>
  <c r="S1037" i="5"/>
  <c r="T1037" i="5"/>
  <c r="U1037" i="5"/>
  <c r="V1037" i="5"/>
  <c r="W1037" i="5"/>
  <c r="X1037" i="5"/>
  <c r="AB1037" i="5"/>
  <c r="B1038" i="5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V1038" i="5"/>
  <c r="W1038" i="5"/>
  <c r="X1038" i="5"/>
  <c r="AC1038" i="5"/>
  <c r="B1039" i="5"/>
  <c r="C1039" i="5"/>
  <c r="D1039" i="5"/>
  <c r="E1039" i="5"/>
  <c r="F1039" i="5"/>
  <c r="G1039" i="5"/>
  <c r="H1039" i="5"/>
  <c r="I1039" i="5"/>
  <c r="J1039" i="5"/>
  <c r="K1039" i="5"/>
  <c r="L1039" i="5"/>
  <c r="M1039" i="5"/>
  <c r="AC1039" i="5" s="1"/>
  <c r="N1039" i="5"/>
  <c r="O1039" i="5"/>
  <c r="P1039" i="5"/>
  <c r="Q1039" i="5"/>
  <c r="R1039" i="5"/>
  <c r="S1039" i="5"/>
  <c r="T1039" i="5"/>
  <c r="U1039" i="5"/>
  <c r="V1039" i="5"/>
  <c r="W1039" i="5"/>
  <c r="X1039" i="5"/>
  <c r="AB1039" i="5"/>
  <c r="B1040" i="5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V1040" i="5"/>
  <c r="W1040" i="5"/>
  <c r="X1040" i="5"/>
  <c r="AC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AC1041" i="5" s="1"/>
  <c r="N1041" i="5"/>
  <c r="O1041" i="5"/>
  <c r="P1041" i="5"/>
  <c r="Q1041" i="5"/>
  <c r="R1041" i="5"/>
  <c r="S1041" i="5"/>
  <c r="T1041" i="5"/>
  <c r="U1041" i="5"/>
  <c r="V1041" i="5"/>
  <c r="W1041" i="5"/>
  <c r="X1041" i="5"/>
  <c r="AB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V1042" i="5"/>
  <c r="W1042" i="5"/>
  <c r="X1042" i="5"/>
  <c r="AC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AC1043" i="5" s="1"/>
  <c r="N1043" i="5"/>
  <c r="O1043" i="5"/>
  <c r="P1043" i="5"/>
  <c r="Q1043" i="5"/>
  <c r="R1043" i="5"/>
  <c r="S1043" i="5"/>
  <c r="T1043" i="5"/>
  <c r="U1043" i="5"/>
  <c r="V1043" i="5"/>
  <c r="W1043" i="5"/>
  <c r="X1043" i="5"/>
  <c r="AB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O1044" i="5"/>
  <c r="P1044" i="5"/>
  <c r="Q1044" i="5"/>
  <c r="R1044" i="5"/>
  <c r="S1044" i="5"/>
  <c r="T1044" i="5"/>
  <c r="U1044" i="5"/>
  <c r="V1044" i="5"/>
  <c r="W1044" i="5"/>
  <c r="X1044" i="5"/>
  <c r="AC1044" i="5"/>
  <c r="B1045" i="5"/>
  <c r="C1045" i="5"/>
  <c r="D1045" i="5"/>
  <c r="E1045" i="5"/>
  <c r="E1156" i="5" s="1"/>
  <c r="F1045" i="5"/>
  <c r="G1045" i="5"/>
  <c r="H1045" i="5"/>
  <c r="I1045" i="5"/>
  <c r="J1045" i="5"/>
  <c r="K1045" i="5"/>
  <c r="L1045" i="5"/>
  <c r="M1045" i="5"/>
  <c r="AC1045" i="5" s="1"/>
  <c r="N1045" i="5"/>
  <c r="O1045" i="5"/>
  <c r="P1045" i="5"/>
  <c r="Q1045" i="5"/>
  <c r="R1045" i="5"/>
  <c r="S1045" i="5"/>
  <c r="T1045" i="5"/>
  <c r="U1045" i="5"/>
  <c r="U1156" i="5" s="1"/>
  <c r="V1045" i="5"/>
  <c r="W1045" i="5"/>
  <c r="X1045" i="5"/>
  <c r="AB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V1046" i="5"/>
  <c r="W1046" i="5"/>
  <c r="X1046" i="5"/>
  <c r="AC1046" i="5"/>
  <c r="B1047" i="5"/>
  <c r="C1047" i="5"/>
  <c r="D1047" i="5"/>
  <c r="E1047" i="5"/>
  <c r="F1047" i="5"/>
  <c r="G1047" i="5"/>
  <c r="H1047" i="5"/>
  <c r="I1047" i="5"/>
  <c r="J1047" i="5"/>
  <c r="K1047" i="5"/>
  <c r="L1047" i="5"/>
  <c r="M1047" i="5"/>
  <c r="AC1047" i="5" s="1"/>
  <c r="N1047" i="5"/>
  <c r="O1047" i="5"/>
  <c r="P1047" i="5"/>
  <c r="Q1047" i="5"/>
  <c r="R1047" i="5"/>
  <c r="S1047" i="5"/>
  <c r="T1047" i="5"/>
  <c r="U1047" i="5"/>
  <c r="V1047" i="5"/>
  <c r="W1047" i="5"/>
  <c r="X1047" i="5"/>
  <c r="AB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V1048" i="5"/>
  <c r="W1048" i="5"/>
  <c r="X1048" i="5"/>
  <c r="AC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AC1049" i="5" s="1"/>
  <c r="N1049" i="5"/>
  <c r="O1049" i="5"/>
  <c r="P1049" i="5"/>
  <c r="Q1049" i="5"/>
  <c r="R1049" i="5"/>
  <c r="S1049" i="5"/>
  <c r="T1049" i="5"/>
  <c r="U1049" i="5"/>
  <c r="V1049" i="5"/>
  <c r="W1049" i="5"/>
  <c r="X1049" i="5"/>
  <c r="AB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V1050" i="5"/>
  <c r="W1050" i="5"/>
  <c r="X1050" i="5"/>
  <c r="AC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AC1051" i="5" s="1"/>
  <c r="N1051" i="5"/>
  <c r="O1051" i="5"/>
  <c r="P1051" i="5"/>
  <c r="Q1051" i="5"/>
  <c r="R1051" i="5"/>
  <c r="S1051" i="5"/>
  <c r="T1051" i="5"/>
  <c r="U1051" i="5"/>
  <c r="V1051" i="5"/>
  <c r="W1051" i="5"/>
  <c r="X1051" i="5"/>
  <c r="AB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V1052" i="5"/>
  <c r="W1052" i="5"/>
  <c r="X1052" i="5"/>
  <c r="AC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AC1053" i="5" s="1"/>
  <c r="N1053" i="5"/>
  <c r="O1053" i="5"/>
  <c r="P1053" i="5"/>
  <c r="Q1053" i="5"/>
  <c r="R1053" i="5"/>
  <c r="S1053" i="5"/>
  <c r="T1053" i="5"/>
  <c r="U1053" i="5"/>
  <c r="V1053" i="5"/>
  <c r="W1053" i="5"/>
  <c r="X1053" i="5"/>
  <c r="AB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V1054" i="5"/>
  <c r="W1054" i="5"/>
  <c r="X1054" i="5"/>
  <c r="AC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AC1055" i="5" s="1"/>
  <c r="N1055" i="5"/>
  <c r="O1055" i="5"/>
  <c r="P1055" i="5"/>
  <c r="Q1055" i="5"/>
  <c r="R1055" i="5"/>
  <c r="S1055" i="5"/>
  <c r="T1055" i="5"/>
  <c r="U1055" i="5"/>
  <c r="V1055" i="5"/>
  <c r="W1055" i="5"/>
  <c r="X1055" i="5"/>
  <c r="AB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V1056" i="5"/>
  <c r="W1056" i="5"/>
  <c r="X1056" i="5"/>
  <c r="AC1056" i="5"/>
  <c r="B1057" i="5"/>
  <c r="C1057" i="5"/>
  <c r="D1057" i="5"/>
  <c r="E1057" i="5"/>
  <c r="E1157" i="5" s="1"/>
  <c r="F1057" i="5"/>
  <c r="G1057" i="5"/>
  <c r="H1057" i="5"/>
  <c r="I1057" i="5"/>
  <c r="I1157" i="5" s="1"/>
  <c r="J1057" i="5"/>
  <c r="K1057" i="5"/>
  <c r="L1057" i="5"/>
  <c r="M1057" i="5"/>
  <c r="AC1057" i="5" s="1"/>
  <c r="N1057" i="5"/>
  <c r="O1057" i="5"/>
  <c r="P1057" i="5"/>
  <c r="Q1057" i="5"/>
  <c r="Q1157" i="5" s="1"/>
  <c r="R1057" i="5"/>
  <c r="S1057" i="5"/>
  <c r="T1057" i="5"/>
  <c r="U1057" i="5"/>
  <c r="U1157" i="5" s="1"/>
  <c r="V1057" i="5"/>
  <c r="W1057" i="5"/>
  <c r="X1057" i="5"/>
  <c r="AB1057" i="5"/>
  <c r="B1058" i="5"/>
  <c r="C1058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V1058" i="5"/>
  <c r="W1058" i="5"/>
  <c r="X1058" i="5"/>
  <c r="AC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AC1059" i="5" s="1"/>
  <c r="N1059" i="5"/>
  <c r="O1059" i="5"/>
  <c r="P1059" i="5"/>
  <c r="Q1059" i="5"/>
  <c r="R1059" i="5"/>
  <c r="S1059" i="5"/>
  <c r="T1059" i="5"/>
  <c r="U1059" i="5"/>
  <c r="V1059" i="5"/>
  <c r="W1059" i="5"/>
  <c r="X1059" i="5"/>
  <c r="AB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V1060" i="5"/>
  <c r="W1060" i="5"/>
  <c r="X1060" i="5"/>
  <c r="AC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AC1061" i="5" s="1"/>
  <c r="N1061" i="5"/>
  <c r="O1061" i="5"/>
  <c r="P1061" i="5"/>
  <c r="Q1061" i="5"/>
  <c r="R1061" i="5"/>
  <c r="S1061" i="5"/>
  <c r="T1061" i="5"/>
  <c r="U1061" i="5"/>
  <c r="V1061" i="5"/>
  <c r="W1061" i="5"/>
  <c r="X1061" i="5"/>
  <c r="AB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V1062" i="5"/>
  <c r="W1062" i="5"/>
  <c r="X1062" i="5"/>
  <c r="AC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AC1063" i="5" s="1"/>
  <c r="N1063" i="5"/>
  <c r="O1063" i="5"/>
  <c r="P1063" i="5"/>
  <c r="Q1063" i="5"/>
  <c r="R1063" i="5"/>
  <c r="S1063" i="5"/>
  <c r="T1063" i="5"/>
  <c r="U1063" i="5"/>
  <c r="V1063" i="5"/>
  <c r="W1063" i="5"/>
  <c r="X1063" i="5"/>
  <c r="AB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V1064" i="5"/>
  <c r="W1064" i="5"/>
  <c r="X1064" i="5"/>
  <c r="AC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AC1065" i="5" s="1"/>
  <c r="N1065" i="5"/>
  <c r="O1065" i="5"/>
  <c r="P1065" i="5"/>
  <c r="Q1065" i="5"/>
  <c r="R1065" i="5"/>
  <c r="S1065" i="5"/>
  <c r="T1065" i="5"/>
  <c r="U1065" i="5"/>
  <c r="V1065" i="5"/>
  <c r="W1065" i="5"/>
  <c r="X1065" i="5"/>
  <c r="AB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V1066" i="5"/>
  <c r="W1066" i="5"/>
  <c r="X1066" i="5"/>
  <c r="AC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AC1067" i="5" s="1"/>
  <c r="N1067" i="5"/>
  <c r="O1067" i="5"/>
  <c r="P1067" i="5"/>
  <c r="Q1067" i="5"/>
  <c r="R1067" i="5"/>
  <c r="S1067" i="5"/>
  <c r="T1067" i="5"/>
  <c r="U1067" i="5"/>
  <c r="V1067" i="5"/>
  <c r="W1067" i="5"/>
  <c r="X1067" i="5"/>
  <c r="AB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V1068" i="5"/>
  <c r="W1068" i="5"/>
  <c r="X1068" i="5"/>
  <c r="AC1068" i="5"/>
  <c r="B1070" i="5"/>
  <c r="C1070" i="5"/>
  <c r="D1070" i="5"/>
  <c r="E1070" i="5"/>
  <c r="F1070" i="5"/>
  <c r="G1070" i="5"/>
  <c r="H1070" i="5"/>
  <c r="I1070" i="5"/>
  <c r="J1070" i="5"/>
  <c r="L1070" i="5"/>
  <c r="M1070" i="5"/>
  <c r="N1070" i="5"/>
  <c r="O1070" i="5"/>
  <c r="P1070" i="5"/>
  <c r="Q1070" i="5"/>
  <c r="R1070" i="5"/>
  <c r="S1070" i="5"/>
  <c r="T1070" i="5"/>
  <c r="U1070" i="5"/>
  <c r="V1070" i="5"/>
  <c r="W1070" i="5"/>
  <c r="X1070" i="5"/>
  <c r="Y1070" i="5"/>
  <c r="Z1070" i="5"/>
  <c r="AA1070" i="5"/>
  <c r="B1071" i="5"/>
  <c r="C1071" i="5"/>
  <c r="D1071" i="5"/>
  <c r="E1071" i="5"/>
  <c r="F1071" i="5"/>
  <c r="G1071" i="5"/>
  <c r="H1071" i="5"/>
  <c r="I1071" i="5"/>
  <c r="J1071" i="5"/>
  <c r="L1071" i="5"/>
  <c r="M1071" i="5"/>
  <c r="N1071" i="5"/>
  <c r="O1071" i="5"/>
  <c r="P1071" i="5"/>
  <c r="Q1071" i="5"/>
  <c r="R1071" i="5"/>
  <c r="S1071" i="5"/>
  <c r="T1071" i="5"/>
  <c r="U1071" i="5"/>
  <c r="V1071" i="5"/>
  <c r="W1071" i="5"/>
  <c r="X1071" i="5"/>
  <c r="Y1071" i="5"/>
  <c r="Z1071" i="5"/>
  <c r="AA1071" i="5"/>
  <c r="B1072" i="5"/>
  <c r="C1072" i="5"/>
  <c r="D1072" i="5"/>
  <c r="E1072" i="5"/>
  <c r="F1072" i="5"/>
  <c r="G1072" i="5"/>
  <c r="H1072" i="5"/>
  <c r="I1072" i="5"/>
  <c r="J1072" i="5"/>
  <c r="L1072" i="5"/>
  <c r="M1072" i="5"/>
  <c r="N1072" i="5"/>
  <c r="O1072" i="5"/>
  <c r="P1072" i="5"/>
  <c r="Q1072" i="5"/>
  <c r="R1072" i="5"/>
  <c r="S1072" i="5"/>
  <c r="T1072" i="5"/>
  <c r="U1072" i="5"/>
  <c r="V1072" i="5"/>
  <c r="W1072" i="5"/>
  <c r="X1072" i="5"/>
  <c r="Z1072" i="5"/>
  <c r="AA1072" i="5"/>
  <c r="AC1072" i="5"/>
  <c r="B1073" i="5"/>
  <c r="C1073" i="5"/>
  <c r="D1073" i="5"/>
  <c r="E1073" i="5"/>
  <c r="F1073" i="5"/>
  <c r="G1073" i="5"/>
  <c r="H1073" i="5"/>
  <c r="I1073" i="5"/>
  <c r="J1073" i="5"/>
  <c r="L1073" i="5"/>
  <c r="M1073" i="5"/>
  <c r="N1073" i="5"/>
  <c r="O1073" i="5"/>
  <c r="P1073" i="5"/>
  <c r="Q1073" i="5"/>
  <c r="R1073" i="5"/>
  <c r="S1073" i="5"/>
  <c r="T1073" i="5"/>
  <c r="U1073" i="5"/>
  <c r="V1073" i="5"/>
  <c r="W1073" i="5"/>
  <c r="X1073" i="5"/>
  <c r="AC1073" i="5"/>
  <c r="B1074" i="5"/>
  <c r="C1074" i="5"/>
  <c r="D1074" i="5"/>
  <c r="E1074" i="5"/>
  <c r="F1074" i="5"/>
  <c r="G1074" i="5"/>
  <c r="H1074" i="5"/>
  <c r="I1074" i="5"/>
  <c r="J1074" i="5"/>
  <c r="K1074" i="5"/>
  <c r="L1074" i="5"/>
  <c r="M1074" i="5"/>
  <c r="N1074" i="5"/>
  <c r="O1074" i="5"/>
  <c r="P1074" i="5"/>
  <c r="Q1074" i="5"/>
  <c r="R1074" i="5"/>
  <c r="S1074" i="5"/>
  <c r="T1074" i="5"/>
  <c r="U1074" i="5"/>
  <c r="V1074" i="5"/>
  <c r="W1074" i="5"/>
  <c r="X1074" i="5"/>
  <c r="B1075" i="5"/>
  <c r="C1075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R1075" i="5"/>
  <c r="S1075" i="5"/>
  <c r="T1075" i="5"/>
  <c r="U1075" i="5"/>
  <c r="V1075" i="5"/>
  <c r="W1075" i="5"/>
  <c r="X1075" i="5"/>
  <c r="B1076" i="5"/>
  <c r="C1076" i="5"/>
  <c r="D1076" i="5"/>
  <c r="E1076" i="5"/>
  <c r="F1076" i="5"/>
  <c r="G1076" i="5"/>
  <c r="H1076" i="5"/>
  <c r="I1076" i="5"/>
  <c r="J1076" i="5"/>
  <c r="K1076" i="5"/>
  <c r="L1076" i="5"/>
  <c r="M1076" i="5"/>
  <c r="N1076" i="5"/>
  <c r="O1076" i="5"/>
  <c r="P1076" i="5"/>
  <c r="Q1076" i="5"/>
  <c r="R1076" i="5"/>
  <c r="S1076" i="5"/>
  <c r="T1076" i="5"/>
  <c r="U1076" i="5"/>
  <c r="V1076" i="5"/>
  <c r="W1076" i="5"/>
  <c r="X1076" i="5"/>
  <c r="B1077" i="5"/>
  <c r="C1077" i="5"/>
  <c r="D1077" i="5"/>
  <c r="E1077" i="5"/>
  <c r="F1077" i="5"/>
  <c r="G1077" i="5"/>
  <c r="H1077" i="5"/>
  <c r="I1077" i="5"/>
  <c r="J1077" i="5"/>
  <c r="K1077" i="5"/>
  <c r="L1077" i="5"/>
  <c r="M1077" i="5"/>
  <c r="N1077" i="5"/>
  <c r="O1077" i="5"/>
  <c r="P1077" i="5"/>
  <c r="Q1077" i="5"/>
  <c r="R1077" i="5"/>
  <c r="S1077" i="5"/>
  <c r="T1077" i="5"/>
  <c r="U1077" i="5"/>
  <c r="V1077" i="5"/>
  <c r="W1077" i="5"/>
  <c r="X1077" i="5"/>
  <c r="B1078" i="5"/>
  <c r="C1078" i="5"/>
  <c r="D1078" i="5"/>
  <c r="E1078" i="5"/>
  <c r="F1078" i="5"/>
  <c r="G1078" i="5"/>
  <c r="H1078" i="5"/>
  <c r="I1078" i="5"/>
  <c r="J1078" i="5"/>
  <c r="K1078" i="5"/>
  <c r="L1078" i="5"/>
  <c r="M1078" i="5"/>
  <c r="N1078" i="5"/>
  <c r="O1078" i="5"/>
  <c r="P1078" i="5"/>
  <c r="Q1078" i="5"/>
  <c r="R1078" i="5"/>
  <c r="S1078" i="5"/>
  <c r="T1078" i="5"/>
  <c r="U1078" i="5"/>
  <c r="V1078" i="5"/>
  <c r="W1078" i="5"/>
  <c r="X1078" i="5"/>
  <c r="AC1078" i="5"/>
  <c r="B1079" i="5"/>
  <c r="C1079" i="5"/>
  <c r="D1079" i="5"/>
  <c r="E1079" i="5"/>
  <c r="F1079" i="5"/>
  <c r="G1079" i="5"/>
  <c r="H1079" i="5"/>
  <c r="I1079" i="5"/>
  <c r="J1079" i="5"/>
  <c r="K1079" i="5"/>
  <c r="L1079" i="5"/>
  <c r="M1079" i="5"/>
  <c r="N1079" i="5"/>
  <c r="O1079" i="5"/>
  <c r="P1079" i="5"/>
  <c r="Q1079" i="5"/>
  <c r="R1079" i="5"/>
  <c r="S1079" i="5"/>
  <c r="T1079" i="5"/>
  <c r="U1079" i="5"/>
  <c r="V1079" i="5"/>
  <c r="W1079" i="5"/>
  <c r="X1079" i="5"/>
  <c r="AC1079" i="5"/>
  <c r="B1080" i="5"/>
  <c r="C1080" i="5"/>
  <c r="D1080" i="5"/>
  <c r="E1080" i="5"/>
  <c r="F1080" i="5"/>
  <c r="G1080" i="5"/>
  <c r="H1080" i="5"/>
  <c r="I1080" i="5"/>
  <c r="J1080" i="5"/>
  <c r="K1080" i="5"/>
  <c r="L1080" i="5"/>
  <c r="M1080" i="5"/>
  <c r="N1080" i="5"/>
  <c r="O1080" i="5"/>
  <c r="P1080" i="5"/>
  <c r="Q1080" i="5"/>
  <c r="R1080" i="5"/>
  <c r="S1080" i="5"/>
  <c r="T1080" i="5"/>
  <c r="U1080" i="5"/>
  <c r="V1080" i="5"/>
  <c r="W1080" i="5"/>
  <c r="X1080" i="5"/>
  <c r="AC1080" i="5"/>
  <c r="B1081" i="5"/>
  <c r="C1081" i="5"/>
  <c r="D1081" i="5"/>
  <c r="E1081" i="5"/>
  <c r="F1081" i="5"/>
  <c r="G1081" i="5"/>
  <c r="H1081" i="5"/>
  <c r="I1081" i="5"/>
  <c r="J1081" i="5"/>
  <c r="K1081" i="5"/>
  <c r="L1081" i="5"/>
  <c r="M1081" i="5"/>
  <c r="N1081" i="5"/>
  <c r="O1081" i="5"/>
  <c r="P1081" i="5"/>
  <c r="Q1081" i="5"/>
  <c r="R1081" i="5"/>
  <c r="S1081" i="5"/>
  <c r="T1081" i="5"/>
  <c r="U1081" i="5"/>
  <c r="V1081" i="5"/>
  <c r="W1081" i="5"/>
  <c r="X1081" i="5"/>
  <c r="AC1081" i="5"/>
  <c r="B1082" i="5"/>
  <c r="C1082" i="5"/>
  <c r="D1082" i="5"/>
  <c r="E1082" i="5"/>
  <c r="F1082" i="5"/>
  <c r="G1082" i="5"/>
  <c r="H1082" i="5"/>
  <c r="I1082" i="5"/>
  <c r="J1082" i="5"/>
  <c r="K1082" i="5"/>
  <c r="L1082" i="5"/>
  <c r="M1082" i="5"/>
  <c r="N1082" i="5"/>
  <c r="O1082" i="5"/>
  <c r="P1082" i="5"/>
  <c r="Q1082" i="5"/>
  <c r="R1082" i="5"/>
  <c r="S1082" i="5"/>
  <c r="T1082" i="5"/>
  <c r="U1082" i="5"/>
  <c r="V1082" i="5"/>
  <c r="W1082" i="5"/>
  <c r="X1082" i="5"/>
  <c r="AC1082" i="5"/>
  <c r="B1083" i="5"/>
  <c r="C1083" i="5"/>
  <c r="D1083" i="5"/>
  <c r="E1083" i="5"/>
  <c r="F1083" i="5"/>
  <c r="G1083" i="5"/>
  <c r="H1083" i="5"/>
  <c r="I1083" i="5"/>
  <c r="J1083" i="5"/>
  <c r="K1083" i="5"/>
  <c r="L1083" i="5"/>
  <c r="M1083" i="5"/>
  <c r="N1083" i="5"/>
  <c r="O1083" i="5"/>
  <c r="P1083" i="5"/>
  <c r="Q1083" i="5"/>
  <c r="R1083" i="5"/>
  <c r="S1083" i="5"/>
  <c r="T1083" i="5"/>
  <c r="U1083" i="5"/>
  <c r="V1083" i="5"/>
  <c r="W1083" i="5"/>
  <c r="X1083" i="5"/>
  <c r="AC1083" i="5"/>
  <c r="B1084" i="5"/>
  <c r="C1084" i="5"/>
  <c r="D1084" i="5"/>
  <c r="E1084" i="5"/>
  <c r="F1084" i="5"/>
  <c r="G1084" i="5"/>
  <c r="H1084" i="5"/>
  <c r="I1084" i="5"/>
  <c r="J1084" i="5"/>
  <c r="K1084" i="5"/>
  <c r="L1084" i="5"/>
  <c r="M1084" i="5"/>
  <c r="N1084" i="5"/>
  <c r="O1084" i="5"/>
  <c r="P1084" i="5"/>
  <c r="Q1084" i="5"/>
  <c r="R1084" i="5"/>
  <c r="S1084" i="5"/>
  <c r="T1084" i="5"/>
  <c r="U1084" i="5"/>
  <c r="V1084" i="5"/>
  <c r="W1084" i="5"/>
  <c r="X1084" i="5"/>
  <c r="AC1084" i="5"/>
  <c r="B1085" i="5"/>
  <c r="C1085" i="5"/>
  <c r="D1085" i="5"/>
  <c r="E1085" i="5"/>
  <c r="F1085" i="5"/>
  <c r="G1085" i="5"/>
  <c r="H1085" i="5"/>
  <c r="I1085" i="5"/>
  <c r="J1085" i="5"/>
  <c r="K1085" i="5"/>
  <c r="L1085" i="5"/>
  <c r="M1085" i="5"/>
  <c r="N1085" i="5"/>
  <c r="O1085" i="5"/>
  <c r="P1085" i="5"/>
  <c r="Q1085" i="5"/>
  <c r="R1085" i="5"/>
  <c r="S1085" i="5"/>
  <c r="T1085" i="5"/>
  <c r="U1085" i="5"/>
  <c r="V1085" i="5"/>
  <c r="W1085" i="5"/>
  <c r="X1085" i="5"/>
  <c r="AC1085" i="5"/>
  <c r="B1086" i="5"/>
  <c r="C1086" i="5"/>
  <c r="D1086" i="5"/>
  <c r="E1086" i="5"/>
  <c r="F1086" i="5"/>
  <c r="G1086" i="5"/>
  <c r="H1086" i="5"/>
  <c r="I1086" i="5"/>
  <c r="J1086" i="5"/>
  <c r="K1086" i="5"/>
  <c r="L1086" i="5"/>
  <c r="M1086" i="5"/>
  <c r="N1086" i="5"/>
  <c r="O1086" i="5"/>
  <c r="P1086" i="5"/>
  <c r="Q1086" i="5"/>
  <c r="R1086" i="5"/>
  <c r="S1086" i="5"/>
  <c r="T1086" i="5"/>
  <c r="U1086" i="5"/>
  <c r="V1086" i="5"/>
  <c r="W1086" i="5"/>
  <c r="X1086" i="5"/>
  <c r="AC1086" i="5"/>
  <c r="B1087" i="5"/>
  <c r="C1087" i="5"/>
  <c r="D1087" i="5"/>
  <c r="E1087" i="5"/>
  <c r="F1087" i="5"/>
  <c r="G1087" i="5"/>
  <c r="H1087" i="5"/>
  <c r="I1087" i="5"/>
  <c r="J1087" i="5"/>
  <c r="K1087" i="5"/>
  <c r="L1087" i="5"/>
  <c r="M1087" i="5"/>
  <c r="N1087" i="5"/>
  <c r="O1087" i="5"/>
  <c r="P1087" i="5"/>
  <c r="Q1087" i="5"/>
  <c r="R1087" i="5"/>
  <c r="S1087" i="5"/>
  <c r="T1087" i="5"/>
  <c r="U1087" i="5"/>
  <c r="V1087" i="5"/>
  <c r="W1087" i="5"/>
  <c r="X1087" i="5"/>
  <c r="AC1087" i="5"/>
  <c r="B1088" i="5"/>
  <c r="C1088" i="5"/>
  <c r="D1088" i="5"/>
  <c r="E1088" i="5"/>
  <c r="F1088" i="5"/>
  <c r="G1088" i="5"/>
  <c r="H1088" i="5"/>
  <c r="I1088" i="5"/>
  <c r="J1088" i="5"/>
  <c r="K1088" i="5"/>
  <c r="L1088" i="5"/>
  <c r="M1088" i="5"/>
  <c r="N1088" i="5"/>
  <c r="O1088" i="5"/>
  <c r="P1088" i="5"/>
  <c r="Q1088" i="5"/>
  <c r="R1088" i="5"/>
  <c r="S1088" i="5"/>
  <c r="T1088" i="5"/>
  <c r="U1088" i="5"/>
  <c r="V1088" i="5"/>
  <c r="W1088" i="5"/>
  <c r="X1088" i="5"/>
  <c r="AC1088" i="5"/>
  <c r="B1089" i="5"/>
  <c r="C1089" i="5"/>
  <c r="D1089" i="5"/>
  <c r="E1089" i="5"/>
  <c r="F1089" i="5"/>
  <c r="G1089" i="5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V1089" i="5"/>
  <c r="W1089" i="5"/>
  <c r="X1089" i="5"/>
  <c r="AC1089" i="5"/>
  <c r="B1090" i="5"/>
  <c r="C1090" i="5"/>
  <c r="D1090" i="5"/>
  <c r="E1090" i="5"/>
  <c r="F1090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V1090" i="5"/>
  <c r="W1090" i="5"/>
  <c r="X1090" i="5"/>
  <c r="AC1090" i="5"/>
  <c r="B1091" i="5"/>
  <c r="C1091" i="5"/>
  <c r="D1091" i="5"/>
  <c r="E1091" i="5"/>
  <c r="F1091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V1091" i="5"/>
  <c r="W1091" i="5"/>
  <c r="X1091" i="5"/>
  <c r="AC1091" i="5"/>
  <c r="B1092" i="5"/>
  <c r="C1092" i="5"/>
  <c r="D1092" i="5"/>
  <c r="E1092" i="5"/>
  <c r="F1092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V1092" i="5"/>
  <c r="W1092" i="5"/>
  <c r="X1092" i="5"/>
  <c r="AC1092" i="5"/>
  <c r="B1093" i="5"/>
  <c r="C1093" i="5"/>
  <c r="D1093" i="5"/>
  <c r="E1093" i="5"/>
  <c r="F1093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V1093" i="5"/>
  <c r="W1093" i="5"/>
  <c r="X1093" i="5"/>
  <c r="AC1093" i="5"/>
  <c r="B1094" i="5"/>
  <c r="C1094" i="5"/>
  <c r="D1094" i="5"/>
  <c r="E1094" i="5"/>
  <c r="F1094" i="5"/>
  <c r="G1094" i="5"/>
  <c r="H1094" i="5"/>
  <c r="I1094" i="5"/>
  <c r="J1094" i="5"/>
  <c r="K1094" i="5"/>
  <c r="L1094" i="5"/>
  <c r="M1094" i="5"/>
  <c r="N1094" i="5"/>
  <c r="O1094" i="5"/>
  <c r="P1094" i="5"/>
  <c r="Q1094" i="5"/>
  <c r="R1094" i="5"/>
  <c r="S1094" i="5"/>
  <c r="T1094" i="5"/>
  <c r="U1094" i="5"/>
  <c r="V1094" i="5"/>
  <c r="W1094" i="5"/>
  <c r="X1094" i="5"/>
  <c r="AC1094" i="5"/>
  <c r="A1095" i="5"/>
  <c r="B1095" i="5"/>
  <c r="C1095" i="5"/>
  <c r="D1095" i="5"/>
  <c r="E1095" i="5"/>
  <c r="F1095" i="5"/>
  <c r="G1095" i="5"/>
  <c r="H1095" i="5"/>
  <c r="I1095" i="5"/>
  <c r="J1095" i="5"/>
  <c r="K1095" i="5"/>
  <c r="L1095" i="5"/>
  <c r="M1095" i="5"/>
  <c r="N1095" i="5"/>
  <c r="O1095" i="5"/>
  <c r="P1095" i="5"/>
  <c r="Q1095" i="5"/>
  <c r="R1095" i="5"/>
  <c r="S1095" i="5"/>
  <c r="T1095" i="5"/>
  <c r="U1095" i="5"/>
  <c r="V1095" i="5"/>
  <c r="W1095" i="5"/>
  <c r="X1095" i="5"/>
  <c r="AC1095" i="5"/>
  <c r="A1096" i="5"/>
  <c r="B1096" i="5"/>
  <c r="C1096" i="5"/>
  <c r="D1096" i="5"/>
  <c r="E1096" i="5"/>
  <c r="F1096" i="5"/>
  <c r="G1096" i="5"/>
  <c r="H1096" i="5"/>
  <c r="I1096" i="5"/>
  <c r="J1096" i="5"/>
  <c r="K1096" i="5"/>
  <c r="L1096" i="5"/>
  <c r="M1096" i="5"/>
  <c r="N1096" i="5"/>
  <c r="O1096" i="5"/>
  <c r="P1096" i="5"/>
  <c r="Q1096" i="5"/>
  <c r="R1096" i="5"/>
  <c r="S1096" i="5"/>
  <c r="T1096" i="5"/>
  <c r="U1096" i="5"/>
  <c r="V1096" i="5"/>
  <c r="W1096" i="5"/>
  <c r="X1096" i="5"/>
  <c r="AC1096" i="5"/>
  <c r="A1097" i="5"/>
  <c r="B1097" i="5"/>
  <c r="C1097" i="5"/>
  <c r="D1097" i="5"/>
  <c r="E1097" i="5"/>
  <c r="F1097" i="5"/>
  <c r="G1097" i="5"/>
  <c r="H1097" i="5"/>
  <c r="I1097" i="5"/>
  <c r="J1097" i="5"/>
  <c r="K1097" i="5"/>
  <c r="L1097" i="5"/>
  <c r="M1097" i="5"/>
  <c r="N1097" i="5"/>
  <c r="O1097" i="5"/>
  <c r="P1097" i="5"/>
  <c r="Q1097" i="5"/>
  <c r="R1097" i="5"/>
  <c r="S1097" i="5"/>
  <c r="T1097" i="5"/>
  <c r="U1097" i="5"/>
  <c r="V1097" i="5"/>
  <c r="W1097" i="5"/>
  <c r="X1097" i="5"/>
  <c r="AC1097" i="5"/>
  <c r="A1098" i="5"/>
  <c r="B1098" i="5"/>
  <c r="C1098" i="5"/>
  <c r="D1098" i="5"/>
  <c r="E1098" i="5"/>
  <c r="F1098" i="5"/>
  <c r="G1098" i="5"/>
  <c r="H1098" i="5"/>
  <c r="I1098" i="5"/>
  <c r="J1098" i="5"/>
  <c r="K1098" i="5"/>
  <c r="L1098" i="5"/>
  <c r="M1098" i="5"/>
  <c r="N1098" i="5"/>
  <c r="O1098" i="5"/>
  <c r="P1098" i="5"/>
  <c r="Q1098" i="5"/>
  <c r="R1098" i="5"/>
  <c r="S1098" i="5"/>
  <c r="T1098" i="5"/>
  <c r="U1098" i="5"/>
  <c r="V1098" i="5"/>
  <c r="W1098" i="5"/>
  <c r="X1098" i="5"/>
  <c r="AC1098" i="5"/>
  <c r="A1099" i="5"/>
  <c r="B1099" i="5"/>
  <c r="C1099" i="5"/>
  <c r="D1099" i="5"/>
  <c r="E1099" i="5"/>
  <c r="F1099" i="5"/>
  <c r="G1099" i="5"/>
  <c r="H1099" i="5"/>
  <c r="I1099" i="5"/>
  <c r="J1099" i="5"/>
  <c r="K1099" i="5"/>
  <c r="L1099" i="5"/>
  <c r="M1099" i="5"/>
  <c r="N1099" i="5"/>
  <c r="O1099" i="5"/>
  <c r="P1099" i="5"/>
  <c r="Q1099" i="5"/>
  <c r="R1099" i="5"/>
  <c r="S1099" i="5"/>
  <c r="T1099" i="5"/>
  <c r="U1099" i="5"/>
  <c r="V1099" i="5"/>
  <c r="W1099" i="5"/>
  <c r="X1099" i="5"/>
  <c r="AC1099" i="5"/>
  <c r="A1100" i="5"/>
  <c r="B1100" i="5"/>
  <c r="C1100" i="5"/>
  <c r="D1100" i="5"/>
  <c r="E1100" i="5"/>
  <c r="F1100" i="5"/>
  <c r="G1100" i="5"/>
  <c r="H1100" i="5"/>
  <c r="I1100" i="5"/>
  <c r="J1100" i="5"/>
  <c r="K1100" i="5"/>
  <c r="L1100" i="5"/>
  <c r="M1100" i="5"/>
  <c r="N1100" i="5"/>
  <c r="O1100" i="5"/>
  <c r="P1100" i="5"/>
  <c r="Q1100" i="5"/>
  <c r="R1100" i="5"/>
  <c r="S1100" i="5"/>
  <c r="T1100" i="5"/>
  <c r="U1100" i="5"/>
  <c r="V1100" i="5"/>
  <c r="W1100" i="5"/>
  <c r="X1100" i="5"/>
  <c r="AC1100" i="5"/>
  <c r="A1101" i="5"/>
  <c r="B1101" i="5"/>
  <c r="C1101" i="5"/>
  <c r="D1101" i="5"/>
  <c r="E1101" i="5"/>
  <c r="F1101" i="5"/>
  <c r="G1101" i="5"/>
  <c r="H1101" i="5"/>
  <c r="I1101" i="5"/>
  <c r="J1101" i="5"/>
  <c r="K1101" i="5"/>
  <c r="L1101" i="5"/>
  <c r="M1101" i="5"/>
  <c r="N1101" i="5"/>
  <c r="O1101" i="5"/>
  <c r="P1101" i="5"/>
  <c r="Q1101" i="5"/>
  <c r="R1101" i="5"/>
  <c r="S1101" i="5"/>
  <c r="T1101" i="5"/>
  <c r="U1101" i="5"/>
  <c r="V1101" i="5"/>
  <c r="W1101" i="5"/>
  <c r="X1101" i="5"/>
  <c r="AC1101" i="5"/>
  <c r="A1102" i="5"/>
  <c r="B1102" i="5"/>
  <c r="C1102" i="5"/>
  <c r="D1102" i="5"/>
  <c r="E1102" i="5"/>
  <c r="F1102" i="5"/>
  <c r="G1102" i="5"/>
  <c r="H1102" i="5"/>
  <c r="I1102" i="5"/>
  <c r="J1102" i="5"/>
  <c r="K1102" i="5"/>
  <c r="L1102" i="5"/>
  <c r="M1102" i="5"/>
  <c r="N1102" i="5"/>
  <c r="O1102" i="5"/>
  <c r="P1102" i="5"/>
  <c r="Q1102" i="5"/>
  <c r="R1102" i="5"/>
  <c r="S1102" i="5"/>
  <c r="T1102" i="5"/>
  <c r="U1102" i="5"/>
  <c r="V1102" i="5"/>
  <c r="W1102" i="5"/>
  <c r="X1102" i="5"/>
  <c r="AC1102" i="5"/>
  <c r="A1103" i="5"/>
  <c r="B1103" i="5"/>
  <c r="C1103" i="5"/>
  <c r="D1103" i="5"/>
  <c r="E1103" i="5"/>
  <c r="F1103" i="5"/>
  <c r="G1103" i="5"/>
  <c r="H1103" i="5"/>
  <c r="I1103" i="5"/>
  <c r="J1103" i="5"/>
  <c r="K1103" i="5"/>
  <c r="L1103" i="5"/>
  <c r="M1103" i="5"/>
  <c r="N1103" i="5"/>
  <c r="O1103" i="5"/>
  <c r="P1103" i="5"/>
  <c r="Q1103" i="5"/>
  <c r="R1103" i="5"/>
  <c r="S1103" i="5"/>
  <c r="T1103" i="5"/>
  <c r="U1103" i="5"/>
  <c r="V1103" i="5"/>
  <c r="W1103" i="5"/>
  <c r="X1103" i="5"/>
  <c r="AC1103" i="5"/>
  <c r="A1104" i="5"/>
  <c r="B1104" i="5"/>
  <c r="C1104" i="5"/>
  <c r="D1104" i="5"/>
  <c r="E1104" i="5"/>
  <c r="F1104" i="5"/>
  <c r="G1104" i="5"/>
  <c r="H1104" i="5"/>
  <c r="I1104" i="5"/>
  <c r="J1104" i="5"/>
  <c r="K1104" i="5"/>
  <c r="L1104" i="5"/>
  <c r="M1104" i="5"/>
  <c r="N1104" i="5"/>
  <c r="O1104" i="5"/>
  <c r="P1104" i="5"/>
  <c r="Q1104" i="5"/>
  <c r="R1104" i="5"/>
  <c r="S1104" i="5"/>
  <c r="T1104" i="5"/>
  <c r="U1104" i="5"/>
  <c r="V1104" i="5"/>
  <c r="W1104" i="5"/>
  <c r="X1104" i="5"/>
  <c r="AC1104" i="5"/>
  <c r="A1105" i="5"/>
  <c r="B1105" i="5"/>
  <c r="C1105" i="5"/>
  <c r="D1105" i="5"/>
  <c r="E1105" i="5"/>
  <c r="F1105" i="5"/>
  <c r="G1105" i="5"/>
  <c r="H1105" i="5"/>
  <c r="I1105" i="5"/>
  <c r="J1105" i="5"/>
  <c r="K1105" i="5"/>
  <c r="L1105" i="5"/>
  <c r="M1105" i="5"/>
  <c r="N1105" i="5"/>
  <c r="O1105" i="5"/>
  <c r="P1105" i="5"/>
  <c r="Q1105" i="5"/>
  <c r="R1105" i="5"/>
  <c r="S1105" i="5"/>
  <c r="T1105" i="5"/>
  <c r="U1105" i="5"/>
  <c r="V1105" i="5"/>
  <c r="W1105" i="5"/>
  <c r="X1105" i="5"/>
  <c r="AC1105" i="5"/>
  <c r="A1106" i="5"/>
  <c r="B1106" i="5"/>
  <c r="C1106" i="5"/>
  <c r="D1106" i="5"/>
  <c r="E1106" i="5"/>
  <c r="F1106" i="5"/>
  <c r="G1106" i="5"/>
  <c r="H1106" i="5"/>
  <c r="I1106" i="5"/>
  <c r="J1106" i="5"/>
  <c r="K1106" i="5"/>
  <c r="L1106" i="5"/>
  <c r="M1106" i="5"/>
  <c r="N1106" i="5"/>
  <c r="O1106" i="5"/>
  <c r="P1106" i="5"/>
  <c r="Q1106" i="5"/>
  <c r="R1106" i="5"/>
  <c r="S1106" i="5"/>
  <c r="T1106" i="5"/>
  <c r="U1106" i="5"/>
  <c r="V1106" i="5"/>
  <c r="W1106" i="5"/>
  <c r="X1106" i="5"/>
  <c r="AC1106" i="5"/>
  <c r="A1107" i="5"/>
  <c r="B1107" i="5"/>
  <c r="C1107" i="5"/>
  <c r="D1107" i="5"/>
  <c r="E1107" i="5"/>
  <c r="F1107" i="5"/>
  <c r="G1107" i="5"/>
  <c r="H1107" i="5"/>
  <c r="I1107" i="5"/>
  <c r="J1107" i="5"/>
  <c r="K1107" i="5"/>
  <c r="L1107" i="5"/>
  <c r="M1107" i="5"/>
  <c r="N1107" i="5"/>
  <c r="O1107" i="5"/>
  <c r="P1107" i="5"/>
  <c r="Q1107" i="5"/>
  <c r="R1107" i="5"/>
  <c r="S1107" i="5"/>
  <c r="T1107" i="5"/>
  <c r="U1107" i="5"/>
  <c r="V1107" i="5"/>
  <c r="W1107" i="5"/>
  <c r="X1107" i="5"/>
  <c r="AC1107" i="5"/>
  <c r="A1108" i="5"/>
  <c r="B1108" i="5"/>
  <c r="C1108" i="5"/>
  <c r="D1108" i="5"/>
  <c r="E1108" i="5"/>
  <c r="F1108" i="5"/>
  <c r="G1108" i="5"/>
  <c r="H1108" i="5"/>
  <c r="I1108" i="5"/>
  <c r="J1108" i="5"/>
  <c r="K1108" i="5"/>
  <c r="L1108" i="5"/>
  <c r="M1108" i="5"/>
  <c r="N1108" i="5"/>
  <c r="O1108" i="5"/>
  <c r="P1108" i="5"/>
  <c r="Q1108" i="5"/>
  <c r="R1108" i="5"/>
  <c r="S1108" i="5"/>
  <c r="T1108" i="5"/>
  <c r="U1108" i="5"/>
  <c r="V1108" i="5"/>
  <c r="W1108" i="5"/>
  <c r="X1108" i="5"/>
  <c r="AC1108" i="5"/>
  <c r="A1109" i="5"/>
  <c r="B1109" i="5"/>
  <c r="C1109" i="5"/>
  <c r="D1109" i="5"/>
  <c r="E1109" i="5"/>
  <c r="F1109" i="5"/>
  <c r="G1109" i="5"/>
  <c r="H1109" i="5"/>
  <c r="I1109" i="5"/>
  <c r="J1109" i="5"/>
  <c r="K1109" i="5"/>
  <c r="L1109" i="5"/>
  <c r="M1109" i="5"/>
  <c r="N1109" i="5"/>
  <c r="O1109" i="5"/>
  <c r="P1109" i="5"/>
  <c r="Q1109" i="5"/>
  <c r="R1109" i="5"/>
  <c r="S1109" i="5"/>
  <c r="T1109" i="5"/>
  <c r="U1109" i="5"/>
  <c r="V1109" i="5"/>
  <c r="W1109" i="5"/>
  <c r="X1109" i="5"/>
  <c r="AC1109" i="5"/>
  <c r="A1110" i="5"/>
  <c r="B1110" i="5"/>
  <c r="C1110" i="5"/>
  <c r="D1110" i="5"/>
  <c r="E1110" i="5"/>
  <c r="F1110" i="5"/>
  <c r="G1110" i="5"/>
  <c r="H1110" i="5"/>
  <c r="I1110" i="5"/>
  <c r="J1110" i="5"/>
  <c r="K1110" i="5"/>
  <c r="L1110" i="5"/>
  <c r="M1110" i="5"/>
  <c r="N1110" i="5"/>
  <c r="O1110" i="5"/>
  <c r="P1110" i="5"/>
  <c r="Q1110" i="5"/>
  <c r="R1110" i="5"/>
  <c r="S1110" i="5"/>
  <c r="T1110" i="5"/>
  <c r="U1110" i="5"/>
  <c r="V1110" i="5"/>
  <c r="W1110" i="5"/>
  <c r="X1110" i="5"/>
  <c r="AC1110" i="5"/>
  <c r="A1111" i="5"/>
  <c r="B1111" i="5"/>
  <c r="C1111" i="5"/>
  <c r="D1111" i="5"/>
  <c r="E1111" i="5"/>
  <c r="F1111" i="5"/>
  <c r="G1111" i="5"/>
  <c r="H1111" i="5"/>
  <c r="I1111" i="5"/>
  <c r="J1111" i="5"/>
  <c r="K1111" i="5"/>
  <c r="L1111" i="5"/>
  <c r="M1111" i="5"/>
  <c r="N1111" i="5"/>
  <c r="O1111" i="5"/>
  <c r="P1111" i="5"/>
  <c r="Q1111" i="5"/>
  <c r="R1111" i="5"/>
  <c r="S1111" i="5"/>
  <c r="T1111" i="5"/>
  <c r="U1111" i="5"/>
  <c r="V1111" i="5"/>
  <c r="W1111" i="5"/>
  <c r="X1111" i="5"/>
  <c r="AC1111" i="5"/>
  <c r="A1112" i="5"/>
  <c r="B1112" i="5"/>
  <c r="C1112" i="5"/>
  <c r="D1112" i="5"/>
  <c r="E1112" i="5"/>
  <c r="F1112" i="5"/>
  <c r="G1112" i="5"/>
  <c r="H1112" i="5"/>
  <c r="I1112" i="5"/>
  <c r="J1112" i="5"/>
  <c r="K1112" i="5"/>
  <c r="L1112" i="5"/>
  <c r="M1112" i="5"/>
  <c r="N1112" i="5"/>
  <c r="O1112" i="5"/>
  <c r="P1112" i="5"/>
  <c r="Q1112" i="5"/>
  <c r="R1112" i="5"/>
  <c r="S1112" i="5"/>
  <c r="T1112" i="5"/>
  <c r="U1112" i="5"/>
  <c r="V1112" i="5"/>
  <c r="W1112" i="5"/>
  <c r="X1112" i="5"/>
  <c r="AC1112" i="5"/>
  <c r="A1113" i="5"/>
  <c r="B1113" i="5"/>
  <c r="C1113" i="5"/>
  <c r="D1113" i="5"/>
  <c r="E1113" i="5"/>
  <c r="F1113" i="5"/>
  <c r="G1113" i="5"/>
  <c r="H1113" i="5"/>
  <c r="I1113" i="5"/>
  <c r="J1113" i="5"/>
  <c r="K1113" i="5"/>
  <c r="L1113" i="5"/>
  <c r="M1113" i="5"/>
  <c r="N1113" i="5"/>
  <c r="O1113" i="5"/>
  <c r="P1113" i="5"/>
  <c r="Q1113" i="5"/>
  <c r="R1113" i="5"/>
  <c r="S1113" i="5"/>
  <c r="T1113" i="5"/>
  <c r="U1113" i="5"/>
  <c r="V1113" i="5"/>
  <c r="W1113" i="5"/>
  <c r="X1113" i="5"/>
  <c r="AC1113" i="5"/>
  <c r="A1114" i="5"/>
  <c r="B1114" i="5"/>
  <c r="C1114" i="5"/>
  <c r="D1114" i="5"/>
  <c r="E1114" i="5"/>
  <c r="F1114" i="5"/>
  <c r="G1114" i="5"/>
  <c r="H1114" i="5"/>
  <c r="I1114" i="5"/>
  <c r="J1114" i="5"/>
  <c r="K1114" i="5"/>
  <c r="L1114" i="5"/>
  <c r="M1114" i="5"/>
  <c r="N1114" i="5"/>
  <c r="O1114" i="5"/>
  <c r="P1114" i="5"/>
  <c r="Q1114" i="5"/>
  <c r="R1114" i="5"/>
  <c r="S1114" i="5"/>
  <c r="T1114" i="5"/>
  <c r="U1114" i="5"/>
  <c r="V1114" i="5"/>
  <c r="W1114" i="5"/>
  <c r="X1114" i="5"/>
  <c r="AC1114" i="5"/>
  <c r="A1115" i="5"/>
  <c r="B1115" i="5"/>
  <c r="C1115" i="5"/>
  <c r="D1115" i="5"/>
  <c r="E1115" i="5"/>
  <c r="F1115" i="5"/>
  <c r="G1115" i="5"/>
  <c r="H1115" i="5"/>
  <c r="I1115" i="5"/>
  <c r="J1115" i="5"/>
  <c r="K1115" i="5"/>
  <c r="L1115" i="5"/>
  <c r="M1115" i="5"/>
  <c r="N1115" i="5"/>
  <c r="O1115" i="5"/>
  <c r="P1115" i="5"/>
  <c r="Q1115" i="5"/>
  <c r="R1115" i="5"/>
  <c r="S1115" i="5"/>
  <c r="T1115" i="5"/>
  <c r="U1115" i="5"/>
  <c r="V1115" i="5"/>
  <c r="W1115" i="5"/>
  <c r="X1115" i="5"/>
  <c r="AC1115" i="5"/>
  <c r="A1116" i="5"/>
  <c r="B1116" i="5"/>
  <c r="C1116" i="5"/>
  <c r="D1116" i="5"/>
  <c r="E1116" i="5"/>
  <c r="F1116" i="5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V1116" i="5"/>
  <c r="W1116" i="5"/>
  <c r="X1116" i="5"/>
  <c r="AC1116" i="5"/>
  <c r="A1117" i="5"/>
  <c r="B1117" i="5"/>
  <c r="C1117" i="5"/>
  <c r="D1117" i="5"/>
  <c r="E1117" i="5"/>
  <c r="F1117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V1117" i="5"/>
  <c r="W1117" i="5"/>
  <c r="X1117" i="5"/>
  <c r="AC1117" i="5"/>
  <c r="A1118" i="5"/>
  <c r="B1118" i="5"/>
  <c r="C1118" i="5"/>
  <c r="D1118" i="5"/>
  <c r="E1118" i="5"/>
  <c r="F1118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V1118" i="5"/>
  <c r="W1118" i="5"/>
  <c r="X1118" i="5"/>
  <c r="AC1118" i="5"/>
  <c r="A1119" i="5"/>
  <c r="B1119" i="5"/>
  <c r="C1119" i="5"/>
  <c r="D1119" i="5"/>
  <c r="E1119" i="5"/>
  <c r="F1119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V1119" i="5"/>
  <c r="W1119" i="5"/>
  <c r="X1119" i="5"/>
  <c r="AC1119" i="5"/>
  <c r="A1120" i="5"/>
  <c r="B1120" i="5"/>
  <c r="C1120" i="5"/>
  <c r="D1120" i="5"/>
  <c r="E1120" i="5"/>
  <c r="F1120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V1120" i="5"/>
  <c r="W1120" i="5"/>
  <c r="X1120" i="5"/>
  <c r="AC1120" i="5"/>
  <c r="A1121" i="5"/>
  <c r="B1121" i="5"/>
  <c r="C1121" i="5"/>
  <c r="D1121" i="5"/>
  <c r="E1121" i="5"/>
  <c r="F1121" i="5"/>
  <c r="G1121" i="5"/>
  <c r="H1121" i="5"/>
  <c r="I1121" i="5"/>
  <c r="J1121" i="5"/>
  <c r="K1121" i="5"/>
  <c r="L1121" i="5"/>
  <c r="M1121" i="5"/>
  <c r="N1121" i="5"/>
  <c r="O1121" i="5"/>
  <c r="P1121" i="5"/>
  <c r="Q1121" i="5"/>
  <c r="R1121" i="5"/>
  <c r="S1121" i="5"/>
  <c r="T1121" i="5"/>
  <c r="U1121" i="5"/>
  <c r="V1121" i="5"/>
  <c r="W1121" i="5"/>
  <c r="X1121" i="5"/>
  <c r="AC1121" i="5"/>
  <c r="A1122" i="5"/>
  <c r="B1122" i="5"/>
  <c r="C1122" i="5"/>
  <c r="D1122" i="5"/>
  <c r="E1122" i="5"/>
  <c r="F1122" i="5"/>
  <c r="G1122" i="5"/>
  <c r="H1122" i="5"/>
  <c r="I1122" i="5"/>
  <c r="J1122" i="5"/>
  <c r="K1122" i="5"/>
  <c r="L1122" i="5"/>
  <c r="M1122" i="5"/>
  <c r="N1122" i="5"/>
  <c r="O1122" i="5"/>
  <c r="P1122" i="5"/>
  <c r="Q1122" i="5"/>
  <c r="R1122" i="5"/>
  <c r="S1122" i="5"/>
  <c r="T1122" i="5"/>
  <c r="U1122" i="5"/>
  <c r="V1122" i="5"/>
  <c r="W1122" i="5"/>
  <c r="X1122" i="5"/>
  <c r="AC1122" i="5"/>
  <c r="A1123" i="5"/>
  <c r="B1123" i="5"/>
  <c r="C1123" i="5"/>
  <c r="D1123" i="5"/>
  <c r="E1123" i="5"/>
  <c r="F1123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V1123" i="5"/>
  <c r="W1123" i="5"/>
  <c r="X1123" i="5"/>
  <c r="AC1123" i="5"/>
  <c r="A1124" i="5"/>
  <c r="B1124" i="5"/>
  <c r="C1124" i="5"/>
  <c r="D1124" i="5"/>
  <c r="E1124" i="5"/>
  <c r="F1124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V1124" i="5"/>
  <c r="W1124" i="5"/>
  <c r="X1124" i="5"/>
  <c r="AC1124" i="5"/>
  <c r="A1125" i="5"/>
  <c r="B1125" i="5"/>
  <c r="C1125" i="5"/>
  <c r="D1125" i="5"/>
  <c r="E1125" i="5"/>
  <c r="F1125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V1125" i="5"/>
  <c r="W1125" i="5"/>
  <c r="X1125" i="5"/>
  <c r="AC1125" i="5"/>
  <c r="A1126" i="5"/>
  <c r="B1126" i="5"/>
  <c r="C1126" i="5"/>
  <c r="D1126" i="5"/>
  <c r="E1126" i="5"/>
  <c r="F1126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V1126" i="5"/>
  <c r="W1126" i="5"/>
  <c r="X1126" i="5"/>
  <c r="AC1126" i="5"/>
  <c r="A1127" i="5"/>
  <c r="B1127" i="5"/>
  <c r="C1127" i="5"/>
  <c r="D1127" i="5"/>
  <c r="E1127" i="5"/>
  <c r="F1127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V1127" i="5"/>
  <c r="W1127" i="5"/>
  <c r="X1127" i="5"/>
  <c r="AC1127" i="5"/>
  <c r="A1128" i="5"/>
  <c r="B1128" i="5"/>
  <c r="C1128" i="5"/>
  <c r="D1128" i="5"/>
  <c r="E1128" i="5"/>
  <c r="F1128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V1128" i="5"/>
  <c r="W1128" i="5"/>
  <c r="X1128" i="5"/>
  <c r="AC1128" i="5"/>
  <c r="A1129" i="5"/>
  <c r="B1129" i="5"/>
  <c r="C1129" i="5"/>
  <c r="D1129" i="5"/>
  <c r="E1129" i="5"/>
  <c r="F1129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V1129" i="5"/>
  <c r="W1129" i="5"/>
  <c r="X1129" i="5"/>
  <c r="AC1129" i="5"/>
  <c r="A1130" i="5"/>
  <c r="B1130" i="5" s="1"/>
  <c r="C1130" i="5"/>
  <c r="D1130" i="5"/>
  <c r="E1130" i="5"/>
  <c r="F1130" i="5"/>
  <c r="G1130" i="5"/>
  <c r="H1130" i="5"/>
  <c r="I1130" i="5"/>
  <c r="J1130" i="5"/>
  <c r="K1130" i="5"/>
  <c r="L1130" i="5"/>
  <c r="M1130" i="5"/>
  <c r="N1130" i="5"/>
  <c r="O1130" i="5"/>
  <c r="P1130" i="5"/>
  <c r="Q1130" i="5"/>
  <c r="R1130" i="5"/>
  <c r="S1130" i="5"/>
  <c r="T1130" i="5"/>
  <c r="U1130" i="5"/>
  <c r="V1130" i="5"/>
  <c r="W1130" i="5"/>
  <c r="X1130" i="5"/>
  <c r="A1131" i="5"/>
  <c r="B1131" i="5" s="1"/>
  <c r="C1131" i="5"/>
  <c r="D1131" i="5"/>
  <c r="E1131" i="5"/>
  <c r="F1131" i="5"/>
  <c r="G1131" i="5"/>
  <c r="H1131" i="5"/>
  <c r="I1131" i="5"/>
  <c r="J1131" i="5"/>
  <c r="K1131" i="5"/>
  <c r="L1131" i="5"/>
  <c r="M1131" i="5"/>
  <c r="N1131" i="5"/>
  <c r="O1131" i="5"/>
  <c r="P1131" i="5"/>
  <c r="Q1131" i="5"/>
  <c r="R1131" i="5"/>
  <c r="S1131" i="5"/>
  <c r="T1131" i="5"/>
  <c r="U1131" i="5"/>
  <c r="V1131" i="5"/>
  <c r="W1131" i="5"/>
  <c r="X1131" i="5"/>
  <c r="A1132" i="5"/>
  <c r="B1132" i="5"/>
  <c r="C1132" i="5"/>
  <c r="D1132" i="5"/>
  <c r="E1132" i="5"/>
  <c r="F1132" i="5"/>
  <c r="G1132" i="5"/>
  <c r="H1132" i="5"/>
  <c r="I1132" i="5"/>
  <c r="J1132" i="5"/>
  <c r="K1132" i="5"/>
  <c r="L1132" i="5"/>
  <c r="M1132" i="5"/>
  <c r="N1132" i="5"/>
  <c r="O1132" i="5"/>
  <c r="P1132" i="5"/>
  <c r="Q1132" i="5"/>
  <c r="R1132" i="5"/>
  <c r="S1132" i="5"/>
  <c r="T1132" i="5"/>
  <c r="U1132" i="5"/>
  <c r="V1132" i="5"/>
  <c r="W1132" i="5"/>
  <c r="X1132" i="5"/>
  <c r="A1133" i="5"/>
  <c r="B1133" i="5" s="1"/>
  <c r="C1133" i="5"/>
  <c r="D1133" i="5"/>
  <c r="E1133" i="5"/>
  <c r="F1133" i="5"/>
  <c r="G1133" i="5"/>
  <c r="H1133" i="5"/>
  <c r="I1133" i="5"/>
  <c r="J1133" i="5"/>
  <c r="K1133" i="5"/>
  <c r="L1133" i="5"/>
  <c r="M1133" i="5"/>
  <c r="N1133" i="5"/>
  <c r="O1133" i="5"/>
  <c r="P1133" i="5"/>
  <c r="Q1133" i="5"/>
  <c r="R1133" i="5"/>
  <c r="S1133" i="5"/>
  <c r="T1133" i="5"/>
  <c r="U1133" i="5"/>
  <c r="V1133" i="5"/>
  <c r="W1133" i="5"/>
  <c r="X1133" i="5"/>
  <c r="A1134" i="5"/>
  <c r="B1134" i="5"/>
  <c r="C1134" i="5"/>
  <c r="D1134" i="5"/>
  <c r="E1134" i="5"/>
  <c r="F1134" i="5"/>
  <c r="G1134" i="5"/>
  <c r="H1134" i="5"/>
  <c r="I1134" i="5"/>
  <c r="J1134" i="5"/>
  <c r="K1134" i="5"/>
  <c r="L1134" i="5"/>
  <c r="M1134" i="5"/>
  <c r="N1134" i="5"/>
  <c r="O1134" i="5"/>
  <c r="P1134" i="5"/>
  <c r="Q1134" i="5"/>
  <c r="R1134" i="5"/>
  <c r="S1134" i="5"/>
  <c r="T1134" i="5"/>
  <c r="U1134" i="5"/>
  <c r="V1134" i="5"/>
  <c r="W1134" i="5"/>
  <c r="X1134" i="5"/>
  <c r="A1135" i="5"/>
  <c r="B1135" i="5"/>
  <c r="C1135" i="5"/>
  <c r="D1135" i="5"/>
  <c r="E1135" i="5"/>
  <c r="F1135" i="5"/>
  <c r="G1135" i="5"/>
  <c r="H1135" i="5"/>
  <c r="I1135" i="5"/>
  <c r="J1135" i="5"/>
  <c r="K1135" i="5"/>
  <c r="L1135" i="5"/>
  <c r="M1135" i="5"/>
  <c r="N1135" i="5"/>
  <c r="O1135" i="5"/>
  <c r="P1135" i="5"/>
  <c r="Q1135" i="5"/>
  <c r="R1135" i="5"/>
  <c r="S1135" i="5"/>
  <c r="T1135" i="5"/>
  <c r="U1135" i="5"/>
  <c r="V1135" i="5"/>
  <c r="W1135" i="5"/>
  <c r="X1135" i="5"/>
  <c r="A1136" i="5"/>
  <c r="B1136" i="5"/>
  <c r="C1136" i="5"/>
  <c r="D1136" i="5"/>
  <c r="E1136" i="5"/>
  <c r="F1136" i="5"/>
  <c r="G1136" i="5"/>
  <c r="H1136" i="5"/>
  <c r="I1136" i="5"/>
  <c r="J1136" i="5"/>
  <c r="K1136" i="5"/>
  <c r="L1136" i="5"/>
  <c r="M1136" i="5"/>
  <c r="N1136" i="5"/>
  <c r="O1136" i="5"/>
  <c r="P1136" i="5"/>
  <c r="Q1136" i="5"/>
  <c r="R1136" i="5"/>
  <c r="S1136" i="5"/>
  <c r="T1136" i="5"/>
  <c r="U1136" i="5"/>
  <c r="V1136" i="5"/>
  <c r="W1136" i="5"/>
  <c r="X1136" i="5"/>
  <c r="A1137" i="5"/>
  <c r="B1137" i="5"/>
  <c r="C1137" i="5"/>
  <c r="D1137" i="5"/>
  <c r="E1137" i="5"/>
  <c r="F1137" i="5"/>
  <c r="G1137" i="5"/>
  <c r="H1137" i="5"/>
  <c r="I1137" i="5"/>
  <c r="J1137" i="5"/>
  <c r="K1137" i="5"/>
  <c r="L1137" i="5"/>
  <c r="M1137" i="5"/>
  <c r="N1137" i="5"/>
  <c r="O1137" i="5"/>
  <c r="P1137" i="5"/>
  <c r="Q1137" i="5"/>
  <c r="R1137" i="5"/>
  <c r="S1137" i="5"/>
  <c r="T1137" i="5"/>
  <c r="U1137" i="5"/>
  <c r="V1137" i="5"/>
  <c r="W1137" i="5"/>
  <c r="X1137" i="5"/>
  <c r="A1138" i="5"/>
  <c r="B1138" i="5"/>
  <c r="C1138" i="5"/>
  <c r="D1138" i="5"/>
  <c r="E1138" i="5"/>
  <c r="F1138" i="5"/>
  <c r="G1138" i="5"/>
  <c r="H1138" i="5"/>
  <c r="I1138" i="5"/>
  <c r="J1138" i="5"/>
  <c r="K1138" i="5"/>
  <c r="L1138" i="5"/>
  <c r="M1138" i="5"/>
  <c r="N1138" i="5"/>
  <c r="O1138" i="5"/>
  <c r="P1138" i="5"/>
  <c r="Q1138" i="5"/>
  <c r="R1138" i="5"/>
  <c r="S1138" i="5"/>
  <c r="T1138" i="5"/>
  <c r="U1138" i="5"/>
  <c r="V1138" i="5"/>
  <c r="W1138" i="5"/>
  <c r="X1138" i="5"/>
  <c r="A1139" i="5"/>
  <c r="B1139" i="5"/>
  <c r="C1139" i="5"/>
  <c r="D1139" i="5"/>
  <c r="E1139" i="5"/>
  <c r="F1139" i="5"/>
  <c r="G1139" i="5"/>
  <c r="H1139" i="5"/>
  <c r="I1139" i="5"/>
  <c r="J1139" i="5"/>
  <c r="K1139" i="5"/>
  <c r="L1139" i="5"/>
  <c r="M1139" i="5"/>
  <c r="N1139" i="5"/>
  <c r="O1139" i="5"/>
  <c r="P1139" i="5"/>
  <c r="Q1139" i="5"/>
  <c r="R1139" i="5"/>
  <c r="S1139" i="5"/>
  <c r="T1139" i="5"/>
  <c r="U1139" i="5"/>
  <c r="V1139" i="5"/>
  <c r="W1139" i="5"/>
  <c r="X1139" i="5"/>
  <c r="A1140" i="5"/>
  <c r="B1140" i="5"/>
  <c r="C1140" i="5"/>
  <c r="D1140" i="5"/>
  <c r="E1140" i="5"/>
  <c r="F1140" i="5"/>
  <c r="G1140" i="5"/>
  <c r="H1140" i="5"/>
  <c r="I1140" i="5"/>
  <c r="J1140" i="5"/>
  <c r="K1140" i="5"/>
  <c r="L1140" i="5"/>
  <c r="M1140" i="5"/>
  <c r="N1140" i="5"/>
  <c r="O1140" i="5"/>
  <c r="P1140" i="5"/>
  <c r="Q1140" i="5"/>
  <c r="R1140" i="5"/>
  <c r="S1140" i="5"/>
  <c r="T1140" i="5"/>
  <c r="U1140" i="5"/>
  <c r="V1140" i="5"/>
  <c r="W1140" i="5"/>
  <c r="X1140" i="5"/>
  <c r="A1141" i="5"/>
  <c r="B1141" i="5"/>
  <c r="C1141" i="5"/>
  <c r="D1141" i="5"/>
  <c r="E1141" i="5"/>
  <c r="F1141" i="5"/>
  <c r="G1141" i="5"/>
  <c r="H1141" i="5"/>
  <c r="I1141" i="5"/>
  <c r="J1141" i="5"/>
  <c r="K1141" i="5"/>
  <c r="L1141" i="5"/>
  <c r="M1141" i="5"/>
  <c r="N1141" i="5"/>
  <c r="O1141" i="5"/>
  <c r="P1141" i="5"/>
  <c r="Q1141" i="5"/>
  <c r="R1141" i="5"/>
  <c r="S1141" i="5"/>
  <c r="T1141" i="5"/>
  <c r="U1141" i="5"/>
  <c r="V1141" i="5"/>
  <c r="W1141" i="5"/>
  <c r="X1141" i="5"/>
  <c r="A1142" i="5"/>
  <c r="B1142" i="5"/>
  <c r="C1142" i="5"/>
  <c r="D1142" i="5"/>
  <c r="E1142" i="5"/>
  <c r="F1142" i="5"/>
  <c r="G1142" i="5"/>
  <c r="H1142" i="5"/>
  <c r="I1142" i="5"/>
  <c r="J1142" i="5"/>
  <c r="K1142" i="5"/>
  <c r="L1142" i="5"/>
  <c r="M1142" i="5"/>
  <c r="N1142" i="5"/>
  <c r="O1142" i="5"/>
  <c r="P1142" i="5"/>
  <c r="Q1142" i="5"/>
  <c r="R1142" i="5"/>
  <c r="S1142" i="5"/>
  <c r="T1142" i="5"/>
  <c r="U1142" i="5"/>
  <c r="V1142" i="5"/>
  <c r="W1142" i="5"/>
  <c r="X1142" i="5"/>
  <c r="A1143" i="5"/>
  <c r="B1143" i="5"/>
  <c r="C1143" i="5"/>
  <c r="D1143" i="5"/>
  <c r="E1143" i="5"/>
  <c r="F1143" i="5"/>
  <c r="G1143" i="5"/>
  <c r="H1143" i="5"/>
  <c r="I1143" i="5"/>
  <c r="J1143" i="5"/>
  <c r="K1143" i="5"/>
  <c r="L1143" i="5"/>
  <c r="M1143" i="5"/>
  <c r="N1143" i="5"/>
  <c r="O1143" i="5"/>
  <c r="P1143" i="5"/>
  <c r="Q1143" i="5"/>
  <c r="R1143" i="5"/>
  <c r="S1143" i="5"/>
  <c r="T1143" i="5"/>
  <c r="U1143" i="5"/>
  <c r="V1143" i="5"/>
  <c r="W1143" i="5"/>
  <c r="X1143" i="5"/>
  <c r="A1144" i="5"/>
  <c r="B1144" i="5"/>
  <c r="C1144" i="5"/>
  <c r="D1144" i="5"/>
  <c r="E1144" i="5"/>
  <c r="F1144" i="5"/>
  <c r="G1144" i="5"/>
  <c r="H1144" i="5"/>
  <c r="I1144" i="5"/>
  <c r="J1144" i="5"/>
  <c r="K1144" i="5"/>
  <c r="L1144" i="5"/>
  <c r="M1144" i="5"/>
  <c r="N1144" i="5"/>
  <c r="O1144" i="5"/>
  <c r="P1144" i="5"/>
  <c r="Q1144" i="5"/>
  <c r="R1144" i="5"/>
  <c r="S1144" i="5"/>
  <c r="T1144" i="5"/>
  <c r="U1144" i="5"/>
  <c r="V1144" i="5"/>
  <c r="W1144" i="5"/>
  <c r="X1144" i="5"/>
  <c r="A1145" i="5"/>
  <c r="B1145" i="5"/>
  <c r="C1145" i="5"/>
  <c r="D1145" i="5"/>
  <c r="E1145" i="5"/>
  <c r="F1145" i="5"/>
  <c r="G1145" i="5"/>
  <c r="H1145" i="5"/>
  <c r="I1145" i="5"/>
  <c r="J1145" i="5"/>
  <c r="K1145" i="5"/>
  <c r="L1145" i="5"/>
  <c r="M1145" i="5"/>
  <c r="N1145" i="5"/>
  <c r="O1145" i="5"/>
  <c r="P1145" i="5"/>
  <c r="Q1145" i="5"/>
  <c r="R1145" i="5"/>
  <c r="S1145" i="5"/>
  <c r="T1145" i="5"/>
  <c r="U1145" i="5"/>
  <c r="V1145" i="5"/>
  <c r="W1145" i="5"/>
  <c r="X1145" i="5"/>
  <c r="A1146" i="5"/>
  <c r="B1146" i="5"/>
  <c r="C1146" i="5"/>
  <c r="D1146" i="5"/>
  <c r="E1146" i="5"/>
  <c r="F1146" i="5"/>
  <c r="G1146" i="5"/>
  <c r="H1146" i="5"/>
  <c r="I1146" i="5"/>
  <c r="J1146" i="5"/>
  <c r="K1146" i="5"/>
  <c r="L1146" i="5"/>
  <c r="M1146" i="5"/>
  <c r="N1146" i="5"/>
  <c r="O1146" i="5"/>
  <c r="P1146" i="5"/>
  <c r="Q1146" i="5"/>
  <c r="R1146" i="5"/>
  <c r="S1146" i="5"/>
  <c r="T1146" i="5"/>
  <c r="U1146" i="5"/>
  <c r="V1146" i="5"/>
  <c r="W1146" i="5"/>
  <c r="X1146" i="5"/>
  <c r="A1147" i="5"/>
  <c r="B1147" i="5"/>
  <c r="C1147" i="5"/>
  <c r="D1147" i="5"/>
  <c r="F1147" i="5"/>
  <c r="G1147" i="5"/>
  <c r="H1147" i="5"/>
  <c r="J1147" i="5"/>
  <c r="K1147" i="5"/>
  <c r="L1147" i="5"/>
  <c r="N1147" i="5"/>
  <c r="O1147" i="5"/>
  <c r="P1147" i="5"/>
  <c r="R1147" i="5"/>
  <c r="S1147" i="5"/>
  <c r="T1147" i="5"/>
  <c r="V1147" i="5"/>
  <c r="W1147" i="5"/>
  <c r="X1147" i="5"/>
  <c r="A1148" i="5"/>
  <c r="B1148" i="5"/>
  <c r="C1148" i="5"/>
  <c r="D1148" i="5"/>
  <c r="F1148" i="5"/>
  <c r="G1148" i="5"/>
  <c r="H1148" i="5"/>
  <c r="J1148" i="5"/>
  <c r="K1148" i="5"/>
  <c r="L1148" i="5"/>
  <c r="N1148" i="5"/>
  <c r="O1148" i="5"/>
  <c r="P1148" i="5"/>
  <c r="R1148" i="5"/>
  <c r="S1148" i="5"/>
  <c r="T1148" i="5"/>
  <c r="V1148" i="5"/>
  <c r="W1148" i="5"/>
  <c r="X1148" i="5"/>
  <c r="A1149" i="5"/>
  <c r="B1149" i="5"/>
  <c r="C1149" i="5"/>
  <c r="D1149" i="5"/>
  <c r="F1149" i="5"/>
  <c r="G1149" i="5"/>
  <c r="H1149" i="5"/>
  <c r="J1149" i="5"/>
  <c r="K1149" i="5"/>
  <c r="L1149" i="5"/>
  <c r="N1149" i="5"/>
  <c r="O1149" i="5"/>
  <c r="P1149" i="5"/>
  <c r="R1149" i="5"/>
  <c r="S1149" i="5"/>
  <c r="T1149" i="5"/>
  <c r="V1149" i="5"/>
  <c r="W1149" i="5"/>
  <c r="X1149" i="5"/>
  <c r="A1150" i="5"/>
  <c r="B1150" i="5"/>
  <c r="C1150" i="5"/>
  <c r="D1150" i="5"/>
  <c r="F1150" i="5"/>
  <c r="G1150" i="5"/>
  <c r="H1150" i="5"/>
  <c r="J1150" i="5"/>
  <c r="K1150" i="5"/>
  <c r="L1150" i="5"/>
  <c r="N1150" i="5"/>
  <c r="O1150" i="5"/>
  <c r="P1150" i="5"/>
  <c r="R1150" i="5"/>
  <c r="S1150" i="5"/>
  <c r="T1150" i="5"/>
  <c r="V1150" i="5"/>
  <c r="W1150" i="5"/>
  <c r="X1150" i="5"/>
  <c r="A1151" i="5"/>
  <c r="B1151" i="5" s="1"/>
  <c r="C1151" i="5"/>
  <c r="G1151" i="5"/>
  <c r="K1151" i="5"/>
  <c r="O1151" i="5"/>
  <c r="S1151" i="5"/>
  <c r="W1151" i="5"/>
  <c r="A1152" i="5"/>
  <c r="B1152" i="5" s="1"/>
  <c r="C1152" i="5"/>
  <c r="G1152" i="5"/>
  <c r="I1152" i="5"/>
  <c r="K1152" i="5"/>
  <c r="O1152" i="5"/>
  <c r="Q1152" i="5"/>
  <c r="S1152" i="5"/>
  <c r="W1152" i="5"/>
  <c r="A1153" i="5"/>
  <c r="B1153" i="5" s="1"/>
  <c r="C1153" i="5"/>
  <c r="G1153" i="5"/>
  <c r="K1153" i="5"/>
  <c r="O1153" i="5"/>
  <c r="S1153" i="5"/>
  <c r="W1153" i="5"/>
  <c r="A1154" i="5"/>
  <c r="B1154" i="5" s="1"/>
  <c r="C1154" i="5"/>
  <c r="E1154" i="5"/>
  <c r="G1154" i="5"/>
  <c r="K1154" i="5"/>
  <c r="M1154" i="5"/>
  <c r="O1154" i="5"/>
  <c r="S1154" i="5"/>
  <c r="U1154" i="5"/>
  <c r="W1154" i="5"/>
  <c r="A1155" i="5"/>
  <c r="B1155" i="5" s="1"/>
  <c r="C1155" i="5"/>
  <c r="G1155" i="5"/>
  <c r="K1155" i="5"/>
  <c r="O1155" i="5"/>
  <c r="S1155" i="5"/>
  <c r="W1155" i="5"/>
  <c r="A1156" i="5"/>
  <c r="B1156" i="5" s="1"/>
  <c r="C1156" i="5"/>
  <c r="G1156" i="5"/>
  <c r="I1156" i="5"/>
  <c r="K1156" i="5"/>
  <c r="O1156" i="5"/>
  <c r="Q1156" i="5"/>
  <c r="S1156" i="5"/>
  <c r="W1156" i="5"/>
  <c r="A1157" i="5"/>
  <c r="B1157" i="5" s="1"/>
  <c r="C1157" i="5"/>
  <c r="G1157" i="5"/>
  <c r="K1157" i="5"/>
  <c r="O1157" i="5"/>
  <c r="S1157" i="5"/>
  <c r="W1157" i="5"/>
  <c r="E9" i="4"/>
  <c r="J12" i="4"/>
  <c r="J13" i="4"/>
  <c r="J14" i="4"/>
  <c r="J15" i="4"/>
  <c r="B16" i="4"/>
  <c r="C16" i="4"/>
  <c r="D16" i="4"/>
  <c r="E16" i="4"/>
  <c r="F16" i="4"/>
  <c r="G16" i="4"/>
  <c r="H16" i="4"/>
  <c r="I16" i="4"/>
  <c r="J16" i="4"/>
  <c r="B17" i="4"/>
  <c r="C17" i="4"/>
  <c r="D17" i="4"/>
  <c r="E17" i="4"/>
  <c r="F17" i="4"/>
  <c r="G17" i="4"/>
  <c r="H17" i="4"/>
  <c r="I17" i="4"/>
  <c r="J17" i="4"/>
  <c r="B18" i="4"/>
  <c r="C18" i="4"/>
  <c r="D18" i="4"/>
  <c r="E18" i="4"/>
  <c r="F18" i="4"/>
  <c r="G18" i="4"/>
  <c r="H18" i="4"/>
  <c r="I18" i="4"/>
  <c r="J18" i="4"/>
  <c r="B19" i="4"/>
  <c r="C19" i="4"/>
  <c r="D19" i="4"/>
  <c r="E19" i="4"/>
  <c r="F19" i="4"/>
  <c r="G19" i="4"/>
  <c r="H19" i="4"/>
  <c r="I19" i="4"/>
  <c r="J19" i="4"/>
  <c r="B20" i="4"/>
  <c r="C20" i="4"/>
  <c r="D20" i="4"/>
  <c r="E20" i="4"/>
  <c r="F20" i="4"/>
  <c r="G20" i="4"/>
  <c r="H20" i="4"/>
  <c r="I20" i="4"/>
  <c r="J20" i="4"/>
  <c r="B21" i="4"/>
  <c r="C21" i="4"/>
  <c r="D21" i="4"/>
  <c r="E21" i="4"/>
  <c r="F21" i="4"/>
  <c r="G21" i="4"/>
  <c r="H21" i="4"/>
  <c r="I21" i="4"/>
  <c r="J21" i="4"/>
  <c r="B22" i="4"/>
  <c r="C22" i="4"/>
  <c r="D22" i="4"/>
  <c r="E22" i="4"/>
  <c r="F22" i="4"/>
  <c r="G22" i="4"/>
  <c r="H22" i="4"/>
  <c r="I22" i="4"/>
  <c r="J22" i="4"/>
  <c r="B23" i="4"/>
  <c r="C23" i="4"/>
  <c r="D23" i="4"/>
  <c r="E23" i="4"/>
  <c r="F23" i="4"/>
  <c r="G23" i="4"/>
  <c r="H23" i="4"/>
  <c r="I23" i="4"/>
  <c r="J23" i="4"/>
  <c r="B24" i="4"/>
  <c r="C24" i="4"/>
  <c r="D24" i="4"/>
  <c r="E24" i="4"/>
  <c r="F24" i="4"/>
  <c r="G24" i="4"/>
  <c r="H24" i="4"/>
  <c r="I24" i="4"/>
  <c r="J24" i="4"/>
  <c r="B25" i="4"/>
  <c r="C25" i="4"/>
  <c r="D25" i="4"/>
  <c r="E25" i="4"/>
  <c r="F25" i="4"/>
  <c r="G25" i="4"/>
  <c r="H25" i="4"/>
  <c r="I25" i="4"/>
  <c r="J25" i="4"/>
  <c r="B26" i="4"/>
  <c r="C26" i="4"/>
  <c r="D26" i="4"/>
  <c r="E26" i="4"/>
  <c r="F26" i="4"/>
  <c r="G26" i="4"/>
  <c r="H26" i="4"/>
  <c r="I26" i="4"/>
  <c r="J26" i="4"/>
  <c r="B27" i="4"/>
  <c r="C27" i="4"/>
  <c r="D27" i="4"/>
  <c r="E27" i="4"/>
  <c r="F27" i="4"/>
  <c r="G27" i="4"/>
  <c r="H27" i="4"/>
  <c r="I27" i="4"/>
  <c r="J27" i="4"/>
  <c r="B28" i="4"/>
  <c r="C28" i="4"/>
  <c r="D28" i="4"/>
  <c r="E28" i="4"/>
  <c r="F28" i="4"/>
  <c r="G28" i="4"/>
  <c r="H28" i="4"/>
  <c r="I28" i="4"/>
  <c r="J28" i="4"/>
  <c r="B29" i="4"/>
  <c r="C29" i="4"/>
  <c r="D29" i="4"/>
  <c r="E29" i="4"/>
  <c r="F29" i="4"/>
  <c r="G29" i="4"/>
  <c r="H29" i="4"/>
  <c r="I29" i="4"/>
  <c r="J29" i="4"/>
  <c r="B30" i="4"/>
  <c r="C30" i="4"/>
  <c r="D30" i="4"/>
  <c r="E30" i="4"/>
  <c r="F30" i="4"/>
  <c r="G30" i="4"/>
  <c r="H30" i="4"/>
  <c r="I30" i="4"/>
  <c r="J30" i="4"/>
  <c r="B31" i="4"/>
  <c r="C31" i="4"/>
  <c r="D31" i="4"/>
  <c r="E31" i="4"/>
  <c r="F31" i="4"/>
  <c r="G31" i="4"/>
  <c r="H31" i="4"/>
  <c r="I31" i="4"/>
  <c r="J31" i="4"/>
  <c r="B32" i="4"/>
  <c r="C32" i="4"/>
  <c r="D32" i="4"/>
  <c r="E32" i="4"/>
  <c r="F32" i="4"/>
  <c r="G32" i="4"/>
  <c r="H32" i="4"/>
  <c r="I32" i="4"/>
  <c r="J32" i="4"/>
  <c r="B33" i="4"/>
  <c r="C33" i="4"/>
  <c r="D33" i="4"/>
  <c r="E33" i="4"/>
  <c r="F33" i="4"/>
  <c r="G33" i="4"/>
  <c r="H33" i="4"/>
  <c r="I33" i="4"/>
  <c r="J33" i="4"/>
  <c r="B34" i="4"/>
  <c r="C34" i="4"/>
  <c r="D34" i="4"/>
  <c r="E34" i="4"/>
  <c r="F34" i="4"/>
  <c r="G34" i="4"/>
  <c r="H34" i="4"/>
  <c r="I34" i="4"/>
  <c r="J34" i="4"/>
  <c r="B35" i="4"/>
  <c r="C35" i="4"/>
  <c r="D35" i="4"/>
  <c r="E35" i="4"/>
  <c r="F35" i="4"/>
  <c r="G35" i="4"/>
  <c r="H35" i="4"/>
  <c r="I35" i="4"/>
  <c r="J35" i="4"/>
  <c r="B36" i="4"/>
  <c r="C36" i="4"/>
  <c r="D36" i="4"/>
  <c r="E36" i="4"/>
  <c r="F36" i="4"/>
  <c r="G36" i="4"/>
  <c r="H36" i="4"/>
  <c r="I36" i="4"/>
  <c r="J36" i="4"/>
  <c r="B37" i="4"/>
  <c r="C37" i="4"/>
  <c r="D37" i="4"/>
  <c r="E37" i="4"/>
  <c r="F37" i="4"/>
  <c r="G37" i="4"/>
  <c r="H37" i="4"/>
  <c r="I37" i="4"/>
  <c r="J37" i="4"/>
  <c r="B38" i="4"/>
  <c r="C38" i="4"/>
  <c r="D38" i="4"/>
  <c r="E38" i="4"/>
  <c r="F38" i="4"/>
  <c r="G38" i="4"/>
  <c r="H38" i="4"/>
  <c r="I38" i="4"/>
  <c r="J38" i="4"/>
  <c r="B39" i="4"/>
  <c r="C39" i="4"/>
  <c r="D39" i="4"/>
  <c r="E39" i="4"/>
  <c r="F39" i="4"/>
  <c r="G39" i="4"/>
  <c r="H39" i="4"/>
  <c r="I39" i="4"/>
  <c r="J39" i="4"/>
  <c r="B40" i="4"/>
  <c r="C40" i="4"/>
  <c r="D40" i="4"/>
  <c r="E40" i="4"/>
  <c r="F40" i="4"/>
  <c r="G40" i="4"/>
  <c r="H40" i="4"/>
  <c r="I40" i="4"/>
  <c r="J40" i="4"/>
  <c r="B41" i="4"/>
  <c r="C41" i="4"/>
  <c r="D41" i="4"/>
  <c r="E41" i="4"/>
  <c r="F41" i="4"/>
  <c r="G41" i="4"/>
  <c r="H41" i="4"/>
  <c r="I41" i="4"/>
  <c r="J41" i="4"/>
  <c r="B42" i="4"/>
  <c r="C42" i="4"/>
  <c r="D42" i="4"/>
  <c r="E42" i="4"/>
  <c r="F42" i="4"/>
  <c r="G42" i="4"/>
  <c r="H42" i="4"/>
  <c r="I42" i="4"/>
  <c r="J42" i="4"/>
  <c r="B43" i="4"/>
  <c r="C43" i="4"/>
  <c r="D43" i="4"/>
  <c r="E43" i="4"/>
  <c r="F43" i="4"/>
  <c r="G43" i="4"/>
  <c r="H43" i="4"/>
  <c r="I43" i="4"/>
  <c r="J43" i="4"/>
  <c r="B44" i="4"/>
  <c r="C44" i="4"/>
  <c r="D44" i="4"/>
  <c r="E44" i="4"/>
  <c r="F44" i="4"/>
  <c r="G44" i="4"/>
  <c r="H44" i="4"/>
  <c r="I44" i="4"/>
  <c r="J44" i="4"/>
  <c r="B45" i="4"/>
  <c r="C45" i="4"/>
  <c r="D45" i="4"/>
  <c r="E45" i="4"/>
  <c r="F45" i="4"/>
  <c r="G45" i="4"/>
  <c r="H45" i="4"/>
  <c r="I45" i="4"/>
  <c r="J45" i="4"/>
  <c r="B46" i="4"/>
  <c r="C46" i="4"/>
  <c r="D46" i="4"/>
  <c r="E46" i="4"/>
  <c r="F46" i="4"/>
  <c r="G46" i="4"/>
  <c r="H46" i="4"/>
  <c r="I46" i="4"/>
  <c r="J46" i="4"/>
  <c r="B47" i="4"/>
  <c r="C47" i="4"/>
  <c r="D47" i="4"/>
  <c r="E47" i="4"/>
  <c r="F47" i="4"/>
  <c r="G47" i="4"/>
  <c r="H47" i="4"/>
  <c r="I47" i="4"/>
  <c r="J47" i="4"/>
  <c r="B48" i="4"/>
  <c r="C48" i="4"/>
  <c r="D48" i="4"/>
  <c r="E48" i="4"/>
  <c r="F48" i="4"/>
  <c r="G48" i="4"/>
  <c r="H48" i="4"/>
  <c r="I48" i="4"/>
  <c r="J48" i="4"/>
  <c r="B49" i="4"/>
  <c r="C49" i="4"/>
  <c r="D49" i="4"/>
  <c r="E49" i="4"/>
  <c r="F49" i="4"/>
  <c r="G49" i="4"/>
  <c r="H49" i="4"/>
  <c r="I49" i="4"/>
  <c r="J49" i="4"/>
  <c r="B50" i="4"/>
  <c r="C50" i="4"/>
  <c r="D50" i="4"/>
  <c r="E50" i="4"/>
  <c r="F50" i="4"/>
  <c r="G50" i="4"/>
  <c r="H50" i="4"/>
  <c r="I50" i="4"/>
  <c r="J50" i="4"/>
  <c r="B51" i="4"/>
  <c r="C51" i="4"/>
  <c r="D51" i="4"/>
  <c r="E51" i="4"/>
  <c r="F51" i="4"/>
  <c r="G51" i="4"/>
  <c r="H51" i="4"/>
  <c r="I51" i="4"/>
  <c r="J51" i="4"/>
  <c r="B52" i="4"/>
  <c r="C52" i="4"/>
  <c r="D52" i="4"/>
  <c r="E52" i="4"/>
  <c r="F52" i="4"/>
  <c r="G52" i="4"/>
  <c r="H52" i="4"/>
  <c r="I52" i="4"/>
  <c r="J52" i="4"/>
  <c r="B53" i="4"/>
  <c r="C53" i="4"/>
  <c r="D53" i="4"/>
  <c r="E53" i="4"/>
  <c r="F53" i="4"/>
  <c r="G53" i="4"/>
  <c r="H53" i="4"/>
  <c r="I53" i="4"/>
  <c r="J53" i="4"/>
  <c r="B54" i="4"/>
  <c r="C54" i="4"/>
  <c r="D54" i="4"/>
  <c r="E54" i="4"/>
  <c r="F54" i="4"/>
  <c r="G54" i="4"/>
  <c r="H54" i="4"/>
  <c r="I54" i="4"/>
  <c r="J54" i="4"/>
  <c r="B55" i="4"/>
  <c r="C55" i="4"/>
  <c r="D55" i="4"/>
  <c r="E55" i="4"/>
  <c r="F55" i="4"/>
  <c r="G55" i="4"/>
  <c r="H55" i="4"/>
  <c r="I55" i="4"/>
  <c r="J55" i="4"/>
  <c r="B56" i="4"/>
  <c r="C56" i="4"/>
  <c r="D56" i="4"/>
  <c r="E56" i="4"/>
  <c r="F56" i="4"/>
  <c r="G56" i="4"/>
  <c r="H56" i="4"/>
  <c r="I56" i="4"/>
  <c r="J56" i="4"/>
  <c r="B57" i="4"/>
  <c r="C57" i="4"/>
  <c r="D57" i="4"/>
  <c r="E57" i="4"/>
  <c r="F57" i="4"/>
  <c r="G57" i="4"/>
  <c r="H57" i="4"/>
  <c r="I57" i="4"/>
  <c r="J57" i="4"/>
  <c r="B58" i="4"/>
  <c r="C58" i="4"/>
  <c r="D58" i="4"/>
  <c r="E58" i="4"/>
  <c r="F58" i="4"/>
  <c r="G58" i="4"/>
  <c r="H58" i="4"/>
  <c r="I58" i="4"/>
  <c r="J58" i="4"/>
  <c r="B59" i="4"/>
  <c r="C59" i="4"/>
  <c r="D59" i="4"/>
  <c r="E59" i="4"/>
  <c r="F59" i="4"/>
  <c r="G59" i="4"/>
  <c r="H59" i="4"/>
  <c r="I59" i="4"/>
  <c r="J59" i="4"/>
  <c r="B60" i="4"/>
  <c r="C60" i="4"/>
  <c r="D60" i="4"/>
  <c r="E60" i="4"/>
  <c r="F60" i="4"/>
  <c r="G60" i="4"/>
  <c r="H60" i="4"/>
  <c r="I60" i="4"/>
  <c r="J60" i="4"/>
  <c r="B61" i="4"/>
  <c r="C61" i="4"/>
  <c r="D61" i="4"/>
  <c r="E61" i="4"/>
  <c r="F61" i="4"/>
  <c r="G61" i="4"/>
  <c r="H61" i="4"/>
  <c r="I61" i="4"/>
  <c r="J61" i="4"/>
  <c r="B62" i="4"/>
  <c r="C62" i="4"/>
  <c r="D62" i="4"/>
  <c r="E62" i="4"/>
  <c r="F62" i="4"/>
  <c r="G62" i="4"/>
  <c r="H62" i="4"/>
  <c r="I62" i="4"/>
  <c r="J62" i="4"/>
  <c r="B63" i="4"/>
  <c r="C63" i="4"/>
  <c r="D63" i="4"/>
  <c r="E63" i="4"/>
  <c r="F63" i="4"/>
  <c r="G63" i="4"/>
  <c r="H63" i="4"/>
  <c r="I63" i="4"/>
  <c r="J63" i="4"/>
  <c r="B64" i="4"/>
  <c r="C64" i="4"/>
  <c r="D64" i="4"/>
  <c r="E64" i="4"/>
  <c r="F64" i="4"/>
  <c r="G64" i="4"/>
  <c r="H64" i="4"/>
  <c r="I64" i="4"/>
  <c r="J64" i="4"/>
  <c r="B65" i="4"/>
  <c r="C65" i="4"/>
  <c r="D65" i="4"/>
  <c r="E65" i="4"/>
  <c r="F65" i="4"/>
  <c r="G65" i="4"/>
  <c r="H65" i="4"/>
  <c r="I65" i="4"/>
  <c r="J65" i="4"/>
  <c r="B66" i="4"/>
  <c r="C66" i="4"/>
  <c r="D66" i="4"/>
  <c r="E66" i="4"/>
  <c r="F66" i="4"/>
  <c r="G66" i="4"/>
  <c r="H66" i="4"/>
  <c r="I66" i="4"/>
  <c r="J66" i="4"/>
  <c r="B67" i="4"/>
  <c r="C67" i="4"/>
  <c r="D67" i="4"/>
  <c r="E67" i="4"/>
  <c r="F67" i="4"/>
  <c r="G67" i="4"/>
  <c r="H67" i="4"/>
  <c r="I67" i="4"/>
  <c r="J67" i="4"/>
  <c r="B68" i="4"/>
  <c r="C68" i="4"/>
  <c r="D68" i="4"/>
  <c r="E68" i="4"/>
  <c r="F68" i="4"/>
  <c r="G68" i="4"/>
  <c r="H68" i="4"/>
  <c r="I68" i="4"/>
  <c r="J68" i="4"/>
  <c r="B69" i="4"/>
  <c r="C69" i="4"/>
  <c r="D69" i="4"/>
  <c r="E69" i="4"/>
  <c r="F69" i="4"/>
  <c r="G69" i="4"/>
  <c r="H69" i="4"/>
  <c r="I69" i="4"/>
  <c r="J69" i="4"/>
  <c r="B70" i="4"/>
  <c r="C70" i="4"/>
  <c r="D70" i="4"/>
  <c r="E70" i="4"/>
  <c r="F70" i="4"/>
  <c r="G70" i="4"/>
  <c r="H70" i="4"/>
  <c r="I70" i="4"/>
  <c r="J70" i="4"/>
  <c r="B71" i="4"/>
  <c r="C71" i="4"/>
  <c r="D71" i="4"/>
  <c r="E71" i="4"/>
  <c r="F71" i="4"/>
  <c r="G71" i="4"/>
  <c r="H71" i="4"/>
  <c r="I71" i="4"/>
  <c r="J71" i="4"/>
  <c r="B72" i="4"/>
  <c r="C72" i="4"/>
  <c r="D72" i="4"/>
  <c r="E72" i="4"/>
  <c r="F72" i="4"/>
  <c r="G72" i="4"/>
  <c r="H72" i="4"/>
  <c r="I72" i="4"/>
  <c r="J72" i="4"/>
  <c r="B73" i="4"/>
  <c r="C73" i="4"/>
  <c r="D73" i="4"/>
  <c r="E73" i="4"/>
  <c r="F73" i="4"/>
  <c r="G73" i="4"/>
  <c r="H73" i="4"/>
  <c r="I73" i="4"/>
  <c r="J73" i="4"/>
  <c r="B74" i="4"/>
  <c r="C74" i="4"/>
  <c r="D74" i="4"/>
  <c r="E74" i="4"/>
  <c r="F74" i="4"/>
  <c r="G74" i="4"/>
  <c r="H74" i="4"/>
  <c r="I74" i="4"/>
  <c r="J74" i="4"/>
  <c r="B75" i="4"/>
  <c r="C75" i="4"/>
  <c r="D75" i="4"/>
  <c r="E75" i="4"/>
  <c r="F75" i="4"/>
  <c r="G75" i="4"/>
  <c r="H75" i="4"/>
  <c r="I75" i="4"/>
  <c r="J75" i="4"/>
  <c r="B76" i="4"/>
  <c r="C76" i="4"/>
  <c r="D76" i="4"/>
  <c r="E76" i="4"/>
  <c r="F76" i="4"/>
  <c r="G76" i="4"/>
  <c r="H76" i="4"/>
  <c r="I76" i="4"/>
  <c r="J76" i="4"/>
  <c r="B77" i="4"/>
  <c r="C77" i="4"/>
  <c r="D77" i="4"/>
  <c r="E77" i="4"/>
  <c r="F77" i="4"/>
  <c r="G77" i="4"/>
  <c r="H77" i="4"/>
  <c r="I77" i="4"/>
  <c r="J77" i="4"/>
  <c r="B78" i="4"/>
  <c r="C78" i="4"/>
  <c r="D78" i="4"/>
  <c r="E78" i="4"/>
  <c r="F78" i="4"/>
  <c r="G78" i="4"/>
  <c r="H78" i="4"/>
  <c r="I78" i="4"/>
  <c r="J78" i="4"/>
  <c r="B79" i="4"/>
  <c r="C79" i="4"/>
  <c r="D79" i="4"/>
  <c r="E79" i="4"/>
  <c r="F79" i="4"/>
  <c r="G79" i="4"/>
  <c r="H79" i="4"/>
  <c r="I79" i="4"/>
  <c r="J79" i="4"/>
  <c r="B80" i="4"/>
  <c r="C80" i="4"/>
  <c r="D80" i="4"/>
  <c r="E80" i="4"/>
  <c r="F80" i="4"/>
  <c r="G80" i="4"/>
  <c r="H80" i="4"/>
  <c r="I80" i="4"/>
  <c r="J80" i="4"/>
  <c r="B81" i="4"/>
  <c r="C81" i="4"/>
  <c r="D81" i="4"/>
  <c r="E81" i="4"/>
  <c r="F81" i="4"/>
  <c r="G81" i="4"/>
  <c r="H81" i="4"/>
  <c r="I81" i="4"/>
  <c r="J81" i="4"/>
  <c r="B82" i="4"/>
  <c r="C82" i="4"/>
  <c r="D82" i="4"/>
  <c r="E82" i="4"/>
  <c r="F82" i="4"/>
  <c r="G82" i="4"/>
  <c r="H82" i="4"/>
  <c r="I82" i="4"/>
  <c r="J82" i="4"/>
  <c r="B83" i="4"/>
  <c r="C83" i="4"/>
  <c r="D83" i="4"/>
  <c r="E83" i="4"/>
  <c r="F83" i="4"/>
  <c r="G83" i="4"/>
  <c r="H83" i="4"/>
  <c r="I83" i="4"/>
  <c r="J83" i="4"/>
  <c r="B84" i="4"/>
  <c r="C84" i="4"/>
  <c r="D84" i="4"/>
  <c r="E84" i="4"/>
  <c r="F84" i="4"/>
  <c r="G84" i="4"/>
  <c r="H84" i="4"/>
  <c r="I84" i="4"/>
  <c r="J84" i="4"/>
  <c r="B85" i="4"/>
  <c r="C85" i="4"/>
  <c r="D85" i="4"/>
  <c r="E85" i="4"/>
  <c r="F85" i="4"/>
  <c r="G85" i="4"/>
  <c r="H85" i="4"/>
  <c r="I85" i="4"/>
  <c r="J85" i="4"/>
  <c r="B86" i="4"/>
  <c r="C86" i="4"/>
  <c r="D86" i="4"/>
  <c r="E86" i="4"/>
  <c r="F86" i="4"/>
  <c r="G86" i="4"/>
  <c r="H86" i="4"/>
  <c r="I86" i="4"/>
  <c r="J86" i="4"/>
  <c r="B87" i="4"/>
  <c r="C87" i="4"/>
  <c r="D87" i="4"/>
  <c r="E87" i="4"/>
  <c r="F87" i="4"/>
  <c r="G87" i="4"/>
  <c r="H87" i="4"/>
  <c r="I87" i="4"/>
  <c r="J87" i="4"/>
  <c r="B88" i="4"/>
  <c r="C88" i="4"/>
  <c r="D88" i="4"/>
  <c r="E88" i="4"/>
  <c r="F88" i="4"/>
  <c r="G88" i="4"/>
  <c r="H88" i="4"/>
  <c r="I88" i="4"/>
  <c r="J88" i="4"/>
  <c r="B89" i="4"/>
  <c r="C89" i="4"/>
  <c r="D89" i="4"/>
  <c r="E89" i="4"/>
  <c r="F89" i="4"/>
  <c r="G89" i="4"/>
  <c r="H89" i="4"/>
  <c r="I89" i="4"/>
  <c r="J89" i="4"/>
  <c r="B90" i="4"/>
  <c r="C90" i="4"/>
  <c r="D90" i="4"/>
  <c r="E90" i="4"/>
  <c r="F90" i="4"/>
  <c r="G90" i="4"/>
  <c r="H90" i="4"/>
  <c r="I90" i="4"/>
  <c r="J90" i="4"/>
  <c r="B91" i="4"/>
  <c r="C91" i="4"/>
  <c r="D91" i="4"/>
  <c r="E91" i="4"/>
  <c r="F91" i="4"/>
  <c r="G91" i="4"/>
  <c r="H91" i="4"/>
  <c r="I91" i="4"/>
  <c r="J91" i="4"/>
  <c r="B92" i="4"/>
  <c r="C92" i="4"/>
  <c r="D92" i="4"/>
  <c r="E92" i="4"/>
  <c r="F92" i="4"/>
  <c r="G92" i="4"/>
  <c r="H92" i="4"/>
  <c r="I92" i="4"/>
  <c r="J92" i="4"/>
  <c r="B93" i="4"/>
  <c r="C93" i="4"/>
  <c r="D93" i="4"/>
  <c r="E93" i="4"/>
  <c r="F93" i="4"/>
  <c r="G93" i="4"/>
  <c r="H93" i="4"/>
  <c r="I93" i="4"/>
  <c r="J93" i="4"/>
  <c r="B94" i="4"/>
  <c r="C94" i="4"/>
  <c r="D94" i="4"/>
  <c r="E94" i="4"/>
  <c r="F94" i="4"/>
  <c r="G94" i="4"/>
  <c r="H94" i="4"/>
  <c r="I94" i="4"/>
  <c r="J94" i="4"/>
  <c r="B95" i="4"/>
  <c r="C95" i="4"/>
  <c r="D95" i="4"/>
  <c r="E95" i="4"/>
  <c r="F95" i="4"/>
  <c r="G95" i="4"/>
  <c r="H95" i="4"/>
  <c r="I95" i="4"/>
  <c r="J95" i="4"/>
  <c r="B96" i="4"/>
  <c r="C96" i="4"/>
  <c r="D96" i="4"/>
  <c r="E96" i="4"/>
  <c r="F96" i="4"/>
  <c r="G96" i="4"/>
  <c r="H96" i="4"/>
  <c r="I96" i="4"/>
  <c r="J96" i="4"/>
  <c r="B97" i="4"/>
  <c r="C97" i="4"/>
  <c r="D97" i="4"/>
  <c r="E97" i="4"/>
  <c r="F97" i="4"/>
  <c r="G97" i="4"/>
  <c r="H97" i="4"/>
  <c r="I97" i="4"/>
  <c r="J97" i="4"/>
  <c r="B98" i="4"/>
  <c r="C98" i="4"/>
  <c r="D98" i="4"/>
  <c r="E98" i="4"/>
  <c r="F98" i="4"/>
  <c r="G98" i="4"/>
  <c r="H98" i="4"/>
  <c r="I98" i="4"/>
  <c r="J98" i="4"/>
  <c r="B99" i="4"/>
  <c r="C99" i="4"/>
  <c r="D99" i="4"/>
  <c r="E99" i="4"/>
  <c r="F99" i="4"/>
  <c r="G99" i="4"/>
  <c r="H99" i="4"/>
  <c r="I99" i="4"/>
  <c r="J99" i="4"/>
  <c r="B100" i="4"/>
  <c r="C100" i="4"/>
  <c r="D100" i="4"/>
  <c r="E100" i="4"/>
  <c r="F100" i="4"/>
  <c r="G100" i="4"/>
  <c r="H100" i="4"/>
  <c r="I100" i="4"/>
  <c r="J100" i="4"/>
  <c r="B101" i="4"/>
  <c r="C101" i="4"/>
  <c r="D101" i="4"/>
  <c r="E101" i="4"/>
  <c r="F101" i="4"/>
  <c r="G101" i="4"/>
  <c r="H101" i="4"/>
  <c r="I101" i="4"/>
  <c r="J101" i="4"/>
  <c r="B102" i="4"/>
  <c r="C102" i="4"/>
  <c r="D102" i="4"/>
  <c r="E102" i="4"/>
  <c r="F102" i="4"/>
  <c r="G102" i="4"/>
  <c r="H102" i="4"/>
  <c r="I102" i="4"/>
  <c r="J102" i="4"/>
  <c r="B103" i="4"/>
  <c r="C103" i="4"/>
  <c r="D103" i="4"/>
  <c r="E103" i="4"/>
  <c r="F103" i="4"/>
  <c r="G103" i="4"/>
  <c r="H103" i="4"/>
  <c r="I103" i="4"/>
  <c r="J103" i="4"/>
  <c r="B104" i="4"/>
  <c r="C104" i="4"/>
  <c r="D104" i="4"/>
  <c r="E104" i="4"/>
  <c r="F104" i="4"/>
  <c r="G104" i="4"/>
  <c r="H104" i="4"/>
  <c r="I104" i="4"/>
  <c r="J104" i="4"/>
  <c r="B105" i="4"/>
  <c r="C105" i="4"/>
  <c r="D105" i="4"/>
  <c r="E105" i="4"/>
  <c r="F105" i="4"/>
  <c r="G105" i="4"/>
  <c r="H105" i="4"/>
  <c r="I105" i="4"/>
  <c r="J105" i="4"/>
  <c r="B106" i="4"/>
  <c r="C106" i="4"/>
  <c r="D106" i="4"/>
  <c r="E106" i="4"/>
  <c r="F106" i="4"/>
  <c r="G106" i="4"/>
  <c r="H106" i="4"/>
  <c r="I106" i="4"/>
  <c r="J106" i="4"/>
  <c r="B107" i="4"/>
  <c r="C107" i="4"/>
  <c r="D107" i="4"/>
  <c r="E107" i="4"/>
  <c r="F107" i="4"/>
  <c r="G107" i="4"/>
  <c r="H107" i="4"/>
  <c r="I107" i="4"/>
  <c r="J107" i="4"/>
  <c r="B108" i="4"/>
  <c r="C108" i="4"/>
  <c r="D108" i="4"/>
  <c r="E108" i="4"/>
  <c r="F108" i="4"/>
  <c r="G108" i="4"/>
  <c r="H108" i="4"/>
  <c r="I108" i="4"/>
  <c r="J108" i="4"/>
  <c r="B109" i="4"/>
  <c r="C109" i="4"/>
  <c r="D109" i="4"/>
  <c r="E109" i="4"/>
  <c r="F109" i="4"/>
  <c r="G109" i="4"/>
  <c r="H109" i="4"/>
  <c r="I109" i="4"/>
  <c r="J109" i="4"/>
  <c r="B110" i="4"/>
  <c r="C110" i="4"/>
  <c r="D110" i="4"/>
  <c r="E110" i="4"/>
  <c r="F110" i="4"/>
  <c r="G110" i="4"/>
  <c r="H110" i="4"/>
  <c r="I110" i="4"/>
  <c r="J110" i="4"/>
  <c r="B111" i="4"/>
  <c r="C111" i="4"/>
  <c r="D111" i="4"/>
  <c r="E111" i="4"/>
  <c r="F111" i="4"/>
  <c r="G111" i="4"/>
  <c r="H111" i="4"/>
  <c r="I111" i="4"/>
  <c r="J111" i="4"/>
  <c r="B112" i="4"/>
  <c r="C112" i="4"/>
  <c r="D112" i="4"/>
  <c r="E112" i="4"/>
  <c r="F112" i="4"/>
  <c r="G112" i="4"/>
  <c r="H112" i="4"/>
  <c r="I112" i="4"/>
  <c r="J112" i="4"/>
  <c r="B113" i="4"/>
  <c r="C113" i="4"/>
  <c r="D113" i="4"/>
  <c r="E113" i="4"/>
  <c r="F113" i="4"/>
  <c r="G113" i="4"/>
  <c r="H113" i="4"/>
  <c r="I113" i="4"/>
  <c r="J113" i="4"/>
  <c r="B114" i="4"/>
  <c r="C114" i="4"/>
  <c r="D114" i="4"/>
  <c r="E114" i="4"/>
  <c r="F114" i="4"/>
  <c r="G114" i="4"/>
  <c r="H114" i="4"/>
  <c r="I114" i="4"/>
  <c r="J114" i="4"/>
  <c r="B115" i="4"/>
  <c r="C115" i="4"/>
  <c r="D115" i="4"/>
  <c r="E115" i="4"/>
  <c r="F115" i="4"/>
  <c r="G115" i="4"/>
  <c r="H115" i="4"/>
  <c r="I115" i="4"/>
  <c r="J115" i="4"/>
  <c r="B116" i="4"/>
  <c r="C116" i="4"/>
  <c r="D116" i="4"/>
  <c r="E116" i="4"/>
  <c r="F116" i="4"/>
  <c r="G116" i="4"/>
  <c r="H116" i="4"/>
  <c r="I116" i="4"/>
  <c r="J116" i="4"/>
  <c r="B117" i="4"/>
  <c r="C117" i="4"/>
  <c r="D117" i="4"/>
  <c r="E117" i="4"/>
  <c r="F117" i="4"/>
  <c r="G117" i="4"/>
  <c r="H117" i="4"/>
  <c r="I117" i="4"/>
  <c r="J117" i="4"/>
  <c r="B118" i="4"/>
  <c r="C118" i="4"/>
  <c r="D118" i="4"/>
  <c r="E118" i="4"/>
  <c r="F118" i="4"/>
  <c r="G118" i="4"/>
  <c r="H118" i="4"/>
  <c r="I118" i="4"/>
  <c r="J118" i="4"/>
  <c r="B119" i="4"/>
  <c r="C119" i="4"/>
  <c r="D119" i="4"/>
  <c r="E119" i="4"/>
  <c r="F119" i="4"/>
  <c r="G119" i="4"/>
  <c r="H119" i="4"/>
  <c r="I119" i="4"/>
  <c r="J119" i="4"/>
  <c r="B120" i="4"/>
  <c r="C120" i="4"/>
  <c r="D120" i="4"/>
  <c r="E120" i="4"/>
  <c r="F120" i="4"/>
  <c r="G120" i="4"/>
  <c r="H120" i="4"/>
  <c r="I120" i="4"/>
  <c r="J120" i="4"/>
  <c r="B121" i="4"/>
  <c r="C121" i="4"/>
  <c r="D121" i="4"/>
  <c r="E121" i="4"/>
  <c r="F121" i="4"/>
  <c r="G121" i="4"/>
  <c r="H121" i="4"/>
  <c r="I121" i="4"/>
  <c r="J121" i="4"/>
  <c r="B122" i="4"/>
  <c r="C122" i="4"/>
  <c r="D122" i="4"/>
  <c r="E122" i="4"/>
  <c r="F122" i="4"/>
  <c r="G122" i="4"/>
  <c r="H122" i="4"/>
  <c r="I122" i="4"/>
  <c r="J122" i="4"/>
  <c r="B123" i="4"/>
  <c r="C123" i="4"/>
  <c r="D123" i="4"/>
  <c r="E123" i="4"/>
  <c r="F123" i="4"/>
  <c r="G123" i="4"/>
  <c r="H123" i="4"/>
  <c r="I123" i="4"/>
  <c r="J123" i="4"/>
  <c r="B124" i="4"/>
  <c r="C124" i="4"/>
  <c r="D124" i="4"/>
  <c r="E124" i="4"/>
  <c r="F124" i="4"/>
  <c r="G124" i="4"/>
  <c r="H124" i="4"/>
  <c r="I124" i="4"/>
  <c r="J124" i="4"/>
  <c r="B125" i="4"/>
  <c r="C125" i="4"/>
  <c r="D125" i="4"/>
  <c r="E125" i="4"/>
  <c r="F125" i="4"/>
  <c r="G125" i="4"/>
  <c r="H125" i="4"/>
  <c r="I125" i="4"/>
  <c r="J125" i="4"/>
  <c r="B126" i="4"/>
  <c r="C126" i="4"/>
  <c r="D126" i="4"/>
  <c r="E126" i="4"/>
  <c r="F126" i="4"/>
  <c r="G126" i="4"/>
  <c r="H126" i="4"/>
  <c r="I126" i="4"/>
  <c r="J126" i="4"/>
  <c r="B127" i="4"/>
  <c r="C127" i="4"/>
  <c r="D127" i="4"/>
  <c r="E127" i="4"/>
  <c r="F127" i="4"/>
  <c r="G127" i="4"/>
  <c r="H127" i="4"/>
  <c r="I127" i="4"/>
  <c r="J127" i="4"/>
  <c r="B128" i="4"/>
  <c r="C128" i="4"/>
  <c r="D128" i="4"/>
  <c r="E128" i="4"/>
  <c r="F128" i="4"/>
  <c r="G128" i="4"/>
  <c r="H128" i="4"/>
  <c r="I128" i="4"/>
  <c r="J128" i="4"/>
  <c r="B129" i="4"/>
  <c r="C129" i="4"/>
  <c r="D129" i="4"/>
  <c r="E129" i="4"/>
  <c r="F129" i="4"/>
  <c r="G129" i="4"/>
  <c r="H129" i="4"/>
  <c r="I129" i="4"/>
  <c r="J129" i="4"/>
  <c r="B130" i="4"/>
  <c r="C130" i="4"/>
  <c r="D130" i="4"/>
  <c r="E130" i="4"/>
  <c r="F130" i="4"/>
  <c r="G130" i="4"/>
  <c r="H130" i="4"/>
  <c r="I130" i="4"/>
  <c r="J130" i="4"/>
  <c r="B131" i="4"/>
  <c r="C131" i="4"/>
  <c r="D131" i="4"/>
  <c r="E131" i="4"/>
  <c r="F131" i="4"/>
  <c r="G131" i="4"/>
  <c r="H131" i="4"/>
  <c r="I131" i="4"/>
  <c r="J131" i="4"/>
  <c r="B132" i="4"/>
  <c r="C132" i="4"/>
  <c r="D132" i="4"/>
  <c r="E132" i="4"/>
  <c r="F132" i="4"/>
  <c r="G132" i="4"/>
  <c r="H132" i="4"/>
  <c r="I132" i="4"/>
  <c r="J132" i="4"/>
  <c r="B133" i="4"/>
  <c r="C133" i="4"/>
  <c r="D133" i="4"/>
  <c r="E133" i="4"/>
  <c r="F133" i="4"/>
  <c r="G133" i="4"/>
  <c r="H133" i="4"/>
  <c r="I133" i="4"/>
  <c r="J133" i="4"/>
  <c r="B134" i="4"/>
  <c r="C134" i="4"/>
  <c r="D134" i="4"/>
  <c r="E134" i="4"/>
  <c r="F134" i="4"/>
  <c r="G134" i="4"/>
  <c r="H134" i="4"/>
  <c r="I134" i="4"/>
  <c r="J134" i="4"/>
  <c r="B135" i="4"/>
  <c r="C135" i="4"/>
  <c r="D135" i="4"/>
  <c r="E135" i="4"/>
  <c r="F135" i="4"/>
  <c r="G135" i="4"/>
  <c r="H135" i="4"/>
  <c r="I135" i="4"/>
  <c r="J135" i="4"/>
  <c r="B136" i="4"/>
  <c r="C136" i="4"/>
  <c r="D136" i="4"/>
  <c r="E136" i="4"/>
  <c r="F136" i="4"/>
  <c r="G136" i="4"/>
  <c r="H136" i="4"/>
  <c r="I136" i="4"/>
  <c r="J136" i="4"/>
  <c r="B137" i="4"/>
  <c r="C137" i="4"/>
  <c r="D137" i="4"/>
  <c r="E137" i="4"/>
  <c r="F137" i="4"/>
  <c r="G137" i="4"/>
  <c r="H137" i="4"/>
  <c r="I137" i="4"/>
  <c r="J137" i="4"/>
  <c r="B138" i="4"/>
  <c r="C138" i="4"/>
  <c r="D138" i="4"/>
  <c r="E138" i="4"/>
  <c r="F138" i="4"/>
  <c r="G138" i="4"/>
  <c r="H138" i="4"/>
  <c r="I138" i="4"/>
  <c r="J138" i="4"/>
  <c r="B139" i="4"/>
  <c r="C139" i="4"/>
  <c r="D139" i="4"/>
  <c r="E139" i="4"/>
  <c r="F139" i="4"/>
  <c r="G139" i="4"/>
  <c r="H139" i="4"/>
  <c r="I139" i="4"/>
  <c r="J139" i="4"/>
  <c r="B140" i="4"/>
  <c r="C140" i="4"/>
  <c r="D140" i="4"/>
  <c r="E140" i="4"/>
  <c r="F140" i="4"/>
  <c r="G140" i="4"/>
  <c r="H140" i="4"/>
  <c r="I140" i="4"/>
  <c r="J140" i="4"/>
  <c r="B141" i="4"/>
  <c r="C141" i="4"/>
  <c r="D141" i="4"/>
  <c r="E141" i="4"/>
  <c r="F141" i="4"/>
  <c r="G141" i="4"/>
  <c r="H141" i="4"/>
  <c r="I141" i="4"/>
  <c r="J141" i="4"/>
  <c r="B142" i="4"/>
  <c r="C142" i="4"/>
  <c r="D142" i="4"/>
  <c r="E142" i="4"/>
  <c r="F142" i="4"/>
  <c r="G142" i="4"/>
  <c r="H142" i="4"/>
  <c r="I142" i="4"/>
  <c r="J142" i="4"/>
  <c r="B143" i="4"/>
  <c r="C143" i="4"/>
  <c r="D143" i="4"/>
  <c r="E143" i="4"/>
  <c r="F143" i="4"/>
  <c r="G143" i="4"/>
  <c r="H143" i="4"/>
  <c r="I143" i="4"/>
  <c r="J143" i="4"/>
  <c r="B144" i="4"/>
  <c r="C144" i="4"/>
  <c r="D144" i="4"/>
  <c r="E144" i="4"/>
  <c r="F144" i="4"/>
  <c r="G144" i="4"/>
  <c r="H144" i="4"/>
  <c r="I144" i="4"/>
  <c r="J144" i="4"/>
  <c r="B145" i="4"/>
  <c r="C145" i="4"/>
  <c r="D145" i="4"/>
  <c r="E145" i="4"/>
  <c r="F145" i="4"/>
  <c r="G145" i="4"/>
  <c r="H145" i="4"/>
  <c r="I145" i="4"/>
  <c r="J145" i="4"/>
  <c r="B146" i="4"/>
  <c r="C146" i="4"/>
  <c r="D146" i="4"/>
  <c r="E146" i="4"/>
  <c r="F146" i="4"/>
  <c r="G146" i="4"/>
  <c r="H146" i="4"/>
  <c r="I146" i="4"/>
  <c r="J146" i="4"/>
  <c r="B147" i="4"/>
  <c r="C147" i="4"/>
  <c r="D147" i="4"/>
  <c r="E147" i="4"/>
  <c r="F147" i="4"/>
  <c r="G147" i="4"/>
  <c r="H147" i="4"/>
  <c r="I147" i="4"/>
  <c r="J147" i="4"/>
  <c r="B148" i="4"/>
  <c r="C148" i="4"/>
  <c r="D148" i="4"/>
  <c r="E148" i="4"/>
  <c r="F148" i="4"/>
  <c r="G148" i="4"/>
  <c r="H148" i="4"/>
  <c r="I148" i="4"/>
  <c r="J148" i="4"/>
  <c r="B149" i="4"/>
  <c r="C149" i="4"/>
  <c r="D149" i="4"/>
  <c r="E149" i="4"/>
  <c r="F149" i="4"/>
  <c r="G149" i="4"/>
  <c r="H149" i="4"/>
  <c r="I149" i="4"/>
  <c r="J149" i="4"/>
  <c r="B150" i="4"/>
  <c r="C150" i="4"/>
  <c r="D150" i="4"/>
  <c r="E150" i="4"/>
  <c r="F150" i="4"/>
  <c r="G150" i="4"/>
  <c r="H150" i="4"/>
  <c r="I150" i="4"/>
  <c r="J150" i="4"/>
  <c r="B151" i="4"/>
  <c r="C151" i="4"/>
  <c r="D151" i="4"/>
  <c r="E151" i="4"/>
  <c r="F151" i="4"/>
  <c r="G151" i="4"/>
  <c r="H151" i="4"/>
  <c r="I151" i="4"/>
  <c r="J151" i="4"/>
  <c r="B152" i="4"/>
  <c r="C152" i="4"/>
  <c r="D152" i="4"/>
  <c r="E152" i="4"/>
  <c r="F152" i="4"/>
  <c r="G152" i="4"/>
  <c r="H152" i="4"/>
  <c r="I152" i="4"/>
  <c r="J152" i="4"/>
  <c r="B153" i="4"/>
  <c r="C153" i="4"/>
  <c r="D153" i="4"/>
  <c r="E153" i="4"/>
  <c r="F153" i="4"/>
  <c r="G153" i="4"/>
  <c r="H153" i="4"/>
  <c r="I153" i="4"/>
  <c r="J153" i="4"/>
  <c r="B154" i="4"/>
  <c r="C154" i="4"/>
  <c r="D154" i="4"/>
  <c r="E154" i="4"/>
  <c r="F154" i="4"/>
  <c r="G154" i="4"/>
  <c r="H154" i="4"/>
  <c r="I154" i="4"/>
  <c r="J154" i="4"/>
  <c r="B155" i="4"/>
  <c r="C155" i="4"/>
  <c r="D155" i="4"/>
  <c r="E155" i="4"/>
  <c r="F155" i="4"/>
  <c r="G155" i="4"/>
  <c r="H155" i="4"/>
  <c r="I155" i="4"/>
  <c r="J155" i="4"/>
  <c r="B156" i="4"/>
  <c r="C156" i="4"/>
  <c r="D156" i="4"/>
  <c r="E156" i="4"/>
  <c r="F156" i="4"/>
  <c r="G156" i="4"/>
  <c r="H156" i="4"/>
  <c r="I156" i="4"/>
  <c r="J156" i="4"/>
  <c r="B157" i="4"/>
  <c r="C157" i="4"/>
  <c r="D157" i="4"/>
  <c r="E157" i="4"/>
  <c r="F157" i="4"/>
  <c r="G157" i="4"/>
  <c r="H157" i="4"/>
  <c r="I157" i="4"/>
  <c r="J157" i="4"/>
  <c r="B158" i="4"/>
  <c r="C158" i="4"/>
  <c r="D158" i="4"/>
  <c r="E158" i="4"/>
  <c r="F158" i="4"/>
  <c r="G158" i="4"/>
  <c r="H158" i="4"/>
  <c r="I158" i="4"/>
  <c r="J158" i="4"/>
  <c r="B159" i="4"/>
  <c r="C159" i="4"/>
  <c r="D159" i="4"/>
  <c r="E159" i="4"/>
  <c r="F159" i="4"/>
  <c r="G159" i="4"/>
  <c r="H159" i="4"/>
  <c r="I159" i="4"/>
  <c r="J159" i="4"/>
  <c r="B160" i="4"/>
  <c r="C160" i="4"/>
  <c r="D160" i="4"/>
  <c r="E160" i="4"/>
  <c r="F160" i="4"/>
  <c r="G160" i="4"/>
  <c r="H160" i="4"/>
  <c r="I160" i="4"/>
  <c r="J160" i="4"/>
  <c r="B161" i="4"/>
  <c r="C161" i="4"/>
  <c r="D161" i="4"/>
  <c r="E161" i="4"/>
  <c r="F161" i="4"/>
  <c r="G161" i="4"/>
  <c r="H161" i="4"/>
  <c r="I161" i="4"/>
  <c r="J161" i="4"/>
  <c r="B162" i="4"/>
  <c r="C162" i="4"/>
  <c r="D162" i="4"/>
  <c r="E162" i="4"/>
  <c r="F162" i="4"/>
  <c r="G162" i="4"/>
  <c r="H162" i="4"/>
  <c r="I162" i="4"/>
  <c r="J162" i="4"/>
  <c r="B163" i="4"/>
  <c r="C163" i="4"/>
  <c r="D163" i="4"/>
  <c r="E163" i="4"/>
  <c r="F163" i="4"/>
  <c r="G163" i="4"/>
  <c r="H163" i="4"/>
  <c r="I163" i="4"/>
  <c r="J163" i="4"/>
  <c r="B164" i="4"/>
  <c r="C164" i="4"/>
  <c r="D164" i="4"/>
  <c r="E164" i="4"/>
  <c r="F164" i="4"/>
  <c r="G164" i="4"/>
  <c r="H164" i="4"/>
  <c r="I164" i="4"/>
  <c r="J164" i="4"/>
  <c r="B165" i="4"/>
  <c r="C165" i="4"/>
  <c r="D165" i="4"/>
  <c r="E165" i="4"/>
  <c r="F165" i="4"/>
  <c r="G165" i="4"/>
  <c r="H165" i="4"/>
  <c r="I165" i="4"/>
  <c r="J165" i="4"/>
  <c r="B166" i="4"/>
  <c r="C166" i="4"/>
  <c r="D166" i="4"/>
  <c r="E166" i="4"/>
  <c r="F166" i="4"/>
  <c r="G166" i="4"/>
  <c r="H166" i="4"/>
  <c r="I166" i="4"/>
  <c r="J166" i="4"/>
  <c r="B167" i="4"/>
  <c r="C167" i="4"/>
  <c r="D167" i="4"/>
  <c r="E167" i="4"/>
  <c r="F167" i="4"/>
  <c r="G167" i="4"/>
  <c r="H167" i="4"/>
  <c r="I167" i="4"/>
  <c r="J167" i="4"/>
  <c r="B168" i="4"/>
  <c r="C168" i="4"/>
  <c r="D168" i="4"/>
  <c r="E168" i="4"/>
  <c r="F168" i="4"/>
  <c r="G168" i="4"/>
  <c r="H168" i="4"/>
  <c r="I168" i="4"/>
  <c r="J168" i="4"/>
  <c r="B169" i="4"/>
  <c r="C169" i="4"/>
  <c r="D169" i="4"/>
  <c r="E169" i="4"/>
  <c r="F169" i="4"/>
  <c r="G169" i="4"/>
  <c r="H169" i="4"/>
  <c r="I169" i="4"/>
  <c r="J169" i="4"/>
  <c r="B170" i="4"/>
  <c r="C170" i="4"/>
  <c r="D170" i="4"/>
  <c r="E170" i="4"/>
  <c r="F170" i="4"/>
  <c r="G170" i="4"/>
  <c r="H170" i="4"/>
  <c r="I170" i="4"/>
  <c r="J170" i="4"/>
  <c r="B171" i="4"/>
  <c r="C171" i="4"/>
  <c r="D171" i="4"/>
  <c r="E171" i="4"/>
  <c r="F171" i="4"/>
  <c r="G171" i="4"/>
  <c r="H171" i="4"/>
  <c r="I171" i="4"/>
  <c r="J171" i="4"/>
  <c r="B172" i="4"/>
  <c r="C172" i="4"/>
  <c r="D172" i="4"/>
  <c r="E172" i="4"/>
  <c r="F172" i="4"/>
  <c r="G172" i="4"/>
  <c r="H172" i="4"/>
  <c r="I172" i="4"/>
  <c r="J172" i="4"/>
  <c r="B173" i="4"/>
  <c r="C173" i="4"/>
  <c r="D173" i="4"/>
  <c r="E173" i="4"/>
  <c r="F173" i="4"/>
  <c r="G173" i="4"/>
  <c r="H173" i="4"/>
  <c r="I173" i="4"/>
  <c r="J173" i="4"/>
  <c r="B174" i="4"/>
  <c r="C174" i="4"/>
  <c r="D174" i="4"/>
  <c r="E174" i="4"/>
  <c r="F174" i="4"/>
  <c r="G174" i="4"/>
  <c r="H174" i="4"/>
  <c r="I174" i="4"/>
  <c r="J174" i="4"/>
  <c r="B175" i="4"/>
  <c r="C175" i="4"/>
  <c r="D175" i="4"/>
  <c r="E175" i="4"/>
  <c r="F175" i="4"/>
  <c r="G175" i="4"/>
  <c r="H175" i="4"/>
  <c r="I175" i="4"/>
  <c r="J175" i="4"/>
  <c r="B176" i="4"/>
  <c r="C176" i="4"/>
  <c r="D176" i="4"/>
  <c r="E176" i="4"/>
  <c r="F176" i="4"/>
  <c r="G176" i="4"/>
  <c r="H176" i="4"/>
  <c r="I176" i="4"/>
  <c r="J176" i="4"/>
  <c r="B177" i="4"/>
  <c r="C177" i="4"/>
  <c r="D177" i="4"/>
  <c r="E177" i="4"/>
  <c r="F177" i="4"/>
  <c r="G177" i="4"/>
  <c r="H177" i="4"/>
  <c r="I177" i="4"/>
  <c r="J177" i="4"/>
  <c r="B178" i="4"/>
  <c r="C178" i="4"/>
  <c r="D178" i="4"/>
  <c r="E178" i="4"/>
  <c r="F178" i="4"/>
  <c r="G178" i="4"/>
  <c r="H178" i="4"/>
  <c r="I178" i="4"/>
  <c r="J178" i="4"/>
  <c r="B179" i="4"/>
  <c r="C179" i="4"/>
  <c r="D179" i="4"/>
  <c r="E179" i="4"/>
  <c r="F179" i="4"/>
  <c r="G179" i="4"/>
  <c r="H179" i="4"/>
  <c r="I179" i="4"/>
  <c r="J179" i="4"/>
  <c r="B180" i="4"/>
  <c r="C180" i="4"/>
  <c r="D180" i="4"/>
  <c r="E180" i="4"/>
  <c r="F180" i="4"/>
  <c r="G180" i="4"/>
  <c r="H180" i="4"/>
  <c r="I180" i="4"/>
  <c r="J180" i="4"/>
  <c r="B181" i="4"/>
  <c r="C181" i="4"/>
  <c r="D181" i="4"/>
  <c r="E181" i="4"/>
  <c r="F181" i="4"/>
  <c r="G181" i="4"/>
  <c r="H181" i="4"/>
  <c r="I181" i="4"/>
  <c r="J181" i="4"/>
  <c r="B182" i="4"/>
  <c r="C182" i="4"/>
  <c r="D182" i="4"/>
  <c r="E182" i="4"/>
  <c r="F182" i="4"/>
  <c r="G182" i="4"/>
  <c r="H182" i="4"/>
  <c r="I182" i="4"/>
  <c r="J182" i="4"/>
  <c r="B183" i="4"/>
  <c r="C183" i="4"/>
  <c r="D183" i="4"/>
  <c r="E183" i="4"/>
  <c r="F183" i="4"/>
  <c r="G183" i="4"/>
  <c r="H183" i="4"/>
  <c r="I183" i="4"/>
  <c r="J183" i="4"/>
  <c r="B184" i="4"/>
  <c r="C184" i="4"/>
  <c r="D184" i="4"/>
  <c r="E184" i="4"/>
  <c r="F184" i="4"/>
  <c r="G184" i="4"/>
  <c r="H184" i="4"/>
  <c r="I184" i="4"/>
  <c r="J184" i="4"/>
  <c r="B185" i="4"/>
  <c r="C185" i="4"/>
  <c r="D185" i="4"/>
  <c r="E185" i="4"/>
  <c r="F185" i="4"/>
  <c r="G185" i="4"/>
  <c r="H185" i="4"/>
  <c r="I185" i="4"/>
  <c r="J185" i="4"/>
  <c r="B186" i="4"/>
  <c r="C186" i="4"/>
  <c r="D186" i="4"/>
  <c r="E186" i="4"/>
  <c r="F186" i="4"/>
  <c r="G186" i="4"/>
  <c r="H186" i="4"/>
  <c r="I186" i="4"/>
  <c r="J186" i="4"/>
  <c r="B187" i="4"/>
  <c r="C187" i="4"/>
  <c r="D187" i="4"/>
  <c r="E187" i="4"/>
  <c r="F187" i="4"/>
  <c r="G187" i="4"/>
  <c r="H187" i="4"/>
  <c r="I187" i="4"/>
  <c r="J187" i="4"/>
  <c r="B188" i="4"/>
  <c r="C188" i="4"/>
  <c r="D188" i="4"/>
  <c r="E188" i="4"/>
  <c r="F188" i="4"/>
  <c r="G188" i="4"/>
  <c r="H188" i="4"/>
  <c r="I188" i="4"/>
  <c r="J188" i="4"/>
  <c r="B189" i="4"/>
  <c r="C189" i="4"/>
  <c r="D189" i="4"/>
  <c r="E189" i="4"/>
  <c r="F189" i="4"/>
  <c r="G189" i="4"/>
  <c r="H189" i="4"/>
  <c r="I189" i="4"/>
  <c r="J189" i="4"/>
  <c r="B190" i="4"/>
  <c r="C190" i="4"/>
  <c r="D190" i="4"/>
  <c r="E190" i="4"/>
  <c r="F190" i="4"/>
  <c r="G190" i="4"/>
  <c r="H190" i="4"/>
  <c r="I190" i="4"/>
  <c r="J190" i="4"/>
  <c r="B191" i="4"/>
  <c r="C191" i="4"/>
  <c r="D191" i="4"/>
  <c r="E191" i="4"/>
  <c r="F191" i="4"/>
  <c r="G191" i="4"/>
  <c r="H191" i="4"/>
  <c r="I191" i="4"/>
  <c r="J191" i="4"/>
  <c r="B192" i="4"/>
  <c r="C192" i="4"/>
  <c r="D192" i="4"/>
  <c r="E192" i="4"/>
  <c r="F192" i="4"/>
  <c r="G192" i="4"/>
  <c r="H192" i="4"/>
  <c r="I192" i="4"/>
  <c r="J192" i="4"/>
  <c r="B193" i="4"/>
  <c r="C193" i="4"/>
  <c r="D193" i="4"/>
  <c r="E193" i="4"/>
  <c r="F193" i="4"/>
  <c r="G193" i="4"/>
  <c r="H193" i="4"/>
  <c r="I193" i="4"/>
  <c r="J193" i="4"/>
  <c r="B194" i="4"/>
  <c r="C194" i="4"/>
  <c r="D194" i="4"/>
  <c r="E194" i="4"/>
  <c r="F194" i="4"/>
  <c r="G194" i="4"/>
  <c r="H194" i="4"/>
  <c r="I194" i="4"/>
  <c r="J194" i="4"/>
  <c r="B195" i="4"/>
  <c r="C195" i="4"/>
  <c r="D195" i="4"/>
  <c r="E195" i="4"/>
  <c r="F195" i="4"/>
  <c r="G195" i="4"/>
  <c r="H195" i="4"/>
  <c r="I195" i="4"/>
  <c r="J195" i="4"/>
  <c r="B196" i="4"/>
  <c r="C196" i="4"/>
  <c r="D196" i="4"/>
  <c r="E196" i="4"/>
  <c r="F196" i="4"/>
  <c r="G196" i="4"/>
  <c r="H196" i="4"/>
  <c r="I196" i="4"/>
  <c r="J196" i="4"/>
  <c r="B197" i="4"/>
  <c r="C197" i="4"/>
  <c r="D197" i="4"/>
  <c r="E197" i="4"/>
  <c r="F197" i="4"/>
  <c r="G197" i="4"/>
  <c r="H197" i="4"/>
  <c r="I197" i="4"/>
  <c r="J197" i="4"/>
  <c r="B198" i="4"/>
  <c r="C198" i="4"/>
  <c r="D198" i="4"/>
  <c r="E198" i="4"/>
  <c r="F198" i="4"/>
  <c r="G198" i="4"/>
  <c r="H198" i="4"/>
  <c r="I198" i="4"/>
  <c r="J198" i="4"/>
  <c r="B199" i="4"/>
  <c r="C199" i="4"/>
  <c r="D199" i="4"/>
  <c r="E199" i="4"/>
  <c r="F199" i="4"/>
  <c r="G199" i="4"/>
  <c r="H199" i="4"/>
  <c r="I199" i="4"/>
  <c r="J199" i="4"/>
  <c r="B200" i="4"/>
  <c r="C200" i="4"/>
  <c r="D200" i="4"/>
  <c r="E200" i="4"/>
  <c r="F200" i="4"/>
  <c r="G200" i="4"/>
  <c r="H200" i="4"/>
  <c r="I200" i="4"/>
  <c r="J200" i="4"/>
  <c r="B201" i="4"/>
  <c r="C201" i="4"/>
  <c r="D201" i="4"/>
  <c r="E201" i="4"/>
  <c r="F201" i="4"/>
  <c r="G201" i="4"/>
  <c r="H201" i="4"/>
  <c r="I201" i="4"/>
  <c r="J201" i="4"/>
  <c r="B202" i="4"/>
  <c r="C202" i="4"/>
  <c r="D202" i="4"/>
  <c r="E202" i="4"/>
  <c r="F202" i="4"/>
  <c r="G202" i="4"/>
  <c r="H202" i="4"/>
  <c r="I202" i="4"/>
  <c r="J202" i="4"/>
  <c r="B203" i="4"/>
  <c r="C203" i="4"/>
  <c r="D203" i="4"/>
  <c r="E203" i="4"/>
  <c r="F203" i="4"/>
  <c r="G203" i="4"/>
  <c r="H203" i="4"/>
  <c r="I203" i="4"/>
  <c r="J203" i="4"/>
  <c r="B204" i="4"/>
  <c r="C204" i="4"/>
  <c r="D204" i="4"/>
  <c r="E204" i="4"/>
  <c r="F204" i="4"/>
  <c r="G204" i="4"/>
  <c r="H204" i="4"/>
  <c r="I204" i="4"/>
  <c r="J204" i="4"/>
  <c r="B205" i="4"/>
  <c r="C205" i="4"/>
  <c r="D205" i="4"/>
  <c r="E205" i="4"/>
  <c r="F205" i="4"/>
  <c r="G205" i="4"/>
  <c r="H205" i="4"/>
  <c r="I205" i="4"/>
  <c r="J205" i="4"/>
  <c r="B206" i="4"/>
  <c r="C206" i="4"/>
  <c r="D206" i="4"/>
  <c r="E206" i="4"/>
  <c r="F206" i="4"/>
  <c r="G206" i="4"/>
  <c r="H206" i="4"/>
  <c r="I206" i="4"/>
  <c r="J206" i="4"/>
  <c r="B207" i="4"/>
  <c r="C207" i="4"/>
  <c r="D207" i="4"/>
  <c r="E207" i="4"/>
  <c r="F207" i="4"/>
  <c r="G207" i="4"/>
  <c r="H207" i="4"/>
  <c r="I207" i="4"/>
  <c r="J207" i="4"/>
  <c r="B208" i="4"/>
  <c r="C208" i="4"/>
  <c r="D208" i="4"/>
  <c r="E208" i="4"/>
  <c r="F208" i="4"/>
  <c r="G208" i="4"/>
  <c r="H208" i="4"/>
  <c r="I208" i="4"/>
  <c r="J208" i="4"/>
  <c r="B209" i="4"/>
  <c r="C209" i="4"/>
  <c r="D209" i="4"/>
  <c r="E209" i="4"/>
  <c r="F209" i="4"/>
  <c r="G209" i="4"/>
  <c r="H209" i="4"/>
  <c r="I209" i="4"/>
  <c r="J209" i="4"/>
  <c r="B210" i="4"/>
  <c r="C210" i="4"/>
  <c r="D210" i="4"/>
  <c r="E210" i="4"/>
  <c r="F210" i="4"/>
  <c r="G210" i="4"/>
  <c r="H210" i="4"/>
  <c r="I210" i="4"/>
  <c r="J210" i="4"/>
  <c r="B211" i="4"/>
  <c r="C211" i="4"/>
  <c r="D211" i="4"/>
  <c r="E211" i="4"/>
  <c r="F211" i="4"/>
  <c r="G211" i="4"/>
  <c r="H211" i="4"/>
  <c r="I211" i="4"/>
  <c r="J211" i="4"/>
  <c r="B212" i="4"/>
  <c r="C212" i="4"/>
  <c r="D212" i="4"/>
  <c r="E212" i="4"/>
  <c r="F212" i="4"/>
  <c r="G212" i="4"/>
  <c r="H212" i="4"/>
  <c r="I212" i="4"/>
  <c r="J212" i="4"/>
  <c r="B213" i="4"/>
  <c r="C213" i="4"/>
  <c r="D213" i="4"/>
  <c r="E213" i="4"/>
  <c r="F213" i="4"/>
  <c r="G213" i="4"/>
  <c r="H213" i="4"/>
  <c r="I213" i="4"/>
  <c r="J213" i="4"/>
  <c r="B214" i="4"/>
  <c r="C214" i="4"/>
  <c r="D214" i="4"/>
  <c r="E214" i="4"/>
  <c r="F214" i="4"/>
  <c r="G214" i="4"/>
  <c r="H214" i="4"/>
  <c r="I214" i="4"/>
  <c r="J214" i="4"/>
  <c r="B215" i="4"/>
  <c r="C215" i="4"/>
  <c r="D215" i="4"/>
  <c r="E215" i="4"/>
  <c r="F215" i="4"/>
  <c r="G215" i="4"/>
  <c r="H215" i="4"/>
  <c r="I215" i="4"/>
  <c r="J215" i="4"/>
  <c r="B216" i="4"/>
  <c r="C216" i="4"/>
  <c r="D216" i="4"/>
  <c r="E216" i="4"/>
  <c r="F216" i="4"/>
  <c r="G216" i="4"/>
  <c r="H216" i="4"/>
  <c r="I216" i="4"/>
  <c r="J216" i="4"/>
  <c r="B217" i="4"/>
  <c r="C217" i="4"/>
  <c r="D217" i="4"/>
  <c r="E217" i="4"/>
  <c r="F217" i="4"/>
  <c r="G217" i="4"/>
  <c r="H217" i="4"/>
  <c r="I217" i="4"/>
  <c r="J217" i="4"/>
  <c r="B218" i="4"/>
  <c r="C218" i="4"/>
  <c r="D218" i="4"/>
  <c r="E218" i="4"/>
  <c r="F218" i="4"/>
  <c r="G218" i="4"/>
  <c r="H218" i="4"/>
  <c r="I218" i="4"/>
  <c r="J218" i="4"/>
  <c r="B219" i="4"/>
  <c r="C219" i="4"/>
  <c r="D219" i="4"/>
  <c r="E219" i="4"/>
  <c r="F219" i="4"/>
  <c r="G219" i="4"/>
  <c r="H219" i="4"/>
  <c r="I219" i="4"/>
  <c r="J219" i="4"/>
  <c r="B220" i="4"/>
  <c r="C220" i="4"/>
  <c r="D220" i="4"/>
  <c r="E220" i="4"/>
  <c r="F220" i="4"/>
  <c r="G220" i="4"/>
  <c r="H220" i="4"/>
  <c r="I220" i="4"/>
  <c r="J220" i="4"/>
  <c r="B221" i="4"/>
  <c r="C221" i="4"/>
  <c r="D221" i="4"/>
  <c r="E221" i="4"/>
  <c r="F221" i="4"/>
  <c r="G221" i="4"/>
  <c r="H221" i="4"/>
  <c r="I221" i="4"/>
  <c r="J221" i="4"/>
  <c r="B222" i="4"/>
  <c r="C222" i="4"/>
  <c r="D222" i="4"/>
  <c r="E222" i="4"/>
  <c r="F222" i="4"/>
  <c r="G222" i="4"/>
  <c r="H222" i="4"/>
  <c r="I222" i="4"/>
  <c r="J222" i="4"/>
  <c r="B223" i="4"/>
  <c r="C223" i="4"/>
  <c r="D223" i="4"/>
  <c r="E223" i="4"/>
  <c r="F223" i="4"/>
  <c r="G223" i="4"/>
  <c r="H223" i="4"/>
  <c r="I223" i="4"/>
  <c r="J223" i="4"/>
  <c r="B224" i="4"/>
  <c r="C224" i="4"/>
  <c r="D224" i="4"/>
  <c r="E224" i="4"/>
  <c r="F224" i="4"/>
  <c r="G224" i="4"/>
  <c r="H224" i="4"/>
  <c r="I224" i="4"/>
  <c r="J224" i="4"/>
  <c r="B225" i="4"/>
  <c r="C225" i="4"/>
  <c r="D225" i="4"/>
  <c r="E225" i="4"/>
  <c r="F225" i="4"/>
  <c r="G225" i="4"/>
  <c r="H225" i="4"/>
  <c r="I225" i="4"/>
  <c r="J225" i="4"/>
  <c r="B226" i="4"/>
  <c r="C226" i="4"/>
  <c r="D226" i="4"/>
  <c r="E226" i="4"/>
  <c r="F226" i="4"/>
  <c r="G226" i="4"/>
  <c r="H226" i="4"/>
  <c r="I226" i="4"/>
  <c r="J226" i="4"/>
  <c r="B227" i="4"/>
  <c r="C227" i="4"/>
  <c r="D227" i="4"/>
  <c r="E227" i="4"/>
  <c r="F227" i="4"/>
  <c r="G227" i="4"/>
  <c r="H227" i="4"/>
  <c r="I227" i="4"/>
  <c r="J227" i="4"/>
  <c r="B228" i="4"/>
  <c r="C228" i="4"/>
  <c r="D228" i="4"/>
  <c r="E228" i="4"/>
  <c r="F228" i="4"/>
  <c r="G228" i="4"/>
  <c r="H228" i="4"/>
  <c r="I228" i="4"/>
  <c r="J228" i="4"/>
  <c r="B229" i="4"/>
  <c r="C229" i="4"/>
  <c r="D229" i="4"/>
  <c r="E229" i="4"/>
  <c r="F229" i="4"/>
  <c r="G229" i="4"/>
  <c r="H229" i="4"/>
  <c r="I229" i="4"/>
  <c r="J229" i="4"/>
  <c r="B230" i="4"/>
  <c r="C230" i="4"/>
  <c r="D230" i="4"/>
  <c r="E230" i="4"/>
  <c r="F230" i="4"/>
  <c r="G230" i="4"/>
  <c r="H230" i="4"/>
  <c r="I230" i="4"/>
  <c r="J230" i="4"/>
  <c r="B231" i="4"/>
  <c r="C231" i="4"/>
  <c r="D231" i="4"/>
  <c r="E231" i="4"/>
  <c r="F231" i="4"/>
  <c r="G231" i="4"/>
  <c r="H231" i="4"/>
  <c r="I231" i="4"/>
  <c r="J231" i="4"/>
  <c r="B232" i="4"/>
  <c r="C232" i="4"/>
  <c r="D232" i="4"/>
  <c r="E232" i="4"/>
  <c r="F232" i="4"/>
  <c r="G232" i="4"/>
  <c r="H232" i="4"/>
  <c r="I232" i="4"/>
  <c r="J232" i="4"/>
  <c r="B233" i="4"/>
  <c r="C233" i="4"/>
  <c r="D233" i="4"/>
  <c r="E233" i="4"/>
  <c r="F233" i="4"/>
  <c r="G233" i="4"/>
  <c r="H233" i="4"/>
  <c r="I233" i="4"/>
  <c r="J233" i="4"/>
  <c r="B234" i="4"/>
  <c r="C234" i="4"/>
  <c r="D234" i="4"/>
  <c r="E234" i="4"/>
  <c r="F234" i="4"/>
  <c r="G234" i="4"/>
  <c r="H234" i="4"/>
  <c r="I234" i="4"/>
  <c r="J234" i="4"/>
  <c r="B235" i="4"/>
  <c r="C235" i="4"/>
  <c r="D235" i="4"/>
  <c r="E235" i="4"/>
  <c r="F235" i="4"/>
  <c r="G235" i="4"/>
  <c r="H235" i="4"/>
  <c r="I235" i="4"/>
  <c r="J235" i="4"/>
  <c r="B236" i="4"/>
  <c r="C236" i="4"/>
  <c r="D236" i="4"/>
  <c r="E236" i="4"/>
  <c r="F236" i="4"/>
  <c r="G236" i="4"/>
  <c r="H236" i="4"/>
  <c r="I236" i="4"/>
  <c r="J236" i="4"/>
  <c r="B237" i="4"/>
  <c r="C237" i="4"/>
  <c r="D237" i="4"/>
  <c r="E237" i="4"/>
  <c r="F237" i="4"/>
  <c r="G237" i="4"/>
  <c r="H237" i="4"/>
  <c r="I237" i="4"/>
  <c r="J237" i="4"/>
  <c r="B238" i="4"/>
  <c r="C238" i="4"/>
  <c r="D238" i="4"/>
  <c r="E238" i="4"/>
  <c r="F238" i="4"/>
  <c r="G238" i="4"/>
  <c r="H238" i="4"/>
  <c r="I238" i="4"/>
  <c r="J238" i="4"/>
  <c r="B239" i="4"/>
  <c r="C239" i="4"/>
  <c r="D239" i="4"/>
  <c r="E239" i="4"/>
  <c r="F239" i="4"/>
  <c r="G239" i="4"/>
  <c r="H239" i="4"/>
  <c r="I239" i="4"/>
  <c r="J239" i="4"/>
  <c r="B240" i="4"/>
  <c r="C240" i="4"/>
  <c r="D240" i="4"/>
  <c r="E240" i="4"/>
  <c r="F240" i="4"/>
  <c r="G240" i="4"/>
  <c r="H240" i="4"/>
  <c r="I240" i="4"/>
  <c r="J240" i="4"/>
  <c r="B241" i="4"/>
  <c r="C241" i="4"/>
  <c r="D241" i="4"/>
  <c r="E241" i="4"/>
  <c r="F241" i="4"/>
  <c r="G241" i="4"/>
  <c r="H241" i="4"/>
  <c r="I241" i="4"/>
  <c r="J241" i="4"/>
  <c r="B242" i="4"/>
  <c r="C242" i="4"/>
  <c r="D242" i="4"/>
  <c r="E242" i="4"/>
  <c r="F242" i="4"/>
  <c r="G242" i="4"/>
  <c r="H242" i="4"/>
  <c r="I242" i="4"/>
  <c r="J242" i="4"/>
  <c r="B243" i="4"/>
  <c r="C243" i="4"/>
  <c r="D243" i="4"/>
  <c r="E243" i="4"/>
  <c r="F243" i="4"/>
  <c r="G243" i="4"/>
  <c r="H243" i="4"/>
  <c r="I243" i="4"/>
  <c r="J243" i="4"/>
  <c r="B244" i="4"/>
  <c r="C244" i="4"/>
  <c r="D244" i="4"/>
  <c r="E244" i="4"/>
  <c r="F244" i="4"/>
  <c r="G244" i="4"/>
  <c r="H244" i="4"/>
  <c r="I244" i="4"/>
  <c r="J244" i="4"/>
  <c r="B245" i="4"/>
  <c r="C245" i="4"/>
  <c r="D245" i="4"/>
  <c r="E245" i="4"/>
  <c r="F245" i="4"/>
  <c r="G245" i="4"/>
  <c r="H245" i="4"/>
  <c r="I245" i="4"/>
  <c r="J245" i="4"/>
  <c r="B246" i="4"/>
  <c r="C246" i="4"/>
  <c r="D246" i="4"/>
  <c r="E246" i="4"/>
  <c r="F246" i="4"/>
  <c r="G246" i="4"/>
  <c r="H246" i="4"/>
  <c r="I246" i="4"/>
  <c r="J246" i="4"/>
  <c r="B247" i="4"/>
  <c r="C247" i="4"/>
  <c r="D247" i="4"/>
  <c r="E247" i="4"/>
  <c r="F247" i="4"/>
  <c r="G247" i="4"/>
  <c r="H247" i="4"/>
  <c r="I247" i="4"/>
  <c r="J247" i="4"/>
  <c r="B248" i="4"/>
  <c r="C248" i="4"/>
  <c r="D248" i="4"/>
  <c r="E248" i="4"/>
  <c r="F248" i="4"/>
  <c r="G248" i="4"/>
  <c r="H248" i="4"/>
  <c r="I248" i="4"/>
  <c r="J248" i="4"/>
  <c r="B249" i="4"/>
  <c r="C249" i="4"/>
  <c r="D249" i="4"/>
  <c r="E249" i="4"/>
  <c r="F249" i="4"/>
  <c r="G249" i="4"/>
  <c r="H249" i="4"/>
  <c r="I249" i="4"/>
  <c r="J249" i="4"/>
  <c r="B250" i="4"/>
  <c r="C250" i="4"/>
  <c r="D250" i="4"/>
  <c r="E250" i="4"/>
  <c r="F250" i="4"/>
  <c r="G250" i="4"/>
  <c r="H250" i="4"/>
  <c r="I250" i="4"/>
  <c r="J250" i="4"/>
  <c r="B251" i="4"/>
  <c r="C251" i="4"/>
  <c r="D251" i="4"/>
  <c r="E251" i="4"/>
  <c r="F251" i="4"/>
  <c r="G251" i="4"/>
  <c r="H251" i="4"/>
  <c r="I251" i="4"/>
  <c r="J251" i="4"/>
  <c r="B252" i="4"/>
  <c r="C252" i="4"/>
  <c r="D252" i="4"/>
  <c r="E252" i="4"/>
  <c r="F252" i="4"/>
  <c r="G252" i="4"/>
  <c r="H252" i="4"/>
  <c r="I252" i="4"/>
  <c r="J252" i="4"/>
  <c r="B253" i="4"/>
  <c r="C253" i="4"/>
  <c r="D253" i="4"/>
  <c r="E253" i="4"/>
  <c r="F253" i="4"/>
  <c r="G253" i="4"/>
  <c r="H253" i="4"/>
  <c r="I253" i="4"/>
  <c r="J253" i="4"/>
  <c r="B254" i="4"/>
  <c r="C254" i="4"/>
  <c r="D254" i="4"/>
  <c r="E254" i="4"/>
  <c r="F254" i="4"/>
  <c r="G254" i="4"/>
  <c r="H254" i="4"/>
  <c r="I254" i="4"/>
  <c r="J254" i="4"/>
  <c r="B255" i="4"/>
  <c r="C255" i="4"/>
  <c r="D255" i="4"/>
  <c r="E255" i="4"/>
  <c r="F255" i="4"/>
  <c r="G255" i="4"/>
  <c r="H255" i="4"/>
  <c r="I255" i="4"/>
  <c r="J255" i="4"/>
  <c r="B256" i="4"/>
  <c r="C256" i="4"/>
  <c r="D256" i="4"/>
  <c r="E256" i="4"/>
  <c r="F256" i="4"/>
  <c r="G256" i="4"/>
  <c r="H256" i="4"/>
  <c r="I256" i="4"/>
  <c r="J256" i="4"/>
  <c r="B257" i="4"/>
  <c r="C257" i="4"/>
  <c r="D257" i="4"/>
  <c r="E257" i="4"/>
  <c r="F257" i="4"/>
  <c r="G257" i="4"/>
  <c r="H257" i="4"/>
  <c r="I257" i="4"/>
  <c r="J257" i="4"/>
  <c r="J1089" i="4" s="1"/>
  <c r="B258" i="4"/>
  <c r="C258" i="4"/>
  <c r="D258" i="4"/>
  <c r="E258" i="4"/>
  <c r="F258" i="4"/>
  <c r="G258" i="4"/>
  <c r="H258" i="4"/>
  <c r="I258" i="4"/>
  <c r="J258" i="4"/>
  <c r="B259" i="4"/>
  <c r="C259" i="4"/>
  <c r="D259" i="4"/>
  <c r="E259" i="4"/>
  <c r="F259" i="4"/>
  <c r="G259" i="4"/>
  <c r="H259" i="4"/>
  <c r="I259" i="4"/>
  <c r="J259" i="4"/>
  <c r="B260" i="4"/>
  <c r="C260" i="4"/>
  <c r="D260" i="4"/>
  <c r="E260" i="4"/>
  <c r="F260" i="4"/>
  <c r="G260" i="4"/>
  <c r="H260" i="4"/>
  <c r="I260" i="4"/>
  <c r="J260" i="4"/>
  <c r="B261" i="4"/>
  <c r="C261" i="4"/>
  <c r="D261" i="4"/>
  <c r="E261" i="4"/>
  <c r="F261" i="4"/>
  <c r="G261" i="4"/>
  <c r="H261" i="4"/>
  <c r="I261" i="4"/>
  <c r="J261" i="4"/>
  <c r="B262" i="4"/>
  <c r="C262" i="4"/>
  <c r="D262" i="4"/>
  <c r="E262" i="4"/>
  <c r="F262" i="4"/>
  <c r="G262" i="4"/>
  <c r="H262" i="4"/>
  <c r="I262" i="4"/>
  <c r="J262" i="4"/>
  <c r="B263" i="4"/>
  <c r="C263" i="4"/>
  <c r="D263" i="4"/>
  <c r="E263" i="4"/>
  <c r="F263" i="4"/>
  <c r="G263" i="4"/>
  <c r="H263" i="4"/>
  <c r="I263" i="4"/>
  <c r="J263" i="4"/>
  <c r="B264" i="4"/>
  <c r="C264" i="4"/>
  <c r="D264" i="4"/>
  <c r="E264" i="4"/>
  <c r="F264" i="4"/>
  <c r="G264" i="4"/>
  <c r="H264" i="4"/>
  <c r="I264" i="4"/>
  <c r="J264" i="4"/>
  <c r="B265" i="4"/>
  <c r="C265" i="4"/>
  <c r="D265" i="4"/>
  <c r="E265" i="4"/>
  <c r="F265" i="4"/>
  <c r="G265" i="4"/>
  <c r="H265" i="4"/>
  <c r="I265" i="4"/>
  <c r="J265" i="4"/>
  <c r="B266" i="4"/>
  <c r="C266" i="4"/>
  <c r="D266" i="4"/>
  <c r="E266" i="4"/>
  <c r="F266" i="4"/>
  <c r="G266" i="4"/>
  <c r="H266" i="4"/>
  <c r="I266" i="4"/>
  <c r="J266" i="4"/>
  <c r="B267" i="4"/>
  <c r="C267" i="4"/>
  <c r="D267" i="4"/>
  <c r="E267" i="4"/>
  <c r="F267" i="4"/>
  <c r="G267" i="4"/>
  <c r="H267" i="4"/>
  <c r="I267" i="4"/>
  <c r="J267" i="4"/>
  <c r="B268" i="4"/>
  <c r="C268" i="4"/>
  <c r="D268" i="4"/>
  <c r="E268" i="4"/>
  <c r="F268" i="4"/>
  <c r="G268" i="4"/>
  <c r="H268" i="4"/>
  <c r="I268" i="4"/>
  <c r="J268" i="4"/>
  <c r="B269" i="4"/>
  <c r="C269" i="4"/>
  <c r="D269" i="4"/>
  <c r="E269" i="4"/>
  <c r="F269" i="4"/>
  <c r="G269" i="4"/>
  <c r="H269" i="4"/>
  <c r="I269" i="4"/>
  <c r="J269" i="4"/>
  <c r="B270" i="4"/>
  <c r="C270" i="4"/>
  <c r="D270" i="4"/>
  <c r="E270" i="4"/>
  <c r="F270" i="4"/>
  <c r="G270" i="4"/>
  <c r="H270" i="4"/>
  <c r="I270" i="4"/>
  <c r="J270" i="4"/>
  <c r="B271" i="4"/>
  <c r="C271" i="4"/>
  <c r="D271" i="4"/>
  <c r="E271" i="4"/>
  <c r="F271" i="4"/>
  <c r="G271" i="4"/>
  <c r="H271" i="4"/>
  <c r="I271" i="4"/>
  <c r="J271" i="4"/>
  <c r="B272" i="4"/>
  <c r="C272" i="4"/>
  <c r="D272" i="4"/>
  <c r="E272" i="4"/>
  <c r="F272" i="4"/>
  <c r="G272" i="4"/>
  <c r="H272" i="4"/>
  <c r="I272" i="4"/>
  <c r="J272" i="4"/>
  <c r="B273" i="4"/>
  <c r="C273" i="4"/>
  <c r="D273" i="4"/>
  <c r="E273" i="4"/>
  <c r="F273" i="4"/>
  <c r="G273" i="4"/>
  <c r="H273" i="4"/>
  <c r="I273" i="4"/>
  <c r="J273" i="4"/>
  <c r="B274" i="4"/>
  <c r="C274" i="4"/>
  <c r="D274" i="4"/>
  <c r="E274" i="4"/>
  <c r="F274" i="4"/>
  <c r="G274" i="4"/>
  <c r="H274" i="4"/>
  <c r="I274" i="4"/>
  <c r="J274" i="4"/>
  <c r="B275" i="4"/>
  <c r="C275" i="4"/>
  <c r="D275" i="4"/>
  <c r="E275" i="4"/>
  <c r="F275" i="4"/>
  <c r="G275" i="4"/>
  <c r="H275" i="4"/>
  <c r="I275" i="4"/>
  <c r="J275" i="4"/>
  <c r="B276" i="4"/>
  <c r="C276" i="4"/>
  <c r="D276" i="4"/>
  <c r="E276" i="4"/>
  <c r="F276" i="4"/>
  <c r="G276" i="4"/>
  <c r="H276" i="4"/>
  <c r="I276" i="4"/>
  <c r="J276" i="4"/>
  <c r="B277" i="4"/>
  <c r="C277" i="4"/>
  <c r="D277" i="4"/>
  <c r="E277" i="4"/>
  <c r="F277" i="4"/>
  <c r="G277" i="4"/>
  <c r="H277" i="4"/>
  <c r="I277" i="4"/>
  <c r="J277" i="4"/>
  <c r="J1091" i="4" s="1"/>
  <c r="B278" i="4"/>
  <c r="C278" i="4"/>
  <c r="D278" i="4"/>
  <c r="E278" i="4"/>
  <c r="F278" i="4"/>
  <c r="G278" i="4"/>
  <c r="H278" i="4"/>
  <c r="I278" i="4"/>
  <c r="J278" i="4"/>
  <c r="B279" i="4"/>
  <c r="C279" i="4"/>
  <c r="D279" i="4"/>
  <c r="E279" i="4"/>
  <c r="F279" i="4"/>
  <c r="G279" i="4"/>
  <c r="H279" i="4"/>
  <c r="I279" i="4"/>
  <c r="J279" i="4"/>
  <c r="B280" i="4"/>
  <c r="C280" i="4"/>
  <c r="D280" i="4"/>
  <c r="E280" i="4"/>
  <c r="F280" i="4"/>
  <c r="G280" i="4"/>
  <c r="H280" i="4"/>
  <c r="I280" i="4"/>
  <c r="J280" i="4"/>
  <c r="B281" i="4"/>
  <c r="C281" i="4"/>
  <c r="D281" i="4"/>
  <c r="E281" i="4"/>
  <c r="F281" i="4"/>
  <c r="G281" i="4"/>
  <c r="H281" i="4"/>
  <c r="I281" i="4"/>
  <c r="J281" i="4"/>
  <c r="B282" i="4"/>
  <c r="C282" i="4"/>
  <c r="D282" i="4"/>
  <c r="E282" i="4"/>
  <c r="F282" i="4"/>
  <c r="G282" i="4"/>
  <c r="H282" i="4"/>
  <c r="I282" i="4"/>
  <c r="J282" i="4"/>
  <c r="B283" i="4"/>
  <c r="C283" i="4"/>
  <c r="D283" i="4"/>
  <c r="E283" i="4"/>
  <c r="F283" i="4"/>
  <c r="G283" i="4"/>
  <c r="H283" i="4"/>
  <c r="I283" i="4"/>
  <c r="J283" i="4"/>
  <c r="B284" i="4"/>
  <c r="C284" i="4"/>
  <c r="D284" i="4"/>
  <c r="E284" i="4"/>
  <c r="F284" i="4"/>
  <c r="G284" i="4"/>
  <c r="H284" i="4"/>
  <c r="I284" i="4"/>
  <c r="J284" i="4"/>
  <c r="B285" i="4"/>
  <c r="C285" i="4"/>
  <c r="D285" i="4"/>
  <c r="E285" i="4"/>
  <c r="F285" i="4"/>
  <c r="G285" i="4"/>
  <c r="H285" i="4"/>
  <c r="I285" i="4"/>
  <c r="J285" i="4"/>
  <c r="B286" i="4"/>
  <c r="C286" i="4"/>
  <c r="D286" i="4"/>
  <c r="E286" i="4"/>
  <c r="F286" i="4"/>
  <c r="G286" i="4"/>
  <c r="H286" i="4"/>
  <c r="I286" i="4"/>
  <c r="J286" i="4"/>
  <c r="B287" i="4"/>
  <c r="C287" i="4"/>
  <c r="D287" i="4"/>
  <c r="E287" i="4"/>
  <c r="F287" i="4"/>
  <c r="G287" i="4"/>
  <c r="H287" i="4"/>
  <c r="I287" i="4"/>
  <c r="J287" i="4"/>
  <c r="B288" i="4"/>
  <c r="C288" i="4"/>
  <c r="D288" i="4"/>
  <c r="E288" i="4"/>
  <c r="F288" i="4"/>
  <c r="G288" i="4"/>
  <c r="H288" i="4"/>
  <c r="I288" i="4"/>
  <c r="J288" i="4"/>
  <c r="B289" i="4"/>
  <c r="C289" i="4"/>
  <c r="D289" i="4"/>
  <c r="E289" i="4"/>
  <c r="F289" i="4"/>
  <c r="G289" i="4"/>
  <c r="H289" i="4"/>
  <c r="I289" i="4"/>
  <c r="J289" i="4"/>
  <c r="B290" i="4"/>
  <c r="C290" i="4"/>
  <c r="D290" i="4"/>
  <c r="E290" i="4"/>
  <c r="F290" i="4"/>
  <c r="G290" i="4"/>
  <c r="H290" i="4"/>
  <c r="I290" i="4"/>
  <c r="J290" i="4"/>
  <c r="B291" i="4"/>
  <c r="C291" i="4"/>
  <c r="D291" i="4"/>
  <c r="E291" i="4"/>
  <c r="F291" i="4"/>
  <c r="G291" i="4"/>
  <c r="H291" i="4"/>
  <c r="I291" i="4"/>
  <c r="J291" i="4"/>
  <c r="B292" i="4"/>
  <c r="C292" i="4"/>
  <c r="D292" i="4"/>
  <c r="E292" i="4"/>
  <c r="F292" i="4"/>
  <c r="G292" i="4"/>
  <c r="H292" i="4"/>
  <c r="I292" i="4"/>
  <c r="J292" i="4"/>
  <c r="B293" i="4"/>
  <c r="C293" i="4"/>
  <c r="D293" i="4"/>
  <c r="E293" i="4"/>
  <c r="F293" i="4"/>
  <c r="G293" i="4"/>
  <c r="H293" i="4"/>
  <c r="I293" i="4"/>
  <c r="J293" i="4"/>
  <c r="B294" i="4"/>
  <c r="C294" i="4"/>
  <c r="D294" i="4"/>
  <c r="E294" i="4"/>
  <c r="F294" i="4"/>
  <c r="G294" i="4"/>
  <c r="H294" i="4"/>
  <c r="I294" i="4"/>
  <c r="J294" i="4"/>
  <c r="B295" i="4"/>
  <c r="C295" i="4"/>
  <c r="D295" i="4"/>
  <c r="E295" i="4"/>
  <c r="F295" i="4"/>
  <c r="G295" i="4"/>
  <c r="H295" i="4"/>
  <c r="I295" i="4"/>
  <c r="J295" i="4"/>
  <c r="B296" i="4"/>
  <c r="C296" i="4"/>
  <c r="D296" i="4"/>
  <c r="E296" i="4"/>
  <c r="F296" i="4"/>
  <c r="G296" i="4"/>
  <c r="H296" i="4"/>
  <c r="I296" i="4"/>
  <c r="J296" i="4"/>
  <c r="B297" i="4"/>
  <c r="C297" i="4"/>
  <c r="D297" i="4"/>
  <c r="E297" i="4"/>
  <c r="F297" i="4"/>
  <c r="G297" i="4"/>
  <c r="H297" i="4"/>
  <c r="I297" i="4"/>
  <c r="J297" i="4"/>
  <c r="B298" i="4"/>
  <c r="C298" i="4"/>
  <c r="D298" i="4"/>
  <c r="E298" i="4"/>
  <c r="F298" i="4"/>
  <c r="G298" i="4"/>
  <c r="H298" i="4"/>
  <c r="I298" i="4"/>
  <c r="J298" i="4"/>
  <c r="B299" i="4"/>
  <c r="C299" i="4"/>
  <c r="D299" i="4"/>
  <c r="E299" i="4"/>
  <c r="F299" i="4"/>
  <c r="G299" i="4"/>
  <c r="H299" i="4"/>
  <c r="I299" i="4"/>
  <c r="J299" i="4"/>
  <c r="B300" i="4"/>
  <c r="C300" i="4"/>
  <c r="D300" i="4"/>
  <c r="E300" i="4"/>
  <c r="F300" i="4"/>
  <c r="G300" i="4"/>
  <c r="H300" i="4"/>
  <c r="I300" i="4"/>
  <c r="J300" i="4"/>
  <c r="B301" i="4"/>
  <c r="C301" i="4"/>
  <c r="D301" i="4"/>
  <c r="E301" i="4"/>
  <c r="F301" i="4"/>
  <c r="G301" i="4"/>
  <c r="H301" i="4"/>
  <c r="I301" i="4"/>
  <c r="J301" i="4"/>
  <c r="J1093" i="4" s="1"/>
  <c r="B302" i="4"/>
  <c r="C302" i="4"/>
  <c r="D302" i="4"/>
  <c r="E302" i="4"/>
  <c r="F302" i="4"/>
  <c r="G302" i="4"/>
  <c r="H302" i="4"/>
  <c r="I302" i="4"/>
  <c r="J302" i="4"/>
  <c r="B303" i="4"/>
  <c r="C303" i="4"/>
  <c r="D303" i="4"/>
  <c r="E303" i="4"/>
  <c r="F303" i="4"/>
  <c r="G303" i="4"/>
  <c r="H303" i="4"/>
  <c r="I303" i="4"/>
  <c r="J303" i="4"/>
  <c r="B304" i="4"/>
  <c r="C304" i="4"/>
  <c r="D304" i="4"/>
  <c r="E304" i="4"/>
  <c r="F304" i="4"/>
  <c r="G304" i="4"/>
  <c r="H304" i="4"/>
  <c r="I304" i="4"/>
  <c r="J304" i="4"/>
  <c r="B305" i="4"/>
  <c r="C305" i="4"/>
  <c r="D305" i="4"/>
  <c r="E305" i="4"/>
  <c r="F305" i="4"/>
  <c r="G305" i="4"/>
  <c r="H305" i="4"/>
  <c r="I305" i="4"/>
  <c r="J305" i="4"/>
  <c r="B306" i="4"/>
  <c r="C306" i="4"/>
  <c r="D306" i="4"/>
  <c r="E306" i="4"/>
  <c r="F306" i="4"/>
  <c r="G306" i="4"/>
  <c r="H306" i="4"/>
  <c r="I306" i="4"/>
  <c r="J306" i="4"/>
  <c r="B307" i="4"/>
  <c r="C307" i="4"/>
  <c r="D307" i="4"/>
  <c r="E307" i="4"/>
  <c r="F307" i="4"/>
  <c r="G307" i="4"/>
  <c r="H307" i="4"/>
  <c r="I307" i="4"/>
  <c r="J307" i="4"/>
  <c r="B308" i="4"/>
  <c r="C308" i="4"/>
  <c r="D308" i="4"/>
  <c r="E308" i="4"/>
  <c r="F308" i="4"/>
  <c r="G308" i="4"/>
  <c r="H308" i="4"/>
  <c r="I308" i="4"/>
  <c r="J308" i="4"/>
  <c r="B309" i="4"/>
  <c r="C309" i="4"/>
  <c r="D309" i="4"/>
  <c r="E309" i="4"/>
  <c r="F309" i="4"/>
  <c r="G309" i="4"/>
  <c r="H309" i="4"/>
  <c r="I309" i="4"/>
  <c r="J309" i="4"/>
  <c r="B310" i="4"/>
  <c r="C310" i="4"/>
  <c r="D310" i="4"/>
  <c r="E310" i="4"/>
  <c r="F310" i="4"/>
  <c r="G310" i="4"/>
  <c r="H310" i="4"/>
  <c r="I310" i="4"/>
  <c r="J310" i="4"/>
  <c r="B311" i="4"/>
  <c r="C311" i="4"/>
  <c r="D311" i="4"/>
  <c r="E311" i="4"/>
  <c r="F311" i="4"/>
  <c r="G311" i="4"/>
  <c r="H311" i="4"/>
  <c r="I311" i="4"/>
  <c r="J311" i="4"/>
  <c r="B312" i="4"/>
  <c r="C312" i="4"/>
  <c r="D312" i="4"/>
  <c r="E312" i="4"/>
  <c r="F312" i="4"/>
  <c r="G312" i="4"/>
  <c r="H312" i="4"/>
  <c r="I312" i="4"/>
  <c r="J312" i="4"/>
  <c r="B313" i="4"/>
  <c r="C313" i="4"/>
  <c r="D313" i="4"/>
  <c r="E313" i="4"/>
  <c r="F313" i="4"/>
  <c r="G313" i="4"/>
  <c r="H313" i="4"/>
  <c r="I313" i="4"/>
  <c r="J313" i="4"/>
  <c r="J1094" i="4" s="1"/>
  <c r="B314" i="4"/>
  <c r="C314" i="4"/>
  <c r="D314" i="4"/>
  <c r="E314" i="4"/>
  <c r="E1094" i="4" s="1"/>
  <c r="F314" i="4"/>
  <c r="G314" i="4"/>
  <c r="H314" i="4"/>
  <c r="I314" i="4"/>
  <c r="I1094" i="4" s="1"/>
  <c r="J314" i="4"/>
  <c r="B315" i="4"/>
  <c r="C315" i="4"/>
  <c r="D315" i="4"/>
  <c r="E315" i="4"/>
  <c r="F315" i="4"/>
  <c r="G315" i="4"/>
  <c r="H315" i="4"/>
  <c r="I315" i="4"/>
  <c r="J315" i="4"/>
  <c r="B316" i="4"/>
  <c r="C316" i="4"/>
  <c r="C1094" i="4" s="1"/>
  <c r="D316" i="4"/>
  <c r="E316" i="4"/>
  <c r="F316" i="4"/>
  <c r="G316" i="4"/>
  <c r="H316" i="4"/>
  <c r="I316" i="4"/>
  <c r="J316" i="4"/>
  <c r="B317" i="4"/>
  <c r="C317" i="4"/>
  <c r="D317" i="4"/>
  <c r="E317" i="4"/>
  <c r="F317" i="4"/>
  <c r="G317" i="4"/>
  <c r="H317" i="4"/>
  <c r="I317" i="4"/>
  <c r="J317" i="4"/>
  <c r="B318" i="4"/>
  <c r="C318" i="4"/>
  <c r="D318" i="4"/>
  <c r="E318" i="4"/>
  <c r="F318" i="4"/>
  <c r="G318" i="4"/>
  <c r="H318" i="4"/>
  <c r="I318" i="4"/>
  <c r="J318" i="4"/>
  <c r="B319" i="4"/>
  <c r="C319" i="4"/>
  <c r="D319" i="4"/>
  <c r="E319" i="4"/>
  <c r="F319" i="4"/>
  <c r="G319" i="4"/>
  <c r="H319" i="4"/>
  <c r="I319" i="4"/>
  <c r="J319" i="4"/>
  <c r="B320" i="4"/>
  <c r="C320" i="4"/>
  <c r="D320" i="4"/>
  <c r="E320" i="4"/>
  <c r="F320" i="4"/>
  <c r="G320" i="4"/>
  <c r="H320" i="4"/>
  <c r="I320" i="4"/>
  <c r="J320" i="4"/>
  <c r="B321" i="4"/>
  <c r="C321" i="4"/>
  <c r="D321" i="4"/>
  <c r="E321" i="4"/>
  <c r="F321" i="4"/>
  <c r="G321" i="4"/>
  <c r="H321" i="4"/>
  <c r="I321" i="4"/>
  <c r="J321" i="4"/>
  <c r="B322" i="4"/>
  <c r="C322" i="4"/>
  <c r="D322" i="4"/>
  <c r="E322" i="4"/>
  <c r="F322" i="4"/>
  <c r="G322" i="4"/>
  <c r="H322" i="4"/>
  <c r="I322" i="4"/>
  <c r="J322" i="4"/>
  <c r="B323" i="4"/>
  <c r="C323" i="4"/>
  <c r="D323" i="4"/>
  <c r="E323" i="4"/>
  <c r="F323" i="4"/>
  <c r="G323" i="4"/>
  <c r="H323" i="4"/>
  <c r="I323" i="4"/>
  <c r="J323" i="4"/>
  <c r="B324" i="4"/>
  <c r="C324" i="4"/>
  <c r="C1095" i="4" s="1"/>
  <c r="D324" i="4"/>
  <c r="E324" i="4"/>
  <c r="F324" i="4"/>
  <c r="G324" i="4"/>
  <c r="G1095" i="4" s="1"/>
  <c r="H324" i="4"/>
  <c r="I324" i="4"/>
  <c r="J324" i="4"/>
  <c r="B325" i="4"/>
  <c r="C325" i="4"/>
  <c r="D325" i="4"/>
  <c r="E325" i="4"/>
  <c r="F325" i="4"/>
  <c r="G325" i="4"/>
  <c r="H325" i="4"/>
  <c r="I325" i="4"/>
  <c r="J325" i="4"/>
  <c r="J1095" i="4" s="1"/>
  <c r="B326" i="4"/>
  <c r="C326" i="4"/>
  <c r="D326" i="4"/>
  <c r="E326" i="4"/>
  <c r="F326" i="4"/>
  <c r="G326" i="4"/>
  <c r="H326" i="4"/>
  <c r="I326" i="4"/>
  <c r="I1095" i="4" s="1"/>
  <c r="J326" i="4"/>
  <c r="B327" i="4"/>
  <c r="C327" i="4"/>
  <c r="D327" i="4"/>
  <c r="E327" i="4"/>
  <c r="F327" i="4"/>
  <c r="G327" i="4"/>
  <c r="H327" i="4"/>
  <c r="I327" i="4"/>
  <c r="J327" i="4"/>
  <c r="B328" i="4"/>
  <c r="C328" i="4"/>
  <c r="D328" i="4"/>
  <c r="E328" i="4"/>
  <c r="F328" i="4"/>
  <c r="G328" i="4"/>
  <c r="H328" i="4"/>
  <c r="I328" i="4"/>
  <c r="J328" i="4"/>
  <c r="B329" i="4"/>
  <c r="C329" i="4"/>
  <c r="D329" i="4"/>
  <c r="E329" i="4"/>
  <c r="F329" i="4"/>
  <c r="G329" i="4"/>
  <c r="H329" i="4"/>
  <c r="I329" i="4"/>
  <c r="J329" i="4"/>
  <c r="B330" i="4"/>
  <c r="C330" i="4"/>
  <c r="D330" i="4"/>
  <c r="E330" i="4"/>
  <c r="F330" i="4"/>
  <c r="G330" i="4"/>
  <c r="H330" i="4"/>
  <c r="I330" i="4"/>
  <c r="J330" i="4"/>
  <c r="B331" i="4"/>
  <c r="C331" i="4"/>
  <c r="D331" i="4"/>
  <c r="E331" i="4"/>
  <c r="F331" i="4"/>
  <c r="G331" i="4"/>
  <c r="H331" i="4"/>
  <c r="I331" i="4"/>
  <c r="J331" i="4"/>
  <c r="B332" i="4"/>
  <c r="C332" i="4"/>
  <c r="D332" i="4"/>
  <c r="E332" i="4"/>
  <c r="F332" i="4"/>
  <c r="G332" i="4"/>
  <c r="H332" i="4"/>
  <c r="I332" i="4"/>
  <c r="J332" i="4"/>
  <c r="B333" i="4"/>
  <c r="C333" i="4"/>
  <c r="D333" i="4"/>
  <c r="E333" i="4"/>
  <c r="F333" i="4"/>
  <c r="G333" i="4"/>
  <c r="H333" i="4"/>
  <c r="I333" i="4"/>
  <c r="J333" i="4"/>
  <c r="B334" i="4"/>
  <c r="C334" i="4"/>
  <c r="D334" i="4"/>
  <c r="E334" i="4"/>
  <c r="F334" i="4"/>
  <c r="G334" i="4"/>
  <c r="H334" i="4"/>
  <c r="I334" i="4"/>
  <c r="J334" i="4"/>
  <c r="B335" i="4"/>
  <c r="C335" i="4"/>
  <c r="D335" i="4"/>
  <c r="E335" i="4"/>
  <c r="F335" i="4"/>
  <c r="G335" i="4"/>
  <c r="H335" i="4"/>
  <c r="I335" i="4"/>
  <c r="J335" i="4"/>
  <c r="B336" i="4"/>
  <c r="C336" i="4"/>
  <c r="D336" i="4"/>
  <c r="E336" i="4"/>
  <c r="F336" i="4"/>
  <c r="G336" i="4"/>
  <c r="G1096" i="4" s="1"/>
  <c r="H336" i="4"/>
  <c r="I336" i="4"/>
  <c r="J336" i="4"/>
  <c r="B337" i="4"/>
  <c r="C337" i="4"/>
  <c r="D337" i="4"/>
  <c r="E337" i="4"/>
  <c r="F337" i="4"/>
  <c r="G337" i="4"/>
  <c r="H337" i="4"/>
  <c r="I337" i="4"/>
  <c r="J337" i="4"/>
  <c r="J1096" i="4" s="1"/>
  <c r="B338" i="4"/>
  <c r="C338" i="4"/>
  <c r="D338" i="4"/>
  <c r="E338" i="4"/>
  <c r="E1096" i="4" s="1"/>
  <c r="F338" i="4"/>
  <c r="G338" i="4"/>
  <c r="H338" i="4"/>
  <c r="I338" i="4"/>
  <c r="I1096" i="4" s="1"/>
  <c r="J338" i="4"/>
  <c r="B339" i="4"/>
  <c r="C339" i="4"/>
  <c r="D339" i="4"/>
  <c r="E339" i="4"/>
  <c r="F339" i="4"/>
  <c r="G339" i="4"/>
  <c r="H339" i="4"/>
  <c r="I339" i="4"/>
  <c r="J339" i="4"/>
  <c r="B340" i="4"/>
  <c r="C340" i="4"/>
  <c r="D340" i="4"/>
  <c r="E340" i="4"/>
  <c r="F340" i="4"/>
  <c r="G340" i="4"/>
  <c r="H340" i="4"/>
  <c r="I340" i="4"/>
  <c r="J340" i="4"/>
  <c r="B341" i="4"/>
  <c r="C341" i="4"/>
  <c r="D341" i="4"/>
  <c r="E341" i="4"/>
  <c r="F341" i="4"/>
  <c r="G341" i="4"/>
  <c r="H341" i="4"/>
  <c r="I341" i="4"/>
  <c r="J341" i="4"/>
  <c r="B342" i="4"/>
  <c r="C342" i="4"/>
  <c r="D342" i="4"/>
  <c r="E342" i="4"/>
  <c r="F342" i="4"/>
  <c r="G342" i="4"/>
  <c r="H342" i="4"/>
  <c r="I342" i="4"/>
  <c r="J342" i="4"/>
  <c r="B343" i="4"/>
  <c r="C343" i="4"/>
  <c r="D343" i="4"/>
  <c r="E343" i="4"/>
  <c r="F343" i="4"/>
  <c r="G343" i="4"/>
  <c r="H343" i="4"/>
  <c r="I343" i="4"/>
  <c r="J343" i="4"/>
  <c r="B344" i="4"/>
  <c r="C344" i="4"/>
  <c r="D344" i="4"/>
  <c r="E344" i="4"/>
  <c r="F344" i="4"/>
  <c r="G344" i="4"/>
  <c r="H344" i="4"/>
  <c r="I344" i="4"/>
  <c r="J344" i="4"/>
  <c r="B345" i="4"/>
  <c r="C345" i="4"/>
  <c r="D345" i="4"/>
  <c r="E345" i="4"/>
  <c r="F345" i="4"/>
  <c r="G345" i="4"/>
  <c r="H345" i="4"/>
  <c r="I345" i="4"/>
  <c r="J345" i="4"/>
  <c r="B346" i="4"/>
  <c r="C346" i="4"/>
  <c r="D346" i="4"/>
  <c r="E346" i="4"/>
  <c r="F346" i="4"/>
  <c r="G346" i="4"/>
  <c r="H346" i="4"/>
  <c r="I346" i="4"/>
  <c r="J346" i="4"/>
  <c r="B347" i="4"/>
  <c r="C347" i="4"/>
  <c r="D347" i="4"/>
  <c r="E347" i="4"/>
  <c r="F347" i="4"/>
  <c r="G347" i="4"/>
  <c r="H347" i="4"/>
  <c r="I347" i="4"/>
  <c r="J347" i="4"/>
  <c r="B348" i="4"/>
  <c r="C348" i="4"/>
  <c r="C1097" i="4" s="1"/>
  <c r="D348" i="4"/>
  <c r="E348" i="4"/>
  <c r="F348" i="4"/>
  <c r="G348" i="4"/>
  <c r="G1097" i="4" s="1"/>
  <c r="H348" i="4"/>
  <c r="I348" i="4"/>
  <c r="J348" i="4"/>
  <c r="B349" i="4"/>
  <c r="C349" i="4"/>
  <c r="D349" i="4"/>
  <c r="E349" i="4"/>
  <c r="F349" i="4"/>
  <c r="G349" i="4"/>
  <c r="H349" i="4"/>
  <c r="I349" i="4"/>
  <c r="J349" i="4"/>
  <c r="J1097" i="4" s="1"/>
  <c r="B350" i="4"/>
  <c r="C350" i="4"/>
  <c r="D350" i="4"/>
  <c r="E350" i="4"/>
  <c r="E1097" i="4" s="1"/>
  <c r="F350" i="4"/>
  <c r="G350" i="4"/>
  <c r="H350" i="4"/>
  <c r="I350" i="4"/>
  <c r="J350" i="4"/>
  <c r="B351" i="4"/>
  <c r="C351" i="4"/>
  <c r="D351" i="4"/>
  <c r="E351" i="4"/>
  <c r="F351" i="4"/>
  <c r="G351" i="4"/>
  <c r="H351" i="4"/>
  <c r="I351" i="4"/>
  <c r="J351" i="4"/>
  <c r="B352" i="4"/>
  <c r="C352" i="4"/>
  <c r="D352" i="4"/>
  <c r="E352" i="4"/>
  <c r="F352" i="4"/>
  <c r="G352" i="4"/>
  <c r="H352" i="4"/>
  <c r="I352" i="4"/>
  <c r="J352" i="4"/>
  <c r="B353" i="4"/>
  <c r="C353" i="4"/>
  <c r="D353" i="4"/>
  <c r="E353" i="4"/>
  <c r="F353" i="4"/>
  <c r="G353" i="4"/>
  <c r="H353" i="4"/>
  <c r="I353" i="4"/>
  <c r="J353" i="4"/>
  <c r="B354" i="4"/>
  <c r="C354" i="4"/>
  <c r="D354" i="4"/>
  <c r="E354" i="4"/>
  <c r="F354" i="4"/>
  <c r="G354" i="4"/>
  <c r="H354" i="4"/>
  <c r="I354" i="4"/>
  <c r="J354" i="4"/>
  <c r="B355" i="4"/>
  <c r="C355" i="4"/>
  <c r="D355" i="4"/>
  <c r="E355" i="4"/>
  <c r="F355" i="4"/>
  <c r="G355" i="4"/>
  <c r="H355" i="4"/>
  <c r="I355" i="4"/>
  <c r="J355" i="4"/>
  <c r="B356" i="4"/>
  <c r="C356" i="4"/>
  <c r="D356" i="4"/>
  <c r="E356" i="4"/>
  <c r="F356" i="4"/>
  <c r="G356" i="4"/>
  <c r="H356" i="4"/>
  <c r="I356" i="4"/>
  <c r="J356" i="4"/>
  <c r="B357" i="4"/>
  <c r="C357" i="4"/>
  <c r="D357" i="4"/>
  <c r="E357" i="4"/>
  <c r="F357" i="4"/>
  <c r="G357" i="4"/>
  <c r="H357" i="4"/>
  <c r="I357" i="4"/>
  <c r="J357" i="4"/>
  <c r="B358" i="4"/>
  <c r="C358" i="4"/>
  <c r="D358" i="4"/>
  <c r="E358" i="4"/>
  <c r="F358" i="4"/>
  <c r="G358" i="4"/>
  <c r="H358" i="4"/>
  <c r="I358" i="4"/>
  <c r="J358" i="4"/>
  <c r="B359" i="4"/>
  <c r="C359" i="4"/>
  <c r="D359" i="4"/>
  <c r="E359" i="4"/>
  <c r="F359" i="4"/>
  <c r="G359" i="4"/>
  <c r="H359" i="4"/>
  <c r="I359" i="4"/>
  <c r="J359" i="4"/>
  <c r="B360" i="4"/>
  <c r="C360" i="4"/>
  <c r="C1098" i="4" s="1"/>
  <c r="D360" i="4"/>
  <c r="E360" i="4"/>
  <c r="F360" i="4"/>
  <c r="G360" i="4"/>
  <c r="H360" i="4"/>
  <c r="I360" i="4"/>
  <c r="J360" i="4"/>
  <c r="B361" i="4"/>
  <c r="C361" i="4"/>
  <c r="D361" i="4"/>
  <c r="E361" i="4"/>
  <c r="F361" i="4"/>
  <c r="G361" i="4"/>
  <c r="H361" i="4"/>
  <c r="I361" i="4"/>
  <c r="J361" i="4"/>
  <c r="J1098" i="4" s="1"/>
  <c r="B362" i="4"/>
  <c r="C362" i="4"/>
  <c r="D362" i="4"/>
  <c r="E362" i="4"/>
  <c r="E1098" i="4" s="1"/>
  <c r="F362" i="4"/>
  <c r="G362" i="4"/>
  <c r="H362" i="4"/>
  <c r="I362" i="4"/>
  <c r="I1098" i="4" s="1"/>
  <c r="J362" i="4"/>
  <c r="B363" i="4"/>
  <c r="C363" i="4"/>
  <c r="D363" i="4"/>
  <c r="E363" i="4"/>
  <c r="F363" i="4"/>
  <c r="G363" i="4"/>
  <c r="H363" i="4"/>
  <c r="I363" i="4"/>
  <c r="J363" i="4"/>
  <c r="B364" i="4"/>
  <c r="C364" i="4"/>
  <c r="D364" i="4"/>
  <c r="E364" i="4"/>
  <c r="F364" i="4"/>
  <c r="G364" i="4"/>
  <c r="H364" i="4"/>
  <c r="I364" i="4"/>
  <c r="J364" i="4"/>
  <c r="B365" i="4"/>
  <c r="C365" i="4"/>
  <c r="D365" i="4"/>
  <c r="E365" i="4"/>
  <c r="F365" i="4"/>
  <c r="G365" i="4"/>
  <c r="H365" i="4"/>
  <c r="I365" i="4"/>
  <c r="J365" i="4"/>
  <c r="B366" i="4"/>
  <c r="C366" i="4"/>
  <c r="D366" i="4"/>
  <c r="E366" i="4"/>
  <c r="F366" i="4"/>
  <c r="G366" i="4"/>
  <c r="H366" i="4"/>
  <c r="I366" i="4"/>
  <c r="J366" i="4"/>
  <c r="B367" i="4"/>
  <c r="C367" i="4"/>
  <c r="D367" i="4"/>
  <c r="E367" i="4"/>
  <c r="F367" i="4"/>
  <c r="G367" i="4"/>
  <c r="H367" i="4"/>
  <c r="I367" i="4"/>
  <c r="J367" i="4"/>
  <c r="B368" i="4"/>
  <c r="C368" i="4"/>
  <c r="D368" i="4"/>
  <c r="E368" i="4"/>
  <c r="F368" i="4"/>
  <c r="G368" i="4"/>
  <c r="H368" i="4"/>
  <c r="I368" i="4"/>
  <c r="J368" i="4"/>
  <c r="B369" i="4"/>
  <c r="C369" i="4"/>
  <c r="D369" i="4"/>
  <c r="E369" i="4"/>
  <c r="F369" i="4"/>
  <c r="G369" i="4"/>
  <c r="H369" i="4"/>
  <c r="I369" i="4"/>
  <c r="J369" i="4"/>
  <c r="B370" i="4"/>
  <c r="C370" i="4"/>
  <c r="D370" i="4"/>
  <c r="E370" i="4"/>
  <c r="F370" i="4"/>
  <c r="G370" i="4"/>
  <c r="H370" i="4"/>
  <c r="I370" i="4"/>
  <c r="J370" i="4"/>
  <c r="B371" i="4"/>
  <c r="C371" i="4"/>
  <c r="D371" i="4"/>
  <c r="E371" i="4"/>
  <c r="F371" i="4"/>
  <c r="G371" i="4"/>
  <c r="H371" i="4"/>
  <c r="I371" i="4"/>
  <c r="J371" i="4"/>
  <c r="B372" i="4"/>
  <c r="C372" i="4"/>
  <c r="C1099" i="4" s="1"/>
  <c r="D372" i="4"/>
  <c r="E372" i="4"/>
  <c r="F372" i="4"/>
  <c r="G372" i="4"/>
  <c r="G1099" i="4" s="1"/>
  <c r="H372" i="4"/>
  <c r="I372" i="4"/>
  <c r="J372" i="4"/>
  <c r="B373" i="4"/>
  <c r="C373" i="4"/>
  <c r="D373" i="4"/>
  <c r="E373" i="4"/>
  <c r="F373" i="4"/>
  <c r="G373" i="4"/>
  <c r="H373" i="4"/>
  <c r="I373" i="4"/>
  <c r="J373" i="4"/>
  <c r="J1099" i="4" s="1"/>
  <c r="B374" i="4"/>
  <c r="C374" i="4"/>
  <c r="D374" i="4"/>
  <c r="E374" i="4"/>
  <c r="F374" i="4"/>
  <c r="G374" i="4"/>
  <c r="H374" i="4"/>
  <c r="I374" i="4"/>
  <c r="I1099" i="4" s="1"/>
  <c r="J374" i="4"/>
  <c r="B375" i="4"/>
  <c r="C375" i="4"/>
  <c r="D375" i="4"/>
  <c r="E375" i="4"/>
  <c r="F375" i="4"/>
  <c r="G375" i="4"/>
  <c r="H375" i="4"/>
  <c r="I375" i="4"/>
  <c r="J375" i="4"/>
  <c r="B376" i="4"/>
  <c r="C376" i="4"/>
  <c r="D376" i="4"/>
  <c r="E376" i="4"/>
  <c r="F376" i="4"/>
  <c r="G376" i="4"/>
  <c r="H376" i="4"/>
  <c r="I376" i="4"/>
  <c r="J376" i="4"/>
  <c r="B377" i="4"/>
  <c r="C377" i="4"/>
  <c r="D377" i="4"/>
  <c r="E377" i="4"/>
  <c r="F377" i="4"/>
  <c r="G377" i="4"/>
  <c r="H377" i="4"/>
  <c r="I377" i="4"/>
  <c r="J377" i="4"/>
  <c r="B378" i="4"/>
  <c r="C378" i="4"/>
  <c r="D378" i="4"/>
  <c r="E378" i="4"/>
  <c r="F378" i="4"/>
  <c r="G378" i="4"/>
  <c r="H378" i="4"/>
  <c r="I378" i="4"/>
  <c r="J378" i="4"/>
  <c r="B379" i="4"/>
  <c r="C379" i="4"/>
  <c r="D379" i="4"/>
  <c r="E379" i="4"/>
  <c r="F379" i="4"/>
  <c r="G379" i="4"/>
  <c r="H379" i="4"/>
  <c r="I379" i="4"/>
  <c r="J379" i="4"/>
  <c r="B380" i="4"/>
  <c r="C380" i="4"/>
  <c r="D380" i="4"/>
  <c r="E380" i="4"/>
  <c r="F380" i="4"/>
  <c r="G380" i="4"/>
  <c r="H380" i="4"/>
  <c r="I380" i="4"/>
  <c r="J380" i="4"/>
  <c r="B381" i="4"/>
  <c r="C381" i="4"/>
  <c r="D381" i="4"/>
  <c r="E381" i="4"/>
  <c r="F381" i="4"/>
  <c r="G381" i="4"/>
  <c r="H381" i="4"/>
  <c r="I381" i="4"/>
  <c r="J381" i="4"/>
  <c r="B382" i="4"/>
  <c r="C382" i="4"/>
  <c r="D382" i="4"/>
  <c r="E382" i="4"/>
  <c r="F382" i="4"/>
  <c r="G382" i="4"/>
  <c r="H382" i="4"/>
  <c r="I382" i="4"/>
  <c r="J382" i="4"/>
  <c r="B383" i="4"/>
  <c r="C383" i="4"/>
  <c r="D383" i="4"/>
  <c r="E383" i="4"/>
  <c r="F383" i="4"/>
  <c r="G383" i="4"/>
  <c r="H383" i="4"/>
  <c r="I383" i="4"/>
  <c r="J383" i="4"/>
  <c r="B384" i="4"/>
  <c r="C384" i="4"/>
  <c r="D384" i="4"/>
  <c r="E384" i="4"/>
  <c r="F384" i="4"/>
  <c r="G384" i="4"/>
  <c r="G1100" i="4" s="1"/>
  <c r="H384" i="4"/>
  <c r="I384" i="4"/>
  <c r="J384" i="4"/>
  <c r="B385" i="4"/>
  <c r="C385" i="4"/>
  <c r="D385" i="4"/>
  <c r="E385" i="4"/>
  <c r="F385" i="4"/>
  <c r="G385" i="4"/>
  <c r="H385" i="4"/>
  <c r="I385" i="4"/>
  <c r="J385" i="4"/>
  <c r="J1100" i="4" s="1"/>
  <c r="B386" i="4"/>
  <c r="C386" i="4"/>
  <c r="D386" i="4"/>
  <c r="E386" i="4"/>
  <c r="E1100" i="4" s="1"/>
  <c r="F386" i="4"/>
  <c r="G386" i="4"/>
  <c r="H386" i="4"/>
  <c r="I386" i="4"/>
  <c r="I1100" i="4" s="1"/>
  <c r="J386" i="4"/>
  <c r="B387" i="4"/>
  <c r="C387" i="4"/>
  <c r="D387" i="4"/>
  <c r="E387" i="4"/>
  <c r="F387" i="4"/>
  <c r="G387" i="4"/>
  <c r="H387" i="4"/>
  <c r="I387" i="4"/>
  <c r="J387" i="4"/>
  <c r="B388" i="4"/>
  <c r="C388" i="4"/>
  <c r="D388" i="4"/>
  <c r="E388" i="4"/>
  <c r="F388" i="4"/>
  <c r="G388" i="4"/>
  <c r="H388" i="4"/>
  <c r="I388" i="4"/>
  <c r="J388" i="4"/>
  <c r="B389" i="4"/>
  <c r="C389" i="4"/>
  <c r="D389" i="4"/>
  <c r="E389" i="4"/>
  <c r="F389" i="4"/>
  <c r="G389" i="4"/>
  <c r="H389" i="4"/>
  <c r="I389" i="4"/>
  <c r="J389" i="4"/>
  <c r="B390" i="4"/>
  <c r="C390" i="4"/>
  <c r="D390" i="4"/>
  <c r="E390" i="4"/>
  <c r="F390" i="4"/>
  <c r="G390" i="4"/>
  <c r="H390" i="4"/>
  <c r="I390" i="4"/>
  <c r="J390" i="4"/>
  <c r="B391" i="4"/>
  <c r="C391" i="4"/>
  <c r="D391" i="4"/>
  <c r="E391" i="4"/>
  <c r="F391" i="4"/>
  <c r="G391" i="4"/>
  <c r="H391" i="4"/>
  <c r="I391" i="4"/>
  <c r="J391" i="4"/>
  <c r="B392" i="4"/>
  <c r="C392" i="4"/>
  <c r="D392" i="4"/>
  <c r="E392" i="4"/>
  <c r="F392" i="4"/>
  <c r="G392" i="4"/>
  <c r="H392" i="4"/>
  <c r="I392" i="4"/>
  <c r="J392" i="4"/>
  <c r="B393" i="4"/>
  <c r="C393" i="4"/>
  <c r="D393" i="4"/>
  <c r="E393" i="4"/>
  <c r="F393" i="4"/>
  <c r="G393" i="4"/>
  <c r="H393" i="4"/>
  <c r="I393" i="4"/>
  <c r="J393" i="4"/>
  <c r="B394" i="4"/>
  <c r="C394" i="4"/>
  <c r="D394" i="4"/>
  <c r="E394" i="4"/>
  <c r="F394" i="4"/>
  <c r="G394" i="4"/>
  <c r="H394" i="4"/>
  <c r="I394" i="4"/>
  <c r="J394" i="4"/>
  <c r="B395" i="4"/>
  <c r="C395" i="4"/>
  <c r="D395" i="4"/>
  <c r="E395" i="4"/>
  <c r="F395" i="4"/>
  <c r="G395" i="4"/>
  <c r="H395" i="4"/>
  <c r="I395" i="4"/>
  <c r="J395" i="4"/>
  <c r="B396" i="4"/>
  <c r="C396" i="4"/>
  <c r="C1101" i="4" s="1"/>
  <c r="D396" i="4"/>
  <c r="E396" i="4"/>
  <c r="F396" i="4"/>
  <c r="G396" i="4"/>
  <c r="G1101" i="4" s="1"/>
  <c r="H396" i="4"/>
  <c r="I396" i="4"/>
  <c r="J396" i="4"/>
  <c r="B397" i="4"/>
  <c r="C397" i="4"/>
  <c r="D397" i="4"/>
  <c r="E397" i="4"/>
  <c r="F397" i="4"/>
  <c r="G397" i="4"/>
  <c r="H397" i="4"/>
  <c r="I397" i="4"/>
  <c r="J397" i="4"/>
  <c r="J1101" i="4" s="1"/>
  <c r="B398" i="4"/>
  <c r="C398" i="4"/>
  <c r="D398" i="4"/>
  <c r="E398" i="4"/>
  <c r="E1101" i="4" s="1"/>
  <c r="F398" i="4"/>
  <c r="G398" i="4"/>
  <c r="H398" i="4"/>
  <c r="I398" i="4"/>
  <c r="J398" i="4"/>
  <c r="B399" i="4"/>
  <c r="C399" i="4"/>
  <c r="D399" i="4"/>
  <c r="E399" i="4"/>
  <c r="F399" i="4"/>
  <c r="G399" i="4"/>
  <c r="H399" i="4"/>
  <c r="I399" i="4"/>
  <c r="J399" i="4"/>
  <c r="B400" i="4"/>
  <c r="C400" i="4"/>
  <c r="D400" i="4"/>
  <c r="E400" i="4"/>
  <c r="F400" i="4"/>
  <c r="G400" i="4"/>
  <c r="H400" i="4"/>
  <c r="I400" i="4"/>
  <c r="J400" i="4"/>
  <c r="B401" i="4"/>
  <c r="C401" i="4"/>
  <c r="D401" i="4"/>
  <c r="E401" i="4"/>
  <c r="F401" i="4"/>
  <c r="G401" i="4"/>
  <c r="H401" i="4"/>
  <c r="I401" i="4"/>
  <c r="J401" i="4"/>
  <c r="B402" i="4"/>
  <c r="C402" i="4"/>
  <c r="D402" i="4"/>
  <c r="E402" i="4"/>
  <c r="F402" i="4"/>
  <c r="G402" i="4"/>
  <c r="H402" i="4"/>
  <c r="I402" i="4"/>
  <c r="J402" i="4"/>
  <c r="B403" i="4"/>
  <c r="C403" i="4"/>
  <c r="D403" i="4"/>
  <c r="E403" i="4"/>
  <c r="F403" i="4"/>
  <c r="G403" i="4"/>
  <c r="H403" i="4"/>
  <c r="I403" i="4"/>
  <c r="J403" i="4"/>
  <c r="B404" i="4"/>
  <c r="C404" i="4"/>
  <c r="D404" i="4"/>
  <c r="E404" i="4"/>
  <c r="F404" i="4"/>
  <c r="G404" i="4"/>
  <c r="H404" i="4"/>
  <c r="I404" i="4"/>
  <c r="J404" i="4"/>
  <c r="B405" i="4"/>
  <c r="C405" i="4"/>
  <c r="D405" i="4"/>
  <c r="E405" i="4"/>
  <c r="F405" i="4"/>
  <c r="G405" i="4"/>
  <c r="H405" i="4"/>
  <c r="I405" i="4"/>
  <c r="J405" i="4"/>
  <c r="B406" i="4"/>
  <c r="C406" i="4"/>
  <c r="D406" i="4"/>
  <c r="E406" i="4"/>
  <c r="F406" i="4"/>
  <c r="G406" i="4"/>
  <c r="H406" i="4"/>
  <c r="I406" i="4"/>
  <c r="J406" i="4"/>
  <c r="B407" i="4"/>
  <c r="C407" i="4"/>
  <c r="D407" i="4"/>
  <c r="E407" i="4"/>
  <c r="F407" i="4"/>
  <c r="G407" i="4"/>
  <c r="H407" i="4"/>
  <c r="I407" i="4"/>
  <c r="J407" i="4"/>
  <c r="B408" i="4"/>
  <c r="C408" i="4"/>
  <c r="C1102" i="4" s="1"/>
  <c r="D408" i="4"/>
  <c r="E408" i="4"/>
  <c r="F408" i="4"/>
  <c r="G408" i="4"/>
  <c r="H408" i="4"/>
  <c r="I408" i="4"/>
  <c r="J408" i="4"/>
  <c r="B409" i="4"/>
  <c r="C409" i="4"/>
  <c r="D409" i="4"/>
  <c r="E409" i="4"/>
  <c r="F409" i="4"/>
  <c r="G409" i="4"/>
  <c r="H409" i="4"/>
  <c r="I409" i="4"/>
  <c r="J409" i="4"/>
  <c r="J1102" i="4" s="1"/>
  <c r="B410" i="4"/>
  <c r="C410" i="4"/>
  <c r="D410" i="4"/>
  <c r="E410" i="4"/>
  <c r="E1102" i="4" s="1"/>
  <c r="F410" i="4"/>
  <c r="G410" i="4"/>
  <c r="H410" i="4"/>
  <c r="I410" i="4"/>
  <c r="I1102" i="4" s="1"/>
  <c r="J410" i="4"/>
  <c r="B411" i="4"/>
  <c r="C411" i="4"/>
  <c r="D411" i="4"/>
  <c r="E411" i="4"/>
  <c r="F411" i="4"/>
  <c r="G411" i="4"/>
  <c r="H411" i="4"/>
  <c r="I411" i="4"/>
  <c r="J411" i="4"/>
  <c r="B412" i="4"/>
  <c r="C412" i="4"/>
  <c r="D412" i="4"/>
  <c r="E412" i="4"/>
  <c r="F412" i="4"/>
  <c r="G412" i="4"/>
  <c r="H412" i="4"/>
  <c r="I412" i="4"/>
  <c r="J412" i="4"/>
  <c r="B413" i="4"/>
  <c r="C413" i="4"/>
  <c r="D413" i="4"/>
  <c r="E413" i="4"/>
  <c r="F413" i="4"/>
  <c r="G413" i="4"/>
  <c r="H413" i="4"/>
  <c r="I413" i="4"/>
  <c r="J413" i="4"/>
  <c r="B414" i="4"/>
  <c r="C414" i="4"/>
  <c r="D414" i="4"/>
  <c r="E414" i="4"/>
  <c r="F414" i="4"/>
  <c r="G414" i="4"/>
  <c r="H414" i="4"/>
  <c r="I414" i="4"/>
  <c r="J414" i="4"/>
  <c r="B415" i="4"/>
  <c r="C415" i="4"/>
  <c r="D415" i="4"/>
  <c r="E415" i="4"/>
  <c r="F415" i="4"/>
  <c r="G415" i="4"/>
  <c r="H415" i="4"/>
  <c r="I415" i="4"/>
  <c r="J415" i="4"/>
  <c r="B416" i="4"/>
  <c r="C416" i="4"/>
  <c r="D416" i="4"/>
  <c r="E416" i="4"/>
  <c r="F416" i="4"/>
  <c r="G416" i="4"/>
  <c r="H416" i="4"/>
  <c r="I416" i="4"/>
  <c r="J416" i="4"/>
  <c r="B417" i="4"/>
  <c r="C417" i="4"/>
  <c r="D417" i="4"/>
  <c r="E417" i="4"/>
  <c r="F417" i="4"/>
  <c r="G417" i="4"/>
  <c r="H417" i="4"/>
  <c r="I417" i="4"/>
  <c r="J417" i="4"/>
  <c r="B418" i="4"/>
  <c r="C418" i="4"/>
  <c r="D418" i="4"/>
  <c r="E418" i="4"/>
  <c r="F418" i="4"/>
  <c r="G418" i="4"/>
  <c r="H418" i="4"/>
  <c r="I418" i="4"/>
  <c r="J418" i="4"/>
  <c r="B419" i="4"/>
  <c r="C419" i="4"/>
  <c r="D419" i="4"/>
  <c r="E419" i="4"/>
  <c r="F419" i="4"/>
  <c r="G419" i="4"/>
  <c r="H419" i="4"/>
  <c r="I419" i="4"/>
  <c r="J419" i="4"/>
  <c r="B420" i="4"/>
  <c r="C420" i="4"/>
  <c r="C1103" i="4" s="1"/>
  <c r="D420" i="4"/>
  <c r="E420" i="4"/>
  <c r="F420" i="4"/>
  <c r="G420" i="4"/>
  <c r="G1103" i="4" s="1"/>
  <c r="H420" i="4"/>
  <c r="I420" i="4"/>
  <c r="J420" i="4"/>
  <c r="B421" i="4"/>
  <c r="C421" i="4"/>
  <c r="D421" i="4"/>
  <c r="E421" i="4"/>
  <c r="F421" i="4"/>
  <c r="G421" i="4"/>
  <c r="H421" i="4"/>
  <c r="I421" i="4"/>
  <c r="J421" i="4"/>
  <c r="J1103" i="4" s="1"/>
  <c r="B422" i="4"/>
  <c r="C422" i="4"/>
  <c r="D422" i="4"/>
  <c r="E422" i="4"/>
  <c r="F422" i="4"/>
  <c r="G422" i="4"/>
  <c r="H422" i="4"/>
  <c r="I422" i="4"/>
  <c r="I1103" i="4" s="1"/>
  <c r="J422" i="4"/>
  <c r="B423" i="4"/>
  <c r="C423" i="4"/>
  <c r="D423" i="4"/>
  <c r="E423" i="4"/>
  <c r="F423" i="4"/>
  <c r="G423" i="4"/>
  <c r="H423" i="4"/>
  <c r="I423" i="4"/>
  <c r="J423" i="4"/>
  <c r="B424" i="4"/>
  <c r="C424" i="4"/>
  <c r="D424" i="4"/>
  <c r="E424" i="4"/>
  <c r="F424" i="4"/>
  <c r="G424" i="4"/>
  <c r="H424" i="4"/>
  <c r="I424" i="4"/>
  <c r="J424" i="4"/>
  <c r="B425" i="4"/>
  <c r="C425" i="4"/>
  <c r="D425" i="4"/>
  <c r="E425" i="4"/>
  <c r="F425" i="4"/>
  <c r="G425" i="4"/>
  <c r="H425" i="4"/>
  <c r="I425" i="4"/>
  <c r="J425" i="4"/>
  <c r="B426" i="4"/>
  <c r="C426" i="4"/>
  <c r="D426" i="4"/>
  <c r="E426" i="4"/>
  <c r="F426" i="4"/>
  <c r="G426" i="4"/>
  <c r="H426" i="4"/>
  <c r="I426" i="4"/>
  <c r="J426" i="4"/>
  <c r="B427" i="4"/>
  <c r="C427" i="4"/>
  <c r="D427" i="4"/>
  <c r="E427" i="4"/>
  <c r="F427" i="4"/>
  <c r="G427" i="4"/>
  <c r="H427" i="4"/>
  <c r="I427" i="4"/>
  <c r="J427" i="4"/>
  <c r="B428" i="4"/>
  <c r="C428" i="4"/>
  <c r="D428" i="4"/>
  <c r="E428" i="4"/>
  <c r="F428" i="4"/>
  <c r="G428" i="4"/>
  <c r="H428" i="4"/>
  <c r="I428" i="4"/>
  <c r="J428" i="4"/>
  <c r="B429" i="4"/>
  <c r="C429" i="4"/>
  <c r="D429" i="4"/>
  <c r="E429" i="4"/>
  <c r="F429" i="4"/>
  <c r="G429" i="4"/>
  <c r="H429" i="4"/>
  <c r="I429" i="4"/>
  <c r="J429" i="4"/>
  <c r="B430" i="4"/>
  <c r="C430" i="4"/>
  <c r="D430" i="4"/>
  <c r="E430" i="4"/>
  <c r="F430" i="4"/>
  <c r="G430" i="4"/>
  <c r="H430" i="4"/>
  <c r="I430" i="4"/>
  <c r="J430" i="4"/>
  <c r="B431" i="4"/>
  <c r="C431" i="4"/>
  <c r="D431" i="4"/>
  <c r="E431" i="4"/>
  <c r="F431" i="4"/>
  <c r="G431" i="4"/>
  <c r="H431" i="4"/>
  <c r="I431" i="4"/>
  <c r="J431" i="4"/>
  <c r="B432" i="4"/>
  <c r="C432" i="4"/>
  <c r="D432" i="4"/>
  <c r="E432" i="4"/>
  <c r="F432" i="4"/>
  <c r="G432" i="4"/>
  <c r="G1104" i="4" s="1"/>
  <c r="H432" i="4"/>
  <c r="I432" i="4"/>
  <c r="J432" i="4"/>
  <c r="B433" i="4"/>
  <c r="C433" i="4"/>
  <c r="D433" i="4"/>
  <c r="E433" i="4"/>
  <c r="F433" i="4"/>
  <c r="G433" i="4"/>
  <c r="H433" i="4"/>
  <c r="I433" i="4"/>
  <c r="J433" i="4"/>
  <c r="J1104" i="4" s="1"/>
  <c r="B434" i="4"/>
  <c r="C434" i="4"/>
  <c r="D434" i="4"/>
  <c r="E434" i="4"/>
  <c r="E1104" i="4" s="1"/>
  <c r="F434" i="4"/>
  <c r="G434" i="4"/>
  <c r="H434" i="4"/>
  <c r="I434" i="4"/>
  <c r="I1104" i="4" s="1"/>
  <c r="J434" i="4"/>
  <c r="B435" i="4"/>
  <c r="C435" i="4"/>
  <c r="D435" i="4"/>
  <c r="E435" i="4"/>
  <c r="F435" i="4"/>
  <c r="G435" i="4"/>
  <c r="H435" i="4"/>
  <c r="I435" i="4"/>
  <c r="J435" i="4"/>
  <c r="B436" i="4"/>
  <c r="C436" i="4"/>
  <c r="D436" i="4"/>
  <c r="E436" i="4"/>
  <c r="F436" i="4"/>
  <c r="G436" i="4"/>
  <c r="H436" i="4"/>
  <c r="I436" i="4"/>
  <c r="J436" i="4"/>
  <c r="B437" i="4"/>
  <c r="C437" i="4"/>
  <c r="D437" i="4"/>
  <c r="E437" i="4"/>
  <c r="F437" i="4"/>
  <c r="G437" i="4"/>
  <c r="H437" i="4"/>
  <c r="I437" i="4"/>
  <c r="J437" i="4"/>
  <c r="B438" i="4"/>
  <c r="C438" i="4"/>
  <c r="D438" i="4"/>
  <c r="E438" i="4"/>
  <c r="F438" i="4"/>
  <c r="G438" i="4"/>
  <c r="H438" i="4"/>
  <c r="I438" i="4"/>
  <c r="J438" i="4"/>
  <c r="B439" i="4"/>
  <c r="C439" i="4"/>
  <c r="D439" i="4"/>
  <c r="E439" i="4"/>
  <c r="F439" i="4"/>
  <c r="G439" i="4"/>
  <c r="H439" i="4"/>
  <c r="I439" i="4"/>
  <c r="J439" i="4"/>
  <c r="B440" i="4"/>
  <c r="C440" i="4"/>
  <c r="D440" i="4"/>
  <c r="E440" i="4"/>
  <c r="F440" i="4"/>
  <c r="G440" i="4"/>
  <c r="H440" i="4"/>
  <c r="I440" i="4"/>
  <c r="J440" i="4"/>
  <c r="B441" i="4"/>
  <c r="C441" i="4"/>
  <c r="D441" i="4"/>
  <c r="E441" i="4"/>
  <c r="F441" i="4"/>
  <c r="G441" i="4"/>
  <c r="H441" i="4"/>
  <c r="I441" i="4"/>
  <c r="J441" i="4"/>
  <c r="B442" i="4"/>
  <c r="C442" i="4"/>
  <c r="D442" i="4"/>
  <c r="E442" i="4"/>
  <c r="F442" i="4"/>
  <c r="G442" i="4"/>
  <c r="H442" i="4"/>
  <c r="I442" i="4"/>
  <c r="J442" i="4"/>
  <c r="B443" i="4"/>
  <c r="C443" i="4"/>
  <c r="D443" i="4"/>
  <c r="E443" i="4"/>
  <c r="F443" i="4"/>
  <c r="G443" i="4"/>
  <c r="H443" i="4"/>
  <c r="I443" i="4"/>
  <c r="J443" i="4"/>
  <c r="B444" i="4"/>
  <c r="C444" i="4"/>
  <c r="C1105" i="4" s="1"/>
  <c r="D444" i="4"/>
  <c r="E444" i="4"/>
  <c r="F444" i="4"/>
  <c r="G444" i="4"/>
  <c r="G1105" i="4" s="1"/>
  <c r="H444" i="4"/>
  <c r="I444" i="4"/>
  <c r="J444" i="4"/>
  <c r="B445" i="4"/>
  <c r="C445" i="4"/>
  <c r="D445" i="4"/>
  <c r="E445" i="4"/>
  <c r="F445" i="4"/>
  <c r="G445" i="4"/>
  <c r="H445" i="4"/>
  <c r="I445" i="4"/>
  <c r="J445" i="4"/>
  <c r="J1105" i="4" s="1"/>
  <c r="B446" i="4"/>
  <c r="C446" i="4"/>
  <c r="D446" i="4"/>
  <c r="E446" i="4"/>
  <c r="E1105" i="4" s="1"/>
  <c r="F446" i="4"/>
  <c r="G446" i="4"/>
  <c r="H446" i="4"/>
  <c r="I446" i="4"/>
  <c r="J446" i="4"/>
  <c r="B447" i="4"/>
  <c r="C447" i="4"/>
  <c r="D447" i="4"/>
  <c r="E447" i="4"/>
  <c r="F447" i="4"/>
  <c r="G447" i="4"/>
  <c r="H447" i="4"/>
  <c r="I447" i="4"/>
  <c r="J447" i="4"/>
  <c r="B448" i="4"/>
  <c r="C448" i="4"/>
  <c r="D448" i="4"/>
  <c r="E448" i="4"/>
  <c r="F448" i="4"/>
  <c r="G448" i="4"/>
  <c r="H448" i="4"/>
  <c r="I448" i="4"/>
  <c r="J448" i="4"/>
  <c r="B449" i="4"/>
  <c r="C449" i="4"/>
  <c r="D449" i="4"/>
  <c r="E449" i="4"/>
  <c r="F449" i="4"/>
  <c r="G449" i="4"/>
  <c r="H449" i="4"/>
  <c r="I449" i="4"/>
  <c r="J449" i="4"/>
  <c r="B450" i="4"/>
  <c r="C450" i="4"/>
  <c r="D450" i="4"/>
  <c r="E450" i="4"/>
  <c r="F450" i="4"/>
  <c r="G450" i="4"/>
  <c r="H450" i="4"/>
  <c r="I450" i="4"/>
  <c r="J450" i="4"/>
  <c r="B451" i="4"/>
  <c r="C451" i="4"/>
  <c r="D451" i="4"/>
  <c r="E451" i="4"/>
  <c r="F451" i="4"/>
  <c r="G451" i="4"/>
  <c r="H451" i="4"/>
  <c r="I451" i="4"/>
  <c r="J451" i="4"/>
  <c r="B452" i="4"/>
  <c r="C452" i="4"/>
  <c r="D452" i="4"/>
  <c r="E452" i="4"/>
  <c r="F452" i="4"/>
  <c r="G452" i="4"/>
  <c r="H452" i="4"/>
  <c r="I452" i="4"/>
  <c r="J452" i="4"/>
  <c r="B453" i="4"/>
  <c r="C453" i="4"/>
  <c r="D453" i="4"/>
  <c r="E453" i="4"/>
  <c r="F453" i="4"/>
  <c r="G453" i="4"/>
  <c r="H453" i="4"/>
  <c r="I453" i="4"/>
  <c r="J453" i="4"/>
  <c r="B454" i="4"/>
  <c r="C454" i="4"/>
  <c r="D454" i="4"/>
  <c r="E454" i="4"/>
  <c r="F454" i="4"/>
  <c r="G454" i="4"/>
  <c r="H454" i="4"/>
  <c r="I454" i="4"/>
  <c r="J454" i="4"/>
  <c r="B455" i="4"/>
  <c r="C455" i="4"/>
  <c r="D455" i="4"/>
  <c r="E455" i="4"/>
  <c r="F455" i="4"/>
  <c r="G455" i="4"/>
  <c r="H455" i="4"/>
  <c r="I455" i="4"/>
  <c r="J455" i="4"/>
  <c r="B456" i="4"/>
  <c r="C456" i="4"/>
  <c r="C1106" i="4" s="1"/>
  <c r="D456" i="4"/>
  <c r="E456" i="4"/>
  <c r="F456" i="4"/>
  <c r="G456" i="4"/>
  <c r="H456" i="4"/>
  <c r="I456" i="4"/>
  <c r="J456" i="4"/>
  <c r="B457" i="4"/>
  <c r="C457" i="4"/>
  <c r="D457" i="4"/>
  <c r="E457" i="4"/>
  <c r="F457" i="4"/>
  <c r="G457" i="4"/>
  <c r="H457" i="4"/>
  <c r="I457" i="4"/>
  <c r="J457" i="4"/>
  <c r="J1106" i="4" s="1"/>
  <c r="B458" i="4"/>
  <c r="C458" i="4"/>
  <c r="D458" i="4"/>
  <c r="E458" i="4"/>
  <c r="E1106" i="4" s="1"/>
  <c r="F458" i="4"/>
  <c r="G458" i="4"/>
  <c r="H458" i="4"/>
  <c r="I458" i="4"/>
  <c r="I1106" i="4" s="1"/>
  <c r="J458" i="4"/>
  <c r="B459" i="4"/>
  <c r="C459" i="4"/>
  <c r="D459" i="4"/>
  <c r="E459" i="4"/>
  <c r="F459" i="4"/>
  <c r="G459" i="4"/>
  <c r="H459" i="4"/>
  <c r="I459" i="4"/>
  <c r="J459" i="4"/>
  <c r="B460" i="4"/>
  <c r="C460" i="4"/>
  <c r="D460" i="4"/>
  <c r="E460" i="4"/>
  <c r="F460" i="4"/>
  <c r="G460" i="4"/>
  <c r="H460" i="4"/>
  <c r="I460" i="4"/>
  <c r="J460" i="4"/>
  <c r="B461" i="4"/>
  <c r="C461" i="4"/>
  <c r="D461" i="4"/>
  <c r="E461" i="4"/>
  <c r="F461" i="4"/>
  <c r="G461" i="4"/>
  <c r="H461" i="4"/>
  <c r="I461" i="4"/>
  <c r="J461" i="4"/>
  <c r="B462" i="4"/>
  <c r="C462" i="4"/>
  <c r="D462" i="4"/>
  <c r="E462" i="4"/>
  <c r="F462" i="4"/>
  <c r="G462" i="4"/>
  <c r="H462" i="4"/>
  <c r="I462" i="4"/>
  <c r="J462" i="4"/>
  <c r="B463" i="4"/>
  <c r="C463" i="4"/>
  <c r="D463" i="4"/>
  <c r="E463" i="4"/>
  <c r="F463" i="4"/>
  <c r="G463" i="4"/>
  <c r="H463" i="4"/>
  <c r="I463" i="4"/>
  <c r="J463" i="4"/>
  <c r="B464" i="4"/>
  <c r="C464" i="4"/>
  <c r="D464" i="4"/>
  <c r="E464" i="4"/>
  <c r="F464" i="4"/>
  <c r="G464" i="4"/>
  <c r="H464" i="4"/>
  <c r="I464" i="4"/>
  <c r="J464" i="4"/>
  <c r="B465" i="4"/>
  <c r="C465" i="4"/>
  <c r="D465" i="4"/>
  <c r="E465" i="4"/>
  <c r="F465" i="4"/>
  <c r="G465" i="4"/>
  <c r="H465" i="4"/>
  <c r="I465" i="4"/>
  <c r="J465" i="4"/>
  <c r="B466" i="4"/>
  <c r="C466" i="4"/>
  <c r="D466" i="4"/>
  <c r="E466" i="4"/>
  <c r="F466" i="4"/>
  <c r="G466" i="4"/>
  <c r="H466" i="4"/>
  <c r="I466" i="4"/>
  <c r="J466" i="4"/>
  <c r="B467" i="4"/>
  <c r="C467" i="4"/>
  <c r="D467" i="4"/>
  <c r="E467" i="4"/>
  <c r="F467" i="4"/>
  <c r="G467" i="4"/>
  <c r="H467" i="4"/>
  <c r="I467" i="4"/>
  <c r="J467" i="4"/>
  <c r="B468" i="4"/>
  <c r="C468" i="4"/>
  <c r="C1107" i="4" s="1"/>
  <c r="D468" i="4"/>
  <c r="E468" i="4"/>
  <c r="F468" i="4"/>
  <c r="G468" i="4"/>
  <c r="G1107" i="4" s="1"/>
  <c r="H468" i="4"/>
  <c r="I468" i="4"/>
  <c r="J468" i="4"/>
  <c r="B469" i="4"/>
  <c r="C469" i="4"/>
  <c r="D469" i="4"/>
  <c r="E469" i="4"/>
  <c r="F469" i="4"/>
  <c r="G469" i="4"/>
  <c r="H469" i="4"/>
  <c r="I469" i="4"/>
  <c r="J469" i="4"/>
  <c r="J1107" i="4" s="1"/>
  <c r="B470" i="4"/>
  <c r="C470" i="4"/>
  <c r="D470" i="4"/>
  <c r="E470" i="4"/>
  <c r="F470" i="4"/>
  <c r="G470" i="4"/>
  <c r="H470" i="4"/>
  <c r="I470" i="4"/>
  <c r="I1107" i="4" s="1"/>
  <c r="J470" i="4"/>
  <c r="B471" i="4"/>
  <c r="C471" i="4"/>
  <c r="D471" i="4"/>
  <c r="E471" i="4"/>
  <c r="F471" i="4"/>
  <c r="G471" i="4"/>
  <c r="H471" i="4"/>
  <c r="I471" i="4"/>
  <c r="J471" i="4"/>
  <c r="B472" i="4"/>
  <c r="C472" i="4"/>
  <c r="D472" i="4"/>
  <c r="E472" i="4"/>
  <c r="F472" i="4"/>
  <c r="G472" i="4"/>
  <c r="H472" i="4"/>
  <c r="I472" i="4"/>
  <c r="J472" i="4"/>
  <c r="B473" i="4"/>
  <c r="C473" i="4"/>
  <c r="D473" i="4"/>
  <c r="E473" i="4"/>
  <c r="F473" i="4"/>
  <c r="G473" i="4"/>
  <c r="H473" i="4"/>
  <c r="I473" i="4"/>
  <c r="J473" i="4"/>
  <c r="B474" i="4"/>
  <c r="C474" i="4"/>
  <c r="D474" i="4"/>
  <c r="E474" i="4"/>
  <c r="F474" i="4"/>
  <c r="G474" i="4"/>
  <c r="H474" i="4"/>
  <c r="I474" i="4"/>
  <c r="J474" i="4"/>
  <c r="B475" i="4"/>
  <c r="C475" i="4"/>
  <c r="D475" i="4"/>
  <c r="E475" i="4"/>
  <c r="F475" i="4"/>
  <c r="G475" i="4"/>
  <c r="H475" i="4"/>
  <c r="I475" i="4"/>
  <c r="J475" i="4"/>
  <c r="B476" i="4"/>
  <c r="C476" i="4"/>
  <c r="D476" i="4"/>
  <c r="E476" i="4"/>
  <c r="F476" i="4"/>
  <c r="G476" i="4"/>
  <c r="H476" i="4"/>
  <c r="I476" i="4"/>
  <c r="J476" i="4"/>
  <c r="B477" i="4"/>
  <c r="C477" i="4"/>
  <c r="D477" i="4"/>
  <c r="E477" i="4"/>
  <c r="F477" i="4"/>
  <c r="G477" i="4"/>
  <c r="H477" i="4"/>
  <c r="I477" i="4"/>
  <c r="J477" i="4"/>
  <c r="B478" i="4"/>
  <c r="C478" i="4"/>
  <c r="D478" i="4"/>
  <c r="E478" i="4"/>
  <c r="F478" i="4"/>
  <c r="G478" i="4"/>
  <c r="H478" i="4"/>
  <c r="I478" i="4"/>
  <c r="J478" i="4"/>
  <c r="B479" i="4"/>
  <c r="C479" i="4"/>
  <c r="D479" i="4"/>
  <c r="E479" i="4"/>
  <c r="F479" i="4"/>
  <c r="G479" i="4"/>
  <c r="H479" i="4"/>
  <c r="I479" i="4"/>
  <c r="J479" i="4"/>
  <c r="B480" i="4"/>
  <c r="C480" i="4"/>
  <c r="D480" i="4"/>
  <c r="E480" i="4"/>
  <c r="F480" i="4"/>
  <c r="G480" i="4"/>
  <c r="G1108" i="4" s="1"/>
  <c r="H480" i="4"/>
  <c r="I480" i="4"/>
  <c r="J480" i="4"/>
  <c r="B481" i="4"/>
  <c r="C481" i="4"/>
  <c r="D481" i="4"/>
  <c r="E481" i="4"/>
  <c r="F481" i="4"/>
  <c r="G481" i="4"/>
  <c r="H481" i="4"/>
  <c r="I481" i="4"/>
  <c r="J481" i="4"/>
  <c r="J1108" i="4" s="1"/>
  <c r="B482" i="4"/>
  <c r="C482" i="4"/>
  <c r="D482" i="4"/>
  <c r="E482" i="4"/>
  <c r="E1108" i="4" s="1"/>
  <c r="F482" i="4"/>
  <c r="G482" i="4"/>
  <c r="H482" i="4"/>
  <c r="I482" i="4"/>
  <c r="I1108" i="4" s="1"/>
  <c r="J482" i="4"/>
  <c r="B483" i="4"/>
  <c r="C483" i="4"/>
  <c r="D483" i="4"/>
  <c r="E483" i="4"/>
  <c r="F483" i="4"/>
  <c r="G483" i="4"/>
  <c r="H483" i="4"/>
  <c r="I483" i="4"/>
  <c r="J483" i="4"/>
  <c r="B484" i="4"/>
  <c r="C484" i="4"/>
  <c r="D484" i="4"/>
  <c r="E484" i="4"/>
  <c r="F484" i="4"/>
  <c r="G484" i="4"/>
  <c r="H484" i="4"/>
  <c r="I484" i="4"/>
  <c r="J484" i="4"/>
  <c r="B485" i="4"/>
  <c r="C485" i="4"/>
  <c r="D485" i="4"/>
  <c r="E485" i="4"/>
  <c r="F485" i="4"/>
  <c r="G485" i="4"/>
  <c r="H485" i="4"/>
  <c r="I485" i="4"/>
  <c r="J485" i="4"/>
  <c r="B486" i="4"/>
  <c r="C486" i="4"/>
  <c r="D486" i="4"/>
  <c r="E486" i="4"/>
  <c r="F486" i="4"/>
  <c r="G486" i="4"/>
  <c r="H486" i="4"/>
  <c r="I486" i="4"/>
  <c r="J486" i="4"/>
  <c r="B487" i="4"/>
  <c r="C487" i="4"/>
  <c r="D487" i="4"/>
  <c r="E487" i="4"/>
  <c r="F487" i="4"/>
  <c r="G487" i="4"/>
  <c r="H487" i="4"/>
  <c r="I487" i="4"/>
  <c r="J487" i="4"/>
  <c r="B488" i="4"/>
  <c r="C488" i="4"/>
  <c r="D488" i="4"/>
  <c r="E488" i="4"/>
  <c r="F488" i="4"/>
  <c r="G488" i="4"/>
  <c r="H488" i="4"/>
  <c r="I488" i="4"/>
  <c r="J488" i="4"/>
  <c r="B489" i="4"/>
  <c r="C489" i="4"/>
  <c r="D489" i="4"/>
  <c r="E489" i="4"/>
  <c r="F489" i="4"/>
  <c r="G489" i="4"/>
  <c r="H489" i="4"/>
  <c r="I489" i="4"/>
  <c r="J489" i="4"/>
  <c r="B490" i="4"/>
  <c r="C490" i="4"/>
  <c r="D490" i="4"/>
  <c r="E490" i="4"/>
  <c r="F490" i="4"/>
  <c r="G490" i="4"/>
  <c r="H490" i="4"/>
  <c r="I490" i="4"/>
  <c r="J490" i="4"/>
  <c r="B491" i="4"/>
  <c r="C491" i="4"/>
  <c r="D491" i="4"/>
  <c r="E491" i="4"/>
  <c r="F491" i="4"/>
  <c r="G491" i="4"/>
  <c r="H491" i="4"/>
  <c r="I491" i="4"/>
  <c r="J491" i="4"/>
  <c r="B492" i="4"/>
  <c r="C492" i="4"/>
  <c r="C1109" i="4" s="1"/>
  <c r="D492" i="4"/>
  <c r="E492" i="4"/>
  <c r="F492" i="4"/>
  <c r="G492" i="4"/>
  <c r="G1109" i="4" s="1"/>
  <c r="H492" i="4"/>
  <c r="I492" i="4"/>
  <c r="J492" i="4"/>
  <c r="B493" i="4"/>
  <c r="C493" i="4"/>
  <c r="D493" i="4"/>
  <c r="E493" i="4"/>
  <c r="F493" i="4"/>
  <c r="G493" i="4"/>
  <c r="H493" i="4"/>
  <c r="I493" i="4"/>
  <c r="J493" i="4"/>
  <c r="J1109" i="4" s="1"/>
  <c r="B494" i="4"/>
  <c r="C494" i="4"/>
  <c r="D494" i="4"/>
  <c r="E494" i="4"/>
  <c r="E1109" i="4" s="1"/>
  <c r="F494" i="4"/>
  <c r="G494" i="4"/>
  <c r="H494" i="4"/>
  <c r="I494" i="4"/>
  <c r="J494" i="4"/>
  <c r="B495" i="4"/>
  <c r="C495" i="4"/>
  <c r="D495" i="4"/>
  <c r="E495" i="4"/>
  <c r="F495" i="4"/>
  <c r="G495" i="4"/>
  <c r="H495" i="4"/>
  <c r="I495" i="4"/>
  <c r="J495" i="4"/>
  <c r="B496" i="4"/>
  <c r="C496" i="4"/>
  <c r="D496" i="4"/>
  <c r="E496" i="4"/>
  <c r="F496" i="4"/>
  <c r="G496" i="4"/>
  <c r="H496" i="4"/>
  <c r="I496" i="4"/>
  <c r="J496" i="4"/>
  <c r="B497" i="4"/>
  <c r="C497" i="4"/>
  <c r="D497" i="4"/>
  <c r="E497" i="4"/>
  <c r="F497" i="4"/>
  <c r="G497" i="4"/>
  <c r="H497" i="4"/>
  <c r="I497" i="4"/>
  <c r="J497" i="4"/>
  <c r="B498" i="4"/>
  <c r="C498" i="4"/>
  <c r="D498" i="4"/>
  <c r="E498" i="4"/>
  <c r="F498" i="4"/>
  <c r="G498" i="4"/>
  <c r="H498" i="4"/>
  <c r="I498" i="4"/>
  <c r="J498" i="4"/>
  <c r="B499" i="4"/>
  <c r="C499" i="4"/>
  <c r="D499" i="4"/>
  <c r="E499" i="4"/>
  <c r="F499" i="4"/>
  <c r="G499" i="4"/>
  <c r="H499" i="4"/>
  <c r="I499" i="4"/>
  <c r="J499" i="4"/>
  <c r="B500" i="4"/>
  <c r="C500" i="4"/>
  <c r="D500" i="4"/>
  <c r="E500" i="4"/>
  <c r="F500" i="4"/>
  <c r="G500" i="4"/>
  <c r="H500" i="4"/>
  <c r="I500" i="4"/>
  <c r="J500" i="4"/>
  <c r="B501" i="4"/>
  <c r="C501" i="4"/>
  <c r="D501" i="4"/>
  <c r="E501" i="4"/>
  <c r="F501" i="4"/>
  <c r="G501" i="4"/>
  <c r="H501" i="4"/>
  <c r="I501" i="4"/>
  <c r="J501" i="4"/>
  <c r="B502" i="4"/>
  <c r="C502" i="4"/>
  <c r="D502" i="4"/>
  <c r="E502" i="4"/>
  <c r="F502" i="4"/>
  <c r="G502" i="4"/>
  <c r="H502" i="4"/>
  <c r="I502" i="4"/>
  <c r="J502" i="4"/>
  <c r="B503" i="4"/>
  <c r="C503" i="4"/>
  <c r="D503" i="4"/>
  <c r="E503" i="4"/>
  <c r="F503" i="4"/>
  <c r="G503" i="4"/>
  <c r="H503" i="4"/>
  <c r="I503" i="4"/>
  <c r="J503" i="4"/>
  <c r="B504" i="4"/>
  <c r="C504" i="4"/>
  <c r="C1110" i="4" s="1"/>
  <c r="D504" i="4"/>
  <c r="E504" i="4"/>
  <c r="F504" i="4"/>
  <c r="G504" i="4"/>
  <c r="H504" i="4"/>
  <c r="I504" i="4"/>
  <c r="J504" i="4"/>
  <c r="B505" i="4"/>
  <c r="C505" i="4"/>
  <c r="D505" i="4"/>
  <c r="E505" i="4"/>
  <c r="F505" i="4"/>
  <c r="G505" i="4"/>
  <c r="H505" i="4"/>
  <c r="I505" i="4"/>
  <c r="J505" i="4"/>
  <c r="J1110" i="4" s="1"/>
  <c r="B506" i="4"/>
  <c r="C506" i="4"/>
  <c r="D506" i="4"/>
  <c r="E506" i="4"/>
  <c r="E1110" i="4" s="1"/>
  <c r="F506" i="4"/>
  <c r="G506" i="4"/>
  <c r="H506" i="4"/>
  <c r="I506" i="4"/>
  <c r="I1110" i="4" s="1"/>
  <c r="J506" i="4"/>
  <c r="B507" i="4"/>
  <c r="C507" i="4"/>
  <c r="D507" i="4"/>
  <c r="E507" i="4"/>
  <c r="F507" i="4"/>
  <c r="G507" i="4"/>
  <c r="H507" i="4"/>
  <c r="I507" i="4"/>
  <c r="J507" i="4"/>
  <c r="B508" i="4"/>
  <c r="C508" i="4"/>
  <c r="D508" i="4"/>
  <c r="E508" i="4"/>
  <c r="F508" i="4"/>
  <c r="G508" i="4"/>
  <c r="H508" i="4"/>
  <c r="I508" i="4"/>
  <c r="J508" i="4"/>
  <c r="B509" i="4"/>
  <c r="C509" i="4"/>
  <c r="D509" i="4"/>
  <c r="E509" i="4"/>
  <c r="F509" i="4"/>
  <c r="G509" i="4"/>
  <c r="H509" i="4"/>
  <c r="I509" i="4"/>
  <c r="J509" i="4"/>
  <c r="B510" i="4"/>
  <c r="C510" i="4"/>
  <c r="D510" i="4"/>
  <c r="E510" i="4"/>
  <c r="F510" i="4"/>
  <c r="G510" i="4"/>
  <c r="H510" i="4"/>
  <c r="I510" i="4"/>
  <c r="J510" i="4"/>
  <c r="B511" i="4"/>
  <c r="C511" i="4"/>
  <c r="D511" i="4"/>
  <c r="E511" i="4"/>
  <c r="F511" i="4"/>
  <c r="G511" i="4"/>
  <c r="H511" i="4"/>
  <c r="I511" i="4"/>
  <c r="J511" i="4"/>
  <c r="B512" i="4"/>
  <c r="C512" i="4"/>
  <c r="D512" i="4"/>
  <c r="E512" i="4"/>
  <c r="F512" i="4"/>
  <c r="G512" i="4"/>
  <c r="H512" i="4"/>
  <c r="I512" i="4"/>
  <c r="J512" i="4"/>
  <c r="B513" i="4"/>
  <c r="C513" i="4"/>
  <c r="D513" i="4"/>
  <c r="E513" i="4"/>
  <c r="F513" i="4"/>
  <c r="G513" i="4"/>
  <c r="H513" i="4"/>
  <c r="I513" i="4"/>
  <c r="J513" i="4"/>
  <c r="B514" i="4"/>
  <c r="C514" i="4"/>
  <c r="D514" i="4"/>
  <c r="E514" i="4"/>
  <c r="F514" i="4"/>
  <c r="G514" i="4"/>
  <c r="H514" i="4"/>
  <c r="I514" i="4"/>
  <c r="J514" i="4"/>
  <c r="B515" i="4"/>
  <c r="C515" i="4"/>
  <c r="D515" i="4"/>
  <c r="E515" i="4"/>
  <c r="F515" i="4"/>
  <c r="G515" i="4"/>
  <c r="H515" i="4"/>
  <c r="I515" i="4"/>
  <c r="J515" i="4"/>
  <c r="B516" i="4"/>
  <c r="C516" i="4"/>
  <c r="C1111" i="4" s="1"/>
  <c r="D516" i="4"/>
  <c r="E516" i="4"/>
  <c r="F516" i="4"/>
  <c r="G516" i="4"/>
  <c r="G1111" i="4" s="1"/>
  <c r="H516" i="4"/>
  <c r="I516" i="4"/>
  <c r="J516" i="4"/>
  <c r="B517" i="4"/>
  <c r="C517" i="4"/>
  <c r="D517" i="4"/>
  <c r="E517" i="4"/>
  <c r="F517" i="4"/>
  <c r="G517" i="4"/>
  <c r="H517" i="4"/>
  <c r="I517" i="4"/>
  <c r="J517" i="4"/>
  <c r="J1111" i="4" s="1"/>
  <c r="B518" i="4"/>
  <c r="C518" i="4"/>
  <c r="D518" i="4"/>
  <c r="E518" i="4"/>
  <c r="F518" i="4"/>
  <c r="G518" i="4"/>
  <c r="H518" i="4"/>
  <c r="I518" i="4"/>
  <c r="I1111" i="4" s="1"/>
  <c r="J518" i="4"/>
  <c r="B519" i="4"/>
  <c r="C519" i="4"/>
  <c r="D519" i="4"/>
  <c r="E519" i="4"/>
  <c r="F519" i="4"/>
  <c r="G519" i="4"/>
  <c r="H519" i="4"/>
  <c r="I519" i="4"/>
  <c r="J519" i="4"/>
  <c r="B520" i="4"/>
  <c r="C520" i="4"/>
  <c r="D520" i="4"/>
  <c r="E520" i="4"/>
  <c r="F520" i="4"/>
  <c r="G520" i="4"/>
  <c r="H520" i="4"/>
  <c r="I520" i="4"/>
  <c r="J520" i="4"/>
  <c r="B521" i="4"/>
  <c r="C521" i="4"/>
  <c r="D521" i="4"/>
  <c r="E521" i="4"/>
  <c r="F521" i="4"/>
  <c r="G521" i="4"/>
  <c r="H521" i="4"/>
  <c r="I521" i="4"/>
  <c r="J521" i="4"/>
  <c r="B522" i="4"/>
  <c r="C522" i="4"/>
  <c r="D522" i="4"/>
  <c r="E522" i="4"/>
  <c r="F522" i="4"/>
  <c r="G522" i="4"/>
  <c r="H522" i="4"/>
  <c r="I522" i="4"/>
  <c r="J522" i="4"/>
  <c r="B523" i="4"/>
  <c r="C523" i="4"/>
  <c r="D523" i="4"/>
  <c r="E523" i="4"/>
  <c r="F523" i="4"/>
  <c r="G523" i="4"/>
  <c r="H523" i="4"/>
  <c r="I523" i="4"/>
  <c r="J523" i="4"/>
  <c r="B524" i="4"/>
  <c r="C524" i="4"/>
  <c r="D524" i="4"/>
  <c r="E524" i="4"/>
  <c r="F524" i="4"/>
  <c r="G524" i="4"/>
  <c r="H524" i="4"/>
  <c r="I524" i="4"/>
  <c r="J524" i="4"/>
  <c r="B525" i="4"/>
  <c r="C525" i="4"/>
  <c r="D525" i="4"/>
  <c r="E525" i="4"/>
  <c r="F525" i="4"/>
  <c r="G525" i="4"/>
  <c r="H525" i="4"/>
  <c r="I525" i="4"/>
  <c r="J525" i="4"/>
  <c r="B526" i="4"/>
  <c r="C526" i="4"/>
  <c r="D526" i="4"/>
  <c r="E526" i="4"/>
  <c r="F526" i="4"/>
  <c r="G526" i="4"/>
  <c r="H526" i="4"/>
  <c r="I526" i="4"/>
  <c r="J526" i="4"/>
  <c r="B527" i="4"/>
  <c r="C527" i="4"/>
  <c r="D527" i="4"/>
  <c r="E527" i="4"/>
  <c r="F527" i="4"/>
  <c r="G527" i="4"/>
  <c r="H527" i="4"/>
  <c r="I527" i="4"/>
  <c r="J527" i="4"/>
  <c r="B528" i="4"/>
  <c r="C528" i="4"/>
  <c r="D528" i="4"/>
  <c r="E528" i="4"/>
  <c r="F528" i="4"/>
  <c r="G528" i="4"/>
  <c r="G1112" i="4" s="1"/>
  <c r="H528" i="4"/>
  <c r="I528" i="4"/>
  <c r="J528" i="4"/>
  <c r="B529" i="4"/>
  <c r="C529" i="4"/>
  <c r="D529" i="4"/>
  <c r="E529" i="4"/>
  <c r="F529" i="4"/>
  <c r="G529" i="4"/>
  <c r="H529" i="4"/>
  <c r="I529" i="4"/>
  <c r="J529" i="4"/>
  <c r="J1112" i="4" s="1"/>
  <c r="B530" i="4"/>
  <c r="C530" i="4"/>
  <c r="D530" i="4"/>
  <c r="E530" i="4"/>
  <c r="E1112" i="4" s="1"/>
  <c r="F530" i="4"/>
  <c r="G530" i="4"/>
  <c r="H530" i="4"/>
  <c r="I530" i="4"/>
  <c r="I1112" i="4" s="1"/>
  <c r="J530" i="4"/>
  <c r="B531" i="4"/>
  <c r="C531" i="4"/>
  <c r="D531" i="4"/>
  <c r="E531" i="4"/>
  <c r="F531" i="4"/>
  <c r="G531" i="4"/>
  <c r="H531" i="4"/>
  <c r="I531" i="4"/>
  <c r="J531" i="4"/>
  <c r="B532" i="4"/>
  <c r="C532" i="4"/>
  <c r="D532" i="4"/>
  <c r="E532" i="4"/>
  <c r="F532" i="4"/>
  <c r="G532" i="4"/>
  <c r="H532" i="4"/>
  <c r="I532" i="4"/>
  <c r="J532" i="4"/>
  <c r="B533" i="4"/>
  <c r="C533" i="4"/>
  <c r="D533" i="4"/>
  <c r="E533" i="4"/>
  <c r="F533" i="4"/>
  <c r="G533" i="4"/>
  <c r="H533" i="4"/>
  <c r="I533" i="4"/>
  <c r="J533" i="4"/>
  <c r="B534" i="4"/>
  <c r="C534" i="4"/>
  <c r="D534" i="4"/>
  <c r="E534" i="4"/>
  <c r="F534" i="4"/>
  <c r="G534" i="4"/>
  <c r="H534" i="4"/>
  <c r="I534" i="4"/>
  <c r="J534" i="4"/>
  <c r="B535" i="4"/>
  <c r="C535" i="4"/>
  <c r="D535" i="4"/>
  <c r="E535" i="4"/>
  <c r="F535" i="4"/>
  <c r="G535" i="4"/>
  <c r="H535" i="4"/>
  <c r="I535" i="4"/>
  <c r="J535" i="4"/>
  <c r="B536" i="4"/>
  <c r="C536" i="4"/>
  <c r="D536" i="4"/>
  <c r="E536" i="4"/>
  <c r="F536" i="4"/>
  <c r="G536" i="4"/>
  <c r="H536" i="4"/>
  <c r="I536" i="4"/>
  <c r="J536" i="4"/>
  <c r="B537" i="4"/>
  <c r="C537" i="4"/>
  <c r="D537" i="4"/>
  <c r="E537" i="4"/>
  <c r="F537" i="4"/>
  <c r="G537" i="4"/>
  <c r="H537" i="4"/>
  <c r="I537" i="4"/>
  <c r="J537" i="4"/>
  <c r="B538" i="4"/>
  <c r="C538" i="4"/>
  <c r="D538" i="4"/>
  <c r="E538" i="4"/>
  <c r="F538" i="4"/>
  <c r="G538" i="4"/>
  <c r="H538" i="4"/>
  <c r="I538" i="4"/>
  <c r="J538" i="4"/>
  <c r="B539" i="4"/>
  <c r="C539" i="4"/>
  <c r="D539" i="4"/>
  <c r="E539" i="4"/>
  <c r="F539" i="4"/>
  <c r="G539" i="4"/>
  <c r="H539" i="4"/>
  <c r="I539" i="4"/>
  <c r="J539" i="4"/>
  <c r="B540" i="4"/>
  <c r="C540" i="4"/>
  <c r="C1113" i="4" s="1"/>
  <c r="D540" i="4"/>
  <c r="E540" i="4"/>
  <c r="F540" i="4"/>
  <c r="G540" i="4"/>
  <c r="G1113" i="4" s="1"/>
  <c r="H540" i="4"/>
  <c r="I540" i="4"/>
  <c r="J540" i="4"/>
  <c r="B541" i="4"/>
  <c r="C541" i="4"/>
  <c r="D541" i="4"/>
  <c r="E541" i="4"/>
  <c r="F541" i="4"/>
  <c r="G541" i="4"/>
  <c r="H541" i="4"/>
  <c r="I541" i="4"/>
  <c r="J541" i="4"/>
  <c r="J1113" i="4" s="1"/>
  <c r="B542" i="4"/>
  <c r="C542" i="4"/>
  <c r="D542" i="4"/>
  <c r="E542" i="4"/>
  <c r="E1113" i="4" s="1"/>
  <c r="F542" i="4"/>
  <c r="G542" i="4"/>
  <c r="H542" i="4"/>
  <c r="I542" i="4"/>
  <c r="J542" i="4"/>
  <c r="B543" i="4"/>
  <c r="C543" i="4"/>
  <c r="D543" i="4"/>
  <c r="E543" i="4"/>
  <c r="F543" i="4"/>
  <c r="G543" i="4"/>
  <c r="H543" i="4"/>
  <c r="I543" i="4"/>
  <c r="J543" i="4"/>
  <c r="B544" i="4"/>
  <c r="C544" i="4"/>
  <c r="D544" i="4"/>
  <c r="E544" i="4"/>
  <c r="F544" i="4"/>
  <c r="G544" i="4"/>
  <c r="H544" i="4"/>
  <c r="I544" i="4"/>
  <c r="J544" i="4"/>
  <c r="B545" i="4"/>
  <c r="C545" i="4"/>
  <c r="D545" i="4"/>
  <c r="E545" i="4"/>
  <c r="F545" i="4"/>
  <c r="G545" i="4"/>
  <c r="H545" i="4"/>
  <c r="I545" i="4"/>
  <c r="J545" i="4"/>
  <c r="B546" i="4"/>
  <c r="C546" i="4"/>
  <c r="D546" i="4"/>
  <c r="E546" i="4"/>
  <c r="F546" i="4"/>
  <c r="G546" i="4"/>
  <c r="H546" i="4"/>
  <c r="I546" i="4"/>
  <c r="J546" i="4"/>
  <c r="B547" i="4"/>
  <c r="C547" i="4"/>
  <c r="D547" i="4"/>
  <c r="E547" i="4"/>
  <c r="F547" i="4"/>
  <c r="G547" i="4"/>
  <c r="H547" i="4"/>
  <c r="I547" i="4"/>
  <c r="J547" i="4"/>
  <c r="B548" i="4"/>
  <c r="C548" i="4"/>
  <c r="D548" i="4"/>
  <c r="E548" i="4"/>
  <c r="F548" i="4"/>
  <c r="G548" i="4"/>
  <c r="H548" i="4"/>
  <c r="I548" i="4"/>
  <c r="J548" i="4"/>
  <c r="B549" i="4"/>
  <c r="C549" i="4"/>
  <c r="D549" i="4"/>
  <c r="E549" i="4"/>
  <c r="F549" i="4"/>
  <c r="G549" i="4"/>
  <c r="H549" i="4"/>
  <c r="I549" i="4"/>
  <c r="J549" i="4"/>
  <c r="B550" i="4"/>
  <c r="C550" i="4"/>
  <c r="D550" i="4"/>
  <c r="E550" i="4"/>
  <c r="F550" i="4"/>
  <c r="G550" i="4"/>
  <c r="H550" i="4"/>
  <c r="I550" i="4"/>
  <c r="J550" i="4"/>
  <c r="B551" i="4"/>
  <c r="C551" i="4"/>
  <c r="D551" i="4"/>
  <c r="E551" i="4"/>
  <c r="F551" i="4"/>
  <c r="G551" i="4"/>
  <c r="H551" i="4"/>
  <c r="I551" i="4"/>
  <c r="J551" i="4"/>
  <c r="B552" i="4"/>
  <c r="C552" i="4"/>
  <c r="C1114" i="4" s="1"/>
  <c r="D552" i="4"/>
  <c r="E552" i="4"/>
  <c r="F552" i="4"/>
  <c r="G552" i="4"/>
  <c r="H552" i="4"/>
  <c r="I552" i="4"/>
  <c r="J552" i="4"/>
  <c r="B553" i="4"/>
  <c r="C553" i="4"/>
  <c r="D553" i="4"/>
  <c r="E553" i="4"/>
  <c r="F553" i="4"/>
  <c r="G553" i="4"/>
  <c r="H553" i="4"/>
  <c r="I553" i="4"/>
  <c r="J553" i="4"/>
  <c r="J1114" i="4" s="1"/>
  <c r="B554" i="4"/>
  <c r="C554" i="4"/>
  <c r="D554" i="4"/>
  <c r="E554" i="4"/>
  <c r="E1114" i="4" s="1"/>
  <c r="F554" i="4"/>
  <c r="G554" i="4"/>
  <c r="H554" i="4"/>
  <c r="I554" i="4"/>
  <c r="I1114" i="4" s="1"/>
  <c r="J554" i="4"/>
  <c r="B555" i="4"/>
  <c r="C555" i="4"/>
  <c r="D555" i="4"/>
  <c r="E555" i="4"/>
  <c r="F555" i="4"/>
  <c r="G555" i="4"/>
  <c r="H555" i="4"/>
  <c r="I555" i="4"/>
  <c r="J555" i="4"/>
  <c r="B556" i="4"/>
  <c r="C556" i="4"/>
  <c r="D556" i="4"/>
  <c r="E556" i="4"/>
  <c r="F556" i="4"/>
  <c r="G556" i="4"/>
  <c r="H556" i="4"/>
  <c r="I556" i="4"/>
  <c r="J556" i="4"/>
  <c r="B557" i="4"/>
  <c r="C557" i="4"/>
  <c r="D557" i="4"/>
  <c r="E557" i="4"/>
  <c r="F557" i="4"/>
  <c r="G557" i="4"/>
  <c r="H557" i="4"/>
  <c r="I557" i="4"/>
  <c r="J557" i="4"/>
  <c r="B558" i="4"/>
  <c r="C558" i="4"/>
  <c r="D558" i="4"/>
  <c r="E558" i="4"/>
  <c r="F558" i="4"/>
  <c r="G558" i="4"/>
  <c r="H558" i="4"/>
  <c r="I558" i="4"/>
  <c r="J558" i="4"/>
  <c r="B559" i="4"/>
  <c r="C559" i="4"/>
  <c r="D559" i="4"/>
  <c r="E559" i="4"/>
  <c r="F559" i="4"/>
  <c r="G559" i="4"/>
  <c r="H559" i="4"/>
  <c r="I559" i="4"/>
  <c r="J559" i="4"/>
  <c r="B560" i="4"/>
  <c r="C560" i="4"/>
  <c r="D560" i="4"/>
  <c r="E560" i="4"/>
  <c r="F560" i="4"/>
  <c r="G560" i="4"/>
  <c r="H560" i="4"/>
  <c r="I560" i="4"/>
  <c r="J560" i="4"/>
  <c r="B561" i="4"/>
  <c r="C561" i="4"/>
  <c r="D561" i="4"/>
  <c r="E561" i="4"/>
  <c r="F561" i="4"/>
  <c r="G561" i="4"/>
  <c r="H561" i="4"/>
  <c r="I561" i="4"/>
  <c r="J561" i="4"/>
  <c r="B562" i="4"/>
  <c r="C562" i="4"/>
  <c r="D562" i="4"/>
  <c r="E562" i="4"/>
  <c r="F562" i="4"/>
  <c r="G562" i="4"/>
  <c r="H562" i="4"/>
  <c r="I562" i="4"/>
  <c r="J562" i="4"/>
  <c r="B563" i="4"/>
  <c r="C563" i="4"/>
  <c r="D563" i="4"/>
  <c r="E563" i="4"/>
  <c r="F563" i="4"/>
  <c r="G563" i="4"/>
  <c r="H563" i="4"/>
  <c r="I563" i="4"/>
  <c r="J563" i="4"/>
  <c r="B564" i="4"/>
  <c r="C564" i="4"/>
  <c r="C1115" i="4" s="1"/>
  <c r="D564" i="4"/>
  <c r="E564" i="4"/>
  <c r="F564" i="4"/>
  <c r="G564" i="4"/>
  <c r="G1115" i="4" s="1"/>
  <c r="H564" i="4"/>
  <c r="I564" i="4"/>
  <c r="J564" i="4"/>
  <c r="B565" i="4"/>
  <c r="C565" i="4"/>
  <c r="D565" i="4"/>
  <c r="E565" i="4"/>
  <c r="F565" i="4"/>
  <c r="G565" i="4"/>
  <c r="H565" i="4"/>
  <c r="I565" i="4"/>
  <c r="J565" i="4"/>
  <c r="J1115" i="4" s="1"/>
  <c r="B566" i="4"/>
  <c r="C566" i="4"/>
  <c r="D566" i="4"/>
  <c r="E566" i="4"/>
  <c r="F566" i="4"/>
  <c r="G566" i="4"/>
  <c r="H566" i="4"/>
  <c r="I566" i="4"/>
  <c r="I1115" i="4" s="1"/>
  <c r="J566" i="4"/>
  <c r="B567" i="4"/>
  <c r="C567" i="4"/>
  <c r="D567" i="4"/>
  <c r="E567" i="4"/>
  <c r="F567" i="4"/>
  <c r="G567" i="4"/>
  <c r="H567" i="4"/>
  <c r="I567" i="4"/>
  <c r="J567" i="4"/>
  <c r="B568" i="4"/>
  <c r="C568" i="4"/>
  <c r="D568" i="4"/>
  <c r="E568" i="4"/>
  <c r="F568" i="4"/>
  <c r="G568" i="4"/>
  <c r="H568" i="4"/>
  <c r="I568" i="4"/>
  <c r="J568" i="4"/>
  <c r="B569" i="4"/>
  <c r="C569" i="4"/>
  <c r="D569" i="4"/>
  <c r="E569" i="4"/>
  <c r="F569" i="4"/>
  <c r="G569" i="4"/>
  <c r="H569" i="4"/>
  <c r="I569" i="4"/>
  <c r="J569" i="4"/>
  <c r="B570" i="4"/>
  <c r="C570" i="4"/>
  <c r="D570" i="4"/>
  <c r="E570" i="4"/>
  <c r="F570" i="4"/>
  <c r="G570" i="4"/>
  <c r="H570" i="4"/>
  <c r="I570" i="4"/>
  <c r="J570" i="4"/>
  <c r="B571" i="4"/>
  <c r="C571" i="4"/>
  <c r="D571" i="4"/>
  <c r="E571" i="4"/>
  <c r="F571" i="4"/>
  <c r="G571" i="4"/>
  <c r="H571" i="4"/>
  <c r="I571" i="4"/>
  <c r="J571" i="4"/>
  <c r="B572" i="4"/>
  <c r="C572" i="4"/>
  <c r="D572" i="4"/>
  <c r="E572" i="4"/>
  <c r="F572" i="4"/>
  <c r="G572" i="4"/>
  <c r="H572" i="4"/>
  <c r="I572" i="4"/>
  <c r="J572" i="4"/>
  <c r="B573" i="4"/>
  <c r="C573" i="4"/>
  <c r="D573" i="4"/>
  <c r="E573" i="4"/>
  <c r="F573" i="4"/>
  <c r="G573" i="4"/>
  <c r="H573" i="4"/>
  <c r="I573" i="4"/>
  <c r="J573" i="4"/>
  <c r="B574" i="4"/>
  <c r="C574" i="4"/>
  <c r="D574" i="4"/>
  <c r="E574" i="4"/>
  <c r="F574" i="4"/>
  <c r="G574" i="4"/>
  <c r="H574" i="4"/>
  <c r="I574" i="4"/>
  <c r="J574" i="4"/>
  <c r="B575" i="4"/>
  <c r="C575" i="4"/>
  <c r="D575" i="4"/>
  <c r="E575" i="4"/>
  <c r="F575" i="4"/>
  <c r="G575" i="4"/>
  <c r="H575" i="4"/>
  <c r="I575" i="4"/>
  <c r="J575" i="4"/>
  <c r="B576" i="4"/>
  <c r="C576" i="4"/>
  <c r="D576" i="4"/>
  <c r="E576" i="4"/>
  <c r="F576" i="4"/>
  <c r="G576" i="4"/>
  <c r="G1116" i="4" s="1"/>
  <c r="H576" i="4"/>
  <c r="I576" i="4"/>
  <c r="J576" i="4"/>
  <c r="B577" i="4"/>
  <c r="C577" i="4"/>
  <c r="D577" i="4"/>
  <c r="E577" i="4"/>
  <c r="F577" i="4"/>
  <c r="G577" i="4"/>
  <c r="H577" i="4"/>
  <c r="I577" i="4"/>
  <c r="J577" i="4"/>
  <c r="J1116" i="4" s="1"/>
  <c r="B578" i="4"/>
  <c r="C578" i="4"/>
  <c r="D578" i="4"/>
  <c r="E578" i="4"/>
  <c r="E1116" i="4" s="1"/>
  <c r="F578" i="4"/>
  <c r="G578" i="4"/>
  <c r="H578" i="4"/>
  <c r="I578" i="4"/>
  <c r="I1116" i="4" s="1"/>
  <c r="J578" i="4"/>
  <c r="B579" i="4"/>
  <c r="C579" i="4"/>
  <c r="D579" i="4"/>
  <c r="E579" i="4"/>
  <c r="F579" i="4"/>
  <c r="G579" i="4"/>
  <c r="H579" i="4"/>
  <c r="I579" i="4"/>
  <c r="J579" i="4"/>
  <c r="B580" i="4"/>
  <c r="C580" i="4"/>
  <c r="D580" i="4"/>
  <c r="E580" i="4"/>
  <c r="F580" i="4"/>
  <c r="G580" i="4"/>
  <c r="H580" i="4"/>
  <c r="I580" i="4"/>
  <c r="J580" i="4"/>
  <c r="B581" i="4"/>
  <c r="C581" i="4"/>
  <c r="D581" i="4"/>
  <c r="E581" i="4"/>
  <c r="F581" i="4"/>
  <c r="G581" i="4"/>
  <c r="H581" i="4"/>
  <c r="I581" i="4"/>
  <c r="J581" i="4"/>
  <c r="B582" i="4"/>
  <c r="C582" i="4"/>
  <c r="D582" i="4"/>
  <c r="E582" i="4"/>
  <c r="F582" i="4"/>
  <c r="G582" i="4"/>
  <c r="H582" i="4"/>
  <c r="I582" i="4"/>
  <c r="J582" i="4"/>
  <c r="B583" i="4"/>
  <c r="C583" i="4"/>
  <c r="D583" i="4"/>
  <c r="E583" i="4"/>
  <c r="F583" i="4"/>
  <c r="G583" i="4"/>
  <c r="H583" i="4"/>
  <c r="I583" i="4"/>
  <c r="J583" i="4"/>
  <c r="B584" i="4"/>
  <c r="C584" i="4"/>
  <c r="D584" i="4"/>
  <c r="E584" i="4"/>
  <c r="F584" i="4"/>
  <c r="G584" i="4"/>
  <c r="H584" i="4"/>
  <c r="I584" i="4"/>
  <c r="J584" i="4"/>
  <c r="B585" i="4"/>
  <c r="C585" i="4"/>
  <c r="D585" i="4"/>
  <c r="E585" i="4"/>
  <c r="F585" i="4"/>
  <c r="G585" i="4"/>
  <c r="H585" i="4"/>
  <c r="I585" i="4"/>
  <c r="J585" i="4"/>
  <c r="B586" i="4"/>
  <c r="C586" i="4"/>
  <c r="D586" i="4"/>
  <c r="E586" i="4"/>
  <c r="F586" i="4"/>
  <c r="G586" i="4"/>
  <c r="H586" i="4"/>
  <c r="I586" i="4"/>
  <c r="J586" i="4"/>
  <c r="B587" i="4"/>
  <c r="C587" i="4"/>
  <c r="D587" i="4"/>
  <c r="E587" i="4"/>
  <c r="F587" i="4"/>
  <c r="G587" i="4"/>
  <c r="H587" i="4"/>
  <c r="I587" i="4"/>
  <c r="J587" i="4"/>
  <c r="B588" i="4"/>
  <c r="C588" i="4"/>
  <c r="C1117" i="4" s="1"/>
  <c r="D588" i="4"/>
  <c r="E588" i="4"/>
  <c r="F588" i="4"/>
  <c r="G588" i="4"/>
  <c r="G1117" i="4" s="1"/>
  <c r="H588" i="4"/>
  <c r="I588" i="4"/>
  <c r="J588" i="4"/>
  <c r="B589" i="4"/>
  <c r="C589" i="4"/>
  <c r="D589" i="4"/>
  <c r="E589" i="4"/>
  <c r="F589" i="4"/>
  <c r="G589" i="4"/>
  <c r="H589" i="4"/>
  <c r="I589" i="4"/>
  <c r="J589" i="4"/>
  <c r="J1117" i="4" s="1"/>
  <c r="B590" i="4"/>
  <c r="C590" i="4"/>
  <c r="D590" i="4"/>
  <c r="E590" i="4"/>
  <c r="E1117" i="4" s="1"/>
  <c r="F590" i="4"/>
  <c r="G590" i="4"/>
  <c r="H590" i="4"/>
  <c r="I590" i="4"/>
  <c r="J590" i="4"/>
  <c r="B591" i="4"/>
  <c r="C591" i="4"/>
  <c r="D591" i="4"/>
  <c r="E591" i="4"/>
  <c r="F591" i="4"/>
  <c r="G591" i="4"/>
  <c r="H591" i="4"/>
  <c r="I591" i="4"/>
  <c r="J591" i="4"/>
  <c r="B592" i="4"/>
  <c r="C592" i="4"/>
  <c r="D592" i="4"/>
  <c r="E592" i="4"/>
  <c r="F592" i="4"/>
  <c r="G592" i="4"/>
  <c r="H592" i="4"/>
  <c r="I592" i="4"/>
  <c r="J592" i="4"/>
  <c r="B593" i="4"/>
  <c r="C593" i="4"/>
  <c r="D593" i="4"/>
  <c r="E593" i="4"/>
  <c r="F593" i="4"/>
  <c r="G593" i="4"/>
  <c r="H593" i="4"/>
  <c r="I593" i="4"/>
  <c r="J593" i="4"/>
  <c r="B594" i="4"/>
  <c r="C594" i="4"/>
  <c r="D594" i="4"/>
  <c r="E594" i="4"/>
  <c r="F594" i="4"/>
  <c r="G594" i="4"/>
  <c r="H594" i="4"/>
  <c r="I594" i="4"/>
  <c r="J594" i="4"/>
  <c r="B595" i="4"/>
  <c r="C595" i="4"/>
  <c r="D595" i="4"/>
  <c r="E595" i="4"/>
  <c r="F595" i="4"/>
  <c r="G595" i="4"/>
  <c r="H595" i="4"/>
  <c r="I595" i="4"/>
  <c r="J595" i="4"/>
  <c r="B596" i="4"/>
  <c r="C596" i="4"/>
  <c r="D596" i="4"/>
  <c r="E596" i="4"/>
  <c r="F596" i="4"/>
  <c r="G596" i="4"/>
  <c r="H596" i="4"/>
  <c r="I596" i="4"/>
  <c r="J596" i="4"/>
  <c r="B597" i="4"/>
  <c r="C597" i="4"/>
  <c r="D597" i="4"/>
  <c r="E597" i="4"/>
  <c r="F597" i="4"/>
  <c r="G597" i="4"/>
  <c r="H597" i="4"/>
  <c r="I597" i="4"/>
  <c r="J597" i="4"/>
  <c r="B598" i="4"/>
  <c r="C598" i="4"/>
  <c r="D598" i="4"/>
  <c r="E598" i="4"/>
  <c r="F598" i="4"/>
  <c r="G598" i="4"/>
  <c r="H598" i="4"/>
  <c r="I598" i="4"/>
  <c r="J598" i="4"/>
  <c r="B599" i="4"/>
  <c r="C599" i="4"/>
  <c r="D599" i="4"/>
  <c r="E599" i="4"/>
  <c r="F599" i="4"/>
  <c r="G599" i="4"/>
  <c r="H599" i="4"/>
  <c r="I599" i="4"/>
  <c r="J599" i="4"/>
  <c r="B600" i="4"/>
  <c r="C600" i="4"/>
  <c r="C1118" i="4" s="1"/>
  <c r="D600" i="4"/>
  <c r="E600" i="4"/>
  <c r="F600" i="4"/>
  <c r="G600" i="4"/>
  <c r="H600" i="4"/>
  <c r="I600" i="4"/>
  <c r="J600" i="4"/>
  <c r="B601" i="4"/>
  <c r="C601" i="4"/>
  <c r="D601" i="4"/>
  <c r="E601" i="4"/>
  <c r="F601" i="4"/>
  <c r="G601" i="4"/>
  <c r="H601" i="4"/>
  <c r="I601" i="4"/>
  <c r="J601" i="4"/>
  <c r="B602" i="4"/>
  <c r="C602" i="4"/>
  <c r="D602" i="4"/>
  <c r="E602" i="4"/>
  <c r="E1118" i="4" s="1"/>
  <c r="F602" i="4"/>
  <c r="G602" i="4"/>
  <c r="H602" i="4"/>
  <c r="I602" i="4"/>
  <c r="I1118" i="4" s="1"/>
  <c r="J602" i="4"/>
  <c r="B603" i="4"/>
  <c r="C603" i="4"/>
  <c r="D603" i="4"/>
  <c r="E603" i="4"/>
  <c r="F603" i="4"/>
  <c r="G603" i="4"/>
  <c r="H603" i="4"/>
  <c r="I603" i="4"/>
  <c r="J603" i="4"/>
  <c r="B604" i="4"/>
  <c r="C604" i="4"/>
  <c r="D604" i="4"/>
  <c r="E604" i="4"/>
  <c r="F604" i="4"/>
  <c r="G604" i="4"/>
  <c r="H604" i="4"/>
  <c r="I604" i="4"/>
  <c r="J604" i="4"/>
  <c r="B605" i="4"/>
  <c r="C605" i="4"/>
  <c r="D605" i="4"/>
  <c r="E605" i="4"/>
  <c r="F605" i="4"/>
  <c r="G605" i="4"/>
  <c r="H605" i="4"/>
  <c r="I605" i="4"/>
  <c r="J605" i="4"/>
  <c r="B606" i="4"/>
  <c r="C606" i="4"/>
  <c r="D606" i="4"/>
  <c r="E606" i="4"/>
  <c r="F606" i="4"/>
  <c r="G606" i="4"/>
  <c r="H606" i="4"/>
  <c r="I606" i="4"/>
  <c r="J606" i="4"/>
  <c r="B607" i="4"/>
  <c r="C607" i="4"/>
  <c r="D607" i="4"/>
  <c r="E607" i="4"/>
  <c r="F607" i="4"/>
  <c r="G607" i="4"/>
  <c r="H607" i="4"/>
  <c r="I607" i="4"/>
  <c r="J607" i="4"/>
  <c r="B608" i="4"/>
  <c r="C608" i="4"/>
  <c r="D608" i="4"/>
  <c r="E608" i="4"/>
  <c r="F608" i="4"/>
  <c r="G608" i="4"/>
  <c r="H608" i="4"/>
  <c r="I608" i="4"/>
  <c r="J608" i="4"/>
  <c r="B609" i="4"/>
  <c r="C609" i="4"/>
  <c r="D609" i="4"/>
  <c r="E609" i="4"/>
  <c r="F609" i="4"/>
  <c r="G609" i="4"/>
  <c r="H609" i="4"/>
  <c r="I609" i="4"/>
  <c r="J609" i="4"/>
  <c r="B610" i="4"/>
  <c r="C610" i="4"/>
  <c r="D610" i="4"/>
  <c r="E610" i="4"/>
  <c r="F610" i="4"/>
  <c r="G610" i="4"/>
  <c r="H610" i="4"/>
  <c r="I610" i="4"/>
  <c r="J610" i="4"/>
  <c r="B611" i="4"/>
  <c r="C611" i="4"/>
  <c r="D611" i="4"/>
  <c r="E611" i="4"/>
  <c r="F611" i="4"/>
  <c r="G611" i="4"/>
  <c r="H611" i="4"/>
  <c r="I611" i="4"/>
  <c r="J611" i="4"/>
  <c r="B612" i="4"/>
  <c r="C612" i="4"/>
  <c r="C1119" i="4" s="1"/>
  <c r="D612" i="4"/>
  <c r="E612" i="4"/>
  <c r="F612" i="4"/>
  <c r="G612" i="4"/>
  <c r="G1119" i="4" s="1"/>
  <c r="H612" i="4"/>
  <c r="I612" i="4"/>
  <c r="J612" i="4"/>
  <c r="B613" i="4"/>
  <c r="C613" i="4"/>
  <c r="D613" i="4"/>
  <c r="E613" i="4"/>
  <c r="F613" i="4"/>
  <c r="G613" i="4"/>
  <c r="H613" i="4"/>
  <c r="I613" i="4"/>
  <c r="J613" i="4"/>
  <c r="B614" i="4"/>
  <c r="C614" i="4"/>
  <c r="D614" i="4"/>
  <c r="E614" i="4"/>
  <c r="F614" i="4"/>
  <c r="G614" i="4"/>
  <c r="H614" i="4"/>
  <c r="I614" i="4"/>
  <c r="I1119" i="4" s="1"/>
  <c r="J614" i="4"/>
  <c r="B615" i="4"/>
  <c r="C615" i="4"/>
  <c r="D615" i="4"/>
  <c r="E615" i="4"/>
  <c r="F615" i="4"/>
  <c r="G615" i="4"/>
  <c r="H615" i="4"/>
  <c r="I615" i="4"/>
  <c r="J615" i="4"/>
  <c r="B616" i="4"/>
  <c r="C616" i="4"/>
  <c r="D616" i="4"/>
  <c r="E616" i="4"/>
  <c r="F616" i="4"/>
  <c r="G616" i="4"/>
  <c r="H616" i="4"/>
  <c r="I616" i="4"/>
  <c r="J616" i="4"/>
  <c r="B617" i="4"/>
  <c r="C617" i="4"/>
  <c r="D617" i="4"/>
  <c r="E617" i="4"/>
  <c r="F617" i="4"/>
  <c r="G617" i="4"/>
  <c r="H617" i="4"/>
  <c r="I617" i="4"/>
  <c r="J617" i="4"/>
  <c r="B618" i="4"/>
  <c r="C618" i="4"/>
  <c r="D618" i="4"/>
  <c r="E618" i="4"/>
  <c r="F618" i="4"/>
  <c r="G618" i="4"/>
  <c r="H618" i="4"/>
  <c r="I618" i="4"/>
  <c r="J618" i="4"/>
  <c r="B619" i="4"/>
  <c r="C619" i="4"/>
  <c r="D619" i="4"/>
  <c r="E619" i="4"/>
  <c r="F619" i="4"/>
  <c r="G619" i="4"/>
  <c r="H619" i="4"/>
  <c r="I619" i="4"/>
  <c r="J619" i="4"/>
  <c r="B620" i="4"/>
  <c r="C620" i="4"/>
  <c r="D620" i="4"/>
  <c r="E620" i="4"/>
  <c r="F620" i="4"/>
  <c r="G620" i="4"/>
  <c r="H620" i="4"/>
  <c r="I620" i="4"/>
  <c r="J620" i="4"/>
  <c r="B621" i="4"/>
  <c r="C621" i="4"/>
  <c r="D621" i="4"/>
  <c r="E621" i="4"/>
  <c r="F621" i="4"/>
  <c r="G621" i="4"/>
  <c r="H621" i="4"/>
  <c r="I621" i="4"/>
  <c r="J621" i="4"/>
  <c r="B622" i="4"/>
  <c r="C622" i="4"/>
  <c r="D622" i="4"/>
  <c r="E622" i="4"/>
  <c r="F622" i="4"/>
  <c r="G622" i="4"/>
  <c r="H622" i="4"/>
  <c r="I622" i="4"/>
  <c r="J622" i="4"/>
  <c r="B623" i="4"/>
  <c r="C623" i="4"/>
  <c r="D623" i="4"/>
  <c r="E623" i="4"/>
  <c r="F623" i="4"/>
  <c r="G623" i="4"/>
  <c r="H623" i="4"/>
  <c r="I623" i="4"/>
  <c r="J623" i="4"/>
  <c r="B624" i="4"/>
  <c r="C624" i="4"/>
  <c r="D624" i="4"/>
  <c r="E624" i="4"/>
  <c r="F624" i="4"/>
  <c r="G624" i="4"/>
  <c r="G1120" i="4" s="1"/>
  <c r="H624" i="4"/>
  <c r="I624" i="4"/>
  <c r="J624" i="4"/>
  <c r="B625" i="4"/>
  <c r="C625" i="4"/>
  <c r="D625" i="4"/>
  <c r="E625" i="4"/>
  <c r="F625" i="4"/>
  <c r="G625" i="4"/>
  <c r="H625" i="4"/>
  <c r="I625" i="4"/>
  <c r="J625" i="4"/>
  <c r="B626" i="4"/>
  <c r="C626" i="4"/>
  <c r="D626" i="4"/>
  <c r="E626" i="4"/>
  <c r="E1120" i="4" s="1"/>
  <c r="F626" i="4"/>
  <c r="G626" i="4"/>
  <c r="H626" i="4"/>
  <c r="I626" i="4"/>
  <c r="I1120" i="4" s="1"/>
  <c r="J626" i="4"/>
  <c r="B627" i="4"/>
  <c r="C627" i="4"/>
  <c r="D627" i="4"/>
  <c r="E627" i="4"/>
  <c r="F627" i="4"/>
  <c r="G627" i="4"/>
  <c r="H627" i="4"/>
  <c r="I627" i="4"/>
  <c r="J627" i="4"/>
  <c r="B628" i="4"/>
  <c r="C628" i="4"/>
  <c r="D628" i="4"/>
  <c r="E628" i="4"/>
  <c r="F628" i="4"/>
  <c r="G628" i="4"/>
  <c r="H628" i="4"/>
  <c r="I628" i="4"/>
  <c r="J628" i="4"/>
  <c r="B629" i="4"/>
  <c r="C629" i="4"/>
  <c r="D629" i="4"/>
  <c r="E629" i="4"/>
  <c r="F629" i="4"/>
  <c r="G629" i="4"/>
  <c r="H629" i="4"/>
  <c r="I629" i="4"/>
  <c r="J629" i="4"/>
  <c r="B630" i="4"/>
  <c r="C630" i="4"/>
  <c r="D630" i="4"/>
  <c r="E630" i="4"/>
  <c r="F630" i="4"/>
  <c r="G630" i="4"/>
  <c r="H630" i="4"/>
  <c r="I630" i="4"/>
  <c r="J630" i="4"/>
  <c r="B631" i="4"/>
  <c r="C631" i="4"/>
  <c r="D631" i="4"/>
  <c r="E631" i="4"/>
  <c r="F631" i="4"/>
  <c r="G631" i="4"/>
  <c r="H631" i="4"/>
  <c r="I631" i="4"/>
  <c r="J631" i="4"/>
  <c r="B632" i="4"/>
  <c r="C632" i="4"/>
  <c r="D632" i="4"/>
  <c r="E632" i="4"/>
  <c r="F632" i="4"/>
  <c r="G632" i="4"/>
  <c r="H632" i="4"/>
  <c r="I632" i="4"/>
  <c r="J632" i="4"/>
  <c r="B633" i="4"/>
  <c r="C633" i="4"/>
  <c r="D633" i="4"/>
  <c r="E633" i="4"/>
  <c r="F633" i="4"/>
  <c r="G633" i="4"/>
  <c r="H633" i="4"/>
  <c r="I633" i="4"/>
  <c r="J633" i="4"/>
  <c r="B634" i="4"/>
  <c r="C634" i="4"/>
  <c r="D634" i="4"/>
  <c r="E634" i="4"/>
  <c r="F634" i="4"/>
  <c r="G634" i="4"/>
  <c r="H634" i="4"/>
  <c r="I634" i="4"/>
  <c r="J634" i="4"/>
  <c r="B635" i="4"/>
  <c r="C635" i="4"/>
  <c r="D635" i="4"/>
  <c r="E635" i="4"/>
  <c r="F635" i="4"/>
  <c r="G635" i="4"/>
  <c r="H635" i="4"/>
  <c r="I635" i="4"/>
  <c r="J635" i="4"/>
  <c r="B636" i="4"/>
  <c r="C636" i="4"/>
  <c r="C1121" i="4" s="1"/>
  <c r="D636" i="4"/>
  <c r="E636" i="4"/>
  <c r="F636" i="4"/>
  <c r="G636" i="4"/>
  <c r="G1121" i="4" s="1"/>
  <c r="H636" i="4"/>
  <c r="I636" i="4"/>
  <c r="J636" i="4"/>
  <c r="B637" i="4"/>
  <c r="C637" i="4"/>
  <c r="D637" i="4"/>
  <c r="E637" i="4"/>
  <c r="F637" i="4"/>
  <c r="G637" i="4"/>
  <c r="H637" i="4"/>
  <c r="I637" i="4"/>
  <c r="J637" i="4"/>
  <c r="B638" i="4"/>
  <c r="C638" i="4"/>
  <c r="D638" i="4"/>
  <c r="E638" i="4"/>
  <c r="E1121" i="4" s="1"/>
  <c r="F638" i="4"/>
  <c r="G638" i="4"/>
  <c r="H638" i="4"/>
  <c r="I638" i="4"/>
  <c r="J638" i="4"/>
  <c r="B639" i="4"/>
  <c r="C639" i="4"/>
  <c r="D639" i="4"/>
  <c r="E639" i="4"/>
  <c r="F639" i="4"/>
  <c r="G639" i="4"/>
  <c r="H639" i="4"/>
  <c r="I639" i="4"/>
  <c r="J639" i="4"/>
  <c r="B640" i="4"/>
  <c r="C640" i="4"/>
  <c r="D640" i="4"/>
  <c r="E640" i="4"/>
  <c r="F640" i="4"/>
  <c r="G640" i="4"/>
  <c r="H640" i="4"/>
  <c r="I640" i="4"/>
  <c r="J640" i="4"/>
  <c r="B641" i="4"/>
  <c r="C641" i="4"/>
  <c r="D641" i="4"/>
  <c r="E641" i="4"/>
  <c r="F641" i="4"/>
  <c r="G641" i="4"/>
  <c r="H641" i="4"/>
  <c r="I641" i="4"/>
  <c r="J641" i="4"/>
  <c r="B642" i="4"/>
  <c r="C642" i="4"/>
  <c r="D642" i="4"/>
  <c r="E642" i="4"/>
  <c r="F642" i="4"/>
  <c r="G642" i="4"/>
  <c r="H642" i="4"/>
  <c r="I642" i="4"/>
  <c r="J642" i="4"/>
  <c r="B643" i="4"/>
  <c r="C643" i="4"/>
  <c r="D643" i="4"/>
  <c r="E643" i="4"/>
  <c r="F643" i="4"/>
  <c r="G643" i="4"/>
  <c r="H643" i="4"/>
  <c r="I643" i="4"/>
  <c r="J643" i="4"/>
  <c r="B644" i="4"/>
  <c r="C644" i="4"/>
  <c r="D644" i="4"/>
  <c r="E644" i="4"/>
  <c r="F644" i="4"/>
  <c r="G644" i="4"/>
  <c r="H644" i="4"/>
  <c r="I644" i="4"/>
  <c r="J644" i="4"/>
  <c r="B645" i="4"/>
  <c r="C645" i="4"/>
  <c r="D645" i="4"/>
  <c r="E645" i="4"/>
  <c r="F645" i="4"/>
  <c r="G645" i="4"/>
  <c r="H645" i="4"/>
  <c r="I645" i="4"/>
  <c r="J645" i="4"/>
  <c r="B646" i="4"/>
  <c r="C646" i="4"/>
  <c r="D646" i="4"/>
  <c r="E646" i="4"/>
  <c r="F646" i="4"/>
  <c r="G646" i="4"/>
  <c r="H646" i="4"/>
  <c r="I646" i="4"/>
  <c r="J646" i="4"/>
  <c r="B647" i="4"/>
  <c r="C647" i="4"/>
  <c r="D647" i="4"/>
  <c r="E647" i="4"/>
  <c r="F647" i="4"/>
  <c r="G647" i="4"/>
  <c r="H647" i="4"/>
  <c r="I647" i="4"/>
  <c r="J647" i="4"/>
  <c r="B648" i="4"/>
  <c r="C648" i="4"/>
  <c r="C1122" i="4" s="1"/>
  <c r="D648" i="4"/>
  <c r="E648" i="4"/>
  <c r="F648" i="4"/>
  <c r="G648" i="4"/>
  <c r="H648" i="4"/>
  <c r="I648" i="4"/>
  <c r="J648" i="4"/>
  <c r="B649" i="4"/>
  <c r="C649" i="4"/>
  <c r="D649" i="4"/>
  <c r="E649" i="4"/>
  <c r="F649" i="4"/>
  <c r="G649" i="4"/>
  <c r="H649" i="4"/>
  <c r="I649" i="4"/>
  <c r="J649" i="4"/>
  <c r="B650" i="4"/>
  <c r="C650" i="4"/>
  <c r="D650" i="4"/>
  <c r="E650" i="4"/>
  <c r="E1122" i="4" s="1"/>
  <c r="F650" i="4"/>
  <c r="G650" i="4"/>
  <c r="H650" i="4"/>
  <c r="I650" i="4"/>
  <c r="I1122" i="4" s="1"/>
  <c r="J650" i="4"/>
  <c r="B651" i="4"/>
  <c r="C651" i="4"/>
  <c r="D651" i="4"/>
  <c r="E651" i="4"/>
  <c r="F651" i="4"/>
  <c r="G651" i="4"/>
  <c r="H651" i="4"/>
  <c r="I651" i="4"/>
  <c r="J651" i="4"/>
  <c r="B652" i="4"/>
  <c r="C652" i="4"/>
  <c r="D652" i="4"/>
  <c r="E652" i="4"/>
  <c r="F652" i="4"/>
  <c r="G652" i="4"/>
  <c r="H652" i="4"/>
  <c r="I652" i="4"/>
  <c r="J652" i="4"/>
  <c r="B653" i="4"/>
  <c r="C653" i="4"/>
  <c r="D653" i="4"/>
  <c r="E653" i="4"/>
  <c r="F653" i="4"/>
  <c r="G653" i="4"/>
  <c r="H653" i="4"/>
  <c r="I653" i="4"/>
  <c r="J653" i="4"/>
  <c r="B654" i="4"/>
  <c r="C654" i="4"/>
  <c r="D654" i="4"/>
  <c r="E654" i="4"/>
  <c r="F654" i="4"/>
  <c r="G654" i="4"/>
  <c r="H654" i="4"/>
  <c r="I654" i="4"/>
  <c r="J654" i="4"/>
  <c r="B655" i="4"/>
  <c r="C655" i="4"/>
  <c r="D655" i="4"/>
  <c r="E655" i="4"/>
  <c r="F655" i="4"/>
  <c r="G655" i="4"/>
  <c r="H655" i="4"/>
  <c r="I655" i="4"/>
  <c r="J655" i="4"/>
  <c r="B656" i="4"/>
  <c r="C656" i="4"/>
  <c r="D656" i="4"/>
  <c r="E656" i="4"/>
  <c r="F656" i="4"/>
  <c r="G656" i="4"/>
  <c r="H656" i="4"/>
  <c r="I656" i="4"/>
  <c r="J656" i="4"/>
  <c r="B657" i="4"/>
  <c r="C657" i="4"/>
  <c r="D657" i="4"/>
  <c r="E657" i="4"/>
  <c r="F657" i="4"/>
  <c r="G657" i="4"/>
  <c r="H657" i="4"/>
  <c r="I657" i="4"/>
  <c r="J657" i="4"/>
  <c r="B658" i="4"/>
  <c r="C658" i="4"/>
  <c r="D658" i="4"/>
  <c r="E658" i="4"/>
  <c r="F658" i="4"/>
  <c r="G658" i="4"/>
  <c r="H658" i="4"/>
  <c r="I658" i="4"/>
  <c r="J658" i="4"/>
  <c r="B659" i="4"/>
  <c r="C659" i="4"/>
  <c r="D659" i="4"/>
  <c r="E659" i="4"/>
  <c r="F659" i="4"/>
  <c r="G659" i="4"/>
  <c r="H659" i="4"/>
  <c r="I659" i="4"/>
  <c r="J659" i="4"/>
  <c r="B660" i="4"/>
  <c r="C660" i="4"/>
  <c r="C1123" i="4" s="1"/>
  <c r="D660" i="4"/>
  <c r="E660" i="4"/>
  <c r="F660" i="4"/>
  <c r="G660" i="4"/>
  <c r="G1123" i="4" s="1"/>
  <c r="H660" i="4"/>
  <c r="I660" i="4"/>
  <c r="J660" i="4"/>
  <c r="B661" i="4"/>
  <c r="C661" i="4"/>
  <c r="D661" i="4"/>
  <c r="E661" i="4"/>
  <c r="F661" i="4"/>
  <c r="G661" i="4"/>
  <c r="H661" i="4"/>
  <c r="I661" i="4"/>
  <c r="J661" i="4"/>
  <c r="B662" i="4"/>
  <c r="C662" i="4"/>
  <c r="D662" i="4"/>
  <c r="E662" i="4"/>
  <c r="F662" i="4"/>
  <c r="G662" i="4"/>
  <c r="H662" i="4"/>
  <c r="I662" i="4"/>
  <c r="I1123" i="4" s="1"/>
  <c r="J662" i="4"/>
  <c r="B663" i="4"/>
  <c r="C663" i="4"/>
  <c r="D663" i="4"/>
  <c r="E663" i="4"/>
  <c r="F663" i="4"/>
  <c r="G663" i="4"/>
  <c r="H663" i="4"/>
  <c r="I663" i="4"/>
  <c r="J663" i="4"/>
  <c r="B664" i="4"/>
  <c r="C664" i="4"/>
  <c r="D664" i="4"/>
  <c r="E664" i="4"/>
  <c r="F664" i="4"/>
  <c r="G664" i="4"/>
  <c r="H664" i="4"/>
  <c r="I664" i="4"/>
  <c r="J664" i="4"/>
  <c r="B665" i="4"/>
  <c r="C665" i="4"/>
  <c r="D665" i="4"/>
  <c r="E665" i="4"/>
  <c r="F665" i="4"/>
  <c r="G665" i="4"/>
  <c r="H665" i="4"/>
  <c r="I665" i="4"/>
  <c r="J665" i="4"/>
  <c r="B666" i="4"/>
  <c r="C666" i="4"/>
  <c r="D666" i="4"/>
  <c r="E666" i="4"/>
  <c r="F666" i="4"/>
  <c r="G666" i="4"/>
  <c r="H666" i="4"/>
  <c r="I666" i="4"/>
  <c r="J666" i="4"/>
  <c r="B667" i="4"/>
  <c r="C667" i="4"/>
  <c r="D667" i="4"/>
  <c r="E667" i="4"/>
  <c r="F667" i="4"/>
  <c r="G667" i="4"/>
  <c r="H667" i="4"/>
  <c r="I667" i="4"/>
  <c r="J667" i="4"/>
  <c r="B668" i="4"/>
  <c r="C668" i="4"/>
  <c r="D668" i="4"/>
  <c r="E668" i="4"/>
  <c r="F668" i="4"/>
  <c r="G668" i="4"/>
  <c r="H668" i="4"/>
  <c r="I668" i="4"/>
  <c r="J668" i="4"/>
  <c r="B669" i="4"/>
  <c r="C669" i="4"/>
  <c r="D669" i="4"/>
  <c r="E669" i="4"/>
  <c r="F669" i="4"/>
  <c r="G669" i="4"/>
  <c r="H669" i="4"/>
  <c r="I669" i="4"/>
  <c r="J669" i="4"/>
  <c r="B670" i="4"/>
  <c r="C670" i="4"/>
  <c r="D670" i="4"/>
  <c r="E670" i="4"/>
  <c r="F670" i="4"/>
  <c r="G670" i="4"/>
  <c r="H670" i="4"/>
  <c r="I670" i="4"/>
  <c r="J670" i="4"/>
  <c r="B671" i="4"/>
  <c r="C671" i="4"/>
  <c r="D671" i="4"/>
  <c r="E671" i="4"/>
  <c r="F671" i="4"/>
  <c r="G671" i="4"/>
  <c r="H671" i="4"/>
  <c r="I671" i="4"/>
  <c r="J671" i="4"/>
  <c r="B672" i="4"/>
  <c r="C672" i="4"/>
  <c r="D672" i="4"/>
  <c r="E672" i="4"/>
  <c r="F672" i="4"/>
  <c r="G672" i="4"/>
  <c r="G1124" i="4" s="1"/>
  <c r="H672" i="4"/>
  <c r="I672" i="4"/>
  <c r="J672" i="4"/>
  <c r="B673" i="4"/>
  <c r="C673" i="4"/>
  <c r="D673" i="4"/>
  <c r="E673" i="4"/>
  <c r="F673" i="4"/>
  <c r="G673" i="4"/>
  <c r="H673" i="4"/>
  <c r="I673" i="4"/>
  <c r="J673" i="4"/>
  <c r="B674" i="4"/>
  <c r="C674" i="4"/>
  <c r="D674" i="4"/>
  <c r="E674" i="4"/>
  <c r="E1124" i="4" s="1"/>
  <c r="F674" i="4"/>
  <c r="G674" i="4"/>
  <c r="H674" i="4"/>
  <c r="I674" i="4"/>
  <c r="I1124" i="4" s="1"/>
  <c r="J674" i="4"/>
  <c r="B675" i="4"/>
  <c r="C675" i="4"/>
  <c r="D675" i="4"/>
  <c r="E675" i="4"/>
  <c r="F675" i="4"/>
  <c r="G675" i="4"/>
  <c r="H675" i="4"/>
  <c r="I675" i="4"/>
  <c r="J675" i="4"/>
  <c r="B676" i="4"/>
  <c r="C676" i="4"/>
  <c r="D676" i="4"/>
  <c r="E676" i="4"/>
  <c r="F676" i="4"/>
  <c r="G676" i="4"/>
  <c r="H676" i="4"/>
  <c r="I676" i="4"/>
  <c r="J676" i="4"/>
  <c r="B677" i="4"/>
  <c r="C677" i="4"/>
  <c r="D677" i="4"/>
  <c r="E677" i="4"/>
  <c r="F677" i="4"/>
  <c r="G677" i="4"/>
  <c r="H677" i="4"/>
  <c r="I677" i="4"/>
  <c r="J677" i="4"/>
  <c r="B678" i="4"/>
  <c r="C678" i="4"/>
  <c r="D678" i="4"/>
  <c r="E678" i="4"/>
  <c r="F678" i="4"/>
  <c r="G678" i="4"/>
  <c r="H678" i="4"/>
  <c r="I678" i="4"/>
  <c r="J678" i="4"/>
  <c r="B679" i="4"/>
  <c r="C679" i="4"/>
  <c r="D679" i="4"/>
  <c r="E679" i="4"/>
  <c r="F679" i="4"/>
  <c r="G679" i="4"/>
  <c r="H679" i="4"/>
  <c r="I679" i="4"/>
  <c r="J679" i="4"/>
  <c r="B680" i="4"/>
  <c r="C680" i="4"/>
  <c r="D680" i="4"/>
  <c r="E680" i="4"/>
  <c r="F680" i="4"/>
  <c r="G680" i="4"/>
  <c r="H680" i="4"/>
  <c r="I680" i="4"/>
  <c r="J680" i="4"/>
  <c r="B681" i="4"/>
  <c r="C681" i="4"/>
  <c r="D681" i="4"/>
  <c r="E681" i="4"/>
  <c r="F681" i="4"/>
  <c r="G681" i="4"/>
  <c r="H681" i="4"/>
  <c r="I681" i="4"/>
  <c r="J681" i="4"/>
  <c r="B682" i="4"/>
  <c r="C682" i="4"/>
  <c r="D682" i="4"/>
  <c r="E682" i="4"/>
  <c r="F682" i="4"/>
  <c r="G682" i="4"/>
  <c r="H682" i="4"/>
  <c r="I682" i="4"/>
  <c r="J682" i="4"/>
  <c r="B683" i="4"/>
  <c r="C683" i="4"/>
  <c r="D683" i="4"/>
  <c r="E683" i="4"/>
  <c r="F683" i="4"/>
  <c r="G683" i="4"/>
  <c r="H683" i="4"/>
  <c r="I683" i="4"/>
  <c r="J683" i="4"/>
  <c r="B684" i="4"/>
  <c r="C684" i="4"/>
  <c r="C1125" i="4" s="1"/>
  <c r="D684" i="4"/>
  <c r="E684" i="4"/>
  <c r="F684" i="4"/>
  <c r="G684" i="4"/>
  <c r="G1125" i="4" s="1"/>
  <c r="H684" i="4"/>
  <c r="I684" i="4"/>
  <c r="J684" i="4"/>
  <c r="B685" i="4"/>
  <c r="C685" i="4"/>
  <c r="D685" i="4"/>
  <c r="E685" i="4"/>
  <c r="F685" i="4"/>
  <c r="G685" i="4"/>
  <c r="H685" i="4"/>
  <c r="I685" i="4"/>
  <c r="J685" i="4"/>
  <c r="B686" i="4"/>
  <c r="C686" i="4"/>
  <c r="D686" i="4"/>
  <c r="E686" i="4"/>
  <c r="E1125" i="4" s="1"/>
  <c r="F686" i="4"/>
  <c r="G686" i="4"/>
  <c r="H686" i="4"/>
  <c r="I686" i="4"/>
  <c r="J686" i="4"/>
  <c r="B687" i="4"/>
  <c r="C687" i="4"/>
  <c r="D687" i="4"/>
  <c r="E687" i="4"/>
  <c r="F687" i="4"/>
  <c r="G687" i="4"/>
  <c r="H687" i="4"/>
  <c r="I687" i="4"/>
  <c r="J687" i="4"/>
  <c r="B688" i="4"/>
  <c r="C688" i="4"/>
  <c r="D688" i="4"/>
  <c r="E688" i="4"/>
  <c r="F688" i="4"/>
  <c r="G688" i="4"/>
  <c r="H688" i="4"/>
  <c r="I688" i="4"/>
  <c r="J688" i="4"/>
  <c r="B689" i="4"/>
  <c r="C689" i="4"/>
  <c r="D689" i="4"/>
  <c r="E689" i="4"/>
  <c r="F689" i="4"/>
  <c r="G689" i="4"/>
  <c r="H689" i="4"/>
  <c r="I689" i="4"/>
  <c r="J689" i="4"/>
  <c r="B690" i="4"/>
  <c r="C690" i="4"/>
  <c r="D690" i="4"/>
  <c r="E690" i="4"/>
  <c r="F690" i="4"/>
  <c r="G690" i="4"/>
  <c r="H690" i="4"/>
  <c r="I690" i="4"/>
  <c r="J690" i="4"/>
  <c r="B691" i="4"/>
  <c r="C691" i="4"/>
  <c r="D691" i="4"/>
  <c r="E691" i="4"/>
  <c r="F691" i="4"/>
  <c r="G691" i="4"/>
  <c r="H691" i="4"/>
  <c r="I691" i="4"/>
  <c r="J691" i="4"/>
  <c r="B692" i="4"/>
  <c r="C692" i="4"/>
  <c r="D692" i="4"/>
  <c r="E692" i="4"/>
  <c r="F692" i="4"/>
  <c r="G692" i="4"/>
  <c r="H692" i="4"/>
  <c r="I692" i="4"/>
  <c r="J692" i="4"/>
  <c r="B693" i="4"/>
  <c r="C693" i="4"/>
  <c r="D693" i="4"/>
  <c r="E693" i="4"/>
  <c r="F693" i="4"/>
  <c r="G693" i="4"/>
  <c r="H693" i="4"/>
  <c r="I693" i="4"/>
  <c r="J693" i="4"/>
  <c r="B694" i="4"/>
  <c r="C694" i="4"/>
  <c r="D694" i="4"/>
  <c r="E694" i="4"/>
  <c r="F694" i="4"/>
  <c r="G694" i="4"/>
  <c r="H694" i="4"/>
  <c r="I694" i="4"/>
  <c r="J694" i="4"/>
  <c r="B695" i="4"/>
  <c r="C695" i="4"/>
  <c r="D695" i="4"/>
  <c r="E695" i="4"/>
  <c r="F695" i="4"/>
  <c r="G695" i="4"/>
  <c r="H695" i="4"/>
  <c r="I695" i="4"/>
  <c r="J695" i="4"/>
  <c r="B696" i="4"/>
  <c r="C696" i="4"/>
  <c r="C1126" i="4" s="1"/>
  <c r="D696" i="4"/>
  <c r="E696" i="4"/>
  <c r="F696" i="4"/>
  <c r="G696" i="4"/>
  <c r="H696" i="4"/>
  <c r="I696" i="4"/>
  <c r="J696" i="4"/>
  <c r="B697" i="4"/>
  <c r="C697" i="4"/>
  <c r="D697" i="4"/>
  <c r="E697" i="4"/>
  <c r="F697" i="4"/>
  <c r="G697" i="4"/>
  <c r="H697" i="4"/>
  <c r="I697" i="4"/>
  <c r="J697" i="4"/>
  <c r="B698" i="4"/>
  <c r="C698" i="4"/>
  <c r="D698" i="4"/>
  <c r="E698" i="4"/>
  <c r="E1126" i="4" s="1"/>
  <c r="F698" i="4"/>
  <c r="G698" i="4"/>
  <c r="H698" i="4"/>
  <c r="I698" i="4"/>
  <c r="I1126" i="4" s="1"/>
  <c r="J698" i="4"/>
  <c r="B699" i="4"/>
  <c r="C699" i="4"/>
  <c r="D699" i="4"/>
  <c r="E699" i="4"/>
  <c r="F699" i="4"/>
  <c r="G699" i="4"/>
  <c r="H699" i="4"/>
  <c r="I699" i="4"/>
  <c r="J699" i="4"/>
  <c r="B700" i="4"/>
  <c r="C700" i="4"/>
  <c r="D700" i="4"/>
  <c r="E700" i="4"/>
  <c r="F700" i="4"/>
  <c r="G700" i="4"/>
  <c r="H700" i="4"/>
  <c r="I700" i="4"/>
  <c r="J700" i="4"/>
  <c r="B701" i="4"/>
  <c r="C701" i="4"/>
  <c r="D701" i="4"/>
  <c r="E701" i="4"/>
  <c r="F701" i="4"/>
  <c r="G701" i="4"/>
  <c r="H701" i="4"/>
  <c r="I701" i="4"/>
  <c r="J701" i="4"/>
  <c r="B702" i="4"/>
  <c r="C702" i="4"/>
  <c r="D702" i="4"/>
  <c r="E702" i="4"/>
  <c r="F702" i="4"/>
  <c r="G702" i="4"/>
  <c r="H702" i="4"/>
  <c r="I702" i="4"/>
  <c r="J702" i="4"/>
  <c r="B703" i="4"/>
  <c r="C703" i="4"/>
  <c r="D703" i="4"/>
  <c r="E703" i="4"/>
  <c r="F703" i="4"/>
  <c r="G703" i="4"/>
  <c r="H703" i="4"/>
  <c r="I703" i="4"/>
  <c r="J703" i="4"/>
  <c r="B704" i="4"/>
  <c r="C704" i="4"/>
  <c r="D704" i="4"/>
  <c r="E704" i="4"/>
  <c r="F704" i="4"/>
  <c r="G704" i="4"/>
  <c r="H704" i="4"/>
  <c r="I704" i="4"/>
  <c r="J704" i="4"/>
  <c r="B705" i="4"/>
  <c r="C705" i="4"/>
  <c r="D705" i="4"/>
  <c r="E705" i="4"/>
  <c r="F705" i="4"/>
  <c r="G705" i="4"/>
  <c r="H705" i="4"/>
  <c r="I705" i="4"/>
  <c r="J705" i="4"/>
  <c r="B706" i="4"/>
  <c r="C706" i="4"/>
  <c r="D706" i="4"/>
  <c r="E706" i="4"/>
  <c r="F706" i="4"/>
  <c r="G706" i="4"/>
  <c r="H706" i="4"/>
  <c r="I706" i="4"/>
  <c r="J706" i="4"/>
  <c r="B707" i="4"/>
  <c r="C707" i="4"/>
  <c r="D707" i="4"/>
  <c r="E707" i="4"/>
  <c r="F707" i="4"/>
  <c r="G707" i="4"/>
  <c r="H707" i="4"/>
  <c r="I707" i="4"/>
  <c r="J707" i="4"/>
  <c r="B708" i="4"/>
  <c r="C708" i="4"/>
  <c r="C1127" i="4" s="1"/>
  <c r="D708" i="4"/>
  <c r="E708" i="4"/>
  <c r="F708" i="4"/>
  <c r="G708" i="4"/>
  <c r="G1127" i="4" s="1"/>
  <c r="H708" i="4"/>
  <c r="I708" i="4"/>
  <c r="J708" i="4"/>
  <c r="B709" i="4"/>
  <c r="C709" i="4"/>
  <c r="D709" i="4"/>
  <c r="E709" i="4"/>
  <c r="F709" i="4"/>
  <c r="G709" i="4"/>
  <c r="H709" i="4"/>
  <c r="I709" i="4"/>
  <c r="J709" i="4"/>
  <c r="B710" i="4"/>
  <c r="C710" i="4"/>
  <c r="D710" i="4"/>
  <c r="E710" i="4"/>
  <c r="F710" i="4"/>
  <c r="G710" i="4"/>
  <c r="H710" i="4"/>
  <c r="I710" i="4"/>
  <c r="I1127" i="4" s="1"/>
  <c r="J710" i="4"/>
  <c r="B711" i="4"/>
  <c r="C711" i="4"/>
  <c r="D711" i="4"/>
  <c r="E711" i="4"/>
  <c r="F711" i="4"/>
  <c r="G711" i="4"/>
  <c r="H711" i="4"/>
  <c r="I711" i="4"/>
  <c r="J711" i="4"/>
  <c r="B712" i="4"/>
  <c r="C712" i="4"/>
  <c r="D712" i="4"/>
  <c r="E712" i="4"/>
  <c r="F712" i="4"/>
  <c r="G712" i="4"/>
  <c r="H712" i="4"/>
  <c r="I712" i="4"/>
  <c r="J712" i="4"/>
  <c r="B713" i="4"/>
  <c r="C713" i="4"/>
  <c r="D713" i="4"/>
  <c r="E713" i="4"/>
  <c r="F713" i="4"/>
  <c r="G713" i="4"/>
  <c r="H713" i="4"/>
  <c r="I713" i="4"/>
  <c r="J713" i="4"/>
  <c r="B714" i="4"/>
  <c r="C714" i="4"/>
  <c r="D714" i="4"/>
  <c r="E714" i="4"/>
  <c r="F714" i="4"/>
  <c r="G714" i="4"/>
  <c r="H714" i="4"/>
  <c r="I714" i="4"/>
  <c r="J714" i="4"/>
  <c r="B715" i="4"/>
  <c r="C715" i="4"/>
  <c r="D715" i="4"/>
  <c r="E715" i="4"/>
  <c r="F715" i="4"/>
  <c r="G715" i="4"/>
  <c r="H715" i="4"/>
  <c r="I715" i="4"/>
  <c r="J715" i="4"/>
  <c r="B716" i="4"/>
  <c r="C716" i="4"/>
  <c r="D716" i="4"/>
  <c r="E716" i="4"/>
  <c r="F716" i="4"/>
  <c r="G716" i="4"/>
  <c r="H716" i="4"/>
  <c r="I716" i="4"/>
  <c r="J716" i="4"/>
  <c r="B717" i="4"/>
  <c r="C717" i="4"/>
  <c r="D717" i="4"/>
  <c r="E717" i="4"/>
  <c r="F717" i="4"/>
  <c r="G717" i="4"/>
  <c r="H717" i="4"/>
  <c r="I717" i="4"/>
  <c r="J717" i="4"/>
  <c r="B718" i="4"/>
  <c r="C718" i="4"/>
  <c r="D718" i="4"/>
  <c r="E718" i="4"/>
  <c r="F718" i="4"/>
  <c r="G718" i="4"/>
  <c r="H718" i="4"/>
  <c r="I718" i="4"/>
  <c r="J718" i="4"/>
  <c r="B719" i="4"/>
  <c r="C719" i="4"/>
  <c r="D719" i="4"/>
  <c r="E719" i="4"/>
  <c r="F719" i="4"/>
  <c r="G719" i="4"/>
  <c r="H719" i="4"/>
  <c r="I719" i="4"/>
  <c r="J719" i="4"/>
  <c r="B720" i="4"/>
  <c r="C720" i="4"/>
  <c r="D720" i="4"/>
  <c r="E720" i="4"/>
  <c r="F720" i="4"/>
  <c r="G720" i="4"/>
  <c r="G1128" i="4" s="1"/>
  <c r="H720" i="4"/>
  <c r="I720" i="4"/>
  <c r="J720" i="4"/>
  <c r="B721" i="4"/>
  <c r="C721" i="4"/>
  <c r="D721" i="4"/>
  <c r="E721" i="4"/>
  <c r="F721" i="4"/>
  <c r="G721" i="4"/>
  <c r="H721" i="4"/>
  <c r="I721" i="4"/>
  <c r="J721" i="4"/>
  <c r="B722" i="4"/>
  <c r="C722" i="4"/>
  <c r="D722" i="4"/>
  <c r="E722" i="4"/>
  <c r="E1128" i="4" s="1"/>
  <c r="F722" i="4"/>
  <c r="G722" i="4"/>
  <c r="H722" i="4"/>
  <c r="I722" i="4"/>
  <c r="I1128" i="4" s="1"/>
  <c r="J722" i="4"/>
  <c r="B723" i="4"/>
  <c r="C723" i="4"/>
  <c r="D723" i="4"/>
  <c r="E723" i="4"/>
  <c r="F723" i="4"/>
  <c r="G723" i="4"/>
  <c r="H723" i="4"/>
  <c r="I723" i="4"/>
  <c r="J723" i="4"/>
  <c r="B724" i="4"/>
  <c r="C724" i="4"/>
  <c r="D724" i="4"/>
  <c r="E724" i="4"/>
  <c r="F724" i="4"/>
  <c r="G724" i="4"/>
  <c r="H724" i="4"/>
  <c r="I724" i="4"/>
  <c r="J724" i="4"/>
  <c r="B725" i="4"/>
  <c r="C725" i="4"/>
  <c r="D725" i="4"/>
  <c r="E725" i="4"/>
  <c r="F725" i="4"/>
  <c r="G725" i="4"/>
  <c r="H725" i="4"/>
  <c r="I725" i="4"/>
  <c r="J725" i="4"/>
  <c r="B726" i="4"/>
  <c r="C726" i="4"/>
  <c r="D726" i="4"/>
  <c r="E726" i="4"/>
  <c r="F726" i="4"/>
  <c r="G726" i="4"/>
  <c r="H726" i="4"/>
  <c r="I726" i="4"/>
  <c r="J726" i="4"/>
  <c r="B727" i="4"/>
  <c r="C727" i="4"/>
  <c r="D727" i="4"/>
  <c r="E727" i="4"/>
  <c r="F727" i="4"/>
  <c r="G727" i="4"/>
  <c r="H727" i="4"/>
  <c r="I727" i="4"/>
  <c r="J727" i="4"/>
  <c r="B728" i="4"/>
  <c r="C728" i="4"/>
  <c r="D728" i="4"/>
  <c r="E728" i="4"/>
  <c r="F728" i="4"/>
  <c r="G728" i="4"/>
  <c r="H728" i="4"/>
  <c r="I728" i="4"/>
  <c r="J728" i="4"/>
  <c r="B729" i="4"/>
  <c r="C729" i="4"/>
  <c r="D729" i="4"/>
  <c r="E729" i="4"/>
  <c r="F729" i="4"/>
  <c r="G729" i="4"/>
  <c r="H729" i="4"/>
  <c r="I729" i="4"/>
  <c r="J729" i="4"/>
  <c r="B730" i="4"/>
  <c r="C730" i="4"/>
  <c r="D730" i="4"/>
  <c r="E730" i="4"/>
  <c r="F730" i="4"/>
  <c r="G730" i="4"/>
  <c r="H730" i="4"/>
  <c r="I730" i="4"/>
  <c r="J730" i="4"/>
  <c r="B731" i="4"/>
  <c r="C731" i="4"/>
  <c r="D731" i="4"/>
  <c r="E731" i="4"/>
  <c r="F731" i="4"/>
  <c r="G731" i="4"/>
  <c r="H731" i="4"/>
  <c r="I731" i="4"/>
  <c r="J731" i="4"/>
  <c r="B732" i="4"/>
  <c r="C732" i="4"/>
  <c r="C1129" i="4" s="1"/>
  <c r="D732" i="4"/>
  <c r="E732" i="4"/>
  <c r="F732" i="4"/>
  <c r="G732" i="4"/>
  <c r="G1129" i="4" s="1"/>
  <c r="H732" i="4"/>
  <c r="I732" i="4"/>
  <c r="J732" i="4"/>
  <c r="B733" i="4"/>
  <c r="C733" i="4"/>
  <c r="D733" i="4"/>
  <c r="E733" i="4"/>
  <c r="F733" i="4"/>
  <c r="G733" i="4"/>
  <c r="H733" i="4"/>
  <c r="I733" i="4"/>
  <c r="J733" i="4"/>
  <c r="B734" i="4"/>
  <c r="C734" i="4"/>
  <c r="D734" i="4"/>
  <c r="E734" i="4"/>
  <c r="E1129" i="4" s="1"/>
  <c r="F734" i="4"/>
  <c r="G734" i="4"/>
  <c r="H734" i="4"/>
  <c r="I734" i="4"/>
  <c r="J734" i="4"/>
  <c r="B735" i="4"/>
  <c r="C735" i="4"/>
  <c r="D735" i="4"/>
  <c r="E735" i="4"/>
  <c r="F735" i="4"/>
  <c r="G735" i="4"/>
  <c r="H735" i="4"/>
  <c r="I735" i="4"/>
  <c r="J735" i="4"/>
  <c r="B736" i="4"/>
  <c r="C736" i="4"/>
  <c r="D736" i="4"/>
  <c r="E736" i="4"/>
  <c r="F736" i="4"/>
  <c r="G736" i="4"/>
  <c r="H736" i="4"/>
  <c r="I736" i="4"/>
  <c r="J736" i="4"/>
  <c r="B737" i="4"/>
  <c r="C737" i="4"/>
  <c r="D737" i="4"/>
  <c r="E737" i="4"/>
  <c r="F737" i="4"/>
  <c r="G737" i="4"/>
  <c r="H737" i="4"/>
  <c r="I737" i="4"/>
  <c r="J737" i="4"/>
  <c r="B738" i="4"/>
  <c r="C738" i="4"/>
  <c r="D738" i="4"/>
  <c r="E738" i="4"/>
  <c r="F738" i="4"/>
  <c r="G738" i="4"/>
  <c r="H738" i="4"/>
  <c r="I738" i="4"/>
  <c r="J738" i="4"/>
  <c r="B739" i="4"/>
  <c r="C739" i="4"/>
  <c r="D739" i="4"/>
  <c r="E739" i="4"/>
  <c r="F739" i="4"/>
  <c r="G739" i="4"/>
  <c r="H739" i="4"/>
  <c r="I739" i="4"/>
  <c r="J739" i="4"/>
  <c r="B740" i="4"/>
  <c r="C740" i="4"/>
  <c r="D740" i="4"/>
  <c r="E740" i="4"/>
  <c r="F740" i="4"/>
  <c r="G740" i="4"/>
  <c r="H740" i="4"/>
  <c r="I740" i="4"/>
  <c r="J740" i="4"/>
  <c r="B741" i="4"/>
  <c r="C741" i="4"/>
  <c r="D741" i="4"/>
  <c r="E741" i="4"/>
  <c r="F741" i="4"/>
  <c r="G741" i="4"/>
  <c r="H741" i="4"/>
  <c r="I741" i="4"/>
  <c r="J741" i="4"/>
  <c r="B742" i="4"/>
  <c r="C742" i="4"/>
  <c r="D742" i="4"/>
  <c r="E742" i="4"/>
  <c r="F742" i="4"/>
  <c r="G742" i="4"/>
  <c r="H742" i="4"/>
  <c r="I742" i="4"/>
  <c r="J742" i="4"/>
  <c r="B743" i="4"/>
  <c r="C743" i="4"/>
  <c r="D743" i="4"/>
  <c r="E743" i="4"/>
  <c r="F743" i="4"/>
  <c r="G743" i="4"/>
  <c r="H743" i="4"/>
  <c r="I743" i="4"/>
  <c r="J743" i="4"/>
  <c r="B744" i="4"/>
  <c r="C744" i="4"/>
  <c r="C1130" i="4" s="1"/>
  <c r="D744" i="4"/>
  <c r="E744" i="4"/>
  <c r="F744" i="4"/>
  <c r="G744" i="4"/>
  <c r="H744" i="4"/>
  <c r="I744" i="4"/>
  <c r="J744" i="4"/>
  <c r="B745" i="4"/>
  <c r="C745" i="4"/>
  <c r="D745" i="4"/>
  <c r="E745" i="4"/>
  <c r="F745" i="4"/>
  <c r="G745" i="4"/>
  <c r="H745" i="4"/>
  <c r="I745" i="4"/>
  <c r="J745" i="4"/>
  <c r="B746" i="4"/>
  <c r="C746" i="4"/>
  <c r="D746" i="4"/>
  <c r="E746" i="4"/>
  <c r="E1130" i="4" s="1"/>
  <c r="F746" i="4"/>
  <c r="G746" i="4"/>
  <c r="H746" i="4"/>
  <c r="I746" i="4"/>
  <c r="I1130" i="4" s="1"/>
  <c r="J746" i="4"/>
  <c r="B747" i="4"/>
  <c r="C747" i="4"/>
  <c r="D747" i="4"/>
  <c r="E747" i="4"/>
  <c r="F747" i="4"/>
  <c r="G747" i="4"/>
  <c r="H747" i="4"/>
  <c r="I747" i="4"/>
  <c r="J747" i="4"/>
  <c r="B748" i="4"/>
  <c r="C748" i="4"/>
  <c r="D748" i="4"/>
  <c r="E748" i="4"/>
  <c r="F748" i="4"/>
  <c r="G748" i="4"/>
  <c r="H748" i="4"/>
  <c r="I748" i="4"/>
  <c r="J748" i="4"/>
  <c r="B749" i="4"/>
  <c r="C749" i="4"/>
  <c r="D749" i="4"/>
  <c r="E749" i="4"/>
  <c r="F749" i="4"/>
  <c r="G749" i="4"/>
  <c r="H749" i="4"/>
  <c r="I749" i="4"/>
  <c r="J749" i="4"/>
  <c r="B750" i="4"/>
  <c r="C750" i="4"/>
  <c r="D750" i="4"/>
  <c r="E750" i="4"/>
  <c r="F750" i="4"/>
  <c r="G750" i="4"/>
  <c r="H750" i="4"/>
  <c r="I750" i="4"/>
  <c r="J750" i="4"/>
  <c r="B751" i="4"/>
  <c r="C751" i="4"/>
  <c r="D751" i="4"/>
  <c r="E751" i="4"/>
  <c r="F751" i="4"/>
  <c r="G751" i="4"/>
  <c r="H751" i="4"/>
  <c r="I751" i="4"/>
  <c r="J751" i="4"/>
  <c r="B752" i="4"/>
  <c r="C752" i="4"/>
  <c r="D752" i="4"/>
  <c r="E752" i="4"/>
  <c r="F752" i="4"/>
  <c r="G752" i="4"/>
  <c r="H752" i="4"/>
  <c r="I752" i="4"/>
  <c r="J752" i="4"/>
  <c r="B753" i="4"/>
  <c r="C753" i="4"/>
  <c r="D753" i="4"/>
  <c r="E753" i="4"/>
  <c r="F753" i="4"/>
  <c r="G753" i="4"/>
  <c r="H753" i="4"/>
  <c r="I753" i="4"/>
  <c r="J753" i="4"/>
  <c r="B754" i="4"/>
  <c r="C754" i="4"/>
  <c r="D754" i="4"/>
  <c r="E754" i="4"/>
  <c r="F754" i="4"/>
  <c r="G754" i="4"/>
  <c r="H754" i="4"/>
  <c r="I754" i="4"/>
  <c r="J754" i="4"/>
  <c r="B755" i="4"/>
  <c r="C755" i="4"/>
  <c r="D755" i="4"/>
  <c r="E755" i="4"/>
  <c r="F755" i="4"/>
  <c r="G755" i="4"/>
  <c r="H755" i="4"/>
  <c r="I755" i="4"/>
  <c r="J755" i="4"/>
  <c r="B756" i="4"/>
  <c r="C756" i="4"/>
  <c r="C1131" i="4" s="1"/>
  <c r="D756" i="4"/>
  <c r="E756" i="4"/>
  <c r="F756" i="4"/>
  <c r="G756" i="4"/>
  <c r="G1131" i="4" s="1"/>
  <c r="H756" i="4"/>
  <c r="I756" i="4"/>
  <c r="J756" i="4"/>
  <c r="B757" i="4"/>
  <c r="C757" i="4"/>
  <c r="D757" i="4"/>
  <c r="E757" i="4"/>
  <c r="F757" i="4"/>
  <c r="G757" i="4"/>
  <c r="H757" i="4"/>
  <c r="I757" i="4"/>
  <c r="J757" i="4"/>
  <c r="B758" i="4"/>
  <c r="C758" i="4"/>
  <c r="D758" i="4"/>
  <c r="E758" i="4"/>
  <c r="F758" i="4"/>
  <c r="G758" i="4"/>
  <c r="H758" i="4"/>
  <c r="I758" i="4"/>
  <c r="I1131" i="4" s="1"/>
  <c r="J758" i="4"/>
  <c r="B759" i="4"/>
  <c r="C759" i="4"/>
  <c r="D759" i="4"/>
  <c r="E759" i="4"/>
  <c r="F759" i="4"/>
  <c r="G759" i="4"/>
  <c r="H759" i="4"/>
  <c r="I759" i="4"/>
  <c r="J759" i="4"/>
  <c r="B760" i="4"/>
  <c r="C760" i="4"/>
  <c r="D760" i="4"/>
  <c r="E760" i="4"/>
  <c r="F760" i="4"/>
  <c r="G760" i="4"/>
  <c r="H760" i="4"/>
  <c r="I760" i="4"/>
  <c r="J760" i="4"/>
  <c r="B761" i="4"/>
  <c r="C761" i="4"/>
  <c r="D761" i="4"/>
  <c r="E761" i="4"/>
  <c r="F761" i="4"/>
  <c r="G761" i="4"/>
  <c r="H761" i="4"/>
  <c r="I761" i="4"/>
  <c r="J761" i="4"/>
  <c r="B762" i="4"/>
  <c r="C762" i="4"/>
  <c r="D762" i="4"/>
  <c r="E762" i="4"/>
  <c r="F762" i="4"/>
  <c r="G762" i="4"/>
  <c r="H762" i="4"/>
  <c r="I762" i="4"/>
  <c r="J762" i="4"/>
  <c r="B763" i="4"/>
  <c r="C763" i="4"/>
  <c r="D763" i="4"/>
  <c r="E763" i="4"/>
  <c r="F763" i="4"/>
  <c r="G763" i="4"/>
  <c r="H763" i="4"/>
  <c r="I763" i="4"/>
  <c r="J763" i="4"/>
  <c r="B764" i="4"/>
  <c r="C764" i="4"/>
  <c r="D764" i="4"/>
  <c r="E764" i="4"/>
  <c r="F764" i="4"/>
  <c r="G764" i="4"/>
  <c r="H764" i="4"/>
  <c r="I764" i="4"/>
  <c r="J764" i="4"/>
  <c r="B765" i="4"/>
  <c r="C765" i="4"/>
  <c r="D765" i="4"/>
  <c r="E765" i="4"/>
  <c r="F765" i="4"/>
  <c r="G765" i="4"/>
  <c r="H765" i="4"/>
  <c r="I765" i="4"/>
  <c r="J765" i="4"/>
  <c r="B766" i="4"/>
  <c r="C766" i="4"/>
  <c r="D766" i="4"/>
  <c r="E766" i="4"/>
  <c r="F766" i="4"/>
  <c r="G766" i="4"/>
  <c r="H766" i="4"/>
  <c r="I766" i="4"/>
  <c r="J766" i="4"/>
  <c r="B767" i="4"/>
  <c r="C767" i="4"/>
  <c r="D767" i="4"/>
  <c r="E767" i="4"/>
  <c r="F767" i="4"/>
  <c r="G767" i="4"/>
  <c r="H767" i="4"/>
  <c r="I767" i="4"/>
  <c r="J767" i="4"/>
  <c r="B768" i="4"/>
  <c r="C768" i="4"/>
  <c r="D768" i="4"/>
  <c r="E768" i="4"/>
  <c r="F768" i="4"/>
  <c r="G768" i="4"/>
  <c r="G1132" i="4" s="1"/>
  <c r="H768" i="4"/>
  <c r="I768" i="4"/>
  <c r="J768" i="4"/>
  <c r="B769" i="4"/>
  <c r="C769" i="4"/>
  <c r="D769" i="4"/>
  <c r="E769" i="4"/>
  <c r="F769" i="4"/>
  <c r="G769" i="4"/>
  <c r="H769" i="4"/>
  <c r="I769" i="4"/>
  <c r="J769" i="4"/>
  <c r="B770" i="4"/>
  <c r="C770" i="4"/>
  <c r="D770" i="4"/>
  <c r="E770" i="4"/>
  <c r="E1132" i="4" s="1"/>
  <c r="F770" i="4"/>
  <c r="G770" i="4"/>
  <c r="H770" i="4"/>
  <c r="I770" i="4"/>
  <c r="I1132" i="4" s="1"/>
  <c r="J770" i="4"/>
  <c r="B771" i="4"/>
  <c r="C771" i="4"/>
  <c r="D771" i="4"/>
  <c r="E771" i="4"/>
  <c r="F771" i="4"/>
  <c r="G771" i="4"/>
  <c r="H771" i="4"/>
  <c r="I771" i="4"/>
  <c r="J771" i="4"/>
  <c r="B772" i="4"/>
  <c r="C772" i="4"/>
  <c r="D772" i="4"/>
  <c r="E772" i="4"/>
  <c r="F772" i="4"/>
  <c r="G772" i="4"/>
  <c r="H772" i="4"/>
  <c r="I772" i="4"/>
  <c r="J772" i="4"/>
  <c r="B773" i="4"/>
  <c r="C773" i="4"/>
  <c r="D773" i="4"/>
  <c r="E773" i="4"/>
  <c r="F773" i="4"/>
  <c r="G773" i="4"/>
  <c r="H773" i="4"/>
  <c r="I773" i="4"/>
  <c r="J773" i="4"/>
  <c r="B774" i="4"/>
  <c r="C774" i="4"/>
  <c r="D774" i="4"/>
  <c r="E774" i="4"/>
  <c r="F774" i="4"/>
  <c r="G774" i="4"/>
  <c r="H774" i="4"/>
  <c r="I774" i="4"/>
  <c r="J774" i="4"/>
  <c r="B775" i="4"/>
  <c r="C775" i="4"/>
  <c r="D775" i="4"/>
  <c r="E775" i="4"/>
  <c r="F775" i="4"/>
  <c r="G775" i="4"/>
  <c r="H775" i="4"/>
  <c r="I775" i="4"/>
  <c r="J775" i="4"/>
  <c r="B776" i="4"/>
  <c r="C776" i="4"/>
  <c r="D776" i="4"/>
  <c r="E776" i="4"/>
  <c r="F776" i="4"/>
  <c r="G776" i="4"/>
  <c r="H776" i="4"/>
  <c r="I776" i="4"/>
  <c r="J776" i="4"/>
  <c r="B777" i="4"/>
  <c r="C777" i="4"/>
  <c r="D777" i="4"/>
  <c r="E777" i="4"/>
  <c r="F777" i="4"/>
  <c r="G777" i="4"/>
  <c r="H777" i="4"/>
  <c r="I777" i="4"/>
  <c r="J777" i="4"/>
  <c r="B778" i="4"/>
  <c r="C778" i="4"/>
  <c r="D778" i="4"/>
  <c r="E778" i="4"/>
  <c r="F778" i="4"/>
  <c r="G778" i="4"/>
  <c r="H778" i="4"/>
  <c r="I778" i="4"/>
  <c r="J778" i="4"/>
  <c r="B779" i="4"/>
  <c r="C779" i="4"/>
  <c r="D779" i="4"/>
  <c r="E779" i="4"/>
  <c r="F779" i="4"/>
  <c r="G779" i="4"/>
  <c r="H779" i="4"/>
  <c r="I779" i="4"/>
  <c r="J779" i="4"/>
  <c r="B780" i="4"/>
  <c r="C780" i="4"/>
  <c r="C1133" i="4" s="1"/>
  <c r="D780" i="4"/>
  <c r="E780" i="4"/>
  <c r="F780" i="4"/>
  <c r="G780" i="4"/>
  <c r="G1133" i="4" s="1"/>
  <c r="H780" i="4"/>
  <c r="I780" i="4"/>
  <c r="J780" i="4"/>
  <c r="B781" i="4"/>
  <c r="C781" i="4"/>
  <c r="D781" i="4"/>
  <c r="E781" i="4"/>
  <c r="F781" i="4"/>
  <c r="G781" i="4"/>
  <c r="H781" i="4"/>
  <c r="I781" i="4"/>
  <c r="J781" i="4"/>
  <c r="B782" i="4"/>
  <c r="C782" i="4"/>
  <c r="D782" i="4"/>
  <c r="E782" i="4"/>
  <c r="E1133" i="4" s="1"/>
  <c r="F782" i="4"/>
  <c r="G782" i="4"/>
  <c r="H782" i="4"/>
  <c r="I782" i="4"/>
  <c r="J782" i="4"/>
  <c r="B783" i="4"/>
  <c r="C783" i="4"/>
  <c r="D783" i="4"/>
  <c r="E783" i="4"/>
  <c r="F783" i="4"/>
  <c r="G783" i="4"/>
  <c r="H783" i="4"/>
  <c r="I783" i="4"/>
  <c r="J783" i="4"/>
  <c r="B784" i="4"/>
  <c r="C784" i="4"/>
  <c r="D784" i="4"/>
  <c r="E784" i="4"/>
  <c r="F784" i="4"/>
  <c r="G784" i="4"/>
  <c r="H784" i="4"/>
  <c r="I784" i="4"/>
  <c r="J784" i="4"/>
  <c r="B785" i="4"/>
  <c r="C785" i="4"/>
  <c r="D785" i="4"/>
  <c r="E785" i="4"/>
  <c r="F785" i="4"/>
  <c r="G785" i="4"/>
  <c r="H785" i="4"/>
  <c r="I785" i="4"/>
  <c r="J785" i="4"/>
  <c r="B786" i="4"/>
  <c r="C786" i="4"/>
  <c r="D786" i="4"/>
  <c r="E786" i="4"/>
  <c r="F786" i="4"/>
  <c r="G786" i="4"/>
  <c r="H786" i="4"/>
  <c r="I786" i="4"/>
  <c r="J786" i="4"/>
  <c r="B787" i="4"/>
  <c r="C787" i="4"/>
  <c r="D787" i="4"/>
  <c r="E787" i="4"/>
  <c r="F787" i="4"/>
  <c r="G787" i="4"/>
  <c r="H787" i="4"/>
  <c r="I787" i="4"/>
  <c r="J787" i="4"/>
  <c r="B788" i="4"/>
  <c r="C788" i="4"/>
  <c r="D788" i="4"/>
  <c r="E788" i="4"/>
  <c r="F788" i="4"/>
  <c r="G788" i="4"/>
  <c r="H788" i="4"/>
  <c r="I788" i="4"/>
  <c r="J788" i="4"/>
  <c r="B789" i="4"/>
  <c r="C789" i="4"/>
  <c r="D789" i="4"/>
  <c r="E789" i="4"/>
  <c r="F789" i="4"/>
  <c r="G789" i="4"/>
  <c r="H789" i="4"/>
  <c r="I789" i="4"/>
  <c r="J789" i="4"/>
  <c r="B790" i="4"/>
  <c r="C790" i="4"/>
  <c r="D790" i="4"/>
  <c r="E790" i="4"/>
  <c r="F790" i="4"/>
  <c r="G790" i="4"/>
  <c r="H790" i="4"/>
  <c r="I790" i="4"/>
  <c r="J790" i="4"/>
  <c r="B791" i="4"/>
  <c r="C791" i="4"/>
  <c r="D791" i="4"/>
  <c r="E791" i="4"/>
  <c r="F791" i="4"/>
  <c r="G791" i="4"/>
  <c r="H791" i="4"/>
  <c r="I791" i="4"/>
  <c r="J791" i="4"/>
  <c r="B792" i="4"/>
  <c r="C792" i="4"/>
  <c r="C1134" i="4" s="1"/>
  <c r="D792" i="4"/>
  <c r="E792" i="4"/>
  <c r="F792" i="4"/>
  <c r="G792" i="4"/>
  <c r="H792" i="4"/>
  <c r="I792" i="4"/>
  <c r="J792" i="4"/>
  <c r="B793" i="4"/>
  <c r="C793" i="4"/>
  <c r="D793" i="4"/>
  <c r="E793" i="4"/>
  <c r="F793" i="4"/>
  <c r="G793" i="4"/>
  <c r="H793" i="4"/>
  <c r="I793" i="4"/>
  <c r="J793" i="4"/>
  <c r="B794" i="4"/>
  <c r="C794" i="4"/>
  <c r="D794" i="4"/>
  <c r="E794" i="4"/>
  <c r="E1134" i="4" s="1"/>
  <c r="F794" i="4"/>
  <c r="G794" i="4"/>
  <c r="H794" i="4"/>
  <c r="I794" i="4"/>
  <c r="I1134" i="4" s="1"/>
  <c r="J794" i="4"/>
  <c r="B795" i="4"/>
  <c r="C795" i="4"/>
  <c r="D795" i="4"/>
  <c r="E795" i="4"/>
  <c r="F795" i="4"/>
  <c r="G795" i="4"/>
  <c r="H795" i="4"/>
  <c r="I795" i="4"/>
  <c r="J795" i="4"/>
  <c r="B796" i="4"/>
  <c r="C796" i="4"/>
  <c r="D796" i="4"/>
  <c r="E796" i="4"/>
  <c r="F796" i="4"/>
  <c r="G796" i="4"/>
  <c r="H796" i="4"/>
  <c r="I796" i="4"/>
  <c r="J796" i="4"/>
  <c r="B797" i="4"/>
  <c r="C797" i="4"/>
  <c r="D797" i="4"/>
  <c r="E797" i="4"/>
  <c r="F797" i="4"/>
  <c r="G797" i="4"/>
  <c r="H797" i="4"/>
  <c r="I797" i="4"/>
  <c r="J797" i="4"/>
  <c r="B798" i="4"/>
  <c r="C798" i="4"/>
  <c r="D798" i="4"/>
  <c r="E798" i="4"/>
  <c r="F798" i="4"/>
  <c r="G798" i="4"/>
  <c r="H798" i="4"/>
  <c r="I798" i="4"/>
  <c r="J798" i="4"/>
  <c r="B799" i="4"/>
  <c r="C799" i="4"/>
  <c r="D799" i="4"/>
  <c r="E799" i="4"/>
  <c r="F799" i="4"/>
  <c r="G799" i="4"/>
  <c r="H799" i="4"/>
  <c r="I799" i="4"/>
  <c r="J799" i="4"/>
  <c r="B800" i="4"/>
  <c r="C800" i="4"/>
  <c r="D800" i="4"/>
  <c r="E800" i="4"/>
  <c r="F800" i="4"/>
  <c r="G800" i="4"/>
  <c r="H800" i="4"/>
  <c r="I800" i="4"/>
  <c r="J800" i="4"/>
  <c r="B801" i="4"/>
  <c r="C801" i="4"/>
  <c r="D801" i="4"/>
  <c r="E801" i="4"/>
  <c r="F801" i="4"/>
  <c r="G801" i="4"/>
  <c r="H801" i="4"/>
  <c r="I801" i="4"/>
  <c r="J801" i="4"/>
  <c r="B802" i="4"/>
  <c r="C802" i="4"/>
  <c r="D802" i="4"/>
  <c r="E802" i="4"/>
  <c r="F802" i="4"/>
  <c r="G802" i="4"/>
  <c r="H802" i="4"/>
  <c r="I802" i="4"/>
  <c r="J802" i="4"/>
  <c r="B803" i="4"/>
  <c r="C803" i="4"/>
  <c r="D803" i="4"/>
  <c r="E803" i="4"/>
  <c r="F803" i="4"/>
  <c r="G803" i="4"/>
  <c r="H803" i="4"/>
  <c r="I803" i="4"/>
  <c r="J803" i="4"/>
  <c r="B804" i="4"/>
  <c r="C804" i="4"/>
  <c r="C1135" i="4" s="1"/>
  <c r="D804" i="4"/>
  <c r="E804" i="4"/>
  <c r="F804" i="4"/>
  <c r="G804" i="4"/>
  <c r="G1135" i="4" s="1"/>
  <c r="H804" i="4"/>
  <c r="I804" i="4"/>
  <c r="J804" i="4"/>
  <c r="B805" i="4"/>
  <c r="C805" i="4"/>
  <c r="D805" i="4"/>
  <c r="E805" i="4"/>
  <c r="F805" i="4"/>
  <c r="G805" i="4"/>
  <c r="H805" i="4"/>
  <c r="I805" i="4"/>
  <c r="J805" i="4"/>
  <c r="B806" i="4"/>
  <c r="C806" i="4"/>
  <c r="D806" i="4"/>
  <c r="E806" i="4"/>
  <c r="F806" i="4"/>
  <c r="G806" i="4"/>
  <c r="H806" i="4"/>
  <c r="I806" i="4"/>
  <c r="I1135" i="4" s="1"/>
  <c r="J806" i="4"/>
  <c r="B807" i="4"/>
  <c r="C807" i="4"/>
  <c r="D807" i="4"/>
  <c r="E807" i="4"/>
  <c r="F807" i="4"/>
  <c r="G807" i="4"/>
  <c r="H807" i="4"/>
  <c r="I807" i="4"/>
  <c r="J807" i="4"/>
  <c r="B808" i="4"/>
  <c r="C808" i="4"/>
  <c r="D808" i="4"/>
  <c r="E808" i="4"/>
  <c r="F808" i="4"/>
  <c r="G808" i="4"/>
  <c r="H808" i="4"/>
  <c r="I808" i="4"/>
  <c r="J808" i="4"/>
  <c r="B809" i="4"/>
  <c r="C809" i="4"/>
  <c r="D809" i="4"/>
  <c r="E809" i="4"/>
  <c r="F809" i="4"/>
  <c r="G809" i="4"/>
  <c r="H809" i="4"/>
  <c r="I809" i="4"/>
  <c r="J809" i="4"/>
  <c r="B810" i="4"/>
  <c r="C810" i="4"/>
  <c r="D810" i="4"/>
  <c r="E810" i="4"/>
  <c r="F810" i="4"/>
  <c r="G810" i="4"/>
  <c r="H810" i="4"/>
  <c r="I810" i="4"/>
  <c r="J810" i="4"/>
  <c r="B811" i="4"/>
  <c r="C811" i="4"/>
  <c r="D811" i="4"/>
  <c r="E811" i="4"/>
  <c r="F811" i="4"/>
  <c r="G811" i="4"/>
  <c r="H811" i="4"/>
  <c r="I811" i="4"/>
  <c r="J811" i="4"/>
  <c r="B812" i="4"/>
  <c r="C812" i="4"/>
  <c r="D812" i="4"/>
  <c r="E812" i="4"/>
  <c r="F812" i="4"/>
  <c r="G812" i="4"/>
  <c r="H812" i="4"/>
  <c r="I812" i="4"/>
  <c r="J812" i="4"/>
  <c r="B813" i="4"/>
  <c r="C813" i="4"/>
  <c r="D813" i="4"/>
  <c r="E813" i="4"/>
  <c r="F813" i="4"/>
  <c r="G813" i="4"/>
  <c r="H813" i="4"/>
  <c r="I813" i="4"/>
  <c r="J813" i="4"/>
  <c r="B814" i="4"/>
  <c r="C814" i="4"/>
  <c r="D814" i="4"/>
  <c r="E814" i="4"/>
  <c r="F814" i="4"/>
  <c r="G814" i="4"/>
  <c r="H814" i="4"/>
  <c r="I814" i="4"/>
  <c r="J814" i="4"/>
  <c r="B815" i="4"/>
  <c r="C815" i="4"/>
  <c r="D815" i="4"/>
  <c r="E815" i="4"/>
  <c r="F815" i="4"/>
  <c r="G815" i="4"/>
  <c r="H815" i="4"/>
  <c r="I815" i="4"/>
  <c r="J815" i="4"/>
  <c r="B816" i="4"/>
  <c r="C816" i="4"/>
  <c r="D816" i="4"/>
  <c r="E816" i="4"/>
  <c r="F816" i="4"/>
  <c r="G816" i="4"/>
  <c r="G1136" i="4" s="1"/>
  <c r="H816" i="4"/>
  <c r="I816" i="4"/>
  <c r="J816" i="4"/>
  <c r="B817" i="4"/>
  <c r="C817" i="4"/>
  <c r="D817" i="4"/>
  <c r="E817" i="4"/>
  <c r="F817" i="4"/>
  <c r="G817" i="4"/>
  <c r="H817" i="4"/>
  <c r="I817" i="4"/>
  <c r="J817" i="4"/>
  <c r="B818" i="4"/>
  <c r="C818" i="4"/>
  <c r="D818" i="4"/>
  <c r="E818" i="4"/>
  <c r="E1136" i="4" s="1"/>
  <c r="F818" i="4"/>
  <c r="G818" i="4"/>
  <c r="H818" i="4"/>
  <c r="I818" i="4"/>
  <c r="I1136" i="4" s="1"/>
  <c r="J818" i="4"/>
  <c r="B819" i="4"/>
  <c r="C819" i="4"/>
  <c r="D819" i="4"/>
  <c r="E819" i="4"/>
  <c r="F819" i="4"/>
  <c r="G819" i="4"/>
  <c r="H819" i="4"/>
  <c r="I819" i="4"/>
  <c r="J819" i="4"/>
  <c r="B820" i="4"/>
  <c r="C820" i="4"/>
  <c r="D820" i="4"/>
  <c r="E820" i="4"/>
  <c r="F820" i="4"/>
  <c r="G820" i="4"/>
  <c r="H820" i="4"/>
  <c r="I820" i="4"/>
  <c r="J820" i="4"/>
  <c r="B821" i="4"/>
  <c r="C821" i="4"/>
  <c r="D821" i="4"/>
  <c r="E821" i="4"/>
  <c r="F821" i="4"/>
  <c r="G821" i="4"/>
  <c r="H821" i="4"/>
  <c r="I821" i="4"/>
  <c r="J821" i="4"/>
  <c r="B822" i="4"/>
  <c r="C822" i="4"/>
  <c r="D822" i="4"/>
  <c r="E822" i="4"/>
  <c r="F822" i="4"/>
  <c r="G822" i="4"/>
  <c r="H822" i="4"/>
  <c r="I822" i="4"/>
  <c r="J822" i="4"/>
  <c r="B823" i="4"/>
  <c r="C823" i="4"/>
  <c r="D823" i="4"/>
  <c r="E823" i="4"/>
  <c r="F823" i="4"/>
  <c r="G823" i="4"/>
  <c r="H823" i="4"/>
  <c r="I823" i="4"/>
  <c r="J823" i="4"/>
  <c r="B824" i="4"/>
  <c r="C824" i="4"/>
  <c r="D824" i="4"/>
  <c r="E824" i="4"/>
  <c r="F824" i="4"/>
  <c r="G824" i="4"/>
  <c r="H824" i="4"/>
  <c r="I824" i="4"/>
  <c r="J824" i="4"/>
  <c r="B825" i="4"/>
  <c r="C825" i="4"/>
  <c r="D825" i="4"/>
  <c r="E825" i="4"/>
  <c r="F825" i="4"/>
  <c r="G825" i="4"/>
  <c r="H825" i="4"/>
  <c r="I825" i="4"/>
  <c r="J825" i="4"/>
  <c r="B826" i="4"/>
  <c r="C826" i="4"/>
  <c r="D826" i="4"/>
  <c r="E826" i="4"/>
  <c r="F826" i="4"/>
  <c r="G826" i="4"/>
  <c r="H826" i="4"/>
  <c r="I826" i="4"/>
  <c r="J826" i="4"/>
  <c r="B827" i="4"/>
  <c r="C827" i="4"/>
  <c r="D827" i="4"/>
  <c r="E827" i="4"/>
  <c r="F827" i="4"/>
  <c r="G827" i="4"/>
  <c r="H827" i="4"/>
  <c r="I827" i="4"/>
  <c r="J827" i="4"/>
  <c r="B828" i="4"/>
  <c r="C828" i="4"/>
  <c r="C1137" i="4" s="1"/>
  <c r="D828" i="4"/>
  <c r="E828" i="4"/>
  <c r="F828" i="4"/>
  <c r="G828" i="4"/>
  <c r="G1137" i="4" s="1"/>
  <c r="H828" i="4"/>
  <c r="I828" i="4"/>
  <c r="J828" i="4"/>
  <c r="B829" i="4"/>
  <c r="C829" i="4"/>
  <c r="D829" i="4"/>
  <c r="E829" i="4"/>
  <c r="F829" i="4"/>
  <c r="G829" i="4"/>
  <c r="H829" i="4"/>
  <c r="I829" i="4"/>
  <c r="J829" i="4"/>
  <c r="B830" i="4"/>
  <c r="C830" i="4"/>
  <c r="D830" i="4"/>
  <c r="E830" i="4"/>
  <c r="E1137" i="4" s="1"/>
  <c r="F830" i="4"/>
  <c r="G830" i="4"/>
  <c r="H830" i="4"/>
  <c r="I830" i="4"/>
  <c r="J830" i="4"/>
  <c r="B831" i="4"/>
  <c r="C831" i="4"/>
  <c r="D831" i="4"/>
  <c r="E831" i="4"/>
  <c r="F831" i="4"/>
  <c r="G831" i="4"/>
  <c r="H831" i="4"/>
  <c r="I831" i="4"/>
  <c r="J831" i="4"/>
  <c r="B832" i="4"/>
  <c r="C832" i="4"/>
  <c r="D832" i="4"/>
  <c r="E832" i="4"/>
  <c r="F832" i="4"/>
  <c r="G832" i="4"/>
  <c r="H832" i="4"/>
  <c r="I832" i="4"/>
  <c r="J832" i="4"/>
  <c r="B833" i="4"/>
  <c r="C833" i="4"/>
  <c r="D833" i="4"/>
  <c r="E833" i="4"/>
  <c r="F833" i="4"/>
  <c r="G833" i="4"/>
  <c r="H833" i="4"/>
  <c r="I833" i="4"/>
  <c r="J833" i="4"/>
  <c r="B834" i="4"/>
  <c r="C834" i="4"/>
  <c r="D834" i="4"/>
  <c r="E834" i="4"/>
  <c r="F834" i="4"/>
  <c r="G834" i="4"/>
  <c r="H834" i="4"/>
  <c r="I834" i="4"/>
  <c r="J834" i="4"/>
  <c r="B835" i="4"/>
  <c r="C835" i="4"/>
  <c r="D835" i="4"/>
  <c r="E835" i="4"/>
  <c r="F835" i="4"/>
  <c r="G835" i="4"/>
  <c r="H835" i="4"/>
  <c r="I835" i="4"/>
  <c r="J835" i="4"/>
  <c r="B836" i="4"/>
  <c r="C836" i="4"/>
  <c r="D836" i="4"/>
  <c r="E836" i="4"/>
  <c r="F836" i="4"/>
  <c r="G836" i="4"/>
  <c r="H836" i="4"/>
  <c r="I836" i="4"/>
  <c r="J836" i="4"/>
  <c r="B837" i="4"/>
  <c r="C837" i="4"/>
  <c r="D837" i="4"/>
  <c r="E837" i="4"/>
  <c r="F837" i="4"/>
  <c r="G837" i="4"/>
  <c r="H837" i="4"/>
  <c r="I837" i="4"/>
  <c r="J837" i="4"/>
  <c r="B838" i="4"/>
  <c r="C838" i="4"/>
  <c r="D838" i="4"/>
  <c r="E838" i="4"/>
  <c r="F838" i="4"/>
  <c r="G838" i="4"/>
  <c r="H838" i="4"/>
  <c r="I838" i="4"/>
  <c r="J838" i="4"/>
  <c r="B839" i="4"/>
  <c r="C839" i="4"/>
  <c r="D839" i="4"/>
  <c r="E839" i="4"/>
  <c r="F839" i="4"/>
  <c r="G839" i="4"/>
  <c r="H839" i="4"/>
  <c r="I839" i="4"/>
  <c r="J839" i="4"/>
  <c r="B840" i="4"/>
  <c r="C840" i="4"/>
  <c r="C1138" i="4" s="1"/>
  <c r="D840" i="4"/>
  <c r="E840" i="4"/>
  <c r="F840" i="4"/>
  <c r="G840" i="4"/>
  <c r="H840" i="4"/>
  <c r="I840" i="4"/>
  <c r="J840" i="4"/>
  <c r="B841" i="4"/>
  <c r="C841" i="4"/>
  <c r="D841" i="4"/>
  <c r="E841" i="4"/>
  <c r="F841" i="4"/>
  <c r="G841" i="4"/>
  <c r="H841" i="4"/>
  <c r="I841" i="4"/>
  <c r="J841" i="4"/>
  <c r="B842" i="4"/>
  <c r="C842" i="4"/>
  <c r="D842" i="4"/>
  <c r="E842" i="4"/>
  <c r="E1138" i="4" s="1"/>
  <c r="F842" i="4"/>
  <c r="G842" i="4"/>
  <c r="H842" i="4"/>
  <c r="I842" i="4"/>
  <c r="I1138" i="4" s="1"/>
  <c r="J842" i="4"/>
  <c r="B843" i="4"/>
  <c r="C843" i="4"/>
  <c r="D843" i="4"/>
  <c r="E843" i="4"/>
  <c r="F843" i="4"/>
  <c r="G843" i="4"/>
  <c r="H843" i="4"/>
  <c r="I843" i="4"/>
  <c r="J843" i="4"/>
  <c r="B844" i="4"/>
  <c r="C844" i="4"/>
  <c r="D844" i="4"/>
  <c r="E844" i="4"/>
  <c r="F844" i="4"/>
  <c r="G844" i="4"/>
  <c r="H844" i="4"/>
  <c r="I844" i="4"/>
  <c r="J844" i="4"/>
  <c r="B845" i="4"/>
  <c r="C845" i="4"/>
  <c r="D845" i="4"/>
  <c r="E845" i="4"/>
  <c r="F845" i="4"/>
  <c r="G845" i="4"/>
  <c r="H845" i="4"/>
  <c r="I845" i="4"/>
  <c r="J845" i="4"/>
  <c r="B846" i="4"/>
  <c r="C846" i="4"/>
  <c r="D846" i="4"/>
  <c r="E846" i="4"/>
  <c r="F846" i="4"/>
  <c r="G846" i="4"/>
  <c r="H846" i="4"/>
  <c r="I846" i="4"/>
  <c r="J846" i="4"/>
  <c r="B847" i="4"/>
  <c r="C847" i="4"/>
  <c r="D847" i="4"/>
  <c r="E847" i="4"/>
  <c r="F847" i="4"/>
  <c r="G847" i="4"/>
  <c r="H847" i="4"/>
  <c r="I847" i="4"/>
  <c r="J847" i="4"/>
  <c r="B848" i="4"/>
  <c r="C848" i="4"/>
  <c r="D848" i="4"/>
  <c r="E848" i="4"/>
  <c r="F848" i="4"/>
  <c r="G848" i="4"/>
  <c r="H848" i="4"/>
  <c r="I848" i="4"/>
  <c r="J848" i="4"/>
  <c r="B849" i="4"/>
  <c r="C849" i="4"/>
  <c r="D849" i="4"/>
  <c r="E849" i="4"/>
  <c r="F849" i="4"/>
  <c r="G849" i="4"/>
  <c r="H849" i="4"/>
  <c r="I849" i="4"/>
  <c r="J849" i="4"/>
  <c r="B850" i="4"/>
  <c r="C850" i="4"/>
  <c r="D850" i="4"/>
  <c r="E850" i="4"/>
  <c r="F850" i="4"/>
  <c r="G850" i="4"/>
  <c r="H850" i="4"/>
  <c r="I850" i="4"/>
  <c r="J850" i="4"/>
  <c r="B851" i="4"/>
  <c r="C851" i="4"/>
  <c r="D851" i="4"/>
  <c r="E851" i="4"/>
  <c r="F851" i="4"/>
  <c r="G851" i="4"/>
  <c r="H851" i="4"/>
  <c r="I851" i="4"/>
  <c r="J851" i="4"/>
  <c r="B852" i="4"/>
  <c r="C852" i="4"/>
  <c r="C1139" i="4" s="1"/>
  <c r="D852" i="4"/>
  <c r="E852" i="4"/>
  <c r="F852" i="4"/>
  <c r="G852" i="4"/>
  <c r="G1139" i="4" s="1"/>
  <c r="H852" i="4"/>
  <c r="I852" i="4"/>
  <c r="J852" i="4"/>
  <c r="B853" i="4"/>
  <c r="C853" i="4"/>
  <c r="D853" i="4"/>
  <c r="E853" i="4"/>
  <c r="F853" i="4"/>
  <c r="G853" i="4"/>
  <c r="H853" i="4"/>
  <c r="I853" i="4"/>
  <c r="J853" i="4"/>
  <c r="B854" i="4"/>
  <c r="C854" i="4"/>
  <c r="D854" i="4"/>
  <c r="E854" i="4"/>
  <c r="F854" i="4"/>
  <c r="G854" i="4"/>
  <c r="H854" i="4"/>
  <c r="I854" i="4"/>
  <c r="I1139" i="4" s="1"/>
  <c r="J854" i="4"/>
  <c r="B855" i="4"/>
  <c r="C855" i="4"/>
  <c r="D855" i="4"/>
  <c r="E855" i="4"/>
  <c r="F855" i="4"/>
  <c r="G855" i="4"/>
  <c r="H855" i="4"/>
  <c r="I855" i="4"/>
  <c r="J855" i="4"/>
  <c r="B856" i="4"/>
  <c r="C856" i="4"/>
  <c r="D856" i="4"/>
  <c r="E856" i="4"/>
  <c r="F856" i="4"/>
  <c r="G856" i="4"/>
  <c r="H856" i="4"/>
  <c r="I856" i="4"/>
  <c r="J856" i="4"/>
  <c r="B857" i="4"/>
  <c r="C857" i="4"/>
  <c r="D857" i="4"/>
  <c r="E857" i="4"/>
  <c r="F857" i="4"/>
  <c r="G857" i="4"/>
  <c r="H857" i="4"/>
  <c r="I857" i="4"/>
  <c r="J857" i="4"/>
  <c r="B858" i="4"/>
  <c r="C858" i="4"/>
  <c r="D858" i="4"/>
  <c r="E858" i="4"/>
  <c r="F858" i="4"/>
  <c r="G858" i="4"/>
  <c r="H858" i="4"/>
  <c r="I858" i="4"/>
  <c r="J858" i="4"/>
  <c r="B859" i="4"/>
  <c r="C859" i="4"/>
  <c r="D859" i="4"/>
  <c r="E859" i="4"/>
  <c r="F859" i="4"/>
  <c r="G859" i="4"/>
  <c r="H859" i="4"/>
  <c r="I859" i="4"/>
  <c r="J859" i="4"/>
  <c r="B860" i="4"/>
  <c r="C860" i="4"/>
  <c r="D860" i="4"/>
  <c r="E860" i="4"/>
  <c r="F860" i="4"/>
  <c r="G860" i="4"/>
  <c r="H860" i="4"/>
  <c r="I860" i="4"/>
  <c r="J860" i="4"/>
  <c r="B861" i="4"/>
  <c r="C861" i="4"/>
  <c r="D861" i="4"/>
  <c r="E861" i="4"/>
  <c r="F861" i="4"/>
  <c r="G861" i="4"/>
  <c r="H861" i="4"/>
  <c r="I861" i="4"/>
  <c r="J861" i="4"/>
  <c r="B862" i="4"/>
  <c r="C862" i="4"/>
  <c r="D862" i="4"/>
  <c r="E862" i="4"/>
  <c r="F862" i="4"/>
  <c r="G862" i="4"/>
  <c r="H862" i="4"/>
  <c r="I862" i="4"/>
  <c r="J862" i="4"/>
  <c r="B863" i="4"/>
  <c r="C863" i="4"/>
  <c r="D863" i="4"/>
  <c r="E863" i="4"/>
  <c r="F863" i="4"/>
  <c r="G863" i="4"/>
  <c r="H863" i="4"/>
  <c r="I863" i="4"/>
  <c r="J863" i="4"/>
  <c r="B864" i="4"/>
  <c r="C864" i="4"/>
  <c r="D864" i="4"/>
  <c r="E864" i="4"/>
  <c r="F864" i="4"/>
  <c r="G864" i="4"/>
  <c r="G1140" i="4" s="1"/>
  <c r="H864" i="4"/>
  <c r="I864" i="4"/>
  <c r="J864" i="4"/>
  <c r="B865" i="4"/>
  <c r="C865" i="4"/>
  <c r="D865" i="4"/>
  <c r="E865" i="4"/>
  <c r="F865" i="4"/>
  <c r="G865" i="4"/>
  <c r="H865" i="4"/>
  <c r="I865" i="4"/>
  <c r="J865" i="4"/>
  <c r="B866" i="4"/>
  <c r="C866" i="4"/>
  <c r="D866" i="4"/>
  <c r="E866" i="4"/>
  <c r="E1140" i="4" s="1"/>
  <c r="F866" i="4"/>
  <c r="G866" i="4"/>
  <c r="H866" i="4"/>
  <c r="I866" i="4"/>
  <c r="I1140" i="4" s="1"/>
  <c r="J866" i="4"/>
  <c r="B867" i="4"/>
  <c r="C867" i="4"/>
  <c r="D867" i="4"/>
  <c r="E867" i="4"/>
  <c r="F867" i="4"/>
  <c r="G867" i="4"/>
  <c r="H867" i="4"/>
  <c r="I867" i="4"/>
  <c r="J867" i="4"/>
  <c r="B868" i="4"/>
  <c r="C868" i="4"/>
  <c r="D868" i="4"/>
  <c r="E868" i="4"/>
  <c r="F868" i="4"/>
  <c r="G868" i="4"/>
  <c r="H868" i="4"/>
  <c r="I868" i="4"/>
  <c r="J868" i="4"/>
  <c r="B869" i="4"/>
  <c r="C869" i="4"/>
  <c r="D869" i="4"/>
  <c r="E869" i="4"/>
  <c r="F869" i="4"/>
  <c r="G869" i="4"/>
  <c r="H869" i="4"/>
  <c r="I869" i="4"/>
  <c r="J869" i="4"/>
  <c r="B870" i="4"/>
  <c r="C870" i="4"/>
  <c r="D870" i="4"/>
  <c r="E870" i="4"/>
  <c r="F870" i="4"/>
  <c r="G870" i="4"/>
  <c r="H870" i="4"/>
  <c r="I870" i="4"/>
  <c r="J870" i="4"/>
  <c r="B871" i="4"/>
  <c r="C871" i="4"/>
  <c r="D871" i="4"/>
  <c r="E871" i="4"/>
  <c r="F871" i="4"/>
  <c r="G871" i="4"/>
  <c r="H871" i="4"/>
  <c r="I871" i="4"/>
  <c r="J871" i="4"/>
  <c r="B872" i="4"/>
  <c r="C872" i="4"/>
  <c r="D872" i="4"/>
  <c r="E872" i="4"/>
  <c r="F872" i="4"/>
  <c r="G872" i="4"/>
  <c r="H872" i="4"/>
  <c r="I872" i="4"/>
  <c r="J872" i="4"/>
  <c r="B873" i="4"/>
  <c r="C873" i="4"/>
  <c r="D873" i="4"/>
  <c r="E873" i="4"/>
  <c r="F873" i="4"/>
  <c r="G873" i="4"/>
  <c r="H873" i="4"/>
  <c r="I873" i="4"/>
  <c r="J873" i="4"/>
  <c r="B874" i="4"/>
  <c r="C874" i="4"/>
  <c r="D874" i="4"/>
  <c r="E874" i="4"/>
  <c r="F874" i="4"/>
  <c r="G874" i="4"/>
  <c r="H874" i="4"/>
  <c r="I874" i="4"/>
  <c r="J874" i="4"/>
  <c r="B875" i="4"/>
  <c r="C875" i="4"/>
  <c r="D875" i="4"/>
  <c r="E875" i="4"/>
  <c r="F875" i="4"/>
  <c r="G875" i="4"/>
  <c r="H875" i="4"/>
  <c r="I875" i="4"/>
  <c r="J875" i="4"/>
  <c r="B876" i="4"/>
  <c r="C876" i="4"/>
  <c r="C1141" i="4" s="1"/>
  <c r="D876" i="4"/>
  <c r="E876" i="4"/>
  <c r="F876" i="4"/>
  <c r="G876" i="4"/>
  <c r="G1141" i="4" s="1"/>
  <c r="H876" i="4"/>
  <c r="I876" i="4"/>
  <c r="J876" i="4"/>
  <c r="B877" i="4"/>
  <c r="C877" i="4"/>
  <c r="D877" i="4"/>
  <c r="E877" i="4"/>
  <c r="F877" i="4"/>
  <c r="G877" i="4"/>
  <c r="H877" i="4"/>
  <c r="I877" i="4"/>
  <c r="J877" i="4"/>
  <c r="B878" i="4"/>
  <c r="C878" i="4"/>
  <c r="D878" i="4"/>
  <c r="E878" i="4"/>
  <c r="E1141" i="4" s="1"/>
  <c r="F878" i="4"/>
  <c r="G878" i="4"/>
  <c r="H878" i="4"/>
  <c r="I878" i="4"/>
  <c r="J878" i="4"/>
  <c r="B879" i="4"/>
  <c r="C879" i="4"/>
  <c r="D879" i="4"/>
  <c r="E879" i="4"/>
  <c r="F879" i="4"/>
  <c r="G879" i="4"/>
  <c r="H879" i="4"/>
  <c r="I879" i="4"/>
  <c r="J879" i="4"/>
  <c r="B880" i="4"/>
  <c r="C880" i="4"/>
  <c r="D880" i="4"/>
  <c r="E880" i="4"/>
  <c r="F880" i="4"/>
  <c r="G880" i="4"/>
  <c r="H880" i="4"/>
  <c r="I880" i="4"/>
  <c r="J880" i="4"/>
  <c r="B881" i="4"/>
  <c r="C881" i="4"/>
  <c r="D881" i="4"/>
  <c r="E881" i="4"/>
  <c r="F881" i="4"/>
  <c r="G881" i="4"/>
  <c r="H881" i="4"/>
  <c r="I881" i="4"/>
  <c r="J881" i="4"/>
  <c r="B882" i="4"/>
  <c r="C882" i="4"/>
  <c r="D882" i="4"/>
  <c r="E882" i="4"/>
  <c r="F882" i="4"/>
  <c r="G882" i="4"/>
  <c r="H882" i="4"/>
  <c r="I882" i="4"/>
  <c r="J882" i="4"/>
  <c r="B883" i="4"/>
  <c r="C883" i="4"/>
  <c r="D883" i="4"/>
  <c r="E883" i="4"/>
  <c r="F883" i="4"/>
  <c r="G883" i="4"/>
  <c r="H883" i="4"/>
  <c r="I883" i="4"/>
  <c r="J883" i="4"/>
  <c r="B884" i="4"/>
  <c r="C884" i="4"/>
  <c r="D884" i="4"/>
  <c r="E884" i="4"/>
  <c r="F884" i="4"/>
  <c r="G884" i="4"/>
  <c r="H884" i="4"/>
  <c r="I884" i="4"/>
  <c r="J884" i="4"/>
  <c r="B885" i="4"/>
  <c r="C885" i="4"/>
  <c r="D885" i="4"/>
  <c r="E885" i="4"/>
  <c r="F885" i="4"/>
  <c r="G885" i="4"/>
  <c r="H885" i="4"/>
  <c r="I885" i="4"/>
  <c r="J885" i="4"/>
  <c r="B886" i="4"/>
  <c r="C886" i="4"/>
  <c r="D886" i="4"/>
  <c r="E886" i="4"/>
  <c r="F886" i="4"/>
  <c r="G886" i="4"/>
  <c r="H886" i="4"/>
  <c r="I886" i="4"/>
  <c r="J886" i="4"/>
  <c r="B887" i="4"/>
  <c r="C887" i="4"/>
  <c r="D887" i="4"/>
  <c r="E887" i="4"/>
  <c r="F887" i="4"/>
  <c r="G887" i="4"/>
  <c r="H887" i="4"/>
  <c r="I887" i="4"/>
  <c r="J887" i="4"/>
  <c r="B888" i="4"/>
  <c r="C888" i="4"/>
  <c r="C1142" i="4" s="1"/>
  <c r="D888" i="4"/>
  <c r="E888" i="4"/>
  <c r="F888" i="4"/>
  <c r="G888" i="4"/>
  <c r="H888" i="4"/>
  <c r="I888" i="4"/>
  <c r="J888" i="4"/>
  <c r="B889" i="4"/>
  <c r="C889" i="4"/>
  <c r="D889" i="4"/>
  <c r="E889" i="4"/>
  <c r="F889" i="4"/>
  <c r="G889" i="4"/>
  <c r="H889" i="4"/>
  <c r="I889" i="4"/>
  <c r="J889" i="4"/>
  <c r="B890" i="4"/>
  <c r="C890" i="4"/>
  <c r="D890" i="4"/>
  <c r="E890" i="4"/>
  <c r="E1142" i="4" s="1"/>
  <c r="F890" i="4"/>
  <c r="G890" i="4"/>
  <c r="H890" i="4"/>
  <c r="I890" i="4"/>
  <c r="I1142" i="4" s="1"/>
  <c r="J890" i="4"/>
  <c r="B891" i="4"/>
  <c r="C891" i="4"/>
  <c r="D891" i="4"/>
  <c r="E891" i="4"/>
  <c r="F891" i="4"/>
  <c r="G891" i="4"/>
  <c r="H891" i="4"/>
  <c r="I891" i="4"/>
  <c r="J891" i="4"/>
  <c r="B892" i="4"/>
  <c r="C892" i="4"/>
  <c r="D892" i="4"/>
  <c r="E892" i="4"/>
  <c r="F892" i="4"/>
  <c r="G892" i="4"/>
  <c r="H892" i="4"/>
  <c r="I892" i="4"/>
  <c r="J892" i="4"/>
  <c r="B893" i="4"/>
  <c r="C893" i="4"/>
  <c r="D893" i="4"/>
  <c r="E893" i="4"/>
  <c r="F893" i="4"/>
  <c r="G893" i="4"/>
  <c r="H893" i="4"/>
  <c r="I893" i="4"/>
  <c r="J893" i="4"/>
  <c r="B894" i="4"/>
  <c r="C894" i="4"/>
  <c r="D894" i="4"/>
  <c r="E894" i="4"/>
  <c r="F894" i="4"/>
  <c r="G894" i="4"/>
  <c r="H894" i="4"/>
  <c r="I894" i="4"/>
  <c r="J894" i="4"/>
  <c r="B895" i="4"/>
  <c r="C895" i="4"/>
  <c r="D895" i="4"/>
  <c r="E895" i="4"/>
  <c r="F895" i="4"/>
  <c r="G895" i="4"/>
  <c r="H895" i="4"/>
  <c r="I895" i="4"/>
  <c r="J895" i="4"/>
  <c r="B896" i="4"/>
  <c r="C896" i="4"/>
  <c r="D896" i="4"/>
  <c r="E896" i="4"/>
  <c r="F896" i="4"/>
  <c r="G896" i="4"/>
  <c r="H896" i="4"/>
  <c r="I896" i="4"/>
  <c r="J896" i="4"/>
  <c r="B897" i="4"/>
  <c r="C897" i="4"/>
  <c r="D897" i="4"/>
  <c r="E897" i="4"/>
  <c r="F897" i="4"/>
  <c r="G897" i="4"/>
  <c r="H897" i="4"/>
  <c r="I897" i="4"/>
  <c r="J897" i="4"/>
  <c r="B898" i="4"/>
  <c r="C898" i="4"/>
  <c r="D898" i="4"/>
  <c r="E898" i="4"/>
  <c r="F898" i="4"/>
  <c r="G898" i="4"/>
  <c r="H898" i="4"/>
  <c r="I898" i="4"/>
  <c r="J898" i="4"/>
  <c r="B899" i="4"/>
  <c r="C899" i="4"/>
  <c r="D899" i="4"/>
  <c r="E899" i="4"/>
  <c r="F899" i="4"/>
  <c r="G899" i="4"/>
  <c r="H899" i="4"/>
  <c r="I899" i="4"/>
  <c r="J899" i="4"/>
  <c r="B900" i="4"/>
  <c r="C900" i="4"/>
  <c r="C1143" i="4" s="1"/>
  <c r="D900" i="4"/>
  <c r="E900" i="4"/>
  <c r="F900" i="4"/>
  <c r="G900" i="4"/>
  <c r="G1143" i="4" s="1"/>
  <c r="H900" i="4"/>
  <c r="I900" i="4"/>
  <c r="J900" i="4"/>
  <c r="B901" i="4"/>
  <c r="C901" i="4"/>
  <c r="D901" i="4"/>
  <c r="E901" i="4"/>
  <c r="F901" i="4"/>
  <c r="G901" i="4"/>
  <c r="H901" i="4"/>
  <c r="I901" i="4"/>
  <c r="J901" i="4"/>
  <c r="B902" i="4"/>
  <c r="C902" i="4"/>
  <c r="D902" i="4"/>
  <c r="E902" i="4"/>
  <c r="F902" i="4"/>
  <c r="G902" i="4"/>
  <c r="H902" i="4"/>
  <c r="I902" i="4"/>
  <c r="I1143" i="4" s="1"/>
  <c r="J902" i="4"/>
  <c r="B903" i="4"/>
  <c r="C903" i="4"/>
  <c r="D903" i="4"/>
  <c r="E903" i="4"/>
  <c r="F903" i="4"/>
  <c r="G903" i="4"/>
  <c r="H903" i="4"/>
  <c r="I903" i="4"/>
  <c r="J903" i="4"/>
  <c r="B904" i="4"/>
  <c r="C904" i="4"/>
  <c r="D904" i="4"/>
  <c r="E904" i="4"/>
  <c r="F904" i="4"/>
  <c r="G904" i="4"/>
  <c r="H904" i="4"/>
  <c r="I904" i="4"/>
  <c r="J904" i="4"/>
  <c r="B905" i="4"/>
  <c r="C905" i="4"/>
  <c r="D905" i="4"/>
  <c r="E905" i="4"/>
  <c r="F905" i="4"/>
  <c r="G905" i="4"/>
  <c r="H905" i="4"/>
  <c r="I905" i="4"/>
  <c r="J905" i="4"/>
  <c r="B906" i="4"/>
  <c r="C906" i="4"/>
  <c r="D906" i="4"/>
  <c r="E906" i="4"/>
  <c r="F906" i="4"/>
  <c r="G906" i="4"/>
  <c r="H906" i="4"/>
  <c r="I906" i="4"/>
  <c r="J906" i="4"/>
  <c r="B907" i="4"/>
  <c r="C907" i="4"/>
  <c r="D907" i="4"/>
  <c r="E907" i="4"/>
  <c r="F907" i="4"/>
  <c r="G907" i="4"/>
  <c r="H907" i="4"/>
  <c r="I907" i="4"/>
  <c r="J907" i="4"/>
  <c r="B908" i="4"/>
  <c r="C908" i="4"/>
  <c r="D908" i="4"/>
  <c r="E908" i="4"/>
  <c r="F908" i="4"/>
  <c r="G908" i="4"/>
  <c r="H908" i="4"/>
  <c r="I908" i="4"/>
  <c r="J908" i="4"/>
  <c r="B909" i="4"/>
  <c r="C909" i="4"/>
  <c r="D909" i="4"/>
  <c r="E909" i="4"/>
  <c r="F909" i="4"/>
  <c r="G909" i="4"/>
  <c r="H909" i="4"/>
  <c r="I909" i="4"/>
  <c r="J909" i="4"/>
  <c r="B910" i="4"/>
  <c r="C910" i="4"/>
  <c r="D910" i="4"/>
  <c r="E910" i="4"/>
  <c r="F910" i="4"/>
  <c r="G910" i="4"/>
  <c r="H910" i="4"/>
  <c r="I910" i="4"/>
  <c r="J910" i="4"/>
  <c r="B911" i="4"/>
  <c r="C911" i="4"/>
  <c r="D911" i="4"/>
  <c r="E911" i="4"/>
  <c r="F911" i="4"/>
  <c r="G911" i="4"/>
  <c r="H911" i="4"/>
  <c r="I911" i="4"/>
  <c r="J911" i="4"/>
  <c r="B912" i="4"/>
  <c r="C912" i="4"/>
  <c r="D912" i="4"/>
  <c r="E912" i="4"/>
  <c r="F912" i="4"/>
  <c r="G912" i="4"/>
  <c r="G1144" i="4" s="1"/>
  <c r="H912" i="4"/>
  <c r="I912" i="4"/>
  <c r="J912" i="4"/>
  <c r="B913" i="4"/>
  <c r="C913" i="4"/>
  <c r="D913" i="4"/>
  <c r="E913" i="4"/>
  <c r="F913" i="4"/>
  <c r="G913" i="4"/>
  <c r="H913" i="4"/>
  <c r="I913" i="4"/>
  <c r="J913" i="4"/>
  <c r="B914" i="4"/>
  <c r="C914" i="4"/>
  <c r="D914" i="4"/>
  <c r="E914" i="4"/>
  <c r="E1144" i="4" s="1"/>
  <c r="F914" i="4"/>
  <c r="G914" i="4"/>
  <c r="H914" i="4"/>
  <c r="I914" i="4"/>
  <c r="I1144" i="4" s="1"/>
  <c r="J914" i="4"/>
  <c r="B915" i="4"/>
  <c r="C915" i="4"/>
  <c r="D915" i="4"/>
  <c r="E915" i="4"/>
  <c r="F915" i="4"/>
  <c r="G915" i="4"/>
  <c r="H915" i="4"/>
  <c r="I915" i="4"/>
  <c r="J915" i="4"/>
  <c r="B916" i="4"/>
  <c r="C916" i="4"/>
  <c r="D916" i="4"/>
  <c r="E916" i="4"/>
  <c r="F916" i="4"/>
  <c r="G916" i="4"/>
  <c r="H916" i="4"/>
  <c r="I916" i="4"/>
  <c r="J916" i="4"/>
  <c r="B917" i="4"/>
  <c r="C917" i="4"/>
  <c r="D917" i="4"/>
  <c r="E917" i="4"/>
  <c r="F917" i="4"/>
  <c r="G917" i="4"/>
  <c r="H917" i="4"/>
  <c r="I917" i="4"/>
  <c r="J917" i="4"/>
  <c r="B918" i="4"/>
  <c r="C918" i="4"/>
  <c r="D918" i="4"/>
  <c r="E918" i="4"/>
  <c r="F918" i="4"/>
  <c r="G918" i="4"/>
  <c r="H918" i="4"/>
  <c r="I918" i="4"/>
  <c r="J918" i="4"/>
  <c r="B919" i="4"/>
  <c r="C919" i="4"/>
  <c r="D919" i="4"/>
  <c r="E919" i="4"/>
  <c r="F919" i="4"/>
  <c r="G919" i="4"/>
  <c r="H919" i="4"/>
  <c r="I919" i="4"/>
  <c r="J919" i="4"/>
  <c r="B920" i="4"/>
  <c r="C920" i="4"/>
  <c r="D920" i="4"/>
  <c r="E920" i="4"/>
  <c r="F920" i="4"/>
  <c r="G920" i="4"/>
  <c r="H920" i="4"/>
  <c r="I920" i="4"/>
  <c r="J920" i="4"/>
  <c r="B921" i="4"/>
  <c r="C921" i="4"/>
  <c r="D921" i="4"/>
  <c r="E921" i="4"/>
  <c r="F921" i="4"/>
  <c r="G921" i="4"/>
  <c r="H921" i="4"/>
  <c r="I921" i="4"/>
  <c r="J921" i="4"/>
  <c r="B922" i="4"/>
  <c r="C922" i="4"/>
  <c r="D922" i="4"/>
  <c r="E922" i="4"/>
  <c r="F922" i="4"/>
  <c r="G922" i="4"/>
  <c r="H922" i="4"/>
  <c r="I922" i="4"/>
  <c r="J922" i="4"/>
  <c r="B923" i="4"/>
  <c r="C923" i="4"/>
  <c r="D923" i="4"/>
  <c r="E923" i="4"/>
  <c r="F923" i="4"/>
  <c r="G923" i="4"/>
  <c r="H923" i="4"/>
  <c r="I923" i="4"/>
  <c r="J923" i="4"/>
  <c r="B924" i="4"/>
  <c r="C924" i="4"/>
  <c r="C1145" i="4" s="1"/>
  <c r="D924" i="4"/>
  <c r="E924" i="4"/>
  <c r="F924" i="4"/>
  <c r="G924" i="4"/>
  <c r="G1145" i="4" s="1"/>
  <c r="H924" i="4"/>
  <c r="I924" i="4"/>
  <c r="J924" i="4"/>
  <c r="B925" i="4"/>
  <c r="C925" i="4"/>
  <c r="D925" i="4"/>
  <c r="E925" i="4"/>
  <c r="F925" i="4"/>
  <c r="G925" i="4"/>
  <c r="H925" i="4"/>
  <c r="I925" i="4"/>
  <c r="J925" i="4"/>
  <c r="B926" i="4"/>
  <c r="C926" i="4"/>
  <c r="D926" i="4"/>
  <c r="E926" i="4"/>
  <c r="E1145" i="4" s="1"/>
  <c r="F926" i="4"/>
  <c r="G926" i="4"/>
  <c r="H926" i="4"/>
  <c r="I926" i="4"/>
  <c r="J926" i="4"/>
  <c r="B927" i="4"/>
  <c r="C927" i="4"/>
  <c r="D927" i="4"/>
  <c r="E927" i="4"/>
  <c r="F927" i="4"/>
  <c r="G927" i="4"/>
  <c r="H927" i="4"/>
  <c r="I927" i="4"/>
  <c r="J927" i="4"/>
  <c r="B928" i="4"/>
  <c r="C928" i="4"/>
  <c r="D928" i="4"/>
  <c r="E928" i="4"/>
  <c r="F928" i="4"/>
  <c r="G928" i="4"/>
  <c r="H928" i="4"/>
  <c r="I928" i="4"/>
  <c r="J928" i="4"/>
  <c r="B929" i="4"/>
  <c r="C929" i="4"/>
  <c r="D929" i="4"/>
  <c r="E929" i="4"/>
  <c r="F929" i="4"/>
  <c r="G929" i="4"/>
  <c r="H929" i="4"/>
  <c r="I929" i="4"/>
  <c r="J929" i="4"/>
  <c r="B930" i="4"/>
  <c r="C930" i="4"/>
  <c r="D930" i="4"/>
  <c r="E930" i="4"/>
  <c r="F930" i="4"/>
  <c r="G930" i="4"/>
  <c r="H930" i="4"/>
  <c r="I930" i="4"/>
  <c r="J930" i="4"/>
  <c r="B931" i="4"/>
  <c r="C931" i="4"/>
  <c r="D931" i="4"/>
  <c r="E931" i="4"/>
  <c r="F931" i="4"/>
  <c r="G931" i="4"/>
  <c r="H931" i="4"/>
  <c r="I931" i="4"/>
  <c r="J931" i="4"/>
  <c r="B932" i="4"/>
  <c r="C932" i="4"/>
  <c r="D932" i="4"/>
  <c r="E932" i="4"/>
  <c r="F932" i="4"/>
  <c r="G932" i="4"/>
  <c r="H932" i="4"/>
  <c r="I932" i="4"/>
  <c r="J932" i="4"/>
  <c r="B933" i="4"/>
  <c r="C933" i="4"/>
  <c r="D933" i="4"/>
  <c r="E933" i="4"/>
  <c r="F933" i="4"/>
  <c r="G933" i="4"/>
  <c r="H933" i="4"/>
  <c r="I933" i="4"/>
  <c r="J933" i="4"/>
  <c r="B934" i="4"/>
  <c r="C934" i="4"/>
  <c r="D934" i="4"/>
  <c r="E934" i="4"/>
  <c r="F934" i="4"/>
  <c r="G934" i="4"/>
  <c r="H934" i="4"/>
  <c r="I934" i="4"/>
  <c r="J934" i="4"/>
  <c r="B935" i="4"/>
  <c r="C935" i="4"/>
  <c r="D935" i="4"/>
  <c r="E935" i="4"/>
  <c r="F935" i="4"/>
  <c r="G935" i="4"/>
  <c r="H935" i="4"/>
  <c r="I935" i="4"/>
  <c r="J935" i="4"/>
  <c r="B936" i="4"/>
  <c r="C936" i="4"/>
  <c r="C1146" i="4" s="1"/>
  <c r="D936" i="4"/>
  <c r="E936" i="4"/>
  <c r="F936" i="4"/>
  <c r="G936" i="4"/>
  <c r="H936" i="4"/>
  <c r="I936" i="4"/>
  <c r="J936" i="4"/>
  <c r="B937" i="4"/>
  <c r="C937" i="4"/>
  <c r="D937" i="4"/>
  <c r="E937" i="4"/>
  <c r="F937" i="4"/>
  <c r="G937" i="4"/>
  <c r="H937" i="4"/>
  <c r="I937" i="4"/>
  <c r="J937" i="4"/>
  <c r="B938" i="4"/>
  <c r="C938" i="4"/>
  <c r="D938" i="4"/>
  <c r="E938" i="4"/>
  <c r="E1146" i="4" s="1"/>
  <c r="F938" i="4"/>
  <c r="G938" i="4"/>
  <c r="H938" i="4"/>
  <c r="I938" i="4"/>
  <c r="I1146" i="4" s="1"/>
  <c r="J938" i="4"/>
  <c r="B939" i="4"/>
  <c r="C939" i="4"/>
  <c r="D939" i="4"/>
  <c r="E939" i="4"/>
  <c r="F939" i="4"/>
  <c r="G939" i="4"/>
  <c r="H939" i="4"/>
  <c r="I939" i="4"/>
  <c r="J939" i="4"/>
  <c r="B940" i="4"/>
  <c r="C940" i="4"/>
  <c r="D940" i="4"/>
  <c r="E940" i="4"/>
  <c r="F940" i="4"/>
  <c r="G940" i="4"/>
  <c r="H940" i="4"/>
  <c r="I940" i="4"/>
  <c r="J940" i="4"/>
  <c r="B941" i="4"/>
  <c r="C941" i="4"/>
  <c r="D941" i="4"/>
  <c r="E941" i="4"/>
  <c r="F941" i="4"/>
  <c r="G941" i="4"/>
  <c r="H941" i="4"/>
  <c r="I941" i="4"/>
  <c r="J941" i="4"/>
  <c r="B942" i="4"/>
  <c r="C942" i="4"/>
  <c r="D942" i="4"/>
  <c r="E942" i="4"/>
  <c r="F942" i="4"/>
  <c r="G942" i="4"/>
  <c r="H942" i="4"/>
  <c r="I942" i="4"/>
  <c r="J942" i="4"/>
  <c r="B943" i="4"/>
  <c r="C943" i="4"/>
  <c r="D943" i="4"/>
  <c r="E943" i="4"/>
  <c r="F943" i="4"/>
  <c r="G943" i="4"/>
  <c r="H943" i="4"/>
  <c r="I943" i="4"/>
  <c r="J943" i="4"/>
  <c r="B944" i="4"/>
  <c r="C944" i="4"/>
  <c r="D944" i="4"/>
  <c r="E944" i="4"/>
  <c r="F944" i="4"/>
  <c r="G944" i="4"/>
  <c r="H944" i="4"/>
  <c r="I944" i="4"/>
  <c r="J944" i="4"/>
  <c r="B945" i="4"/>
  <c r="C945" i="4"/>
  <c r="D945" i="4"/>
  <c r="E945" i="4"/>
  <c r="F945" i="4"/>
  <c r="G945" i="4"/>
  <c r="H945" i="4"/>
  <c r="I945" i="4"/>
  <c r="J945" i="4"/>
  <c r="B946" i="4"/>
  <c r="C946" i="4"/>
  <c r="D946" i="4"/>
  <c r="E946" i="4"/>
  <c r="F946" i="4"/>
  <c r="G946" i="4"/>
  <c r="H946" i="4"/>
  <c r="I946" i="4"/>
  <c r="J946" i="4"/>
  <c r="B947" i="4"/>
  <c r="C947" i="4"/>
  <c r="D947" i="4"/>
  <c r="E947" i="4"/>
  <c r="F947" i="4"/>
  <c r="G947" i="4"/>
  <c r="H947" i="4"/>
  <c r="I947" i="4"/>
  <c r="J947" i="4"/>
  <c r="B948" i="4"/>
  <c r="C948" i="4"/>
  <c r="C1147" i="4" s="1"/>
  <c r="D948" i="4"/>
  <c r="E948" i="4"/>
  <c r="F948" i="4"/>
  <c r="G948" i="4"/>
  <c r="G1147" i="4" s="1"/>
  <c r="H948" i="4"/>
  <c r="I948" i="4"/>
  <c r="J948" i="4"/>
  <c r="B949" i="4"/>
  <c r="C949" i="4"/>
  <c r="D949" i="4"/>
  <c r="E949" i="4"/>
  <c r="F949" i="4"/>
  <c r="G949" i="4"/>
  <c r="H949" i="4"/>
  <c r="I949" i="4"/>
  <c r="J949" i="4"/>
  <c r="B950" i="4"/>
  <c r="C950" i="4"/>
  <c r="D950" i="4"/>
  <c r="E950" i="4"/>
  <c r="F950" i="4"/>
  <c r="G950" i="4"/>
  <c r="H950" i="4"/>
  <c r="I950" i="4"/>
  <c r="I1147" i="4" s="1"/>
  <c r="J950" i="4"/>
  <c r="B951" i="4"/>
  <c r="C951" i="4"/>
  <c r="D951" i="4"/>
  <c r="E951" i="4"/>
  <c r="F951" i="4"/>
  <c r="G951" i="4"/>
  <c r="H951" i="4"/>
  <c r="I951" i="4"/>
  <c r="J951" i="4"/>
  <c r="B952" i="4"/>
  <c r="C952" i="4"/>
  <c r="D952" i="4"/>
  <c r="E952" i="4"/>
  <c r="F952" i="4"/>
  <c r="G952" i="4"/>
  <c r="H952" i="4"/>
  <c r="I952" i="4"/>
  <c r="J952" i="4"/>
  <c r="B953" i="4"/>
  <c r="C953" i="4"/>
  <c r="D953" i="4"/>
  <c r="E953" i="4"/>
  <c r="F953" i="4"/>
  <c r="G953" i="4"/>
  <c r="H953" i="4"/>
  <c r="I953" i="4"/>
  <c r="J953" i="4"/>
  <c r="B954" i="4"/>
  <c r="C954" i="4"/>
  <c r="D954" i="4"/>
  <c r="E954" i="4"/>
  <c r="F954" i="4"/>
  <c r="G954" i="4"/>
  <c r="H954" i="4"/>
  <c r="I954" i="4"/>
  <c r="J954" i="4"/>
  <c r="B955" i="4"/>
  <c r="C955" i="4"/>
  <c r="D955" i="4"/>
  <c r="E955" i="4"/>
  <c r="F955" i="4"/>
  <c r="G955" i="4"/>
  <c r="H955" i="4"/>
  <c r="I955" i="4"/>
  <c r="J955" i="4"/>
  <c r="B956" i="4"/>
  <c r="C956" i="4"/>
  <c r="D956" i="4"/>
  <c r="E956" i="4"/>
  <c r="F956" i="4"/>
  <c r="G956" i="4"/>
  <c r="H956" i="4"/>
  <c r="I956" i="4"/>
  <c r="J956" i="4"/>
  <c r="B957" i="4"/>
  <c r="C957" i="4"/>
  <c r="D957" i="4"/>
  <c r="E957" i="4"/>
  <c r="F957" i="4"/>
  <c r="G957" i="4"/>
  <c r="H957" i="4"/>
  <c r="I957" i="4"/>
  <c r="J957" i="4"/>
  <c r="B958" i="4"/>
  <c r="C958" i="4"/>
  <c r="D958" i="4"/>
  <c r="E958" i="4"/>
  <c r="F958" i="4"/>
  <c r="G958" i="4"/>
  <c r="H958" i="4"/>
  <c r="I958" i="4"/>
  <c r="J958" i="4"/>
  <c r="B959" i="4"/>
  <c r="C959" i="4"/>
  <c r="D959" i="4"/>
  <c r="E959" i="4"/>
  <c r="F959" i="4"/>
  <c r="G959" i="4"/>
  <c r="H959" i="4"/>
  <c r="I959" i="4"/>
  <c r="J959" i="4"/>
  <c r="B960" i="4"/>
  <c r="C960" i="4"/>
  <c r="D960" i="4"/>
  <c r="E960" i="4"/>
  <c r="F960" i="4"/>
  <c r="G960" i="4"/>
  <c r="G1148" i="4" s="1"/>
  <c r="H960" i="4"/>
  <c r="I960" i="4"/>
  <c r="J960" i="4"/>
  <c r="B961" i="4"/>
  <c r="C961" i="4"/>
  <c r="D961" i="4"/>
  <c r="E961" i="4"/>
  <c r="F961" i="4"/>
  <c r="G961" i="4"/>
  <c r="H961" i="4"/>
  <c r="I961" i="4"/>
  <c r="J961" i="4"/>
  <c r="B962" i="4"/>
  <c r="C962" i="4"/>
  <c r="D962" i="4"/>
  <c r="E962" i="4"/>
  <c r="E1148" i="4" s="1"/>
  <c r="F962" i="4"/>
  <c r="G962" i="4"/>
  <c r="H962" i="4"/>
  <c r="I962" i="4"/>
  <c r="I1148" i="4" s="1"/>
  <c r="J962" i="4"/>
  <c r="B963" i="4"/>
  <c r="C963" i="4"/>
  <c r="D963" i="4"/>
  <c r="E963" i="4"/>
  <c r="F963" i="4"/>
  <c r="G963" i="4"/>
  <c r="H963" i="4"/>
  <c r="I963" i="4"/>
  <c r="J963" i="4"/>
  <c r="B964" i="4"/>
  <c r="C964" i="4"/>
  <c r="D964" i="4"/>
  <c r="E964" i="4"/>
  <c r="F964" i="4"/>
  <c r="G964" i="4"/>
  <c r="H964" i="4"/>
  <c r="I964" i="4"/>
  <c r="J964" i="4"/>
  <c r="B965" i="4"/>
  <c r="C965" i="4"/>
  <c r="D965" i="4"/>
  <c r="E965" i="4"/>
  <c r="F965" i="4"/>
  <c r="G965" i="4"/>
  <c r="H965" i="4"/>
  <c r="I965" i="4"/>
  <c r="J965" i="4"/>
  <c r="B966" i="4"/>
  <c r="C966" i="4"/>
  <c r="D966" i="4"/>
  <c r="E966" i="4"/>
  <c r="F966" i="4"/>
  <c r="G966" i="4"/>
  <c r="H966" i="4"/>
  <c r="I966" i="4"/>
  <c r="J966" i="4"/>
  <c r="B967" i="4"/>
  <c r="C967" i="4"/>
  <c r="D967" i="4"/>
  <c r="E967" i="4"/>
  <c r="F967" i="4"/>
  <c r="G967" i="4"/>
  <c r="H967" i="4"/>
  <c r="I967" i="4"/>
  <c r="J967" i="4"/>
  <c r="B968" i="4"/>
  <c r="C968" i="4"/>
  <c r="D968" i="4"/>
  <c r="E968" i="4"/>
  <c r="F968" i="4"/>
  <c r="G968" i="4"/>
  <c r="H968" i="4"/>
  <c r="I968" i="4"/>
  <c r="J968" i="4"/>
  <c r="B969" i="4"/>
  <c r="C969" i="4"/>
  <c r="D969" i="4"/>
  <c r="E969" i="4"/>
  <c r="F969" i="4"/>
  <c r="G969" i="4"/>
  <c r="H969" i="4"/>
  <c r="I969" i="4"/>
  <c r="J969" i="4"/>
  <c r="B970" i="4"/>
  <c r="C970" i="4"/>
  <c r="D970" i="4"/>
  <c r="E970" i="4"/>
  <c r="F970" i="4"/>
  <c r="G970" i="4"/>
  <c r="H970" i="4"/>
  <c r="I970" i="4"/>
  <c r="J970" i="4"/>
  <c r="B971" i="4"/>
  <c r="C971" i="4"/>
  <c r="D971" i="4"/>
  <c r="E971" i="4"/>
  <c r="F971" i="4"/>
  <c r="G971" i="4"/>
  <c r="H971" i="4"/>
  <c r="I971" i="4"/>
  <c r="J971" i="4"/>
  <c r="B972" i="4"/>
  <c r="C972" i="4"/>
  <c r="C1149" i="4" s="1"/>
  <c r="D972" i="4"/>
  <c r="E972" i="4"/>
  <c r="F972" i="4"/>
  <c r="G972" i="4"/>
  <c r="G1149" i="4" s="1"/>
  <c r="H972" i="4"/>
  <c r="I972" i="4"/>
  <c r="J972" i="4"/>
  <c r="B973" i="4"/>
  <c r="C973" i="4"/>
  <c r="D973" i="4"/>
  <c r="E973" i="4"/>
  <c r="F973" i="4"/>
  <c r="G973" i="4"/>
  <c r="H973" i="4"/>
  <c r="I973" i="4"/>
  <c r="J973" i="4"/>
  <c r="B974" i="4"/>
  <c r="C974" i="4"/>
  <c r="D974" i="4"/>
  <c r="E974" i="4"/>
  <c r="E1149" i="4" s="1"/>
  <c r="F974" i="4"/>
  <c r="G974" i="4"/>
  <c r="H974" i="4"/>
  <c r="I974" i="4"/>
  <c r="J974" i="4"/>
  <c r="B975" i="4"/>
  <c r="C975" i="4"/>
  <c r="D975" i="4"/>
  <c r="E975" i="4"/>
  <c r="F975" i="4"/>
  <c r="G975" i="4"/>
  <c r="H975" i="4"/>
  <c r="I975" i="4"/>
  <c r="J975" i="4"/>
  <c r="B976" i="4"/>
  <c r="C976" i="4"/>
  <c r="D976" i="4"/>
  <c r="E976" i="4"/>
  <c r="F976" i="4"/>
  <c r="G976" i="4"/>
  <c r="H976" i="4"/>
  <c r="I976" i="4"/>
  <c r="J976" i="4"/>
  <c r="B977" i="4"/>
  <c r="C977" i="4"/>
  <c r="D977" i="4"/>
  <c r="E977" i="4"/>
  <c r="F977" i="4"/>
  <c r="G977" i="4"/>
  <c r="H977" i="4"/>
  <c r="I977" i="4"/>
  <c r="J977" i="4"/>
  <c r="B978" i="4"/>
  <c r="C978" i="4"/>
  <c r="D978" i="4"/>
  <c r="E978" i="4"/>
  <c r="F978" i="4"/>
  <c r="G978" i="4"/>
  <c r="H978" i="4"/>
  <c r="I978" i="4"/>
  <c r="J978" i="4"/>
  <c r="B979" i="4"/>
  <c r="C979" i="4"/>
  <c r="D979" i="4"/>
  <c r="E979" i="4"/>
  <c r="F979" i="4"/>
  <c r="G979" i="4"/>
  <c r="H979" i="4"/>
  <c r="I979" i="4"/>
  <c r="J979" i="4"/>
  <c r="B980" i="4"/>
  <c r="C980" i="4"/>
  <c r="D980" i="4"/>
  <c r="E980" i="4"/>
  <c r="F980" i="4"/>
  <c r="G980" i="4"/>
  <c r="H980" i="4"/>
  <c r="I980" i="4"/>
  <c r="J980" i="4"/>
  <c r="B981" i="4"/>
  <c r="C981" i="4"/>
  <c r="D981" i="4"/>
  <c r="E981" i="4"/>
  <c r="F981" i="4"/>
  <c r="G981" i="4"/>
  <c r="H981" i="4"/>
  <c r="I981" i="4"/>
  <c r="J981" i="4"/>
  <c r="B982" i="4"/>
  <c r="C982" i="4"/>
  <c r="D982" i="4"/>
  <c r="E982" i="4"/>
  <c r="F982" i="4"/>
  <c r="G982" i="4"/>
  <c r="H982" i="4"/>
  <c r="I982" i="4"/>
  <c r="J982" i="4"/>
  <c r="B983" i="4"/>
  <c r="C983" i="4"/>
  <c r="D983" i="4"/>
  <c r="E983" i="4"/>
  <c r="F983" i="4"/>
  <c r="G983" i="4"/>
  <c r="H983" i="4"/>
  <c r="I983" i="4"/>
  <c r="J983" i="4"/>
  <c r="B984" i="4"/>
  <c r="C984" i="4"/>
  <c r="C1150" i="4" s="1"/>
  <c r="D984" i="4"/>
  <c r="E984" i="4"/>
  <c r="F984" i="4"/>
  <c r="G984" i="4"/>
  <c r="H984" i="4"/>
  <c r="I984" i="4"/>
  <c r="J984" i="4"/>
  <c r="B985" i="4"/>
  <c r="C985" i="4"/>
  <c r="D985" i="4"/>
  <c r="E985" i="4"/>
  <c r="F985" i="4"/>
  <c r="G985" i="4"/>
  <c r="H985" i="4"/>
  <c r="I985" i="4"/>
  <c r="J985" i="4"/>
  <c r="B986" i="4"/>
  <c r="C986" i="4"/>
  <c r="D986" i="4"/>
  <c r="E986" i="4"/>
  <c r="E1150" i="4" s="1"/>
  <c r="F986" i="4"/>
  <c r="G986" i="4"/>
  <c r="H986" i="4"/>
  <c r="I986" i="4"/>
  <c r="I1150" i="4" s="1"/>
  <c r="J986" i="4"/>
  <c r="B987" i="4"/>
  <c r="C987" i="4"/>
  <c r="D987" i="4"/>
  <c r="E987" i="4"/>
  <c r="F987" i="4"/>
  <c r="G987" i="4"/>
  <c r="H987" i="4"/>
  <c r="I987" i="4"/>
  <c r="J987" i="4"/>
  <c r="B988" i="4"/>
  <c r="C988" i="4"/>
  <c r="D988" i="4"/>
  <c r="E988" i="4"/>
  <c r="F988" i="4"/>
  <c r="G988" i="4"/>
  <c r="H988" i="4"/>
  <c r="I988" i="4"/>
  <c r="J988" i="4"/>
  <c r="B989" i="4"/>
  <c r="C989" i="4"/>
  <c r="D989" i="4"/>
  <c r="E989" i="4"/>
  <c r="F989" i="4"/>
  <c r="G989" i="4"/>
  <c r="H989" i="4"/>
  <c r="I989" i="4"/>
  <c r="J989" i="4"/>
  <c r="B990" i="4"/>
  <c r="C990" i="4"/>
  <c r="D990" i="4"/>
  <c r="E990" i="4"/>
  <c r="F990" i="4"/>
  <c r="G990" i="4"/>
  <c r="H990" i="4"/>
  <c r="I990" i="4"/>
  <c r="J990" i="4"/>
  <c r="B991" i="4"/>
  <c r="C991" i="4"/>
  <c r="D991" i="4"/>
  <c r="E991" i="4"/>
  <c r="F991" i="4"/>
  <c r="G991" i="4"/>
  <c r="H991" i="4"/>
  <c r="I991" i="4"/>
  <c r="J991" i="4"/>
  <c r="B992" i="4"/>
  <c r="C992" i="4"/>
  <c r="D992" i="4"/>
  <c r="E992" i="4"/>
  <c r="F992" i="4"/>
  <c r="G992" i="4"/>
  <c r="H992" i="4"/>
  <c r="I992" i="4"/>
  <c r="J992" i="4"/>
  <c r="B993" i="4"/>
  <c r="C993" i="4"/>
  <c r="D993" i="4"/>
  <c r="E993" i="4"/>
  <c r="F993" i="4"/>
  <c r="G993" i="4"/>
  <c r="H993" i="4"/>
  <c r="I993" i="4"/>
  <c r="J993" i="4"/>
  <c r="B994" i="4"/>
  <c r="C994" i="4"/>
  <c r="D994" i="4"/>
  <c r="E994" i="4"/>
  <c r="F994" i="4"/>
  <c r="G994" i="4"/>
  <c r="H994" i="4"/>
  <c r="I994" i="4"/>
  <c r="J994" i="4"/>
  <c r="B995" i="4"/>
  <c r="C995" i="4"/>
  <c r="D995" i="4"/>
  <c r="E995" i="4"/>
  <c r="F995" i="4"/>
  <c r="G995" i="4"/>
  <c r="H995" i="4"/>
  <c r="I995" i="4"/>
  <c r="J995" i="4"/>
  <c r="B996" i="4"/>
  <c r="C996" i="4"/>
  <c r="C1151" i="4" s="1"/>
  <c r="D996" i="4"/>
  <c r="E996" i="4"/>
  <c r="F996" i="4"/>
  <c r="G996" i="4"/>
  <c r="G1151" i="4" s="1"/>
  <c r="H996" i="4"/>
  <c r="I996" i="4"/>
  <c r="J996" i="4"/>
  <c r="B997" i="4"/>
  <c r="C997" i="4"/>
  <c r="D997" i="4"/>
  <c r="E997" i="4"/>
  <c r="F997" i="4"/>
  <c r="G997" i="4"/>
  <c r="H997" i="4"/>
  <c r="I997" i="4"/>
  <c r="J997" i="4"/>
  <c r="B998" i="4"/>
  <c r="C998" i="4"/>
  <c r="D998" i="4"/>
  <c r="E998" i="4"/>
  <c r="F998" i="4"/>
  <c r="G998" i="4"/>
  <c r="H998" i="4"/>
  <c r="I998" i="4"/>
  <c r="I1151" i="4" s="1"/>
  <c r="J998" i="4"/>
  <c r="B999" i="4"/>
  <c r="C999" i="4"/>
  <c r="D999" i="4"/>
  <c r="E999" i="4"/>
  <c r="F999" i="4"/>
  <c r="G999" i="4"/>
  <c r="H999" i="4"/>
  <c r="I999" i="4"/>
  <c r="J999" i="4"/>
  <c r="B1000" i="4"/>
  <c r="C1000" i="4"/>
  <c r="D1000" i="4"/>
  <c r="E1000" i="4"/>
  <c r="F1000" i="4"/>
  <c r="G1000" i="4"/>
  <c r="H1000" i="4"/>
  <c r="I1000" i="4"/>
  <c r="J1000" i="4"/>
  <c r="B1001" i="4"/>
  <c r="C1001" i="4"/>
  <c r="D1001" i="4"/>
  <c r="E1001" i="4"/>
  <c r="F1001" i="4"/>
  <c r="G1001" i="4"/>
  <c r="H1001" i="4"/>
  <c r="I1001" i="4"/>
  <c r="J1001" i="4"/>
  <c r="B1002" i="4"/>
  <c r="C1002" i="4"/>
  <c r="D1002" i="4"/>
  <c r="E1002" i="4"/>
  <c r="F1002" i="4"/>
  <c r="G1002" i="4"/>
  <c r="H1002" i="4"/>
  <c r="I1002" i="4"/>
  <c r="J1002" i="4"/>
  <c r="B1003" i="4"/>
  <c r="C1003" i="4"/>
  <c r="D1003" i="4"/>
  <c r="E1003" i="4"/>
  <c r="F1003" i="4"/>
  <c r="G1003" i="4"/>
  <c r="H1003" i="4"/>
  <c r="I1003" i="4"/>
  <c r="J1003" i="4"/>
  <c r="B1004" i="4"/>
  <c r="C1004" i="4"/>
  <c r="D1004" i="4"/>
  <c r="E1004" i="4"/>
  <c r="F1004" i="4"/>
  <c r="G1004" i="4"/>
  <c r="H1004" i="4"/>
  <c r="I1004" i="4"/>
  <c r="J1004" i="4"/>
  <c r="B1005" i="4"/>
  <c r="C1005" i="4"/>
  <c r="D1005" i="4"/>
  <c r="E1005" i="4"/>
  <c r="F1005" i="4"/>
  <c r="G1005" i="4"/>
  <c r="H1005" i="4"/>
  <c r="I1005" i="4"/>
  <c r="J1005" i="4"/>
  <c r="B1006" i="4"/>
  <c r="C1006" i="4"/>
  <c r="D1006" i="4"/>
  <c r="E1006" i="4"/>
  <c r="F1006" i="4"/>
  <c r="G1006" i="4"/>
  <c r="H1006" i="4"/>
  <c r="I1006" i="4"/>
  <c r="J1006" i="4"/>
  <c r="B1007" i="4"/>
  <c r="C1007" i="4"/>
  <c r="D1007" i="4"/>
  <c r="E1007" i="4"/>
  <c r="F1007" i="4"/>
  <c r="G1007" i="4"/>
  <c r="H1007" i="4"/>
  <c r="I1007" i="4"/>
  <c r="J1007" i="4"/>
  <c r="B1008" i="4"/>
  <c r="C1008" i="4"/>
  <c r="D1008" i="4"/>
  <c r="E1008" i="4"/>
  <c r="F1008" i="4"/>
  <c r="G1008" i="4"/>
  <c r="G1152" i="4" s="1"/>
  <c r="H1008" i="4"/>
  <c r="I1008" i="4"/>
  <c r="J1008" i="4"/>
  <c r="B1009" i="4"/>
  <c r="C1009" i="4"/>
  <c r="D1009" i="4"/>
  <c r="E1009" i="4"/>
  <c r="F1009" i="4"/>
  <c r="G1009" i="4"/>
  <c r="H1009" i="4"/>
  <c r="I1009" i="4"/>
  <c r="J1009" i="4"/>
  <c r="B1010" i="4"/>
  <c r="C1010" i="4"/>
  <c r="D1010" i="4"/>
  <c r="E1010" i="4"/>
  <c r="E1152" i="4" s="1"/>
  <c r="F1010" i="4"/>
  <c r="G1010" i="4"/>
  <c r="H1010" i="4"/>
  <c r="I1010" i="4"/>
  <c r="I1152" i="4" s="1"/>
  <c r="J1010" i="4"/>
  <c r="B1011" i="4"/>
  <c r="C1011" i="4"/>
  <c r="D1011" i="4"/>
  <c r="E1011" i="4"/>
  <c r="F1011" i="4"/>
  <c r="G1011" i="4"/>
  <c r="H1011" i="4"/>
  <c r="I1011" i="4"/>
  <c r="J1011" i="4"/>
  <c r="B1012" i="4"/>
  <c r="C1012" i="4"/>
  <c r="D1012" i="4"/>
  <c r="E1012" i="4"/>
  <c r="F1012" i="4"/>
  <c r="G1012" i="4"/>
  <c r="H1012" i="4"/>
  <c r="I1012" i="4"/>
  <c r="J1012" i="4"/>
  <c r="B1013" i="4"/>
  <c r="C1013" i="4"/>
  <c r="D1013" i="4"/>
  <c r="E1013" i="4"/>
  <c r="F1013" i="4"/>
  <c r="G1013" i="4"/>
  <c r="H1013" i="4"/>
  <c r="I1013" i="4"/>
  <c r="J1013" i="4"/>
  <c r="B1014" i="4"/>
  <c r="C1014" i="4"/>
  <c r="D1014" i="4"/>
  <c r="E1014" i="4"/>
  <c r="F1014" i="4"/>
  <c r="G1014" i="4"/>
  <c r="H1014" i="4"/>
  <c r="I1014" i="4"/>
  <c r="J1014" i="4"/>
  <c r="B1015" i="4"/>
  <c r="C1015" i="4"/>
  <c r="D1015" i="4"/>
  <c r="E1015" i="4"/>
  <c r="F1015" i="4"/>
  <c r="G1015" i="4"/>
  <c r="H1015" i="4"/>
  <c r="I1015" i="4"/>
  <c r="J1015" i="4"/>
  <c r="B1016" i="4"/>
  <c r="C1016" i="4"/>
  <c r="D1016" i="4"/>
  <c r="E1016" i="4"/>
  <c r="F1016" i="4"/>
  <c r="G1016" i="4"/>
  <c r="H1016" i="4"/>
  <c r="I1016" i="4"/>
  <c r="J1016" i="4"/>
  <c r="B1017" i="4"/>
  <c r="C1017" i="4"/>
  <c r="D1017" i="4"/>
  <c r="E1017" i="4"/>
  <c r="F1017" i="4"/>
  <c r="G1017" i="4"/>
  <c r="H1017" i="4"/>
  <c r="I1017" i="4"/>
  <c r="J1017" i="4"/>
  <c r="B1018" i="4"/>
  <c r="C1018" i="4"/>
  <c r="D1018" i="4"/>
  <c r="E1018" i="4"/>
  <c r="F1018" i="4"/>
  <c r="G1018" i="4"/>
  <c r="H1018" i="4"/>
  <c r="I1018" i="4"/>
  <c r="J1018" i="4"/>
  <c r="B1019" i="4"/>
  <c r="C1019" i="4"/>
  <c r="D1019" i="4"/>
  <c r="E1019" i="4"/>
  <c r="F1019" i="4"/>
  <c r="G1019" i="4"/>
  <c r="H1019" i="4"/>
  <c r="I1019" i="4"/>
  <c r="J1019" i="4"/>
  <c r="B1020" i="4"/>
  <c r="C1020" i="4"/>
  <c r="C1153" i="4" s="1"/>
  <c r="D1020" i="4"/>
  <c r="E1020" i="4"/>
  <c r="F1020" i="4"/>
  <c r="G1020" i="4"/>
  <c r="G1153" i="4" s="1"/>
  <c r="H1020" i="4"/>
  <c r="I1020" i="4"/>
  <c r="J1020" i="4"/>
  <c r="B1021" i="4"/>
  <c r="C1021" i="4"/>
  <c r="D1021" i="4"/>
  <c r="E1021" i="4"/>
  <c r="F1021" i="4"/>
  <c r="G1021" i="4"/>
  <c r="H1021" i="4"/>
  <c r="I1021" i="4"/>
  <c r="J1021" i="4"/>
  <c r="B1022" i="4"/>
  <c r="C1022" i="4"/>
  <c r="D1022" i="4"/>
  <c r="E1022" i="4"/>
  <c r="E1153" i="4" s="1"/>
  <c r="F1022" i="4"/>
  <c r="G1022" i="4"/>
  <c r="H1022" i="4"/>
  <c r="I1022" i="4"/>
  <c r="J1022" i="4"/>
  <c r="B1023" i="4"/>
  <c r="C1023" i="4"/>
  <c r="D1023" i="4"/>
  <c r="E1023" i="4"/>
  <c r="F1023" i="4"/>
  <c r="G1023" i="4"/>
  <c r="H1023" i="4"/>
  <c r="I1023" i="4"/>
  <c r="J1023" i="4"/>
  <c r="B1024" i="4"/>
  <c r="C1024" i="4"/>
  <c r="D1024" i="4"/>
  <c r="E1024" i="4"/>
  <c r="F1024" i="4"/>
  <c r="G1024" i="4"/>
  <c r="H1024" i="4"/>
  <c r="I1024" i="4"/>
  <c r="J1024" i="4"/>
  <c r="B1025" i="4"/>
  <c r="C1025" i="4"/>
  <c r="D1025" i="4"/>
  <c r="E1025" i="4"/>
  <c r="F1025" i="4"/>
  <c r="G1025" i="4"/>
  <c r="H1025" i="4"/>
  <c r="I1025" i="4"/>
  <c r="J1025" i="4"/>
  <c r="B1026" i="4"/>
  <c r="C1026" i="4"/>
  <c r="D1026" i="4"/>
  <c r="E1026" i="4"/>
  <c r="F1026" i="4"/>
  <c r="G1026" i="4"/>
  <c r="H1026" i="4"/>
  <c r="I1026" i="4"/>
  <c r="J1026" i="4"/>
  <c r="B1027" i="4"/>
  <c r="C1027" i="4"/>
  <c r="D1027" i="4"/>
  <c r="E1027" i="4"/>
  <c r="F1027" i="4"/>
  <c r="G1027" i="4"/>
  <c r="H1027" i="4"/>
  <c r="I1027" i="4"/>
  <c r="J1027" i="4"/>
  <c r="B1028" i="4"/>
  <c r="C1028" i="4"/>
  <c r="D1028" i="4"/>
  <c r="E1028" i="4"/>
  <c r="F1028" i="4"/>
  <c r="G1028" i="4"/>
  <c r="H1028" i="4"/>
  <c r="I1028" i="4"/>
  <c r="J1028" i="4"/>
  <c r="B1029" i="4"/>
  <c r="C1029" i="4"/>
  <c r="D1029" i="4"/>
  <c r="E1029" i="4"/>
  <c r="F1029" i="4"/>
  <c r="G1029" i="4"/>
  <c r="H1029" i="4"/>
  <c r="I1029" i="4"/>
  <c r="J1029" i="4"/>
  <c r="B1030" i="4"/>
  <c r="C1030" i="4"/>
  <c r="D1030" i="4"/>
  <c r="E1030" i="4"/>
  <c r="F1030" i="4"/>
  <c r="G1030" i="4"/>
  <c r="H1030" i="4"/>
  <c r="I1030" i="4"/>
  <c r="J1030" i="4"/>
  <c r="B1031" i="4"/>
  <c r="C1031" i="4"/>
  <c r="D1031" i="4"/>
  <c r="E1031" i="4"/>
  <c r="F1031" i="4"/>
  <c r="G1031" i="4"/>
  <c r="H1031" i="4"/>
  <c r="I1031" i="4"/>
  <c r="J1031" i="4"/>
  <c r="B1032" i="4"/>
  <c r="C1032" i="4"/>
  <c r="C1154" i="4" s="1"/>
  <c r="D1032" i="4"/>
  <c r="E1032" i="4"/>
  <c r="F1032" i="4"/>
  <c r="G1032" i="4"/>
  <c r="H1032" i="4"/>
  <c r="I1032" i="4"/>
  <c r="J1032" i="4"/>
  <c r="B1033" i="4"/>
  <c r="C1033" i="4"/>
  <c r="D1033" i="4"/>
  <c r="E1033" i="4"/>
  <c r="F1033" i="4"/>
  <c r="G1033" i="4"/>
  <c r="H1033" i="4"/>
  <c r="I1033" i="4"/>
  <c r="J1033" i="4"/>
  <c r="B1034" i="4"/>
  <c r="C1034" i="4"/>
  <c r="D1034" i="4"/>
  <c r="E1034" i="4"/>
  <c r="E1154" i="4" s="1"/>
  <c r="F1034" i="4"/>
  <c r="G1034" i="4"/>
  <c r="H1034" i="4"/>
  <c r="I1034" i="4"/>
  <c r="I1154" i="4" s="1"/>
  <c r="J1034" i="4"/>
  <c r="B1035" i="4"/>
  <c r="C1035" i="4"/>
  <c r="D1035" i="4"/>
  <c r="E1035" i="4"/>
  <c r="F1035" i="4"/>
  <c r="G1035" i="4"/>
  <c r="H1035" i="4"/>
  <c r="I1035" i="4"/>
  <c r="J1035" i="4"/>
  <c r="B1036" i="4"/>
  <c r="C1036" i="4"/>
  <c r="D1036" i="4"/>
  <c r="E1036" i="4"/>
  <c r="F1036" i="4"/>
  <c r="G1036" i="4"/>
  <c r="H1036" i="4"/>
  <c r="I1036" i="4"/>
  <c r="J1036" i="4"/>
  <c r="B1037" i="4"/>
  <c r="C1037" i="4"/>
  <c r="D1037" i="4"/>
  <c r="E1037" i="4"/>
  <c r="F1037" i="4"/>
  <c r="G1037" i="4"/>
  <c r="H1037" i="4"/>
  <c r="I1037" i="4"/>
  <c r="J1037" i="4"/>
  <c r="B1038" i="4"/>
  <c r="C1038" i="4"/>
  <c r="D1038" i="4"/>
  <c r="E1038" i="4"/>
  <c r="F1038" i="4"/>
  <c r="G1038" i="4"/>
  <c r="H1038" i="4"/>
  <c r="I1038" i="4"/>
  <c r="J1038" i="4"/>
  <c r="B1039" i="4"/>
  <c r="C1039" i="4"/>
  <c r="D1039" i="4"/>
  <c r="E1039" i="4"/>
  <c r="F1039" i="4"/>
  <c r="G1039" i="4"/>
  <c r="H1039" i="4"/>
  <c r="I1039" i="4"/>
  <c r="J1039" i="4"/>
  <c r="B1040" i="4"/>
  <c r="C1040" i="4"/>
  <c r="D1040" i="4"/>
  <c r="E1040" i="4"/>
  <c r="F1040" i="4"/>
  <c r="G1040" i="4"/>
  <c r="H1040" i="4"/>
  <c r="I1040" i="4"/>
  <c r="J1040" i="4"/>
  <c r="B1041" i="4"/>
  <c r="C1041" i="4"/>
  <c r="D1041" i="4"/>
  <c r="E1041" i="4"/>
  <c r="F1041" i="4"/>
  <c r="G1041" i="4"/>
  <c r="H1041" i="4"/>
  <c r="I1041" i="4"/>
  <c r="J1041" i="4"/>
  <c r="B1042" i="4"/>
  <c r="C1042" i="4"/>
  <c r="D1042" i="4"/>
  <c r="E1042" i="4"/>
  <c r="F1042" i="4"/>
  <c r="G1042" i="4"/>
  <c r="H1042" i="4"/>
  <c r="I1042" i="4"/>
  <c r="J1042" i="4"/>
  <c r="B1043" i="4"/>
  <c r="C1043" i="4"/>
  <c r="D1043" i="4"/>
  <c r="E1043" i="4"/>
  <c r="F1043" i="4"/>
  <c r="G1043" i="4"/>
  <c r="H1043" i="4"/>
  <c r="I1043" i="4"/>
  <c r="J1043" i="4"/>
  <c r="B1044" i="4"/>
  <c r="C1044" i="4"/>
  <c r="C1155" i="4" s="1"/>
  <c r="D1044" i="4"/>
  <c r="E1044" i="4"/>
  <c r="F1044" i="4"/>
  <c r="G1044" i="4"/>
  <c r="G1155" i="4" s="1"/>
  <c r="H1044" i="4"/>
  <c r="I1044" i="4"/>
  <c r="J1044" i="4"/>
  <c r="B1045" i="4"/>
  <c r="C1045" i="4"/>
  <c r="D1045" i="4"/>
  <c r="E1045" i="4"/>
  <c r="F1045" i="4"/>
  <c r="G1045" i="4"/>
  <c r="H1045" i="4"/>
  <c r="I1045" i="4"/>
  <c r="J1045" i="4"/>
  <c r="B1046" i="4"/>
  <c r="C1046" i="4"/>
  <c r="D1046" i="4"/>
  <c r="E1046" i="4"/>
  <c r="F1046" i="4"/>
  <c r="G1046" i="4"/>
  <c r="H1046" i="4"/>
  <c r="I1046" i="4"/>
  <c r="I1155" i="4" s="1"/>
  <c r="J1046" i="4"/>
  <c r="B1047" i="4"/>
  <c r="C1047" i="4"/>
  <c r="D1047" i="4"/>
  <c r="E1047" i="4"/>
  <c r="F1047" i="4"/>
  <c r="G1047" i="4"/>
  <c r="H1047" i="4"/>
  <c r="I1047" i="4"/>
  <c r="J1047" i="4"/>
  <c r="B1048" i="4"/>
  <c r="C1048" i="4"/>
  <c r="D1048" i="4"/>
  <c r="E1048" i="4"/>
  <c r="F1048" i="4"/>
  <c r="G1048" i="4"/>
  <c r="H1048" i="4"/>
  <c r="I1048" i="4"/>
  <c r="J1048" i="4"/>
  <c r="B1049" i="4"/>
  <c r="C1049" i="4"/>
  <c r="D1049" i="4"/>
  <c r="E1049" i="4"/>
  <c r="F1049" i="4"/>
  <c r="G1049" i="4"/>
  <c r="H1049" i="4"/>
  <c r="I1049" i="4"/>
  <c r="J1049" i="4"/>
  <c r="B1050" i="4"/>
  <c r="C1050" i="4"/>
  <c r="D1050" i="4"/>
  <c r="E1050" i="4"/>
  <c r="F1050" i="4"/>
  <c r="G1050" i="4"/>
  <c r="H1050" i="4"/>
  <c r="I1050" i="4"/>
  <c r="J1050" i="4"/>
  <c r="B1051" i="4"/>
  <c r="C1051" i="4"/>
  <c r="D1051" i="4"/>
  <c r="E1051" i="4"/>
  <c r="F1051" i="4"/>
  <c r="G1051" i="4"/>
  <c r="H1051" i="4"/>
  <c r="I1051" i="4"/>
  <c r="J1051" i="4"/>
  <c r="B1052" i="4"/>
  <c r="C1052" i="4"/>
  <c r="D1052" i="4"/>
  <c r="E1052" i="4"/>
  <c r="F1052" i="4"/>
  <c r="G1052" i="4"/>
  <c r="H1052" i="4"/>
  <c r="I1052" i="4"/>
  <c r="J1052" i="4"/>
  <c r="B1053" i="4"/>
  <c r="C1053" i="4"/>
  <c r="D1053" i="4"/>
  <c r="E1053" i="4"/>
  <c r="F1053" i="4"/>
  <c r="G1053" i="4"/>
  <c r="H1053" i="4"/>
  <c r="I1053" i="4"/>
  <c r="J1053" i="4"/>
  <c r="B1054" i="4"/>
  <c r="C1054" i="4"/>
  <c r="D1054" i="4"/>
  <c r="E1054" i="4"/>
  <c r="F1054" i="4"/>
  <c r="G1054" i="4"/>
  <c r="H1054" i="4"/>
  <c r="I1054" i="4"/>
  <c r="J1054" i="4"/>
  <c r="B1055" i="4"/>
  <c r="C1055" i="4"/>
  <c r="D1055" i="4"/>
  <c r="E1055" i="4"/>
  <c r="F1055" i="4"/>
  <c r="G1055" i="4"/>
  <c r="H1055" i="4"/>
  <c r="I1055" i="4"/>
  <c r="J1055" i="4"/>
  <c r="B1056" i="4"/>
  <c r="C1056" i="4"/>
  <c r="D1056" i="4"/>
  <c r="E1056" i="4"/>
  <c r="F1056" i="4"/>
  <c r="G1056" i="4"/>
  <c r="G1156" i="4" s="1"/>
  <c r="H1056" i="4"/>
  <c r="I1056" i="4"/>
  <c r="J1056" i="4"/>
  <c r="B1057" i="4"/>
  <c r="C1057" i="4"/>
  <c r="D1057" i="4"/>
  <c r="E1057" i="4"/>
  <c r="F1057" i="4"/>
  <c r="G1057" i="4"/>
  <c r="H1057" i="4"/>
  <c r="I1057" i="4"/>
  <c r="J1057" i="4"/>
  <c r="B1058" i="4"/>
  <c r="C1058" i="4"/>
  <c r="D1058" i="4"/>
  <c r="E1058" i="4"/>
  <c r="E1156" i="4" s="1"/>
  <c r="F1058" i="4"/>
  <c r="G1058" i="4"/>
  <c r="H1058" i="4"/>
  <c r="I1058" i="4"/>
  <c r="I1156" i="4" s="1"/>
  <c r="J1058" i="4"/>
  <c r="B1059" i="4"/>
  <c r="C1059" i="4"/>
  <c r="D1059" i="4"/>
  <c r="E1059" i="4"/>
  <c r="F1059" i="4"/>
  <c r="G1059" i="4"/>
  <c r="H1059" i="4"/>
  <c r="I1059" i="4"/>
  <c r="J1059" i="4"/>
  <c r="B1060" i="4"/>
  <c r="C1060" i="4"/>
  <c r="D1060" i="4"/>
  <c r="E1060" i="4"/>
  <c r="F1060" i="4"/>
  <c r="G1060" i="4"/>
  <c r="H1060" i="4"/>
  <c r="I1060" i="4"/>
  <c r="J1060" i="4"/>
  <c r="B1061" i="4"/>
  <c r="C1061" i="4"/>
  <c r="D1061" i="4"/>
  <c r="E1061" i="4"/>
  <c r="F1061" i="4"/>
  <c r="G1061" i="4"/>
  <c r="H1061" i="4"/>
  <c r="I1061" i="4"/>
  <c r="J1061" i="4"/>
  <c r="B1062" i="4"/>
  <c r="C1062" i="4"/>
  <c r="D1062" i="4"/>
  <c r="E1062" i="4"/>
  <c r="F1062" i="4"/>
  <c r="G1062" i="4"/>
  <c r="H1062" i="4"/>
  <c r="I1062" i="4"/>
  <c r="J1062" i="4"/>
  <c r="B1063" i="4"/>
  <c r="C1063" i="4"/>
  <c r="D1063" i="4"/>
  <c r="E1063" i="4"/>
  <c r="F1063" i="4"/>
  <c r="G1063" i="4"/>
  <c r="H1063" i="4"/>
  <c r="I1063" i="4"/>
  <c r="J1063" i="4"/>
  <c r="B1064" i="4"/>
  <c r="C1064" i="4"/>
  <c r="D1064" i="4"/>
  <c r="E1064" i="4"/>
  <c r="F1064" i="4"/>
  <c r="G1064" i="4"/>
  <c r="H1064" i="4"/>
  <c r="I1064" i="4"/>
  <c r="J1064" i="4"/>
  <c r="B1065" i="4"/>
  <c r="C1065" i="4"/>
  <c r="D1065" i="4"/>
  <c r="E1065" i="4"/>
  <c r="F1065" i="4"/>
  <c r="G1065" i="4"/>
  <c r="H1065" i="4"/>
  <c r="I1065" i="4"/>
  <c r="J1065" i="4"/>
  <c r="B1066" i="4"/>
  <c r="C1066" i="4"/>
  <c r="D1066" i="4"/>
  <c r="E1066" i="4"/>
  <c r="F1066" i="4"/>
  <c r="G1066" i="4"/>
  <c r="H1066" i="4"/>
  <c r="I1066" i="4"/>
  <c r="J1066" i="4"/>
  <c r="B1067" i="4"/>
  <c r="C1067" i="4"/>
  <c r="D1067" i="4"/>
  <c r="E1067" i="4"/>
  <c r="F1067" i="4"/>
  <c r="G1067" i="4"/>
  <c r="H1067" i="4"/>
  <c r="I1067" i="4"/>
  <c r="J1067" i="4"/>
  <c r="B1069" i="4"/>
  <c r="C1069" i="4"/>
  <c r="D1069" i="4"/>
  <c r="E1069" i="4"/>
  <c r="F1069" i="4"/>
  <c r="G1069" i="4"/>
  <c r="H1069" i="4"/>
  <c r="I1069" i="4"/>
  <c r="J1069" i="4"/>
  <c r="B1070" i="4"/>
  <c r="C1070" i="4"/>
  <c r="D1070" i="4"/>
  <c r="E1070" i="4"/>
  <c r="F1070" i="4"/>
  <c r="G1070" i="4"/>
  <c r="H1070" i="4"/>
  <c r="I1070" i="4"/>
  <c r="J1070" i="4"/>
  <c r="B1071" i="4"/>
  <c r="C1071" i="4"/>
  <c r="D1071" i="4"/>
  <c r="E1071" i="4"/>
  <c r="F1071" i="4"/>
  <c r="G1071" i="4"/>
  <c r="H1071" i="4"/>
  <c r="I1071" i="4"/>
  <c r="J1071" i="4"/>
  <c r="B1072" i="4"/>
  <c r="C1072" i="4"/>
  <c r="D1072" i="4"/>
  <c r="E1072" i="4"/>
  <c r="F1072" i="4"/>
  <c r="G1072" i="4"/>
  <c r="H1072" i="4"/>
  <c r="I1072" i="4"/>
  <c r="J1072" i="4"/>
  <c r="B1073" i="4"/>
  <c r="C1073" i="4"/>
  <c r="D1073" i="4"/>
  <c r="E1073" i="4"/>
  <c r="F1073" i="4"/>
  <c r="G1073" i="4"/>
  <c r="H1073" i="4"/>
  <c r="I1073" i="4"/>
  <c r="J1073" i="4"/>
  <c r="B1074" i="4"/>
  <c r="C1074" i="4"/>
  <c r="D1074" i="4"/>
  <c r="E1074" i="4"/>
  <c r="F1074" i="4"/>
  <c r="G1074" i="4"/>
  <c r="H1074" i="4"/>
  <c r="I1074" i="4"/>
  <c r="J1074" i="4"/>
  <c r="B1075" i="4"/>
  <c r="C1075" i="4"/>
  <c r="D1075" i="4"/>
  <c r="E1075" i="4"/>
  <c r="F1075" i="4"/>
  <c r="G1075" i="4"/>
  <c r="H1075" i="4"/>
  <c r="I1075" i="4"/>
  <c r="J1075" i="4"/>
  <c r="B1076" i="4"/>
  <c r="C1076" i="4"/>
  <c r="D1076" i="4"/>
  <c r="E1076" i="4"/>
  <c r="F1076" i="4"/>
  <c r="G1076" i="4"/>
  <c r="H1076" i="4"/>
  <c r="I1076" i="4"/>
  <c r="J1076" i="4"/>
  <c r="B1077" i="4"/>
  <c r="C1077" i="4"/>
  <c r="D1077" i="4"/>
  <c r="E1077" i="4"/>
  <c r="F1077" i="4"/>
  <c r="G1077" i="4"/>
  <c r="H1077" i="4"/>
  <c r="I1077" i="4"/>
  <c r="J1077" i="4"/>
  <c r="B1078" i="4"/>
  <c r="C1078" i="4"/>
  <c r="D1078" i="4"/>
  <c r="E1078" i="4"/>
  <c r="F1078" i="4"/>
  <c r="G1078" i="4"/>
  <c r="H1078" i="4"/>
  <c r="I1078" i="4"/>
  <c r="J1078" i="4"/>
  <c r="B1079" i="4"/>
  <c r="C1079" i="4"/>
  <c r="D1079" i="4"/>
  <c r="E1079" i="4"/>
  <c r="F1079" i="4"/>
  <c r="G1079" i="4"/>
  <c r="H1079" i="4"/>
  <c r="I1079" i="4"/>
  <c r="J1079" i="4"/>
  <c r="B1080" i="4"/>
  <c r="C1080" i="4"/>
  <c r="D1080" i="4"/>
  <c r="E1080" i="4"/>
  <c r="F1080" i="4"/>
  <c r="G1080" i="4"/>
  <c r="H1080" i="4"/>
  <c r="I1080" i="4"/>
  <c r="J1080" i="4"/>
  <c r="B1081" i="4"/>
  <c r="C1081" i="4"/>
  <c r="D1081" i="4"/>
  <c r="E1081" i="4"/>
  <c r="F1081" i="4"/>
  <c r="G1081" i="4"/>
  <c r="H1081" i="4"/>
  <c r="I1081" i="4"/>
  <c r="J1081" i="4"/>
  <c r="B1082" i="4"/>
  <c r="C1082" i="4"/>
  <c r="D1082" i="4"/>
  <c r="E1082" i="4"/>
  <c r="F1082" i="4"/>
  <c r="G1082" i="4"/>
  <c r="H1082" i="4"/>
  <c r="I1082" i="4"/>
  <c r="J1082" i="4"/>
  <c r="B1083" i="4"/>
  <c r="C1083" i="4"/>
  <c r="D1083" i="4"/>
  <c r="E1083" i="4"/>
  <c r="F1083" i="4"/>
  <c r="G1083" i="4"/>
  <c r="H1083" i="4"/>
  <c r="I1083" i="4"/>
  <c r="J1083" i="4"/>
  <c r="B1084" i="4"/>
  <c r="C1084" i="4"/>
  <c r="D1084" i="4"/>
  <c r="E1084" i="4"/>
  <c r="F1084" i="4"/>
  <c r="G1084" i="4"/>
  <c r="H1084" i="4"/>
  <c r="I1084" i="4"/>
  <c r="J1084" i="4"/>
  <c r="B1085" i="4"/>
  <c r="C1085" i="4"/>
  <c r="D1085" i="4"/>
  <c r="E1085" i="4"/>
  <c r="F1085" i="4"/>
  <c r="G1085" i="4"/>
  <c r="H1085" i="4"/>
  <c r="I1085" i="4"/>
  <c r="J1085" i="4"/>
  <c r="B1086" i="4"/>
  <c r="C1086" i="4"/>
  <c r="D1086" i="4"/>
  <c r="E1086" i="4"/>
  <c r="F1086" i="4"/>
  <c r="G1086" i="4"/>
  <c r="H1086" i="4"/>
  <c r="I1086" i="4"/>
  <c r="J1086" i="4"/>
  <c r="B1087" i="4"/>
  <c r="C1087" i="4"/>
  <c r="D1087" i="4"/>
  <c r="E1087" i="4"/>
  <c r="F1087" i="4"/>
  <c r="G1087" i="4"/>
  <c r="H1087" i="4"/>
  <c r="I1087" i="4"/>
  <c r="J1087" i="4"/>
  <c r="B1088" i="4"/>
  <c r="C1088" i="4"/>
  <c r="D1088" i="4"/>
  <c r="E1088" i="4"/>
  <c r="F1088" i="4"/>
  <c r="G1088" i="4"/>
  <c r="H1088" i="4"/>
  <c r="I1088" i="4"/>
  <c r="J1088" i="4"/>
  <c r="C1089" i="4"/>
  <c r="E1089" i="4"/>
  <c r="G1089" i="4"/>
  <c r="I1089" i="4"/>
  <c r="B1090" i="4"/>
  <c r="D1090" i="4"/>
  <c r="F1090" i="4"/>
  <c r="H1090" i="4"/>
  <c r="J1090" i="4"/>
  <c r="C1091" i="4"/>
  <c r="E1091" i="4"/>
  <c r="G1091" i="4"/>
  <c r="I1091" i="4"/>
  <c r="B1092" i="4"/>
  <c r="D1092" i="4"/>
  <c r="F1092" i="4"/>
  <c r="H1092" i="4"/>
  <c r="J1092" i="4"/>
  <c r="C1093" i="4"/>
  <c r="E1093" i="4"/>
  <c r="G1093" i="4"/>
  <c r="I1093" i="4"/>
  <c r="A1094" i="4"/>
  <c r="G1094" i="4"/>
  <c r="A1095" i="4"/>
  <c r="E1095" i="4"/>
  <c r="A1096" i="4"/>
  <c r="C1096" i="4"/>
  <c r="A1097" i="4"/>
  <c r="I1097" i="4"/>
  <c r="A1098" i="4"/>
  <c r="G1098" i="4"/>
  <c r="A1099" i="4"/>
  <c r="E1099" i="4"/>
  <c r="A1100" i="4"/>
  <c r="C1100" i="4"/>
  <c r="A1101" i="4"/>
  <c r="I1101" i="4"/>
  <c r="A1102" i="4"/>
  <c r="G1102" i="4"/>
  <c r="A1103" i="4"/>
  <c r="E1103" i="4"/>
  <c r="A1104" i="4"/>
  <c r="C1104" i="4"/>
  <c r="A1105" i="4"/>
  <c r="I1105" i="4"/>
  <c r="A1106" i="4"/>
  <c r="G1106" i="4"/>
  <c r="A1107" i="4"/>
  <c r="E1107" i="4"/>
  <c r="A1108" i="4"/>
  <c r="C1108" i="4"/>
  <c r="A1109" i="4"/>
  <c r="I1109" i="4"/>
  <c r="A1110" i="4"/>
  <c r="G1110" i="4"/>
  <c r="A1111" i="4"/>
  <c r="E1111" i="4"/>
  <c r="A1112" i="4"/>
  <c r="C1112" i="4"/>
  <c r="A1113" i="4"/>
  <c r="I1113" i="4"/>
  <c r="A1114" i="4"/>
  <c r="G1114" i="4"/>
  <c r="A1115" i="4"/>
  <c r="E1115" i="4"/>
  <c r="A1116" i="4"/>
  <c r="C1116" i="4"/>
  <c r="A1117" i="4"/>
  <c r="I1117" i="4"/>
  <c r="A1118" i="4"/>
  <c r="G1118" i="4"/>
  <c r="A1119" i="4"/>
  <c r="E1119" i="4"/>
  <c r="A1120" i="4"/>
  <c r="C1120" i="4"/>
  <c r="A1121" i="4"/>
  <c r="B1121" i="4" s="1"/>
  <c r="I1121" i="4"/>
  <c r="A1122" i="4"/>
  <c r="G1122" i="4"/>
  <c r="A1123" i="4"/>
  <c r="E1123" i="4"/>
  <c r="A1124" i="4"/>
  <c r="C1124" i="4"/>
  <c r="A1125" i="4"/>
  <c r="B1125" i="4" s="1"/>
  <c r="I1125" i="4"/>
  <c r="A1126" i="4"/>
  <c r="G1126" i="4"/>
  <c r="A1127" i="4"/>
  <c r="E1127" i="4"/>
  <c r="A1128" i="4"/>
  <c r="C1128" i="4"/>
  <c r="A1129" i="4"/>
  <c r="B1129" i="4" s="1"/>
  <c r="I1129" i="4"/>
  <c r="A1130" i="4"/>
  <c r="G1130" i="4"/>
  <c r="A1131" i="4"/>
  <c r="E1131" i="4"/>
  <c r="A1132" i="4"/>
  <c r="C1132" i="4"/>
  <c r="A1133" i="4"/>
  <c r="B1133" i="4" s="1"/>
  <c r="I1133" i="4"/>
  <c r="A1134" i="4"/>
  <c r="G1134" i="4"/>
  <c r="A1135" i="4"/>
  <c r="E1135" i="4"/>
  <c r="A1136" i="4"/>
  <c r="C1136" i="4"/>
  <c r="A1137" i="4"/>
  <c r="B1137" i="4" s="1"/>
  <c r="I1137" i="4"/>
  <c r="A1138" i="4"/>
  <c r="G1138" i="4"/>
  <c r="A1139" i="4"/>
  <c r="E1139" i="4"/>
  <c r="A1140" i="4"/>
  <c r="C1140" i="4"/>
  <c r="A1141" i="4"/>
  <c r="B1141" i="4" s="1"/>
  <c r="I1141" i="4"/>
  <c r="A1142" i="4"/>
  <c r="G1142" i="4"/>
  <c r="A1143" i="4"/>
  <c r="E1143" i="4"/>
  <c r="A1144" i="4"/>
  <c r="C1144" i="4"/>
  <c r="A1145" i="4"/>
  <c r="B1145" i="4" s="1"/>
  <c r="I1145" i="4"/>
  <c r="A1146" i="4"/>
  <c r="G1146" i="4"/>
  <c r="A1147" i="4"/>
  <c r="E1147" i="4"/>
  <c r="A1148" i="4"/>
  <c r="C1148" i="4"/>
  <c r="A1149" i="4"/>
  <c r="B1149" i="4" s="1"/>
  <c r="I1149" i="4"/>
  <c r="A1150" i="4"/>
  <c r="G1150" i="4"/>
  <c r="A1151" i="4"/>
  <c r="E1151" i="4"/>
  <c r="A1152" i="4"/>
  <c r="C1152" i="4"/>
  <c r="A1153" i="4"/>
  <c r="B1153" i="4" s="1"/>
  <c r="I1153" i="4"/>
  <c r="A1154" i="4"/>
  <c r="G1154" i="4"/>
  <c r="A1155" i="4"/>
  <c r="E1155" i="4"/>
  <c r="A1156" i="4"/>
  <c r="C1156" i="4"/>
  <c r="D9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B25" i="3"/>
  <c r="C25" i="3"/>
  <c r="D25" i="3"/>
  <c r="E25" i="3"/>
  <c r="F25" i="3"/>
  <c r="G25" i="3"/>
  <c r="H25" i="3"/>
  <c r="I25" i="3"/>
  <c r="J25" i="3"/>
  <c r="K25" i="3"/>
  <c r="B26" i="3"/>
  <c r="C26" i="3"/>
  <c r="D26" i="3"/>
  <c r="E26" i="3"/>
  <c r="F26" i="3"/>
  <c r="G26" i="3"/>
  <c r="H26" i="3"/>
  <c r="I26" i="3"/>
  <c r="J26" i="3"/>
  <c r="K26" i="3"/>
  <c r="B27" i="3"/>
  <c r="C27" i="3"/>
  <c r="D27" i="3"/>
  <c r="E27" i="3"/>
  <c r="F27" i="3"/>
  <c r="G27" i="3"/>
  <c r="H27" i="3"/>
  <c r="I27" i="3"/>
  <c r="J27" i="3"/>
  <c r="K27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B31" i="3"/>
  <c r="C31" i="3"/>
  <c r="D31" i="3"/>
  <c r="E31" i="3"/>
  <c r="F31" i="3"/>
  <c r="G31" i="3"/>
  <c r="H31" i="3"/>
  <c r="I31" i="3"/>
  <c r="J31" i="3"/>
  <c r="K31" i="3"/>
  <c r="B32" i="3"/>
  <c r="C32" i="3"/>
  <c r="D32" i="3"/>
  <c r="E32" i="3"/>
  <c r="F32" i="3"/>
  <c r="G32" i="3"/>
  <c r="H32" i="3"/>
  <c r="I32" i="3"/>
  <c r="J32" i="3"/>
  <c r="K32" i="3"/>
  <c r="B33" i="3"/>
  <c r="C33" i="3"/>
  <c r="D33" i="3"/>
  <c r="E33" i="3"/>
  <c r="F33" i="3"/>
  <c r="G33" i="3"/>
  <c r="H33" i="3"/>
  <c r="I33" i="3"/>
  <c r="J33" i="3"/>
  <c r="K33" i="3"/>
  <c r="B34" i="3"/>
  <c r="C34" i="3"/>
  <c r="D34" i="3"/>
  <c r="E34" i="3"/>
  <c r="F34" i="3"/>
  <c r="G34" i="3"/>
  <c r="H34" i="3"/>
  <c r="I34" i="3"/>
  <c r="J34" i="3"/>
  <c r="K34" i="3"/>
  <c r="B35" i="3"/>
  <c r="C35" i="3"/>
  <c r="D35" i="3"/>
  <c r="E35" i="3"/>
  <c r="F35" i="3"/>
  <c r="G35" i="3"/>
  <c r="H35" i="3"/>
  <c r="I35" i="3"/>
  <c r="J35" i="3"/>
  <c r="K35" i="3"/>
  <c r="B36" i="3"/>
  <c r="C36" i="3"/>
  <c r="D36" i="3"/>
  <c r="E36" i="3"/>
  <c r="F36" i="3"/>
  <c r="G36" i="3"/>
  <c r="H36" i="3"/>
  <c r="I36" i="3"/>
  <c r="J36" i="3"/>
  <c r="K36" i="3"/>
  <c r="B37" i="3"/>
  <c r="C37" i="3"/>
  <c r="D37" i="3"/>
  <c r="E37" i="3"/>
  <c r="F37" i="3"/>
  <c r="G37" i="3"/>
  <c r="H37" i="3"/>
  <c r="I37" i="3"/>
  <c r="J37" i="3"/>
  <c r="K37" i="3"/>
  <c r="B38" i="3"/>
  <c r="C38" i="3"/>
  <c r="D38" i="3"/>
  <c r="E38" i="3"/>
  <c r="F38" i="3"/>
  <c r="G38" i="3"/>
  <c r="H38" i="3"/>
  <c r="I38" i="3"/>
  <c r="J38" i="3"/>
  <c r="K38" i="3"/>
  <c r="B39" i="3"/>
  <c r="C39" i="3"/>
  <c r="D39" i="3"/>
  <c r="E39" i="3"/>
  <c r="F39" i="3"/>
  <c r="G39" i="3"/>
  <c r="H39" i="3"/>
  <c r="I39" i="3"/>
  <c r="J39" i="3"/>
  <c r="K39" i="3"/>
  <c r="B40" i="3"/>
  <c r="C40" i="3"/>
  <c r="D40" i="3"/>
  <c r="E40" i="3"/>
  <c r="F40" i="3"/>
  <c r="G40" i="3"/>
  <c r="H40" i="3"/>
  <c r="I40" i="3"/>
  <c r="J40" i="3"/>
  <c r="K40" i="3"/>
  <c r="B41" i="3"/>
  <c r="C41" i="3"/>
  <c r="D41" i="3"/>
  <c r="E41" i="3"/>
  <c r="F41" i="3"/>
  <c r="G41" i="3"/>
  <c r="H41" i="3"/>
  <c r="I41" i="3"/>
  <c r="J41" i="3"/>
  <c r="K41" i="3"/>
  <c r="B42" i="3"/>
  <c r="C42" i="3"/>
  <c r="D42" i="3"/>
  <c r="E42" i="3"/>
  <c r="F42" i="3"/>
  <c r="G42" i="3"/>
  <c r="H42" i="3"/>
  <c r="I42" i="3"/>
  <c r="J42" i="3"/>
  <c r="K42" i="3"/>
  <c r="B43" i="3"/>
  <c r="C43" i="3"/>
  <c r="D43" i="3"/>
  <c r="E43" i="3"/>
  <c r="F43" i="3"/>
  <c r="G43" i="3"/>
  <c r="H43" i="3"/>
  <c r="I43" i="3"/>
  <c r="J43" i="3"/>
  <c r="K43" i="3"/>
  <c r="B44" i="3"/>
  <c r="C44" i="3"/>
  <c r="D44" i="3"/>
  <c r="E44" i="3"/>
  <c r="F44" i="3"/>
  <c r="G44" i="3"/>
  <c r="H44" i="3"/>
  <c r="I44" i="3"/>
  <c r="J44" i="3"/>
  <c r="K44" i="3"/>
  <c r="B45" i="3"/>
  <c r="C45" i="3"/>
  <c r="D45" i="3"/>
  <c r="E45" i="3"/>
  <c r="F45" i="3"/>
  <c r="G45" i="3"/>
  <c r="H45" i="3"/>
  <c r="I45" i="3"/>
  <c r="J45" i="3"/>
  <c r="K45" i="3"/>
  <c r="B46" i="3"/>
  <c r="C46" i="3"/>
  <c r="D46" i="3"/>
  <c r="E46" i="3"/>
  <c r="F46" i="3"/>
  <c r="G46" i="3"/>
  <c r="H46" i="3"/>
  <c r="I46" i="3"/>
  <c r="J46" i="3"/>
  <c r="K46" i="3"/>
  <c r="B47" i="3"/>
  <c r="C47" i="3"/>
  <c r="D47" i="3"/>
  <c r="E47" i="3"/>
  <c r="F47" i="3"/>
  <c r="G47" i="3"/>
  <c r="H47" i="3"/>
  <c r="I47" i="3"/>
  <c r="J47" i="3"/>
  <c r="K47" i="3"/>
  <c r="B48" i="3"/>
  <c r="C48" i="3"/>
  <c r="D48" i="3"/>
  <c r="E48" i="3"/>
  <c r="F48" i="3"/>
  <c r="G48" i="3"/>
  <c r="H48" i="3"/>
  <c r="I48" i="3"/>
  <c r="J48" i="3"/>
  <c r="K48" i="3"/>
  <c r="B49" i="3"/>
  <c r="C49" i="3"/>
  <c r="D49" i="3"/>
  <c r="E49" i="3"/>
  <c r="F49" i="3"/>
  <c r="G49" i="3"/>
  <c r="H49" i="3"/>
  <c r="I49" i="3"/>
  <c r="J49" i="3"/>
  <c r="K49" i="3"/>
  <c r="B50" i="3"/>
  <c r="C50" i="3"/>
  <c r="D50" i="3"/>
  <c r="E50" i="3"/>
  <c r="F50" i="3"/>
  <c r="G50" i="3"/>
  <c r="H50" i="3"/>
  <c r="I50" i="3"/>
  <c r="J50" i="3"/>
  <c r="K50" i="3"/>
  <c r="B51" i="3"/>
  <c r="C51" i="3"/>
  <c r="D51" i="3"/>
  <c r="E51" i="3"/>
  <c r="F51" i="3"/>
  <c r="G51" i="3"/>
  <c r="H51" i="3"/>
  <c r="I51" i="3"/>
  <c r="J51" i="3"/>
  <c r="K51" i="3"/>
  <c r="B52" i="3"/>
  <c r="C52" i="3"/>
  <c r="D52" i="3"/>
  <c r="E52" i="3"/>
  <c r="F52" i="3"/>
  <c r="G52" i="3"/>
  <c r="H52" i="3"/>
  <c r="I52" i="3"/>
  <c r="J52" i="3"/>
  <c r="K52" i="3"/>
  <c r="B53" i="3"/>
  <c r="C53" i="3"/>
  <c r="D53" i="3"/>
  <c r="E53" i="3"/>
  <c r="F53" i="3"/>
  <c r="G53" i="3"/>
  <c r="H53" i="3"/>
  <c r="I53" i="3"/>
  <c r="J53" i="3"/>
  <c r="K53" i="3"/>
  <c r="B54" i="3"/>
  <c r="C54" i="3"/>
  <c r="D54" i="3"/>
  <c r="E54" i="3"/>
  <c r="F54" i="3"/>
  <c r="G54" i="3"/>
  <c r="H54" i="3"/>
  <c r="I54" i="3"/>
  <c r="J54" i="3"/>
  <c r="K54" i="3"/>
  <c r="B55" i="3"/>
  <c r="C55" i="3"/>
  <c r="D55" i="3"/>
  <c r="E55" i="3"/>
  <c r="F55" i="3"/>
  <c r="G55" i="3"/>
  <c r="H55" i="3"/>
  <c r="I55" i="3"/>
  <c r="J55" i="3"/>
  <c r="K55" i="3"/>
  <c r="B56" i="3"/>
  <c r="C56" i="3"/>
  <c r="D56" i="3"/>
  <c r="E56" i="3"/>
  <c r="F56" i="3"/>
  <c r="G56" i="3"/>
  <c r="H56" i="3"/>
  <c r="I56" i="3"/>
  <c r="J56" i="3"/>
  <c r="K56" i="3"/>
  <c r="B57" i="3"/>
  <c r="C57" i="3"/>
  <c r="D57" i="3"/>
  <c r="E57" i="3"/>
  <c r="F57" i="3"/>
  <c r="G57" i="3"/>
  <c r="H57" i="3"/>
  <c r="I57" i="3"/>
  <c r="J57" i="3"/>
  <c r="K57" i="3"/>
  <c r="B58" i="3"/>
  <c r="C58" i="3"/>
  <c r="D58" i="3"/>
  <c r="E58" i="3"/>
  <c r="F58" i="3"/>
  <c r="G58" i="3"/>
  <c r="H58" i="3"/>
  <c r="I58" i="3"/>
  <c r="J58" i="3"/>
  <c r="K58" i="3"/>
  <c r="B59" i="3"/>
  <c r="C59" i="3"/>
  <c r="D59" i="3"/>
  <c r="E59" i="3"/>
  <c r="F59" i="3"/>
  <c r="G59" i="3"/>
  <c r="H59" i="3"/>
  <c r="I59" i="3"/>
  <c r="J59" i="3"/>
  <c r="K59" i="3"/>
  <c r="B60" i="3"/>
  <c r="C60" i="3"/>
  <c r="D60" i="3"/>
  <c r="E60" i="3"/>
  <c r="F60" i="3"/>
  <c r="G60" i="3"/>
  <c r="H60" i="3"/>
  <c r="I60" i="3"/>
  <c r="J60" i="3"/>
  <c r="K60" i="3"/>
  <c r="B61" i="3"/>
  <c r="C61" i="3"/>
  <c r="D61" i="3"/>
  <c r="E61" i="3"/>
  <c r="F61" i="3"/>
  <c r="G61" i="3"/>
  <c r="H61" i="3"/>
  <c r="I61" i="3"/>
  <c r="J61" i="3"/>
  <c r="K61" i="3"/>
  <c r="B62" i="3"/>
  <c r="C62" i="3"/>
  <c r="D62" i="3"/>
  <c r="E62" i="3"/>
  <c r="F62" i="3"/>
  <c r="G62" i="3"/>
  <c r="H62" i="3"/>
  <c r="I62" i="3"/>
  <c r="J62" i="3"/>
  <c r="K62" i="3"/>
  <c r="B63" i="3"/>
  <c r="C63" i="3"/>
  <c r="D63" i="3"/>
  <c r="E63" i="3"/>
  <c r="F63" i="3"/>
  <c r="G63" i="3"/>
  <c r="H63" i="3"/>
  <c r="I63" i="3"/>
  <c r="J63" i="3"/>
  <c r="K63" i="3"/>
  <c r="B64" i="3"/>
  <c r="C64" i="3"/>
  <c r="D64" i="3"/>
  <c r="E64" i="3"/>
  <c r="F64" i="3"/>
  <c r="G64" i="3"/>
  <c r="H64" i="3"/>
  <c r="I64" i="3"/>
  <c r="J64" i="3"/>
  <c r="K64" i="3"/>
  <c r="B65" i="3"/>
  <c r="C65" i="3"/>
  <c r="D65" i="3"/>
  <c r="E65" i="3"/>
  <c r="F65" i="3"/>
  <c r="G65" i="3"/>
  <c r="H65" i="3"/>
  <c r="I65" i="3"/>
  <c r="J65" i="3"/>
  <c r="K65" i="3"/>
  <c r="B66" i="3"/>
  <c r="C66" i="3"/>
  <c r="D66" i="3"/>
  <c r="E66" i="3"/>
  <c r="F66" i="3"/>
  <c r="G66" i="3"/>
  <c r="H66" i="3"/>
  <c r="I66" i="3"/>
  <c r="J66" i="3"/>
  <c r="K66" i="3"/>
  <c r="B67" i="3"/>
  <c r="C67" i="3"/>
  <c r="D67" i="3"/>
  <c r="E67" i="3"/>
  <c r="F67" i="3"/>
  <c r="G67" i="3"/>
  <c r="H67" i="3"/>
  <c r="I67" i="3"/>
  <c r="J67" i="3"/>
  <c r="K67" i="3"/>
  <c r="B68" i="3"/>
  <c r="C68" i="3"/>
  <c r="D68" i="3"/>
  <c r="E68" i="3"/>
  <c r="F68" i="3"/>
  <c r="G68" i="3"/>
  <c r="H68" i="3"/>
  <c r="I68" i="3"/>
  <c r="J68" i="3"/>
  <c r="K68" i="3"/>
  <c r="B69" i="3"/>
  <c r="C69" i="3"/>
  <c r="D69" i="3"/>
  <c r="E69" i="3"/>
  <c r="F69" i="3"/>
  <c r="G69" i="3"/>
  <c r="H69" i="3"/>
  <c r="I69" i="3"/>
  <c r="J69" i="3"/>
  <c r="K69" i="3"/>
  <c r="B70" i="3"/>
  <c r="C70" i="3"/>
  <c r="D70" i="3"/>
  <c r="E70" i="3"/>
  <c r="F70" i="3"/>
  <c r="G70" i="3"/>
  <c r="H70" i="3"/>
  <c r="I70" i="3"/>
  <c r="J70" i="3"/>
  <c r="K70" i="3"/>
  <c r="B71" i="3"/>
  <c r="C71" i="3"/>
  <c r="D71" i="3"/>
  <c r="E71" i="3"/>
  <c r="F71" i="3"/>
  <c r="G71" i="3"/>
  <c r="H71" i="3"/>
  <c r="I71" i="3"/>
  <c r="J71" i="3"/>
  <c r="K71" i="3"/>
  <c r="B72" i="3"/>
  <c r="C72" i="3"/>
  <c r="D72" i="3"/>
  <c r="E72" i="3"/>
  <c r="F72" i="3"/>
  <c r="G72" i="3"/>
  <c r="H72" i="3"/>
  <c r="I72" i="3"/>
  <c r="J72" i="3"/>
  <c r="K72" i="3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6" i="3"/>
  <c r="C76" i="3"/>
  <c r="D76" i="3"/>
  <c r="E76" i="3"/>
  <c r="F76" i="3"/>
  <c r="G76" i="3"/>
  <c r="H76" i="3"/>
  <c r="I76" i="3"/>
  <c r="J76" i="3"/>
  <c r="K76" i="3"/>
  <c r="B77" i="3"/>
  <c r="C77" i="3"/>
  <c r="D77" i="3"/>
  <c r="E77" i="3"/>
  <c r="F77" i="3"/>
  <c r="G77" i="3"/>
  <c r="H77" i="3"/>
  <c r="I77" i="3"/>
  <c r="J77" i="3"/>
  <c r="K77" i="3"/>
  <c r="B78" i="3"/>
  <c r="C78" i="3"/>
  <c r="D78" i="3"/>
  <c r="E78" i="3"/>
  <c r="F78" i="3"/>
  <c r="G78" i="3"/>
  <c r="H78" i="3"/>
  <c r="I78" i="3"/>
  <c r="J78" i="3"/>
  <c r="K78" i="3"/>
  <c r="B79" i="3"/>
  <c r="C79" i="3"/>
  <c r="D79" i="3"/>
  <c r="E79" i="3"/>
  <c r="F79" i="3"/>
  <c r="G79" i="3"/>
  <c r="H79" i="3"/>
  <c r="I79" i="3"/>
  <c r="J79" i="3"/>
  <c r="K79" i="3"/>
  <c r="B80" i="3"/>
  <c r="C80" i="3"/>
  <c r="D80" i="3"/>
  <c r="E80" i="3"/>
  <c r="F80" i="3"/>
  <c r="G80" i="3"/>
  <c r="H80" i="3"/>
  <c r="I80" i="3"/>
  <c r="J80" i="3"/>
  <c r="K80" i="3"/>
  <c r="B81" i="3"/>
  <c r="C81" i="3"/>
  <c r="D81" i="3"/>
  <c r="E81" i="3"/>
  <c r="F81" i="3"/>
  <c r="G81" i="3"/>
  <c r="H81" i="3"/>
  <c r="I81" i="3"/>
  <c r="J81" i="3"/>
  <c r="K81" i="3"/>
  <c r="B82" i="3"/>
  <c r="C82" i="3"/>
  <c r="D82" i="3"/>
  <c r="E82" i="3"/>
  <c r="F82" i="3"/>
  <c r="G82" i="3"/>
  <c r="H82" i="3"/>
  <c r="I82" i="3"/>
  <c r="J82" i="3"/>
  <c r="K82" i="3"/>
  <c r="B83" i="3"/>
  <c r="C83" i="3"/>
  <c r="D83" i="3"/>
  <c r="E83" i="3"/>
  <c r="F83" i="3"/>
  <c r="G83" i="3"/>
  <c r="H83" i="3"/>
  <c r="I83" i="3"/>
  <c r="J83" i="3"/>
  <c r="K83" i="3"/>
  <c r="B84" i="3"/>
  <c r="C84" i="3"/>
  <c r="D84" i="3"/>
  <c r="E84" i="3"/>
  <c r="F84" i="3"/>
  <c r="G84" i="3"/>
  <c r="H84" i="3"/>
  <c r="I84" i="3"/>
  <c r="J84" i="3"/>
  <c r="K84" i="3"/>
  <c r="B85" i="3"/>
  <c r="C85" i="3"/>
  <c r="D85" i="3"/>
  <c r="E85" i="3"/>
  <c r="F85" i="3"/>
  <c r="G85" i="3"/>
  <c r="H85" i="3"/>
  <c r="I85" i="3"/>
  <c r="J85" i="3"/>
  <c r="K85" i="3"/>
  <c r="B86" i="3"/>
  <c r="C86" i="3"/>
  <c r="D86" i="3"/>
  <c r="E86" i="3"/>
  <c r="F86" i="3"/>
  <c r="G86" i="3"/>
  <c r="H86" i="3"/>
  <c r="I86" i="3"/>
  <c r="J86" i="3"/>
  <c r="K86" i="3"/>
  <c r="B87" i="3"/>
  <c r="C87" i="3"/>
  <c r="D87" i="3"/>
  <c r="E87" i="3"/>
  <c r="F87" i="3"/>
  <c r="G87" i="3"/>
  <c r="H87" i="3"/>
  <c r="I87" i="3"/>
  <c r="J87" i="3"/>
  <c r="K87" i="3"/>
  <c r="B88" i="3"/>
  <c r="C88" i="3"/>
  <c r="D88" i="3"/>
  <c r="E88" i="3"/>
  <c r="F88" i="3"/>
  <c r="G88" i="3"/>
  <c r="H88" i="3"/>
  <c r="I88" i="3"/>
  <c r="J88" i="3"/>
  <c r="K88" i="3"/>
  <c r="B89" i="3"/>
  <c r="C89" i="3"/>
  <c r="D89" i="3"/>
  <c r="E89" i="3"/>
  <c r="F89" i="3"/>
  <c r="G89" i="3"/>
  <c r="H89" i="3"/>
  <c r="I89" i="3"/>
  <c r="J89" i="3"/>
  <c r="K89" i="3"/>
  <c r="B90" i="3"/>
  <c r="C90" i="3"/>
  <c r="D90" i="3"/>
  <c r="E90" i="3"/>
  <c r="F90" i="3"/>
  <c r="G90" i="3"/>
  <c r="H90" i="3"/>
  <c r="I90" i="3"/>
  <c r="J90" i="3"/>
  <c r="K90" i="3"/>
  <c r="B91" i="3"/>
  <c r="C91" i="3"/>
  <c r="D91" i="3"/>
  <c r="E91" i="3"/>
  <c r="F91" i="3"/>
  <c r="G91" i="3"/>
  <c r="H91" i="3"/>
  <c r="I91" i="3"/>
  <c r="J91" i="3"/>
  <c r="K91" i="3"/>
  <c r="B92" i="3"/>
  <c r="C92" i="3"/>
  <c r="D92" i="3"/>
  <c r="E92" i="3"/>
  <c r="F92" i="3"/>
  <c r="G92" i="3"/>
  <c r="H92" i="3"/>
  <c r="I92" i="3"/>
  <c r="J92" i="3"/>
  <c r="K92" i="3"/>
  <c r="B93" i="3"/>
  <c r="C93" i="3"/>
  <c r="D93" i="3"/>
  <c r="E93" i="3"/>
  <c r="F93" i="3"/>
  <c r="G93" i="3"/>
  <c r="H93" i="3"/>
  <c r="I93" i="3"/>
  <c r="J93" i="3"/>
  <c r="K93" i="3"/>
  <c r="B94" i="3"/>
  <c r="C94" i="3"/>
  <c r="D94" i="3"/>
  <c r="E94" i="3"/>
  <c r="F94" i="3"/>
  <c r="G94" i="3"/>
  <c r="H94" i="3"/>
  <c r="I94" i="3"/>
  <c r="J94" i="3"/>
  <c r="K94" i="3"/>
  <c r="B95" i="3"/>
  <c r="C95" i="3"/>
  <c r="D95" i="3"/>
  <c r="E95" i="3"/>
  <c r="F95" i="3"/>
  <c r="G95" i="3"/>
  <c r="H95" i="3"/>
  <c r="I95" i="3"/>
  <c r="J95" i="3"/>
  <c r="K95" i="3"/>
  <c r="B96" i="3"/>
  <c r="C96" i="3"/>
  <c r="D96" i="3"/>
  <c r="E96" i="3"/>
  <c r="F96" i="3"/>
  <c r="G96" i="3"/>
  <c r="H96" i="3"/>
  <c r="I96" i="3"/>
  <c r="J96" i="3"/>
  <c r="K96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B99" i="3"/>
  <c r="C99" i="3"/>
  <c r="D99" i="3"/>
  <c r="E99" i="3"/>
  <c r="F99" i="3"/>
  <c r="G99" i="3"/>
  <c r="H99" i="3"/>
  <c r="I99" i="3"/>
  <c r="J99" i="3"/>
  <c r="K99" i="3"/>
  <c r="B100" i="3"/>
  <c r="C100" i="3"/>
  <c r="D100" i="3"/>
  <c r="E100" i="3"/>
  <c r="F100" i="3"/>
  <c r="G100" i="3"/>
  <c r="H100" i="3"/>
  <c r="I100" i="3"/>
  <c r="J100" i="3"/>
  <c r="K100" i="3"/>
  <c r="B101" i="3"/>
  <c r="C101" i="3"/>
  <c r="D101" i="3"/>
  <c r="E101" i="3"/>
  <c r="F101" i="3"/>
  <c r="G101" i="3"/>
  <c r="H101" i="3"/>
  <c r="I101" i="3"/>
  <c r="J101" i="3"/>
  <c r="K101" i="3"/>
  <c r="B102" i="3"/>
  <c r="C102" i="3"/>
  <c r="D102" i="3"/>
  <c r="E102" i="3"/>
  <c r="F102" i="3"/>
  <c r="G102" i="3"/>
  <c r="H102" i="3"/>
  <c r="I102" i="3"/>
  <c r="J102" i="3"/>
  <c r="K102" i="3"/>
  <c r="B103" i="3"/>
  <c r="C103" i="3"/>
  <c r="D103" i="3"/>
  <c r="E103" i="3"/>
  <c r="F103" i="3"/>
  <c r="G103" i="3"/>
  <c r="H103" i="3"/>
  <c r="I103" i="3"/>
  <c r="J103" i="3"/>
  <c r="K103" i="3"/>
  <c r="B104" i="3"/>
  <c r="C104" i="3"/>
  <c r="D104" i="3"/>
  <c r="E104" i="3"/>
  <c r="F104" i="3"/>
  <c r="G104" i="3"/>
  <c r="H104" i="3"/>
  <c r="I104" i="3"/>
  <c r="J104" i="3"/>
  <c r="K104" i="3"/>
  <c r="B105" i="3"/>
  <c r="C105" i="3"/>
  <c r="D105" i="3"/>
  <c r="E105" i="3"/>
  <c r="F105" i="3"/>
  <c r="G105" i="3"/>
  <c r="H105" i="3"/>
  <c r="I105" i="3"/>
  <c r="J105" i="3"/>
  <c r="K105" i="3"/>
  <c r="B106" i="3"/>
  <c r="C106" i="3"/>
  <c r="D106" i="3"/>
  <c r="E106" i="3"/>
  <c r="F106" i="3"/>
  <c r="G106" i="3"/>
  <c r="H106" i="3"/>
  <c r="I106" i="3"/>
  <c r="J106" i="3"/>
  <c r="K106" i="3"/>
  <c r="B107" i="3"/>
  <c r="C107" i="3"/>
  <c r="D107" i="3"/>
  <c r="E107" i="3"/>
  <c r="F107" i="3"/>
  <c r="G107" i="3"/>
  <c r="H107" i="3"/>
  <c r="I107" i="3"/>
  <c r="J107" i="3"/>
  <c r="K107" i="3"/>
  <c r="B108" i="3"/>
  <c r="C108" i="3"/>
  <c r="D108" i="3"/>
  <c r="E108" i="3"/>
  <c r="F108" i="3"/>
  <c r="G108" i="3"/>
  <c r="H108" i="3"/>
  <c r="I108" i="3"/>
  <c r="J108" i="3"/>
  <c r="K108" i="3"/>
  <c r="B109" i="3"/>
  <c r="C109" i="3"/>
  <c r="D109" i="3"/>
  <c r="E109" i="3"/>
  <c r="F109" i="3"/>
  <c r="G109" i="3"/>
  <c r="H109" i="3"/>
  <c r="I109" i="3"/>
  <c r="J109" i="3"/>
  <c r="K109" i="3"/>
  <c r="B110" i="3"/>
  <c r="C110" i="3"/>
  <c r="D110" i="3"/>
  <c r="E110" i="3"/>
  <c r="F110" i="3"/>
  <c r="G110" i="3"/>
  <c r="H110" i="3"/>
  <c r="I110" i="3"/>
  <c r="J110" i="3"/>
  <c r="K110" i="3"/>
  <c r="B111" i="3"/>
  <c r="C111" i="3"/>
  <c r="D111" i="3"/>
  <c r="E111" i="3"/>
  <c r="F111" i="3"/>
  <c r="G111" i="3"/>
  <c r="H111" i="3"/>
  <c r="I111" i="3"/>
  <c r="J111" i="3"/>
  <c r="K111" i="3"/>
  <c r="B112" i="3"/>
  <c r="C112" i="3"/>
  <c r="D112" i="3"/>
  <c r="E112" i="3"/>
  <c r="F112" i="3"/>
  <c r="G112" i="3"/>
  <c r="H112" i="3"/>
  <c r="I112" i="3"/>
  <c r="J112" i="3"/>
  <c r="K112" i="3"/>
  <c r="B113" i="3"/>
  <c r="C113" i="3"/>
  <c r="D113" i="3"/>
  <c r="E113" i="3"/>
  <c r="F113" i="3"/>
  <c r="G113" i="3"/>
  <c r="H113" i="3"/>
  <c r="I113" i="3"/>
  <c r="J113" i="3"/>
  <c r="K113" i="3"/>
  <c r="B114" i="3"/>
  <c r="C114" i="3"/>
  <c r="D114" i="3"/>
  <c r="E114" i="3"/>
  <c r="F114" i="3"/>
  <c r="G114" i="3"/>
  <c r="H114" i="3"/>
  <c r="I114" i="3"/>
  <c r="J114" i="3"/>
  <c r="K114" i="3"/>
  <c r="B115" i="3"/>
  <c r="C115" i="3"/>
  <c r="D115" i="3"/>
  <c r="E115" i="3"/>
  <c r="F115" i="3"/>
  <c r="G115" i="3"/>
  <c r="H115" i="3"/>
  <c r="I115" i="3"/>
  <c r="J115" i="3"/>
  <c r="K115" i="3"/>
  <c r="B116" i="3"/>
  <c r="C116" i="3"/>
  <c r="D116" i="3"/>
  <c r="E116" i="3"/>
  <c r="F116" i="3"/>
  <c r="G116" i="3"/>
  <c r="H116" i="3"/>
  <c r="I116" i="3"/>
  <c r="J116" i="3"/>
  <c r="K116" i="3"/>
  <c r="B117" i="3"/>
  <c r="C117" i="3"/>
  <c r="D117" i="3"/>
  <c r="E117" i="3"/>
  <c r="F117" i="3"/>
  <c r="G117" i="3"/>
  <c r="H117" i="3"/>
  <c r="I117" i="3"/>
  <c r="J117" i="3"/>
  <c r="K117" i="3"/>
  <c r="B118" i="3"/>
  <c r="C118" i="3"/>
  <c r="D118" i="3"/>
  <c r="E118" i="3"/>
  <c r="F118" i="3"/>
  <c r="G118" i="3"/>
  <c r="H118" i="3"/>
  <c r="I118" i="3"/>
  <c r="J118" i="3"/>
  <c r="K118" i="3"/>
  <c r="B119" i="3"/>
  <c r="C119" i="3"/>
  <c r="D119" i="3"/>
  <c r="E119" i="3"/>
  <c r="F119" i="3"/>
  <c r="G119" i="3"/>
  <c r="H119" i="3"/>
  <c r="I119" i="3"/>
  <c r="J119" i="3"/>
  <c r="K119" i="3"/>
  <c r="B120" i="3"/>
  <c r="C120" i="3"/>
  <c r="D120" i="3"/>
  <c r="E120" i="3"/>
  <c r="F120" i="3"/>
  <c r="G120" i="3"/>
  <c r="H120" i="3"/>
  <c r="I120" i="3"/>
  <c r="J120" i="3"/>
  <c r="K120" i="3"/>
  <c r="B121" i="3"/>
  <c r="C121" i="3"/>
  <c r="D121" i="3"/>
  <c r="E121" i="3"/>
  <c r="F121" i="3"/>
  <c r="G121" i="3"/>
  <c r="H121" i="3"/>
  <c r="I121" i="3"/>
  <c r="J121" i="3"/>
  <c r="K121" i="3"/>
  <c r="B122" i="3"/>
  <c r="C122" i="3"/>
  <c r="D122" i="3"/>
  <c r="E122" i="3"/>
  <c r="F122" i="3"/>
  <c r="G122" i="3"/>
  <c r="H122" i="3"/>
  <c r="I122" i="3"/>
  <c r="J122" i="3"/>
  <c r="K122" i="3"/>
  <c r="B123" i="3"/>
  <c r="C123" i="3"/>
  <c r="D123" i="3"/>
  <c r="E123" i="3"/>
  <c r="F123" i="3"/>
  <c r="G123" i="3"/>
  <c r="H123" i="3"/>
  <c r="I123" i="3"/>
  <c r="J123" i="3"/>
  <c r="K123" i="3"/>
  <c r="B124" i="3"/>
  <c r="C124" i="3"/>
  <c r="D124" i="3"/>
  <c r="E124" i="3"/>
  <c r="F124" i="3"/>
  <c r="G124" i="3"/>
  <c r="H124" i="3"/>
  <c r="I124" i="3"/>
  <c r="J124" i="3"/>
  <c r="K124" i="3"/>
  <c r="B125" i="3"/>
  <c r="C125" i="3"/>
  <c r="D125" i="3"/>
  <c r="E125" i="3"/>
  <c r="F125" i="3"/>
  <c r="G125" i="3"/>
  <c r="H125" i="3"/>
  <c r="I125" i="3"/>
  <c r="J125" i="3"/>
  <c r="K125" i="3"/>
  <c r="B126" i="3"/>
  <c r="C126" i="3"/>
  <c r="D126" i="3"/>
  <c r="E126" i="3"/>
  <c r="F126" i="3"/>
  <c r="G126" i="3"/>
  <c r="H126" i="3"/>
  <c r="I126" i="3"/>
  <c r="J126" i="3"/>
  <c r="K126" i="3"/>
  <c r="B127" i="3"/>
  <c r="C127" i="3"/>
  <c r="D127" i="3"/>
  <c r="E127" i="3"/>
  <c r="F127" i="3"/>
  <c r="G127" i="3"/>
  <c r="H127" i="3"/>
  <c r="I127" i="3"/>
  <c r="J127" i="3"/>
  <c r="K127" i="3"/>
  <c r="B128" i="3"/>
  <c r="C128" i="3"/>
  <c r="D128" i="3"/>
  <c r="E128" i="3"/>
  <c r="F128" i="3"/>
  <c r="G128" i="3"/>
  <c r="H128" i="3"/>
  <c r="I128" i="3"/>
  <c r="J128" i="3"/>
  <c r="K128" i="3"/>
  <c r="B129" i="3"/>
  <c r="C129" i="3"/>
  <c r="D129" i="3"/>
  <c r="E129" i="3"/>
  <c r="F129" i="3"/>
  <c r="G129" i="3"/>
  <c r="H129" i="3"/>
  <c r="I129" i="3"/>
  <c r="J129" i="3"/>
  <c r="K129" i="3"/>
  <c r="B130" i="3"/>
  <c r="C130" i="3"/>
  <c r="D130" i="3"/>
  <c r="E130" i="3"/>
  <c r="F130" i="3"/>
  <c r="G130" i="3"/>
  <c r="H130" i="3"/>
  <c r="I130" i="3"/>
  <c r="J130" i="3"/>
  <c r="K130" i="3"/>
  <c r="B131" i="3"/>
  <c r="C131" i="3"/>
  <c r="D131" i="3"/>
  <c r="E131" i="3"/>
  <c r="F131" i="3"/>
  <c r="G131" i="3"/>
  <c r="H131" i="3"/>
  <c r="I131" i="3"/>
  <c r="J131" i="3"/>
  <c r="K131" i="3"/>
  <c r="B132" i="3"/>
  <c r="C132" i="3"/>
  <c r="D132" i="3"/>
  <c r="E132" i="3"/>
  <c r="F132" i="3"/>
  <c r="G132" i="3"/>
  <c r="H132" i="3"/>
  <c r="I132" i="3"/>
  <c r="J132" i="3"/>
  <c r="K132" i="3"/>
  <c r="B133" i="3"/>
  <c r="C133" i="3"/>
  <c r="D133" i="3"/>
  <c r="E133" i="3"/>
  <c r="F133" i="3"/>
  <c r="G133" i="3"/>
  <c r="H133" i="3"/>
  <c r="I133" i="3"/>
  <c r="J133" i="3"/>
  <c r="K133" i="3"/>
  <c r="B134" i="3"/>
  <c r="C134" i="3"/>
  <c r="D134" i="3"/>
  <c r="E134" i="3"/>
  <c r="F134" i="3"/>
  <c r="G134" i="3"/>
  <c r="H134" i="3"/>
  <c r="I134" i="3"/>
  <c r="J134" i="3"/>
  <c r="K134" i="3"/>
  <c r="B135" i="3"/>
  <c r="C135" i="3"/>
  <c r="D135" i="3"/>
  <c r="E135" i="3"/>
  <c r="F135" i="3"/>
  <c r="G135" i="3"/>
  <c r="H135" i="3"/>
  <c r="I135" i="3"/>
  <c r="J135" i="3"/>
  <c r="K135" i="3"/>
  <c r="B136" i="3"/>
  <c r="C136" i="3"/>
  <c r="D136" i="3"/>
  <c r="E136" i="3"/>
  <c r="F136" i="3"/>
  <c r="G136" i="3"/>
  <c r="H136" i="3"/>
  <c r="I136" i="3"/>
  <c r="J136" i="3"/>
  <c r="K136" i="3"/>
  <c r="B137" i="3"/>
  <c r="C137" i="3"/>
  <c r="D137" i="3"/>
  <c r="E137" i="3"/>
  <c r="F137" i="3"/>
  <c r="G137" i="3"/>
  <c r="H137" i="3"/>
  <c r="I137" i="3"/>
  <c r="J137" i="3"/>
  <c r="K137" i="3"/>
  <c r="B138" i="3"/>
  <c r="C138" i="3"/>
  <c r="D138" i="3"/>
  <c r="E138" i="3"/>
  <c r="F138" i="3"/>
  <c r="G138" i="3"/>
  <c r="H138" i="3"/>
  <c r="I138" i="3"/>
  <c r="J138" i="3"/>
  <c r="K138" i="3"/>
  <c r="B139" i="3"/>
  <c r="C139" i="3"/>
  <c r="D139" i="3"/>
  <c r="E139" i="3"/>
  <c r="F139" i="3"/>
  <c r="G139" i="3"/>
  <c r="H139" i="3"/>
  <c r="I139" i="3"/>
  <c r="J139" i="3"/>
  <c r="K139" i="3"/>
  <c r="B140" i="3"/>
  <c r="C140" i="3"/>
  <c r="D140" i="3"/>
  <c r="E140" i="3"/>
  <c r="F140" i="3"/>
  <c r="G140" i="3"/>
  <c r="H140" i="3"/>
  <c r="I140" i="3"/>
  <c r="J140" i="3"/>
  <c r="K140" i="3"/>
  <c r="B141" i="3"/>
  <c r="C141" i="3"/>
  <c r="D141" i="3"/>
  <c r="E141" i="3"/>
  <c r="F141" i="3"/>
  <c r="G141" i="3"/>
  <c r="H141" i="3"/>
  <c r="I141" i="3"/>
  <c r="J141" i="3"/>
  <c r="K141" i="3"/>
  <c r="B142" i="3"/>
  <c r="C142" i="3"/>
  <c r="D142" i="3"/>
  <c r="E142" i="3"/>
  <c r="F142" i="3"/>
  <c r="G142" i="3"/>
  <c r="H142" i="3"/>
  <c r="I142" i="3"/>
  <c r="J142" i="3"/>
  <c r="K142" i="3"/>
  <c r="B143" i="3"/>
  <c r="C143" i="3"/>
  <c r="D143" i="3"/>
  <c r="E143" i="3"/>
  <c r="F143" i="3"/>
  <c r="G143" i="3"/>
  <c r="H143" i="3"/>
  <c r="I143" i="3"/>
  <c r="J143" i="3"/>
  <c r="K143" i="3"/>
  <c r="B144" i="3"/>
  <c r="C144" i="3"/>
  <c r="D144" i="3"/>
  <c r="E144" i="3"/>
  <c r="F144" i="3"/>
  <c r="G144" i="3"/>
  <c r="H144" i="3"/>
  <c r="I144" i="3"/>
  <c r="J144" i="3"/>
  <c r="K144" i="3"/>
  <c r="B145" i="3"/>
  <c r="C145" i="3"/>
  <c r="D145" i="3"/>
  <c r="E145" i="3"/>
  <c r="F145" i="3"/>
  <c r="G145" i="3"/>
  <c r="H145" i="3"/>
  <c r="I145" i="3"/>
  <c r="J145" i="3"/>
  <c r="K145" i="3"/>
  <c r="B146" i="3"/>
  <c r="C146" i="3"/>
  <c r="D146" i="3"/>
  <c r="E146" i="3"/>
  <c r="F146" i="3"/>
  <c r="G146" i="3"/>
  <c r="H146" i="3"/>
  <c r="I146" i="3"/>
  <c r="J146" i="3"/>
  <c r="K146" i="3"/>
  <c r="B147" i="3"/>
  <c r="C147" i="3"/>
  <c r="D147" i="3"/>
  <c r="E147" i="3"/>
  <c r="F147" i="3"/>
  <c r="G147" i="3"/>
  <c r="H147" i="3"/>
  <c r="I147" i="3"/>
  <c r="J147" i="3"/>
  <c r="K147" i="3"/>
  <c r="B148" i="3"/>
  <c r="C148" i="3"/>
  <c r="D148" i="3"/>
  <c r="E148" i="3"/>
  <c r="F148" i="3"/>
  <c r="G148" i="3"/>
  <c r="H148" i="3"/>
  <c r="I148" i="3"/>
  <c r="J148" i="3"/>
  <c r="K148" i="3"/>
  <c r="B149" i="3"/>
  <c r="C149" i="3"/>
  <c r="D149" i="3"/>
  <c r="E149" i="3"/>
  <c r="F149" i="3"/>
  <c r="G149" i="3"/>
  <c r="H149" i="3"/>
  <c r="I149" i="3"/>
  <c r="J149" i="3"/>
  <c r="K149" i="3"/>
  <c r="B150" i="3"/>
  <c r="C150" i="3"/>
  <c r="D150" i="3"/>
  <c r="E150" i="3"/>
  <c r="F150" i="3"/>
  <c r="G150" i="3"/>
  <c r="H150" i="3"/>
  <c r="I150" i="3"/>
  <c r="J150" i="3"/>
  <c r="K150" i="3"/>
  <c r="B151" i="3"/>
  <c r="C151" i="3"/>
  <c r="D151" i="3"/>
  <c r="E151" i="3"/>
  <c r="F151" i="3"/>
  <c r="G151" i="3"/>
  <c r="H151" i="3"/>
  <c r="I151" i="3"/>
  <c r="J151" i="3"/>
  <c r="K151" i="3"/>
  <c r="B152" i="3"/>
  <c r="C152" i="3"/>
  <c r="D152" i="3"/>
  <c r="E152" i="3"/>
  <c r="F152" i="3"/>
  <c r="G152" i="3"/>
  <c r="H152" i="3"/>
  <c r="I152" i="3"/>
  <c r="J152" i="3"/>
  <c r="K152" i="3"/>
  <c r="B153" i="3"/>
  <c r="C153" i="3"/>
  <c r="D153" i="3"/>
  <c r="E153" i="3"/>
  <c r="F153" i="3"/>
  <c r="G153" i="3"/>
  <c r="H153" i="3"/>
  <c r="I153" i="3"/>
  <c r="J153" i="3"/>
  <c r="K153" i="3"/>
  <c r="B154" i="3"/>
  <c r="C154" i="3"/>
  <c r="D154" i="3"/>
  <c r="E154" i="3"/>
  <c r="F154" i="3"/>
  <c r="G154" i="3"/>
  <c r="H154" i="3"/>
  <c r="I154" i="3"/>
  <c r="J154" i="3"/>
  <c r="K154" i="3"/>
  <c r="B155" i="3"/>
  <c r="C155" i="3"/>
  <c r="D155" i="3"/>
  <c r="E155" i="3"/>
  <c r="F155" i="3"/>
  <c r="G155" i="3"/>
  <c r="H155" i="3"/>
  <c r="I155" i="3"/>
  <c r="J155" i="3"/>
  <c r="K155" i="3"/>
  <c r="B156" i="3"/>
  <c r="C156" i="3"/>
  <c r="D156" i="3"/>
  <c r="E156" i="3"/>
  <c r="F156" i="3"/>
  <c r="G156" i="3"/>
  <c r="H156" i="3"/>
  <c r="I156" i="3"/>
  <c r="J156" i="3"/>
  <c r="K156" i="3"/>
  <c r="B157" i="3"/>
  <c r="C157" i="3"/>
  <c r="D157" i="3"/>
  <c r="E157" i="3"/>
  <c r="F157" i="3"/>
  <c r="G157" i="3"/>
  <c r="H157" i="3"/>
  <c r="I157" i="3"/>
  <c r="J157" i="3"/>
  <c r="K157" i="3"/>
  <c r="B158" i="3"/>
  <c r="C158" i="3"/>
  <c r="D158" i="3"/>
  <c r="E158" i="3"/>
  <c r="F158" i="3"/>
  <c r="G158" i="3"/>
  <c r="H158" i="3"/>
  <c r="I158" i="3"/>
  <c r="J158" i="3"/>
  <c r="K158" i="3"/>
  <c r="B159" i="3"/>
  <c r="C159" i="3"/>
  <c r="D159" i="3"/>
  <c r="E159" i="3"/>
  <c r="F159" i="3"/>
  <c r="G159" i="3"/>
  <c r="H159" i="3"/>
  <c r="I159" i="3"/>
  <c r="J159" i="3"/>
  <c r="K159" i="3"/>
  <c r="B160" i="3"/>
  <c r="C160" i="3"/>
  <c r="D160" i="3"/>
  <c r="E160" i="3"/>
  <c r="F160" i="3"/>
  <c r="G160" i="3"/>
  <c r="H160" i="3"/>
  <c r="I160" i="3"/>
  <c r="J160" i="3"/>
  <c r="K160" i="3"/>
  <c r="B161" i="3"/>
  <c r="C161" i="3"/>
  <c r="D161" i="3"/>
  <c r="E161" i="3"/>
  <c r="F161" i="3"/>
  <c r="G161" i="3"/>
  <c r="H161" i="3"/>
  <c r="I161" i="3"/>
  <c r="J161" i="3"/>
  <c r="K161" i="3"/>
  <c r="B162" i="3"/>
  <c r="C162" i="3"/>
  <c r="D162" i="3"/>
  <c r="E162" i="3"/>
  <c r="F162" i="3"/>
  <c r="G162" i="3"/>
  <c r="H162" i="3"/>
  <c r="I162" i="3"/>
  <c r="J162" i="3"/>
  <c r="K162" i="3"/>
  <c r="B163" i="3"/>
  <c r="C163" i="3"/>
  <c r="D163" i="3"/>
  <c r="E163" i="3"/>
  <c r="F163" i="3"/>
  <c r="G163" i="3"/>
  <c r="H163" i="3"/>
  <c r="I163" i="3"/>
  <c r="J163" i="3"/>
  <c r="K163" i="3"/>
  <c r="B164" i="3"/>
  <c r="C164" i="3"/>
  <c r="D164" i="3"/>
  <c r="E164" i="3"/>
  <c r="F164" i="3"/>
  <c r="G164" i="3"/>
  <c r="H164" i="3"/>
  <c r="I164" i="3"/>
  <c r="J164" i="3"/>
  <c r="K164" i="3"/>
  <c r="B165" i="3"/>
  <c r="C165" i="3"/>
  <c r="D165" i="3"/>
  <c r="E165" i="3"/>
  <c r="F165" i="3"/>
  <c r="G165" i="3"/>
  <c r="H165" i="3"/>
  <c r="I165" i="3"/>
  <c r="J165" i="3"/>
  <c r="K165" i="3"/>
  <c r="B166" i="3"/>
  <c r="C166" i="3"/>
  <c r="D166" i="3"/>
  <c r="E166" i="3"/>
  <c r="F166" i="3"/>
  <c r="G166" i="3"/>
  <c r="H166" i="3"/>
  <c r="I166" i="3"/>
  <c r="J166" i="3"/>
  <c r="K166" i="3"/>
  <c r="B167" i="3"/>
  <c r="C167" i="3"/>
  <c r="D167" i="3"/>
  <c r="E167" i="3"/>
  <c r="F167" i="3"/>
  <c r="G167" i="3"/>
  <c r="H167" i="3"/>
  <c r="I167" i="3"/>
  <c r="J167" i="3"/>
  <c r="K167" i="3"/>
  <c r="B168" i="3"/>
  <c r="C168" i="3"/>
  <c r="D168" i="3"/>
  <c r="E168" i="3"/>
  <c r="F168" i="3"/>
  <c r="G168" i="3"/>
  <c r="H168" i="3"/>
  <c r="I168" i="3"/>
  <c r="J168" i="3"/>
  <c r="K168" i="3"/>
  <c r="B169" i="3"/>
  <c r="C169" i="3"/>
  <c r="D169" i="3"/>
  <c r="E169" i="3"/>
  <c r="F169" i="3"/>
  <c r="G169" i="3"/>
  <c r="H169" i="3"/>
  <c r="I169" i="3"/>
  <c r="J169" i="3"/>
  <c r="K169" i="3"/>
  <c r="B170" i="3"/>
  <c r="C170" i="3"/>
  <c r="D170" i="3"/>
  <c r="E170" i="3"/>
  <c r="F170" i="3"/>
  <c r="G170" i="3"/>
  <c r="H170" i="3"/>
  <c r="I170" i="3"/>
  <c r="J170" i="3"/>
  <c r="K170" i="3"/>
  <c r="B171" i="3"/>
  <c r="C171" i="3"/>
  <c r="D171" i="3"/>
  <c r="E171" i="3"/>
  <c r="F171" i="3"/>
  <c r="G171" i="3"/>
  <c r="H171" i="3"/>
  <c r="I171" i="3"/>
  <c r="J171" i="3"/>
  <c r="K171" i="3"/>
  <c r="B172" i="3"/>
  <c r="C172" i="3"/>
  <c r="D172" i="3"/>
  <c r="E172" i="3"/>
  <c r="F172" i="3"/>
  <c r="G172" i="3"/>
  <c r="H172" i="3"/>
  <c r="I172" i="3"/>
  <c r="J172" i="3"/>
  <c r="K172" i="3"/>
  <c r="B173" i="3"/>
  <c r="C173" i="3"/>
  <c r="D173" i="3"/>
  <c r="E173" i="3"/>
  <c r="F173" i="3"/>
  <c r="G173" i="3"/>
  <c r="H173" i="3"/>
  <c r="I173" i="3"/>
  <c r="J173" i="3"/>
  <c r="K173" i="3"/>
  <c r="B174" i="3"/>
  <c r="C174" i="3"/>
  <c r="D174" i="3"/>
  <c r="E174" i="3"/>
  <c r="F174" i="3"/>
  <c r="G174" i="3"/>
  <c r="H174" i="3"/>
  <c r="I174" i="3"/>
  <c r="J174" i="3"/>
  <c r="K174" i="3"/>
  <c r="B175" i="3"/>
  <c r="C175" i="3"/>
  <c r="D175" i="3"/>
  <c r="E175" i="3"/>
  <c r="F175" i="3"/>
  <c r="G175" i="3"/>
  <c r="H175" i="3"/>
  <c r="I175" i="3"/>
  <c r="J175" i="3"/>
  <c r="K175" i="3"/>
  <c r="B176" i="3"/>
  <c r="C176" i="3"/>
  <c r="D176" i="3"/>
  <c r="E176" i="3"/>
  <c r="F176" i="3"/>
  <c r="G176" i="3"/>
  <c r="H176" i="3"/>
  <c r="I176" i="3"/>
  <c r="J176" i="3"/>
  <c r="K176" i="3"/>
  <c r="B177" i="3"/>
  <c r="C177" i="3"/>
  <c r="D177" i="3"/>
  <c r="E177" i="3"/>
  <c r="F177" i="3"/>
  <c r="G177" i="3"/>
  <c r="H177" i="3"/>
  <c r="I177" i="3"/>
  <c r="J177" i="3"/>
  <c r="K177" i="3"/>
  <c r="B178" i="3"/>
  <c r="C178" i="3"/>
  <c r="D178" i="3"/>
  <c r="E178" i="3"/>
  <c r="F178" i="3"/>
  <c r="G178" i="3"/>
  <c r="H178" i="3"/>
  <c r="I178" i="3"/>
  <c r="J178" i="3"/>
  <c r="K178" i="3"/>
  <c r="B179" i="3"/>
  <c r="C179" i="3"/>
  <c r="D179" i="3"/>
  <c r="E179" i="3"/>
  <c r="F179" i="3"/>
  <c r="G179" i="3"/>
  <c r="H179" i="3"/>
  <c r="I179" i="3"/>
  <c r="J179" i="3"/>
  <c r="K179" i="3"/>
  <c r="B180" i="3"/>
  <c r="C180" i="3"/>
  <c r="D180" i="3"/>
  <c r="E180" i="3"/>
  <c r="F180" i="3"/>
  <c r="G180" i="3"/>
  <c r="H180" i="3"/>
  <c r="I180" i="3"/>
  <c r="J180" i="3"/>
  <c r="K180" i="3"/>
  <c r="B181" i="3"/>
  <c r="C181" i="3"/>
  <c r="D181" i="3"/>
  <c r="E181" i="3"/>
  <c r="F181" i="3"/>
  <c r="G181" i="3"/>
  <c r="H181" i="3"/>
  <c r="I181" i="3"/>
  <c r="J181" i="3"/>
  <c r="K181" i="3"/>
  <c r="B182" i="3"/>
  <c r="C182" i="3"/>
  <c r="D182" i="3"/>
  <c r="E182" i="3"/>
  <c r="F182" i="3"/>
  <c r="G182" i="3"/>
  <c r="H182" i="3"/>
  <c r="I182" i="3"/>
  <c r="J182" i="3"/>
  <c r="K182" i="3"/>
  <c r="B183" i="3"/>
  <c r="C183" i="3"/>
  <c r="D183" i="3"/>
  <c r="E183" i="3"/>
  <c r="F183" i="3"/>
  <c r="G183" i="3"/>
  <c r="H183" i="3"/>
  <c r="I183" i="3"/>
  <c r="J183" i="3"/>
  <c r="K183" i="3"/>
  <c r="B184" i="3"/>
  <c r="C184" i="3"/>
  <c r="D184" i="3"/>
  <c r="E184" i="3"/>
  <c r="F184" i="3"/>
  <c r="G184" i="3"/>
  <c r="H184" i="3"/>
  <c r="I184" i="3"/>
  <c r="J184" i="3"/>
  <c r="K184" i="3"/>
  <c r="B185" i="3"/>
  <c r="C185" i="3"/>
  <c r="D185" i="3"/>
  <c r="E185" i="3"/>
  <c r="F185" i="3"/>
  <c r="G185" i="3"/>
  <c r="H185" i="3"/>
  <c r="I185" i="3"/>
  <c r="J185" i="3"/>
  <c r="K185" i="3"/>
  <c r="B186" i="3"/>
  <c r="C186" i="3"/>
  <c r="D186" i="3"/>
  <c r="E186" i="3"/>
  <c r="F186" i="3"/>
  <c r="G186" i="3"/>
  <c r="H186" i="3"/>
  <c r="I186" i="3"/>
  <c r="J186" i="3"/>
  <c r="K186" i="3"/>
  <c r="B187" i="3"/>
  <c r="C187" i="3"/>
  <c r="D187" i="3"/>
  <c r="E187" i="3"/>
  <c r="F187" i="3"/>
  <c r="G187" i="3"/>
  <c r="H187" i="3"/>
  <c r="I187" i="3"/>
  <c r="J187" i="3"/>
  <c r="K187" i="3"/>
  <c r="B188" i="3"/>
  <c r="C188" i="3"/>
  <c r="D188" i="3"/>
  <c r="E188" i="3"/>
  <c r="F188" i="3"/>
  <c r="G188" i="3"/>
  <c r="H188" i="3"/>
  <c r="I188" i="3"/>
  <c r="J188" i="3"/>
  <c r="K188" i="3"/>
  <c r="B189" i="3"/>
  <c r="C189" i="3"/>
  <c r="D189" i="3"/>
  <c r="E189" i="3"/>
  <c r="F189" i="3"/>
  <c r="G189" i="3"/>
  <c r="H189" i="3"/>
  <c r="I189" i="3"/>
  <c r="J189" i="3"/>
  <c r="K189" i="3"/>
  <c r="B190" i="3"/>
  <c r="C190" i="3"/>
  <c r="D190" i="3"/>
  <c r="E190" i="3"/>
  <c r="F190" i="3"/>
  <c r="G190" i="3"/>
  <c r="H190" i="3"/>
  <c r="I190" i="3"/>
  <c r="J190" i="3"/>
  <c r="K190" i="3"/>
  <c r="B191" i="3"/>
  <c r="C191" i="3"/>
  <c r="D191" i="3"/>
  <c r="E191" i="3"/>
  <c r="F191" i="3"/>
  <c r="G191" i="3"/>
  <c r="H191" i="3"/>
  <c r="I191" i="3"/>
  <c r="J191" i="3"/>
  <c r="K191" i="3"/>
  <c r="B192" i="3"/>
  <c r="C192" i="3"/>
  <c r="D192" i="3"/>
  <c r="E192" i="3"/>
  <c r="F192" i="3"/>
  <c r="G192" i="3"/>
  <c r="H192" i="3"/>
  <c r="I192" i="3"/>
  <c r="J192" i="3"/>
  <c r="K192" i="3"/>
  <c r="B193" i="3"/>
  <c r="C193" i="3"/>
  <c r="D193" i="3"/>
  <c r="E193" i="3"/>
  <c r="F193" i="3"/>
  <c r="G193" i="3"/>
  <c r="H193" i="3"/>
  <c r="I193" i="3"/>
  <c r="J193" i="3"/>
  <c r="K193" i="3"/>
  <c r="B194" i="3"/>
  <c r="C194" i="3"/>
  <c r="D194" i="3"/>
  <c r="E194" i="3"/>
  <c r="F194" i="3"/>
  <c r="G194" i="3"/>
  <c r="H194" i="3"/>
  <c r="I194" i="3"/>
  <c r="J194" i="3"/>
  <c r="K194" i="3"/>
  <c r="B195" i="3"/>
  <c r="C195" i="3"/>
  <c r="D195" i="3"/>
  <c r="E195" i="3"/>
  <c r="F195" i="3"/>
  <c r="G195" i="3"/>
  <c r="H195" i="3"/>
  <c r="I195" i="3"/>
  <c r="J195" i="3"/>
  <c r="K195" i="3"/>
  <c r="B196" i="3"/>
  <c r="C196" i="3"/>
  <c r="D196" i="3"/>
  <c r="E196" i="3"/>
  <c r="F196" i="3"/>
  <c r="G196" i="3"/>
  <c r="H196" i="3"/>
  <c r="I196" i="3"/>
  <c r="J196" i="3"/>
  <c r="K196" i="3"/>
  <c r="B197" i="3"/>
  <c r="C197" i="3"/>
  <c r="D197" i="3"/>
  <c r="E197" i="3"/>
  <c r="F197" i="3"/>
  <c r="G197" i="3"/>
  <c r="H197" i="3"/>
  <c r="I197" i="3"/>
  <c r="J197" i="3"/>
  <c r="K197" i="3"/>
  <c r="B198" i="3"/>
  <c r="C198" i="3"/>
  <c r="D198" i="3"/>
  <c r="E198" i="3"/>
  <c r="F198" i="3"/>
  <c r="G198" i="3"/>
  <c r="H198" i="3"/>
  <c r="I198" i="3"/>
  <c r="J198" i="3"/>
  <c r="K198" i="3"/>
  <c r="B199" i="3"/>
  <c r="C199" i="3"/>
  <c r="D199" i="3"/>
  <c r="E199" i="3"/>
  <c r="F199" i="3"/>
  <c r="G199" i="3"/>
  <c r="H199" i="3"/>
  <c r="I199" i="3"/>
  <c r="J199" i="3"/>
  <c r="K199" i="3"/>
  <c r="B200" i="3"/>
  <c r="C200" i="3"/>
  <c r="D200" i="3"/>
  <c r="E200" i="3"/>
  <c r="F200" i="3"/>
  <c r="G200" i="3"/>
  <c r="H200" i="3"/>
  <c r="I200" i="3"/>
  <c r="J200" i="3"/>
  <c r="K200" i="3"/>
  <c r="B201" i="3"/>
  <c r="C201" i="3"/>
  <c r="D201" i="3"/>
  <c r="E201" i="3"/>
  <c r="F201" i="3"/>
  <c r="G201" i="3"/>
  <c r="H201" i="3"/>
  <c r="I201" i="3"/>
  <c r="J201" i="3"/>
  <c r="K201" i="3"/>
  <c r="B202" i="3"/>
  <c r="C202" i="3"/>
  <c r="D202" i="3"/>
  <c r="E202" i="3"/>
  <c r="F202" i="3"/>
  <c r="G202" i="3"/>
  <c r="H202" i="3"/>
  <c r="I202" i="3"/>
  <c r="J202" i="3"/>
  <c r="K202" i="3"/>
  <c r="B203" i="3"/>
  <c r="C203" i="3"/>
  <c r="D203" i="3"/>
  <c r="E203" i="3"/>
  <c r="F203" i="3"/>
  <c r="G203" i="3"/>
  <c r="H203" i="3"/>
  <c r="I203" i="3"/>
  <c r="J203" i="3"/>
  <c r="K203" i="3"/>
  <c r="B204" i="3"/>
  <c r="C204" i="3"/>
  <c r="D204" i="3"/>
  <c r="E204" i="3"/>
  <c r="F204" i="3"/>
  <c r="G204" i="3"/>
  <c r="H204" i="3"/>
  <c r="I204" i="3"/>
  <c r="J204" i="3"/>
  <c r="K204" i="3"/>
  <c r="B205" i="3"/>
  <c r="C205" i="3"/>
  <c r="D205" i="3"/>
  <c r="E205" i="3"/>
  <c r="F205" i="3"/>
  <c r="G205" i="3"/>
  <c r="H205" i="3"/>
  <c r="I205" i="3"/>
  <c r="J205" i="3"/>
  <c r="K205" i="3"/>
  <c r="B206" i="3"/>
  <c r="C206" i="3"/>
  <c r="D206" i="3"/>
  <c r="E206" i="3"/>
  <c r="F206" i="3"/>
  <c r="G206" i="3"/>
  <c r="H206" i="3"/>
  <c r="I206" i="3"/>
  <c r="J206" i="3"/>
  <c r="K206" i="3"/>
  <c r="B207" i="3"/>
  <c r="C207" i="3"/>
  <c r="D207" i="3"/>
  <c r="E207" i="3"/>
  <c r="F207" i="3"/>
  <c r="G207" i="3"/>
  <c r="H207" i="3"/>
  <c r="I207" i="3"/>
  <c r="J207" i="3"/>
  <c r="K207" i="3"/>
  <c r="B208" i="3"/>
  <c r="C208" i="3"/>
  <c r="D208" i="3"/>
  <c r="E208" i="3"/>
  <c r="F208" i="3"/>
  <c r="G208" i="3"/>
  <c r="H208" i="3"/>
  <c r="I208" i="3"/>
  <c r="J208" i="3"/>
  <c r="K208" i="3"/>
  <c r="B209" i="3"/>
  <c r="C209" i="3"/>
  <c r="D209" i="3"/>
  <c r="E209" i="3"/>
  <c r="F209" i="3"/>
  <c r="G209" i="3"/>
  <c r="H209" i="3"/>
  <c r="I209" i="3"/>
  <c r="J209" i="3"/>
  <c r="K209" i="3"/>
  <c r="B210" i="3"/>
  <c r="C210" i="3"/>
  <c r="D210" i="3"/>
  <c r="E210" i="3"/>
  <c r="F210" i="3"/>
  <c r="G210" i="3"/>
  <c r="H210" i="3"/>
  <c r="I210" i="3"/>
  <c r="J210" i="3"/>
  <c r="K210" i="3"/>
  <c r="B211" i="3"/>
  <c r="C211" i="3"/>
  <c r="D211" i="3"/>
  <c r="E211" i="3"/>
  <c r="F211" i="3"/>
  <c r="G211" i="3"/>
  <c r="H211" i="3"/>
  <c r="I211" i="3"/>
  <c r="J211" i="3"/>
  <c r="K211" i="3"/>
  <c r="B212" i="3"/>
  <c r="C212" i="3"/>
  <c r="D212" i="3"/>
  <c r="E212" i="3"/>
  <c r="F212" i="3"/>
  <c r="G212" i="3"/>
  <c r="H212" i="3"/>
  <c r="I212" i="3"/>
  <c r="J212" i="3"/>
  <c r="K212" i="3"/>
  <c r="B213" i="3"/>
  <c r="C213" i="3"/>
  <c r="D213" i="3"/>
  <c r="E213" i="3"/>
  <c r="F213" i="3"/>
  <c r="G213" i="3"/>
  <c r="H213" i="3"/>
  <c r="I213" i="3"/>
  <c r="J213" i="3"/>
  <c r="K213" i="3"/>
  <c r="B214" i="3"/>
  <c r="C214" i="3"/>
  <c r="D214" i="3"/>
  <c r="E214" i="3"/>
  <c r="F214" i="3"/>
  <c r="G214" i="3"/>
  <c r="H214" i="3"/>
  <c r="I214" i="3"/>
  <c r="J214" i="3"/>
  <c r="K214" i="3"/>
  <c r="B215" i="3"/>
  <c r="C215" i="3"/>
  <c r="D215" i="3"/>
  <c r="E215" i="3"/>
  <c r="F215" i="3"/>
  <c r="G215" i="3"/>
  <c r="H215" i="3"/>
  <c r="I215" i="3"/>
  <c r="J215" i="3"/>
  <c r="K215" i="3"/>
  <c r="B216" i="3"/>
  <c r="C216" i="3"/>
  <c r="D216" i="3"/>
  <c r="E216" i="3"/>
  <c r="F216" i="3"/>
  <c r="G216" i="3"/>
  <c r="H216" i="3"/>
  <c r="I216" i="3"/>
  <c r="J216" i="3"/>
  <c r="K216" i="3"/>
  <c r="B217" i="3"/>
  <c r="C217" i="3"/>
  <c r="D217" i="3"/>
  <c r="E217" i="3"/>
  <c r="F217" i="3"/>
  <c r="G217" i="3"/>
  <c r="H217" i="3"/>
  <c r="I217" i="3"/>
  <c r="J217" i="3"/>
  <c r="K217" i="3"/>
  <c r="B218" i="3"/>
  <c r="C218" i="3"/>
  <c r="D218" i="3"/>
  <c r="E218" i="3"/>
  <c r="F218" i="3"/>
  <c r="G218" i="3"/>
  <c r="H218" i="3"/>
  <c r="I218" i="3"/>
  <c r="J218" i="3"/>
  <c r="K218" i="3"/>
  <c r="B219" i="3"/>
  <c r="C219" i="3"/>
  <c r="D219" i="3"/>
  <c r="E219" i="3"/>
  <c r="F219" i="3"/>
  <c r="G219" i="3"/>
  <c r="H219" i="3"/>
  <c r="I219" i="3"/>
  <c r="J219" i="3"/>
  <c r="K219" i="3"/>
  <c r="B220" i="3"/>
  <c r="C220" i="3"/>
  <c r="D220" i="3"/>
  <c r="E220" i="3"/>
  <c r="F220" i="3"/>
  <c r="G220" i="3"/>
  <c r="H220" i="3"/>
  <c r="I220" i="3"/>
  <c r="J220" i="3"/>
  <c r="K220" i="3"/>
  <c r="B221" i="3"/>
  <c r="C221" i="3"/>
  <c r="D221" i="3"/>
  <c r="E221" i="3"/>
  <c r="F221" i="3"/>
  <c r="G221" i="3"/>
  <c r="H221" i="3"/>
  <c r="I221" i="3"/>
  <c r="J221" i="3"/>
  <c r="K221" i="3"/>
  <c r="B222" i="3"/>
  <c r="C222" i="3"/>
  <c r="D222" i="3"/>
  <c r="E222" i="3"/>
  <c r="F222" i="3"/>
  <c r="G222" i="3"/>
  <c r="H222" i="3"/>
  <c r="I222" i="3"/>
  <c r="J222" i="3"/>
  <c r="K222" i="3"/>
  <c r="B223" i="3"/>
  <c r="C223" i="3"/>
  <c r="D223" i="3"/>
  <c r="E223" i="3"/>
  <c r="F223" i="3"/>
  <c r="G223" i="3"/>
  <c r="H223" i="3"/>
  <c r="I223" i="3"/>
  <c r="J223" i="3"/>
  <c r="K223" i="3"/>
  <c r="B224" i="3"/>
  <c r="C224" i="3"/>
  <c r="D224" i="3"/>
  <c r="E224" i="3"/>
  <c r="F224" i="3"/>
  <c r="G224" i="3"/>
  <c r="H224" i="3"/>
  <c r="I224" i="3"/>
  <c r="J224" i="3"/>
  <c r="K224" i="3"/>
  <c r="B225" i="3"/>
  <c r="C225" i="3"/>
  <c r="D225" i="3"/>
  <c r="E225" i="3"/>
  <c r="F225" i="3"/>
  <c r="G225" i="3"/>
  <c r="H225" i="3"/>
  <c r="I225" i="3"/>
  <c r="J225" i="3"/>
  <c r="K225" i="3"/>
  <c r="B226" i="3"/>
  <c r="C226" i="3"/>
  <c r="D226" i="3"/>
  <c r="E226" i="3"/>
  <c r="F226" i="3"/>
  <c r="G226" i="3"/>
  <c r="H226" i="3"/>
  <c r="I226" i="3"/>
  <c r="J226" i="3"/>
  <c r="K226" i="3"/>
  <c r="B227" i="3"/>
  <c r="C227" i="3"/>
  <c r="D227" i="3"/>
  <c r="E227" i="3"/>
  <c r="F227" i="3"/>
  <c r="G227" i="3"/>
  <c r="H227" i="3"/>
  <c r="I227" i="3"/>
  <c r="J227" i="3"/>
  <c r="K227" i="3"/>
  <c r="B228" i="3"/>
  <c r="C228" i="3"/>
  <c r="D228" i="3"/>
  <c r="E228" i="3"/>
  <c r="F228" i="3"/>
  <c r="G228" i="3"/>
  <c r="H228" i="3"/>
  <c r="I228" i="3"/>
  <c r="J228" i="3"/>
  <c r="K228" i="3"/>
  <c r="B229" i="3"/>
  <c r="C229" i="3"/>
  <c r="D229" i="3"/>
  <c r="E229" i="3"/>
  <c r="F229" i="3"/>
  <c r="G229" i="3"/>
  <c r="H229" i="3"/>
  <c r="I229" i="3"/>
  <c r="J229" i="3"/>
  <c r="K229" i="3"/>
  <c r="B230" i="3"/>
  <c r="C230" i="3"/>
  <c r="D230" i="3"/>
  <c r="E230" i="3"/>
  <c r="F230" i="3"/>
  <c r="G230" i="3"/>
  <c r="H230" i="3"/>
  <c r="I230" i="3"/>
  <c r="J230" i="3"/>
  <c r="K230" i="3"/>
  <c r="B231" i="3"/>
  <c r="C231" i="3"/>
  <c r="D231" i="3"/>
  <c r="E231" i="3"/>
  <c r="F231" i="3"/>
  <c r="G231" i="3"/>
  <c r="H231" i="3"/>
  <c r="I231" i="3"/>
  <c r="J231" i="3"/>
  <c r="K231" i="3"/>
  <c r="B232" i="3"/>
  <c r="C232" i="3"/>
  <c r="D232" i="3"/>
  <c r="E232" i="3"/>
  <c r="F232" i="3"/>
  <c r="G232" i="3"/>
  <c r="H232" i="3"/>
  <c r="I232" i="3"/>
  <c r="J232" i="3"/>
  <c r="K232" i="3"/>
  <c r="B233" i="3"/>
  <c r="C233" i="3"/>
  <c r="D233" i="3"/>
  <c r="E233" i="3"/>
  <c r="F233" i="3"/>
  <c r="G233" i="3"/>
  <c r="H233" i="3"/>
  <c r="I233" i="3"/>
  <c r="J233" i="3"/>
  <c r="K233" i="3"/>
  <c r="B234" i="3"/>
  <c r="C234" i="3"/>
  <c r="D234" i="3"/>
  <c r="E234" i="3"/>
  <c r="F234" i="3"/>
  <c r="G234" i="3"/>
  <c r="H234" i="3"/>
  <c r="I234" i="3"/>
  <c r="J234" i="3"/>
  <c r="K234" i="3"/>
  <c r="B235" i="3"/>
  <c r="C235" i="3"/>
  <c r="D235" i="3"/>
  <c r="E235" i="3"/>
  <c r="F235" i="3"/>
  <c r="G235" i="3"/>
  <c r="H235" i="3"/>
  <c r="I235" i="3"/>
  <c r="J235" i="3"/>
  <c r="K235" i="3"/>
  <c r="B236" i="3"/>
  <c r="C236" i="3"/>
  <c r="D236" i="3"/>
  <c r="E236" i="3"/>
  <c r="F236" i="3"/>
  <c r="G236" i="3"/>
  <c r="H236" i="3"/>
  <c r="I236" i="3"/>
  <c r="J236" i="3"/>
  <c r="K236" i="3"/>
  <c r="B237" i="3"/>
  <c r="C237" i="3"/>
  <c r="D237" i="3"/>
  <c r="E237" i="3"/>
  <c r="F237" i="3"/>
  <c r="G237" i="3"/>
  <c r="H237" i="3"/>
  <c r="I237" i="3"/>
  <c r="J237" i="3"/>
  <c r="K237" i="3"/>
  <c r="B238" i="3"/>
  <c r="C238" i="3"/>
  <c r="D238" i="3"/>
  <c r="E238" i="3"/>
  <c r="F238" i="3"/>
  <c r="G238" i="3"/>
  <c r="H238" i="3"/>
  <c r="I238" i="3"/>
  <c r="J238" i="3"/>
  <c r="K238" i="3"/>
  <c r="B239" i="3"/>
  <c r="C239" i="3"/>
  <c r="D239" i="3"/>
  <c r="E239" i="3"/>
  <c r="F239" i="3"/>
  <c r="G239" i="3"/>
  <c r="H239" i="3"/>
  <c r="I239" i="3"/>
  <c r="J239" i="3"/>
  <c r="K239" i="3"/>
  <c r="B240" i="3"/>
  <c r="C240" i="3"/>
  <c r="D240" i="3"/>
  <c r="E240" i="3"/>
  <c r="F240" i="3"/>
  <c r="G240" i="3"/>
  <c r="H240" i="3"/>
  <c r="I240" i="3"/>
  <c r="J240" i="3"/>
  <c r="K240" i="3"/>
  <c r="B241" i="3"/>
  <c r="C241" i="3"/>
  <c r="D241" i="3"/>
  <c r="E241" i="3"/>
  <c r="F241" i="3"/>
  <c r="G241" i="3"/>
  <c r="H241" i="3"/>
  <c r="I241" i="3"/>
  <c r="J241" i="3"/>
  <c r="K241" i="3"/>
  <c r="B242" i="3"/>
  <c r="C242" i="3"/>
  <c r="D242" i="3"/>
  <c r="E242" i="3"/>
  <c r="F242" i="3"/>
  <c r="G242" i="3"/>
  <c r="H242" i="3"/>
  <c r="I242" i="3"/>
  <c r="J242" i="3"/>
  <c r="K242" i="3"/>
  <c r="B243" i="3"/>
  <c r="C243" i="3"/>
  <c r="D243" i="3"/>
  <c r="E243" i="3"/>
  <c r="F243" i="3"/>
  <c r="G243" i="3"/>
  <c r="H243" i="3"/>
  <c r="I243" i="3"/>
  <c r="J243" i="3"/>
  <c r="K243" i="3"/>
  <c r="B244" i="3"/>
  <c r="C244" i="3"/>
  <c r="D244" i="3"/>
  <c r="E244" i="3"/>
  <c r="F244" i="3"/>
  <c r="G244" i="3"/>
  <c r="H244" i="3"/>
  <c r="I244" i="3"/>
  <c r="J244" i="3"/>
  <c r="K244" i="3"/>
  <c r="B245" i="3"/>
  <c r="C245" i="3"/>
  <c r="D245" i="3"/>
  <c r="E245" i="3"/>
  <c r="F245" i="3"/>
  <c r="G245" i="3"/>
  <c r="H245" i="3"/>
  <c r="I245" i="3"/>
  <c r="J245" i="3"/>
  <c r="K245" i="3"/>
  <c r="B246" i="3"/>
  <c r="C246" i="3"/>
  <c r="D246" i="3"/>
  <c r="E246" i="3"/>
  <c r="F246" i="3"/>
  <c r="G246" i="3"/>
  <c r="H246" i="3"/>
  <c r="I246" i="3"/>
  <c r="J246" i="3"/>
  <c r="K246" i="3"/>
  <c r="B247" i="3"/>
  <c r="C247" i="3"/>
  <c r="D247" i="3"/>
  <c r="E247" i="3"/>
  <c r="F247" i="3"/>
  <c r="G247" i="3"/>
  <c r="H247" i="3"/>
  <c r="I247" i="3"/>
  <c r="J247" i="3"/>
  <c r="K247" i="3"/>
  <c r="B248" i="3"/>
  <c r="C248" i="3"/>
  <c r="D248" i="3"/>
  <c r="E248" i="3"/>
  <c r="F248" i="3"/>
  <c r="G248" i="3"/>
  <c r="H248" i="3"/>
  <c r="I248" i="3"/>
  <c r="J248" i="3"/>
  <c r="K248" i="3"/>
  <c r="B249" i="3"/>
  <c r="C249" i="3"/>
  <c r="D249" i="3"/>
  <c r="E249" i="3"/>
  <c r="F249" i="3"/>
  <c r="G249" i="3"/>
  <c r="H249" i="3"/>
  <c r="I249" i="3"/>
  <c r="J249" i="3"/>
  <c r="K249" i="3"/>
  <c r="B250" i="3"/>
  <c r="C250" i="3"/>
  <c r="D250" i="3"/>
  <c r="E250" i="3"/>
  <c r="F250" i="3"/>
  <c r="G250" i="3"/>
  <c r="H250" i="3"/>
  <c r="I250" i="3"/>
  <c r="J250" i="3"/>
  <c r="K250" i="3"/>
  <c r="B251" i="3"/>
  <c r="C251" i="3"/>
  <c r="D251" i="3"/>
  <c r="E251" i="3"/>
  <c r="F251" i="3"/>
  <c r="G251" i="3"/>
  <c r="H251" i="3"/>
  <c r="I251" i="3"/>
  <c r="J251" i="3"/>
  <c r="K251" i="3"/>
  <c r="B252" i="3"/>
  <c r="C252" i="3"/>
  <c r="D252" i="3"/>
  <c r="E252" i="3"/>
  <c r="F252" i="3"/>
  <c r="G252" i="3"/>
  <c r="H252" i="3"/>
  <c r="I252" i="3"/>
  <c r="J252" i="3"/>
  <c r="K252" i="3"/>
  <c r="B253" i="3"/>
  <c r="C253" i="3"/>
  <c r="D253" i="3"/>
  <c r="E253" i="3"/>
  <c r="F253" i="3"/>
  <c r="G253" i="3"/>
  <c r="H253" i="3"/>
  <c r="I253" i="3"/>
  <c r="J253" i="3"/>
  <c r="K253" i="3"/>
  <c r="B254" i="3"/>
  <c r="C254" i="3"/>
  <c r="D254" i="3"/>
  <c r="E254" i="3"/>
  <c r="F254" i="3"/>
  <c r="G254" i="3"/>
  <c r="H254" i="3"/>
  <c r="I254" i="3"/>
  <c r="J254" i="3"/>
  <c r="K254" i="3"/>
  <c r="B255" i="3"/>
  <c r="C255" i="3"/>
  <c r="D255" i="3"/>
  <c r="E255" i="3"/>
  <c r="F255" i="3"/>
  <c r="G255" i="3"/>
  <c r="H255" i="3"/>
  <c r="I255" i="3"/>
  <c r="J255" i="3"/>
  <c r="K255" i="3"/>
  <c r="B256" i="3"/>
  <c r="C256" i="3"/>
  <c r="D256" i="3"/>
  <c r="E256" i="3"/>
  <c r="F256" i="3"/>
  <c r="G256" i="3"/>
  <c r="H256" i="3"/>
  <c r="I256" i="3"/>
  <c r="J256" i="3"/>
  <c r="K256" i="3"/>
  <c r="B257" i="3"/>
  <c r="C257" i="3"/>
  <c r="D257" i="3"/>
  <c r="E257" i="3"/>
  <c r="F257" i="3"/>
  <c r="G257" i="3"/>
  <c r="H257" i="3"/>
  <c r="I257" i="3"/>
  <c r="J257" i="3"/>
  <c r="K257" i="3"/>
  <c r="B258" i="3"/>
  <c r="C258" i="3"/>
  <c r="D258" i="3"/>
  <c r="E258" i="3"/>
  <c r="F258" i="3"/>
  <c r="G258" i="3"/>
  <c r="H258" i="3"/>
  <c r="I258" i="3"/>
  <c r="J258" i="3"/>
  <c r="K258" i="3"/>
  <c r="B259" i="3"/>
  <c r="C259" i="3"/>
  <c r="D259" i="3"/>
  <c r="E259" i="3"/>
  <c r="F259" i="3"/>
  <c r="G259" i="3"/>
  <c r="H259" i="3"/>
  <c r="I259" i="3"/>
  <c r="J259" i="3"/>
  <c r="K259" i="3"/>
  <c r="B260" i="3"/>
  <c r="C260" i="3"/>
  <c r="D260" i="3"/>
  <c r="E260" i="3"/>
  <c r="F260" i="3"/>
  <c r="G260" i="3"/>
  <c r="H260" i="3"/>
  <c r="I260" i="3"/>
  <c r="J260" i="3"/>
  <c r="K260" i="3"/>
  <c r="B261" i="3"/>
  <c r="C261" i="3"/>
  <c r="D261" i="3"/>
  <c r="E261" i="3"/>
  <c r="F261" i="3"/>
  <c r="G261" i="3"/>
  <c r="H261" i="3"/>
  <c r="I261" i="3"/>
  <c r="J261" i="3"/>
  <c r="K261" i="3"/>
  <c r="B262" i="3"/>
  <c r="C262" i="3"/>
  <c r="D262" i="3"/>
  <c r="E262" i="3"/>
  <c r="F262" i="3"/>
  <c r="G262" i="3"/>
  <c r="H262" i="3"/>
  <c r="I262" i="3"/>
  <c r="J262" i="3"/>
  <c r="K262" i="3"/>
  <c r="B263" i="3"/>
  <c r="C263" i="3"/>
  <c r="D263" i="3"/>
  <c r="E263" i="3"/>
  <c r="F263" i="3"/>
  <c r="G263" i="3"/>
  <c r="H263" i="3"/>
  <c r="I263" i="3"/>
  <c r="J263" i="3"/>
  <c r="K263" i="3"/>
  <c r="B264" i="3"/>
  <c r="C264" i="3"/>
  <c r="D264" i="3"/>
  <c r="E264" i="3"/>
  <c r="F264" i="3"/>
  <c r="G264" i="3"/>
  <c r="H264" i="3"/>
  <c r="I264" i="3"/>
  <c r="J264" i="3"/>
  <c r="K264" i="3"/>
  <c r="B265" i="3"/>
  <c r="C265" i="3"/>
  <c r="D265" i="3"/>
  <c r="E265" i="3"/>
  <c r="F265" i="3"/>
  <c r="G265" i="3"/>
  <c r="H265" i="3"/>
  <c r="I265" i="3"/>
  <c r="J265" i="3"/>
  <c r="K265" i="3"/>
  <c r="B266" i="3"/>
  <c r="C266" i="3"/>
  <c r="D266" i="3"/>
  <c r="E266" i="3"/>
  <c r="F266" i="3"/>
  <c r="G266" i="3"/>
  <c r="H266" i="3"/>
  <c r="I266" i="3"/>
  <c r="J266" i="3"/>
  <c r="K266" i="3"/>
  <c r="B267" i="3"/>
  <c r="C267" i="3"/>
  <c r="D267" i="3"/>
  <c r="E267" i="3"/>
  <c r="F267" i="3"/>
  <c r="G267" i="3"/>
  <c r="H267" i="3"/>
  <c r="I267" i="3"/>
  <c r="J267" i="3"/>
  <c r="K267" i="3"/>
  <c r="B268" i="3"/>
  <c r="C268" i="3"/>
  <c r="D268" i="3"/>
  <c r="E268" i="3"/>
  <c r="F268" i="3"/>
  <c r="G268" i="3"/>
  <c r="H268" i="3"/>
  <c r="I268" i="3"/>
  <c r="J268" i="3"/>
  <c r="K268" i="3"/>
  <c r="B269" i="3"/>
  <c r="C269" i="3"/>
  <c r="D269" i="3"/>
  <c r="E269" i="3"/>
  <c r="F269" i="3"/>
  <c r="G269" i="3"/>
  <c r="H269" i="3"/>
  <c r="I269" i="3"/>
  <c r="J269" i="3"/>
  <c r="K269" i="3"/>
  <c r="B270" i="3"/>
  <c r="C270" i="3"/>
  <c r="D270" i="3"/>
  <c r="E270" i="3"/>
  <c r="F270" i="3"/>
  <c r="G270" i="3"/>
  <c r="H270" i="3"/>
  <c r="I270" i="3"/>
  <c r="J270" i="3"/>
  <c r="K270" i="3"/>
  <c r="B271" i="3"/>
  <c r="C271" i="3"/>
  <c r="D271" i="3"/>
  <c r="E271" i="3"/>
  <c r="F271" i="3"/>
  <c r="G271" i="3"/>
  <c r="H271" i="3"/>
  <c r="I271" i="3"/>
  <c r="J271" i="3"/>
  <c r="K271" i="3"/>
  <c r="B272" i="3"/>
  <c r="C272" i="3"/>
  <c r="D272" i="3"/>
  <c r="E272" i="3"/>
  <c r="F272" i="3"/>
  <c r="G272" i="3"/>
  <c r="H272" i="3"/>
  <c r="I272" i="3"/>
  <c r="J272" i="3"/>
  <c r="K272" i="3"/>
  <c r="B273" i="3"/>
  <c r="C273" i="3"/>
  <c r="D273" i="3"/>
  <c r="E273" i="3"/>
  <c r="F273" i="3"/>
  <c r="G273" i="3"/>
  <c r="H273" i="3"/>
  <c r="I273" i="3"/>
  <c r="J273" i="3"/>
  <c r="K273" i="3"/>
  <c r="B274" i="3"/>
  <c r="C274" i="3"/>
  <c r="D274" i="3"/>
  <c r="E274" i="3"/>
  <c r="F274" i="3"/>
  <c r="G274" i="3"/>
  <c r="H274" i="3"/>
  <c r="I274" i="3"/>
  <c r="J274" i="3"/>
  <c r="K274" i="3"/>
  <c r="B275" i="3"/>
  <c r="C275" i="3"/>
  <c r="D275" i="3"/>
  <c r="E275" i="3"/>
  <c r="F275" i="3"/>
  <c r="G275" i="3"/>
  <c r="H275" i="3"/>
  <c r="I275" i="3"/>
  <c r="J275" i="3"/>
  <c r="K275" i="3"/>
  <c r="B276" i="3"/>
  <c r="C276" i="3"/>
  <c r="D276" i="3"/>
  <c r="E276" i="3"/>
  <c r="F276" i="3"/>
  <c r="G276" i="3"/>
  <c r="H276" i="3"/>
  <c r="I276" i="3"/>
  <c r="J276" i="3"/>
  <c r="K276" i="3"/>
  <c r="B277" i="3"/>
  <c r="C277" i="3"/>
  <c r="D277" i="3"/>
  <c r="E277" i="3"/>
  <c r="F277" i="3"/>
  <c r="G277" i="3"/>
  <c r="H277" i="3"/>
  <c r="I277" i="3"/>
  <c r="J277" i="3"/>
  <c r="K277" i="3"/>
  <c r="B278" i="3"/>
  <c r="C278" i="3"/>
  <c r="D278" i="3"/>
  <c r="E278" i="3"/>
  <c r="F278" i="3"/>
  <c r="G278" i="3"/>
  <c r="H278" i="3"/>
  <c r="I278" i="3"/>
  <c r="J278" i="3"/>
  <c r="K278" i="3"/>
  <c r="B279" i="3"/>
  <c r="C279" i="3"/>
  <c r="D279" i="3"/>
  <c r="E279" i="3"/>
  <c r="F279" i="3"/>
  <c r="G279" i="3"/>
  <c r="H279" i="3"/>
  <c r="I279" i="3"/>
  <c r="J279" i="3"/>
  <c r="K279" i="3"/>
  <c r="B280" i="3"/>
  <c r="C280" i="3"/>
  <c r="D280" i="3"/>
  <c r="E280" i="3"/>
  <c r="F280" i="3"/>
  <c r="G280" i="3"/>
  <c r="H280" i="3"/>
  <c r="I280" i="3"/>
  <c r="J280" i="3"/>
  <c r="K280" i="3"/>
  <c r="B281" i="3"/>
  <c r="C281" i="3"/>
  <c r="D281" i="3"/>
  <c r="E281" i="3"/>
  <c r="F281" i="3"/>
  <c r="G281" i="3"/>
  <c r="H281" i="3"/>
  <c r="I281" i="3"/>
  <c r="J281" i="3"/>
  <c r="K281" i="3"/>
  <c r="B282" i="3"/>
  <c r="C282" i="3"/>
  <c r="D282" i="3"/>
  <c r="E282" i="3"/>
  <c r="F282" i="3"/>
  <c r="G282" i="3"/>
  <c r="H282" i="3"/>
  <c r="I282" i="3"/>
  <c r="J282" i="3"/>
  <c r="K282" i="3"/>
  <c r="B283" i="3"/>
  <c r="C283" i="3"/>
  <c r="D283" i="3"/>
  <c r="E283" i="3"/>
  <c r="F283" i="3"/>
  <c r="G283" i="3"/>
  <c r="H283" i="3"/>
  <c r="I283" i="3"/>
  <c r="J283" i="3"/>
  <c r="K283" i="3"/>
  <c r="B284" i="3"/>
  <c r="C284" i="3"/>
  <c r="D284" i="3"/>
  <c r="E284" i="3"/>
  <c r="F284" i="3"/>
  <c r="G284" i="3"/>
  <c r="H284" i="3"/>
  <c r="I284" i="3"/>
  <c r="J284" i="3"/>
  <c r="K284" i="3"/>
  <c r="B285" i="3"/>
  <c r="C285" i="3"/>
  <c r="D285" i="3"/>
  <c r="E285" i="3"/>
  <c r="F285" i="3"/>
  <c r="G285" i="3"/>
  <c r="H285" i="3"/>
  <c r="I285" i="3"/>
  <c r="J285" i="3"/>
  <c r="K285" i="3"/>
  <c r="B286" i="3"/>
  <c r="C286" i="3"/>
  <c r="D286" i="3"/>
  <c r="E286" i="3"/>
  <c r="F286" i="3"/>
  <c r="G286" i="3"/>
  <c r="H286" i="3"/>
  <c r="I286" i="3"/>
  <c r="J286" i="3"/>
  <c r="K286" i="3"/>
  <c r="B287" i="3"/>
  <c r="C287" i="3"/>
  <c r="D287" i="3"/>
  <c r="E287" i="3"/>
  <c r="F287" i="3"/>
  <c r="G287" i="3"/>
  <c r="H287" i="3"/>
  <c r="I287" i="3"/>
  <c r="J287" i="3"/>
  <c r="K287" i="3"/>
  <c r="B288" i="3"/>
  <c r="C288" i="3"/>
  <c r="D288" i="3"/>
  <c r="E288" i="3"/>
  <c r="F288" i="3"/>
  <c r="G288" i="3"/>
  <c r="H288" i="3"/>
  <c r="I288" i="3"/>
  <c r="J288" i="3"/>
  <c r="K288" i="3"/>
  <c r="B289" i="3"/>
  <c r="C289" i="3"/>
  <c r="D289" i="3"/>
  <c r="E289" i="3"/>
  <c r="F289" i="3"/>
  <c r="G289" i="3"/>
  <c r="H289" i="3"/>
  <c r="I289" i="3"/>
  <c r="J289" i="3"/>
  <c r="K289" i="3"/>
  <c r="B290" i="3"/>
  <c r="C290" i="3"/>
  <c r="D290" i="3"/>
  <c r="E290" i="3"/>
  <c r="F290" i="3"/>
  <c r="G290" i="3"/>
  <c r="H290" i="3"/>
  <c r="I290" i="3"/>
  <c r="J290" i="3"/>
  <c r="K290" i="3"/>
  <c r="B291" i="3"/>
  <c r="C291" i="3"/>
  <c r="D291" i="3"/>
  <c r="E291" i="3"/>
  <c r="F291" i="3"/>
  <c r="G291" i="3"/>
  <c r="H291" i="3"/>
  <c r="I291" i="3"/>
  <c r="J291" i="3"/>
  <c r="K291" i="3"/>
  <c r="B292" i="3"/>
  <c r="C292" i="3"/>
  <c r="D292" i="3"/>
  <c r="E292" i="3"/>
  <c r="F292" i="3"/>
  <c r="G292" i="3"/>
  <c r="H292" i="3"/>
  <c r="I292" i="3"/>
  <c r="J292" i="3"/>
  <c r="K292" i="3"/>
  <c r="B293" i="3"/>
  <c r="C293" i="3"/>
  <c r="D293" i="3"/>
  <c r="E293" i="3"/>
  <c r="F293" i="3"/>
  <c r="G293" i="3"/>
  <c r="H293" i="3"/>
  <c r="I293" i="3"/>
  <c r="J293" i="3"/>
  <c r="K293" i="3"/>
  <c r="B294" i="3"/>
  <c r="C294" i="3"/>
  <c r="D294" i="3"/>
  <c r="E294" i="3"/>
  <c r="F294" i="3"/>
  <c r="G294" i="3"/>
  <c r="H294" i="3"/>
  <c r="I294" i="3"/>
  <c r="J294" i="3"/>
  <c r="K294" i="3"/>
  <c r="B295" i="3"/>
  <c r="C295" i="3"/>
  <c r="D295" i="3"/>
  <c r="E295" i="3"/>
  <c r="F295" i="3"/>
  <c r="G295" i="3"/>
  <c r="H295" i="3"/>
  <c r="I295" i="3"/>
  <c r="J295" i="3"/>
  <c r="K295" i="3"/>
  <c r="B296" i="3"/>
  <c r="C296" i="3"/>
  <c r="D296" i="3"/>
  <c r="E296" i="3"/>
  <c r="F296" i="3"/>
  <c r="G296" i="3"/>
  <c r="H296" i="3"/>
  <c r="I296" i="3"/>
  <c r="J296" i="3"/>
  <c r="K296" i="3"/>
  <c r="B297" i="3"/>
  <c r="C297" i="3"/>
  <c r="D297" i="3"/>
  <c r="E297" i="3"/>
  <c r="F297" i="3"/>
  <c r="G297" i="3"/>
  <c r="H297" i="3"/>
  <c r="I297" i="3"/>
  <c r="J297" i="3"/>
  <c r="K297" i="3"/>
  <c r="B298" i="3"/>
  <c r="C298" i="3"/>
  <c r="D298" i="3"/>
  <c r="E298" i="3"/>
  <c r="F298" i="3"/>
  <c r="G298" i="3"/>
  <c r="H298" i="3"/>
  <c r="I298" i="3"/>
  <c r="J298" i="3"/>
  <c r="K298" i="3"/>
  <c r="B299" i="3"/>
  <c r="C299" i="3"/>
  <c r="D299" i="3"/>
  <c r="E299" i="3"/>
  <c r="F299" i="3"/>
  <c r="G299" i="3"/>
  <c r="H299" i="3"/>
  <c r="I299" i="3"/>
  <c r="J299" i="3"/>
  <c r="K299" i="3"/>
  <c r="B300" i="3"/>
  <c r="C300" i="3"/>
  <c r="D300" i="3"/>
  <c r="E300" i="3"/>
  <c r="F300" i="3"/>
  <c r="G300" i="3"/>
  <c r="H300" i="3"/>
  <c r="I300" i="3"/>
  <c r="J300" i="3"/>
  <c r="K300" i="3"/>
  <c r="B301" i="3"/>
  <c r="C301" i="3"/>
  <c r="D301" i="3"/>
  <c r="E301" i="3"/>
  <c r="F301" i="3"/>
  <c r="G301" i="3"/>
  <c r="H301" i="3"/>
  <c r="I301" i="3"/>
  <c r="J301" i="3"/>
  <c r="K301" i="3"/>
  <c r="B302" i="3"/>
  <c r="C302" i="3"/>
  <c r="D302" i="3"/>
  <c r="E302" i="3"/>
  <c r="F302" i="3"/>
  <c r="G302" i="3"/>
  <c r="H302" i="3"/>
  <c r="I302" i="3"/>
  <c r="J302" i="3"/>
  <c r="K302" i="3"/>
  <c r="B303" i="3"/>
  <c r="C303" i="3"/>
  <c r="D303" i="3"/>
  <c r="E303" i="3"/>
  <c r="F303" i="3"/>
  <c r="G303" i="3"/>
  <c r="H303" i="3"/>
  <c r="I303" i="3"/>
  <c r="J303" i="3"/>
  <c r="K303" i="3"/>
  <c r="B304" i="3"/>
  <c r="C304" i="3"/>
  <c r="D304" i="3"/>
  <c r="E304" i="3"/>
  <c r="F304" i="3"/>
  <c r="G304" i="3"/>
  <c r="H304" i="3"/>
  <c r="I304" i="3"/>
  <c r="J304" i="3"/>
  <c r="K304" i="3"/>
  <c r="B305" i="3"/>
  <c r="C305" i="3"/>
  <c r="D305" i="3"/>
  <c r="E305" i="3"/>
  <c r="F305" i="3"/>
  <c r="G305" i="3"/>
  <c r="H305" i="3"/>
  <c r="I305" i="3"/>
  <c r="J305" i="3"/>
  <c r="K305" i="3"/>
  <c r="B306" i="3"/>
  <c r="C306" i="3"/>
  <c r="D306" i="3"/>
  <c r="E306" i="3"/>
  <c r="F306" i="3"/>
  <c r="G306" i="3"/>
  <c r="H306" i="3"/>
  <c r="I306" i="3"/>
  <c r="J306" i="3"/>
  <c r="K306" i="3"/>
  <c r="B307" i="3"/>
  <c r="C307" i="3"/>
  <c r="D307" i="3"/>
  <c r="E307" i="3"/>
  <c r="F307" i="3"/>
  <c r="G307" i="3"/>
  <c r="H307" i="3"/>
  <c r="I307" i="3"/>
  <c r="J307" i="3"/>
  <c r="K307" i="3"/>
  <c r="B308" i="3"/>
  <c r="C308" i="3"/>
  <c r="D308" i="3"/>
  <c r="E308" i="3"/>
  <c r="F308" i="3"/>
  <c r="G308" i="3"/>
  <c r="H308" i="3"/>
  <c r="I308" i="3"/>
  <c r="J308" i="3"/>
  <c r="K308" i="3"/>
  <c r="B309" i="3"/>
  <c r="C309" i="3"/>
  <c r="D309" i="3"/>
  <c r="E309" i="3"/>
  <c r="F309" i="3"/>
  <c r="G309" i="3"/>
  <c r="H309" i="3"/>
  <c r="I309" i="3"/>
  <c r="J309" i="3"/>
  <c r="K309" i="3"/>
  <c r="B310" i="3"/>
  <c r="C310" i="3"/>
  <c r="D310" i="3"/>
  <c r="E310" i="3"/>
  <c r="F310" i="3"/>
  <c r="G310" i="3"/>
  <c r="H310" i="3"/>
  <c r="I310" i="3"/>
  <c r="J310" i="3"/>
  <c r="K310" i="3"/>
  <c r="B311" i="3"/>
  <c r="C311" i="3"/>
  <c r="D311" i="3"/>
  <c r="E311" i="3"/>
  <c r="F311" i="3"/>
  <c r="G311" i="3"/>
  <c r="H311" i="3"/>
  <c r="I311" i="3"/>
  <c r="J311" i="3"/>
  <c r="K311" i="3"/>
  <c r="B312" i="3"/>
  <c r="C312" i="3"/>
  <c r="D312" i="3"/>
  <c r="E312" i="3"/>
  <c r="F312" i="3"/>
  <c r="G312" i="3"/>
  <c r="H312" i="3"/>
  <c r="I312" i="3"/>
  <c r="J312" i="3"/>
  <c r="K312" i="3"/>
  <c r="B313" i="3"/>
  <c r="C313" i="3"/>
  <c r="D313" i="3"/>
  <c r="E313" i="3"/>
  <c r="F313" i="3"/>
  <c r="G313" i="3"/>
  <c r="H313" i="3"/>
  <c r="I313" i="3"/>
  <c r="J313" i="3"/>
  <c r="K313" i="3"/>
  <c r="B314" i="3"/>
  <c r="C314" i="3"/>
  <c r="D314" i="3"/>
  <c r="E314" i="3"/>
  <c r="F314" i="3"/>
  <c r="G314" i="3"/>
  <c r="H314" i="3"/>
  <c r="I314" i="3"/>
  <c r="J314" i="3"/>
  <c r="K314" i="3"/>
  <c r="B315" i="3"/>
  <c r="C315" i="3"/>
  <c r="D315" i="3"/>
  <c r="E315" i="3"/>
  <c r="F315" i="3"/>
  <c r="G315" i="3"/>
  <c r="H315" i="3"/>
  <c r="I315" i="3"/>
  <c r="J315" i="3"/>
  <c r="K315" i="3"/>
  <c r="B316" i="3"/>
  <c r="C316" i="3"/>
  <c r="D316" i="3"/>
  <c r="E316" i="3"/>
  <c r="F316" i="3"/>
  <c r="G316" i="3"/>
  <c r="H316" i="3"/>
  <c r="I316" i="3"/>
  <c r="J316" i="3"/>
  <c r="K316" i="3"/>
  <c r="B317" i="3"/>
  <c r="C317" i="3"/>
  <c r="D317" i="3"/>
  <c r="E317" i="3"/>
  <c r="F317" i="3"/>
  <c r="G317" i="3"/>
  <c r="H317" i="3"/>
  <c r="I317" i="3"/>
  <c r="J317" i="3"/>
  <c r="K317" i="3"/>
  <c r="B318" i="3"/>
  <c r="C318" i="3"/>
  <c r="D318" i="3"/>
  <c r="E318" i="3"/>
  <c r="F318" i="3"/>
  <c r="G318" i="3"/>
  <c r="H318" i="3"/>
  <c r="I318" i="3"/>
  <c r="J318" i="3"/>
  <c r="K318" i="3"/>
  <c r="B319" i="3"/>
  <c r="C319" i="3"/>
  <c r="D319" i="3"/>
  <c r="E319" i="3"/>
  <c r="F319" i="3"/>
  <c r="G319" i="3"/>
  <c r="H319" i="3"/>
  <c r="I319" i="3"/>
  <c r="J319" i="3"/>
  <c r="K319" i="3"/>
  <c r="B320" i="3"/>
  <c r="C320" i="3"/>
  <c r="D320" i="3"/>
  <c r="E320" i="3"/>
  <c r="F320" i="3"/>
  <c r="G320" i="3"/>
  <c r="H320" i="3"/>
  <c r="I320" i="3"/>
  <c r="J320" i="3"/>
  <c r="K320" i="3"/>
  <c r="B321" i="3"/>
  <c r="C321" i="3"/>
  <c r="D321" i="3"/>
  <c r="E321" i="3"/>
  <c r="F321" i="3"/>
  <c r="G321" i="3"/>
  <c r="H321" i="3"/>
  <c r="I321" i="3"/>
  <c r="J321" i="3"/>
  <c r="K321" i="3"/>
  <c r="B322" i="3"/>
  <c r="C322" i="3"/>
  <c r="D322" i="3"/>
  <c r="E322" i="3"/>
  <c r="F322" i="3"/>
  <c r="G322" i="3"/>
  <c r="H322" i="3"/>
  <c r="I322" i="3"/>
  <c r="J322" i="3"/>
  <c r="K322" i="3"/>
  <c r="B323" i="3"/>
  <c r="C323" i="3"/>
  <c r="D323" i="3"/>
  <c r="E323" i="3"/>
  <c r="F323" i="3"/>
  <c r="G323" i="3"/>
  <c r="H323" i="3"/>
  <c r="I323" i="3"/>
  <c r="J323" i="3"/>
  <c r="K323" i="3"/>
  <c r="B324" i="3"/>
  <c r="C324" i="3"/>
  <c r="D324" i="3"/>
  <c r="E324" i="3"/>
  <c r="F324" i="3"/>
  <c r="G324" i="3"/>
  <c r="H324" i="3"/>
  <c r="I324" i="3"/>
  <c r="J324" i="3"/>
  <c r="K324" i="3"/>
  <c r="B325" i="3"/>
  <c r="C325" i="3"/>
  <c r="D325" i="3"/>
  <c r="E325" i="3"/>
  <c r="F325" i="3"/>
  <c r="G325" i="3"/>
  <c r="H325" i="3"/>
  <c r="I325" i="3"/>
  <c r="J325" i="3"/>
  <c r="K325" i="3"/>
  <c r="B326" i="3"/>
  <c r="C326" i="3"/>
  <c r="D326" i="3"/>
  <c r="E326" i="3"/>
  <c r="F326" i="3"/>
  <c r="G326" i="3"/>
  <c r="H326" i="3"/>
  <c r="I326" i="3"/>
  <c r="J326" i="3"/>
  <c r="K326" i="3"/>
  <c r="B327" i="3"/>
  <c r="C327" i="3"/>
  <c r="D327" i="3"/>
  <c r="E327" i="3"/>
  <c r="F327" i="3"/>
  <c r="G327" i="3"/>
  <c r="H327" i="3"/>
  <c r="I327" i="3"/>
  <c r="J327" i="3"/>
  <c r="K327" i="3"/>
  <c r="B328" i="3"/>
  <c r="C328" i="3"/>
  <c r="D328" i="3"/>
  <c r="E328" i="3"/>
  <c r="F328" i="3"/>
  <c r="G328" i="3"/>
  <c r="H328" i="3"/>
  <c r="I328" i="3"/>
  <c r="J328" i="3"/>
  <c r="K328" i="3"/>
  <c r="B329" i="3"/>
  <c r="C329" i="3"/>
  <c r="D329" i="3"/>
  <c r="E329" i="3"/>
  <c r="F329" i="3"/>
  <c r="G329" i="3"/>
  <c r="H329" i="3"/>
  <c r="I329" i="3"/>
  <c r="J329" i="3"/>
  <c r="K329" i="3"/>
  <c r="B330" i="3"/>
  <c r="C330" i="3"/>
  <c r="D330" i="3"/>
  <c r="E330" i="3"/>
  <c r="F330" i="3"/>
  <c r="G330" i="3"/>
  <c r="H330" i="3"/>
  <c r="I330" i="3"/>
  <c r="J330" i="3"/>
  <c r="K330" i="3"/>
  <c r="B331" i="3"/>
  <c r="C331" i="3"/>
  <c r="D331" i="3"/>
  <c r="E331" i="3"/>
  <c r="F331" i="3"/>
  <c r="G331" i="3"/>
  <c r="H331" i="3"/>
  <c r="I331" i="3"/>
  <c r="J331" i="3"/>
  <c r="K331" i="3"/>
  <c r="B332" i="3"/>
  <c r="C332" i="3"/>
  <c r="D332" i="3"/>
  <c r="E332" i="3"/>
  <c r="F332" i="3"/>
  <c r="G332" i="3"/>
  <c r="H332" i="3"/>
  <c r="I332" i="3"/>
  <c r="J332" i="3"/>
  <c r="K332" i="3"/>
  <c r="B333" i="3"/>
  <c r="C333" i="3"/>
  <c r="D333" i="3"/>
  <c r="E333" i="3"/>
  <c r="F333" i="3"/>
  <c r="G333" i="3"/>
  <c r="H333" i="3"/>
  <c r="I333" i="3"/>
  <c r="J333" i="3"/>
  <c r="K333" i="3"/>
  <c r="B334" i="3"/>
  <c r="C334" i="3"/>
  <c r="D334" i="3"/>
  <c r="E334" i="3"/>
  <c r="F334" i="3"/>
  <c r="G334" i="3"/>
  <c r="H334" i="3"/>
  <c r="I334" i="3"/>
  <c r="J334" i="3"/>
  <c r="K334" i="3"/>
  <c r="B335" i="3"/>
  <c r="C335" i="3"/>
  <c r="D335" i="3"/>
  <c r="E335" i="3"/>
  <c r="F335" i="3"/>
  <c r="G335" i="3"/>
  <c r="H335" i="3"/>
  <c r="I335" i="3"/>
  <c r="J335" i="3"/>
  <c r="K335" i="3"/>
  <c r="B336" i="3"/>
  <c r="C336" i="3"/>
  <c r="D336" i="3"/>
  <c r="E336" i="3"/>
  <c r="F336" i="3"/>
  <c r="G336" i="3"/>
  <c r="H336" i="3"/>
  <c r="I336" i="3"/>
  <c r="J336" i="3"/>
  <c r="K336" i="3"/>
  <c r="B337" i="3"/>
  <c r="C337" i="3"/>
  <c r="D337" i="3"/>
  <c r="E337" i="3"/>
  <c r="F337" i="3"/>
  <c r="G337" i="3"/>
  <c r="H337" i="3"/>
  <c r="I337" i="3"/>
  <c r="J337" i="3"/>
  <c r="K337" i="3"/>
  <c r="B338" i="3"/>
  <c r="C338" i="3"/>
  <c r="D338" i="3"/>
  <c r="E338" i="3"/>
  <c r="F338" i="3"/>
  <c r="G338" i="3"/>
  <c r="H338" i="3"/>
  <c r="I338" i="3"/>
  <c r="J338" i="3"/>
  <c r="K338" i="3"/>
  <c r="B339" i="3"/>
  <c r="C339" i="3"/>
  <c r="D339" i="3"/>
  <c r="E339" i="3"/>
  <c r="F339" i="3"/>
  <c r="G339" i="3"/>
  <c r="H339" i="3"/>
  <c r="I339" i="3"/>
  <c r="J339" i="3"/>
  <c r="K339" i="3"/>
  <c r="B340" i="3"/>
  <c r="C340" i="3"/>
  <c r="D340" i="3"/>
  <c r="E340" i="3"/>
  <c r="F340" i="3"/>
  <c r="G340" i="3"/>
  <c r="H340" i="3"/>
  <c r="I340" i="3"/>
  <c r="J340" i="3"/>
  <c r="K340" i="3"/>
  <c r="B341" i="3"/>
  <c r="C341" i="3"/>
  <c r="D341" i="3"/>
  <c r="E341" i="3"/>
  <c r="F341" i="3"/>
  <c r="G341" i="3"/>
  <c r="H341" i="3"/>
  <c r="I341" i="3"/>
  <c r="J341" i="3"/>
  <c r="K341" i="3"/>
  <c r="B342" i="3"/>
  <c r="C342" i="3"/>
  <c r="D342" i="3"/>
  <c r="E342" i="3"/>
  <c r="F342" i="3"/>
  <c r="G342" i="3"/>
  <c r="H342" i="3"/>
  <c r="I342" i="3"/>
  <c r="J342" i="3"/>
  <c r="K342" i="3"/>
  <c r="B343" i="3"/>
  <c r="C343" i="3"/>
  <c r="D343" i="3"/>
  <c r="E343" i="3"/>
  <c r="F343" i="3"/>
  <c r="G343" i="3"/>
  <c r="H343" i="3"/>
  <c r="I343" i="3"/>
  <c r="J343" i="3"/>
  <c r="K343" i="3"/>
  <c r="B344" i="3"/>
  <c r="C344" i="3"/>
  <c r="D344" i="3"/>
  <c r="E344" i="3"/>
  <c r="F344" i="3"/>
  <c r="G344" i="3"/>
  <c r="H344" i="3"/>
  <c r="I344" i="3"/>
  <c r="J344" i="3"/>
  <c r="K344" i="3"/>
  <c r="B345" i="3"/>
  <c r="C345" i="3"/>
  <c r="D345" i="3"/>
  <c r="E345" i="3"/>
  <c r="F345" i="3"/>
  <c r="G345" i="3"/>
  <c r="H345" i="3"/>
  <c r="I345" i="3"/>
  <c r="J345" i="3"/>
  <c r="K345" i="3"/>
  <c r="B346" i="3"/>
  <c r="C346" i="3"/>
  <c r="D346" i="3"/>
  <c r="E346" i="3"/>
  <c r="F346" i="3"/>
  <c r="G346" i="3"/>
  <c r="H346" i="3"/>
  <c r="I346" i="3"/>
  <c r="J346" i="3"/>
  <c r="K346" i="3"/>
  <c r="B347" i="3"/>
  <c r="C347" i="3"/>
  <c r="D347" i="3"/>
  <c r="E347" i="3"/>
  <c r="F347" i="3"/>
  <c r="G347" i="3"/>
  <c r="H347" i="3"/>
  <c r="I347" i="3"/>
  <c r="J347" i="3"/>
  <c r="K347" i="3"/>
  <c r="B348" i="3"/>
  <c r="C348" i="3"/>
  <c r="D348" i="3"/>
  <c r="E348" i="3"/>
  <c r="F348" i="3"/>
  <c r="G348" i="3"/>
  <c r="H348" i="3"/>
  <c r="I348" i="3"/>
  <c r="J348" i="3"/>
  <c r="K348" i="3"/>
  <c r="B349" i="3"/>
  <c r="C349" i="3"/>
  <c r="D349" i="3"/>
  <c r="E349" i="3"/>
  <c r="F349" i="3"/>
  <c r="G349" i="3"/>
  <c r="H349" i="3"/>
  <c r="I349" i="3"/>
  <c r="J349" i="3"/>
  <c r="K349" i="3"/>
  <c r="B350" i="3"/>
  <c r="C350" i="3"/>
  <c r="D350" i="3"/>
  <c r="E350" i="3"/>
  <c r="F350" i="3"/>
  <c r="G350" i="3"/>
  <c r="H350" i="3"/>
  <c r="I350" i="3"/>
  <c r="J350" i="3"/>
  <c r="K350" i="3"/>
  <c r="B351" i="3"/>
  <c r="C351" i="3"/>
  <c r="D351" i="3"/>
  <c r="E351" i="3"/>
  <c r="F351" i="3"/>
  <c r="G351" i="3"/>
  <c r="H351" i="3"/>
  <c r="I351" i="3"/>
  <c r="J351" i="3"/>
  <c r="K351" i="3"/>
  <c r="B352" i="3"/>
  <c r="C352" i="3"/>
  <c r="D352" i="3"/>
  <c r="E352" i="3"/>
  <c r="F352" i="3"/>
  <c r="G352" i="3"/>
  <c r="H352" i="3"/>
  <c r="I352" i="3"/>
  <c r="J352" i="3"/>
  <c r="K352" i="3"/>
  <c r="B353" i="3"/>
  <c r="C353" i="3"/>
  <c r="D353" i="3"/>
  <c r="E353" i="3"/>
  <c r="F353" i="3"/>
  <c r="G353" i="3"/>
  <c r="H353" i="3"/>
  <c r="I353" i="3"/>
  <c r="J353" i="3"/>
  <c r="K353" i="3"/>
  <c r="B354" i="3"/>
  <c r="C354" i="3"/>
  <c r="D354" i="3"/>
  <c r="E354" i="3"/>
  <c r="F354" i="3"/>
  <c r="G354" i="3"/>
  <c r="H354" i="3"/>
  <c r="I354" i="3"/>
  <c r="J354" i="3"/>
  <c r="K354" i="3"/>
  <c r="B355" i="3"/>
  <c r="C355" i="3"/>
  <c r="D355" i="3"/>
  <c r="E355" i="3"/>
  <c r="F355" i="3"/>
  <c r="G355" i="3"/>
  <c r="H355" i="3"/>
  <c r="I355" i="3"/>
  <c r="J355" i="3"/>
  <c r="K355" i="3"/>
  <c r="B356" i="3"/>
  <c r="C356" i="3"/>
  <c r="D356" i="3"/>
  <c r="E356" i="3"/>
  <c r="F356" i="3"/>
  <c r="G356" i="3"/>
  <c r="H356" i="3"/>
  <c r="I356" i="3"/>
  <c r="J356" i="3"/>
  <c r="K356" i="3"/>
  <c r="B357" i="3"/>
  <c r="C357" i="3"/>
  <c r="D357" i="3"/>
  <c r="E357" i="3"/>
  <c r="F357" i="3"/>
  <c r="G357" i="3"/>
  <c r="H357" i="3"/>
  <c r="I357" i="3"/>
  <c r="J357" i="3"/>
  <c r="K357" i="3"/>
  <c r="B358" i="3"/>
  <c r="C358" i="3"/>
  <c r="D358" i="3"/>
  <c r="E358" i="3"/>
  <c r="F358" i="3"/>
  <c r="G358" i="3"/>
  <c r="H358" i="3"/>
  <c r="I358" i="3"/>
  <c r="J358" i="3"/>
  <c r="K358" i="3"/>
  <c r="B359" i="3"/>
  <c r="C359" i="3"/>
  <c r="D359" i="3"/>
  <c r="E359" i="3"/>
  <c r="F359" i="3"/>
  <c r="G359" i="3"/>
  <c r="H359" i="3"/>
  <c r="I359" i="3"/>
  <c r="J359" i="3"/>
  <c r="K359" i="3"/>
  <c r="B360" i="3"/>
  <c r="C360" i="3"/>
  <c r="D360" i="3"/>
  <c r="E360" i="3"/>
  <c r="F360" i="3"/>
  <c r="G360" i="3"/>
  <c r="H360" i="3"/>
  <c r="I360" i="3"/>
  <c r="J360" i="3"/>
  <c r="K360" i="3"/>
  <c r="B361" i="3"/>
  <c r="C361" i="3"/>
  <c r="D361" i="3"/>
  <c r="E361" i="3"/>
  <c r="F361" i="3"/>
  <c r="G361" i="3"/>
  <c r="H361" i="3"/>
  <c r="I361" i="3"/>
  <c r="J361" i="3"/>
  <c r="K361" i="3"/>
  <c r="B362" i="3"/>
  <c r="C362" i="3"/>
  <c r="D362" i="3"/>
  <c r="E362" i="3"/>
  <c r="F362" i="3"/>
  <c r="G362" i="3"/>
  <c r="H362" i="3"/>
  <c r="I362" i="3"/>
  <c r="J362" i="3"/>
  <c r="K362" i="3"/>
  <c r="B363" i="3"/>
  <c r="C363" i="3"/>
  <c r="D363" i="3"/>
  <c r="E363" i="3"/>
  <c r="F363" i="3"/>
  <c r="G363" i="3"/>
  <c r="H363" i="3"/>
  <c r="I363" i="3"/>
  <c r="J363" i="3"/>
  <c r="K363" i="3"/>
  <c r="B364" i="3"/>
  <c r="C364" i="3"/>
  <c r="D364" i="3"/>
  <c r="E364" i="3"/>
  <c r="F364" i="3"/>
  <c r="G364" i="3"/>
  <c r="H364" i="3"/>
  <c r="I364" i="3"/>
  <c r="J364" i="3"/>
  <c r="K364" i="3"/>
  <c r="B365" i="3"/>
  <c r="C365" i="3"/>
  <c r="D365" i="3"/>
  <c r="E365" i="3"/>
  <c r="F365" i="3"/>
  <c r="G365" i="3"/>
  <c r="H365" i="3"/>
  <c r="I365" i="3"/>
  <c r="J365" i="3"/>
  <c r="K365" i="3"/>
  <c r="B366" i="3"/>
  <c r="C366" i="3"/>
  <c r="D366" i="3"/>
  <c r="E366" i="3"/>
  <c r="F366" i="3"/>
  <c r="G366" i="3"/>
  <c r="H366" i="3"/>
  <c r="I366" i="3"/>
  <c r="J366" i="3"/>
  <c r="K366" i="3"/>
  <c r="B367" i="3"/>
  <c r="C367" i="3"/>
  <c r="D367" i="3"/>
  <c r="E367" i="3"/>
  <c r="F367" i="3"/>
  <c r="G367" i="3"/>
  <c r="H367" i="3"/>
  <c r="I367" i="3"/>
  <c r="J367" i="3"/>
  <c r="K367" i="3"/>
  <c r="B368" i="3"/>
  <c r="C368" i="3"/>
  <c r="D368" i="3"/>
  <c r="E368" i="3"/>
  <c r="F368" i="3"/>
  <c r="G368" i="3"/>
  <c r="H368" i="3"/>
  <c r="I368" i="3"/>
  <c r="J368" i="3"/>
  <c r="K368" i="3"/>
  <c r="B369" i="3"/>
  <c r="C369" i="3"/>
  <c r="D369" i="3"/>
  <c r="E369" i="3"/>
  <c r="F369" i="3"/>
  <c r="G369" i="3"/>
  <c r="H369" i="3"/>
  <c r="I369" i="3"/>
  <c r="J369" i="3"/>
  <c r="K369" i="3"/>
  <c r="B370" i="3"/>
  <c r="C370" i="3"/>
  <c r="D370" i="3"/>
  <c r="E370" i="3"/>
  <c r="F370" i="3"/>
  <c r="G370" i="3"/>
  <c r="H370" i="3"/>
  <c r="I370" i="3"/>
  <c r="J370" i="3"/>
  <c r="K370" i="3"/>
  <c r="B371" i="3"/>
  <c r="C371" i="3"/>
  <c r="D371" i="3"/>
  <c r="E371" i="3"/>
  <c r="F371" i="3"/>
  <c r="G371" i="3"/>
  <c r="H371" i="3"/>
  <c r="I371" i="3"/>
  <c r="J371" i="3"/>
  <c r="K371" i="3"/>
  <c r="B372" i="3"/>
  <c r="C372" i="3"/>
  <c r="D372" i="3"/>
  <c r="E372" i="3"/>
  <c r="F372" i="3"/>
  <c r="G372" i="3"/>
  <c r="H372" i="3"/>
  <c r="I372" i="3"/>
  <c r="J372" i="3"/>
  <c r="K372" i="3"/>
  <c r="B373" i="3"/>
  <c r="C373" i="3"/>
  <c r="D373" i="3"/>
  <c r="E373" i="3"/>
  <c r="F373" i="3"/>
  <c r="G373" i="3"/>
  <c r="H373" i="3"/>
  <c r="I373" i="3"/>
  <c r="J373" i="3"/>
  <c r="K373" i="3"/>
  <c r="B374" i="3"/>
  <c r="C374" i="3"/>
  <c r="D374" i="3"/>
  <c r="E374" i="3"/>
  <c r="F374" i="3"/>
  <c r="G374" i="3"/>
  <c r="H374" i="3"/>
  <c r="I374" i="3"/>
  <c r="J374" i="3"/>
  <c r="K374" i="3"/>
  <c r="B375" i="3"/>
  <c r="C375" i="3"/>
  <c r="D375" i="3"/>
  <c r="E375" i="3"/>
  <c r="F375" i="3"/>
  <c r="G375" i="3"/>
  <c r="H375" i="3"/>
  <c r="I375" i="3"/>
  <c r="J375" i="3"/>
  <c r="K375" i="3"/>
  <c r="B376" i="3"/>
  <c r="C376" i="3"/>
  <c r="D376" i="3"/>
  <c r="E376" i="3"/>
  <c r="F376" i="3"/>
  <c r="G376" i="3"/>
  <c r="H376" i="3"/>
  <c r="I376" i="3"/>
  <c r="J376" i="3"/>
  <c r="K376" i="3"/>
  <c r="B377" i="3"/>
  <c r="C377" i="3"/>
  <c r="D377" i="3"/>
  <c r="E377" i="3"/>
  <c r="F377" i="3"/>
  <c r="G377" i="3"/>
  <c r="H377" i="3"/>
  <c r="I377" i="3"/>
  <c r="J377" i="3"/>
  <c r="K377" i="3"/>
  <c r="B378" i="3"/>
  <c r="C378" i="3"/>
  <c r="D378" i="3"/>
  <c r="E378" i="3"/>
  <c r="F378" i="3"/>
  <c r="G378" i="3"/>
  <c r="H378" i="3"/>
  <c r="I378" i="3"/>
  <c r="J378" i="3"/>
  <c r="K378" i="3"/>
  <c r="B379" i="3"/>
  <c r="C379" i="3"/>
  <c r="D379" i="3"/>
  <c r="E379" i="3"/>
  <c r="F379" i="3"/>
  <c r="G379" i="3"/>
  <c r="H379" i="3"/>
  <c r="I379" i="3"/>
  <c r="J379" i="3"/>
  <c r="K379" i="3"/>
  <c r="B380" i="3"/>
  <c r="C380" i="3"/>
  <c r="D380" i="3"/>
  <c r="E380" i="3"/>
  <c r="F380" i="3"/>
  <c r="G380" i="3"/>
  <c r="H380" i="3"/>
  <c r="I380" i="3"/>
  <c r="J380" i="3"/>
  <c r="K380" i="3"/>
  <c r="B381" i="3"/>
  <c r="C381" i="3"/>
  <c r="D381" i="3"/>
  <c r="E381" i="3"/>
  <c r="F381" i="3"/>
  <c r="G381" i="3"/>
  <c r="H381" i="3"/>
  <c r="I381" i="3"/>
  <c r="J381" i="3"/>
  <c r="K381" i="3"/>
  <c r="B382" i="3"/>
  <c r="C382" i="3"/>
  <c r="D382" i="3"/>
  <c r="E382" i="3"/>
  <c r="F382" i="3"/>
  <c r="G382" i="3"/>
  <c r="H382" i="3"/>
  <c r="I382" i="3"/>
  <c r="J382" i="3"/>
  <c r="K382" i="3"/>
  <c r="B383" i="3"/>
  <c r="C383" i="3"/>
  <c r="D383" i="3"/>
  <c r="E383" i="3"/>
  <c r="F383" i="3"/>
  <c r="G383" i="3"/>
  <c r="H383" i="3"/>
  <c r="I383" i="3"/>
  <c r="J383" i="3"/>
  <c r="K383" i="3"/>
  <c r="B384" i="3"/>
  <c r="C384" i="3"/>
  <c r="D384" i="3"/>
  <c r="E384" i="3"/>
  <c r="F384" i="3"/>
  <c r="G384" i="3"/>
  <c r="H384" i="3"/>
  <c r="I384" i="3"/>
  <c r="J384" i="3"/>
  <c r="K384" i="3"/>
  <c r="B385" i="3"/>
  <c r="C385" i="3"/>
  <c r="D385" i="3"/>
  <c r="E385" i="3"/>
  <c r="F385" i="3"/>
  <c r="G385" i="3"/>
  <c r="H385" i="3"/>
  <c r="I385" i="3"/>
  <c r="J385" i="3"/>
  <c r="K385" i="3"/>
  <c r="B386" i="3"/>
  <c r="C386" i="3"/>
  <c r="D386" i="3"/>
  <c r="E386" i="3"/>
  <c r="F386" i="3"/>
  <c r="G386" i="3"/>
  <c r="H386" i="3"/>
  <c r="I386" i="3"/>
  <c r="J386" i="3"/>
  <c r="K386" i="3"/>
  <c r="B387" i="3"/>
  <c r="C387" i="3"/>
  <c r="D387" i="3"/>
  <c r="E387" i="3"/>
  <c r="F387" i="3"/>
  <c r="G387" i="3"/>
  <c r="H387" i="3"/>
  <c r="I387" i="3"/>
  <c r="J387" i="3"/>
  <c r="K387" i="3"/>
  <c r="B388" i="3"/>
  <c r="C388" i="3"/>
  <c r="D388" i="3"/>
  <c r="E388" i="3"/>
  <c r="F388" i="3"/>
  <c r="G388" i="3"/>
  <c r="H388" i="3"/>
  <c r="I388" i="3"/>
  <c r="J388" i="3"/>
  <c r="K388" i="3"/>
  <c r="B389" i="3"/>
  <c r="C389" i="3"/>
  <c r="D389" i="3"/>
  <c r="E389" i="3"/>
  <c r="F389" i="3"/>
  <c r="G389" i="3"/>
  <c r="H389" i="3"/>
  <c r="I389" i="3"/>
  <c r="J389" i="3"/>
  <c r="K389" i="3"/>
  <c r="B390" i="3"/>
  <c r="C390" i="3"/>
  <c r="D390" i="3"/>
  <c r="E390" i="3"/>
  <c r="F390" i="3"/>
  <c r="G390" i="3"/>
  <c r="H390" i="3"/>
  <c r="I390" i="3"/>
  <c r="J390" i="3"/>
  <c r="K390" i="3"/>
  <c r="B391" i="3"/>
  <c r="C391" i="3"/>
  <c r="D391" i="3"/>
  <c r="E391" i="3"/>
  <c r="F391" i="3"/>
  <c r="G391" i="3"/>
  <c r="H391" i="3"/>
  <c r="I391" i="3"/>
  <c r="J391" i="3"/>
  <c r="K391" i="3"/>
  <c r="B392" i="3"/>
  <c r="C392" i="3"/>
  <c r="D392" i="3"/>
  <c r="E392" i="3"/>
  <c r="F392" i="3"/>
  <c r="G392" i="3"/>
  <c r="H392" i="3"/>
  <c r="I392" i="3"/>
  <c r="J392" i="3"/>
  <c r="K392" i="3"/>
  <c r="B393" i="3"/>
  <c r="C393" i="3"/>
  <c r="D393" i="3"/>
  <c r="E393" i="3"/>
  <c r="F393" i="3"/>
  <c r="G393" i="3"/>
  <c r="H393" i="3"/>
  <c r="I393" i="3"/>
  <c r="J393" i="3"/>
  <c r="K393" i="3"/>
  <c r="B394" i="3"/>
  <c r="C394" i="3"/>
  <c r="D394" i="3"/>
  <c r="E394" i="3"/>
  <c r="F394" i="3"/>
  <c r="G394" i="3"/>
  <c r="H394" i="3"/>
  <c r="I394" i="3"/>
  <c r="J394" i="3"/>
  <c r="K394" i="3"/>
  <c r="B395" i="3"/>
  <c r="C395" i="3"/>
  <c r="D395" i="3"/>
  <c r="E395" i="3"/>
  <c r="F395" i="3"/>
  <c r="G395" i="3"/>
  <c r="H395" i="3"/>
  <c r="I395" i="3"/>
  <c r="J395" i="3"/>
  <c r="K395" i="3"/>
  <c r="B396" i="3"/>
  <c r="C396" i="3"/>
  <c r="D396" i="3"/>
  <c r="E396" i="3"/>
  <c r="F396" i="3"/>
  <c r="G396" i="3"/>
  <c r="H396" i="3"/>
  <c r="I396" i="3"/>
  <c r="J396" i="3"/>
  <c r="K396" i="3"/>
  <c r="B397" i="3"/>
  <c r="C397" i="3"/>
  <c r="D397" i="3"/>
  <c r="E397" i="3"/>
  <c r="F397" i="3"/>
  <c r="G397" i="3"/>
  <c r="H397" i="3"/>
  <c r="I397" i="3"/>
  <c r="J397" i="3"/>
  <c r="K397" i="3"/>
  <c r="B398" i="3"/>
  <c r="C398" i="3"/>
  <c r="D398" i="3"/>
  <c r="E398" i="3"/>
  <c r="F398" i="3"/>
  <c r="G398" i="3"/>
  <c r="H398" i="3"/>
  <c r="I398" i="3"/>
  <c r="J398" i="3"/>
  <c r="K398" i="3"/>
  <c r="B399" i="3"/>
  <c r="C399" i="3"/>
  <c r="D399" i="3"/>
  <c r="E399" i="3"/>
  <c r="F399" i="3"/>
  <c r="G399" i="3"/>
  <c r="H399" i="3"/>
  <c r="I399" i="3"/>
  <c r="J399" i="3"/>
  <c r="K399" i="3"/>
  <c r="B400" i="3"/>
  <c r="C400" i="3"/>
  <c r="D400" i="3"/>
  <c r="E400" i="3"/>
  <c r="F400" i="3"/>
  <c r="G400" i="3"/>
  <c r="H400" i="3"/>
  <c r="I400" i="3"/>
  <c r="J400" i="3"/>
  <c r="K400" i="3"/>
  <c r="B401" i="3"/>
  <c r="C401" i="3"/>
  <c r="D401" i="3"/>
  <c r="E401" i="3"/>
  <c r="F401" i="3"/>
  <c r="G401" i="3"/>
  <c r="H401" i="3"/>
  <c r="I401" i="3"/>
  <c r="J401" i="3"/>
  <c r="K401" i="3"/>
  <c r="B402" i="3"/>
  <c r="C402" i="3"/>
  <c r="D402" i="3"/>
  <c r="E402" i="3"/>
  <c r="F402" i="3"/>
  <c r="G402" i="3"/>
  <c r="H402" i="3"/>
  <c r="I402" i="3"/>
  <c r="J402" i="3"/>
  <c r="K402" i="3"/>
  <c r="B403" i="3"/>
  <c r="C403" i="3"/>
  <c r="D403" i="3"/>
  <c r="E403" i="3"/>
  <c r="F403" i="3"/>
  <c r="G403" i="3"/>
  <c r="H403" i="3"/>
  <c r="I403" i="3"/>
  <c r="J403" i="3"/>
  <c r="K403" i="3"/>
  <c r="B404" i="3"/>
  <c r="C404" i="3"/>
  <c r="D404" i="3"/>
  <c r="E404" i="3"/>
  <c r="F404" i="3"/>
  <c r="G404" i="3"/>
  <c r="H404" i="3"/>
  <c r="I404" i="3"/>
  <c r="J404" i="3"/>
  <c r="K404" i="3"/>
  <c r="B405" i="3"/>
  <c r="C405" i="3"/>
  <c r="D405" i="3"/>
  <c r="E405" i="3"/>
  <c r="F405" i="3"/>
  <c r="G405" i="3"/>
  <c r="H405" i="3"/>
  <c r="I405" i="3"/>
  <c r="J405" i="3"/>
  <c r="K405" i="3"/>
  <c r="B406" i="3"/>
  <c r="C406" i="3"/>
  <c r="D406" i="3"/>
  <c r="E406" i="3"/>
  <c r="F406" i="3"/>
  <c r="G406" i="3"/>
  <c r="H406" i="3"/>
  <c r="I406" i="3"/>
  <c r="J406" i="3"/>
  <c r="K406" i="3"/>
  <c r="B407" i="3"/>
  <c r="C407" i="3"/>
  <c r="D407" i="3"/>
  <c r="E407" i="3"/>
  <c r="F407" i="3"/>
  <c r="G407" i="3"/>
  <c r="H407" i="3"/>
  <c r="I407" i="3"/>
  <c r="J407" i="3"/>
  <c r="K407" i="3"/>
  <c r="B408" i="3"/>
  <c r="C408" i="3"/>
  <c r="D408" i="3"/>
  <c r="E408" i="3"/>
  <c r="F408" i="3"/>
  <c r="G408" i="3"/>
  <c r="H408" i="3"/>
  <c r="I408" i="3"/>
  <c r="J408" i="3"/>
  <c r="K408" i="3"/>
  <c r="B409" i="3"/>
  <c r="C409" i="3"/>
  <c r="D409" i="3"/>
  <c r="E409" i="3"/>
  <c r="F409" i="3"/>
  <c r="G409" i="3"/>
  <c r="H409" i="3"/>
  <c r="I409" i="3"/>
  <c r="J409" i="3"/>
  <c r="K409" i="3"/>
  <c r="B410" i="3"/>
  <c r="C410" i="3"/>
  <c r="D410" i="3"/>
  <c r="E410" i="3"/>
  <c r="F410" i="3"/>
  <c r="G410" i="3"/>
  <c r="H410" i="3"/>
  <c r="I410" i="3"/>
  <c r="J410" i="3"/>
  <c r="K410" i="3"/>
  <c r="B411" i="3"/>
  <c r="C411" i="3"/>
  <c r="D411" i="3"/>
  <c r="E411" i="3"/>
  <c r="F411" i="3"/>
  <c r="G411" i="3"/>
  <c r="H411" i="3"/>
  <c r="I411" i="3"/>
  <c r="J411" i="3"/>
  <c r="K411" i="3"/>
  <c r="B412" i="3"/>
  <c r="C412" i="3"/>
  <c r="D412" i="3"/>
  <c r="E412" i="3"/>
  <c r="F412" i="3"/>
  <c r="G412" i="3"/>
  <c r="H412" i="3"/>
  <c r="I412" i="3"/>
  <c r="J412" i="3"/>
  <c r="K412" i="3"/>
  <c r="B413" i="3"/>
  <c r="C413" i="3"/>
  <c r="D413" i="3"/>
  <c r="E413" i="3"/>
  <c r="F413" i="3"/>
  <c r="G413" i="3"/>
  <c r="H413" i="3"/>
  <c r="I413" i="3"/>
  <c r="J413" i="3"/>
  <c r="K413" i="3"/>
  <c r="B414" i="3"/>
  <c r="C414" i="3"/>
  <c r="D414" i="3"/>
  <c r="E414" i="3"/>
  <c r="F414" i="3"/>
  <c r="G414" i="3"/>
  <c r="H414" i="3"/>
  <c r="I414" i="3"/>
  <c r="J414" i="3"/>
  <c r="K414" i="3"/>
  <c r="B415" i="3"/>
  <c r="C415" i="3"/>
  <c r="D415" i="3"/>
  <c r="E415" i="3"/>
  <c r="F415" i="3"/>
  <c r="G415" i="3"/>
  <c r="H415" i="3"/>
  <c r="I415" i="3"/>
  <c r="J415" i="3"/>
  <c r="K415" i="3"/>
  <c r="B416" i="3"/>
  <c r="C416" i="3"/>
  <c r="D416" i="3"/>
  <c r="E416" i="3"/>
  <c r="F416" i="3"/>
  <c r="G416" i="3"/>
  <c r="H416" i="3"/>
  <c r="I416" i="3"/>
  <c r="J416" i="3"/>
  <c r="K416" i="3"/>
  <c r="B417" i="3"/>
  <c r="C417" i="3"/>
  <c r="D417" i="3"/>
  <c r="E417" i="3"/>
  <c r="F417" i="3"/>
  <c r="G417" i="3"/>
  <c r="H417" i="3"/>
  <c r="I417" i="3"/>
  <c r="J417" i="3"/>
  <c r="K417" i="3"/>
  <c r="B418" i="3"/>
  <c r="C418" i="3"/>
  <c r="D418" i="3"/>
  <c r="E418" i="3"/>
  <c r="F418" i="3"/>
  <c r="G418" i="3"/>
  <c r="H418" i="3"/>
  <c r="I418" i="3"/>
  <c r="J418" i="3"/>
  <c r="K418" i="3"/>
  <c r="B419" i="3"/>
  <c r="C419" i="3"/>
  <c r="D419" i="3"/>
  <c r="E419" i="3"/>
  <c r="F419" i="3"/>
  <c r="G419" i="3"/>
  <c r="H419" i="3"/>
  <c r="I419" i="3"/>
  <c r="J419" i="3"/>
  <c r="K419" i="3"/>
  <c r="B420" i="3"/>
  <c r="C420" i="3"/>
  <c r="D420" i="3"/>
  <c r="E420" i="3"/>
  <c r="F420" i="3"/>
  <c r="G420" i="3"/>
  <c r="H420" i="3"/>
  <c r="I420" i="3"/>
  <c r="J420" i="3"/>
  <c r="K420" i="3"/>
  <c r="B421" i="3"/>
  <c r="C421" i="3"/>
  <c r="D421" i="3"/>
  <c r="E421" i="3"/>
  <c r="F421" i="3"/>
  <c r="G421" i="3"/>
  <c r="H421" i="3"/>
  <c r="I421" i="3"/>
  <c r="J421" i="3"/>
  <c r="K421" i="3"/>
  <c r="B422" i="3"/>
  <c r="C422" i="3"/>
  <c r="D422" i="3"/>
  <c r="E422" i="3"/>
  <c r="F422" i="3"/>
  <c r="G422" i="3"/>
  <c r="H422" i="3"/>
  <c r="I422" i="3"/>
  <c r="J422" i="3"/>
  <c r="K422" i="3"/>
  <c r="B423" i="3"/>
  <c r="C423" i="3"/>
  <c r="D423" i="3"/>
  <c r="E423" i="3"/>
  <c r="F423" i="3"/>
  <c r="G423" i="3"/>
  <c r="H423" i="3"/>
  <c r="I423" i="3"/>
  <c r="J423" i="3"/>
  <c r="K423" i="3"/>
  <c r="B424" i="3"/>
  <c r="C424" i="3"/>
  <c r="D424" i="3"/>
  <c r="E424" i="3"/>
  <c r="F424" i="3"/>
  <c r="G424" i="3"/>
  <c r="H424" i="3"/>
  <c r="I424" i="3"/>
  <c r="J424" i="3"/>
  <c r="K424" i="3"/>
  <c r="B425" i="3"/>
  <c r="C425" i="3"/>
  <c r="D425" i="3"/>
  <c r="E425" i="3"/>
  <c r="F425" i="3"/>
  <c r="G425" i="3"/>
  <c r="H425" i="3"/>
  <c r="I425" i="3"/>
  <c r="J425" i="3"/>
  <c r="K425" i="3"/>
  <c r="B426" i="3"/>
  <c r="C426" i="3"/>
  <c r="D426" i="3"/>
  <c r="E426" i="3"/>
  <c r="F426" i="3"/>
  <c r="G426" i="3"/>
  <c r="H426" i="3"/>
  <c r="I426" i="3"/>
  <c r="J426" i="3"/>
  <c r="K426" i="3"/>
  <c r="B427" i="3"/>
  <c r="C427" i="3"/>
  <c r="D427" i="3"/>
  <c r="E427" i="3"/>
  <c r="F427" i="3"/>
  <c r="G427" i="3"/>
  <c r="H427" i="3"/>
  <c r="I427" i="3"/>
  <c r="J427" i="3"/>
  <c r="K427" i="3"/>
  <c r="B428" i="3"/>
  <c r="C428" i="3"/>
  <c r="D428" i="3"/>
  <c r="E428" i="3"/>
  <c r="F428" i="3"/>
  <c r="G428" i="3"/>
  <c r="H428" i="3"/>
  <c r="I428" i="3"/>
  <c r="J428" i="3"/>
  <c r="K428" i="3"/>
  <c r="B429" i="3"/>
  <c r="C429" i="3"/>
  <c r="D429" i="3"/>
  <c r="E429" i="3"/>
  <c r="F429" i="3"/>
  <c r="G429" i="3"/>
  <c r="H429" i="3"/>
  <c r="I429" i="3"/>
  <c r="J429" i="3"/>
  <c r="K429" i="3"/>
  <c r="B430" i="3"/>
  <c r="C430" i="3"/>
  <c r="D430" i="3"/>
  <c r="E430" i="3"/>
  <c r="F430" i="3"/>
  <c r="G430" i="3"/>
  <c r="H430" i="3"/>
  <c r="I430" i="3"/>
  <c r="J430" i="3"/>
  <c r="K430" i="3"/>
  <c r="B431" i="3"/>
  <c r="C431" i="3"/>
  <c r="D431" i="3"/>
  <c r="E431" i="3"/>
  <c r="F431" i="3"/>
  <c r="G431" i="3"/>
  <c r="H431" i="3"/>
  <c r="I431" i="3"/>
  <c r="J431" i="3"/>
  <c r="K431" i="3"/>
  <c r="B432" i="3"/>
  <c r="C432" i="3"/>
  <c r="D432" i="3"/>
  <c r="E432" i="3"/>
  <c r="F432" i="3"/>
  <c r="G432" i="3"/>
  <c r="H432" i="3"/>
  <c r="I432" i="3"/>
  <c r="J432" i="3"/>
  <c r="K432" i="3"/>
  <c r="B433" i="3"/>
  <c r="C433" i="3"/>
  <c r="D433" i="3"/>
  <c r="E433" i="3"/>
  <c r="F433" i="3"/>
  <c r="G433" i="3"/>
  <c r="H433" i="3"/>
  <c r="I433" i="3"/>
  <c r="J433" i="3"/>
  <c r="K433" i="3"/>
  <c r="B434" i="3"/>
  <c r="C434" i="3"/>
  <c r="D434" i="3"/>
  <c r="E434" i="3"/>
  <c r="F434" i="3"/>
  <c r="G434" i="3"/>
  <c r="H434" i="3"/>
  <c r="I434" i="3"/>
  <c r="J434" i="3"/>
  <c r="K434" i="3"/>
  <c r="B435" i="3"/>
  <c r="C435" i="3"/>
  <c r="D435" i="3"/>
  <c r="E435" i="3"/>
  <c r="F435" i="3"/>
  <c r="G435" i="3"/>
  <c r="H435" i="3"/>
  <c r="I435" i="3"/>
  <c r="J435" i="3"/>
  <c r="K435" i="3"/>
  <c r="B436" i="3"/>
  <c r="C436" i="3"/>
  <c r="D436" i="3"/>
  <c r="E436" i="3"/>
  <c r="F436" i="3"/>
  <c r="G436" i="3"/>
  <c r="H436" i="3"/>
  <c r="I436" i="3"/>
  <c r="J436" i="3"/>
  <c r="K436" i="3"/>
  <c r="B437" i="3"/>
  <c r="C437" i="3"/>
  <c r="D437" i="3"/>
  <c r="E437" i="3"/>
  <c r="F437" i="3"/>
  <c r="G437" i="3"/>
  <c r="H437" i="3"/>
  <c r="I437" i="3"/>
  <c r="J437" i="3"/>
  <c r="K437" i="3"/>
  <c r="B438" i="3"/>
  <c r="C438" i="3"/>
  <c r="D438" i="3"/>
  <c r="E438" i="3"/>
  <c r="F438" i="3"/>
  <c r="G438" i="3"/>
  <c r="H438" i="3"/>
  <c r="I438" i="3"/>
  <c r="J438" i="3"/>
  <c r="K438" i="3"/>
  <c r="B439" i="3"/>
  <c r="C439" i="3"/>
  <c r="D439" i="3"/>
  <c r="E439" i="3"/>
  <c r="F439" i="3"/>
  <c r="G439" i="3"/>
  <c r="H439" i="3"/>
  <c r="I439" i="3"/>
  <c r="J439" i="3"/>
  <c r="K439" i="3"/>
  <c r="B440" i="3"/>
  <c r="C440" i="3"/>
  <c r="D440" i="3"/>
  <c r="E440" i="3"/>
  <c r="F440" i="3"/>
  <c r="G440" i="3"/>
  <c r="H440" i="3"/>
  <c r="I440" i="3"/>
  <c r="J440" i="3"/>
  <c r="K440" i="3"/>
  <c r="B441" i="3"/>
  <c r="C441" i="3"/>
  <c r="D441" i="3"/>
  <c r="E441" i="3"/>
  <c r="F441" i="3"/>
  <c r="G441" i="3"/>
  <c r="H441" i="3"/>
  <c r="I441" i="3"/>
  <c r="J441" i="3"/>
  <c r="K441" i="3"/>
  <c r="B442" i="3"/>
  <c r="C442" i="3"/>
  <c r="D442" i="3"/>
  <c r="E442" i="3"/>
  <c r="F442" i="3"/>
  <c r="G442" i="3"/>
  <c r="H442" i="3"/>
  <c r="I442" i="3"/>
  <c r="J442" i="3"/>
  <c r="K442" i="3"/>
  <c r="B443" i="3"/>
  <c r="C443" i="3"/>
  <c r="D443" i="3"/>
  <c r="E443" i="3"/>
  <c r="F443" i="3"/>
  <c r="G443" i="3"/>
  <c r="H443" i="3"/>
  <c r="I443" i="3"/>
  <c r="J443" i="3"/>
  <c r="K443" i="3"/>
  <c r="B444" i="3"/>
  <c r="C444" i="3"/>
  <c r="D444" i="3"/>
  <c r="E444" i="3"/>
  <c r="F444" i="3"/>
  <c r="G444" i="3"/>
  <c r="H444" i="3"/>
  <c r="I444" i="3"/>
  <c r="J444" i="3"/>
  <c r="K444" i="3"/>
  <c r="B445" i="3"/>
  <c r="C445" i="3"/>
  <c r="D445" i="3"/>
  <c r="E445" i="3"/>
  <c r="F445" i="3"/>
  <c r="G445" i="3"/>
  <c r="H445" i="3"/>
  <c r="I445" i="3"/>
  <c r="J445" i="3"/>
  <c r="K445" i="3"/>
  <c r="B446" i="3"/>
  <c r="C446" i="3"/>
  <c r="D446" i="3"/>
  <c r="E446" i="3"/>
  <c r="F446" i="3"/>
  <c r="G446" i="3"/>
  <c r="H446" i="3"/>
  <c r="I446" i="3"/>
  <c r="J446" i="3"/>
  <c r="K446" i="3"/>
  <c r="B447" i="3"/>
  <c r="C447" i="3"/>
  <c r="D447" i="3"/>
  <c r="E447" i="3"/>
  <c r="F447" i="3"/>
  <c r="G447" i="3"/>
  <c r="H447" i="3"/>
  <c r="I447" i="3"/>
  <c r="J447" i="3"/>
  <c r="K447" i="3"/>
  <c r="B448" i="3"/>
  <c r="C448" i="3"/>
  <c r="D448" i="3"/>
  <c r="E448" i="3"/>
  <c r="F448" i="3"/>
  <c r="G448" i="3"/>
  <c r="H448" i="3"/>
  <c r="I448" i="3"/>
  <c r="J448" i="3"/>
  <c r="K448" i="3"/>
  <c r="B449" i="3"/>
  <c r="C449" i="3"/>
  <c r="D449" i="3"/>
  <c r="E449" i="3"/>
  <c r="F449" i="3"/>
  <c r="G449" i="3"/>
  <c r="H449" i="3"/>
  <c r="I449" i="3"/>
  <c r="J449" i="3"/>
  <c r="K449" i="3"/>
  <c r="B450" i="3"/>
  <c r="C450" i="3"/>
  <c r="D450" i="3"/>
  <c r="E450" i="3"/>
  <c r="F450" i="3"/>
  <c r="G450" i="3"/>
  <c r="H450" i="3"/>
  <c r="I450" i="3"/>
  <c r="J450" i="3"/>
  <c r="K450" i="3"/>
  <c r="B451" i="3"/>
  <c r="C451" i="3"/>
  <c r="D451" i="3"/>
  <c r="E451" i="3"/>
  <c r="F451" i="3"/>
  <c r="G451" i="3"/>
  <c r="H451" i="3"/>
  <c r="I451" i="3"/>
  <c r="J451" i="3"/>
  <c r="K451" i="3"/>
  <c r="B452" i="3"/>
  <c r="C452" i="3"/>
  <c r="D452" i="3"/>
  <c r="E452" i="3"/>
  <c r="F452" i="3"/>
  <c r="G452" i="3"/>
  <c r="H452" i="3"/>
  <c r="I452" i="3"/>
  <c r="J452" i="3"/>
  <c r="K452" i="3"/>
  <c r="B453" i="3"/>
  <c r="C453" i="3"/>
  <c r="D453" i="3"/>
  <c r="E453" i="3"/>
  <c r="F453" i="3"/>
  <c r="G453" i="3"/>
  <c r="H453" i="3"/>
  <c r="I453" i="3"/>
  <c r="J453" i="3"/>
  <c r="K453" i="3"/>
  <c r="B454" i="3"/>
  <c r="C454" i="3"/>
  <c r="D454" i="3"/>
  <c r="E454" i="3"/>
  <c r="F454" i="3"/>
  <c r="G454" i="3"/>
  <c r="H454" i="3"/>
  <c r="I454" i="3"/>
  <c r="J454" i="3"/>
  <c r="K454" i="3"/>
  <c r="B455" i="3"/>
  <c r="C455" i="3"/>
  <c r="D455" i="3"/>
  <c r="E455" i="3"/>
  <c r="F455" i="3"/>
  <c r="G455" i="3"/>
  <c r="H455" i="3"/>
  <c r="I455" i="3"/>
  <c r="J455" i="3"/>
  <c r="K455" i="3"/>
  <c r="B456" i="3"/>
  <c r="C456" i="3"/>
  <c r="D456" i="3"/>
  <c r="E456" i="3"/>
  <c r="F456" i="3"/>
  <c r="G456" i="3"/>
  <c r="H456" i="3"/>
  <c r="I456" i="3"/>
  <c r="J456" i="3"/>
  <c r="K456" i="3"/>
  <c r="B457" i="3"/>
  <c r="C457" i="3"/>
  <c r="D457" i="3"/>
  <c r="E457" i="3"/>
  <c r="F457" i="3"/>
  <c r="G457" i="3"/>
  <c r="H457" i="3"/>
  <c r="I457" i="3"/>
  <c r="J457" i="3"/>
  <c r="K457" i="3"/>
  <c r="B458" i="3"/>
  <c r="C458" i="3"/>
  <c r="D458" i="3"/>
  <c r="E458" i="3"/>
  <c r="F458" i="3"/>
  <c r="G458" i="3"/>
  <c r="H458" i="3"/>
  <c r="I458" i="3"/>
  <c r="J458" i="3"/>
  <c r="K458" i="3"/>
  <c r="B459" i="3"/>
  <c r="C459" i="3"/>
  <c r="D459" i="3"/>
  <c r="E459" i="3"/>
  <c r="F459" i="3"/>
  <c r="G459" i="3"/>
  <c r="H459" i="3"/>
  <c r="I459" i="3"/>
  <c r="J459" i="3"/>
  <c r="K459" i="3"/>
  <c r="B460" i="3"/>
  <c r="C460" i="3"/>
  <c r="D460" i="3"/>
  <c r="E460" i="3"/>
  <c r="F460" i="3"/>
  <c r="G460" i="3"/>
  <c r="H460" i="3"/>
  <c r="I460" i="3"/>
  <c r="J460" i="3"/>
  <c r="K460" i="3"/>
  <c r="B461" i="3"/>
  <c r="C461" i="3"/>
  <c r="D461" i="3"/>
  <c r="E461" i="3"/>
  <c r="F461" i="3"/>
  <c r="G461" i="3"/>
  <c r="H461" i="3"/>
  <c r="I461" i="3"/>
  <c r="J461" i="3"/>
  <c r="K461" i="3"/>
  <c r="B462" i="3"/>
  <c r="C462" i="3"/>
  <c r="D462" i="3"/>
  <c r="E462" i="3"/>
  <c r="F462" i="3"/>
  <c r="G462" i="3"/>
  <c r="H462" i="3"/>
  <c r="I462" i="3"/>
  <c r="J462" i="3"/>
  <c r="K462" i="3"/>
  <c r="B463" i="3"/>
  <c r="C463" i="3"/>
  <c r="D463" i="3"/>
  <c r="E463" i="3"/>
  <c r="F463" i="3"/>
  <c r="G463" i="3"/>
  <c r="H463" i="3"/>
  <c r="I463" i="3"/>
  <c r="J463" i="3"/>
  <c r="K463" i="3"/>
  <c r="B464" i="3"/>
  <c r="C464" i="3"/>
  <c r="D464" i="3"/>
  <c r="E464" i="3"/>
  <c r="F464" i="3"/>
  <c r="G464" i="3"/>
  <c r="H464" i="3"/>
  <c r="I464" i="3"/>
  <c r="J464" i="3"/>
  <c r="K464" i="3"/>
  <c r="B465" i="3"/>
  <c r="C465" i="3"/>
  <c r="D465" i="3"/>
  <c r="E465" i="3"/>
  <c r="F465" i="3"/>
  <c r="G465" i="3"/>
  <c r="H465" i="3"/>
  <c r="I465" i="3"/>
  <c r="J465" i="3"/>
  <c r="K465" i="3"/>
  <c r="B466" i="3"/>
  <c r="C466" i="3"/>
  <c r="D466" i="3"/>
  <c r="E466" i="3"/>
  <c r="F466" i="3"/>
  <c r="G466" i="3"/>
  <c r="H466" i="3"/>
  <c r="I466" i="3"/>
  <c r="J466" i="3"/>
  <c r="K466" i="3"/>
  <c r="B467" i="3"/>
  <c r="C467" i="3"/>
  <c r="D467" i="3"/>
  <c r="E467" i="3"/>
  <c r="F467" i="3"/>
  <c r="G467" i="3"/>
  <c r="H467" i="3"/>
  <c r="I467" i="3"/>
  <c r="J467" i="3"/>
  <c r="K467" i="3"/>
  <c r="B468" i="3"/>
  <c r="C468" i="3"/>
  <c r="D468" i="3"/>
  <c r="E468" i="3"/>
  <c r="F468" i="3"/>
  <c r="G468" i="3"/>
  <c r="H468" i="3"/>
  <c r="I468" i="3"/>
  <c r="J468" i="3"/>
  <c r="K468" i="3"/>
  <c r="B469" i="3"/>
  <c r="C469" i="3"/>
  <c r="D469" i="3"/>
  <c r="E469" i="3"/>
  <c r="F469" i="3"/>
  <c r="G469" i="3"/>
  <c r="H469" i="3"/>
  <c r="I469" i="3"/>
  <c r="J469" i="3"/>
  <c r="K469" i="3"/>
  <c r="B470" i="3"/>
  <c r="C470" i="3"/>
  <c r="D470" i="3"/>
  <c r="E470" i="3"/>
  <c r="F470" i="3"/>
  <c r="G470" i="3"/>
  <c r="H470" i="3"/>
  <c r="I470" i="3"/>
  <c r="J470" i="3"/>
  <c r="K470" i="3"/>
  <c r="B471" i="3"/>
  <c r="C471" i="3"/>
  <c r="D471" i="3"/>
  <c r="E471" i="3"/>
  <c r="F471" i="3"/>
  <c r="G471" i="3"/>
  <c r="H471" i="3"/>
  <c r="I471" i="3"/>
  <c r="J471" i="3"/>
  <c r="K471" i="3"/>
  <c r="B472" i="3"/>
  <c r="C472" i="3"/>
  <c r="D472" i="3"/>
  <c r="E472" i="3"/>
  <c r="F472" i="3"/>
  <c r="G472" i="3"/>
  <c r="H472" i="3"/>
  <c r="I472" i="3"/>
  <c r="J472" i="3"/>
  <c r="K472" i="3"/>
  <c r="B473" i="3"/>
  <c r="C473" i="3"/>
  <c r="D473" i="3"/>
  <c r="E473" i="3"/>
  <c r="F473" i="3"/>
  <c r="G473" i="3"/>
  <c r="H473" i="3"/>
  <c r="I473" i="3"/>
  <c r="J473" i="3"/>
  <c r="K473" i="3"/>
  <c r="B474" i="3"/>
  <c r="C474" i="3"/>
  <c r="D474" i="3"/>
  <c r="E474" i="3"/>
  <c r="F474" i="3"/>
  <c r="G474" i="3"/>
  <c r="H474" i="3"/>
  <c r="I474" i="3"/>
  <c r="J474" i="3"/>
  <c r="K474" i="3"/>
  <c r="B475" i="3"/>
  <c r="C475" i="3"/>
  <c r="D475" i="3"/>
  <c r="E475" i="3"/>
  <c r="F475" i="3"/>
  <c r="G475" i="3"/>
  <c r="H475" i="3"/>
  <c r="I475" i="3"/>
  <c r="J475" i="3"/>
  <c r="K475" i="3"/>
  <c r="B476" i="3"/>
  <c r="C476" i="3"/>
  <c r="D476" i="3"/>
  <c r="E476" i="3"/>
  <c r="F476" i="3"/>
  <c r="G476" i="3"/>
  <c r="H476" i="3"/>
  <c r="I476" i="3"/>
  <c r="J476" i="3"/>
  <c r="K476" i="3"/>
  <c r="B477" i="3"/>
  <c r="C477" i="3"/>
  <c r="D477" i="3"/>
  <c r="E477" i="3"/>
  <c r="F477" i="3"/>
  <c r="G477" i="3"/>
  <c r="H477" i="3"/>
  <c r="I477" i="3"/>
  <c r="J477" i="3"/>
  <c r="K477" i="3"/>
  <c r="B478" i="3"/>
  <c r="C478" i="3"/>
  <c r="D478" i="3"/>
  <c r="E478" i="3"/>
  <c r="F478" i="3"/>
  <c r="G478" i="3"/>
  <c r="H478" i="3"/>
  <c r="I478" i="3"/>
  <c r="J478" i="3"/>
  <c r="K478" i="3"/>
  <c r="B479" i="3"/>
  <c r="C479" i="3"/>
  <c r="D479" i="3"/>
  <c r="E479" i="3"/>
  <c r="F479" i="3"/>
  <c r="G479" i="3"/>
  <c r="H479" i="3"/>
  <c r="I479" i="3"/>
  <c r="J479" i="3"/>
  <c r="K479" i="3"/>
  <c r="B480" i="3"/>
  <c r="C480" i="3"/>
  <c r="D480" i="3"/>
  <c r="E480" i="3"/>
  <c r="F480" i="3"/>
  <c r="G480" i="3"/>
  <c r="H480" i="3"/>
  <c r="I480" i="3"/>
  <c r="J480" i="3"/>
  <c r="K480" i="3"/>
  <c r="B481" i="3"/>
  <c r="C481" i="3"/>
  <c r="D481" i="3"/>
  <c r="E481" i="3"/>
  <c r="F481" i="3"/>
  <c r="G481" i="3"/>
  <c r="H481" i="3"/>
  <c r="I481" i="3"/>
  <c r="J481" i="3"/>
  <c r="K481" i="3"/>
  <c r="B482" i="3"/>
  <c r="C482" i="3"/>
  <c r="D482" i="3"/>
  <c r="E482" i="3"/>
  <c r="F482" i="3"/>
  <c r="G482" i="3"/>
  <c r="H482" i="3"/>
  <c r="I482" i="3"/>
  <c r="J482" i="3"/>
  <c r="K482" i="3"/>
  <c r="B483" i="3"/>
  <c r="C483" i="3"/>
  <c r="D483" i="3"/>
  <c r="E483" i="3"/>
  <c r="F483" i="3"/>
  <c r="G483" i="3"/>
  <c r="H483" i="3"/>
  <c r="I483" i="3"/>
  <c r="J483" i="3"/>
  <c r="K483" i="3"/>
  <c r="B484" i="3"/>
  <c r="C484" i="3"/>
  <c r="D484" i="3"/>
  <c r="E484" i="3"/>
  <c r="F484" i="3"/>
  <c r="G484" i="3"/>
  <c r="H484" i="3"/>
  <c r="I484" i="3"/>
  <c r="J484" i="3"/>
  <c r="K484" i="3"/>
  <c r="B485" i="3"/>
  <c r="C485" i="3"/>
  <c r="D485" i="3"/>
  <c r="E485" i="3"/>
  <c r="F485" i="3"/>
  <c r="G485" i="3"/>
  <c r="H485" i="3"/>
  <c r="I485" i="3"/>
  <c r="J485" i="3"/>
  <c r="K485" i="3"/>
  <c r="B486" i="3"/>
  <c r="C486" i="3"/>
  <c r="D486" i="3"/>
  <c r="E486" i="3"/>
  <c r="F486" i="3"/>
  <c r="G486" i="3"/>
  <c r="H486" i="3"/>
  <c r="I486" i="3"/>
  <c r="J486" i="3"/>
  <c r="K486" i="3"/>
  <c r="B487" i="3"/>
  <c r="C487" i="3"/>
  <c r="D487" i="3"/>
  <c r="E487" i="3"/>
  <c r="F487" i="3"/>
  <c r="G487" i="3"/>
  <c r="H487" i="3"/>
  <c r="I487" i="3"/>
  <c r="J487" i="3"/>
  <c r="K487" i="3"/>
  <c r="B488" i="3"/>
  <c r="C488" i="3"/>
  <c r="D488" i="3"/>
  <c r="E488" i="3"/>
  <c r="F488" i="3"/>
  <c r="G488" i="3"/>
  <c r="H488" i="3"/>
  <c r="I488" i="3"/>
  <c r="J488" i="3"/>
  <c r="K488" i="3"/>
  <c r="B489" i="3"/>
  <c r="C489" i="3"/>
  <c r="D489" i="3"/>
  <c r="E489" i="3"/>
  <c r="F489" i="3"/>
  <c r="G489" i="3"/>
  <c r="H489" i="3"/>
  <c r="I489" i="3"/>
  <c r="J489" i="3"/>
  <c r="K489" i="3"/>
  <c r="B490" i="3"/>
  <c r="C490" i="3"/>
  <c r="D490" i="3"/>
  <c r="E490" i="3"/>
  <c r="F490" i="3"/>
  <c r="G490" i="3"/>
  <c r="H490" i="3"/>
  <c r="I490" i="3"/>
  <c r="J490" i="3"/>
  <c r="K490" i="3"/>
  <c r="B491" i="3"/>
  <c r="C491" i="3"/>
  <c r="D491" i="3"/>
  <c r="E491" i="3"/>
  <c r="F491" i="3"/>
  <c r="G491" i="3"/>
  <c r="H491" i="3"/>
  <c r="I491" i="3"/>
  <c r="J491" i="3"/>
  <c r="K491" i="3"/>
  <c r="B492" i="3"/>
  <c r="C492" i="3"/>
  <c r="D492" i="3"/>
  <c r="E492" i="3"/>
  <c r="F492" i="3"/>
  <c r="G492" i="3"/>
  <c r="H492" i="3"/>
  <c r="I492" i="3"/>
  <c r="J492" i="3"/>
  <c r="K492" i="3"/>
  <c r="B493" i="3"/>
  <c r="C493" i="3"/>
  <c r="D493" i="3"/>
  <c r="E493" i="3"/>
  <c r="F493" i="3"/>
  <c r="G493" i="3"/>
  <c r="H493" i="3"/>
  <c r="I493" i="3"/>
  <c r="J493" i="3"/>
  <c r="K493" i="3"/>
  <c r="B494" i="3"/>
  <c r="C494" i="3"/>
  <c r="D494" i="3"/>
  <c r="E494" i="3"/>
  <c r="F494" i="3"/>
  <c r="G494" i="3"/>
  <c r="H494" i="3"/>
  <c r="I494" i="3"/>
  <c r="J494" i="3"/>
  <c r="K494" i="3"/>
  <c r="B495" i="3"/>
  <c r="C495" i="3"/>
  <c r="D495" i="3"/>
  <c r="E495" i="3"/>
  <c r="F495" i="3"/>
  <c r="G495" i="3"/>
  <c r="H495" i="3"/>
  <c r="I495" i="3"/>
  <c r="J495" i="3"/>
  <c r="K495" i="3"/>
  <c r="B496" i="3"/>
  <c r="C496" i="3"/>
  <c r="D496" i="3"/>
  <c r="E496" i="3"/>
  <c r="F496" i="3"/>
  <c r="G496" i="3"/>
  <c r="H496" i="3"/>
  <c r="I496" i="3"/>
  <c r="J496" i="3"/>
  <c r="K496" i="3"/>
  <c r="B497" i="3"/>
  <c r="C497" i="3"/>
  <c r="D497" i="3"/>
  <c r="E497" i="3"/>
  <c r="F497" i="3"/>
  <c r="G497" i="3"/>
  <c r="H497" i="3"/>
  <c r="I497" i="3"/>
  <c r="J497" i="3"/>
  <c r="K497" i="3"/>
  <c r="B498" i="3"/>
  <c r="C498" i="3"/>
  <c r="D498" i="3"/>
  <c r="E498" i="3"/>
  <c r="F498" i="3"/>
  <c r="G498" i="3"/>
  <c r="H498" i="3"/>
  <c r="I498" i="3"/>
  <c r="J498" i="3"/>
  <c r="K498" i="3"/>
  <c r="B499" i="3"/>
  <c r="C499" i="3"/>
  <c r="D499" i="3"/>
  <c r="E499" i="3"/>
  <c r="F499" i="3"/>
  <c r="G499" i="3"/>
  <c r="H499" i="3"/>
  <c r="I499" i="3"/>
  <c r="J499" i="3"/>
  <c r="K499" i="3"/>
  <c r="B500" i="3"/>
  <c r="C500" i="3"/>
  <c r="D500" i="3"/>
  <c r="E500" i="3"/>
  <c r="F500" i="3"/>
  <c r="G500" i="3"/>
  <c r="H500" i="3"/>
  <c r="I500" i="3"/>
  <c r="J500" i="3"/>
  <c r="K500" i="3"/>
  <c r="B501" i="3"/>
  <c r="C501" i="3"/>
  <c r="D501" i="3"/>
  <c r="E501" i="3"/>
  <c r="F501" i="3"/>
  <c r="G501" i="3"/>
  <c r="H501" i="3"/>
  <c r="I501" i="3"/>
  <c r="J501" i="3"/>
  <c r="K501" i="3"/>
  <c r="B502" i="3"/>
  <c r="C502" i="3"/>
  <c r="D502" i="3"/>
  <c r="E502" i="3"/>
  <c r="F502" i="3"/>
  <c r="G502" i="3"/>
  <c r="H502" i="3"/>
  <c r="I502" i="3"/>
  <c r="J502" i="3"/>
  <c r="K502" i="3"/>
  <c r="B503" i="3"/>
  <c r="C503" i="3"/>
  <c r="D503" i="3"/>
  <c r="E503" i="3"/>
  <c r="F503" i="3"/>
  <c r="G503" i="3"/>
  <c r="H503" i="3"/>
  <c r="I503" i="3"/>
  <c r="J503" i="3"/>
  <c r="K503" i="3"/>
  <c r="B504" i="3"/>
  <c r="C504" i="3"/>
  <c r="D504" i="3"/>
  <c r="E504" i="3"/>
  <c r="F504" i="3"/>
  <c r="G504" i="3"/>
  <c r="H504" i="3"/>
  <c r="I504" i="3"/>
  <c r="J504" i="3"/>
  <c r="K504" i="3"/>
  <c r="B505" i="3"/>
  <c r="C505" i="3"/>
  <c r="D505" i="3"/>
  <c r="E505" i="3"/>
  <c r="F505" i="3"/>
  <c r="G505" i="3"/>
  <c r="H505" i="3"/>
  <c r="I505" i="3"/>
  <c r="J505" i="3"/>
  <c r="K505" i="3"/>
  <c r="B506" i="3"/>
  <c r="C506" i="3"/>
  <c r="D506" i="3"/>
  <c r="E506" i="3"/>
  <c r="F506" i="3"/>
  <c r="G506" i="3"/>
  <c r="H506" i="3"/>
  <c r="I506" i="3"/>
  <c r="J506" i="3"/>
  <c r="K506" i="3"/>
  <c r="B507" i="3"/>
  <c r="C507" i="3"/>
  <c r="D507" i="3"/>
  <c r="E507" i="3"/>
  <c r="F507" i="3"/>
  <c r="G507" i="3"/>
  <c r="H507" i="3"/>
  <c r="I507" i="3"/>
  <c r="J507" i="3"/>
  <c r="K507" i="3"/>
  <c r="B508" i="3"/>
  <c r="C508" i="3"/>
  <c r="D508" i="3"/>
  <c r="E508" i="3"/>
  <c r="F508" i="3"/>
  <c r="G508" i="3"/>
  <c r="H508" i="3"/>
  <c r="I508" i="3"/>
  <c r="J508" i="3"/>
  <c r="K508" i="3"/>
  <c r="B509" i="3"/>
  <c r="C509" i="3"/>
  <c r="D509" i="3"/>
  <c r="E509" i="3"/>
  <c r="F509" i="3"/>
  <c r="G509" i="3"/>
  <c r="H509" i="3"/>
  <c r="I509" i="3"/>
  <c r="J509" i="3"/>
  <c r="K509" i="3"/>
  <c r="B510" i="3"/>
  <c r="C510" i="3"/>
  <c r="D510" i="3"/>
  <c r="E510" i="3"/>
  <c r="F510" i="3"/>
  <c r="G510" i="3"/>
  <c r="H510" i="3"/>
  <c r="I510" i="3"/>
  <c r="J510" i="3"/>
  <c r="K510" i="3"/>
  <c r="B511" i="3"/>
  <c r="C511" i="3"/>
  <c r="D511" i="3"/>
  <c r="E511" i="3"/>
  <c r="F511" i="3"/>
  <c r="G511" i="3"/>
  <c r="H511" i="3"/>
  <c r="I511" i="3"/>
  <c r="J511" i="3"/>
  <c r="K511" i="3"/>
  <c r="B512" i="3"/>
  <c r="C512" i="3"/>
  <c r="D512" i="3"/>
  <c r="E512" i="3"/>
  <c r="F512" i="3"/>
  <c r="G512" i="3"/>
  <c r="H512" i="3"/>
  <c r="I512" i="3"/>
  <c r="J512" i="3"/>
  <c r="K512" i="3"/>
  <c r="B513" i="3"/>
  <c r="C513" i="3"/>
  <c r="D513" i="3"/>
  <c r="E513" i="3"/>
  <c r="F513" i="3"/>
  <c r="G513" i="3"/>
  <c r="H513" i="3"/>
  <c r="I513" i="3"/>
  <c r="J513" i="3"/>
  <c r="K513" i="3"/>
  <c r="B514" i="3"/>
  <c r="C514" i="3"/>
  <c r="D514" i="3"/>
  <c r="E514" i="3"/>
  <c r="F514" i="3"/>
  <c r="G514" i="3"/>
  <c r="H514" i="3"/>
  <c r="I514" i="3"/>
  <c r="J514" i="3"/>
  <c r="K514" i="3"/>
  <c r="B515" i="3"/>
  <c r="C515" i="3"/>
  <c r="D515" i="3"/>
  <c r="E515" i="3"/>
  <c r="F515" i="3"/>
  <c r="G515" i="3"/>
  <c r="H515" i="3"/>
  <c r="I515" i="3"/>
  <c r="J515" i="3"/>
  <c r="K515" i="3"/>
  <c r="B516" i="3"/>
  <c r="C516" i="3"/>
  <c r="D516" i="3"/>
  <c r="E516" i="3"/>
  <c r="F516" i="3"/>
  <c r="G516" i="3"/>
  <c r="H516" i="3"/>
  <c r="I516" i="3"/>
  <c r="J516" i="3"/>
  <c r="K516" i="3"/>
  <c r="B517" i="3"/>
  <c r="C517" i="3"/>
  <c r="D517" i="3"/>
  <c r="E517" i="3"/>
  <c r="F517" i="3"/>
  <c r="G517" i="3"/>
  <c r="H517" i="3"/>
  <c r="I517" i="3"/>
  <c r="J517" i="3"/>
  <c r="K517" i="3"/>
  <c r="B518" i="3"/>
  <c r="C518" i="3"/>
  <c r="D518" i="3"/>
  <c r="E518" i="3"/>
  <c r="F518" i="3"/>
  <c r="G518" i="3"/>
  <c r="H518" i="3"/>
  <c r="I518" i="3"/>
  <c r="J518" i="3"/>
  <c r="K518" i="3"/>
  <c r="B519" i="3"/>
  <c r="C519" i="3"/>
  <c r="D519" i="3"/>
  <c r="E519" i="3"/>
  <c r="F519" i="3"/>
  <c r="G519" i="3"/>
  <c r="H519" i="3"/>
  <c r="I519" i="3"/>
  <c r="J519" i="3"/>
  <c r="K519" i="3"/>
  <c r="B520" i="3"/>
  <c r="C520" i="3"/>
  <c r="D520" i="3"/>
  <c r="E520" i="3"/>
  <c r="F520" i="3"/>
  <c r="G520" i="3"/>
  <c r="H520" i="3"/>
  <c r="I520" i="3"/>
  <c r="J520" i="3"/>
  <c r="K520" i="3"/>
  <c r="B521" i="3"/>
  <c r="C521" i="3"/>
  <c r="D521" i="3"/>
  <c r="E521" i="3"/>
  <c r="F521" i="3"/>
  <c r="G521" i="3"/>
  <c r="H521" i="3"/>
  <c r="I521" i="3"/>
  <c r="J521" i="3"/>
  <c r="K521" i="3"/>
  <c r="B522" i="3"/>
  <c r="C522" i="3"/>
  <c r="D522" i="3"/>
  <c r="E522" i="3"/>
  <c r="F522" i="3"/>
  <c r="G522" i="3"/>
  <c r="H522" i="3"/>
  <c r="I522" i="3"/>
  <c r="J522" i="3"/>
  <c r="K522" i="3"/>
  <c r="B523" i="3"/>
  <c r="C523" i="3"/>
  <c r="D523" i="3"/>
  <c r="E523" i="3"/>
  <c r="F523" i="3"/>
  <c r="G523" i="3"/>
  <c r="H523" i="3"/>
  <c r="I523" i="3"/>
  <c r="J523" i="3"/>
  <c r="K523" i="3"/>
  <c r="B524" i="3"/>
  <c r="C524" i="3"/>
  <c r="D524" i="3"/>
  <c r="E524" i="3"/>
  <c r="F524" i="3"/>
  <c r="G524" i="3"/>
  <c r="H524" i="3"/>
  <c r="I524" i="3"/>
  <c r="J524" i="3"/>
  <c r="K524" i="3"/>
  <c r="B525" i="3"/>
  <c r="C525" i="3"/>
  <c r="D525" i="3"/>
  <c r="E525" i="3"/>
  <c r="F525" i="3"/>
  <c r="G525" i="3"/>
  <c r="H525" i="3"/>
  <c r="I525" i="3"/>
  <c r="J525" i="3"/>
  <c r="K525" i="3"/>
  <c r="B526" i="3"/>
  <c r="C526" i="3"/>
  <c r="D526" i="3"/>
  <c r="E526" i="3"/>
  <c r="F526" i="3"/>
  <c r="G526" i="3"/>
  <c r="H526" i="3"/>
  <c r="I526" i="3"/>
  <c r="J526" i="3"/>
  <c r="K526" i="3"/>
  <c r="B527" i="3"/>
  <c r="C527" i="3"/>
  <c r="D527" i="3"/>
  <c r="E527" i="3"/>
  <c r="F527" i="3"/>
  <c r="G527" i="3"/>
  <c r="H527" i="3"/>
  <c r="I527" i="3"/>
  <c r="J527" i="3"/>
  <c r="K527" i="3"/>
  <c r="B528" i="3"/>
  <c r="C528" i="3"/>
  <c r="D528" i="3"/>
  <c r="E528" i="3"/>
  <c r="F528" i="3"/>
  <c r="G528" i="3"/>
  <c r="H528" i="3"/>
  <c r="I528" i="3"/>
  <c r="J528" i="3"/>
  <c r="K528" i="3"/>
  <c r="B529" i="3"/>
  <c r="C529" i="3"/>
  <c r="D529" i="3"/>
  <c r="E529" i="3"/>
  <c r="F529" i="3"/>
  <c r="G529" i="3"/>
  <c r="H529" i="3"/>
  <c r="I529" i="3"/>
  <c r="J529" i="3"/>
  <c r="K529" i="3"/>
  <c r="B530" i="3"/>
  <c r="C530" i="3"/>
  <c r="D530" i="3"/>
  <c r="E530" i="3"/>
  <c r="F530" i="3"/>
  <c r="G530" i="3"/>
  <c r="H530" i="3"/>
  <c r="I530" i="3"/>
  <c r="J530" i="3"/>
  <c r="K530" i="3"/>
  <c r="B531" i="3"/>
  <c r="C531" i="3"/>
  <c r="D531" i="3"/>
  <c r="E531" i="3"/>
  <c r="F531" i="3"/>
  <c r="G531" i="3"/>
  <c r="H531" i="3"/>
  <c r="I531" i="3"/>
  <c r="J531" i="3"/>
  <c r="K531" i="3"/>
  <c r="B532" i="3"/>
  <c r="C532" i="3"/>
  <c r="D532" i="3"/>
  <c r="E532" i="3"/>
  <c r="F532" i="3"/>
  <c r="G532" i="3"/>
  <c r="H532" i="3"/>
  <c r="I532" i="3"/>
  <c r="J532" i="3"/>
  <c r="K532" i="3"/>
  <c r="B533" i="3"/>
  <c r="C533" i="3"/>
  <c r="D533" i="3"/>
  <c r="E533" i="3"/>
  <c r="F533" i="3"/>
  <c r="G533" i="3"/>
  <c r="H533" i="3"/>
  <c r="I533" i="3"/>
  <c r="J533" i="3"/>
  <c r="K533" i="3"/>
  <c r="B534" i="3"/>
  <c r="C534" i="3"/>
  <c r="D534" i="3"/>
  <c r="E534" i="3"/>
  <c r="F534" i="3"/>
  <c r="G534" i="3"/>
  <c r="H534" i="3"/>
  <c r="I534" i="3"/>
  <c r="J534" i="3"/>
  <c r="K534" i="3"/>
  <c r="B535" i="3"/>
  <c r="C535" i="3"/>
  <c r="D535" i="3"/>
  <c r="E535" i="3"/>
  <c r="F535" i="3"/>
  <c r="G535" i="3"/>
  <c r="H535" i="3"/>
  <c r="I535" i="3"/>
  <c r="J535" i="3"/>
  <c r="K535" i="3"/>
  <c r="B536" i="3"/>
  <c r="C536" i="3"/>
  <c r="D536" i="3"/>
  <c r="E536" i="3"/>
  <c r="F536" i="3"/>
  <c r="G536" i="3"/>
  <c r="H536" i="3"/>
  <c r="I536" i="3"/>
  <c r="J536" i="3"/>
  <c r="K536" i="3"/>
  <c r="B537" i="3"/>
  <c r="C537" i="3"/>
  <c r="D537" i="3"/>
  <c r="E537" i="3"/>
  <c r="F537" i="3"/>
  <c r="G537" i="3"/>
  <c r="H537" i="3"/>
  <c r="I537" i="3"/>
  <c r="J537" i="3"/>
  <c r="K537" i="3"/>
  <c r="B538" i="3"/>
  <c r="C538" i="3"/>
  <c r="D538" i="3"/>
  <c r="E538" i="3"/>
  <c r="F538" i="3"/>
  <c r="G538" i="3"/>
  <c r="H538" i="3"/>
  <c r="I538" i="3"/>
  <c r="J538" i="3"/>
  <c r="K538" i="3"/>
  <c r="B539" i="3"/>
  <c r="C539" i="3"/>
  <c r="D539" i="3"/>
  <c r="E539" i="3"/>
  <c r="F539" i="3"/>
  <c r="G539" i="3"/>
  <c r="H539" i="3"/>
  <c r="I539" i="3"/>
  <c r="J539" i="3"/>
  <c r="K539" i="3"/>
  <c r="B540" i="3"/>
  <c r="C540" i="3"/>
  <c r="D540" i="3"/>
  <c r="E540" i="3"/>
  <c r="F540" i="3"/>
  <c r="G540" i="3"/>
  <c r="H540" i="3"/>
  <c r="I540" i="3"/>
  <c r="J540" i="3"/>
  <c r="K540" i="3"/>
  <c r="B541" i="3"/>
  <c r="C541" i="3"/>
  <c r="D541" i="3"/>
  <c r="E541" i="3"/>
  <c r="F541" i="3"/>
  <c r="G541" i="3"/>
  <c r="H541" i="3"/>
  <c r="I541" i="3"/>
  <c r="J541" i="3"/>
  <c r="K541" i="3"/>
  <c r="B542" i="3"/>
  <c r="C542" i="3"/>
  <c r="D542" i="3"/>
  <c r="E542" i="3"/>
  <c r="F542" i="3"/>
  <c r="G542" i="3"/>
  <c r="H542" i="3"/>
  <c r="I542" i="3"/>
  <c r="J542" i="3"/>
  <c r="K542" i="3"/>
  <c r="B543" i="3"/>
  <c r="C543" i="3"/>
  <c r="D543" i="3"/>
  <c r="E543" i="3"/>
  <c r="F543" i="3"/>
  <c r="G543" i="3"/>
  <c r="H543" i="3"/>
  <c r="I543" i="3"/>
  <c r="J543" i="3"/>
  <c r="K543" i="3"/>
  <c r="B544" i="3"/>
  <c r="C544" i="3"/>
  <c r="D544" i="3"/>
  <c r="E544" i="3"/>
  <c r="F544" i="3"/>
  <c r="G544" i="3"/>
  <c r="H544" i="3"/>
  <c r="I544" i="3"/>
  <c r="J544" i="3"/>
  <c r="K544" i="3"/>
  <c r="B545" i="3"/>
  <c r="C545" i="3"/>
  <c r="D545" i="3"/>
  <c r="E545" i="3"/>
  <c r="F545" i="3"/>
  <c r="G545" i="3"/>
  <c r="H545" i="3"/>
  <c r="I545" i="3"/>
  <c r="J545" i="3"/>
  <c r="K545" i="3"/>
  <c r="B546" i="3"/>
  <c r="C546" i="3"/>
  <c r="D546" i="3"/>
  <c r="E546" i="3"/>
  <c r="F546" i="3"/>
  <c r="G546" i="3"/>
  <c r="H546" i="3"/>
  <c r="I546" i="3"/>
  <c r="J546" i="3"/>
  <c r="K546" i="3"/>
  <c r="B547" i="3"/>
  <c r="C547" i="3"/>
  <c r="D547" i="3"/>
  <c r="E547" i="3"/>
  <c r="F547" i="3"/>
  <c r="G547" i="3"/>
  <c r="H547" i="3"/>
  <c r="I547" i="3"/>
  <c r="J547" i="3"/>
  <c r="K547" i="3"/>
  <c r="B548" i="3"/>
  <c r="C548" i="3"/>
  <c r="D548" i="3"/>
  <c r="E548" i="3"/>
  <c r="F548" i="3"/>
  <c r="G548" i="3"/>
  <c r="H548" i="3"/>
  <c r="I548" i="3"/>
  <c r="J548" i="3"/>
  <c r="K548" i="3"/>
  <c r="B549" i="3"/>
  <c r="C549" i="3"/>
  <c r="D549" i="3"/>
  <c r="E549" i="3"/>
  <c r="F549" i="3"/>
  <c r="G549" i="3"/>
  <c r="H549" i="3"/>
  <c r="I549" i="3"/>
  <c r="J549" i="3"/>
  <c r="K549" i="3"/>
  <c r="B550" i="3"/>
  <c r="C550" i="3"/>
  <c r="D550" i="3"/>
  <c r="E550" i="3"/>
  <c r="F550" i="3"/>
  <c r="G550" i="3"/>
  <c r="H550" i="3"/>
  <c r="I550" i="3"/>
  <c r="J550" i="3"/>
  <c r="K550" i="3"/>
  <c r="B551" i="3"/>
  <c r="C551" i="3"/>
  <c r="D551" i="3"/>
  <c r="E551" i="3"/>
  <c r="F551" i="3"/>
  <c r="G551" i="3"/>
  <c r="H551" i="3"/>
  <c r="I551" i="3"/>
  <c r="J551" i="3"/>
  <c r="K551" i="3"/>
  <c r="B552" i="3"/>
  <c r="C552" i="3"/>
  <c r="D552" i="3"/>
  <c r="E552" i="3"/>
  <c r="F552" i="3"/>
  <c r="G552" i="3"/>
  <c r="H552" i="3"/>
  <c r="I552" i="3"/>
  <c r="J552" i="3"/>
  <c r="K552" i="3"/>
  <c r="B553" i="3"/>
  <c r="C553" i="3"/>
  <c r="D553" i="3"/>
  <c r="E553" i="3"/>
  <c r="F553" i="3"/>
  <c r="G553" i="3"/>
  <c r="H553" i="3"/>
  <c r="I553" i="3"/>
  <c r="J553" i="3"/>
  <c r="K553" i="3"/>
  <c r="B554" i="3"/>
  <c r="C554" i="3"/>
  <c r="D554" i="3"/>
  <c r="E554" i="3"/>
  <c r="F554" i="3"/>
  <c r="G554" i="3"/>
  <c r="H554" i="3"/>
  <c r="I554" i="3"/>
  <c r="J554" i="3"/>
  <c r="K554" i="3"/>
  <c r="B555" i="3"/>
  <c r="C555" i="3"/>
  <c r="D555" i="3"/>
  <c r="E555" i="3"/>
  <c r="F555" i="3"/>
  <c r="G555" i="3"/>
  <c r="H555" i="3"/>
  <c r="I555" i="3"/>
  <c r="J555" i="3"/>
  <c r="K555" i="3"/>
  <c r="B556" i="3"/>
  <c r="C556" i="3"/>
  <c r="D556" i="3"/>
  <c r="E556" i="3"/>
  <c r="F556" i="3"/>
  <c r="G556" i="3"/>
  <c r="H556" i="3"/>
  <c r="I556" i="3"/>
  <c r="J556" i="3"/>
  <c r="K556" i="3"/>
  <c r="B557" i="3"/>
  <c r="C557" i="3"/>
  <c r="D557" i="3"/>
  <c r="E557" i="3"/>
  <c r="F557" i="3"/>
  <c r="G557" i="3"/>
  <c r="H557" i="3"/>
  <c r="I557" i="3"/>
  <c r="J557" i="3"/>
  <c r="K557" i="3"/>
  <c r="B558" i="3"/>
  <c r="C558" i="3"/>
  <c r="D558" i="3"/>
  <c r="E558" i="3"/>
  <c r="F558" i="3"/>
  <c r="G558" i="3"/>
  <c r="H558" i="3"/>
  <c r="I558" i="3"/>
  <c r="J558" i="3"/>
  <c r="K558" i="3"/>
  <c r="B559" i="3"/>
  <c r="C559" i="3"/>
  <c r="D559" i="3"/>
  <c r="E559" i="3"/>
  <c r="F559" i="3"/>
  <c r="G559" i="3"/>
  <c r="H559" i="3"/>
  <c r="I559" i="3"/>
  <c r="J559" i="3"/>
  <c r="K559" i="3"/>
  <c r="B560" i="3"/>
  <c r="C560" i="3"/>
  <c r="D560" i="3"/>
  <c r="E560" i="3"/>
  <c r="F560" i="3"/>
  <c r="G560" i="3"/>
  <c r="H560" i="3"/>
  <c r="I560" i="3"/>
  <c r="J560" i="3"/>
  <c r="K560" i="3"/>
  <c r="B561" i="3"/>
  <c r="C561" i="3"/>
  <c r="D561" i="3"/>
  <c r="E561" i="3"/>
  <c r="F561" i="3"/>
  <c r="G561" i="3"/>
  <c r="H561" i="3"/>
  <c r="I561" i="3"/>
  <c r="J561" i="3"/>
  <c r="K561" i="3"/>
  <c r="B562" i="3"/>
  <c r="C562" i="3"/>
  <c r="D562" i="3"/>
  <c r="E562" i="3"/>
  <c r="F562" i="3"/>
  <c r="G562" i="3"/>
  <c r="H562" i="3"/>
  <c r="I562" i="3"/>
  <c r="J562" i="3"/>
  <c r="K562" i="3"/>
  <c r="B563" i="3"/>
  <c r="C563" i="3"/>
  <c r="D563" i="3"/>
  <c r="E563" i="3"/>
  <c r="F563" i="3"/>
  <c r="G563" i="3"/>
  <c r="H563" i="3"/>
  <c r="I563" i="3"/>
  <c r="J563" i="3"/>
  <c r="K563" i="3"/>
  <c r="B564" i="3"/>
  <c r="C564" i="3"/>
  <c r="D564" i="3"/>
  <c r="E564" i="3"/>
  <c r="F564" i="3"/>
  <c r="G564" i="3"/>
  <c r="H564" i="3"/>
  <c r="I564" i="3"/>
  <c r="J564" i="3"/>
  <c r="K564" i="3"/>
  <c r="B565" i="3"/>
  <c r="C565" i="3"/>
  <c r="D565" i="3"/>
  <c r="E565" i="3"/>
  <c r="F565" i="3"/>
  <c r="G565" i="3"/>
  <c r="H565" i="3"/>
  <c r="I565" i="3"/>
  <c r="J565" i="3"/>
  <c r="K565" i="3"/>
  <c r="B566" i="3"/>
  <c r="C566" i="3"/>
  <c r="D566" i="3"/>
  <c r="E566" i="3"/>
  <c r="F566" i="3"/>
  <c r="G566" i="3"/>
  <c r="H566" i="3"/>
  <c r="I566" i="3"/>
  <c r="J566" i="3"/>
  <c r="K566" i="3"/>
  <c r="B567" i="3"/>
  <c r="C567" i="3"/>
  <c r="D567" i="3"/>
  <c r="E567" i="3"/>
  <c r="F567" i="3"/>
  <c r="G567" i="3"/>
  <c r="H567" i="3"/>
  <c r="I567" i="3"/>
  <c r="J567" i="3"/>
  <c r="K567" i="3"/>
  <c r="B568" i="3"/>
  <c r="C568" i="3"/>
  <c r="D568" i="3"/>
  <c r="E568" i="3"/>
  <c r="F568" i="3"/>
  <c r="G568" i="3"/>
  <c r="H568" i="3"/>
  <c r="I568" i="3"/>
  <c r="J568" i="3"/>
  <c r="K568" i="3"/>
  <c r="B569" i="3"/>
  <c r="C569" i="3"/>
  <c r="D569" i="3"/>
  <c r="E569" i="3"/>
  <c r="F569" i="3"/>
  <c r="G569" i="3"/>
  <c r="H569" i="3"/>
  <c r="I569" i="3"/>
  <c r="J569" i="3"/>
  <c r="K569" i="3"/>
  <c r="B570" i="3"/>
  <c r="C570" i="3"/>
  <c r="D570" i="3"/>
  <c r="E570" i="3"/>
  <c r="F570" i="3"/>
  <c r="G570" i="3"/>
  <c r="H570" i="3"/>
  <c r="I570" i="3"/>
  <c r="J570" i="3"/>
  <c r="K570" i="3"/>
  <c r="B571" i="3"/>
  <c r="C571" i="3"/>
  <c r="D571" i="3"/>
  <c r="E571" i="3"/>
  <c r="F571" i="3"/>
  <c r="G571" i="3"/>
  <c r="H571" i="3"/>
  <c r="I571" i="3"/>
  <c r="J571" i="3"/>
  <c r="K571" i="3"/>
  <c r="B572" i="3"/>
  <c r="C572" i="3"/>
  <c r="D572" i="3"/>
  <c r="E572" i="3"/>
  <c r="F572" i="3"/>
  <c r="G572" i="3"/>
  <c r="H572" i="3"/>
  <c r="I572" i="3"/>
  <c r="J572" i="3"/>
  <c r="K572" i="3"/>
  <c r="B573" i="3"/>
  <c r="C573" i="3"/>
  <c r="D573" i="3"/>
  <c r="E573" i="3"/>
  <c r="F573" i="3"/>
  <c r="G573" i="3"/>
  <c r="H573" i="3"/>
  <c r="I573" i="3"/>
  <c r="J573" i="3"/>
  <c r="K573" i="3"/>
  <c r="B574" i="3"/>
  <c r="C574" i="3"/>
  <c r="D574" i="3"/>
  <c r="E574" i="3"/>
  <c r="F574" i="3"/>
  <c r="G574" i="3"/>
  <c r="H574" i="3"/>
  <c r="I574" i="3"/>
  <c r="J574" i="3"/>
  <c r="K574" i="3"/>
  <c r="B575" i="3"/>
  <c r="C575" i="3"/>
  <c r="D575" i="3"/>
  <c r="E575" i="3"/>
  <c r="F575" i="3"/>
  <c r="G575" i="3"/>
  <c r="H575" i="3"/>
  <c r="I575" i="3"/>
  <c r="J575" i="3"/>
  <c r="K575" i="3"/>
  <c r="B576" i="3"/>
  <c r="C576" i="3"/>
  <c r="D576" i="3"/>
  <c r="E576" i="3"/>
  <c r="F576" i="3"/>
  <c r="G576" i="3"/>
  <c r="H576" i="3"/>
  <c r="I576" i="3"/>
  <c r="J576" i="3"/>
  <c r="K576" i="3"/>
  <c r="B577" i="3"/>
  <c r="C577" i="3"/>
  <c r="D577" i="3"/>
  <c r="E577" i="3"/>
  <c r="F577" i="3"/>
  <c r="G577" i="3"/>
  <c r="H577" i="3"/>
  <c r="I577" i="3"/>
  <c r="J577" i="3"/>
  <c r="K577" i="3"/>
  <c r="B578" i="3"/>
  <c r="C578" i="3"/>
  <c r="D578" i="3"/>
  <c r="E578" i="3"/>
  <c r="F578" i="3"/>
  <c r="G578" i="3"/>
  <c r="H578" i="3"/>
  <c r="I578" i="3"/>
  <c r="J578" i="3"/>
  <c r="K578" i="3"/>
  <c r="B579" i="3"/>
  <c r="C579" i="3"/>
  <c r="D579" i="3"/>
  <c r="E579" i="3"/>
  <c r="F579" i="3"/>
  <c r="G579" i="3"/>
  <c r="H579" i="3"/>
  <c r="I579" i="3"/>
  <c r="J579" i="3"/>
  <c r="K579" i="3"/>
  <c r="B580" i="3"/>
  <c r="C580" i="3"/>
  <c r="D580" i="3"/>
  <c r="E580" i="3"/>
  <c r="F580" i="3"/>
  <c r="G580" i="3"/>
  <c r="H580" i="3"/>
  <c r="I580" i="3"/>
  <c r="J580" i="3"/>
  <c r="K580" i="3"/>
  <c r="B581" i="3"/>
  <c r="C581" i="3"/>
  <c r="D581" i="3"/>
  <c r="E581" i="3"/>
  <c r="F581" i="3"/>
  <c r="G581" i="3"/>
  <c r="H581" i="3"/>
  <c r="I581" i="3"/>
  <c r="J581" i="3"/>
  <c r="K581" i="3"/>
  <c r="B582" i="3"/>
  <c r="C582" i="3"/>
  <c r="D582" i="3"/>
  <c r="E582" i="3"/>
  <c r="F582" i="3"/>
  <c r="G582" i="3"/>
  <c r="H582" i="3"/>
  <c r="I582" i="3"/>
  <c r="J582" i="3"/>
  <c r="K582" i="3"/>
  <c r="B583" i="3"/>
  <c r="C583" i="3"/>
  <c r="D583" i="3"/>
  <c r="E583" i="3"/>
  <c r="F583" i="3"/>
  <c r="G583" i="3"/>
  <c r="H583" i="3"/>
  <c r="I583" i="3"/>
  <c r="J583" i="3"/>
  <c r="K583" i="3"/>
  <c r="B584" i="3"/>
  <c r="C584" i="3"/>
  <c r="D584" i="3"/>
  <c r="E584" i="3"/>
  <c r="F584" i="3"/>
  <c r="G584" i="3"/>
  <c r="H584" i="3"/>
  <c r="I584" i="3"/>
  <c r="J584" i="3"/>
  <c r="K584" i="3"/>
  <c r="B585" i="3"/>
  <c r="C585" i="3"/>
  <c r="D585" i="3"/>
  <c r="E585" i="3"/>
  <c r="F585" i="3"/>
  <c r="G585" i="3"/>
  <c r="H585" i="3"/>
  <c r="I585" i="3"/>
  <c r="J585" i="3"/>
  <c r="K585" i="3"/>
  <c r="B586" i="3"/>
  <c r="C586" i="3"/>
  <c r="D586" i="3"/>
  <c r="E586" i="3"/>
  <c r="F586" i="3"/>
  <c r="G586" i="3"/>
  <c r="H586" i="3"/>
  <c r="I586" i="3"/>
  <c r="J586" i="3"/>
  <c r="K586" i="3"/>
  <c r="B587" i="3"/>
  <c r="C587" i="3"/>
  <c r="D587" i="3"/>
  <c r="E587" i="3"/>
  <c r="F587" i="3"/>
  <c r="G587" i="3"/>
  <c r="H587" i="3"/>
  <c r="I587" i="3"/>
  <c r="J587" i="3"/>
  <c r="K587" i="3"/>
  <c r="B588" i="3"/>
  <c r="C588" i="3"/>
  <c r="D588" i="3"/>
  <c r="E588" i="3"/>
  <c r="F588" i="3"/>
  <c r="G588" i="3"/>
  <c r="H588" i="3"/>
  <c r="I588" i="3"/>
  <c r="J588" i="3"/>
  <c r="K588" i="3"/>
  <c r="B589" i="3"/>
  <c r="C589" i="3"/>
  <c r="D589" i="3"/>
  <c r="E589" i="3"/>
  <c r="F589" i="3"/>
  <c r="G589" i="3"/>
  <c r="H589" i="3"/>
  <c r="I589" i="3"/>
  <c r="J589" i="3"/>
  <c r="K589" i="3"/>
  <c r="B590" i="3"/>
  <c r="C590" i="3"/>
  <c r="D590" i="3"/>
  <c r="E590" i="3"/>
  <c r="F590" i="3"/>
  <c r="G590" i="3"/>
  <c r="H590" i="3"/>
  <c r="I590" i="3"/>
  <c r="J590" i="3"/>
  <c r="K590" i="3"/>
  <c r="B591" i="3"/>
  <c r="C591" i="3"/>
  <c r="D591" i="3"/>
  <c r="E591" i="3"/>
  <c r="F591" i="3"/>
  <c r="G591" i="3"/>
  <c r="H591" i="3"/>
  <c r="I591" i="3"/>
  <c r="J591" i="3"/>
  <c r="K591" i="3"/>
  <c r="B592" i="3"/>
  <c r="C592" i="3"/>
  <c r="D592" i="3"/>
  <c r="E592" i="3"/>
  <c r="F592" i="3"/>
  <c r="G592" i="3"/>
  <c r="H592" i="3"/>
  <c r="I592" i="3"/>
  <c r="J592" i="3"/>
  <c r="K592" i="3"/>
  <c r="B593" i="3"/>
  <c r="C593" i="3"/>
  <c r="D593" i="3"/>
  <c r="E593" i="3"/>
  <c r="F593" i="3"/>
  <c r="G593" i="3"/>
  <c r="H593" i="3"/>
  <c r="I593" i="3"/>
  <c r="J593" i="3"/>
  <c r="K593" i="3"/>
  <c r="B594" i="3"/>
  <c r="C594" i="3"/>
  <c r="D594" i="3"/>
  <c r="E594" i="3"/>
  <c r="F594" i="3"/>
  <c r="G594" i="3"/>
  <c r="H594" i="3"/>
  <c r="I594" i="3"/>
  <c r="J594" i="3"/>
  <c r="K594" i="3"/>
  <c r="B595" i="3"/>
  <c r="C595" i="3"/>
  <c r="D595" i="3"/>
  <c r="E595" i="3"/>
  <c r="F595" i="3"/>
  <c r="G595" i="3"/>
  <c r="H595" i="3"/>
  <c r="I595" i="3"/>
  <c r="J595" i="3"/>
  <c r="K595" i="3"/>
  <c r="B596" i="3"/>
  <c r="C596" i="3"/>
  <c r="D596" i="3"/>
  <c r="E596" i="3"/>
  <c r="F596" i="3"/>
  <c r="G596" i="3"/>
  <c r="H596" i="3"/>
  <c r="I596" i="3"/>
  <c r="J596" i="3"/>
  <c r="K596" i="3"/>
  <c r="B597" i="3"/>
  <c r="C597" i="3"/>
  <c r="D597" i="3"/>
  <c r="E597" i="3"/>
  <c r="F597" i="3"/>
  <c r="G597" i="3"/>
  <c r="H597" i="3"/>
  <c r="I597" i="3"/>
  <c r="J597" i="3"/>
  <c r="K597" i="3"/>
  <c r="B598" i="3"/>
  <c r="C598" i="3"/>
  <c r="D598" i="3"/>
  <c r="E598" i="3"/>
  <c r="F598" i="3"/>
  <c r="G598" i="3"/>
  <c r="H598" i="3"/>
  <c r="I598" i="3"/>
  <c r="J598" i="3"/>
  <c r="K598" i="3"/>
  <c r="B599" i="3"/>
  <c r="C599" i="3"/>
  <c r="D599" i="3"/>
  <c r="E599" i="3"/>
  <c r="F599" i="3"/>
  <c r="G599" i="3"/>
  <c r="H599" i="3"/>
  <c r="I599" i="3"/>
  <c r="J599" i="3"/>
  <c r="K599" i="3"/>
  <c r="B600" i="3"/>
  <c r="C600" i="3"/>
  <c r="D600" i="3"/>
  <c r="E600" i="3"/>
  <c r="F600" i="3"/>
  <c r="G600" i="3"/>
  <c r="H600" i="3"/>
  <c r="I600" i="3"/>
  <c r="J600" i="3"/>
  <c r="K600" i="3"/>
  <c r="B601" i="3"/>
  <c r="C601" i="3"/>
  <c r="D601" i="3"/>
  <c r="E601" i="3"/>
  <c r="F601" i="3"/>
  <c r="G601" i="3"/>
  <c r="H601" i="3"/>
  <c r="I601" i="3"/>
  <c r="J601" i="3"/>
  <c r="K601" i="3"/>
  <c r="B602" i="3"/>
  <c r="C602" i="3"/>
  <c r="D602" i="3"/>
  <c r="E602" i="3"/>
  <c r="F602" i="3"/>
  <c r="G602" i="3"/>
  <c r="H602" i="3"/>
  <c r="I602" i="3"/>
  <c r="J602" i="3"/>
  <c r="K602" i="3"/>
  <c r="B603" i="3"/>
  <c r="C603" i="3"/>
  <c r="D603" i="3"/>
  <c r="E603" i="3"/>
  <c r="F603" i="3"/>
  <c r="G603" i="3"/>
  <c r="H603" i="3"/>
  <c r="I603" i="3"/>
  <c r="J603" i="3"/>
  <c r="K603" i="3"/>
  <c r="B604" i="3"/>
  <c r="C604" i="3"/>
  <c r="D604" i="3"/>
  <c r="E604" i="3"/>
  <c r="F604" i="3"/>
  <c r="G604" i="3"/>
  <c r="H604" i="3"/>
  <c r="I604" i="3"/>
  <c r="J604" i="3"/>
  <c r="K604" i="3"/>
  <c r="B605" i="3"/>
  <c r="C605" i="3"/>
  <c r="D605" i="3"/>
  <c r="E605" i="3"/>
  <c r="F605" i="3"/>
  <c r="G605" i="3"/>
  <c r="H605" i="3"/>
  <c r="I605" i="3"/>
  <c r="J605" i="3"/>
  <c r="K605" i="3"/>
  <c r="B606" i="3"/>
  <c r="C606" i="3"/>
  <c r="D606" i="3"/>
  <c r="E606" i="3"/>
  <c r="F606" i="3"/>
  <c r="G606" i="3"/>
  <c r="H606" i="3"/>
  <c r="I606" i="3"/>
  <c r="J606" i="3"/>
  <c r="K606" i="3"/>
  <c r="B607" i="3"/>
  <c r="C607" i="3"/>
  <c r="D607" i="3"/>
  <c r="E607" i="3"/>
  <c r="F607" i="3"/>
  <c r="G607" i="3"/>
  <c r="H607" i="3"/>
  <c r="I607" i="3"/>
  <c r="J607" i="3"/>
  <c r="K607" i="3"/>
  <c r="B608" i="3"/>
  <c r="C608" i="3"/>
  <c r="D608" i="3"/>
  <c r="E608" i="3"/>
  <c r="F608" i="3"/>
  <c r="G608" i="3"/>
  <c r="H608" i="3"/>
  <c r="I608" i="3"/>
  <c r="J608" i="3"/>
  <c r="K608" i="3"/>
  <c r="B609" i="3"/>
  <c r="C609" i="3"/>
  <c r="D609" i="3"/>
  <c r="E609" i="3"/>
  <c r="F609" i="3"/>
  <c r="G609" i="3"/>
  <c r="H609" i="3"/>
  <c r="I609" i="3"/>
  <c r="J609" i="3"/>
  <c r="K609" i="3"/>
  <c r="B610" i="3"/>
  <c r="C610" i="3"/>
  <c r="D610" i="3"/>
  <c r="E610" i="3"/>
  <c r="F610" i="3"/>
  <c r="G610" i="3"/>
  <c r="H610" i="3"/>
  <c r="I610" i="3"/>
  <c r="J610" i="3"/>
  <c r="K610" i="3"/>
  <c r="B611" i="3"/>
  <c r="C611" i="3"/>
  <c r="D611" i="3"/>
  <c r="E611" i="3"/>
  <c r="F611" i="3"/>
  <c r="G611" i="3"/>
  <c r="H611" i="3"/>
  <c r="I611" i="3"/>
  <c r="J611" i="3"/>
  <c r="K611" i="3"/>
  <c r="B612" i="3"/>
  <c r="C612" i="3"/>
  <c r="D612" i="3"/>
  <c r="E612" i="3"/>
  <c r="F612" i="3"/>
  <c r="G612" i="3"/>
  <c r="H612" i="3"/>
  <c r="I612" i="3"/>
  <c r="J612" i="3"/>
  <c r="K612" i="3"/>
  <c r="B613" i="3"/>
  <c r="C613" i="3"/>
  <c r="D613" i="3"/>
  <c r="E613" i="3"/>
  <c r="F613" i="3"/>
  <c r="G613" i="3"/>
  <c r="H613" i="3"/>
  <c r="I613" i="3"/>
  <c r="J613" i="3"/>
  <c r="K613" i="3"/>
  <c r="B614" i="3"/>
  <c r="C614" i="3"/>
  <c r="D614" i="3"/>
  <c r="E614" i="3"/>
  <c r="F614" i="3"/>
  <c r="G614" i="3"/>
  <c r="H614" i="3"/>
  <c r="I614" i="3"/>
  <c r="J614" i="3"/>
  <c r="K614" i="3"/>
  <c r="B615" i="3"/>
  <c r="C615" i="3"/>
  <c r="D615" i="3"/>
  <c r="E615" i="3"/>
  <c r="F615" i="3"/>
  <c r="G615" i="3"/>
  <c r="H615" i="3"/>
  <c r="I615" i="3"/>
  <c r="J615" i="3"/>
  <c r="K615" i="3"/>
  <c r="B616" i="3"/>
  <c r="C616" i="3"/>
  <c r="D616" i="3"/>
  <c r="E616" i="3"/>
  <c r="F616" i="3"/>
  <c r="G616" i="3"/>
  <c r="H616" i="3"/>
  <c r="I616" i="3"/>
  <c r="J616" i="3"/>
  <c r="K616" i="3"/>
  <c r="B617" i="3"/>
  <c r="C617" i="3"/>
  <c r="D617" i="3"/>
  <c r="E617" i="3"/>
  <c r="F617" i="3"/>
  <c r="G617" i="3"/>
  <c r="H617" i="3"/>
  <c r="I617" i="3"/>
  <c r="J617" i="3"/>
  <c r="K617" i="3"/>
  <c r="B618" i="3"/>
  <c r="C618" i="3"/>
  <c r="D618" i="3"/>
  <c r="E618" i="3"/>
  <c r="F618" i="3"/>
  <c r="G618" i="3"/>
  <c r="H618" i="3"/>
  <c r="I618" i="3"/>
  <c r="J618" i="3"/>
  <c r="K618" i="3"/>
  <c r="B619" i="3"/>
  <c r="C619" i="3"/>
  <c r="D619" i="3"/>
  <c r="E619" i="3"/>
  <c r="F619" i="3"/>
  <c r="G619" i="3"/>
  <c r="H619" i="3"/>
  <c r="I619" i="3"/>
  <c r="J619" i="3"/>
  <c r="K619" i="3"/>
  <c r="B620" i="3"/>
  <c r="C620" i="3"/>
  <c r="D620" i="3"/>
  <c r="E620" i="3"/>
  <c r="F620" i="3"/>
  <c r="G620" i="3"/>
  <c r="H620" i="3"/>
  <c r="I620" i="3"/>
  <c r="J620" i="3"/>
  <c r="K620" i="3"/>
  <c r="B621" i="3"/>
  <c r="C621" i="3"/>
  <c r="D621" i="3"/>
  <c r="E621" i="3"/>
  <c r="F621" i="3"/>
  <c r="G621" i="3"/>
  <c r="H621" i="3"/>
  <c r="I621" i="3"/>
  <c r="J621" i="3"/>
  <c r="K621" i="3"/>
  <c r="B622" i="3"/>
  <c r="C622" i="3"/>
  <c r="D622" i="3"/>
  <c r="E622" i="3"/>
  <c r="F622" i="3"/>
  <c r="G622" i="3"/>
  <c r="H622" i="3"/>
  <c r="I622" i="3"/>
  <c r="J622" i="3"/>
  <c r="K622" i="3"/>
  <c r="B623" i="3"/>
  <c r="C623" i="3"/>
  <c r="D623" i="3"/>
  <c r="E623" i="3"/>
  <c r="F623" i="3"/>
  <c r="G623" i="3"/>
  <c r="H623" i="3"/>
  <c r="I623" i="3"/>
  <c r="J623" i="3"/>
  <c r="K623" i="3"/>
  <c r="B624" i="3"/>
  <c r="C624" i="3"/>
  <c r="D624" i="3"/>
  <c r="E624" i="3"/>
  <c r="F624" i="3"/>
  <c r="G624" i="3"/>
  <c r="H624" i="3"/>
  <c r="I624" i="3"/>
  <c r="J624" i="3"/>
  <c r="K624" i="3"/>
  <c r="B625" i="3"/>
  <c r="C625" i="3"/>
  <c r="D625" i="3"/>
  <c r="E625" i="3"/>
  <c r="F625" i="3"/>
  <c r="G625" i="3"/>
  <c r="H625" i="3"/>
  <c r="I625" i="3"/>
  <c r="J625" i="3"/>
  <c r="K625" i="3"/>
  <c r="B626" i="3"/>
  <c r="C626" i="3"/>
  <c r="D626" i="3"/>
  <c r="E626" i="3"/>
  <c r="F626" i="3"/>
  <c r="G626" i="3"/>
  <c r="H626" i="3"/>
  <c r="I626" i="3"/>
  <c r="J626" i="3"/>
  <c r="K626" i="3"/>
  <c r="B627" i="3"/>
  <c r="C627" i="3"/>
  <c r="D627" i="3"/>
  <c r="E627" i="3"/>
  <c r="F627" i="3"/>
  <c r="G627" i="3"/>
  <c r="H627" i="3"/>
  <c r="I627" i="3"/>
  <c r="J627" i="3"/>
  <c r="K627" i="3"/>
  <c r="B628" i="3"/>
  <c r="C628" i="3"/>
  <c r="D628" i="3"/>
  <c r="E628" i="3"/>
  <c r="F628" i="3"/>
  <c r="G628" i="3"/>
  <c r="H628" i="3"/>
  <c r="I628" i="3"/>
  <c r="J628" i="3"/>
  <c r="K628" i="3"/>
  <c r="B629" i="3"/>
  <c r="C629" i="3"/>
  <c r="D629" i="3"/>
  <c r="E629" i="3"/>
  <c r="F629" i="3"/>
  <c r="G629" i="3"/>
  <c r="H629" i="3"/>
  <c r="I629" i="3"/>
  <c r="J629" i="3"/>
  <c r="K629" i="3"/>
  <c r="B630" i="3"/>
  <c r="C630" i="3"/>
  <c r="D630" i="3"/>
  <c r="E630" i="3"/>
  <c r="F630" i="3"/>
  <c r="G630" i="3"/>
  <c r="H630" i="3"/>
  <c r="I630" i="3"/>
  <c r="J630" i="3"/>
  <c r="K630" i="3"/>
  <c r="B631" i="3"/>
  <c r="C631" i="3"/>
  <c r="D631" i="3"/>
  <c r="E631" i="3"/>
  <c r="F631" i="3"/>
  <c r="G631" i="3"/>
  <c r="H631" i="3"/>
  <c r="I631" i="3"/>
  <c r="J631" i="3"/>
  <c r="K631" i="3"/>
  <c r="B632" i="3"/>
  <c r="C632" i="3"/>
  <c r="D632" i="3"/>
  <c r="E632" i="3"/>
  <c r="F632" i="3"/>
  <c r="G632" i="3"/>
  <c r="H632" i="3"/>
  <c r="I632" i="3"/>
  <c r="J632" i="3"/>
  <c r="K632" i="3"/>
  <c r="B633" i="3"/>
  <c r="C633" i="3"/>
  <c r="D633" i="3"/>
  <c r="E633" i="3"/>
  <c r="F633" i="3"/>
  <c r="G633" i="3"/>
  <c r="H633" i="3"/>
  <c r="I633" i="3"/>
  <c r="J633" i="3"/>
  <c r="K633" i="3"/>
  <c r="B634" i="3"/>
  <c r="C634" i="3"/>
  <c r="D634" i="3"/>
  <c r="E634" i="3"/>
  <c r="F634" i="3"/>
  <c r="G634" i="3"/>
  <c r="H634" i="3"/>
  <c r="I634" i="3"/>
  <c r="J634" i="3"/>
  <c r="K634" i="3"/>
  <c r="B635" i="3"/>
  <c r="C635" i="3"/>
  <c r="D635" i="3"/>
  <c r="E635" i="3"/>
  <c r="F635" i="3"/>
  <c r="G635" i="3"/>
  <c r="H635" i="3"/>
  <c r="I635" i="3"/>
  <c r="J635" i="3"/>
  <c r="K635" i="3"/>
  <c r="B636" i="3"/>
  <c r="C636" i="3"/>
  <c r="D636" i="3"/>
  <c r="E636" i="3"/>
  <c r="F636" i="3"/>
  <c r="G636" i="3"/>
  <c r="H636" i="3"/>
  <c r="I636" i="3"/>
  <c r="J636" i="3"/>
  <c r="K636" i="3"/>
  <c r="B637" i="3"/>
  <c r="C637" i="3"/>
  <c r="D637" i="3"/>
  <c r="E637" i="3"/>
  <c r="F637" i="3"/>
  <c r="G637" i="3"/>
  <c r="H637" i="3"/>
  <c r="I637" i="3"/>
  <c r="J637" i="3"/>
  <c r="K637" i="3"/>
  <c r="B638" i="3"/>
  <c r="C638" i="3"/>
  <c r="D638" i="3"/>
  <c r="E638" i="3"/>
  <c r="F638" i="3"/>
  <c r="G638" i="3"/>
  <c r="H638" i="3"/>
  <c r="I638" i="3"/>
  <c r="J638" i="3"/>
  <c r="K638" i="3"/>
  <c r="B639" i="3"/>
  <c r="C639" i="3"/>
  <c r="D639" i="3"/>
  <c r="E639" i="3"/>
  <c r="F639" i="3"/>
  <c r="G639" i="3"/>
  <c r="H639" i="3"/>
  <c r="I639" i="3"/>
  <c r="J639" i="3"/>
  <c r="K639" i="3"/>
  <c r="B640" i="3"/>
  <c r="C640" i="3"/>
  <c r="D640" i="3"/>
  <c r="E640" i="3"/>
  <c r="F640" i="3"/>
  <c r="G640" i="3"/>
  <c r="H640" i="3"/>
  <c r="I640" i="3"/>
  <c r="J640" i="3"/>
  <c r="K640" i="3"/>
  <c r="B641" i="3"/>
  <c r="C641" i="3"/>
  <c r="D641" i="3"/>
  <c r="E641" i="3"/>
  <c r="F641" i="3"/>
  <c r="G641" i="3"/>
  <c r="H641" i="3"/>
  <c r="I641" i="3"/>
  <c r="J641" i="3"/>
  <c r="K641" i="3"/>
  <c r="B642" i="3"/>
  <c r="C642" i="3"/>
  <c r="D642" i="3"/>
  <c r="E642" i="3"/>
  <c r="F642" i="3"/>
  <c r="G642" i="3"/>
  <c r="H642" i="3"/>
  <c r="I642" i="3"/>
  <c r="J642" i="3"/>
  <c r="K642" i="3"/>
  <c r="B643" i="3"/>
  <c r="C643" i="3"/>
  <c r="D643" i="3"/>
  <c r="E643" i="3"/>
  <c r="F643" i="3"/>
  <c r="G643" i="3"/>
  <c r="H643" i="3"/>
  <c r="I643" i="3"/>
  <c r="J643" i="3"/>
  <c r="K643" i="3"/>
  <c r="B644" i="3"/>
  <c r="C644" i="3"/>
  <c r="D644" i="3"/>
  <c r="E644" i="3"/>
  <c r="F644" i="3"/>
  <c r="G644" i="3"/>
  <c r="H644" i="3"/>
  <c r="I644" i="3"/>
  <c r="J644" i="3"/>
  <c r="K644" i="3"/>
  <c r="B645" i="3"/>
  <c r="C645" i="3"/>
  <c r="D645" i="3"/>
  <c r="E645" i="3"/>
  <c r="F645" i="3"/>
  <c r="G645" i="3"/>
  <c r="H645" i="3"/>
  <c r="I645" i="3"/>
  <c r="J645" i="3"/>
  <c r="K645" i="3"/>
  <c r="B646" i="3"/>
  <c r="C646" i="3"/>
  <c r="D646" i="3"/>
  <c r="E646" i="3"/>
  <c r="F646" i="3"/>
  <c r="G646" i="3"/>
  <c r="H646" i="3"/>
  <c r="I646" i="3"/>
  <c r="J646" i="3"/>
  <c r="K646" i="3"/>
  <c r="B647" i="3"/>
  <c r="C647" i="3"/>
  <c r="D647" i="3"/>
  <c r="E647" i="3"/>
  <c r="F647" i="3"/>
  <c r="G647" i="3"/>
  <c r="H647" i="3"/>
  <c r="I647" i="3"/>
  <c r="J647" i="3"/>
  <c r="K647" i="3"/>
  <c r="B648" i="3"/>
  <c r="C648" i="3"/>
  <c r="D648" i="3"/>
  <c r="E648" i="3"/>
  <c r="F648" i="3"/>
  <c r="G648" i="3"/>
  <c r="H648" i="3"/>
  <c r="I648" i="3"/>
  <c r="J648" i="3"/>
  <c r="K648" i="3"/>
  <c r="B649" i="3"/>
  <c r="C649" i="3"/>
  <c r="D649" i="3"/>
  <c r="E649" i="3"/>
  <c r="F649" i="3"/>
  <c r="G649" i="3"/>
  <c r="H649" i="3"/>
  <c r="I649" i="3"/>
  <c r="J649" i="3"/>
  <c r="K649" i="3"/>
  <c r="B650" i="3"/>
  <c r="C650" i="3"/>
  <c r="D650" i="3"/>
  <c r="E650" i="3"/>
  <c r="F650" i="3"/>
  <c r="G650" i="3"/>
  <c r="H650" i="3"/>
  <c r="I650" i="3"/>
  <c r="J650" i="3"/>
  <c r="K650" i="3"/>
  <c r="B651" i="3"/>
  <c r="C651" i="3"/>
  <c r="D651" i="3"/>
  <c r="E651" i="3"/>
  <c r="F651" i="3"/>
  <c r="G651" i="3"/>
  <c r="H651" i="3"/>
  <c r="I651" i="3"/>
  <c r="J651" i="3"/>
  <c r="K651" i="3"/>
  <c r="B652" i="3"/>
  <c r="C652" i="3"/>
  <c r="D652" i="3"/>
  <c r="E652" i="3"/>
  <c r="F652" i="3"/>
  <c r="G652" i="3"/>
  <c r="H652" i="3"/>
  <c r="I652" i="3"/>
  <c r="J652" i="3"/>
  <c r="K652" i="3"/>
  <c r="B653" i="3"/>
  <c r="C653" i="3"/>
  <c r="D653" i="3"/>
  <c r="E653" i="3"/>
  <c r="F653" i="3"/>
  <c r="G653" i="3"/>
  <c r="H653" i="3"/>
  <c r="I653" i="3"/>
  <c r="J653" i="3"/>
  <c r="K653" i="3"/>
  <c r="B654" i="3"/>
  <c r="C654" i="3"/>
  <c r="D654" i="3"/>
  <c r="E654" i="3"/>
  <c r="F654" i="3"/>
  <c r="G654" i="3"/>
  <c r="H654" i="3"/>
  <c r="I654" i="3"/>
  <c r="J654" i="3"/>
  <c r="K654" i="3"/>
  <c r="B655" i="3"/>
  <c r="C655" i="3"/>
  <c r="D655" i="3"/>
  <c r="E655" i="3"/>
  <c r="F655" i="3"/>
  <c r="G655" i="3"/>
  <c r="H655" i="3"/>
  <c r="I655" i="3"/>
  <c r="J655" i="3"/>
  <c r="K655" i="3"/>
  <c r="B656" i="3"/>
  <c r="C656" i="3"/>
  <c r="D656" i="3"/>
  <c r="E656" i="3"/>
  <c r="F656" i="3"/>
  <c r="G656" i="3"/>
  <c r="H656" i="3"/>
  <c r="I656" i="3"/>
  <c r="J656" i="3"/>
  <c r="K656" i="3"/>
  <c r="B657" i="3"/>
  <c r="C657" i="3"/>
  <c r="D657" i="3"/>
  <c r="E657" i="3"/>
  <c r="F657" i="3"/>
  <c r="G657" i="3"/>
  <c r="H657" i="3"/>
  <c r="I657" i="3"/>
  <c r="J657" i="3"/>
  <c r="K657" i="3"/>
  <c r="B658" i="3"/>
  <c r="C658" i="3"/>
  <c r="D658" i="3"/>
  <c r="E658" i="3"/>
  <c r="F658" i="3"/>
  <c r="G658" i="3"/>
  <c r="H658" i="3"/>
  <c r="I658" i="3"/>
  <c r="J658" i="3"/>
  <c r="K658" i="3"/>
  <c r="B659" i="3"/>
  <c r="C659" i="3"/>
  <c r="D659" i="3"/>
  <c r="E659" i="3"/>
  <c r="F659" i="3"/>
  <c r="G659" i="3"/>
  <c r="H659" i="3"/>
  <c r="I659" i="3"/>
  <c r="J659" i="3"/>
  <c r="K659" i="3"/>
  <c r="B660" i="3"/>
  <c r="C660" i="3"/>
  <c r="D660" i="3"/>
  <c r="E660" i="3"/>
  <c r="F660" i="3"/>
  <c r="G660" i="3"/>
  <c r="H660" i="3"/>
  <c r="I660" i="3"/>
  <c r="J660" i="3"/>
  <c r="K660" i="3"/>
  <c r="B661" i="3"/>
  <c r="C661" i="3"/>
  <c r="D661" i="3"/>
  <c r="E661" i="3"/>
  <c r="F661" i="3"/>
  <c r="G661" i="3"/>
  <c r="H661" i="3"/>
  <c r="I661" i="3"/>
  <c r="J661" i="3"/>
  <c r="K661" i="3"/>
  <c r="B662" i="3"/>
  <c r="C662" i="3"/>
  <c r="D662" i="3"/>
  <c r="E662" i="3"/>
  <c r="F662" i="3"/>
  <c r="G662" i="3"/>
  <c r="H662" i="3"/>
  <c r="I662" i="3"/>
  <c r="J662" i="3"/>
  <c r="K662" i="3"/>
  <c r="B663" i="3"/>
  <c r="C663" i="3"/>
  <c r="D663" i="3"/>
  <c r="E663" i="3"/>
  <c r="F663" i="3"/>
  <c r="G663" i="3"/>
  <c r="H663" i="3"/>
  <c r="I663" i="3"/>
  <c r="J663" i="3"/>
  <c r="K663" i="3"/>
  <c r="B664" i="3"/>
  <c r="C664" i="3"/>
  <c r="D664" i="3"/>
  <c r="E664" i="3"/>
  <c r="F664" i="3"/>
  <c r="G664" i="3"/>
  <c r="H664" i="3"/>
  <c r="I664" i="3"/>
  <c r="J664" i="3"/>
  <c r="K664" i="3"/>
  <c r="B665" i="3"/>
  <c r="C665" i="3"/>
  <c r="D665" i="3"/>
  <c r="E665" i="3"/>
  <c r="F665" i="3"/>
  <c r="G665" i="3"/>
  <c r="H665" i="3"/>
  <c r="I665" i="3"/>
  <c r="J665" i="3"/>
  <c r="K665" i="3"/>
  <c r="B666" i="3"/>
  <c r="C666" i="3"/>
  <c r="D666" i="3"/>
  <c r="E666" i="3"/>
  <c r="F666" i="3"/>
  <c r="G666" i="3"/>
  <c r="H666" i="3"/>
  <c r="I666" i="3"/>
  <c r="J666" i="3"/>
  <c r="K666" i="3"/>
  <c r="B667" i="3"/>
  <c r="C667" i="3"/>
  <c r="D667" i="3"/>
  <c r="E667" i="3"/>
  <c r="F667" i="3"/>
  <c r="G667" i="3"/>
  <c r="H667" i="3"/>
  <c r="I667" i="3"/>
  <c r="J667" i="3"/>
  <c r="K667" i="3"/>
  <c r="B668" i="3"/>
  <c r="C668" i="3"/>
  <c r="D668" i="3"/>
  <c r="E668" i="3"/>
  <c r="F668" i="3"/>
  <c r="G668" i="3"/>
  <c r="H668" i="3"/>
  <c r="I668" i="3"/>
  <c r="J668" i="3"/>
  <c r="K668" i="3"/>
  <c r="B669" i="3"/>
  <c r="C669" i="3"/>
  <c r="D669" i="3"/>
  <c r="E669" i="3"/>
  <c r="F669" i="3"/>
  <c r="G669" i="3"/>
  <c r="H669" i="3"/>
  <c r="I669" i="3"/>
  <c r="J669" i="3"/>
  <c r="K669" i="3"/>
  <c r="B670" i="3"/>
  <c r="C670" i="3"/>
  <c r="D670" i="3"/>
  <c r="E670" i="3"/>
  <c r="F670" i="3"/>
  <c r="G670" i="3"/>
  <c r="H670" i="3"/>
  <c r="I670" i="3"/>
  <c r="J670" i="3"/>
  <c r="K670" i="3"/>
  <c r="B671" i="3"/>
  <c r="C671" i="3"/>
  <c r="D671" i="3"/>
  <c r="E671" i="3"/>
  <c r="F671" i="3"/>
  <c r="G671" i="3"/>
  <c r="H671" i="3"/>
  <c r="I671" i="3"/>
  <c r="J671" i="3"/>
  <c r="K671" i="3"/>
  <c r="B672" i="3"/>
  <c r="C672" i="3"/>
  <c r="D672" i="3"/>
  <c r="E672" i="3"/>
  <c r="F672" i="3"/>
  <c r="G672" i="3"/>
  <c r="H672" i="3"/>
  <c r="I672" i="3"/>
  <c r="J672" i="3"/>
  <c r="K672" i="3"/>
  <c r="B673" i="3"/>
  <c r="C673" i="3"/>
  <c r="D673" i="3"/>
  <c r="E673" i="3"/>
  <c r="F673" i="3"/>
  <c r="G673" i="3"/>
  <c r="H673" i="3"/>
  <c r="I673" i="3"/>
  <c r="J673" i="3"/>
  <c r="K673" i="3"/>
  <c r="B674" i="3"/>
  <c r="C674" i="3"/>
  <c r="D674" i="3"/>
  <c r="E674" i="3"/>
  <c r="F674" i="3"/>
  <c r="G674" i="3"/>
  <c r="H674" i="3"/>
  <c r="I674" i="3"/>
  <c r="J674" i="3"/>
  <c r="K674" i="3"/>
  <c r="B675" i="3"/>
  <c r="C675" i="3"/>
  <c r="D675" i="3"/>
  <c r="E675" i="3"/>
  <c r="F675" i="3"/>
  <c r="G675" i="3"/>
  <c r="H675" i="3"/>
  <c r="I675" i="3"/>
  <c r="J675" i="3"/>
  <c r="K675" i="3"/>
  <c r="B676" i="3"/>
  <c r="C676" i="3"/>
  <c r="D676" i="3"/>
  <c r="E676" i="3"/>
  <c r="F676" i="3"/>
  <c r="G676" i="3"/>
  <c r="H676" i="3"/>
  <c r="I676" i="3"/>
  <c r="J676" i="3"/>
  <c r="K676" i="3"/>
  <c r="B677" i="3"/>
  <c r="C677" i="3"/>
  <c r="D677" i="3"/>
  <c r="E677" i="3"/>
  <c r="F677" i="3"/>
  <c r="G677" i="3"/>
  <c r="H677" i="3"/>
  <c r="I677" i="3"/>
  <c r="J677" i="3"/>
  <c r="K677" i="3"/>
  <c r="B678" i="3"/>
  <c r="C678" i="3"/>
  <c r="D678" i="3"/>
  <c r="E678" i="3"/>
  <c r="F678" i="3"/>
  <c r="G678" i="3"/>
  <c r="H678" i="3"/>
  <c r="I678" i="3"/>
  <c r="J678" i="3"/>
  <c r="K678" i="3"/>
  <c r="B679" i="3"/>
  <c r="C679" i="3"/>
  <c r="D679" i="3"/>
  <c r="E679" i="3"/>
  <c r="F679" i="3"/>
  <c r="G679" i="3"/>
  <c r="H679" i="3"/>
  <c r="I679" i="3"/>
  <c r="J679" i="3"/>
  <c r="K679" i="3"/>
  <c r="B680" i="3"/>
  <c r="C680" i="3"/>
  <c r="D680" i="3"/>
  <c r="E680" i="3"/>
  <c r="F680" i="3"/>
  <c r="G680" i="3"/>
  <c r="H680" i="3"/>
  <c r="I680" i="3"/>
  <c r="J680" i="3"/>
  <c r="K680" i="3"/>
  <c r="B681" i="3"/>
  <c r="C681" i="3"/>
  <c r="D681" i="3"/>
  <c r="E681" i="3"/>
  <c r="F681" i="3"/>
  <c r="G681" i="3"/>
  <c r="H681" i="3"/>
  <c r="I681" i="3"/>
  <c r="J681" i="3"/>
  <c r="K681" i="3"/>
  <c r="B682" i="3"/>
  <c r="C682" i="3"/>
  <c r="D682" i="3"/>
  <c r="E682" i="3"/>
  <c r="F682" i="3"/>
  <c r="G682" i="3"/>
  <c r="H682" i="3"/>
  <c r="I682" i="3"/>
  <c r="J682" i="3"/>
  <c r="K682" i="3"/>
  <c r="B683" i="3"/>
  <c r="C683" i="3"/>
  <c r="D683" i="3"/>
  <c r="E683" i="3"/>
  <c r="F683" i="3"/>
  <c r="G683" i="3"/>
  <c r="H683" i="3"/>
  <c r="I683" i="3"/>
  <c r="J683" i="3"/>
  <c r="K683" i="3"/>
  <c r="B684" i="3"/>
  <c r="C684" i="3"/>
  <c r="D684" i="3"/>
  <c r="E684" i="3"/>
  <c r="F684" i="3"/>
  <c r="G684" i="3"/>
  <c r="H684" i="3"/>
  <c r="I684" i="3"/>
  <c r="J684" i="3"/>
  <c r="K684" i="3"/>
  <c r="B685" i="3"/>
  <c r="C685" i="3"/>
  <c r="D685" i="3"/>
  <c r="E685" i="3"/>
  <c r="F685" i="3"/>
  <c r="G685" i="3"/>
  <c r="H685" i="3"/>
  <c r="I685" i="3"/>
  <c r="J685" i="3"/>
  <c r="K685" i="3"/>
  <c r="B686" i="3"/>
  <c r="C686" i="3"/>
  <c r="D686" i="3"/>
  <c r="E686" i="3"/>
  <c r="F686" i="3"/>
  <c r="G686" i="3"/>
  <c r="H686" i="3"/>
  <c r="I686" i="3"/>
  <c r="J686" i="3"/>
  <c r="K686" i="3"/>
  <c r="B687" i="3"/>
  <c r="C687" i="3"/>
  <c r="D687" i="3"/>
  <c r="E687" i="3"/>
  <c r="F687" i="3"/>
  <c r="G687" i="3"/>
  <c r="H687" i="3"/>
  <c r="I687" i="3"/>
  <c r="J687" i="3"/>
  <c r="K687" i="3"/>
  <c r="B688" i="3"/>
  <c r="C688" i="3"/>
  <c r="D688" i="3"/>
  <c r="E688" i="3"/>
  <c r="F688" i="3"/>
  <c r="G688" i="3"/>
  <c r="H688" i="3"/>
  <c r="I688" i="3"/>
  <c r="J688" i="3"/>
  <c r="K688" i="3"/>
  <c r="B689" i="3"/>
  <c r="C689" i="3"/>
  <c r="D689" i="3"/>
  <c r="E689" i="3"/>
  <c r="F689" i="3"/>
  <c r="G689" i="3"/>
  <c r="H689" i="3"/>
  <c r="I689" i="3"/>
  <c r="J689" i="3"/>
  <c r="K689" i="3"/>
  <c r="B690" i="3"/>
  <c r="C690" i="3"/>
  <c r="D690" i="3"/>
  <c r="E690" i="3"/>
  <c r="F690" i="3"/>
  <c r="G690" i="3"/>
  <c r="H690" i="3"/>
  <c r="I690" i="3"/>
  <c r="J690" i="3"/>
  <c r="K690" i="3"/>
  <c r="B691" i="3"/>
  <c r="C691" i="3"/>
  <c r="D691" i="3"/>
  <c r="E691" i="3"/>
  <c r="F691" i="3"/>
  <c r="G691" i="3"/>
  <c r="H691" i="3"/>
  <c r="I691" i="3"/>
  <c r="J691" i="3"/>
  <c r="K691" i="3"/>
  <c r="B692" i="3"/>
  <c r="C692" i="3"/>
  <c r="D692" i="3"/>
  <c r="E692" i="3"/>
  <c r="F692" i="3"/>
  <c r="G692" i="3"/>
  <c r="H692" i="3"/>
  <c r="I692" i="3"/>
  <c r="J692" i="3"/>
  <c r="K692" i="3"/>
  <c r="B693" i="3"/>
  <c r="C693" i="3"/>
  <c r="D693" i="3"/>
  <c r="E693" i="3"/>
  <c r="F693" i="3"/>
  <c r="G693" i="3"/>
  <c r="H693" i="3"/>
  <c r="I693" i="3"/>
  <c r="J693" i="3"/>
  <c r="K693" i="3"/>
  <c r="B694" i="3"/>
  <c r="C694" i="3"/>
  <c r="D694" i="3"/>
  <c r="E694" i="3"/>
  <c r="F694" i="3"/>
  <c r="G694" i="3"/>
  <c r="H694" i="3"/>
  <c r="I694" i="3"/>
  <c r="J694" i="3"/>
  <c r="K694" i="3"/>
  <c r="B695" i="3"/>
  <c r="C695" i="3"/>
  <c r="D695" i="3"/>
  <c r="E695" i="3"/>
  <c r="F695" i="3"/>
  <c r="G695" i="3"/>
  <c r="H695" i="3"/>
  <c r="I695" i="3"/>
  <c r="J695" i="3"/>
  <c r="K695" i="3"/>
  <c r="B696" i="3"/>
  <c r="C696" i="3"/>
  <c r="D696" i="3"/>
  <c r="E696" i="3"/>
  <c r="F696" i="3"/>
  <c r="G696" i="3"/>
  <c r="H696" i="3"/>
  <c r="I696" i="3"/>
  <c r="J696" i="3"/>
  <c r="K696" i="3"/>
  <c r="B697" i="3"/>
  <c r="C697" i="3"/>
  <c r="D697" i="3"/>
  <c r="E697" i="3"/>
  <c r="F697" i="3"/>
  <c r="G697" i="3"/>
  <c r="H697" i="3"/>
  <c r="I697" i="3"/>
  <c r="J697" i="3"/>
  <c r="K697" i="3"/>
  <c r="B698" i="3"/>
  <c r="C698" i="3"/>
  <c r="D698" i="3"/>
  <c r="E698" i="3"/>
  <c r="F698" i="3"/>
  <c r="G698" i="3"/>
  <c r="H698" i="3"/>
  <c r="I698" i="3"/>
  <c r="J698" i="3"/>
  <c r="K698" i="3"/>
  <c r="B699" i="3"/>
  <c r="C699" i="3"/>
  <c r="D699" i="3"/>
  <c r="E699" i="3"/>
  <c r="F699" i="3"/>
  <c r="G699" i="3"/>
  <c r="H699" i="3"/>
  <c r="I699" i="3"/>
  <c r="J699" i="3"/>
  <c r="K699" i="3"/>
  <c r="B700" i="3"/>
  <c r="C700" i="3"/>
  <c r="D700" i="3"/>
  <c r="E700" i="3"/>
  <c r="F700" i="3"/>
  <c r="G700" i="3"/>
  <c r="H700" i="3"/>
  <c r="I700" i="3"/>
  <c r="J700" i="3"/>
  <c r="K700" i="3"/>
  <c r="B701" i="3"/>
  <c r="C701" i="3"/>
  <c r="D701" i="3"/>
  <c r="E701" i="3"/>
  <c r="F701" i="3"/>
  <c r="G701" i="3"/>
  <c r="H701" i="3"/>
  <c r="I701" i="3"/>
  <c r="J701" i="3"/>
  <c r="K701" i="3"/>
  <c r="B702" i="3"/>
  <c r="C702" i="3"/>
  <c r="D702" i="3"/>
  <c r="E702" i="3"/>
  <c r="F702" i="3"/>
  <c r="G702" i="3"/>
  <c r="H702" i="3"/>
  <c r="I702" i="3"/>
  <c r="J702" i="3"/>
  <c r="K702" i="3"/>
  <c r="B703" i="3"/>
  <c r="C703" i="3"/>
  <c r="D703" i="3"/>
  <c r="E703" i="3"/>
  <c r="F703" i="3"/>
  <c r="G703" i="3"/>
  <c r="H703" i="3"/>
  <c r="I703" i="3"/>
  <c r="J703" i="3"/>
  <c r="K703" i="3"/>
  <c r="B704" i="3"/>
  <c r="C704" i="3"/>
  <c r="D704" i="3"/>
  <c r="E704" i="3"/>
  <c r="F704" i="3"/>
  <c r="G704" i="3"/>
  <c r="H704" i="3"/>
  <c r="I704" i="3"/>
  <c r="J704" i="3"/>
  <c r="K704" i="3"/>
  <c r="B705" i="3"/>
  <c r="C705" i="3"/>
  <c r="D705" i="3"/>
  <c r="E705" i="3"/>
  <c r="F705" i="3"/>
  <c r="G705" i="3"/>
  <c r="H705" i="3"/>
  <c r="I705" i="3"/>
  <c r="J705" i="3"/>
  <c r="K705" i="3"/>
  <c r="B706" i="3"/>
  <c r="C706" i="3"/>
  <c r="D706" i="3"/>
  <c r="E706" i="3"/>
  <c r="F706" i="3"/>
  <c r="G706" i="3"/>
  <c r="H706" i="3"/>
  <c r="I706" i="3"/>
  <c r="J706" i="3"/>
  <c r="K706" i="3"/>
  <c r="B707" i="3"/>
  <c r="C707" i="3"/>
  <c r="D707" i="3"/>
  <c r="E707" i="3"/>
  <c r="F707" i="3"/>
  <c r="G707" i="3"/>
  <c r="H707" i="3"/>
  <c r="I707" i="3"/>
  <c r="J707" i="3"/>
  <c r="K707" i="3"/>
  <c r="B708" i="3"/>
  <c r="C708" i="3"/>
  <c r="D708" i="3"/>
  <c r="E708" i="3"/>
  <c r="F708" i="3"/>
  <c r="G708" i="3"/>
  <c r="H708" i="3"/>
  <c r="I708" i="3"/>
  <c r="J708" i="3"/>
  <c r="K708" i="3"/>
  <c r="B709" i="3"/>
  <c r="C709" i="3"/>
  <c r="D709" i="3"/>
  <c r="E709" i="3"/>
  <c r="F709" i="3"/>
  <c r="G709" i="3"/>
  <c r="H709" i="3"/>
  <c r="I709" i="3"/>
  <c r="J709" i="3"/>
  <c r="K709" i="3"/>
  <c r="B710" i="3"/>
  <c r="C710" i="3"/>
  <c r="D710" i="3"/>
  <c r="E710" i="3"/>
  <c r="F710" i="3"/>
  <c r="G710" i="3"/>
  <c r="H710" i="3"/>
  <c r="I710" i="3"/>
  <c r="J710" i="3"/>
  <c r="K710" i="3"/>
  <c r="B711" i="3"/>
  <c r="C711" i="3"/>
  <c r="D711" i="3"/>
  <c r="E711" i="3"/>
  <c r="F711" i="3"/>
  <c r="G711" i="3"/>
  <c r="H711" i="3"/>
  <c r="I711" i="3"/>
  <c r="J711" i="3"/>
  <c r="K711" i="3"/>
  <c r="B712" i="3"/>
  <c r="C712" i="3"/>
  <c r="D712" i="3"/>
  <c r="E712" i="3"/>
  <c r="F712" i="3"/>
  <c r="G712" i="3"/>
  <c r="H712" i="3"/>
  <c r="I712" i="3"/>
  <c r="J712" i="3"/>
  <c r="K712" i="3"/>
  <c r="B713" i="3"/>
  <c r="C713" i="3"/>
  <c r="D713" i="3"/>
  <c r="E713" i="3"/>
  <c r="F713" i="3"/>
  <c r="G713" i="3"/>
  <c r="H713" i="3"/>
  <c r="I713" i="3"/>
  <c r="J713" i="3"/>
  <c r="K713" i="3"/>
  <c r="B714" i="3"/>
  <c r="C714" i="3"/>
  <c r="D714" i="3"/>
  <c r="E714" i="3"/>
  <c r="F714" i="3"/>
  <c r="G714" i="3"/>
  <c r="H714" i="3"/>
  <c r="I714" i="3"/>
  <c r="J714" i="3"/>
  <c r="K714" i="3"/>
  <c r="B715" i="3"/>
  <c r="C715" i="3"/>
  <c r="D715" i="3"/>
  <c r="E715" i="3"/>
  <c r="F715" i="3"/>
  <c r="G715" i="3"/>
  <c r="H715" i="3"/>
  <c r="I715" i="3"/>
  <c r="J715" i="3"/>
  <c r="K715" i="3"/>
  <c r="B716" i="3"/>
  <c r="C716" i="3"/>
  <c r="D716" i="3"/>
  <c r="E716" i="3"/>
  <c r="F716" i="3"/>
  <c r="G716" i="3"/>
  <c r="H716" i="3"/>
  <c r="I716" i="3"/>
  <c r="J716" i="3"/>
  <c r="K716" i="3"/>
  <c r="B717" i="3"/>
  <c r="C717" i="3"/>
  <c r="D717" i="3"/>
  <c r="E717" i="3"/>
  <c r="F717" i="3"/>
  <c r="G717" i="3"/>
  <c r="H717" i="3"/>
  <c r="I717" i="3"/>
  <c r="J717" i="3"/>
  <c r="K717" i="3"/>
  <c r="B718" i="3"/>
  <c r="C718" i="3"/>
  <c r="D718" i="3"/>
  <c r="E718" i="3"/>
  <c r="F718" i="3"/>
  <c r="G718" i="3"/>
  <c r="H718" i="3"/>
  <c r="I718" i="3"/>
  <c r="J718" i="3"/>
  <c r="K718" i="3"/>
  <c r="B719" i="3"/>
  <c r="C719" i="3"/>
  <c r="D719" i="3"/>
  <c r="E719" i="3"/>
  <c r="F719" i="3"/>
  <c r="G719" i="3"/>
  <c r="H719" i="3"/>
  <c r="I719" i="3"/>
  <c r="J719" i="3"/>
  <c r="K719" i="3"/>
  <c r="B720" i="3"/>
  <c r="C720" i="3"/>
  <c r="D720" i="3"/>
  <c r="E720" i="3"/>
  <c r="F720" i="3"/>
  <c r="G720" i="3"/>
  <c r="H720" i="3"/>
  <c r="I720" i="3"/>
  <c r="J720" i="3"/>
  <c r="K720" i="3"/>
  <c r="B721" i="3"/>
  <c r="C721" i="3"/>
  <c r="D721" i="3"/>
  <c r="E721" i="3"/>
  <c r="F721" i="3"/>
  <c r="G721" i="3"/>
  <c r="H721" i="3"/>
  <c r="I721" i="3"/>
  <c r="J721" i="3"/>
  <c r="K721" i="3"/>
  <c r="B722" i="3"/>
  <c r="C722" i="3"/>
  <c r="D722" i="3"/>
  <c r="E722" i="3"/>
  <c r="F722" i="3"/>
  <c r="G722" i="3"/>
  <c r="H722" i="3"/>
  <c r="I722" i="3"/>
  <c r="J722" i="3"/>
  <c r="K722" i="3"/>
  <c r="B723" i="3"/>
  <c r="C723" i="3"/>
  <c r="D723" i="3"/>
  <c r="E723" i="3"/>
  <c r="F723" i="3"/>
  <c r="G723" i="3"/>
  <c r="H723" i="3"/>
  <c r="I723" i="3"/>
  <c r="J723" i="3"/>
  <c r="K723" i="3"/>
  <c r="B724" i="3"/>
  <c r="C724" i="3"/>
  <c r="D724" i="3"/>
  <c r="E724" i="3"/>
  <c r="F724" i="3"/>
  <c r="G724" i="3"/>
  <c r="H724" i="3"/>
  <c r="I724" i="3"/>
  <c r="J724" i="3"/>
  <c r="K724" i="3"/>
  <c r="B725" i="3"/>
  <c r="C725" i="3"/>
  <c r="D725" i="3"/>
  <c r="E725" i="3"/>
  <c r="F725" i="3"/>
  <c r="G725" i="3"/>
  <c r="H725" i="3"/>
  <c r="I725" i="3"/>
  <c r="J725" i="3"/>
  <c r="K725" i="3"/>
  <c r="B726" i="3"/>
  <c r="C726" i="3"/>
  <c r="D726" i="3"/>
  <c r="E726" i="3"/>
  <c r="F726" i="3"/>
  <c r="G726" i="3"/>
  <c r="H726" i="3"/>
  <c r="I726" i="3"/>
  <c r="J726" i="3"/>
  <c r="K726" i="3"/>
  <c r="B727" i="3"/>
  <c r="C727" i="3"/>
  <c r="D727" i="3"/>
  <c r="E727" i="3"/>
  <c r="F727" i="3"/>
  <c r="G727" i="3"/>
  <c r="H727" i="3"/>
  <c r="I727" i="3"/>
  <c r="J727" i="3"/>
  <c r="K727" i="3"/>
  <c r="B728" i="3"/>
  <c r="C728" i="3"/>
  <c r="D728" i="3"/>
  <c r="E728" i="3"/>
  <c r="F728" i="3"/>
  <c r="G728" i="3"/>
  <c r="H728" i="3"/>
  <c r="I728" i="3"/>
  <c r="J728" i="3"/>
  <c r="K728" i="3"/>
  <c r="B729" i="3"/>
  <c r="C729" i="3"/>
  <c r="D729" i="3"/>
  <c r="E729" i="3"/>
  <c r="F729" i="3"/>
  <c r="G729" i="3"/>
  <c r="H729" i="3"/>
  <c r="I729" i="3"/>
  <c r="J729" i="3"/>
  <c r="K729" i="3"/>
  <c r="B730" i="3"/>
  <c r="C730" i="3"/>
  <c r="D730" i="3"/>
  <c r="E730" i="3"/>
  <c r="F730" i="3"/>
  <c r="G730" i="3"/>
  <c r="H730" i="3"/>
  <c r="I730" i="3"/>
  <c r="J730" i="3"/>
  <c r="K730" i="3"/>
  <c r="B731" i="3"/>
  <c r="C731" i="3"/>
  <c r="D731" i="3"/>
  <c r="E731" i="3"/>
  <c r="F731" i="3"/>
  <c r="G731" i="3"/>
  <c r="H731" i="3"/>
  <c r="I731" i="3"/>
  <c r="J731" i="3"/>
  <c r="K731" i="3"/>
  <c r="B732" i="3"/>
  <c r="C732" i="3"/>
  <c r="D732" i="3"/>
  <c r="E732" i="3"/>
  <c r="F732" i="3"/>
  <c r="G732" i="3"/>
  <c r="H732" i="3"/>
  <c r="I732" i="3"/>
  <c r="J732" i="3"/>
  <c r="K732" i="3"/>
  <c r="B733" i="3"/>
  <c r="C733" i="3"/>
  <c r="D733" i="3"/>
  <c r="E733" i="3"/>
  <c r="F733" i="3"/>
  <c r="G733" i="3"/>
  <c r="H733" i="3"/>
  <c r="I733" i="3"/>
  <c r="J733" i="3"/>
  <c r="K733" i="3"/>
  <c r="B734" i="3"/>
  <c r="C734" i="3"/>
  <c r="D734" i="3"/>
  <c r="E734" i="3"/>
  <c r="F734" i="3"/>
  <c r="G734" i="3"/>
  <c r="H734" i="3"/>
  <c r="I734" i="3"/>
  <c r="J734" i="3"/>
  <c r="K734" i="3"/>
  <c r="B735" i="3"/>
  <c r="C735" i="3"/>
  <c r="D735" i="3"/>
  <c r="E735" i="3"/>
  <c r="F735" i="3"/>
  <c r="G735" i="3"/>
  <c r="H735" i="3"/>
  <c r="I735" i="3"/>
  <c r="J735" i="3"/>
  <c r="K735" i="3"/>
  <c r="B736" i="3"/>
  <c r="C736" i="3"/>
  <c r="D736" i="3"/>
  <c r="E736" i="3"/>
  <c r="F736" i="3"/>
  <c r="G736" i="3"/>
  <c r="H736" i="3"/>
  <c r="I736" i="3"/>
  <c r="J736" i="3"/>
  <c r="K736" i="3"/>
  <c r="B737" i="3"/>
  <c r="C737" i="3"/>
  <c r="D737" i="3"/>
  <c r="E737" i="3"/>
  <c r="F737" i="3"/>
  <c r="G737" i="3"/>
  <c r="H737" i="3"/>
  <c r="I737" i="3"/>
  <c r="J737" i="3"/>
  <c r="K737" i="3"/>
  <c r="B738" i="3"/>
  <c r="C738" i="3"/>
  <c r="D738" i="3"/>
  <c r="E738" i="3"/>
  <c r="F738" i="3"/>
  <c r="G738" i="3"/>
  <c r="H738" i="3"/>
  <c r="I738" i="3"/>
  <c r="J738" i="3"/>
  <c r="K738" i="3"/>
  <c r="B739" i="3"/>
  <c r="C739" i="3"/>
  <c r="D739" i="3"/>
  <c r="E739" i="3"/>
  <c r="F739" i="3"/>
  <c r="G739" i="3"/>
  <c r="H739" i="3"/>
  <c r="I739" i="3"/>
  <c r="J739" i="3"/>
  <c r="K739" i="3"/>
  <c r="B740" i="3"/>
  <c r="C740" i="3"/>
  <c r="D740" i="3"/>
  <c r="E740" i="3"/>
  <c r="F740" i="3"/>
  <c r="G740" i="3"/>
  <c r="H740" i="3"/>
  <c r="I740" i="3"/>
  <c r="J740" i="3"/>
  <c r="K740" i="3"/>
  <c r="B741" i="3"/>
  <c r="C741" i="3"/>
  <c r="D741" i="3"/>
  <c r="E741" i="3"/>
  <c r="F741" i="3"/>
  <c r="G741" i="3"/>
  <c r="H741" i="3"/>
  <c r="I741" i="3"/>
  <c r="J741" i="3"/>
  <c r="K741" i="3"/>
  <c r="B742" i="3"/>
  <c r="C742" i="3"/>
  <c r="D742" i="3"/>
  <c r="E742" i="3"/>
  <c r="F742" i="3"/>
  <c r="G742" i="3"/>
  <c r="H742" i="3"/>
  <c r="I742" i="3"/>
  <c r="J742" i="3"/>
  <c r="K742" i="3"/>
  <c r="B743" i="3"/>
  <c r="C743" i="3"/>
  <c r="D743" i="3"/>
  <c r="E743" i="3"/>
  <c r="F743" i="3"/>
  <c r="G743" i="3"/>
  <c r="H743" i="3"/>
  <c r="I743" i="3"/>
  <c r="J743" i="3"/>
  <c r="K743" i="3"/>
  <c r="B744" i="3"/>
  <c r="C744" i="3"/>
  <c r="D744" i="3"/>
  <c r="E744" i="3"/>
  <c r="F744" i="3"/>
  <c r="G744" i="3"/>
  <c r="H744" i="3"/>
  <c r="I744" i="3"/>
  <c r="J744" i="3"/>
  <c r="K744" i="3"/>
  <c r="B745" i="3"/>
  <c r="C745" i="3"/>
  <c r="D745" i="3"/>
  <c r="E745" i="3"/>
  <c r="F745" i="3"/>
  <c r="G745" i="3"/>
  <c r="H745" i="3"/>
  <c r="I745" i="3"/>
  <c r="J745" i="3"/>
  <c r="K745" i="3"/>
  <c r="B746" i="3"/>
  <c r="C746" i="3"/>
  <c r="D746" i="3"/>
  <c r="E746" i="3"/>
  <c r="F746" i="3"/>
  <c r="G746" i="3"/>
  <c r="H746" i="3"/>
  <c r="I746" i="3"/>
  <c r="J746" i="3"/>
  <c r="K746" i="3"/>
  <c r="B747" i="3"/>
  <c r="C747" i="3"/>
  <c r="D747" i="3"/>
  <c r="E747" i="3"/>
  <c r="F747" i="3"/>
  <c r="G747" i="3"/>
  <c r="H747" i="3"/>
  <c r="I747" i="3"/>
  <c r="J747" i="3"/>
  <c r="K747" i="3"/>
  <c r="B748" i="3"/>
  <c r="C748" i="3"/>
  <c r="D748" i="3"/>
  <c r="E748" i="3"/>
  <c r="F748" i="3"/>
  <c r="G748" i="3"/>
  <c r="H748" i="3"/>
  <c r="I748" i="3"/>
  <c r="J748" i="3"/>
  <c r="K748" i="3"/>
  <c r="B749" i="3"/>
  <c r="C749" i="3"/>
  <c r="D749" i="3"/>
  <c r="E749" i="3"/>
  <c r="F749" i="3"/>
  <c r="G749" i="3"/>
  <c r="H749" i="3"/>
  <c r="I749" i="3"/>
  <c r="J749" i="3"/>
  <c r="K749" i="3"/>
  <c r="B750" i="3"/>
  <c r="C750" i="3"/>
  <c r="D750" i="3"/>
  <c r="E750" i="3"/>
  <c r="F750" i="3"/>
  <c r="G750" i="3"/>
  <c r="H750" i="3"/>
  <c r="I750" i="3"/>
  <c r="J750" i="3"/>
  <c r="K750" i="3"/>
  <c r="B751" i="3"/>
  <c r="C751" i="3"/>
  <c r="D751" i="3"/>
  <c r="E751" i="3"/>
  <c r="F751" i="3"/>
  <c r="G751" i="3"/>
  <c r="H751" i="3"/>
  <c r="I751" i="3"/>
  <c r="J751" i="3"/>
  <c r="K751" i="3"/>
  <c r="B752" i="3"/>
  <c r="C752" i="3"/>
  <c r="D752" i="3"/>
  <c r="E752" i="3"/>
  <c r="F752" i="3"/>
  <c r="G752" i="3"/>
  <c r="H752" i="3"/>
  <c r="I752" i="3"/>
  <c r="J752" i="3"/>
  <c r="K752" i="3"/>
  <c r="B753" i="3"/>
  <c r="C753" i="3"/>
  <c r="D753" i="3"/>
  <c r="E753" i="3"/>
  <c r="F753" i="3"/>
  <c r="G753" i="3"/>
  <c r="H753" i="3"/>
  <c r="I753" i="3"/>
  <c r="J753" i="3"/>
  <c r="K753" i="3"/>
  <c r="B754" i="3"/>
  <c r="C754" i="3"/>
  <c r="D754" i="3"/>
  <c r="E754" i="3"/>
  <c r="F754" i="3"/>
  <c r="G754" i="3"/>
  <c r="H754" i="3"/>
  <c r="I754" i="3"/>
  <c r="J754" i="3"/>
  <c r="K754" i="3"/>
  <c r="B755" i="3"/>
  <c r="C755" i="3"/>
  <c r="D755" i="3"/>
  <c r="E755" i="3"/>
  <c r="F755" i="3"/>
  <c r="G755" i="3"/>
  <c r="H755" i="3"/>
  <c r="I755" i="3"/>
  <c r="J755" i="3"/>
  <c r="K755" i="3"/>
  <c r="B756" i="3"/>
  <c r="C756" i="3"/>
  <c r="D756" i="3"/>
  <c r="E756" i="3"/>
  <c r="F756" i="3"/>
  <c r="G756" i="3"/>
  <c r="H756" i="3"/>
  <c r="I756" i="3"/>
  <c r="J756" i="3"/>
  <c r="K756" i="3"/>
  <c r="B757" i="3"/>
  <c r="C757" i="3"/>
  <c r="D757" i="3"/>
  <c r="E757" i="3"/>
  <c r="F757" i="3"/>
  <c r="G757" i="3"/>
  <c r="H757" i="3"/>
  <c r="I757" i="3"/>
  <c r="J757" i="3"/>
  <c r="K757" i="3"/>
  <c r="B758" i="3"/>
  <c r="C758" i="3"/>
  <c r="D758" i="3"/>
  <c r="E758" i="3"/>
  <c r="F758" i="3"/>
  <c r="G758" i="3"/>
  <c r="H758" i="3"/>
  <c r="I758" i="3"/>
  <c r="J758" i="3"/>
  <c r="K758" i="3"/>
  <c r="B759" i="3"/>
  <c r="C759" i="3"/>
  <c r="D759" i="3"/>
  <c r="E759" i="3"/>
  <c r="F759" i="3"/>
  <c r="G759" i="3"/>
  <c r="H759" i="3"/>
  <c r="I759" i="3"/>
  <c r="J759" i="3"/>
  <c r="K759" i="3"/>
  <c r="B760" i="3"/>
  <c r="C760" i="3"/>
  <c r="D760" i="3"/>
  <c r="E760" i="3"/>
  <c r="F760" i="3"/>
  <c r="G760" i="3"/>
  <c r="H760" i="3"/>
  <c r="I760" i="3"/>
  <c r="J760" i="3"/>
  <c r="K760" i="3"/>
  <c r="B761" i="3"/>
  <c r="C761" i="3"/>
  <c r="D761" i="3"/>
  <c r="E761" i="3"/>
  <c r="F761" i="3"/>
  <c r="G761" i="3"/>
  <c r="H761" i="3"/>
  <c r="I761" i="3"/>
  <c r="J761" i="3"/>
  <c r="K761" i="3"/>
  <c r="B762" i="3"/>
  <c r="C762" i="3"/>
  <c r="D762" i="3"/>
  <c r="E762" i="3"/>
  <c r="F762" i="3"/>
  <c r="G762" i="3"/>
  <c r="H762" i="3"/>
  <c r="I762" i="3"/>
  <c r="J762" i="3"/>
  <c r="K762" i="3"/>
  <c r="B763" i="3"/>
  <c r="C763" i="3"/>
  <c r="D763" i="3"/>
  <c r="E763" i="3"/>
  <c r="F763" i="3"/>
  <c r="G763" i="3"/>
  <c r="H763" i="3"/>
  <c r="I763" i="3"/>
  <c r="J763" i="3"/>
  <c r="K763" i="3"/>
  <c r="B764" i="3"/>
  <c r="C764" i="3"/>
  <c r="D764" i="3"/>
  <c r="E764" i="3"/>
  <c r="F764" i="3"/>
  <c r="G764" i="3"/>
  <c r="H764" i="3"/>
  <c r="I764" i="3"/>
  <c r="J764" i="3"/>
  <c r="K764" i="3"/>
  <c r="B765" i="3"/>
  <c r="C765" i="3"/>
  <c r="D765" i="3"/>
  <c r="E765" i="3"/>
  <c r="F765" i="3"/>
  <c r="G765" i="3"/>
  <c r="H765" i="3"/>
  <c r="I765" i="3"/>
  <c r="J765" i="3"/>
  <c r="K765" i="3"/>
  <c r="B766" i="3"/>
  <c r="C766" i="3"/>
  <c r="D766" i="3"/>
  <c r="E766" i="3"/>
  <c r="F766" i="3"/>
  <c r="G766" i="3"/>
  <c r="H766" i="3"/>
  <c r="I766" i="3"/>
  <c r="J766" i="3"/>
  <c r="K766" i="3"/>
  <c r="B767" i="3"/>
  <c r="C767" i="3"/>
  <c r="D767" i="3"/>
  <c r="E767" i="3"/>
  <c r="F767" i="3"/>
  <c r="G767" i="3"/>
  <c r="H767" i="3"/>
  <c r="I767" i="3"/>
  <c r="J767" i="3"/>
  <c r="K767" i="3"/>
  <c r="B768" i="3"/>
  <c r="C768" i="3"/>
  <c r="D768" i="3"/>
  <c r="E768" i="3"/>
  <c r="F768" i="3"/>
  <c r="G768" i="3"/>
  <c r="H768" i="3"/>
  <c r="I768" i="3"/>
  <c r="J768" i="3"/>
  <c r="K768" i="3"/>
  <c r="B769" i="3"/>
  <c r="C769" i="3"/>
  <c r="D769" i="3"/>
  <c r="E769" i="3"/>
  <c r="F769" i="3"/>
  <c r="G769" i="3"/>
  <c r="H769" i="3"/>
  <c r="I769" i="3"/>
  <c r="J769" i="3"/>
  <c r="K769" i="3"/>
  <c r="B770" i="3"/>
  <c r="C770" i="3"/>
  <c r="D770" i="3"/>
  <c r="E770" i="3"/>
  <c r="F770" i="3"/>
  <c r="G770" i="3"/>
  <c r="H770" i="3"/>
  <c r="I770" i="3"/>
  <c r="J770" i="3"/>
  <c r="K770" i="3"/>
  <c r="B771" i="3"/>
  <c r="C771" i="3"/>
  <c r="D771" i="3"/>
  <c r="E771" i="3"/>
  <c r="F771" i="3"/>
  <c r="G771" i="3"/>
  <c r="H771" i="3"/>
  <c r="I771" i="3"/>
  <c r="J771" i="3"/>
  <c r="K771" i="3"/>
  <c r="B772" i="3"/>
  <c r="C772" i="3"/>
  <c r="D772" i="3"/>
  <c r="E772" i="3"/>
  <c r="F772" i="3"/>
  <c r="G772" i="3"/>
  <c r="H772" i="3"/>
  <c r="I772" i="3"/>
  <c r="J772" i="3"/>
  <c r="K772" i="3"/>
  <c r="B773" i="3"/>
  <c r="C773" i="3"/>
  <c r="D773" i="3"/>
  <c r="E773" i="3"/>
  <c r="F773" i="3"/>
  <c r="G773" i="3"/>
  <c r="H773" i="3"/>
  <c r="I773" i="3"/>
  <c r="J773" i="3"/>
  <c r="K773" i="3"/>
  <c r="B774" i="3"/>
  <c r="C774" i="3"/>
  <c r="D774" i="3"/>
  <c r="E774" i="3"/>
  <c r="F774" i="3"/>
  <c r="G774" i="3"/>
  <c r="H774" i="3"/>
  <c r="I774" i="3"/>
  <c r="J774" i="3"/>
  <c r="K774" i="3"/>
  <c r="B775" i="3"/>
  <c r="C775" i="3"/>
  <c r="D775" i="3"/>
  <c r="E775" i="3"/>
  <c r="F775" i="3"/>
  <c r="G775" i="3"/>
  <c r="H775" i="3"/>
  <c r="I775" i="3"/>
  <c r="J775" i="3"/>
  <c r="K775" i="3"/>
  <c r="B776" i="3"/>
  <c r="C776" i="3"/>
  <c r="D776" i="3"/>
  <c r="E776" i="3"/>
  <c r="F776" i="3"/>
  <c r="G776" i="3"/>
  <c r="H776" i="3"/>
  <c r="I776" i="3"/>
  <c r="J776" i="3"/>
  <c r="K776" i="3"/>
  <c r="B777" i="3"/>
  <c r="C777" i="3"/>
  <c r="D777" i="3"/>
  <c r="E777" i="3"/>
  <c r="F777" i="3"/>
  <c r="G777" i="3"/>
  <c r="H777" i="3"/>
  <c r="I777" i="3"/>
  <c r="J777" i="3"/>
  <c r="K777" i="3"/>
  <c r="B778" i="3"/>
  <c r="C778" i="3"/>
  <c r="D778" i="3"/>
  <c r="E778" i="3"/>
  <c r="F778" i="3"/>
  <c r="G778" i="3"/>
  <c r="H778" i="3"/>
  <c r="I778" i="3"/>
  <c r="J778" i="3"/>
  <c r="K778" i="3"/>
  <c r="B779" i="3"/>
  <c r="C779" i="3"/>
  <c r="D779" i="3"/>
  <c r="E779" i="3"/>
  <c r="F779" i="3"/>
  <c r="G779" i="3"/>
  <c r="H779" i="3"/>
  <c r="I779" i="3"/>
  <c r="J779" i="3"/>
  <c r="K779" i="3"/>
  <c r="B780" i="3"/>
  <c r="C780" i="3"/>
  <c r="D780" i="3"/>
  <c r="E780" i="3"/>
  <c r="F780" i="3"/>
  <c r="G780" i="3"/>
  <c r="H780" i="3"/>
  <c r="I780" i="3"/>
  <c r="J780" i="3"/>
  <c r="K780" i="3"/>
  <c r="B781" i="3"/>
  <c r="C781" i="3"/>
  <c r="C1133" i="3" s="1"/>
  <c r="D781" i="3"/>
  <c r="E781" i="3"/>
  <c r="F781" i="3"/>
  <c r="G781" i="3"/>
  <c r="H781" i="3"/>
  <c r="I781" i="3"/>
  <c r="J781" i="3"/>
  <c r="K781" i="3"/>
  <c r="B782" i="3"/>
  <c r="C782" i="3"/>
  <c r="D782" i="3"/>
  <c r="E782" i="3"/>
  <c r="F782" i="3"/>
  <c r="G782" i="3"/>
  <c r="H782" i="3"/>
  <c r="I782" i="3"/>
  <c r="J782" i="3"/>
  <c r="K782" i="3"/>
  <c r="B783" i="3"/>
  <c r="C783" i="3"/>
  <c r="D783" i="3"/>
  <c r="E783" i="3"/>
  <c r="F783" i="3"/>
  <c r="G783" i="3"/>
  <c r="H783" i="3"/>
  <c r="I783" i="3"/>
  <c r="J783" i="3"/>
  <c r="K783" i="3"/>
  <c r="B784" i="3"/>
  <c r="C784" i="3"/>
  <c r="D784" i="3"/>
  <c r="E784" i="3"/>
  <c r="F784" i="3"/>
  <c r="G784" i="3"/>
  <c r="H784" i="3"/>
  <c r="I784" i="3"/>
  <c r="J784" i="3"/>
  <c r="K784" i="3"/>
  <c r="B785" i="3"/>
  <c r="C785" i="3"/>
  <c r="D785" i="3"/>
  <c r="E785" i="3"/>
  <c r="F785" i="3"/>
  <c r="G785" i="3"/>
  <c r="H785" i="3"/>
  <c r="I785" i="3"/>
  <c r="J785" i="3"/>
  <c r="K785" i="3"/>
  <c r="B786" i="3"/>
  <c r="C786" i="3"/>
  <c r="D786" i="3"/>
  <c r="E786" i="3"/>
  <c r="F786" i="3"/>
  <c r="G786" i="3"/>
  <c r="H786" i="3"/>
  <c r="I786" i="3"/>
  <c r="J786" i="3"/>
  <c r="K786" i="3"/>
  <c r="B787" i="3"/>
  <c r="C787" i="3"/>
  <c r="D787" i="3"/>
  <c r="E787" i="3"/>
  <c r="F787" i="3"/>
  <c r="G787" i="3"/>
  <c r="H787" i="3"/>
  <c r="I787" i="3"/>
  <c r="J787" i="3"/>
  <c r="K787" i="3"/>
  <c r="B788" i="3"/>
  <c r="C788" i="3"/>
  <c r="D788" i="3"/>
  <c r="E788" i="3"/>
  <c r="F788" i="3"/>
  <c r="G788" i="3"/>
  <c r="H788" i="3"/>
  <c r="I788" i="3"/>
  <c r="J788" i="3"/>
  <c r="K788" i="3"/>
  <c r="B789" i="3"/>
  <c r="C789" i="3"/>
  <c r="D789" i="3"/>
  <c r="E789" i="3"/>
  <c r="F789" i="3"/>
  <c r="G789" i="3"/>
  <c r="H789" i="3"/>
  <c r="I789" i="3"/>
  <c r="J789" i="3"/>
  <c r="K789" i="3"/>
  <c r="B790" i="3"/>
  <c r="C790" i="3"/>
  <c r="D790" i="3"/>
  <c r="E790" i="3"/>
  <c r="F790" i="3"/>
  <c r="G790" i="3"/>
  <c r="H790" i="3"/>
  <c r="I790" i="3"/>
  <c r="J790" i="3"/>
  <c r="K790" i="3"/>
  <c r="B791" i="3"/>
  <c r="C791" i="3"/>
  <c r="D791" i="3"/>
  <c r="E791" i="3"/>
  <c r="F791" i="3"/>
  <c r="G791" i="3"/>
  <c r="H791" i="3"/>
  <c r="I791" i="3"/>
  <c r="J791" i="3"/>
  <c r="K791" i="3"/>
  <c r="B792" i="3"/>
  <c r="C792" i="3"/>
  <c r="D792" i="3"/>
  <c r="E792" i="3"/>
  <c r="F792" i="3"/>
  <c r="G792" i="3"/>
  <c r="H792" i="3"/>
  <c r="I792" i="3"/>
  <c r="J792" i="3"/>
  <c r="K792" i="3"/>
  <c r="B793" i="3"/>
  <c r="C793" i="3"/>
  <c r="C1134" i="3" s="1"/>
  <c r="D793" i="3"/>
  <c r="E793" i="3"/>
  <c r="F793" i="3"/>
  <c r="G793" i="3"/>
  <c r="H793" i="3"/>
  <c r="I793" i="3"/>
  <c r="J793" i="3"/>
  <c r="K793" i="3"/>
  <c r="B794" i="3"/>
  <c r="C794" i="3"/>
  <c r="D794" i="3"/>
  <c r="E794" i="3"/>
  <c r="F794" i="3"/>
  <c r="G794" i="3"/>
  <c r="H794" i="3"/>
  <c r="I794" i="3"/>
  <c r="J794" i="3"/>
  <c r="K794" i="3"/>
  <c r="B795" i="3"/>
  <c r="C795" i="3"/>
  <c r="D795" i="3"/>
  <c r="E795" i="3"/>
  <c r="F795" i="3"/>
  <c r="G795" i="3"/>
  <c r="H795" i="3"/>
  <c r="I795" i="3"/>
  <c r="J795" i="3"/>
  <c r="K795" i="3"/>
  <c r="B796" i="3"/>
  <c r="C796" i="3"/>
  <c r="D796" i="3"/>
  <c r="E796" i="3"/>
  <c r="F796" i="3"/>
  <c r="G796" i="3"/>
  <c r="H796" i="3"/>
  <c r="I796" i="3"/>
  <c r="J796" i="3"/>
  <c r="K796" i="3"/>
  <c r="B797" i="3"/>
  <c r="C797" i="3"/>
  <c r="D797" i="3"/>
  <c r="E797" i="3"/>
  <c r="F797" i="3"/>
  <c r="G797" i="3"/>
  <c r="H797" i="3"/>
  <c r="I797" i="3"/>
  <c r="J797" i="3"/>
  <c r="K797" i="3"/>
  <c r="B798" i="3"/>
  <c r="C798" i="3"/>
  <c r="D798" i="3"/>
  <c r="E798" i="3"/>
  <c r="F798" i="3"/>
  <c r="G798" i="3"/>
  <c r="H798" i="3"/>
  <c r="I798" i="3"/>
  <c r="J798" i="3"/>
  <c r="K798" i="3"/>
  <c r="B799" i="3"/>
  <c r="C799" i="3"/>
  <c r="D799" i="3"/>
  <c r="E799" i="3"/>
  <c r="F799" i="3"/>
  <c r="G799" i="3"/>
  <c r="H799" i="3"/>
  <c r="I799" i="3"/>
  <c r="J799" i="3"/>
  <c r="K799" i="3"/>
  <c r="B800" i="3"/>
  <c r="C800" i="3"/>
  <c r="D800" i="3"/>
  <c r="E800" i="3"/>
  <c r="F800" i="3"/>
  <c r="G800" i="3"/>
  <c r="H800" i="3"/>
  <c r="I800" i="3"/>
  <c r="J800" i="3"/>
  <c r="K800" i="3"/>
  <c r="B801" i="3"/>
  <c r="C801" i="3"/>
  <c r="D801" i="3"/>
  <c r="E801" i="3"/>
  <c r="F801" i="3"/>
  <c r="G801" i="3"/>
  <c r="H801" i="3"/>
  <c r="I801" i="3"/>
  <c r="J801" i="3"/>
  <c r="K801" i="3"/>
  <c r="B802" i="3"/>
  <c r="C802" i="3"/>
  <c r="D802" i="3"/>
  <c r="E802" i="3"/>
  <c r="F802" i="3"/>
  <c r="G802" i="3"/>
  <c r="H802" i="3"/>
  <c r="I802" i="3"/>
  <c r="J802" i="3"/>
  <c r="K802" i="3"/>
  <c r="B803" i="3"/>
  <c r="C803" i="3"/>
  <c r="D803" i="3"/>
  <c r="E803" i="3"/>
  <c r="F803" i="3"/>
  <c r="G803" i="3"/>
  <c r="H803" i="3"/>
  <c r="I803" i="3"/>
  <c r="J803" i="3"/>
  <c r="K803" i="3"/>
  <c r="B804" i="3"/>
  <c r="C804" i="3"/>
  <c r="D804" i="3"/>
  <c r="E804" i="3"/>
  <c r="F804" i="3"/>
  <c r="G804" i="3"/>
  <c r="H804" i="3"/>
  <c r="I804" i="3"/>
  <c r="J804" i="3"/>
  <c r="K804" i="3"/>
  <c r="B805" i="3"/>
  <c r="C805" i="3"/>
  <c r="D805" i="3"/>
  <c r="E805" i="3"/>
  <c r="F805" i="3"/>
  <c r="G805" i="3"/>
  <c r="H805" i="3"/>
  <c r="I805" i="3"/>
  <c r="J805" i="3"/>
  <c r="K805" i="3"/>
  <c r="B806" i="3"/>
  <c r="C806" i="3"/>
  <c r="D806" i="3"/>
  <c r="E806" i="3"/>
  <c r="F806" i="3"/>
  <c r="G806" i="3"/>
  <c r="H806" i="3"/>
  <c r="I806" i="3"/>
  <c r="J806" i="3"/>
  <c r="K806" i="3"/>
  <c r="B807" i="3"/>
  <c r="C807" i="3"/>
  <c r="D807" i="3"/>
  <c r="E807" i="3"/>
  <c r="F807" i="3"/>
  <c r="G807" i="3"/>
  <c r="H807" i="3"/>
  <c r="I807" i="3"/>
  <c r="J807" i="3"/>
  <c r="K807" i="3"/>
  <c r="B808" i="3"/>
  <c r="C808" i="3"/>
  <c r="D808" i="3"/>
  <c r="E808" i="3"/>
  <c r="F808" i="3"/>
  <c r="G808" i="3"/>
  <c r="H808" i="3"/>
  <c r="I808" i="3"/>
  <c r="J808" i="3"/>
  <c r="K808" i="3"/>
  <c r="B809" i="3"/>
  <c r="C809" i="3"/>
  <c r="D809" i="3"/>
  <c r="E809" i="3"/>
  <c r="F809" i="3"/>
  <c r="G809" i="3"/>
  <c r="H809" i="3"/>
  <c r="I809" i="3"/>
  <c r="J809" i="3"/>
  <c r="K809" i="3"/>
  <c r="B810" i="3"/>
  <c r="C810" i="3"/>
  <c r="D810" i="3"/>
  <c r="E810" i="3"/>
  <c r="F810" i="3"/>
  <c r="G810" i="3"/>
  <c r="H810" i="3"/>
  <c r="I810" i="3"/>
  <c r="J810" i="3"/>
  <c r="K810" i="3"/>
  <c r="B811" i="3"/>
  <c r="C811" i="3"/>
  <c r="D811" i="3"/>
  <c r="E811" i="3"/>
  <c r="F811" i="3"/>
  <c r="G811" i="3"/>
  <c r="H811" i="3"/>
  <c r="I811" i="3"/>
  <c r="J811" i="3"/>
  <c r="K811" i="3"/>
  <c r="B812" i="3"/>
  <c r="C812" i="3"/>
  <c r="D812" i="3"/>
  <c r="E812" i="3"/>
  <c r="F812" i="3"/>
  <c r="G812" i="3"/>
  <c r="H812" i="3"/>
  <c r="I812" i="3"/>
  <c r="J812" i="3"/>
  <c r="K812" i="3"/>
  <c r="B813" i="3"/>
  <c r="C813" i="3"/>
  <c r="D813" i="3"/>
  <c r="E813" i="3"/>
  <c r="F813" i="3"/>
  <c r="G813" i="3"/>
  <c r="H813" i="3"/>
  <c r="I813" i="3"/>
  <c r="J813" i="3"/>
  <c r="K813" i="3"/>
  <c r="B814" i="3"/>
  <c r="C814" i="3"/>
  <c r="D814" i="3"/>
  <c r="E814" i="3"/>
  <c r="F814" i="3"/>
  <c r="G814" i="3"/>
  <c r="H814" i="3"/>
  <c r="I814" i="3"/>
  <c r="J814" i="3"/>
  <c r="K814" i="3"/>
  <c r="B815" i="3"/>
  <c r="C815" i="3"/>
  <c r="D815" i="3"/>
  <c r="E815" i="3"/>
  <c r="F815" i="3"/>
  <c r="G815" i="3"/>
  <c r="H815" i="3"/>
  <c r="I815" i="3"/>
  <c r="J815" i="3"/>
  <c r="K815" i="3"/>
  <c r="B816" i="3"/>
  <c r="C816" i="3"/>
  <c r="D816" i="3"/>
  <c r="E816" i="3"/>
  <c r="F816" i="3"/>
  <c r="G816" i="3"/>
  <c r="H816" i="3"/>
  <c r="I816" i="3"/>
  <c r="J816" i="3"/>
  <c r="K816" i="3"/>
  <c r="B817" i="3"/>
  <c r="C817" i="3"/>
  <c r="C1136" i="3" s="1"/>
  <c r="D817" i="3"/>
  <c r="E817" i="3"/>
  <c r="F817" i="3"/>
  <c r="G817" i="3"/>
  <c r="H817" i="3"/>
  <c r="I817" i="3"/>
  <c r="J817" i="3"/>
  <c r="K817" i="3"/>
  <c r="B818" i="3"/>
  <c r="C818" i="3"/>
  <c r="D818" i="3"/>
  <c r="E818" i="3"/>
  <c r="F818" i="3"/>
  <c r="G818" i="3"/>
  <c r="H818" i="3"/>
  <c r="I818" i="3"/>
  <c r="J818" i="3"/>
  <c r="K818" i="3"/>
  <c r="B819" i="3"/>
  <c r="C819" i="3"/>
  <c r="D819" i="3"/>
  <c r="E819" i="3"/>
  <c r="F819" i="3"/>
  <c r="G819" i="3"/>
  <c r="H819" i="3"/>
  <c r="I819" i="3"/>
  <c r="J819" i="3"/>
  <c r="K819" i="3"/>
  <c r="B820" i="3"/>
  <c r="C820" i="3"/>
  <c r="D820" i="3"/>
  <c r="E820" i="3"/>
  <c r="F820" i="3"/>
  <c r="G820" i="3"/>
  <c r="H820" i="3"/>
  <c r="I820" i="3"/>
  <c r="J820" i="3"/>
  <c r="K820" i="3"/>
  <c r="B821" i="3"/>
  <c r="C821" i="3"/>
  <c r="D821" i="3"/>
  <c r="E821" i="3"/>
  <c r="F821" i="3"/>
  <c r="G821" i="3"/>
  <c r="H821" i="3"/>
  <c r="I821" i="3"/>
  <c r="J821" i="3"/>
  <c r="K821" i="3"/>
  <c r="B822" i="3"/>
  <c r="C822" i="3"/>
  <c r="D822" i="3"/>
  <c r="E822" i="3"/>
  <c r="F822" i="3"/>
  <c r="G822" i="3"/>
  <c r="H822" i="3"/>
  <c r="I822" i="3"/>
  <c r="J822" i="3"/>
  <c r="K822" i="3"/>
  <c r="B823" i="3"/>
  <c r="C823" i="3"/>
  <c r="D823" i="3"/>
  <c r="E823" i="3"/>
  <c r="F823" i="3"/>
  <c r="G823" i="3"/>
  <c r="H823" i="3"/>
  <c r="I823" i="3"/>
  <c r="J823" i="3"/>
  <c r="K823" i="3"/>
  <c r="B824" i="3"/>
  <c r="C824" i="3"/>
  <c r="D824" i="3"/>
  <c r="E824" i="3"/>
  <c r="F824" i="3"/>
  <c r="G824" i="3"/>
  <c r="H824" i="3"/>
  <c r="I824" i="3"/>
  <c r="J824" i="3"/>
  <c r="K824" i="3"/>
  <c r="B825" i="3"/>
  <c r="C825" i="3"/>
  <c r="D825" i="3"/>
  <c r="E825" i="3"/>
  <c r="F825" i="3"/>
  <c r="G825" i="3"/>
  <c r="H825" i="3"/>
  <c r="I825" i="3"/>
  <c r="J825" i="3"/>
  <c r="K825" i="3"/>
  <c r="B826" i="3"/>
  <c r="C826" i="3"/>
  <c r="D826" i="3"/>
  <c r="E826" i="3"/>
  <c r="F826" i="3"/>
  <c r="G826" i="3"/>
  <c r="H826" i="3"/>
  <c r="I826" i="3"/>
  <c r="J826" i="3"/>
  <c r="K826" i="3"/>
  <c r="B827" i="3"/>
  <c r="C827" i="3"/>
  <c r="D827" i="3"/>
  <c r="E827" i="3"/>
  <c r="F827" i="3"/>
  <c r="G827" i="3"/>
  <c r="H827" i="3"/>
  <c r="I827" i="3"/>
  <c r="J827" i="3"/>
  <c r="K827" i="3"/>
  <c r="B828" i="3"/>
  <c r="C828" i="3"/>
  <c r="D828" i="3"/>
  <c r="E828" i="3"/>
  <c r="F828" i="3"/>
  <c r="G828" i="3"/>
  <c r="H828" i="3"/>
  <c r="I828" i="3"/>
  <c r="J828" i="3"/>
  <c r="K828" i="3"/>
  <c r="B829" i="3"/>
  <c r="C829" i="3"/>
  <c r="C1137" i="3" s="1"/>
  <c r="D829" i="3"/>
  <c r="E829" i="3"/>
  <c r="F829" i="3"/>
  <c r="G829" i="3"/>
  <c r="H829" i="3"/>
  <c r="I829" i="3"/>
  <c r="J829" i="3"/>
  <c r="K829" i="3"/>
  <c r="B830" i="3"/>
  <c r="C830" i="3"/>
  <c r="D830" i="3"/>
  <c r="E830" i="3"/>
  <c r="F830" i="3"/>
  <c r="G830" i="3"/>
  <c r="H830" i="3"/>
  <c r="I830" i="3"/>
  <c r="J830" i="3"/>
  <c r="K830" i="3"/>
  <c r="B831" i="3"/>
  <c r="C831" i="3"/>
  <c r="D831" i="3"/>
  <c r="E831" i="3"/>
  <c r="F831" i="3"/>
  <c r="G831" i="3"/>
  <c r="H831" i="3"/>
  <c r="I831" i="3"/>
  <c r="J831" i="3"/>
  <c r="K831" i="3"/>
  <c r="B832" i="3"/>
  <c r="C832" i="3"/>
  <c r="D832" i="3"/>
  <c r="E832" i="3"/>
  <c r="F832" i="3"/>
  <c r="G832" i="3"/>
  <c r="H832" i="3"/>
  <c r="I832" i="3"/>
  <c r="J832" i="3"/>
  <c r="K832" i="3"/>
  <c r="B833" i="3"/>
  <c r="C833" i="3"/>
  <c r="D833" i="3"/>
  <c r="E833" i="3"/>
  <c r="F833" i="3"/>
  <c r="G833" i="3"/>
  <c r="H833" i="3"/>
  <c r="I833" i="3"/>
  <c r="J833" i="3"/>
  <c r="K833" i="3"/>
  <c r="B834" i="3"/>
  <c r="C834" i="3"/>
  <c r="D834" i="3"/>
  <c r="E834" i="3"/>
  <c r="F834" i="3"/>
  <c r="G834" i="3"/>
  <c r="H834" i="3"/>
  <c r="I834" i="3"/>
  <c r="J834" i="3"/>
  <c r="K834" i="3"/>
  <c r="B835" i="3"/>
  <c r="C835" i="3"/>
  <c r="D835" i="3"/>
  <c r="E835" i="3"/>
  <c r="F835" i="3"/>
  <c r="G835" i="3"/>
  <c r="H835" i="3"/>
  <c r="I835" i="3"/>
  <c r="J835" i="3"/>
  <c r="K835" i="3"/>
  <c r="B836" i="3"/>
  <c r="C836" i="3"/>
  <c r="D836" i="3"/>
  <c r="E836" i="3"/>
  <c r="F836" i="3"/>
  <c r="G836" i="3"/>
  <c r="H836" i="3"/>
  <c r="I836" i="3"/>
  <c r="J836" i="3"/>
  <c r="K836" i="3"/>
  <c r="B837" i="3"/>
  <c r="C837" i="3"/>
  <c r="D837" i="3"/>
  <c r="E837" i="3"/>
  <c r="F837" i="3"/>
  <c r="G837" i="3"/>
  <c r="H837" i="3"/>
  <c r="I837" i="3"/>
  <c r="J837" i="3"/>
  <c r="K837" i="3"/>
  <c r="B838" i="3"/>
  <c r="C838" i="3"/>
  <c r="D838" i="3"/>
  <c r="E838" i="3"/>
  <c r="F838" i="3"/>
  <c r="G838" i="3"/>
  <c r="H838" i="3"/>
  <c r="I838" i="3"/>
  <c r="J838" i="3"/>
  <c r="K838" i="3"/>
  <c r="B839" i="3"/>
  <c r="C839" i="3"/>
  <c r="D839" i="3"/>
  <c r="E839" i="3"/>
  <c r="F839" i="3"/>
  <c r="G839" i="3"/>
  <c r="H839" i="3"/>
  <c r="I839" i="3"/>
  <c r="J839" i="3"/>
  <c r="K839" i="3"/>
  <c r="B840" i="3"/>
  <c r="C840" i="3"/>
  <c r="D840" i="3"/>
  <c r="E840" i="3"/>
  <c r="F840" i="3"/>
  <c r="G840" i="3"/>
  <c r="H840" i="3"/>
  <c r="I840" i="3"/>
  <c r="J840" i="3"/>
  <c r="K840" i="3"/>
  <c r="B841" i="3"/>
  <c r="C841" i="3"/>
  <c r="C1138" i="3" s="1"/>
  <c r="D841" i="3"/>
  <c r="E841" i="3"/>
  <c r="F841" i="3"/>
  <c r="G841" i="3"/>
  <c r="H841" i="3"/>
  <c r="I841" i="3"/>
  <c r="J841" i="3"/>
  <c r="K841" i="3"/>
  <c r="B842" i="3"/>
  <c r="C842" i="3"/>
  <c r="D842" i="3"/>
  <c r="E842" i="3"/>
  <c r="F842" i="3"/>
  <c r="G842" i="3"/>
  <c r="H842" i="3"/>
  <c r="I842" i="3"/>
  <c r="J842" i="3"/>
  <c r="K842" i="3"/>
  <c r="B843" i="3"/>
  <c r="C843" i="3"/>
  <c r="D843" i="3"/>
  <c r="E843" i="3"/>
  <c r="F843" i="3"/>
  <c r="G843" i="3"/>
  <c r="H843" i="3"/>
  <c r="I843" i="3"/>
  <c r="J843" i="3"/>
  <c r="K843" i="3"/>
  <c r="B844" i="3"/>
  <c r="C844" i="3"/>
  <c r="D844" i="3"/>
  <c r="E844" i="3"/>
  <c r="F844" i="3"/>
  <c r="G844" i="3"/>
  <c r="H844" i="3"/>
  <c r="I844" i="3"/>
  <c r="J844" i="3"/>
  <c r="K844" i="3"/>
  <c r="B845" i="3"/>
  <c r="C845" i="3"/>
  <c r="D845" i="3"/>
  <c r="E845" i="3"/>
  <c r="F845" i="3"/>
  <c r="G845" i="3"/>
  <c r="H845" i="3"/>
  <c r="I845" i="3"/>
  <c r="J845" i="3"/>
  <c r="K845" i="3"/>
  <c r="B846" i="3"/>
  <c r="C846" i="3"/>
  <c r="D846" i="3"/>
  <c r="E846" i="3"/>
  <c r="F846" i="3"/>
  <c r="G846" i="3"/>
  <c r="H846" i="3"/>
  <c r="I846" i="3"/>
  <c r="J846" i="3"/>
  <c r="K846" i="3"/>
  <c r="B847" i="3"/>
  <c r="C847" i="3"/>
  <c r="D847" i="3"/>
  <c r="E847" i="3"/>
  <c r="F847" i="3"/>
  <c r="G847" i="3"/>
  <c r="H847" i="3"/>
  <c r="I847" i="3"/>
  <c r="J847" i="3"/>
  <c r="K847" i="3"/>
  <c r="B848" i="3"/>
  <c r="C848" i="3"/>
  <c r="D848" i="3"/>
  <c r="E848" i="3"/>
  <c r="F848" i="3"/>
  <c r="G848" i="3"/>
  <c r="H848" i="3"/>
  <c r="I848" i="3"/>
  <c r="J848" i="3"/>
  <c r="K848" i="3"/>
  <c r="B849" i="3"/>
  <c r="C849" i="3"/>
  <c r="D849" i="3"/>
  <c r="E849" i="3"/>
  <c r="F849" i="3"/>
  <c r="G849" i="3"/>
  <c r="H849" i="3"/>
  <c r="I849" i="3"/>
  <c r="J849" i="3"/>
  <c r="K849" i="3"/>
  <c r="B850" i="3"/>
  <c r="C850" i="3"/>
  <c r="D850" i="3"/>
  <c r="E850" i="3"/>
  <c r="F850" i="3"/>
  <c r="G850" i="3"/>
  <c r="H850" i="3"/>
  <c r="I850" i="3"/>
  <c r="J850" i="3"/>
  <c r="K850" i="3"/>
  <c r="B851" i="3"/>
  <c r="C851" i="3"/>
  <c r="D851" i="3"/>
  <c r="E851" i="3"/>
  <c r="F851" i="3"/>
  <c r="G851" i="3"/>
  <c r="H851" i="3"/>
  <c r="I851" i="3"/>
  <c r="J851" i="3"/>
  <c r="K851" i="3"/>
  <c r="B852" i="3"/>
  <c r="C852" i="3"/>
  <c r="D852" i="3"/>
  <c r="E852" i="3"/>
  <c r="F852" i="3"/>
  <c r="G852" i="3"/>
  <c r="H852" i="3"/>
  <c r="I852" i="3"/>
  <c r="J852" i="3"/>
  <c r="K852" i="3"/>
  <c r="B853" i="3"/>
  <c r="C853" i="3"/>
  <c r="D853" i="3"/>
  <c r="E853" i="3"/>
  <c r="F853" i="3"/>
  <c r="G853" i="3"/>
  <c r="H853" i="3"/>
  <c r="I853" i="3"/>
  <c r="J853" i="3"/>
  <c r="K853" i="3"/>
  <c r="B854" i="3"/>
  <c r="C854" i="3"/>
  <c r="D854" i="3"/>
  <c r="E854" i="3"/>
  <c r="F854" i="3"/>
  <c r="G854" i="3"/>
  <c r="H854" i="3"/>
  <c r="I854" i="3"/>
  <c r="J854" i="3"/>
  <c r="K854" i="3"/>
  <c r="B855" i="3"/>
  <c r="C855" i="3"/>
  <c r="D855" i="3"/>
  <c r="E855" i="3"/>
  <c r="F855" i="3"/>
  <c r="G855" i="3"/>
  <c r="H855" i="3"/>
  <c r="I855" i="3"/>
  <c r="J855" i="3"/>
  <c r="K855" i="3"/>
  <c r="B856" i="3"/>
  <c r="C856" i="3"/>
  <c r="D856" i="3"/>
  <c r="E856" i="3"/>
  <c r="F856" i="3"/>
  <c r="G856" i="3"/>
  <c r="H856" i="3"/>
  <c r="I856" i="3"/>
  <c r="J856" i="3"/>
  <c r="K856" i="3"/>
  <c r="B857" i="3"/>
  <c r="C857" i="3"/>
  <c r="D857" i="3"/>
  <c r="E857" i="3"/>
  <c r="F857" i="3"/>
  <c r="G857" i="3"/>
  <c r="H857" i="3"/>
  <c r="I857" i="3"/>
  <c r="J857" i="3"/>
  <c r="K857" i="3"/>
  <c r="B858" i="3"/>
  <c r="C858" i="3"/>
  <c r="D858" i="3"/>
  <c r="E858" i="3"/>
  <c r="F858" i="3"/>
  <c r="G858" i="3"/>
  <c r="H858" i="3"/>
  <c r="I858" i="3"/>
  <c r="J858" i="3"/>
  <c r="K858" i="3"/>
  <c r="B859" i="3"/>
  <c r="C859" i="3"/>
  <c r="D859" i="3"/>
  <c r="E859" i="3"/>
  <c r="F859" i="3"/>
  <c r="G859" i="3"/>
  <c r="H859" i="3"/>
  <c r="I859" i="3"/>
  <c r="J859" i="3"/>
  <c r="K859" i="3"/>
  <c r="B860" i="3"/>
  <c r="C860" i="3"/>
  <c r="D860" i="3"/>
  <c r="E860" i="3"/>
  <c r="F860" i="3"/>
  <c r="G860" i="3"/>
  <c r="H860" i="3"/>
  <c r="I860" i="3"/>
  <c r="J860" i="3"/>
  <c r="K860" i="3"/>
  <c r="B861" i="3"/>
  <c r="C861" i="3"/>
  <c r="D861" i="3"/>
  <c r="E861" i="3"/>
  <c r="F861" i="3"/>
  <c r="G861" i="3"/>
  <c r="H861" i="3"/>
  <c r="I861" i="3"/>
  <c r="J861" i="3"/>
  <c r="K861" i="3"/>
  <c r="B862" i="3"/>
  <c r="C862" i="3"/>
  <c r="D862" i="3"/>
  <c r="E862" i="3"/>
  <c r="F862" i="3"/>
  <c r="G862" i="3"/>
  <c r="H862" i="3"/>
  <c r="I862" i="3"/>
  <c r="J862" i="3"/>
  <c r="K862" i="3"/>
  <c r="B863" i="3"/>
  <c r="C863" i="3"/>
  <c r="D863" i="3"/>
  <c r="E863" i="3"/>
  <c r="F863" i="3"/>
  <c r="G863" i="3"/>
  <c r="H863" i="3"/>
  <c r="I863" i="3"/>
  <c r="J863" i="3"/>
  <c r="K863" i="3"/>
  <c r="B864" i="3"/>
  <c r="C864" i="3"/>
  <c r="D864" i="3"/>
  <c r="E864" i="3"/>
  <c r="F864" i="3"/>
  <c r="G864" i="3"/>
  <c r="H864" i="3"/>
  <c r="I864" i="3"/>
  <c r="J864" i="3"/>
  <c r="K864" i="3"/>
  <c r="B865" i="3"/>
  <c r="C865" i="3"/>
  <c r="C1140" i="3" s="1"/>
  <c r="D865" i="3"/>
  <c r="E865" i="3"/>
  <c r="F865" i="3"/>
  <c r="G865" i="3"/>
  <c r="H865" i="3"/>
  <c r="I865" i="3"/>
  <c r="J865" i="3"/>
  <c r="K865" i="3"/>
  <c r="B866" i="3"/>
  <c r="C866" i="3"/>
  <c r="D866" i="3"/>
  <c r="E866" i="3"/>
  <c r="F866" i="3"/>
  <c r="G866" i="3"/>
  <c r="H866" i="3"/>
  <c r="I866" i="3"/>
  <c r="J866" i="3"/>
  <c r="K866" i="3"/>
  <c r="B867" i="3"/>
  <c r="C867" i="3"/>
  <c r="D867" i="3"/>
  <c r="E867" i="3"/>
  <c r="F867" i="3"/>
  <c r="G867" i="3"/>
  <c r="H867" i="3"/>
  <c r="I867" i="3"/>
  <c r="J867" i="3"/>
  <c r="K867" i="3"/>
  <c r="B868" i="3"/>
  <c r="C868" i="3"/>
  <c r="D868" i="3"/>
  <c r="E868" i="3"/>
  <c r="F868" i="3"/>
  <c r="G868" i="3"/>
  <c r="H868" i="3"/>
  <c r="I868" i="3"/>
  <c r="J868" i="3"/>
  <c r="K868" i="3"/>
  <c r="B869" i="3"/>
  <c r="C869" i="3"/>
  <c r="D869" i="3"/>
  <c r="E869" i="3"/>
  <c r="F869" i="3"/>
  <c r="G869" i="3"/>
  <c r="H869" i="3"/>
  <c r="I869" i="3"/>
  <c r="J869" i="3"/>
  <c r="K869" i="3"/>
  <c r="B870" i="3"/>
  <c r="C870" i="3"/>
  <c r="D870" i="3"/>
  <c r="E870" i="3"/>
  <c r="F870" i="3"/>
  <c r="G870" i="3"/>
  <c r="H870" i="3"/>
  <c r="I870" i="3"/>
  <c r="J870" i="3"/>
  <c r="K870" i="3"/>
  <c r="B871" i="3"/>
  <c r="C871" i="3"/>
  <c r="D871" i="3"/>
  <c r="E871" i="3"/>
  <c r="F871" i="3"/>
  <c r="G871" i="3"/>
  <c r="H871" i="3"/>
  <c r="I871" i="3"/>
  <c r="J871" i="3"/>
  <c r="K871" i="3"/>
  <c r="B872" i="3"/>
  <c r="C872" i="3"/>
  <c r="D872" i="3"/>
  <c r="E872" i="3"/>
  <c r="F872" i="3"/>
  <c r="G872" i="3"/>
  <c r="H872" i="3"/>
  <c r="I872" i="3"/>
  <c r="J872" i="3"/>
  <c r="K872" i="3"/>
  <c r="B873" i="3"/>
  <c r="C873" i="3"/>
  <c r="D873" i="3"/>
  <c r="E873" i="3"/>
  <c r="F873" i="3"/>
  <c r="G873" i="3"/>
  <c r="H873" i="3"/>
  <c r="I873" i="3"/>
  <c r="J873" i="3"/>
  <c r="K873" i="3"/>
  <c r="B874" i="3"/>
  <c r="C874" i="3"/>
  <c r="D874" i="3"/>
  <c r="E874" i="3"/>
  <c r="F874" i="3"/>
  <c r="G874" i="3"/>
  <c r="H874" i="3"/>
  <c r="I874" i="3"/>
  <c r="J874" i="3"/>
  <c r="K874" i="3"/>
  <c r="B875" i="3"/>
  <c r="C875" i="3"/>
  <c r="D875" i="3"/>
  <c r="E875" i="3"/>
  <c r="F875" i="3"/>
  <c r="G875" i="3"/>
  <c r="H875" i="3"/>
  <c r="I875" i="3"/>
  <c r="J875" i="3"/>
  <c r="K875" i="3"/>
  <c r="B876" i="3"/>
  <c r="C876" i="3"/>
  <c r="D876" i="3"/>
  <c r="E876" i="3"/>
  <c r="F876" i="3"/>
  <c r="G876" i="3"/>
  <c r="H876" i="3"/>
  <c r="I876" i="3"/>
  <c r="J876" i="3"/>
  <c r="K876" i="3"/>
  <c r="B877" i="3"/>
  <c r="C877" i="3"/>
  <c r="C1141" i="3" s="1"/>
  <c r="D877" i="3"/>
  <c r="E877" i="3"/>
  <c r="F877" i="3"/>
  <c r="G877" i="3"/>
  <c r="H877" i="3"/>
  <c r="I877" i="3"/>
  <c r="J877" i="3"/>
  <c r="K877" i="3"/>
  <c r="B878" i="3"/>
  <c r="C878" i="3"/>
  <c r="D878" i="3"/>
  <c r="E878" i="3"/>
  <c r="F878" i="3"/>
  <c r="G878" i="3"/>
  <c r="H878" i="3"/>
  <c r="I878" i="3"/>
  <c r="J878" i="3"/>
  <c r="K878" i="3"/>
  <c r="B879" i="3"/>
  <c r="C879" i="3"/>
  <c r="D879" i="3"/>
  <c r="E879" i="3"/>
  <c r="F879" i="3"/>
  <c r="G879" i="3"/>
  <c r="H879" i="3"/>
  <c r="I879" i="3"/>
  <c r="J879" i="3"/>
  <c r="K879" i="3"/>
  <c r="B880" i="3"/>
  <c r="C880" i="3"/>
  <c r="D880" i="3"/>
  <c r="E880" i="3"/>
  <c r="F880" i="3"/>
  <c r="G880" i="3"/>
  <c r="H880" i="3"/>
  <c r="I880" i="3"/>
  <c r="J880" i="3"/>
  <c r="K880" i="3"/>
  <c r="B881" i="3"/>
  <c r="C881" i="3"/>
  <c r="D881" i="3"/>
  <c r="E881" i="3"/>
  <c r="F881" i="3"/>
  <c r="G881" i="3"/>
  <c r="H881" i="3"/>
  <c r="I881" i="3"/>
  <c r="J881" i="3"/>
  <c r="K881" i="3"/>
  <c r="B882" i="3"/>
  <c r="C882" i="3"/>
  <c r="D882" i="3"/>
  <c r="E882" i="3"/>
  <c r="F882" i="3"/>
  <c r="G882" i="3"/>
  <c r="H882" i="3"/>
  <c r="I882" i="3"/>
  <c r="J882" i="3"/>
  <c r="K882" i="3"/>
  <c r="B883" i="3"/>
  <c r="C883" i="3"/>
  <c r="D883" i="3"/>
  <c r="E883" i="3"/>
  <c r="F883" i="3"/>
  <c r="G883" i="3"/>
  <c r="H883" i="3"/>
  <c r="I883" i="3"/>
  <c r="J883" i="3"/>
  <c r="K883" i="3"/>
  <c r="B884" i="3"/>
  <c r="C884" i="3"/>
  <c r="D884" i="3"/>
  <c r="E884" i="3"/>
  <c r="F884" i="3"/>
  <c r="G884" i="3"/>
  <c r="H884" i="3"/>
  <c r="I884" i="3"/>
  <c r="J884" i="3"/>
  <c r="K884" i="3"/>
  <c r="B885" i="3"/>
  <c r="C885" i="3"/>
  <c r="D885" i="3"/>
  <c r="E885" i="3"/>
  <c r="F885" i="3"/>
  <c r="G885" i="3"/>
  <c r="H885" i="3"/>
  <c r="I885" i="3"/>
  <c r="J885" i="3"/>
  <c r="K885" i="3"/>
  <c r="B886" i="3"/>
  <c r="C886" i="3"/>
  <c r="D886" i="3"/>
  <c r="E886" i="3"/>
  <c r="F886" i="3"/>
  <c r="G886" i="3"/>
  <c r="H886" i="3"/>
  <c r="I886" i="3"/>
  <c r="J886" i="3"/>
  <c r="K886" i="3"/>
  <c r="B887" i="3"/>
  <c r="C887" i="3"/>
  <c r="D887" i="3"/>
  <c r="E887" i="3"/>
  <c r="F887" i="3"/>
  <c r="G887" i="3"/>
  <c r="H887" i="3"/>
  <c r="I887" i="3"/>
  <c r="J887" i="3"/>
  <c r="K887" i="3"/>
  <c r="B888" i="3"/>
  <c r="C888" i="3"/>
  <c r="D888" i="3"/>
  <c r="E888" i="3"/>
  <c r="F888" i="3"/>
  <c r="G888" i="3"/>
  <c r="H888" i="3"/>
  <c r="I888" i="3"/>
  <c r="J888" i="3"/>
  <c r="K888" i="3"/>
  <c r="B889" i="3"/>
  <c r="C889" i="3"/>
  <c r="C1142" i="3" s="1"/>
  <c r="D889" i="3"/>
  <c r="E889" i="3"/>
  <c r="F889" i="3"/>
  <c r="G889" i="3"/>
  <c r="H889" i="3"/>
  <c r="I889" i="3"/>
  <c r="J889" i="3"/>
  <c r="K889" i="3"/>
  <c r="B890" i="3"/>
  <c r="C890" i="3"/>
  <c r="D890" i="3"/>
  <c r="E890" i="3"/>
  <c r="F890" i="3"/>
  <c r="G890" i="3"/>
  <c r="H890" i="3"/>
  <c r="I890" i="3"/>
  <c r="J890" i="3"/>
  <c r="K890" i="3"/>
  <c r="B891" i="3"/>
  <c r="C891" i="3"/>
  <c r="D891" i="3"/>
  <c r="E891" i="3"/>
  <c r="F891" i="3"/>
  <c r="G891" i="3"/>
  <c r="H891" i="3"/>
  <c r="I891" i="3"/>
  <c r="J891" i="3"/>
  <c r="K891" i="3"/>
  <c r="B892" i="3"/>
  <c r="C892" i="3"/>
  <c r="D892" i="3"/>
  <c r="E892" i="3"/>
  <c r="F892" i="3"/>
  <c r="G892" i="3"/>
  <c r="H892" i="3"/>
  <c r="I892" i="3"/>
  <c r="J892" i="3"/>
  <c r="K892" i="3"/>
  <c r="B893" i="3"/>
  <c r="C893" i="3"/>
  <c r="D893" i="3"/>
  <c r="E893" i="3"/>
  <c r="F893" i="3"/>
  <c r="G893" i="3"/>
  <c r="H893" i="3"/>
  <c r="I893" i="3"/>
  <c r="J893" i="3"/>
  <c r="K893" i="3"/>
  <c r="B894" i="3"/>
  <c r="C894" i="3"/>
  <c r="D894" i="3"/>
  <c r="E894" i="3"/>
  <c r="F894" i="3"/>
  <c r="G894" i="3"/>
  <c r="H894" i="3"/>
  <c r="I894" i="3"/>
  <c r="J894" i="3"/>
  <c r="K894" i="3"/>
  <c r="B895" i="3"/>
  <c r="C895" i="3"/>
  <c r="D895" i="3"/>
  <c r="E895" i="3"/>
  <c r="F895" i="3"/>
  <c r="G895" i="3"/>
  <c r="H895" i="3"/>
  <c r="I895" i="3"/>
  <c r="J895" i="3"/>
  <c r="K895" i="3"/>
  <c r="B896" i="3"/>
  <c r="C896" i="3"/>
  <c r="D896" i="3"/>
  <c r="E896" i="3"/>
  <c r="F896" i="3"/>
  <c r="G896" i="3"/>
  <c r="H896" i="3"/>
  <c r="I896" i="3"/>
  <c r="J896" i="3"/>
  <c r="K896" i="3"/>
  <c r="B897" i="3"/>
  <c r="C897" i="3"/>
  <c r="D897" i="3"/>
  <c r="E897" i="3"/>
  <c r="F897" i="3"/>
  <c r="G897" i="3"/>
  <c r="H897" i="3"/>
  <c r="I897" i="3"/>
  <c r="J897" i="3"/>
  <c r="K897" i="3"/>
  <c r="B898" i="3"/>
  <c r="C898" i="3"/>
  <c r="D898" i="3"/>
  <c r="E898" i="3"/>
  <c r="F898" i="3"/>
  <c r="G898" i="3"/>
  <c r="H898" i="3"/>
  <c r="I898" i="3"/>
  <c r="J898" i="3"/>
  <c r="K898" i="3"/>
  <c r="B899" i="3"/>
  <c r="C899" i="3"/>
  <c r="D899" i="3"/>
  <c r="E899" i="3"/>
  <c r="F899" i="3"/>
  <c r="G899" i="3"/>
  <c r="H899" i="3"/>
  <c r="I899" i="3"/>
  <c r="J899" i="3"/>
  <c r="K899" i="3"/>
  <c r="B900" i="3"/>
  <c r="C900" i="3"/>
  <c r="D900" i="3"/>
  <c r="E900" i="3"/>
  <c r="F900" i="3"/>
  <c r="G900" i="3"/>
  <c r="H900" i="3"/>
  <c r="I900" i="3"/>
  <c r="J900" i="3"/>
  <c r="K900" i="3"/>
  <c r="B901" i="3"/>
  <c r="C901" i="3"/>
  <c r="D901" i="3"/>
  <c r="E901" i="3"/>
  <c r="F901" i="3"/>
  <c r="G901" i="3"/>
  <c r="H901" i="3"/>
  <c r="I901" i="3"/>
  <c r="J901" i="3"/>
  <c r="K901" i="3"/>
  <c r="B902" i="3"/>
  <c r="C902" i="3"/>
  <c r="D902" i="3"/>
  <c r="E902" i="3"/>
  <c r="F902" i="3"/>
  <c r="G902" i="3"/>
  <c r="H902" i="3"/>
  <c r="I902" i="3"/>
  <c r="J902" i="3"/>
  <c r="K902" i="3"/>
  <c r="B903" i="3"/>
  <c r="C903" i="3"/>
  <c r="D903" i="3"/>
  <c r="E903" i="3"/>
  <c r="F903" i="3"/>
  <c r="G903" i="3"/>
  <c r="H903" i="3"/>
  <c r="I903" i="3"/>
  <c r="J903" i="3"/>
  <c r="K903" i="3"/>
  <c r="B904" i="3"/>
  <c r="C904" i="3"/>
  <c r="D904" i="3"/>
  <c r="E904" i="3"/>
  <c r="F904" i="3"/>
  <c r="G904" i="3"/>
  <c r="H904" i="3"/>
  <c r="I904" i="3"/>
  <c r="J904" i="3"/>
  <c r="K904" i="3"/>
  <c r="B905" i="3"/>
  <c r="C905" i="3"/>
  <c r="D905" i="3"/>
  <c r="E905" i="3"/>
  <c r="F905" i="3"/>
  <c r="G905" i="3"/>
  <c r="H905" i="3"/>
  <c r="I905" i="3"/>
  <c r="J905" i="3"/>
  <c r="K905" i="3"/>
  <c r="B906" i="3"/>
  <c r="C906" i="3"/>
  <c r="D906" i="3"/>
  <c r="E906" i="3"/>
  <c r="F906" i="3"/>
  <c r="G906" i="3"/>
  <c r="H906" i="3"/>
  <c r="I906" i="3"/>
  <c r="J906" i="3"/>
  <c r="K906" i="3"/>
  <c r="B907" i="3"/>
  <c r="C907" i="3"/>
  <c r="D907" i="3"/>
  <c r="E907" i="3"/>
  <c r="F907" i="3"/>
  <c r="G907" i="3"/>
  <c r="H907" i="3"/>
  <c r="I907" i="3"/>
  <c r="J907" i="3"/>
  <c r="K907" i="3"/>
  <c r="B908" i="3"/>
  <c r="C908" i="3"/>
  <c r="D908" i="3"/>
  <c r="E908" i="3"/>
  <c r="F908" i="3"/>
  <c r="G908" i="3"/>
  <c r="H908" i="3"/>
  <c r="I908" i="3"/>
  <c r="J908" i="3"/>
  <c r="K908" i="3"/>
  <c r="B909" i="3"/>
  <c r="C909" i="3"/>
  <c r="D909" i="3"/>
  <c r="E909" i="3"/>
  <c r="F909" i="3"/>
  <c r="G909" i="3"/>
  <c r="H909" i="3"/>
  <c r="I909" i="3"/>
  <c r="J909" i="3"/>
  <c r="K909" i="3"/>
  <c r="B910" i="3"/>
  <c r="C910" i="3"/>
  <c r="D910" i="3"/>
  <c r="E910" i="3"/>
  <c r="F910" i="3"/>
  <c r="G910" i="3"/>
  <c r="H910" i="3"/>
  <c r="I910" i="3"/>
  <c r="J910" i="3"/>
  <c r="K910" i="3"/>
  <c r="B911" i="3"/>
  <c r="C911" i="3"/>
  <c r="D911" i="3"/>
  <c r="E911" i="3"/>
  <c r="F911" i="3"/>
  <c r="G911" i="3"/>
  <c r="H911" i="3"/>
  <c r="I911" i="3"/>
  <c r="J911" i="3"/>
  <c r="K911" i="3"/>
  <c r="B912" i="3"/>
  <c r="C912" i="3"/>
  <c r="D912" i="3"/>
  <c r="E912" i="3"/>
  <c r="F912" i="3"/>
  <c r="G912" i="3"/>
  <c r="H912" i="3"/>
  <c r="I912" i="3"/>
  <c r="J912" i="3"/>
  <c r="K912" i="3"/>
  <c r="B913" i="3"/>
  <c r="C913" i="3"/>
  <c r="C1144" i="3" s="1"/>
  <c r="D913" i="3"/>
  <c r="E913" i="3"/>
  <c r="F913" i="3"/>
  <c r="G913" i="3"/>
  <c r="H913" i="3"/>
  <c r="I913" i="3"/>
  <c r="J913" i="3"/>
  <c r="K913" i="3"/>
  <c r="B914" i="3"/>
  <c r="C914" i="3"/>
  <c r="D914" i="3"/>
  <c r="E914" i="3"/>
  <c r="F914" i="3"/>
  <c r="G914" i="3"/>
  <c r="H914" i="3"/>
  <c r="I914" i="3"/>
  <c r="J914" i="3"/>
  <c r="K914" i="3"/>
  <c r="B915" i="3"/>
  <c r="C915" i="3"/>
  <c r="D915" i="3"/>
  <c r="E915" i="3"/>
  <c r="F915" i="3"/>
  <c r="G915" i="3"/>
  <c r="H915" i="3"/>
  <c r="I915" i="3"/>
  <c r="J915" i="3"/>
  <c r="K915" i="3"/>
  <c r="B916" i="3"/>
  <c r="C916" i="3"/>
  <c r="D916" i="3"/>
  <c r="E916" i="3"/>
  <c r="F916" i="3"/>
  <c r="G916" i="3"/>
  <c r="H916" i="3"/>
  <c r="I916" i="3"/>
  <c r="J916" i="3"/>
  <c r="K916" i="3"/>
  <c r="B917" i="3"/>
  <c r="C917" i="3"/>
  <c r="D917" i="3"/>
  <c r="E917" i="3"/>
  <c r="F917" i="3"/>
  <c r="G917" i="3"/>
  <c r="H917" i="3"/>
  <c r="I917" i="3"/>
  <c r="J917" i="3"/>
  <c r="K917" i="3"/>
  <c r="B918" i="3"/>
  <c r="C918" i="3"/>
  <c r="D918" i="3"/>
  <c r="E918" i="3"/>
  <c r="F918" i="3"/>
  <c r="G918" i="3"/>
  <c r="H918" i="3"/>
  <c r="I918" i="3"/>
  <c r="J918" i="3"/>
  <c r="K918" i="3"/>
  <c r="B919" i="3"/>
  <c r="C919" i="3"/>
  <c r="D919" i="3"/>
  <c r="E919" i="3"/>
  <c r="F919" i="3"/>
  <c r="G919" i="3"/>
  <c r="H919" i="3"/>
  <c r="I919" i="3"/>
  <c r="J919" i="3"/>
  <c r="K919" i="3"/>
  <c r="B920" i="3"/>
  <c r="C920" i="3"/>
  <c r="D920" i="3"/>
  <c r="E920" i="3"/>
  <c r="F920" i="3"/>
  <c r="G920" i="3"/>
  <c r="H920" i="3"/>
  <c r="I920" i="3"/>
  <c r="J920" i="3"/>
  <c r="K920" i="3"/>
  <c r="B921" i="3"/>
  <c r="C921" i="3"/>
  <c r="D921" i="3"/>
  <c r="E921" i="3"/>
  <c r="F921" i="3"/>
  <c r="G921" i="3"/>
  <c r="H921" i="3"/>
  <c r="I921" i="3"/>
  <c r="J921" i="3"/>
  <c r="K921" i="3"/>
  <c r="B922" i="3"/>
  <c r="C922" i="3"/>
  <c r="D922" i="3"/>
  <c r="E922" i="3"/>
  <c r="F922" i="3"/>
  <c r="G922" i="3"/>
  <c r="H922" i="3"/>
  <c r="I922" i="3"/>
  <c r="J922" i="3"/>
  <c r="K922" i="3"/>
  <c r="B923" i="3"/>
  <c r="C923" i="3"/>
  <c r="D923" i="3"/>
  <c r="E923" i="3"/>
  <c r="F923" i="3"/>
  <c r="G923" i="3"/>
  <c r="H923" i="3"/>
  <c r="I923" i="3"/>
  <c r="J923" i="3"/>
  <c r="K923" i="3"/>
  <c r="B924" i="3"/>
  <c r="C924" i="3"/>
  <c r="D924" i="3"/>
  <c r="E924" i="3"/>
  <c r="F924" i="3"/>
  <c r="G924" i="3"/>
  <c r="H924" i="3"/>
  <c r="I924" i="3"/>
  <c r="J924" i="3"/>
  <c r="K924" i="3"/>
  <c r="B925" i="3"/>
  <c r="C925" i="3"/>
  <c r="C1145" i="3" s="1"/>
  <c r="D925" i="3"/>
  <c r="E925" i="3"/>
  <c r="F925" i="3"/>
  <c r="G925" i="3"/>
  <c r="H925" i="3"/>
  <c r="I925" i="3"/>
  <c r="J925" i="3"/>
  <c r="K925" i="3"/>
  <c r="B926" i="3"/>
  <c r="C926" i="3"/>
  <c r="D926" i="3"/>
  <c r="E926" i="3"/>
  <c r="F926" i="3"/>
  <c r="G926" i="3"/>
  <c r="H926" i="3"/>
  <c r="I926" i="3"/>
  <c r="J926" i="3"/>
  <c r="K926" i="3"/>
  <c r="B927" i="3"/>
  <c r="C927" i="3"/>
  <c r="D927" i="3"/>
  <c r="E927" i="3"/>
  <c r="F927" i="3"/>
  <c r="G927" i="3"/>
  <c r="H927" i="3"/>
  <c r="I927" i="3"/>
  <c r="J927" i="3"/>
  <c r="K927" i="3"/>
  <c r="B928" i="3"/>
  <c r="C928" i="3"/>
  <c r="D928" i="3"/>
  <c r="E928" i="3"/>
  <c r="F928" i="3"/>
  <c r="G928" i="3"/>
  <c r="H928" i="3"/>
  <c r="I928" i="3"/>
  <c r="J928" i="3"/>
  <c r="K928" i="3"/>
  <c r="B929" i="3"/>
  <c r="C929" i="3"/>
  <c r="D929" i="3"/>
  <c r="E929" i="3"/>
  <c r="F929" i="3"/>
  <c r="G929" i="3"/>
  <c r="H929" i="3"/>
  <c r="I929" i="3"/>
  <c r="J929" i="3"/>
  <c r="K929" i="3"/>
  <c r="B930" i="3"/>
  <c r="C930" i="3"/>
  <c r="D930" i="3"/>
  <c r="E930" i="3"/>
  <c r="F930" i="3"/>
  <c r="G930" i="3"/>
  <c r="H930" i="3"/>
  <c r="I930" i="3"/>
  <c r="J930" i="3"/>
  <c r="K930" i="3"/>
  <c r="B931" i="3"/>
  <c r="C931" i="3"/>
  <c r="D931" i="3"/>
  <c r="E931" i="3"/>
  <c r="F931" i="3"/>
  <c r="G931" i="3"/>
  <c r="H931" i="3"/>
  <c r="I931" i="3"/>
  <c r="J931" i="3"/>
  <c r="K931" i="3"/>
  <c r="B932" i="3"/>
  <c r="C932" i="3"/>
  <c r="D932" i="3"/>
  <c r="E932" i="3"/>
  <c r="F932" i="3"/>
  <c r="G932" i="3"/>
  <c r="H932" i="3"/>
  <c r="I932" i="3"/>
  <c r="J932" i="3"/>
  <c r="K932" i="3"/>
  <c r="B933" i="3"/>
  <c r="C933" i="3"/>
  <c r="D933" i="3"/>
  <c r="E933" i="3"/>
  <c r="F933" i="3"/>
  <c r="G933" i="3"/>
  <c r="H933" i="3"/>
  <c r="I933" i="3"/>
  <c r="J933" i="3"/>
  <c r="K933" i="3"/>
  <c r="B934" i="3"/>
  <c r="C934" i="3"/>
  <c r="D934" i="3"/>
  <c r="E934" i="3"/>
  <c r="F934" i="3"/>
  <c r="G934" i="3"/>
  <c r="H934" i="3"/>
  <c r="I934" i="3"/>
  <c r="J934" i="3"/>
  <c r="K934" i="3"/>
  <c r="B935" i="3"/>
  <c r="C935" i="3"/>
  <c r="D935" i="3"/>
  <c r="E935" i="3"/>
  <c r="F935" i="3"/>
  <c r="G935" i="3"/>
  <c r="H935" i="3"/>
  <c r="I935" i="3"/>
  <c r="J935" i="3"/>
  <c r="K935" i="3"/>
  <c r="B936" i="3"/>
  <c r="C936" i="3"/>
  <c r="D936" i="3"/>
  <c r="E936" i="3"/>
  <c r="F936" i="3"/>
  <c r="G936" i="3"/>
  <c r="H936" i="3"/>
  <c r="I936" i="3"/>
  <c r="J936" i="3"/>
  <c r="K936" i="3"/>
  <c r="B937" i="3"/>
  <c r="C937" i="3"/>
  <c r="C1146" i="3" s="1"/>
  <c r="D937" i="3"/>
  <c r="E937" i="3"/>
  <c r="F937" i="3"/>
  <c r="G937" i="3"/>
  <c r="H937" i="3"/>
  <c r="I937" i="3"/>
  <c r="J937" i="3"/>
  <c r="K937" i="3"/>
  <c r="B938" i="3"/>
  <c r="C938" i="3"/>
  <c r="D938" i="3"/>
  <c r="E938" i="3"/>
  <c r="F938" i="3"/>
  <c r="G938" i="3"/>
  <c r="H938" i="3"/>
  <c r="I938" i="3"/>
  <c r="J938" i="3"/>
  <c r="K938" i="3"/>
  <c r="B939" i="3"/>
  <c r="C939" i="3"/>
  <c r="D939" i="3"/>
  <c r="E939" i="3"/>
  <c r="F939" i="3"/>
  <c r="G939" i="3"/>
  <c r="H939" i="3"/>
  <c r="I939" i="3"/>
  <c r="J939" i="3"/>
  <c r="K939" i="3"/>
  <c r="B940" i="3"/>
  <c r="C940" i="3"/>
  <c r="D940" i="3"/>
  <c r="E940" i="3"/>
  <c r="F940" i="3"/>
  <c r="G940" i="3"/>
  <c r="H940" i="3"/>
  <c r="I940" i="3"/>
  <c r="J940" i="3"/>
  <c r="K940" i="3"/>
  <c r="B941" i="3"/>
  <c r="C941" i="3"/>
  <c r="D941" i="3"/>
  <c r="E941" i="3"/>
  <c r="F941" i="3"/>
  <c r="G941" i="3"/>
  <c r="H941" i="3"/>
  <c r="I941" i="3"/>
  <c r="J941" i="3"/>
  <c r="K941" i="3"/>
  <c r="B942" i="3"/>
  <c r="C942" i="3"/>
  <c r="D942" i="3"/>
  <c r="E942" i="3"/>
  <c r="F942" i="3"/>
  <c r="G942" i="3"/>
  <c r="H942" i="3"/>
  <c r="I942" i="3"/>
  <c r="J942" i="3"/>
  <c r="K942" i="3"/>
  <c r="B943" i="3"/>
  <c r="C943" i="3"/>
  <c r="D943" i="3"/>
  <c r="E943" i="3"/>
  <c r="F943" i="3"/>
  <c r="G943" i="3"/>
  <c r="H943" i="3"/>
  <c r="I943" i="3"/>
  <c r="J943" i="3"/>
  <c r="K943" i="3"/>
  <c r="B944" i="3"/>
  <c r="C944" i="3"/>
  <c r="D944" i="3"/>
  <c r="E944" i="3"/>
  <c r="F944" i="3"/>
  <c r="G944" i="3"/>
  <c r="H944" i="3"/>
  <c r="I944" i="3"/>
  <c r="J944" i="3"/>
  <c r="K944" i="3"/>
  <c r="B945" i="3"/>
  <c r="C945" i="3"/>
  <c r="D945" i="3"/>
  <c r="E945" i="3"/>
  <c r="F945" i="3"/>
  <c r="G945" i="3"/>
  <c r="H945" i="3"/>
  <c r="I945" i="3"/>
  <c r="J945" i="3"/>
  <c r="K945" i="3"/>
  <c r="B946" i="3"/>
  <c r="C946" i="3"/>
  <c r="D946" i="3"/>
  <c r="E946" i="3"/>
  <c r="F946" i="3"/>
  <c r="G946" i="3"/>
  <c r="H946" i="3"/>
  <c r="I946" i="3"/>
  <c r="J946" i="3"/>
  <c r="K946" i="3"/>
  <c r="B947" i="3"/>
  <c r="C947" i="3"/>
  <c r="D947" i="3"/>
  <c r="E947" i="3"/>
  <c r="F947" i="3"/>
  <c r="G947" i="3"/>
  <c r="H947" i="3"/>
  <c r="I947" i="3"/>
  <c r="J947" i="3"/>
  <c r="K947" i="3"/>
  <c r="B948" i="3"/>
  <c r="C948" i="3"/>
  <c r="D948" i="3"/>
  <c r="E948" i="3"/>
  <c r="F948" i="3"/>
  <c r="G948" i="3"/>
  <c r="H948" i="3"/>
  <c r="I948" i="3"/>
  <c r="J948" i="3"/>
  <c r="K948" i="3"/>
  <c r="B949" i="3"/>
  <c r="C949" i="3"/>
  <c r="D949" i="3"/>
  <c r="E949" i="3"/>
  <c r="F949" i="3"/>
  <c r="G949" i="3"/>
  <c r="H949" i="3"/>
  <c r="I949" i="3"/>
  <c r="J949" i="3"/>
  <c r="K949" i="3"/>
  <c r="B950" i="3"/>
  <c r="C950" i="3"/>
  <c r="D950" i="3"/>
  <c r="E950" i="3"/>
  <c r="F950" i="3"/>
  <c r="G950" i="3"/>
  <c r="H950" i="3"/>
  <c r="I950" i="3"/>
  <c r="J950" i="3"/>
  <c r="K950" i="3"/>
  <c r="B951" i="3"/>
  <c r="C951" i="3"/>
  <c r="D951" i="3"/>
  <c r="E951" i="3"/>
  <c r="F951" i="3"/>
  <c r="G951" i="3"/>
  <c r="H951" i="3"/>
  <c r="I951" i="3"/>
  <c r="J951" i="3"/>
  <c r="K951" i="3"/>
  <c r="B952" i="3"/>
  <c r="C952" i="3"/>
  <c r="D952" i="3"/>
  <c r="E952" i="3"/>
  <c r="F952" i="3"/>
  <c r="G952" i="3"/>
  <c r="H952" i="3"/>
  <c r="I952" i="3"/>
  <c r="J952" i="3"/>
  <c r="K952" i="3"/>
  <c r="B953" i="3"/>
  <c r="C953" i="3"/>
  <c r="D953" i="3"/>
  <c r="E953" i="3"/>
  <c r="F953" i="3"/>
  <c r="G953" i="3"/>
  <c r="H953" i="3"/>
  <c r="I953" i="3"/>
  <c r="J953" i="3"/>
  <c r="K953" i="3"/>
  <c r="B954" i="3"/>
  <c r="C954" i="3"/>
  <c r="D954" i="3"/>
  <c r="E954" i="3"/>
  <c r="F954" i="3"/>
  <c r="G954" i="3"/>
  <c r="H954" i="3"/>
  <c r="I954" i="3"/>
  <c r="J954" i="3"/>
  <c r="K954" i="3"/>
  <c r="B955" i="3"/>
  <c r="C955" i="3"/>
  <c r="D955" i="3"/>
  <c r="E955" i="3"/>
  <c r="F955" i="3"/>
  <c r="G955" i="3"/>
  <c r="H955" i="3"/>
  <c r="I955" i="3"/>
  <c r="J955" i="3"/>
  <c r="K955" i="3"/>
  <c r="B956" i="3"/>
  <c r="C956" i="3"/>
  <c r="D956" i="3"/>
  <c r="E956" i="3"/>
  <c r="F956" i="3"/>
  <c r="G956" i="3"/>
  <c r="H956" i="3"/>
  <c r="I956" i="3"/>
  <c r="J956" i="3"/>
  <c r="K956" i="3"/>
  <c r="B957" i="3"/>
  <c r="C957" i="3"/>
  <c r="D957" i="3"/>
  <c r="E957" i="3"/>
  <c r="F957" i="3"/>
  <c r="G957" i="3"/>
  <c r="H957" i="3"/>
  <c r="I957" i="3"/>
  <c r="J957" i="3"/>
  <c r="K957" i="3"/>
  <c r="B958" i="3"/>
  <c r="C958" i="3"/>
  <c r="D958" i="3"/>
  <c r="E958" i="3"/>
  <c r="F958" i="3"/>
  <c r="G958" i="3"/>
  <c r="H958" i="3"/>
  <c r="I958" i="3"/>
  <c r="J958" i="3"/>
  <c r="K958" i="3"/>
  <c r="B959" i="3"/>
  <c r="C959" i="3"/>
  <c r="D959" i="3"/>
  <c r="E959" i="3"/>
  <c r="F959" i="3"/>
  <c r="G959" i="3"/>
  <c r="H959" i="3"/>
  <c r="I959" i="3"/>
  <c r="J959" i="3"/>
  <c r="K959" i="3"/>
  <c r="B960" i="3"/>
  <c r="C960" i="3"/>
  <c r="D960" i="3"/>
  <c r="E960" i="3"/>
  <c r="F960" i="3"/>
  <c r="G960" i="3"/>
  <c r="H960" i="3"/>
  <c r="I960" i="3"/>
  <c r="J960" i="3"/>
  <c r="K960" i="3"/>
  <c r="B961" i="3"/>
  <c r="C961" i="3"/>
  <c r="C1148" i="3" s="1"/>
  <c r="D961" i="3"/>
  <c r="E961" i="3"/>
  <c r="F961" i="3"/>
  <c r="G961" i="3"/>
  <c r="H961" i="3"/>
  <c r="I961" i="3"/>
  <c r="J961" i="3"/>
  <c r="K961" i="3"/>
  <c r="B962" i="3"/>
  <c r="C962" i="3"/>
  <c r="D962" i="3"/>
  <c r="E962" i="3"/>
  <c r="F962" i="3"/>
  <c r="G962" i="3"/>
  <c r="H962" i="3"/>
  <c r="I962" i="3"/>
  <c r="J962" i="3"/>
  <c r="K962" i="3"/>
  <c r="B963" i="3"/>
  <c r="C963" i="3"/>
  <c r="D963" i="3"/>
  <c r="E963" i="3"/>
  <c r="F963" i="3"/>
  <c r="G963" i="3"/>
  <c r="H963" i="3"/>
  <c r="I963" i="3"/>
  <c r="J963" i="3"/>
  <c r="K963" i="3"/>
  <c r="B964" i="3"/>
  <c r="C964" i="3"/>
  <c r="D964" i="3"/>
  <c r="E964" i="3"/>
  <c r="F964" i="3"/>
  <c r="G964" i="3"/>
  <c r="H964" i="3"/>
  <c r="I964" i="3"/>
  <c r="J964" i="3"/>
  <c r="K964" i="3"/>
  <c r="B965" i="3"/>
  <c r="C965" i="3"/>
  <c r="D965" i="3"/>
  <c r="E965" i="3"/>
  <c r="F965" i="3"/>
  <c r="G965" i="3"/>
  <c r="H965" i="3"/>
  <c r="I965" i="3"/>
  <c r="J965" i="3"/>
  <c r="K965" i="3"/>
  <c r="B966" i="3"/>
  <c r="C966" i="3"/>
  <c r="D966" i="3"/>
  <c r="E966" i="3"/>
  <c r="F966" i="3"/>
  <c r="G966" i="3"/>
  <c r="H966" i="3"/>
  <c r="I966" i="3"/>
  <c r="J966" i="3"/>
  <c r="K966" i="3"/>
  <c r="B967" i="3"/>
  <c r="C967" i="3"/>
  <c r="D967" i="3"/>
  <c r="E967" i="3"/>
  <c r="F967" i="3"/>
  <c r="G967" i="3"/>
  <c r="H967" i="3"/>
  <c r="I967" i="3"/>
  <c r="J967" i="3"/>
  <c r="K967" i="3"/>
  <c r="B968" i="3"/>
  <c r="C968" i="3"/>
  <c r="D968" i="3"/>
  <c r="E968" i="3"/>
  <c r="F968" i="3"/>
  <c r="G968" i="3"/>
  <c r="H968" i="3"/>
  <c r="I968" i="3"/>
  <c r="J968" i="3"/>
  <c r="K968" i="3"/>
  <c r="B969" i="3"/>
  <c r="C969" i="3"/>
  <c r="D969" i="3"/>
  <c r="E969" i="3"/>
  <c r="F969" i="3"/>
  <c r="G969" i="3"/>
  <c r="H969" i="3"/>
  <c r="I969" i="3"/>
  <c r="J969" i="3"/>
  <c r="K969" i="3"/>
  <c r="B970" i="3"/>
  <c r="C970" i="3"/>
  <c r="D970" i="3"/>
  <c r="E970" i="3"/>
  <c r="F970" i="3"/>
  <c r="G970" i="3"/>
  <c r="H970" i="3"/>
  <c r="I970" i="3"/>
  <c r="J970" i="3"/>
  <c r="K970" i="3"/>
  <c r="B971" i="3"/>
  <c r="C971" i="3"/>
  <c r="D971" i="3"/>
  <c r="E971" i="3"/>
  <c r="F971" i="3"/>
  <c r="G971" i="3"/>
  <c r="H971" i="3"/>
  <c r="I971" i="3"/>
  <c r="J971" i="3"/>
  <c r="K971" i="3"/>
  <c r="B972" i="3"/>
  <c r="C972" i="3"/>
  <c r="D972" i="3"/>
  <c r="E972" i="3"/>
  <c r="F972" i="3"/>
  <c r="G972" i="3"/>
  <c r="H972" i="3"/>
  <c r="I972" i="3"/>
  <c r="J972" i="3"/>
  <c r="K972" i="3"/>
  <c r="B973" i="3"/>
  <c r="C973" i="3"/>
  <c r="C1149" i="3" s="1"/>
  <c r="D973" i="3"/>
  <c r="E973" i="3"/>
  <c r="F973" i="3"/>
  <c r="G973" i="3"/>
  <c r="H973" i="3"/>
  <c r="I973" i="3"/>
  <c r="J973" i="3"/>
  <c r="K973" i="3"/>
  <c r="B974" i="3"/>
  <c r="C974" i="3"/>
  <c r="D974" i="3"/>
  <c r="E974" i="3"/>
  <c r="F974" i="3"/>
  <c r="G974" i="3"/>
  <c r="H974" i="3"/>
  <c r="I974" i="3"/>
  <c r="J974" i="3"/>
  <c r="K974" i="3"/>
  <c r="B975" i="3"/>
  <c r="C975" i="3"/>
  <c r="D975" i="3"/>
  <c r="E975" i="3"/>
  <c r="F975" i="3"/>
  <c r="G975" i="3"/>
  <c r="H975" i="3"/>
  <c r="I975" i="3"/>
  <c r="J975" i="3"/>
  <c r="K975" i="3"/>
  <c r="B976" i="3"/>
  <c r="C976" i="3"/>
  <c r="D976" i="3"/>
  <c r="E976" i="3"/>
  <c r="F976" i="3"/>
  <c r="G976" i="3"/>
  <c r="H976" i="3"/>
  <c r="I976" i="3"/>
  <c r="J976" i="3"/>
  <c r="K976" i="3"/>
  <c r="B977" i="3"/>
  <c r="C977" i="3"/>
  <c r="D977" i="3"/>
  <c r="E977" i="3"/>
  <c r="F977" i="3"/>
  <c r="G977" i="3"/>
  <c r="H977" i="3"/>
  <c r="I977" i="3"/>
  <c r="J977" i="3"/>
  <c r="K977" i="3"/>
  <c r="B978" i="3"/>
  <c r="C978" i="3"/>
  <c r="D978" i="3"/>
  <c r="E978" i="3"/>
  <c r="F978" i="3"/>
  <c r="G978" i="3"/>
  <c r="H978" i="3"/>
  <c r="I978" i="3"/>
  <c r="J978" i="3"/>
  <c r="K978" i="3"/>
  <c r="B979" i="3"/>
  <c r="C979" i="3"/>
  <c r="D979" i="3"/>
  <c r="E979" i="3"/>
  <c r="F979" i="3"/>
  <c r="G979" i="3"/>
  <c r="H979" i="3"/>
  <c r="I979" i="3"/>
  <c r="J979" i="3"/>
  <c r="K979" i="3"/>
  <c r="B980" i="3"/>
  <c r="C980" i="3"/>
  <c r="D980" i="3"/>
  <c r="E980" i="3"/>
  <c r="F980" i="3"/>
  <c r="G980" i="3"/>
  <c r="H980" i="3"/>
  <c r="I980" i="3"/>
  <c r="J980" i="3"/>
  <c r="K980" i="3"/>
  <c r="B981" i="3"/>
  <c r="C981" i="3"/>
  <c r="D981" i="3"/>
  <c r="E981" i="3"/>
  <c r="F981" i="3"/>
  <c r="G981" i="3"/>
  <c r="H981" i="3"/>
  <c r="I981" i="3"/>
  <c r="J981" i="3"/>
  <c r="K981" i="3"/>
  <c r="B982" i="3"/>
  <c r="C982" i="3"/>
  <c r="D982" i="3"/>
  <c r="E982" i="3"/>
  <c r="F982" i="3"/>
  <c r="G982" i="3"/>
  <c r="H982" i="3"/>
  <c r="I982" i="3"/>
  <c r="J982" i="3"/>
  <c r="K982" i="3"/>
  <c r="B983" i="3"/>
  <c r="C983" i="3"/>
  <c r="D983" i="3"/>
  <c r="E983" i="3"/>
  <c r="F983" i="3"/>
  <c r="G983" i="3"/>
  <c r="H983" i="3"/>
  <c r="I983" i="3"/>
  <c r="J983" i="3"/>
  <c r="K983" i="3"/>
  <c r="B984" i="3"/>
  <c r="C984" i="3"/>
  <c r="D984" i="3"/>
  <c r="E984" i="3"/>
  <c r="F984" i="3"/>
  <c r="G984" i="3"/>
  <c r="H984" i="3"/>
  <c r="I984" i="3"/>
  <c r="J984" i="3"/>
  <c r="K984" i="3"/>
  <c r="B985" i="3"/>
  <c r="C985" i="3"/>
  <c r="C1150" i="3" s="1"/>
  <c r="D985" i="3"/>
  <c r="E985" i="3"/>
  <c r="F985" i="3"/>
  <c r="G985" i="3"/>
  <c r="H985" i="3"/>
  <c r="I985" i="3"/>
  <c r="J985" i="3"/>
  <c r="K985" i="3"/>
  <c r="B986" i="3"/>
  <c r="C986" i="3"/>
  <c r="D986" i="3"/>
  <c r="E986" i="3"/>
  <c r="F986" i="3"/>
  <c r="G986" i="3"/>
  <c r="H986" i="3"/>
  <c r="I986" i="3"/>
  <c r="J986" i="3"/>
  <c r="K986" i="3"/>
  <c r="B987" i="3"/>
  <c r="C987" i="3"/>
  <c r="D987" i="3"/>
  <c r="E987" i="3"/>
  <c r="F987" i="3"/>
  <c r="G987" i="3"/>
  <c r="H987" i="3"/>
  <c r="I987" i="3"/>
  <c r="J987" i="3"/>
  <c r="K987" i="3"/>
  <c r="B988" i="3"/>
  <c r="C988" i="3"/>
  <c r="D988" i="3"/>
  <c r="E988" i="3"/>
  <c r="F988" i="3"/>
  <c r="G988" i="3"/>
  <c r="H988" i="3"/>
  <c r="I988" i="3"/>
  <c r="J988" i="3"/>
  <c r="K988" i="3"/>
  <c r="B989" i="3"/>
  <c r="C989" i="3"/>
  <c r="D989" i="3"/>
  <c r="E989" i="3"/>
  <c r="F989" i="3"/>
  <c r="G989" i="3"/>
  <c r="H989" i="3"/>
  <c r="I989" i="3"/>
  <c r="J989" i="3"/>
  <c r="K989" i="3"/>
  <c r="B990" i="3"/>
  <c r="C990" i="3"/>
  <c r="D990" i="3"/>
  <c r="E990" i="3"/>
  <c r="F990" i="3"/>
  <c r="G990" i="3"/>
  <c r="H990" i="3"/>
  <c r="I990" i="3"/>
  <c r="J990" i="3"/>
  <c r="K990" i="3"/>
  <c r="B991" i="3"/>
  <c r="C991" i="3"/>
  <c r="D991" i="3"/>
  <c r="E991" i="3"/>
  <c r="F991" i="3"/>
  <c r="G991" i="3"/>
  <c r="H991" i="3"/>
  <c r="I991" i="3"/>
  <c r="J991" i="3"/>
  <c r="K991" i="3"/>
  <c r="B992" i="3"/>
  <c r="C992" i="3"/>
  <c r="D992" i="3"/>
  <c r="E992" i="3"/>
  <c r="F992" i="3"/>
  <c r="G992" i="3"/>
  <c r="H992" i="3"/>
  <c r="I992" i="3"/>
  <c r="J992" i="3"/>
  <c r="K992" i="3"/>
  <c r="B993" i="3"/>
  <c r="C993" i="3"/>
  <c r="D993" i="3"/>
  <c r="E993" i="3"/>
  <c r="F993" i="3"/>
  <c r="G993" i="3"/>
  <c r="H993" i="3"/>
  <c r="I993" i="3"/>
  <c r="J993" i="3"/>
  <c r="K993" i="3"/>
  <c r="B994" i="3"/>
  <c r="C994" i="3"/>
  <c r="D994" i="3"/>
  <c r="E994" i="3"/>
  <c r="F994" i="3"/>
  <c r="G994" i="3"/>
  <c r="H994" i="3"/>
  <c r="I994" i="3"/>
  <c r="J994" i="3"/>
  <c r="K994" i="3"/>
  <c r="B995" i="3"/>
  <c r="C995" i="3"/>
  <c r="D995" i="3"/>
  <c r="E995" i="3"/>
  <c r="F995" i="3"/>
  <c r="G995" i="3"/>
  <c r="H995" i="3"/>
  <c r="I995" i="3"/>
  <c r="J995" i="3"/>
  <c r="K995" i="3"/>
  <c r="B996" i="3"/>
  <c r="C996" i="3"/>
  <c r="D996" i="3"/>
  <c r="E996" i="3"/>
  <c r="F996" i="3"/>
  <c r="G996" i="3"/>
  <c r="H996" i="3"/>
  <c r="I996" i="3"/>
  <c r="J996" i="3"/>
  <c r="K996" i="3"/>
  <c r="B997" i="3"/>
  <c r="C997" i="3"/>
  <c r="D997" i="3"/>
  <c r="E997" i="3"/>
  <c r="F997" i="3"/>
  <c r="G997" i="3"/>
  <c r="H997" i="3"/>
  <c r="I997" i="3"/>
  <c r="J997" i="3"/>
  <c r="K997" i="3"/>
  <c r="B998" i="3"/>
  <c r="C998" i="3"/>
  <c r="D998" i="3"/>
  <c r="E998" i="3"/>
  <c r="F998" i="3"/>
  <c r="G998" i="3"/>
  <c r="H998" i="3"/>
  <c r="I998" i="3"/>
  <c r="J998" i="3"/>
  <c r="K998" i="3"/>
  <c r="B999" i="3"/>
  <c r="C999" i="3"/>
  <c r="D999" i="3"/>
  <c r="E999" i="3"/>
  <c r="F999" i="3"/>
  <c r="G999" i="3"/>
  <c r="H999" i="3"/>
  <c r="I999" i="3"/>
  <c r="J999" i="3"/>
  <c r="K999" i="3"/>
  <c r="B1000" i="3"/>
  <c r="C1000" i="3"/>
  <c r="D1000" i="3"/>
  <c r="E1000" i="3"/>
  <c r="F1000" i="3"/>
  <c r="G1000" i="3"/>
  <c r="H1000" i="3"/>
  <c r="I1000" i="3"/>
  <c r="J1000" i="3"/>
  <c r="K1000" i="3"/>
  <c r="B1001" i="3"/>
  <c r="C1001" i="3"/>
  <c r="D1001" i="3"/>
  <c r="E1001" i="3"/>
  <c r="F1001" i="3"/>
  <c r="G1001" i="3"/>
  <c r="H1001" i="3"/>
  <c r="I1001" i="3"/>
  <c r="J1001" i="3"/>
  <c r="K1001" i="3"/>
  <c r="B1002" i="3"/>
  <c r="C1002" i="3"/>
  <c r="D1002" i="3"/>
  <c r="E1002" i="3"/>
  <c r="F1002" i="3"/>
  <c r="G1002" i="3"/>
  <c r="H1002" i="3"/>
  <c r="I1002" i="3"/>
  <c r="J1002" i="3"/>
  <c r="K1002" i="3"/>
  <c r="B1003" i="3"/>
  <c r="C1003" i="3"/>
  <c r="D1003" i="3"/>
  <c r="E1003" i="3"/>
  <c r="F1003" i="3"/>
  <c r="G1003" i="3"/>
  <c r="H1003" i="3"/>
  <c r="I1003" i="3"/>
  <c r="J1003" i="3"/>
  <c r="K1003" i="3"/>
  <c r="B1004" i="3"/>
  <c r="C1004" i="3"/>
  <c r="D1004" i="3"/>
  <c r="E1004" i="3"/>
  <c r="F1004" i="3"/>
  <c r="G1004" i="3"/>
  <c r="H1004" i="3"/>
  <c r="I1004" i="3"/>
  <c r="J1004" i="3"/>
  <c r="K1004" i="3"/>
  <c r="B1005" i="3"/>
  <c r="C1005" i="3"/>
  <c r="D1005" i="3"/>
  <c r="E1005" i="3"/>
  <c r="F1005" i="3"/>
  <c r="G1005" i="3"/>
  <c r="H1005" i="3"/>
  <c r="I1005" i="3"/>
  <c r="J1005" i="3"/>
  <c r="K1005" i="3"/>
  <c r="B1006" i="3"/>
  <c r="C1006" i="3"/>
  <c r="D1006" i="3"/>
  <c r="E1006" i="3"/>
  <c r="F1006" i="3"/>
  <c r="G1006" i="3"/>
  <c r="H1006" i="3"/>
  <c r="I1006" i="3"/>
  <c r="J1006" i="3"/>
  <c r="K1006" i="3"/>
  <c r="B1007" i="3"/>
  <c r="C1007" i="3"/>
  <c r="D1007" i="3"/>
  <c r="E1007" i="3"/>
  <c r="F1007" i="3"/>
  <c r="G1007" i="3"/>
  <c r="H1007" i="3"/>
  <c r="I1007" i="3"/>
  <c r="J1007" i="3"/>
  <c r="K1007" i="3"/>
  <c r="B1008" i="3"/>
  <c r="C1008" i="3"/>
  <c r="D1008" i="3"/>
  <c r="E1008" i="3"/>
  <c r="F1008" i="3"/>
  <c r="G1008" i="3"/>
  <c r="H1008" i="3"/>
  <c r="I1008" i="3"/>
  <c r="J1008" i="3"/>
  <c r="K1008" i="3"/>
  <c r="B1009" i="3"/>
  <c r="C1009" i="3"/>
  <c r="C1152" i="3" s="1"/>
  <c r="D1009" i="3"/>
  <c r="E1009" i="3"/>
  <c r="F1009" i="3"/>
  <c r="G1009" i="3"/>
  <c r="H1009" i="3"/>
  <c r="I1009" i="3"/>
  <c r="J1009" i="3"/>
  <c r="K1009" i="3"/>
  <c r="B1010" i="3"/>
  <c r="C1010" i="3"/>
  <c r="D1010" i="3"/>
  <c r="E1010" i="3"/>
  <c r="F1010" i="3"/>
  <c r="G1010" i="3"/>
  <c r="H1010" i="3"/>
  <c r="I1010" i="3"/>
  <c r="J1010" i="3"/>
  <c r="K1010" i="3"/>
  <c r="B1011" i="3"/>
  <c r="C1011" i="3"/>
  <c r="D1011" i="3"/>
  <c r="E1011" i="3"/>
  <c r="F1011" i="3"/>
  <c r="G1011" i="3"/>
  <c r="H1011" i="3"/>
  <c r="I1011" i="3"/>
  <c r="J1011" i="3"/>
  <c r="K1011" i="3"/>
  <c r="B1012" i="3"/>
  <c r="C1012" i="3"/>
  <c r="D1012" i="3"/>
  <c r="E1012" i="3"/>
  <c r="F1012" i="3"/>
  <c r="G1012" i="3"/>
  <c r="H1012" i="3"/>
  <c r="I1012" i="3"/>
  <c r="J1012" i="3"/>
  <c r="K1012" i="3"/>
  <c r="B1013" i="3"/>
  <c r="C1013" i="3"/>
  <c r="D1013" i="3"/>
  <c r="E1013" i="3"/>
  <c r="F1013" i="3"/>
  <c r="G1013" i="3"/>
  <c r="H1013" i="3"/>
  <c r="I1013" i="3"/>
  <c r="J1013" i="3"/>
  <c r="K1013" i="3"/>
  <c r="B1014" i="3"/>
  <c r="C1014" i="3"/>
  <c r="D1014" i="3"/>
  <c r="E1014" i="3"/>
  <c r="F1014" i="3"/>
  <c r="G1014" i="3"/>
  <c r="H1014" i="3"/>
  <c r="I1014" i="3"/>
  <c r="J1014" i="3"/>
  <c r="K1014" i="3"/>
  <c r="B1015" i="3"/>
  <c r="C1015" i="3"/>
  <c r="D1015" i="3"/>
  <c r="E1015" i="3"/>
  <c r="F1015" i="3"/>
  <c r="G1015" i="3"/>
  <c r="H1015" i="3"/>
  <c r="I1015" i="3"/>
  <c r="J1015" i="3"/>
  <c r="K1015" i="3"/>
  <c r="B1016" i="3"/>
  <c r="C1016" i="3"/>
  <c r="D1016" i="3"/>
  <c r="E1016" i="3"/>
  <c r="F1016" i="3"/>
  <c r="G1016" i="3"/>
  <c r="H1016" i="3"/>
  <c r="I1016" i="3"/>
  <c r="J1016" i="3"/>
  <c r="K1016" i="3"/>
  <c r="B1017" i="3"/>
  <c r="C1017" i="3"/>
  <c r="D1017" i="3"/>
  <c r="E1017" i="3"/>
  <c r="F1017" i="3"/>
  <c r="G1017" i="3"/>
  <c r="H1017" i="3"/>
  <c r="I1017" i="3"/>
  <c r="J1017" i="3"/>
  <c r="K1017" i="3"/>
  <c r="B1018" i="3"/>
  <c r="C1018" i="3"/>
  <c r="D1018" i="3"/>
  <c r="E1018" i="3"/>
  <c r="F1018" i="3"/>
  <c r="G1018" i="3"/>
  <c r="H1018" i="3"/>
  <c r="I1018" i="3"/>
  <c r="J1018" i="3"/>
  <c r="K1018" i="3"/>
  <c r="B1019" i="3"/>
  <c r="C1019" i="3"/>
  <c r="D1019" i="3"/>
  <c r="E1019" i="3"/>
  <c r="F1019" i="3"/>
  <c r="G1019" i="3"/>
  <c r="H1019" i="3"/>
  <c r="I1019" i="3"/>
  <c r="J1019" i="3"/>
  <c r="K1019" i="3"/>
  <c r="B1020" i="3"/>
  <c r="C1020" i="3"/>
  <c r="D1020" i="3"/>
  <c r="E1020" i="3"/>
  <c r="F1020" i="3"/>
  <c r="G1020" i="3"/>
  <c r="H1020" i="3"/>
  <c r="I1020" i="3"/>
  <c r="J1020" i="3"/>
  <c r="K1020" i="3"/>
  <c r="B1021" i="3"/>
  <c r="C1021" i="3"/>
  <c r="C1153" i="3" s="1"/>
  <c r="D1021" i="3"/>
  <c r="E1021" i="3"/>
  <c r="F1021" i="3"/>
  <c r="G1021" i="3"/>
  <c r="H1021" i="3"/>
  <c r="I1021" i="3"/>
  <c r="J1021" i="3"/>
  <c r="K1021" i="3"/>
  <c r="B1022" i="3"/>
  <c r="C1022" i="3"/>
  <c r="D1022" i="3"/>
  <c r="E1022" i="3"/>
  <c r="F1022" i="3"/>
  <c r="G1022" i="3"/>
  <c r="H1022" i="3"/>
  <c r="I1022" i="3"/>
  <c r="J1022" i="3"/>
  <c r="K1022" i="3"/>
  <c r="B1023" i="3"/>
  <c r="C1023" i="3"/>
  <c r="D1023" i="3"/>
  <c r="E1023" i="3"/>
  <c r="F1023" i="3"/>
  <c r="G1023" i="3"/>
  <c r="H1023" i="3"/>
  <c r="I1023" i="3"/>
  <c r="J1023" i="3"/>
  <c r="K1023" i="3"/>
  <c r="B1024" i="3"/>
  <c r="C1024" i="3"/>
  <c r="D1024" i="3"/>
  <c r="E1024" i="3"/>
  <c r="F1024" i="3"/>
  <c r="G1024" i="3"/>
  <c r="H1024" i="3"/>
  <c r="I1024" i="3"/>
  <c r="J1024" i="3"/>
  <c r="K1024" i="3"/>
  <c r="B1025" i="3"/>
  <c r="C1025" i="3"/>
  <c r="D1025" i="3"/>
  <c r="E1025" i="3"/>
  <c r="F1025" i="3"/>
  <c r="G1025" i="3"/>
  <c r="H1025" i="3"/>
  <c r="I1025" i="3"/>
  <c r="J1025" i="3"/>
  <c r="K1025" i="3"/>
  <c r="B1026" i="3"/>
  <c r="C1026" i="3"/>
  <c r="D1026" i="3"/>
  <c r="E1026" i="3"/>
  <c r="F1026" i="3"/>
  <c r="G1026" i="3"/>
  <c r="H1026" i="3"/>
  <c r="I1026" i="3"/>
  <c r="J1026" i="3"/>
  <c r="K1026" i="3"/>
  <c r="B1027" i="3"/>
  <c r="C1027" i="3"/>
  <c r="D1027" i="3"/>
  <c r="E1027" i="3"/>
  <c r="F1027" i="3"/>
  <c r="G1027" i="3"/>
  <c r="H1027" i="3"/>
  <c r="I1027" i="3"/>
  <c r="J1027" i="3"/>
  <c r="K1027" i="3"/>
  <c r="B1028" i="3"/>
  <c r="C1028" i="3"/>
  <c r="D1028" i="3"/>
  <c r="E1028" i="3"/>
  <c r="F1028" i="3"/>
  <c r="G1028" i="3"/>
  <c r="H1028" i="3"/>
  <c r="I1028" i="3"/>
  <c r="J1028" i="3"/>
  <c r="K1028" i="3"/>
  <c r="B1029" i="3"/>
  <c r="C1029" i="3"/>
  <c r="D1029" i="3"/>
  <c r="E1029" i="3"/>
  <c r="F1029" i="3"/>
  <c r="G1029" i="3"/>
  <c r="H1029" i="3"/>
  <c r="I1029" i="3"/>
  <c r="J1029" i="3"/>
  <c r="K1029" i="3"/>
  <c r="B1030" i="3"/>
  <c r="C1030" i="3"/>
  <c r="D1030" i="3"/>
  <c r="E1030" i="3"/>
  <c r="F1030" i="3"/>
  <c r="G1030" i="3"/>
  <c r="H1030" i="3"/>
  <c r="I1030" i="3"/>
  <c r="J1030" i="3"/>
  <c r="K1030" i="3"/>
  <c r="B1031" i="3"/>
  <c r="C1031" i="3"/>
  <c r="D1031" i="3"/>
  <c r="E1031" i="3"/>
  <c r="F1031" i="3"/>
  <c r="G1031" i="3"/>
  <c r="H1031" i="3"/>
  <c r="I1031" i="3"/>
  <c r="J1031" i="3"/>
  <c r="K1031" i="3"/>
  <c r="B1032" i="3"/>
  <c r="C1032" i="3"/>
  <c r="D1032" i="3"/>
  <c r="E1032" i="3"/>
  <c r="F1032" i="3"/>
  <c r="G1032" i="3"/>
  <c r="H1032" i="3"/>
  <c r="I1032" i="3"/>
  <c r="J1032" i="3"/>
  <c r="K1032" i="3"/>
  <c r="B1033" i="3"/>
  <c r="C1033" i="3"/>
  <c r="C1154" i="3" s="1"/>
  <c r="D1033" i="3"/>
  <c r="E1033" i="3"/>
  <c r="F1033" i="3"/>
  <c r="G1033" i="3"/>
  <c r="H1033" i="3"/>
  <c r="I1033" i="3"/>
  <c r="J1033" i="3"/>
  <c r="K1033" i="3"/>
  <c r="B1034" i="3"/>
  <c r="C1034" i="3"/>
  <c r="D1034" i="3"/>
  <c r="E1034" i="3"/>
  <c r="F1034" i="3"/>
  <c r="G1034" i="3"/>
  <c r="H1034" i="3"/>
  <c r="I1034" i="3"/>
  <c r="J1034" i="3"/>
  <c r="K1034" i="3"/>
  <c r="B1035" i="3"/>
  <c r="C1035" i="3"/>
  <c r="D1035" i="3"/>
  <c r="E1035" i="3"/>
  <c r="F1035" i="3"/>
  <c r="G1035" i="3"/>
  <c r="H1035" i="3"/>
  <c r="I1035" i="3"/>
  <c r="J1035" i="3"/>
  <c r="K1035" i="3"/>
  <c r="B1036" i="3"/>
  <c r="C1036" i="3"/>
  <c r="D1036" i="3"/>
  <c r="E1036" i="3"/>
  <c r="F1036" i="3"/>
  <c r="G1036" i="3"/>
  <c r="H1036" i="3"/>
  <c r="I1036" i="3"/>
  <c r="J1036" i="3"/>
  <c r="K1036" i="3"/>
  <c r="B1037" i="3"/>
  <c r="C1037" i="3"/>
  <c r="D1037" i="3"/>
  <c r="E1037" i="3"/>
  <c r="F1037" i="3"/>
  <c r="G1037" i="3"/>
  <c r="H1037" i="3"/>
  <c r="I1037" i="3"/>
  <c r="J1037" i="3"/>
  <c r="K1037" i="3"/>
  <c r="B1038" i="3"/>
  <c r="C1038" i="3"/>
  <c r="D1038" i="3"/>
  <c r="E1038" i="3"/>
  <c r="F1038" i="3"/>
  <c r="G1038" i="3"/>
  <c r="H1038" i="3"/>
  <c r="I1038" i="3"/>
  <c r="J1038" i="3"/>
  <c r="K1038" i="3"/>
  <c r="B1039" i="3"/>
  <c r="C1039" i="3"/>
  <c r="D1039" i="3"/>
  <c r="E1039" i="3"/>
  <c r="F1039" i="3"/>
  <c r="G1039" i="3"/>
  <c r="H1039" i="3"/>
  <c r="I1039" i="3"/>
  <c r="J1039" i="3"/>
  <c r="K1039" i="3"/>
  <c r="B1040" i="3"/>
  <c r="C1040" i="3"/>
  <c r="D1040" i="3"/>
  <c r="E1040" i="3"/>
  <c r="F1040" i="3"/>
  <c r="G1040" i="3"/>
  <c r="H1040" i="3"/>
  <c r="I1040" i="3"/>
  <c r="J1040" i="3"/>
  <c r="K1040" i="3"/>
  <c r="B1041" i="3"/>
  <c r="C1041" i="3"/>
  <c r="D1041" i="3"/>
  <c r="E1041" i="3"/>
  <c r="F1041" i="3"/>
  <c r="G1041" i="3"/>
  <c r="H1041" i="3"/>
  <c r="I1041" i="3"/>
  <c r="J1041" i="3"/>
  <c r="K1041" i="3"/>
  <c r="B1042" i="3"/>
  <c r="C1042" i="3"/>
  <c r="D1042" i="3"/>
  <c r="E1042" i="3"/>
  <c r="F1042" i="3"/>
  <c r="G1042" i="3"/>
  <c r="H1042" i="3"/>
  <c r="I1042" i="3"/>
  <c r="J1042" i="3"/>
  <c r="K1042" i="3"/>
  <c r="B1043" i="3"/>
  <c r="C1043" i="3"/>
  <c r="D1043" i="3"/>
  <c r="E1043" i="3"/>
  <c r="F1043" i="3"/>
  <c r="G1043" i="3"/>
  <c r="H1043" i="3"/>
  <c r="I1043" i="3"/>
  <c r="J1043" i="3"/>
  <c r="K1043" i="3"/>
  <c r="B1044" i="3"/>
  <c r="C1044" i="3"/>
  <c r="D1044" i="3"/>
  <c r="E1044" i="3"/>
  <c r="F1044" i="3"/>
  <c r="G1044" i="3"/>
  <c r="H1044" i="3"/>
  <c r="I1044" i="3"/>
  <c r="J1044" i="3"/>
  <c r="K1044" i="3"/>
  <c r="B1045" i="3"/>
  <c r="C1045" i="3"/>
  <c r="D1045" i="3"/>
  <c r="E1045" i="3"/>
  <c r="F1045" i="3"/>
  <c r="G1045" i="3"/>
  <c r="H1045" i="3"/>
  <c r="I1045" i="3"/>
  <c r="J1045" i="3"/>
  <c r="K1045" i="3"/>
  <c r="B1046" i="3"/>
  <c r="C1046" i="3"/>
  <c r="D1046" i="3"/>
  <c r="E1046" i="3"/>
  <c r="F1046" i="3"/>
  <c r="G1046" i="3"/>
  <c r="H1046" i="3"/>
  <c r="I1046" i="3"/>
  <c r="J1046" i="3"/>
  <c r="K1046" i="3"/>
  <c r="B1047" i="3"/>
  <c r="C1047" i="3"/>
  <c r="D1047" i="3"/>
  <c r="E1047" i="3"/>
  <c r="F1047" i="3"/>
  <c r="G1047" i="3"/>
  <c r="H1047" i="3"/>
  <c r="I1047" i="3"/>
  <c r="J1047" i="3"/>
  <c r="K1047" i="3"/>
  <c r="B1048" i="3"/>
  <c r="C1048" i="3"/>
  <c r="D1048" i="3"/>
  <c r="E1048" i="3"/>
  <c r="F1048" i="3"/>
  <c r="G1048" i="3"/>
  <c r="H1048" i="3"/>
  <c r="I1048" i="3"/>
  <c r="J1048" i="3"/>
  <c r="K1048" i="3"/>
  <c r="B1049" i="3"/>
  <c r="C1049" i="3"/>
  <c r="D1049" i="3"/>
  <c r="E1049" i="3"/>
  <c r="F1049" i="3"/>
  <c r="G1049" i="3"/>
  <c r="H1049" i="3"/>
  <c r="I1049" i="3"/>
  <c r="J1049" i="3"/>
  <c r="K1049" i="3"/>
  <c r="B1050" i="3"/>
  <c r="C1050" i="3"/>
  <c r="D1050" i="3"/>
  <c r="E1050" i="3"/>
  <c r="F1050" i="3"/>
  <c r="G1050" i="3"/>
  <c r="H1050" i="3"/>
  <c r="I1050" i="3"/>
  <c r="J1050" i="3"/>
  <c r="K1050" i="3"/>
  <c r="B1051" i="3"/>
  <c r="C1051" i="3"/>
  <c r="D1051" i="3"/>
  <c r="E1051" i="3"/>
  <c r="F1051" i="3"/>
  <c r="G1051" i="3"/>
  <c r="H1051" i="3"/>
  <c r="I1051" i="3"/>
  <c r="J1051" i="3"/>
  <c r="K1051" i="3"/>
  <c r="B1052" i="3"/>
  <c r="C1052" i="3"/>
  <c r="D1052" i="3"/>
  <c r="E1052" i="3"/>
  <c r="F1052" i="3"/>
  <c r="G1052" i="3"/>
  <c r="H1052" i="3"/>
  <c r="I1052" i="3"/>
  <c r="J1052" i="3"/>
  <c r="K1052" i="3"/>
  <c r="B1053" i="3"/>
  <c r="C1053" i="3"/>
  <c r="D1053" i="3"/>
  <c r="E1053" i="3"/>
  <c r="F1053" i="3"/>
  <c r="G1053" i="3"/>
  <c r="H1053" i="3"/>
  <c r="I1053" i="3"/>
  <c r="J1053" i="3"/>
  <c r="K1053" i="3"/>
  <c r="B1054" i="3"/>
  <c r="C1054" i="3"/>
  <c r="D1054" i="3"/>
  <c r="E1054" i="3"/>
  <c r="F1054" i="3"/>
  <c r="G1054" i="3"/>
  <c r="H1054" i="3"/>
  <c r="I1054" i="3"/>
  <c r="J1054" i="3"/>
  <c r="K1054" i="3"/>
  <c r="B1055" i="3"/>
  <c r="C1055" i="3"/>
  <c r="D1055" i="3"/>
  <c r="E1055" i="3"/>
  <c r="F1055" i="3"/>
  <c r="G1055" i="3"/>
  <c r="H1055" i="3"/>
  <c r="I1055" i="3"/>
  <c r="J1055" i="3"/>
  <c r="K1055" i="3"/>
  <c r="B1056" i="3"/>
  <c r="C1056" i="3"/>
  <c r="D1056" i="3"/>
  <c r="E1056" i="3"/>
  <c r="F1056" i="3"/>
  <c r="G1056" i="3"/>
  <c r="H1056" i="3"/>
  <c r="I1056" i="3"/>
  <c r="J1056" i="3"/>
  <c r="K1056" i="3"/>
  <c r="B1057" i="3"/>
  <c r="C1057" i="3"/>
  <c r="C1156" i="3" s="1"/>
  <c r="D1057" i="3"/>
  <c r="E1057" i="3"/>
  <c r="F1057" i="3"/>
  <c r="G1057" i="3"/>
  <c r="H1057" i="3"/>
  <c r="I1057" i="3"/>
  <c r="J1057" i="3"/>
  <c r="K1057" i="3"/>
  <c r="B1058" i="3"/>
  <c r="C1058" i="3"/>
  <c r="D1058" i="3"/>
  <c r="E1058" i="3"/>
  <c r="F1058" i="3"/>
  <c r="G1058" i="3"/>
  <c r="H1058" i="3"/>
  <c r="I1058" i="3"/>
  <c r="J1058" i="3"/>
  <c r="K1058" i="3"/>
  <c r="B1059" i="3"/>
  <c r="C1059" i="3"/>
  <c r="D1059" i="3"/>
  <c r="E1059" i="3"/>
  <c r="F1059" i="3"/>
  <c r="G1059" i="3"/>
  <c r="H1059" i="3"/>
  <c r="I1059" i="3"/>
  <c r="J1059" i="3"/>
  <c r="K1059" i="3"/>
  <c r="B1060" i="3"/>
  <c r="C1060" i="3"/>
  <c r="D1060" i="3"/>
  <c r="E1060" i="3"/>
  <c r="F1060" i="3"/>
  <c r="G1060" i="3"/>
  <c r="H1060" i="3"/>
  <c r="I1060" i="3"/>
  <c r="J1060" i="3"/>
  <c r="K1060" i="3"/>
  <c r="B1061" i="3"/>
  <c r="C1061" i="3"/>
  <c r="D1061" i="3"/>
  <c r="E1061" i="3"/>
  <c r="F1061" i="3"/>
  <c r="G1061" i="3"/>
  <c r="H1061" i="3"/>
  <c r="I1061" i="3"/>
  <c r="J1061" i="3"/>
  <c r="K1061" i="3"/>
  <c r="B1062" i="3"/>
  <c r="C1062" i="3"/>
  <c r="D1062" i="3"/>
  <c r="E1062" i="3"/>
  <c r="F1062" i="3"/>
  <c r="G1062" i="3"/>
  <c r="H1062" i="3"/>
  <c r="I1062" i="3"/>
  <c r="J1062" i="3"/>
  <c r="K1062" i="3"/>
  <c r="B1063" i="3"/>
  <c r="C1063" i="3"/>
  <c r="D1063" i="3"/>
  <c r="E1063" i="3"/>
  <c r="F1063" i="3"/>
  <c r="G1063" i="3"/>
  <c r="H1063" i="3"/>
  <c r="I1063" i="3"/>
  <c r="J1063" i="3"/>
  <c r="K1063" i="3"/>
  <c r="B1064" i="3"/>
  <c r="C1064" i="3"/>
  <c r="D1064" i="3"/>
  <c r="E1064" i="3"/>
  <c r="F1064" i="3"/>
  <c r="G1064" i="3"/>
  <c r="H1064" i="3"/>
  <c r="I1064" i="3"/>
  <c r="J1064" i="3"/>
  <c r="K1064" i="3"/>
  <c r="B1065" i="3"/>
  <c r="C1065" i="3"/>
  <c r="D1065" i="3"/>
  <c r="E1065" i="3"/>
  <c r="F1065" i="3"/>
  <c r="G1065" i="3"/>
  <c r="H1065" i="3"/>
  <c r="I1065" i="3"/>
  <c r="J1065" i="3"/>
  <c r="K1065" i="3"/>
  <c r="B1066" i="3"/>
  <c r="C1066" i="3"/>
  <c r="D1066" i="3"/>
  <c r="E1066" i="3"/>
  <c r="F1066" i="3"/>
  <c r="G1066" i="3"/>
  <c r="H1066" i="3"/>
  <c r="I1066" i="3"/>
  <c r="J1066" i="3"/>
  <c r="K1066" i="3"/>
  <c r="B1067" i="3"/>
  <c r="C1067" i="3"/>
  <c r="D1067" i="3"/>
  <c r="E1067" i="3"/>
  <c r="F1067" i="3"/>
  <c r="G1067" i="3"/>
  <c r="H1067" i="3"/>
  <c r="I1067" i="3"/>
  <c r="J1067" i="3"/>
  <c r="K1067" i="3"/>
  <c r="B1069" i="3"/>
  <c r="C1069" i="3"/>
  <c r="E1069" i="3"/>
  <c r="F1069" i="3"/>
  <c r="G1069" i="3"/>
  <c r="H1069" i="3"/>
  <c r="I1069" i="3"/>
  <c r="J1069" i="3"/>
  <c r="K1069" i="3"/>
  <c r="B1070" i="3"/>
  <c r="C1070" i="3"/>
  <c r="E1070" i="3"/>
  <c r="F1070" i="3"/>
  <c r="G1070" i="3"/>
  <c r="H1070" i="3"/>
  <c r="I1070" i="3"/>
  <c r="J1070" i="3"/>
  <c r="K1070" i="3"/>
  <c r="B1071" i="3"/>
  <c r="C1071" i="3"/>
  <c r="E1071" i="3"/>
  <c r="F1071" i="3"/>
  <c r="G1071" i="3"/>
  <c r="H1071" i="3"/>
  <c r="I1071" i="3"/>
  <c r="J1071" i="3"/>
  <c r="K1071" i="3"/>
  <c r="B1072" i="3"/>
  <c r="C1072" i="3"/>
  <c r="E1072" i="3"/>
  <c r="F1072" i="3"/>
  <c r="G1072" i="3"/>
  <c r="H1072" i="3"/>
  <c r="I1072" i="3"/>
  <c r="J1072" i="3"/>
  <c r="K1072" i="3"/>
  <c r="B1073" i="3"/>
  <c r="C1073" i="3"/>
  <c r="E1073" i="3"/>
  <c r="F1073" i="3"/>
  <c r="G1073" i="3"/>
  <c r="H1073" i="3"/>
  <c r="I1073" i="3"/>
  <c r="J1073" i="3"/>
  <c r="K1073" i="3"/>
  <c r="B1074" i="3"/>
  <c r="C1074" i="3"/>
  <c r="E1074" i="3"/>
  <c r="F1074" i="3"/>
  <c r="G1074" i="3"/>
  <c r="H1074" i="3"/>
  <c r="I1074" i="3"/>
  <c r="J1074" i="3"/>
  <c r="K1074" i="3"/>
  <c r="B1075" i="3"/>
  <c r="C1075" i="3"/>
  <c r="E1075" i="3"/>
  <c r="F1075" i="3"/>
  <c r="G1075" i="3"/>
  <c r="H1075" i="3"/>
  <c r="I1075" i="3"/>
  <c r="J1075" i="3"/>
  <c r="K1075" i="3"/>
  <c r="B1076" i="3"/>
  <c r="C1076" i="3"/>
  <c r="E1076" i="3"/>
  <c r="F1076" i="3"/>
  <c r="G1076" i="3"/>
  <c r="H1076" i="3"/>
  <c r="I1076" i="3"/>
  <c r="J1076" i="3"/>
  <c r="K1076" i="3"/>
  <c r="B1077" i="3"/>
  <c r="C1077" i="3"/>
  <c r="E1077" i="3"/>
  <c r="F1077" i="3"/>
  <c r="G1077" i="3"/>
  <c r="H1077" i="3"/>
  <c r="I1077" i="3"/>
  <c r="J1077" i="3"/>
  <c r="K1077" i="3"/>
  <c r="B1078" i="3"/>
  <c r="C1078" i="3"/>
  <c r="E1078" i="3"/>
  <c r="F1078" i="3"/>
  <c r="G1078" i="3"/>
  <c r="H1078" i="3"/>
  <c r="I1078" i="3"/>
  <c r="J1078" i="3"/>
  <c r="K1078" i="3"/>
  <c r="B1079" i="3"/>
  <c r="C1079" i="3"/>
  <c r="E1079" i="3"/>
  <c r="F1079" i="3"/>
  <c r="G1079" i="3"/>
  <c r="H1079" i="3"/>
  <c r="I1079" i="3"/>
  <c r="J1079" i="3"/>
  <c r="K1079" i="3"/>
  <c r="B1080" i="3"/>
  <c r="C1080" i="3"/>
  <c r="E1080" i="3"/>
  <c r="F1080" i="3"/>
  <c r="G1080" i="3"/>
  <c r="H1080" i="3"/>
  <c r="I1080" i="3"/>
  <c r="J1080" i="3"/>
  <c r="K1080" i="3"/>
  <c r="B1081" i="3"/>
  <c r="C1081" i="3"/>
  <c r="E1081" i="3"/>
  <c r="F1081" i="3"/>
  <c r="G1081" i="3"/>
  <c r="H1081" i="3"/>
  <c r="I1081" i="3"/>
  <c r="J1081" i="3"/>
  <c r="K1081" i="3"/>
  <c r="B1082" i="3"/>
  <c r="C1082" i="3"/>
  <c r="E1082" i="3"/>
  <c r="F1082" i="3"/>
  <c r="G1082" i="3"/>
  <c r="H1082" i="3"/>
  <c r="I1082" i="3"/>
  <c r="J1082" i="3"/>
  <c r="K1082" i="3"/>
  <c r="B1083" i="3"/>
  <c r="C1083" i="3"/>
  <c r="E1083" i="3"/>
  <c r="F1083" i="3"/>
  <c r="G1083" i="3"/>
  <c r="H1083" i="3"/>
  <c r="I1083" i="3"/>
  <c r="J1083" i="3"/>
  <c r="K1083" i="3"/>
  <c r="B1084" i="3"/>
  <c r="C1084" i="3"/>
  <c r="E1084" i="3"/>
  <c r="F1084" i="3"/>
  <c r="G1084" i="3"/>
  <c r="H1084" i="3"/>
  <c r="I1084" i="3"/>
  <c r="J1084" i="3"/>
  <c r="K1084" i="3"/>
  <c r="B1085" i="3"/>
  <c r="C1085" i="3"/>
  <c r="E1085" i="3"/>
  <c r="F1085" i="3"/>
  <c r="G1085" i="3"/>
  <c r="H1085" i="3"/>
  <c r="I1085" i="3"/>
  <c r="J1085" i="3"/>
  <c r="K1085" i="3"/>
  <c r="B1086" i="3"/>
  <c r="C1086" i="3"/>
  <c r="E1086" i="3"/>
  <c r="F1086" i="3"/>
  <c r="G1086" i="3"/>
  <c r="H1086" i="3"/>
  <c r="I1086" i="3"/>
  <c r="J1086" i="3"/>
  <c r="K1086" i="3"/>
  <c r="B1087" i="3"/>
  <c r="C1087" i="3"/>
  <c r="E1087" i="3"/>
  <c r="F1087" i="3"/>
  <c r="G1087" i="3"/>
  <c r="H1087" i="3"/>
  <c r="I1087" i="3"/>
  <c r="J1087" i="3"/>
  <c r="K1087" i="3"/>
  <c r="B1088" i="3"/>
  <c r="C1088" i="3"/>
  <c r="E1088" i="3"/>
  <c r="F1088" i="3"/>
  <c r="G1088" i="3"/>
  <c r="H1088" i="3"/>
  <c r="I1088" i="3"/>
  <c r="J1088" i="3"/>
  <c r="K1088" i="3"/>
  <c r="B1089" i="3"/>
  <c r="C1089" i="3"/>
  <c r="E1089" i="3"/>
  <c r="F1089" i="3"/>
  <c r="G1089" i="3"/>
  <c r="H1089" i="3"/>
  <c r="I1089" i="3"/>
  <c r="J1089" i="3"/>
  <c r="K1089" i="3"/>
  <c r="B1090" i="3"/>
  <c r="C1090" i="3"/>
  <c r="E1090" i="3"/>
  <c r="F1090" i="3"/>
  <c r="G1090" i="3"/>
  <c r="H1090" i="3"/>
  <c r="I1090" i="3"/>
  <c r="J1090" i="3"/>
  <c r="K1090" i="3"/>
  <c r="B1091" i="3"/>
  <c r="C1091" i="3"/>
  <c r="E1091" i="3"/>
  <c r="F1091" i="3"/>
  <c r="G1091" i="3"/>
  <c r="H1091" i="3"/>
  <c r="I1091" i="3"/>
  <c r="J1091" i="3"/>
  <c r="K1091" i="3"/>
  <c r="B1092" i="3"/>
  <c r="C1092" i="3"/>
  <c r="E1092" i="3"/>
  <c r="F1092" i="3"/>
  <c r="G1092" i="3"/>
  <c r="H1092" i="3"/>
  <c r="I1092" i="3"/>
  <c r="J1092" i="3"/>
  <c r="K1092" i="3"/>
  <c r="B1093" i="3"/>
  <c r="C1093" i="3"/>
  <c r="E1093" i="3"/>
  <c r="F1093" i="3"/>
  <c r="G1093" i="3"/>
  <c r="H1093" i="3"/>
  <c r="I1093" i="3"/>
  <c r="J1093" i="3"/>
  <c r="K1093" i="3"/>
  <c r="A1094" i="3"/>
  <c r="B1094" i="3"/>
  <c r="C1094" i="3"/>
  <c r="E1094" i="3"/>
  <c r="F1094" i="3"/>
  <c r="G1094" i="3"/>
  <c r="H1094" i="3"/>
  <c r="I1094" i="3"/>
  <c r="J1094" i="3"/>
  <c r="K1094" i="3"/>
  <c r="A1095" i="3"/>
  <c r="B1095" i="3"/>
  <c r="C1095" i="3"/>
  <c r="E1095" i="3"/>
  <c r="F1095" i="3"/>
  <c r="G1095" i="3"/>
  <c r="H1095" i="3"/>
  <c r="I1095" i="3"/>
  <c r="J1095" i="3"/>
  <c r="K1095" i="3"/>
  <c r="A1096" i="3"/>
  <c r="B1096" i="3"/>
  <c r="C1096" i="3"/>
  <c r="E1096" i="3"/>
  <c r="F1096" i="3"/>
  <c r="G1096" i="3"/>
  <c r="H1096" i="3"/>
  <c r="I1096" i="3"/>
  <c r="J1096" i="3"/>
  <c r="K1096" i="3"/>
  <c r="A1097" i="3"/>
  <c r="B1097" i="3"/>
  <c r="C1097" i="3"/>
  <c r="E1097" i="3"/>
  <c r="F1097" i="3"/>
  <c r="G1097" i="3"/>
  <c r="H1097" i="3"/>
  <c r="I1097" i="3"/>
  <c r="J1097" i="3"/>
  <c r="K1097" i="3"/>
  <c r="A1098" i="3"/>
  <c r="B1098" i="3"/>
  <c r="C1098" i="3"/>
  <c r="E1098" i="3"/>
  <c r="F1098" i="3"/>
  <c r="G1098" i="3"/>
  <c r="H1098" i="3"/>
  <c r="I1098" i="3"/>
  <c r="J1098" i="3"/>
  <c r="K1098" i="3"/>
  <c r="A1099" i="3"/>
  <c r="B1099" i="3"/>
  <c r="C1099" i="3"/>
  <c r="E1099" i="3"/>
  <c r="F1099" i="3"/>
  <c r="G1099" i="3"/>
  <c r="H1099" i="3"/>
  <c r="I1099" i="3"/>
  <c r="J1099" i="3"/>
  <c r="K1099" i="3"/>
  <c r="A1100" i="3"/>
  <c r="B1100" i="3"/>
  <c r="C1100" i="3"/>
  <c r="F1100" i="3"/>
  <c r="H1100" i="3"/>
  <c r="J1100" i="3"/>
  <c r="A1101" i="3"/>
  <c r="B1101" i="3"/>
  <c r="C1101" i="3"/>
  <c r="F1101" i="3"/>
  <c r="H1101" i="3"/>
  <c r="J1101" i="3"/>
  <c r="A1102" i="3"/>
  <c r="B1102" i="3"/>
  <c r="C1102" i="3"/>
  <c r="F1102" i="3"/>
  <c r="H1102" i="3"/>
  <c r="J1102" i="3"/>
  <c r="A1103" i="3"/>
  <c r="B1103" i="3"/>
  <c r="C1103" i="3"/>
  <c r="F1103" i="3"/>
  <c r="H1103" i="3"/>
  <c r="J1103" i="3"/>
  <c r="A1104" i="3"/>
  <c r="B1104" i="3"/>
  <c r="C1104" i="3"/>
  <c r="F1104" i="3"/>
  <c r="H1104" i="3"/>
  <c r="J1104" i="3"/>
  <c r="A1105" i="3"/>
  <c r="B1105" i="3"/>
  <c r="C1105" i="3"/>
  <c r="F1105" i="3"/>
  <c r="H1105" i="3"/>
  <c r="J1105" i="3"/>
  <c r="A1106" i="3"/>
  <c r="B1106" i="3"/>
  <c r="C1106" i="3"/>
  <c r="F1106" i="3"/>
  <c r="H1106" i="3"/>
  <c r="J1106" i="3"/>
  <c r="A1107" i="3"/>
  <c r="B1107" i="3"/>
  <c r="C1107" i="3"/>
  <c r="F1107" i="3"/>
  <c r="H1107" i="3"/>
  <c r="J1107" i="3"/>
  <c r="A1108" i="3"/>
  <c r="B1108" i="3"/>
  <c r="C1108" i="3"/>
  <c r="F1108" i="3"/>
  <c r="H1108" i="3"/>
  <c r="J1108" i="3"/>
  <c r="A1109" i="3"/>
  <c r="B1109" i="3"/>
  <c r="C1109" i="3"/>
  <c r="F1109" i="3"/>
  <c r="H1109" i="3"/>
  <c r="J1109" i="3"/>
  <c r="A1110" i="3"/>
  <c r="B1110" i="3"/>
  <c r="C1110" i="3"/>
  <c r="F1110" i="3"/>
  <c r="H1110" i="3"/>
  <c r="J1110" i="3"/>
  <c r="A1111" i="3"/>
  <c r="B1111" i="3"/>
  <c r="C1111" i="3"/>
  <c r="F1111" i="3"/>
  <c r="H1111" i="3"/>
  <c r="J1111" i="3"/>
  <c r="A1112" i="3"/>
  <c r="B1112" i="3"/>
  <c r="C1112" i="3"/>
  <c r="F1112" i="3"/>
  <c r="H1112" i="3"/>
  <c r="J1112" i="3"/>
  <c r="A1113" i="3"/>
  <c r="B1113" i="3"/>
  <c r="C1113" i="3"/>
  <c r="F1113" i="3"/>
  <c r="H1113" i="3"/>
  <c r="J1113" i="3"/>
  <c r="A1114" i="3"/>
  <c r="B1114" i="3"/>
  <c r="C1114" i="3"/>
  <c r="F1114" i="3"/>
  <c r="H1114" i="3"/>
  <c r="J1114" i="3"/>
  <c r="A1115" i="3"/>
  <c r="B1115" i="3"/>
  <c r="C1115" i="3"/>
  <c r="F1115" i="3"/>
  <c r="H1115" i="3"/>
  <c r="J1115" i="3"/>
  <c r="A1116" i="3"/>
  <c r="B1116" i="3"/>
  <c r="C1116" i="3"/>
  <c r="F1116" i="3"/>
  <c r="H1116" i="3"/>
  <c r="J1116" i="3"/>
  <c r="A1117" i="3"/>
  <c r="B1117" i="3"/>
  <c r="C1117" i="3"/>
  <c r="F1117" i="3"/>
  <c r="H1117" i="3"/>
  <c r="J1117" i="3"/>
  <c r="A1118" i="3"/>
  <c r="B1118" i="3" s="1"/>
  <c r="C1118" i="3"/>
  <c r="F1118" i="3"/>
  <c r="H1118" i="3"/>
  <c r="J1118" i="3"/>
  <c r="A1119" i="3"/>
  <c r="B1119" i="3" s="1"/>
  <c r="C1119" i="3"/>
  <c r="F1119" i="3"/>
  <c r="H1119" i="3"/>
  <c r="J1119" i="3"/>
  <c r="A1120" i="3"/>
  <c r="B1120" i="3" s="1"/>
  <c r="C1120" i="3"/>
  <c r="F1120" i="3"/>
  <c r="H1120" i="3"/>
  <c r="J1120" i="3"/>
  <c r="A1121" i="3"/>
  <c r="B1121" i="3" s="1"/>
  <c r="C1121" i="3"/>
  <c r="F1121" i="3"/>
  <c r="H1121" i="3"/>
  <c r="J1121" i="3"/>
  <c r="A1122" i="3"/>
  <c r="B1122" i="3" s="1"/>
  <c r="C1122" i="3"/>
  <c r="F1122" i="3"/>
  <c r="H1122" i="3"/>
  <c r="J1122" i="3"/>
  <c r="A1123" i="3"/>
  <c r="B1123" i="3" s="1"/>
  <c r="C1123" i="3"/>
  <c r="F1123" i="3"/>
  <c r="H1123" i="3"/>
  <c r="J1123" i="3"/>
  <c r="A1124" i="3"/>
  <c r="B1124" i="3" s="1"/>
  <c r="C1124" i="3"/>
  <c r="F1124" i="3"/>
  <c r="H1124" i="3"/>
  <c r="J1124" i="3"/>
  <c r="A1125" i="3"/>
  <c r="B1125" i="3" s="1"/>
  <c r="C1125" i="3"/>
  <c r="F1125" i="3"/>
  <c r="H1125" i="3"/>
  <c r="J1125" i="3"/>
  <c r="A1126" i="3"/>
  <c r="B1126" i="3" s="1"/>
  <c r="C1126" i="3"/>
  <c r="F1126" i="3"/>
  <c r="H1126" i="3"/>
  <c r="J1126" i="3"/>
  <c r="A1127" i="3"/>
  <c r="B1127" i="3" s="1"/>
  <c r="C1127" i="3"/>
  <c r="F1127" i="3"/>
  <c r="H1127" i="3"/>
  <c r="J1127" i="3"/>
  <c r="A1128" i="3"/>
  <c r="B1128" i="3" s="1"/>
  <c r="C1128" i="3"/>
  <c r="F1128" i="3"/>
  <c r="H1128" i="3"/>
  <c r="J1128" i="3"/>
  <c r="A1129" i="3"/>
  <c r="B1129" i="3" s="1"/>
  <c r="C1129" i="3"/>
  <c r="F1129" i="3"/>
  <c r="H1129" i="3"/>
  <c r="J1129" i="3"/>
  <c r="A1130" i="3"/>
  <c r="B1130" i="3" s="1"/>
  <c r="C1130" i="3"/>
  <c r="F1130" i="3"/>
  <c r="H1130" i="3"/>
  <c r="J1130" i="3"/>
  <c r="A1131" i="3"/>
  <c r="B1131" i="3" s="1"/>
  <c r="C1131" i="3"/>
  <c r="F1131" i="3"/>
  <c r="H1131" i="3"/>
  <c r="J1131" i="3"/>
  <c r="A1132" i="3"/>
  <c r="B1132" i="3" s="1"/>
  <c r="C1132" i="3"/>
  <c r="F1132" i="3"/>
  <c r="H1132" i="3"/>
  <c r="J1132" i="3"/>
  <c r="A1133" i="3"/>
  <c r="B1133" i="3" s="1"/>
  <c r="F1133" i="3"/>
  <c r="H1133" i="3"/>
  <c r="J1133" i="3"/>
  <c r="A1134" i="3"/>
  <c r="B1134" i="3" s="1"/>
  <c r="F1134" i="3"/>
  <c r="H1134" i="3"/>
  <c r="J1134" i="3"/>
  <c r="A1135" i="3"/>
  <c r="B1135" i="3" s="1"/>
  <c r="C1135" i="3"/>
  <c r="F1135" i="3"/>
  <c r="H1135" i="3"/>
  <c r="J1135" i="3"/>
  <c r="A1136" i="3"/>
  <c r="B1136" i="3" s="1"/>
  <c r="F1136" i="3"/>
  <c r="H1136" i="3"/>
  <c r="J1136" i="3"/>
  <c r="A1137" i="3"/>
  <c r="B1137" i="3" s="1"/>
  <c r="F1137" i="3"/>
  <c r="H1137" i="3"/>
  <c r="J1137" i="3"/>
  <c r="A1138" i="3"/>
  <c r="B1138" i="3" s="1"/>
  <c r="F1138" i="3"/>
  <c r="H1138" i="3"/>
  <c r="J1138" i="3"/>
  <c r="A1139" i="3"/>
  <c r="B1139" i="3" s="1"/>
  <c r="C1139" i="3"/>
  <c r="F1139" i="3"/>
  <c r="H1139" i="3"/>
  <c r="J1139" i="3"/>
  <c r="A1140" i="3"/>
  <c r="B1140" i="3" s="1"/>
  <c r="F1140" i="3"/>
  <c r="H1140" i="3"/>
  <c r="J1140" i="3"/>
  <c r="A1141" i="3"/>
  <c r="B1141" i="3" s="1"/>
  <c r="F1141" i="3"/>
  <c r="H1141" i="3"/>
  <c r="J1141" i="3"/>
  <c r="A1142" i="3"/>
  <c r="B1142" i="3" s="1"/>
  <c r="F1142" i="3"/>
  <c r="H1142" i="3"/>
  <c r="J1142" i="3"/>
  <c r="A1143" i="3"/>
  <c r="B1143" i="3" s="1"/>
  <c r="C1143" i="3"/>
  <c r="F1143" i="3"/>
  <c r="H1143" i="3"/>
  <c r="J1143" i="3"/>
  <c r="A1144" i="3"/>
  <c r="B1144" i="3" s="1"/>
  <c r="F1144" i="3"/>
  <c r="H1144" i="3"/>
  <c r="J1144" i="3"/>
  <c r="A1145" i="3"/>
  <c r="B1145" i="3" s="1"/>
  <c r="F1145" i="3"/>
  <c r="H1145" i="3"/>
  <c r="J1145" i="3"/>
  <c r="A1146" i="3"/>
  <c r="B1146" i="3" s="1"/>
  <c r="F1146" i="3"/>
  <c r="H1146" i="3"/>
  <c r="J1146" i="3"/>
  <c r="A1147" i="3"/>
  <c r="B1147" i="3" s="1"/>
  <c r="C1147" i="3"/>
  <c r="F1147" i="3"/>
  <c r="H1147" i="3"/>
  <c r="J1147" i="3"/>
  <c r="A1148" i="3"/>
  <c r="B1148" i="3" s="1"/>
  <c r="F1148" i="3"/>
  <c r="H1148" i="3"/>
  <c r="J1148" i="3"/>
  <c r="A1149" i="3"/>
  <c r="B1149" i="3" s="1"/>
  <c r="F1149" i="3"/>
  <c r="H1149" i="3"/>
  <c r="J1149" i="3"/>
  <c r="A1150" i="3"/>
  <c r="B1150" i="3" s="1"/>
  <c r="F1150" i="3"/>
  <c r="H1150" i="3"/>
  <c r="J1150" i="3"/>
  <c r="A1151" i="3"/>
  <c r="B1151" i="3" s="1"/>
  <c r="C1151" i="3"/>
  <c r="F1151" i="3"/>
  <c r="H1151" i="3"/>
  <c r="J1151" i="3"/>
  <c r="A1152" i="3"/>
  <c r="B1152" i="3" s="1"/>
  <c r="F1152" i="3"/>
  <c r="H1152" i="3"/>
  <c r="J1152" i="3"/>
  <c r="A1153" i="3"/>
  <c r="B1153" i="3" s="1"/>
  <c r="F1153" i="3"/>
  <c r="H1153" i="3"/>
  <c r="J1153" i="3"/>
  <c r="A1154" i="3"/>
  <c r="B1154" i="3" s="1"/>
  <c r="F1154" i="3"/>
  <c r="H1154" i="3"/>
  <c r="J1154" i="3"/>
  <c r="A1155" i="3"/>
  <c r="B1155" i="3" s="1"/>
  <c r="C1155" i="3"/>
  <c r="F1155" i="3"/>
  <c r="H1155" i="3"/>
  <c r="J1155" i="3"/>
  <c r="A1156" i="3"/>
  <c r="B1156" i="3" s="1"/>
  <c r="F1156" i="3"/>
  <c r="H1156" i="3"/>
  <c r="J1156" i="3"/>
  <c r="C9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B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B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B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B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B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B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B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B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B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B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B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B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B602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B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B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B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B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B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B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B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B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B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B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B614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B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B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B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B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B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B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B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B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B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B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B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B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B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B628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B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B630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B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B632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B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B634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B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B636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B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B638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B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B640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B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B642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B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B644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O644" i="2"/>
  <c r="B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B646" i="2"/>
  <c r="C646" i="2"/>
  <c r="D646" i="2"/>
  <c r="E646" i="2"/>
  <c r="F646" i="2"/>
  <c r="G646" i="2"/>
  <c r="H646" i="2"/>
  <c r="I646" i="2"/>
  <c r="J646" i="2"/>
  <c r="K646" i="2"/>
  <c r="L646" i="2"/>
  <c r="M646" i="2"/>
  <c r="N646" i="2"/>
  <c r="O646" i="2"/>
  <c r="B647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B648" i="2"/>
  <c r="C648" i="2"/>
  <c r="D648" i="2"/>
  <c r="E648" i="2"/>
  <c r="F648" i="2"/>
  <c r="G648" i="2"/>
  <c r="H648" i="2"/>
  <c r="I648" i="2"/>
  <c r="J648" i="2"/>
  <c r="K648" i="2"/>
  <c r="L648" i="2"/>
  <c r="M648" i="2"/>
  <c r="N648" i="2"/>
  <c r="O648" i="2"/>
  <c r="B649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B650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O650" i="2"/>
  <c r="B651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B652" i="2"/>
  <c r="C652" i="2"/>
  <c r="D652" i="2"/>
  <c r="E652" i="2"/>
  <c r="F652" i="2"/>
  <c r="G652" i="2"/>
  <c r="H652" i="2"/>
  <c r="I652" i="2"/>
  <c r="J652" i="2"/>
  <c r="K652" i="2"/>
  <c r="L652" i="2"/>
  <c r="M652" i="2"/>
  <c r="N652" i="2"/>
  <c r="O652" i="2"/>
  <c r="B653" i="2"/>
  <c r="C653" i="2"/>
  <c r="D653" i="2"/>
  <c r="E653" i="2"/>
  <c r="F653" i="2"/>
  <c r="G653" i="2"/>
  <c r="H653" i="2"/>
  <c r="I653" i="2"/>
  <c r="J653" i="2"/>
  <c r="K653" i="2"/>
  <c r="L653" i="2"/>
  <c r="M653" i="2"/>
  <c r="N653" i="2"/>
  <c r="O653" i="2"/>
  <c r="B654" i="2"/>
  <c r="C654" i="2"/>
  <c r="D654" i="2"/>
  <c r="E654" i="2"/>
  <c r="F654" i="2"/>
  <c r="G654" i="2"/>
  <c r="H654" i="2"/>
  <c r="I654" i="2"/>
  <c r="J654" i="2"/>
  <c r="K654" i="2"/>
  <c r="L654" i="2"/>
  <c r="M654" i="2"/>
  <c r="N654" i="2"/>
  <c r="O654" i="2"/>
  <c r="B655" i="2"/>
  <c r="C655" i="2"/>
  <c r="D655" i="2"/>
  <c r="E655" i="2"/>
  <c r="F655" i="2"/>
  <c r="G655" i="2"/>
  <c r="H655" i="2"/>
  <c r="I655" i="2"/>
  <c r="J655" i="2"/>
  <c r="K655" i="2"/>
  <c r="L655" i="2"/>
  <c r="M655" i="2"/>
  <c r="N655" i="2"/>
  <c r="O655" i="2"/>
  <c r="B656" i="2"/>
  <c r="C656" i="2"/>
  <c r="D656" i="2"/>
  <c r="E656" i="2"/>
  <c r="F656" i="2"/>
  <c r="G656" i="2"/>
  <c r="H656" i="2"/>
  <c r="I656" i="2"/>
  <c r="J656" i="2"/>
  <c r="K656" i="2"/>
  <c r="L656" i="2"/>
  <c r="M656" i="2"/>
  <c r="N656" i="2"/>
  <c r="O656" i="2"/>
  <c r="B657" i="2"/>
  <c r="C657" i="2"/>
  <c r="D657" i="2"/>
  <c r="E657" i="2"/>
  <c r="F657" i="2"/>
  <c r="G657" i="2"/>
  <c r="H657" i="2"/>
  <c r="I657" i="2"/>
  <c r="J657" i="2"/>
  <c r="K657" i="2"/>
  <c r="L657" i="2"/>
  <c r="M657" i="2"/>
  <c r="N657" i="2"/>
  <c r="O657" i="2"/>
  <c r="B658" i="2"/>
  <c r="C658" i="2"/>
  <c r="D658" i="2"/>
  <c r="E658" i="2"/>
  <c r="F658" i="2"/>
  <c r="G658" i="2"/>
  <c r="H658" i="2"/>
  <c r="I658" i="2"/>
  <c r="J658" i="2"/>
  <c r="K658" i="2"/>
  <c r="L658" i="2"/>
  <c r="M658" i="2"/>
  <c r="N658" i="2"/>
  <c r="O658" i="2"/>
  <c r="B659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O659" i="2"/>
  <c r="B660" i="2"/>
  <c r="C660" i="2"/>
  <c r="D660" i="2"/>
  <c r="E660" i="2"/>
  <c r="F660" i="2"/>
  <c r="G660" i="2"/>
  <c r="H660" i="2"/>
  <c r="I660" i="2"/>
  <c r="J660" i="2"/>
  <c r="K660" i="2"/>
  <c r="L660" i="2"/>
  <c r="M660" i="2"/>
  <c r="N660" i="2"/>
  <c r="O660" i="2"/>
  <c r="B661" i="2"/>
  <c r="C661" i="2"/>
  <c r="D661" i="2"/>
  <c r="E661" i="2"/>
  <c r="F661" i="2"/>
  <c r="G661" i="2"/>
  <c r="H661" i="2"/>
  <c r="I661" i="2"/>
  <c r="J661" i="2"/>
  <c r="K661" i="2"/>
  <c r="L661" i="2"/>
  <c r="M661" i="2"/>
  <c r="N661" i="2"/>
  <c r="O661" i="2"/>
  <c r="B662" i="2"/>
  <c r="C662" i="2"/>
  <c r="D662" i="2"/>
  <c r="E662" i="2"/>
  <c r="F662" i="2"/>
  <c r="G662" i="2"/>
  <c r="H662" i="2"/>
  <c r="I662" i="2"/>
  <c r="J662" i="2"/>
  <c r="K662" i="2"/>
  <c r="L662" i="2"/>
  <c r="M662" i="2"/>
  <c r="N662" i="2"/>
  <c r="O662" i="2"/>
  <c r="B663" i="2"/>
  <c r="C663" i="2"/>
  <c r="D663" i="2"/>
  <c r="E663" i="2"/>
  <c r="F663" i="2"/>
  <c r="G663" i="2"/>
  <c r="H663" i="2"/>
  <c r="I663" i="2"/>
  <c r="J663" i="2"/>
  <c r="K663" i="2"/>
  <c r="L663" i="2"/>
  <c r="M663" i="2"/>
  <c r="N663" i="2"/>
  <c r="O663" i="2"/>
  <c r="B664" i="2"/>
  <c r="C664" i="2"/>
  <c r="D664" i="2"/>
  <c r="E664" i="2"/>
  <c r="F664" i="2"/>
  <c r="G664" i="2"/>
  <c r="H664" i="2"/>
  <c r="I664" i="2"/>
  <c r="J664" i="2"/>
  <c r="K664" i="2"/>
  <c r="L664" i="2"/>
  <c r="M664" i="2"/>
  <c r="N664" i="2"/>
  <c r="O664" i="2"/>
  <c r="B665" i="2"/>
  <c r="C665" i="2"/>
  <c r="D665" i="2"/>
  <c r="E665" i="2"/>
  <c r="F665" i="2"/>
  <c r="G665" i="2"/>
  <c r="H665" i="2"/>
  <c r="I665" i="2"/>
  <c r="J665" i="2"/>
  <c r="K665" i="2"/>
  <c r="L665" i="2"/>
  <c r="M665" i="2"/>
  <c r="N665" i="2"/>
  <c r="O665" i="2"/>
  <c r="B666" i="2"/>
  <c r="C666" i="2"/>
  <c r="D666" i="2"/>
  <c r="E666" i="2"/>
  <c r="F666" i="2"/>
  <c r="G666" i="2"/>
  <c r="H666" i="2"/>
  <c r="I666" i="2"/>
  <c r="J666" i="2"/>
  <c r="K666" i="2"/>
  <c r="L666" i="2"/>
  <c r="M666" i="2"/>
  <c r="N666" i="2"/>
  <c r="O666" i="2"/>
  <c r="B667" i="2"/>
  <c r="C667" i="2"/>
  <c r="D667" i="2"/>
  <c r="E667" i="2"/>
  <c r="F667" i="2"/>
  <c r="G667" i="2"/>
  <c r="H667" i="2"/>
  <c r="I667" i="2"/>
  <c r="J667" i="2"/>
  <c r="K667" i="2"/>
  <c r="L667" i="2"/>
  <c r="M667" i="2"/>
  <c r="N667" i="2"/>
  <c r="O667" i="2"/>
  <c r="B668" i="2"/>
  <c r="C668" i="2"/>
  <c r="D668" i="2"/>
  <c r="E668" i="2"/>
  <c r="F668" i="2"/>
  <c r="G668" i="2"/>
  <c r="H668" i="2"/>
  <c r="I668" i="2"/>
  <c r="J668" i="2"/>
  <c r="K668" i="2"/>
  <c r="L668" i="2"/>
  <c r="M668" i="2"/>
  <c r="N668" i="2"/>
  <c r="O668" i="2"/>
  <c r="B669" i="2"/>
  <c r="C669" i="2"/>
  <c r="D669" i="2"/>
  <c r="E669" i="2"/>
  <c r="F669" i="2"/>
  <c r="G669" i="2"/>
  <c r="H669" i="2"/>
  <c r="I669" i="2"/>
  <c r="J669" i="2"/>
  <c r="K669" i="2"/>
  <c r="L669" i="2"/>
  <c r="M669" i="2"/>
  <c r="N669" i="2"/>
  <c r="O669" i="2"/>
  <c r="B670" i="2"/>
  <c r="C670" i="2"/>
  <c r="D670" i="2"/>
  <c r="E670" i="2"/>
  <c r="F670" i="2"/>
  <c r="G670" i="2"/>
  <c r="H670" i="2"/>
  <c r="I670" i="2"/>
  <c r="J670" i="2"/>
  <c r="K670" i="2"/>
  <c r="L670" i="2"/>
  <c r="M670" i="2"/>
  <c r="N670" i="2"/>
  <c r="O670" i="2"/>
  <c r="B671" i="2"/>
  <c r="C671" i="2"/>
  <c r="D671" i="2"/>
  <c r="E671" i="2"/>
  <c r="F671" i="2"/>
  <c r="G671" i="2"/>
  <c r="H671" i="2"/>
  <c r="I671" i="2"/>
  <c r="J671" i="2"/>
  <c r="K671" i="2"/>
  <c r="L671" i="2"/>
  <c r="M671" i="2"/>
  <c r="N671" i="2"/>
  <c r="O671" i="2"/>
  <c r="B672" i="2"/>
  <c r="C672" i="2"/>
  <c r="D672" i="2"/>
  <c r="E672" i="2"/>
  <c r="F672" i="2"/>
  <c r="G672" i="2"/>
  <c r="H672" i="2"/>
  <c r="I672" i="2"/>
  <c r="J672" i="2"/>
  <c r="K672" i="2"/>
  <c r="L672" i="2"/>
  <c r="M672" i="2"/>
  <c r="N672" i="2"/>
  <c r="O672" i="2"/>
  <c r="B673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O673" i="2"/>
  <c r="B674" i="2"/>
  <c r="C674" i="2"/>
  <c r="D674" i="2"/>
  <c r="E674" i="2"/>
  <c r="F674" i="2"/>
  <c r="G674" i="2"/>
  <c r="H674" i="2"/>
  <c r="I674" i="2"/>
  <c r="J674" i="2"/>
  <c r="K674" i="2"/>
  <c r="L674" i="2"/>
  <c r="M674" i="2"/>
  <c r="N674" i="2"/>
  <c r="O674" i="2"/>
  <c r="B675" i="2"/>
  <c r="C675" i="2"/>
  <c r="D675" i="2"/>
  <c r="E675" i="2"/>
  <c r="F675" i="2"/>
  <c r="G675" i="2"/>
  <c r="H675" i="2"/>
  <c r="I675" i="2"/>
  <c r="J675" i="2"/>
  <c r="K675" i="2"/>
  <c r="L675" i="2"/>
  <c r="M675" i="2"/>
  <c r="N675" i="2"/>
  <c r="O675" i="2"/>
  <c r="B676" i="2"/>
  <c r="C676" i="2"/>
  <c r="D676" i="2"/>
  <c r="E676" i="2"/>
  <c r="F676" i="2"/>
  <c r="G676" i="2"/>
  <c r="H676" i="2"/>
  <c r="I676" i="2"/>
  <c r="J676" i="2"/>
  <c r="K676" i="2"/>
  <c r="L676" i="2"/>
  <c r="M676" i="2"/>
  <c r="N676" i="2"/>
  <c r="O676" i="2"/>
  <c r="B677" i="2"/>
  <c r="C677" i="2"/>
  <c r="D677" i="2"/>
  <c r="E677" i="2"/>
  <c r="F677" i="2"/>
  <c r="G677" i="2"/>
  <c r="H677" i="2"/>
  <c r="I677" i="2"/>
  <c r="J677" i="2"/>
  <c r="K677" i="2"/>
  <c r="L677" i="2"/>
  <c r="M677" i="2"/>
  <c r="N677" i="2"/>
  <c r="O677" i="2"/>
  <c r="B678" i="2"/>
  <c r="C678" i="2"/>
  <c r="D678" i="2"/>
  <c r="E678" i="2"/>
  <c r="F678" i="2"/>
  <c r="G678" i="2"/>
  <c r="H678" i="2"/>
  <c r="I678" i="2"/>
  <c r="J678" i="2"/>
  <c r="K678" i="2"/>
  <c r="L678" i="2"/>
  <c r="M678" i="2"/>
  <c r="N678" i="2"/>
  <c r="O678" i="2"/>
  <c r="B679" i="2"/>
  <c r="C679" i="2"/>
  <c r="D679" i="2"/>
  <c r="E679" i="2"/>
  <c r="F679" i="2"/>
  <c r="G679" i="2"/>
  <c r="H679" i="2"/>
  <c r="I679" i="2"/>
  <c r="J679" i="2"/>
  <c r="K679" i="2"/>
  <c r="L679" i="2"/>
  <c r="M679" i="2"/>
  <c r="N679" i="2"/>
  <c r="O679" i="2"/>
  <c r="B680" i="2"/>
  <c r="C680" i="2"/>
  <c r="D680" i="2"/>
  <c r="E680" i="2"/>
  <c r="F680" i="2"/>
  <c r="G680" i="2"/>
  <c r="H680" i="2"/>
  <c r="I680" i="2"/>
  <c r="J680" i="2"/>
  <c r="K680" i="2"/>
  <c r="L680" i="2"/>
  <c r="M680" i="2"/>
  <c r="N680" i="2"/>
  <c r="O680" i="2"/>
  <c r="B681" i="2"/>
  <c r="C681" i="2"/>
  <c r="D681" i="2"/>
  <c r="E681" i="2"/>
  <c r="F681" i="2"/>
  <c r="G681" i="2"/>
  <c r="H681" i="2"/>
  <c r="I681" i="2"/>
  <c r="J681" i="2"/>
  <c r="K681" i="2"/>
  <c r="L681" i="2"/>
  <c r="M681" i="2"/>
  <c r="N681" i="2"/>
  <c r="O681" i="2"/>
  <c r="B682" i="2"/>
  <c r="C682" i="2"/>
  <c r="D682" i="2"/>
  <c r="E682" i="2"/>
  <c r="F682" i="2"/>
  <c r="G682" i="2"/>
  <c r="H682" i="2"/>
  <c r="I682" i="2"/>
  <c r="J682" i="2"/>
  <c r="K682" i="2"/>
  <c r="L682" i="2"/>
  <c r="M682" i="2"/>
  <c r="N682" i="2"/>
  <c r="O682" i="2"/>
  <c r="B683" i="2"/>
  <c r="C683" i="2"/>
  <c r="D683" i="2"/>
  <c r="E683" i="2"/>
  <c r="F683" i="2"/>
  <c r="G683" i="2"/>
  <c r="H683" i="2"/>
  <c r="I683" i="2"/>
  <c r="J683" i="2"/>
  <c r="K683" i="2"/>
  <c r="L683" i="2"/>
  <c r="M683" i="2"/>
  <c r="N683" i="2"/>
  <c r="O683" i="2"/>
  <c r="B684" i="2"/>
  <c r="C684" i="2"/>
  <c r="D684" i="2"/>
  <c r="E684" i="2"/>
  <c r="F684" i="2"/>
  <c r="G684" i="2"/>
  <c r="H684" i="2"/>
  <c r="I684" i="2"/>
  <c r="J684" i="2"/>
  <c r="K684" i="2"/>
  <c r="L684" i="2"/>
  <c r="M684" i="2"/>
  <c r="N684" i="2"/>
  <c r="O684" i="2"/>
  <c r="B685" i="2"/>
  <c r="C685" i="2"/>
  <c r="D685" i="2"/>
  <c r="E685" i="2"/>
  <c r="F685" i="2"/>
  <c r="G685" i="2"/>
  <c r="H685" i="2"/>
  <c r="I685" i="2"/>
  <c r="J685" i="2"/>
  <c r="K685" i="2"/>
  <c r="L685" i="2"/>
  <c r="M685" i="2"/>
  <c r="N685" i="2"/>
  <c r="O685" i="2"/>
  <c r="B686" i="2"/>
  <c r="C686" i="2"/>
  <c r="D686" i="2"/>
  <c r="E686" i="2"/>
  <c r="F686" i="2"/>
  <c r="G686" i="2"/>
  <c r="H686" i="2"/>
  <c r="I686" i="2"/>
  <c r="J686" i="2"/>
  <c r="K686" i="2"/>
  <c r="L686" i="2"/>
  <c r="M686" i="2"/>
  <c r="N686" i="2"/>
  <c r="O686" i="2"/>
  <c r="B687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O687" i="2"/>
  <c r="B688" i="2"/>
  <c r="C688" i="2"/>
  <c r="D688" i="2"/>
  <c r="E688" i="2"/>
  <c r="F688" i="2"/>
  <c r="G688" i="2"/>
  <c r="H688" i="2"/>
  <c r="I688" i="2"/>
  <c r="J688" i="2"/>
  <c r="K688" i="2"/>
  <c r="L688" i="2"/>
  <c r="M688" i="2"/>
  <c r="N688" i="2"/>
  <c r="O688" i="2"/>
  <c r="B689" i="2"/>
  <c r="C689" i="2"/>
  <c r="D689" i="2"/>
  <c r="E689" i="2"/>
  <c r="F689" i="2"/>
  <c r="G689" i="2"/>
  <c r="H689" i="2"/>
  <c r="I689" i="2"/>
  <c r="J689" i="2"/>
  <c r="K689" i="2"/>
  <c r="L689" i="2"/>
  <c r="M689" i="2"/>
  <c r="N689" i="2"/>
  <c r="O689" i="2"/>
  <c r="B690" i="2"/>
  <c r="C690" i="2"/>
  <c r="D690" i="2"/>
  <c r="E690" i="2"/>
  <c r="F690" i="2"/>
  <c r="G690" i="2"/>
  <c r="H690" i="2"/>
  <c r="I690" i="2"/>
  <c r="J690" i="2"/>
  <c r="K690" i="2"/>
  <c r="L690" i="2"/>
  <c r="M690" i="2"/>
  <c r="N690" i="2"/>
  <c r="O690" i="2"/>
  <c r="B691" i="2"/>
  <c r="C691" i="2"/>
  <c r="D691" i="2"/>
  <c r="E691" i="2"/>
  <c r="F691" i="2"/>
  <c r="G691" i="2"/>
  <c r="H691" i="2"/>
  <c r="I691" i="2"/>
  <c r="J691" i="2"/>
  <c r="K691" i="2"/>
  <c r="L691" i="2"/>
  <c r="M691" i="2"/>
  <c r="N691" i="2"/>
  <c r="O691" i="2"/>
  <c r="B692" i="2"/>
  <c r="C692" i="2"/>
  <c r="D692" i="2"/>
  <c r="E692" i="2"/>
  <c r="F692" i="2"/>
  <c r="G692" i="2"/>
  <c r="H692" i="2"/>
  <c r="I692" i="2"/>
  <c r="J692" i="2"/>
  <c r="K692" i="2"/>
  <c r="L692" i="2"/>
  <c r="M692" i="2"/>
  <c r="N692" i="2"/>
  <c r="O692" i="2"/>
  <c r="B693" i="2"/>
  <c r="C693" i="2"/>
  <c r="D693" i="2"/>
  <c r="E693" i="2"/>
  <c r="F693" i="2"/>
  <c r="G693" i="2"/>
  <c r="H693" i="2"/>
  <c r="I693" i="2"/>
  <c r="J693" i="2"/>
  <c r="K693" i="2"/>
  <c r="L693" i="2"/>
  <c r="M693" i="2"/>
  <c r="N693" i="2"/>
  <c r="O693" i="2"/>
  <c r="B694" i="2"/>
  <c r="C694" i="2"/>
  <c r="D694" i="2"/>
  <c r="E694" i="2"/>
  <c r="F694" i="2"/>
  <c r="G694" i="2"/>
  <c r="H694" i="2"/>
  <c r="I694" i="2"/>
  <c r="J694" i="2"/>
  <c r="K694" i="2"/>
  <c r="L694" i="2"/>
  <c r="M694" i="2"/>
  <c r="N694" i="2"/>
  <c r="O694" i="2"/>
  <c r="B695" i="2"/>
  <c r="C695" i="2"/>
  <c r="D695" i="2"/>
  <c r="E695" i="2"/>
  <c r="F695" i="2"/>
  <c r="G695" i="2"/>
  <c r="H695" i="2"/>
  <c r="I695" i="2"/>
  <c r="J695" i="2"/>
  <c r="K695" i="2"/>
  <c r="L695" i="2"/>
  <c r="M695" i="2"/>
  <c r="N695" i="2"/>
  <c r="O695" i="2"/>
  <c r="B696" i="2"/>
  <c r="C696" i="2"/>
  <c r="D696" i="2"/>
  <c r="E696" i="2"/>
  <c r="F696" i="2"/>
  <c r="G696" i="2"/>
  <c r="H696" i="2"/>
  <c r="I696" i="2"/>
  <c r="J696" i="2"/>
  <c r="K696" i="2"/>
  <c r="L696" i="2"/>
  <c r="M696" i="2"/>
  <c r="N696" i="2"/>
  <c r="O696" i="2"/>
  <c r="B697" i="2"/>
  <c r="C697" i="2"/>
  <c r="D697" i="2"/>
  <c r="E697" i="2"/>
  <c r="F697" i="2"/>
  <c r="G697" i="2"/>
  <c r="H697" i="2"/>
  <c r="I697" i="2"/>
  <c r="J697" i="2"/>
  <c r="K697" i="2"/>
  <c r="L697" i="2"/>
  <c r="M697" i="2"/>
  <c r="N697" i="2"/>
  <c r="O697" i="2"/>
  <c r="B698" i="2"/>
  <c r="C698" i="2"/>
  <c r="D698" i="2"/>
  <c r="E698" i="2"/>
  <c r="F698" i="2"/>
  <c r="G698" i="2"/>
  <c r="H698" i="2"/>
  <c r="I698" i="2"/>
  <c r="J698" i="2"/>
  <c r="K698" i="2"/>
  <c r="L698" i="2"/>
  <c r="M698" i="2"/>
  <c r="N698" i="2"/>
  <c r="O698" i="2"/>
  <c r="B699" i="2"/>
  <c r="C699" i="2"/>
  <c r="D699" i="2"/>
  <c r="E699" i="2"/>
  <c r="F699" i="2"/>
  <c r="G699" i="2"/>
  <c r="H699" i="2"/>
  <c r="I699" i="2"/>
  <c r="J699" i="2"/>
  <c r="K699" i="2"/>
  <c r="L699" i="2"/>
  <c r="M699" i="2"/>
  <c r="N699" i="2"/>
  <c r="O699" i="2"/>
  <c r="B700" i="2"/>
  <c r="C700" i="2"/>
  <c r="D700" i="2"/>
  <c r="E700" i="2"/>
  <c r="F700" i="2"/>
  <c r="G700" i="2"/>
  <c r="H700" i="2"/>
  <c r="I700" i="2"/>
  <c r="J700" i="2"/>
  <c r="K700" i="2"/>
  <c r="L700" i="2"/>
  <c r="M700" i="2"/>
  <c r="N700" i="2"/>
  <c r="O700" i="2"/>
  <c r="B701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O701" i="2"/>
  <c r="B702" i="2"/>
  <c r="C702" i="2"/>
  <c r="D702" i="2"/>
  <c r="E702" i="2"/>
  <c r="F702" i="2"/>
  <c r="G702" i="2"/>
  <c r="H702" i="2"/>
  <c r="I702" i="2"/>
  <c r="J702" i="2"/>
  <c r="K702" i="2"/>
  <c r="L702" i="2"/>
  <c r="M702" i="2"/>
  <c r="N702" i="2"/>
  <c r="O702" i="2"/>
  <c r="B703" i="2"/>
  <c r="C703" i="2"/>
  <c r="D703" i="2"/>
  <c r="E703" i="2"/>
  <c r="F703" i="2"/>
  <c r="G703" i="2"/>
  <c r="H703" i="2"/>
  <c r="I703" i="2"/>
  <c r="J703" i="2"/>
  <c r="K703" i="2"/>
  <c r="L703" i="2"/>
  <c r="M703" i="2"/>
  <c r="N703" i="2"/>
  <c r="O703" i="2"/>
  <c r="B704" i="2"/>
  <c r="C704" i="2"/>
  <c r="D704" i="2"/>
  <c r="E704" i="2"/>
  <c r="F704" i="2"/>
  <c r="G704" i="2"/>
  <c r="H704" i="2"/>
  <c r="I704" i="2"/>
  <c r="J704" i="2"/>
  <c r="K704" i="2"/>
  <c r="L704" i="2"/>
  <c r="M704" i="2"/>
  <c r="N704" i="2"/>
  <c r="O704" i="2"/>
  <c r="B705" i="2"/>
  <c r="C705" i="2"/>
  <c r="D705" i="2"/>
  <c r="E705" i="2"/>
  <c r="F705" i="2"/>
  <c r="G705" i="2"/>
  <c r="H705" i="2"/>
  <c r="I705" i="2"/>
  <c r="J705" i="2"/>
  <c r="K705" i="2"/>
  <c r="L705" i="2"/>
  <c r="M705" i="2"/>
  <c r="N705" i="2"/>
  <c r="O705" i="2"/>
  <c r="B706" i="2"/>
  <c r="C706" i="2"/>
  <c r="D706" i="2"/>
  <c r="E706" i="2"/>
  <c r="F706" i="2"/>
  <c r="G706" i="2"/>
  <c r="H706" i="2"/>
  <c r="I706" i="2"/>
  <c r="J706" i="2"/>
  <c r="K706" i="2"/>
  <c r="L706" i="2"/>
  <c r="M706" i="2"/>
  <c r="N706" i="2"/>
  <c r="O706" i="2"/>
  <c r="B707" i="2"/>
  <c r="C707" i="2"/>
  <c r="D707" i="2"/>
  <c r="E707" i="2"/>
  <c r="F707" i="2"/>
  <c r="G707" i="2"/>
  <c r="H707" i="2"/>
  <c r="I707" i="2"/>
  <c r="J707" i="2"/>
  <c r="K707" i="2"/>
  <c r="L707" i="2"/>
  <c r="M707" i="2"/>
  <c r="N707" i="2"/>
  <c r="O707" i="2"/>
  <c r="B708" i="2"/>
  <c r="C708" i="2"/>
  <c r="D708" i="2"/>
  <c r="E708" i="2"/>
  <c r="F708" i="2"/>
  <c r="G708" i="2"/>
  <c r="H708" i="2"/>
  <c r="I708" i="2"/>
  <c r="J708" i="2"/>
  <c r="K708" i="2"/>
  <c r="L708" i="2"/>
  <c r="M708" i="2"/>
  <c r="N708" i="2"/>
  <c r="O708" i="2"/>
  <c r="B709" i="2"/>
  <c r="C709" i="2"/>
  <c r="D709" i="2"/>
  <c r="E709" i="2"/>
  <c r="F709" i="2"/>
  <c r="G709" i="2"/>
  <c r="H709" i="2"/>
  <c r="I709" i="2"/>
  <c r="J709" i="2"/>
  <c r="K709" i="2"/>
  <c r="L709" i="2"/>
  <c r="M709" i="2"/>
  <c r="N709" i="2"/>
  <c r="O709" i="2"/>
  <c r="B710" i="2"/>
  <c r="C710" i="2"/>
  <c r="D710" i="2"/>
  <c r="E710" i="2"/>
  <c r="F710" i="2"/>
  <c r="G710" i="2"/>
  <c r="H710" i="2"/>
  <c r="I710" i="2"/>
  <c r="J710" i="2"/>
  <c r="K710" i="2"/>
  <c r="L710" i="2"/>
  <c r="M710" i="2"/>
  <c r="N710" i="2"/>
  <c r="O710" i="2"/>
  <c r="B711" i="2"/>
  <c r="C711" i="2"/>
  <c r="D711" i="2"/>
  <c r="E711" i="2"/>
  <c r="F711" i="2"/>
  <c r="G711" i="2"/>
  <c r="H711" i="2"/>
  <c r="I711" i="2"/>
  <c r="J711" i="2"/>
  <c r="K711" i="2"/>
  <c r="L711" i="2"/>
  <c r="M711" i="2"/>
  <c r="N711" i="2"/>
  <c r="O711" i="2"/>
  <c r="B712" i="2"/>
  <c r="C712" i="2"/>
  <c r="D712" i="2"/>
  <c r="E712" i="2"/>
  <c r="F712" i="2"/>
  <c r="G712" i="2"/>
  <c r="H712" i="2"/>
  <c r="I712" i="2"/>
  <c r="J712" i="2"/>
  <c r="K712" i="2"/>
  <c r="L712" i="2"/>
  <c r="M712" i="2"/>
  <c r="N712" i="2"/>
  <c r="O712" i="2"/>
  <c r="B713" i="2"/>
  <c r="C713" i="2"/>
  <c r="D713" i="2"/>
  <c r="E713" i="2"/>
  <c r="F713" i="2"/>
  <c r="G713" i="2"/>
  <c r="H713" i="2"/>
  <c r="I713" i="2"/>
  <c r="J713" i="2"/>
  <c r="K713" i="2"/>
  <c r="L713" i="2"/>
  <c r="M713" i="2"/>
  <c r="N713" i="2"/>
  <c r="O713" i="2"/>
  <c r="B714" i="2"/>
  <c r="C714" i="2"/>
  <c r="D714" i="2"/>
  <c r="E714" i="2"/>
  <c r="F714" i="2"/>
  <c r="G714" i="2"/>
  <c r="H714" i="2"/>
  <c r="I714" i="2"/>
  <c r="J714" i="2"/>
  <c r="K714" i="2"/>
  <c r="L714" i="2"/>
  <c r="M714" i="2"/>
  <c r="N714" i="2"/>
  <c r="O714" i="2"/>
  <c r="B715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O715" i="2"/>
  <c r="B716" i="2"/>
  <c r="C716" i="2"/>
  <c r="D716" i="2"/>
  <c r="E716" i="2"/>
  <c r="F716" i="2"/>
  <c r="G716" i="2"/>
  <c r="H716" i="2"/>
  <c r="I716" i="2"/>
  <c r="J716" i="2"/>
  <c r="K716" i="2"/>
  <c r="L716" i="2"/>
  <c r="M716" i="2"/>
  <c r="N716" i="2"/>
  <c r="O716" i="2"/>
  <c r="B717" i="2"/>
  <c r="C717" i="2"/>
  <c r="D717" i="2"/>
  <c r="E717" i="2"/>
  <c r="F717" i="2"/>
  <c r="G717" i="2"/>
  <c r="H717" i="2"/>
  <c r="I717" i="2"/>
  <c r="J717" i="2"/>
  <c r="K717" i="2"/>
  <c r="L717" i="2"/>
  <c r="M717" i="2"/>
  <c r="N717" i="2"/>
  <c r="O717" i="2"/>
  <c r="B718" i="2"/>
  <c r="C718" i="2"/>
  <c r="D718" i="2"/>
  <c r="E718" i="2"/>
  <c r="F718" i="2"/>
  <c r="G718" i="2"/>
  <c r="H718" i="2"/>
  <c r="I718" i="2"/>
  <c r="J718" i="2"/>
  <c r="K718" i="2"/>
  <c r="L718" i="2"/>
  <c r="M718" i="2"/>
  <c r="N718" i="2"/>
  <c r="O718" i="2"/>
  <c r="B719" i="2"/>
  <c r="C719" i="2"/>
  <c r="D719" i="2"/>
  <c r="E719" i="2"/>
  <c r="F719" i="2"/>
  <c r="G719" i="2"/>
  <c r="H719" i="2"/>
  <c r="I719" i="2"/>
  <c r="J719" i="2"/>
  <c r="K719" i="2"/>
  <c r="L719" i="2"/>
  <c r="M719" i="2"/>
  <c r="N719" i="2"/>
  <c r="O719" i="2"/>
  <c r="B720" i="2"/>
  <c r="C720" i="2"/>
  <c r="D720" i="2"/>
  <c r="E720" i="2"/>
  <c r="F720" i="2"/>
  <c r="G720" i="2"/>
  <c r="H720" i="2"/>
  <c r="I720" i="2"/>
  <c r="J720" i="2"/>
  <c r="K720" i="2"/>
  <c r="L720" i="2"/>
  <c r="M720" i="2"/>
  <c r="N720" i="2"/>
  <c r="O720" i="2"/>
  <c r="B721" i="2"/>
  <c r="C721" i="2"/>
  <c r="D721" i="2"/>
  <c r="E721" i="2"/>
  <c r="F721" i="2"/>
  <c r="G721" i="2"/>
  <c r="H721" i="2"/>
  <c r="I721" i="2"/>
  <c r="J721" i="2"/>
  <c r="K721" i="2"/>
  <c r="L721" i="2"/>
  <c r="M721" i="2"/>
  <c r="N721" i="2"/>
  <c r="O721" i="2"/>
  <c r="B722" i="2"/>
  <c r="C722" i="2"/>
  <c r="D722" i="2"/>
  <c r="E722" i="2"/>
  <c r="F722" i="2"/>
  <c r="G722" i="2"/>
  <c r="H722" i="2"/>
  <c r="I722" i="2"/>
  <c r="J722" i="2"/>
  <c r="K722" i="2"/>
  <c r="L722" i="2"/>
  <c r="M722" i="2"/>
  <c r="N722" i="2"/>
  <c r="O722" i="2"/>
  <c r="B723" i="2"/>
  <c r="C723" i="2"/>
  <c r="D723" i="2"/>
  <c r="E723" i="2"/>
  <c r="F723" i="2"/>
  <c r="G723" i="2"/>
  <c r="H723" i="2"/>
  <c r="I723" i="2"/>
  <c r="J723" i="2"/>
  <c r="K723" i="2"/>
  <c r="L723" i="2"/>
  <c r="M723" i="2"/>
  <c r="N723" i="2"/>
  <c r="O723" i="2"/>
  <c r="B724" i="2"/>
  <c r="C724" i="2"/>
  <c r="D724" i="2"/>
  <c r="E724" i="2"/>
  <c r="F724" i="2"/>
  <c r="G724" i="2"/>
  <c r="H724" i="2"/>
  <c r="I724" i="2"/>
  <c r="J724" i="2"/>
  <c r="K724" i="2"/>
  <c r="L724" i="2"/>
  <c r="M724" i="2"/>
  <c r="N724" i="2"/>
  <c r="O724" i="2"/>
  <c r="B725" i="2"/>
  <c r="C725" i="2"/>
  <c r="D725" i="2"/>
  <c r="E725" i="2"/>
  <c r="F725" i="2"/>
  <c r="G725" i="2"/>
  <c r="H725" i="2"/>
  <c r="I725" i="2"/>
  <c r="J725" i="2"/>
  <c r="K725" i="2"/>
  <c r="L725" i="2"/>
  <c r="M725" i="2"/>
  <c r="N725" i="2"/>
  <c r="O725" i="2"/>
  <c r="B726" i="2"/>
  <c r="C726" i="2"/>
  <c r="D726" i="2"/>
  <c r="E726" i="2"/>
  <c r="F726" i="2"/>
  <c r="G726" i="2"/>
  <c r="H726" i="2"/>
  <c r="I726" i="2"/>
  <c r="J726" i="2"/>
  <c r="K726" i="2"/>
  <c r="L726" i="2"/>
  <c r="M726" i="2"/>
  <c r="N726" i="2"/>
  <c r="O726" i="2"/>
  <c r="B727" i="2"/>
  <c r="C727" i="2"/>
  <c r="D727" i="2"/>
  <c r="E727" i="2"/>
  <c r="F727" i="2"/>
  <c r="G727" i="2"/>
  <c r="H727" i="2"/>
  <c r="I727" i="2"/>
  <c r="J727" i="2"/>
  <c r="K727" i="2"/>
  <c r="L727" i="2"/>
  <c r="M727" i="2"/>
  <c r="N727" i="2"/>
  <c r="O727" i="2"/>
  <c r="B728" i="2"/>
  <c r="C728" i="2"/>
  <c r="D728" i="2"/>
  <c r="E728" i="2"/>
  <c r="F728" i="2"/>
  <c r="G728" i="2"/>
  <c r="H728" i="2"/>
  <c r="I728" i="2"/>
  <c r="J728" i="2"/>
  <c r="K728" i="2"/>
  <c r="L728" i="2"/>
  <c r="M728" i="2"/>
  <c r="N728" i="2"/>
  <c r="O728" i="2"/>
  <c r="B729" i="2"/>
  <c r="C729" i="2"/>
  <c r="D729" i="2"/>
  <c r="E729" i="2"/>
  <c r="F729" i="2"/>
  <c r="G729" i="2"/>
  <c r="H729" i="2"/>
  <c r="I729" i="2"/>
  <c r="J729" i="2"/>
  <c r="K729" i="2"/>
  <c r="L729" i="2"/>
  <c r="M729" i="2"/>
  <c r="N729" i="2"/>
  <c r="O729" i="2"/>
  <c r="B730" i="2"/>
  <c r="C730" i="2"/>
  <c r="D730" i="2"/>
  <c r="E730" i="2"/>
  <c r="F730" i="2"/>
  <c r="G730" i="2"/>
  <c r="H730" i="2"/>
  <c r="I730" i="2"/>
  <c r="J730" i="2"/>
  <c r="K730" i="2"/>
  <c r="L730" i="2"/>
  <c r="M730" i="2"/>
  <c r="N730" i="2"/>
  <c r="O730" i="2"/>
  <c r="B731" i="2"/>
  <c r="C731" i="2"/>
  <c r="D731" i="2"/>
  <c r="E731" i="2"/>
  <c r="F731" i="2"/>
  <c r="G731" i="2"/>
  <c r="H731" i="2"/>
  <c r="I731" i="2"/>
  <c r="J731" i="2"/>
  <c r="K731" i="2"/>
  <c r="L731" i="2"/>
  <c r="M731" i="2"/>
  <c r="N731" i="2"/>
  <c r="O731" i="2"/>
  <c r="B732" i="2"/>
  <c r="C732" i="2"/>
  <c r="D732" i="2"/>
  <c r="E732" i="2"/>
  <c r="F732" i="2"/>
  <c r="G732" i="2"/>
  <c r="H732" i="2"/>
  <c r="I732" i="2"/>
  <c r="J732" i="2"/>
  <c r="K732" i="2"/>
  <c r="L732" i="2"/>
  <c r="M732" i="2"/>
  <c r="N732" i="2"/>
  <c r="O732" i="2"/>
  <c r="B733" i="2"/>
  <c r="C733" i="2"/>
  <c r="D733" i="2"/>
  <c r="E733" i="2"/>
  <c r="F733" i="2"/>
  <c r="G733" i="2"/>
  <c r="H733" i="2"/>
  <c r="I733" i="2"/>
  <c r="J733" i="2"/>
  <c r="K733" i="2"/>
  <c r="L733" i="2"/>
  <c r="M733" i="2"/>
  <c r="N733" i="2"/>
  <c r="O733" i="2"/>
  <c r="B734" i="2"/>
  <c r="C734" i="2"/>
  <c r="D734" i="2"/>
  <c r="E734" i="2"/>
  <c r="F734" i="2"/>
  <c r="G734" i="2"/>
  <c r="H734" i="2"/>
  <c r="I734" i="2"/>
  <c r="J734" i="2"/>
  <c r="K734" i="2"/>
  <c r="L734" i="2"/>
  <c r="M734" i="2"/>
  <c r="N734" i="2"/>
  <c r="O734" i="2"/>
  <c r="B735" i="2"/>
  <c r="C735" i="2"/>
  <c r="D735" i="2"/>
  <c r="E735" i="2"/>
  <c r="F735" i="2"/>
  <c r="G735" i="2"/>
  <c r="H735" i="2"/>
  <c r="I735" i="2"/>
  <c r="J735" i="2"/>
  <c r="K735" i="2"/>
  <c r="L735" i="2"/>
  <c r="M735" i="2"/>
  <c r="N735" i="2"/>
  <c r="O735" i="2"/>
  <c r="B736" i="2"/>
  <c r="C736" i="2"/>
  <c r="D736" i="2"/>
  <c r="E736" i="2"/>
  <c r="F736" i="2"/>
  <c r="G736" i="2"/>
  <c r="H736" i="2"/>
  <c r="I736" i="2"/>
  <c r="J736" i="2"/>
  <c r="K736" i="2"/>
  <c r="L736" i="2"/>
  <c r="M736" i="2"/>
  <c r="N736" i="2"/>
  <c r="O736" i="2"/>
  <c r="B737" i="2"/>
  <c r="C737" i="2"/>
  <c r="D737" i="2"/>
  <c r="E737" i="2"/>
  <c r="F737" i="2"/>
  <c r="G737" i="2"/>
  <c r="H737" i="2"/>
  <c r="I737" i="2"/>
  <c r="J737" i="2"/>
  <c r="K737" i="2"/>
  <c r="L737" i="2"/>
  <c r="M737" i="2"/>
  <c r="N737" i="2"/>
  <c r="O737" i="2"/>
  <c r="B738" i="2"/>
  <c r="C738" i="2"/>
  <c r="D738" i="2"/>
  <c r="E738" i="2"/>
  <c r="F738" i="2"/>
  <c r="G738" i="2"/>
  <c r="H738" i="2"/>
  <c r="I738" i="2"/>
  <c r="J738" i="2"/>
  <c r="K738" i="2"/>
  <c r="L738" i="2"/>
  <c r="M738" i="2"/>
  <c r="N738" i="2"/>
  <c r="O738" i="2"/>
  <c r="B739" i="2"/>
  <c r="C739" i="2"/>
  <c r="D739" i="2"/>
  <c r="E739" i="2"/>
  <c r="F739" i="2"/>
  <c r="G739" i="2"/>
  <c r="H739" i="2"/>
  <c r="I739" i="2"/>
  <c r="J739" i="2"/>
  <c r="K739" i="2"/>
  <c r="L739" i="2"/>
  <c r="M739" i="2"/>
  <c r="N739" i="2"/>
  <c r="O739" i="2"/>
  <c r="B740" i="2"/>
  <c r="C740" i="2"/>
  <c r="D740" i="2"/>
  <c r="E740" i="2"/>
  <c r="F740" i="2"/>
  <c r="G740" i="2"/>
  <c r="H740" i="2"/>
  <c r="I740" i="2"/>
  <c r="J740" i="2"/>
  <c r="K740" i="2"/>
  <c r="L740" i="2"/>
  <c r="M740" i="2"/>
  <c r="N740" i="2"/>
  <c r="O740" i="2"/>
  <c r="B741" i="2"/>
  <c r="C741" i="2"/>
  <c r="D741" i="2"/>
  <c r="E741" i="2"/>
  <c r="F741" i="2"/>
  <c r="G741" i="2"/>
  <c r="H741" i="2"/>
  <c r="I741" i="2"/>
  <c r="J741" i="2"/>
  <c r="K741" i="2"/>
  <c r="L741" i="2"/>
  <c r="M741" i="2"/>
  <c r="N741" i="2"/>
  <c r="O741" i="2"/>
  <c r="B742" i="2"/>
  <c r="C742" i="2"/>
  <c r="D742" i="2"/>
  <c r="E742" i="2"/>
  <c r="F742" i="2"/>
  <c r="G742" i="2"/>
  <c r="H742" i="2"/>
  <c r="I742" i="2"/>
  <c r="J742" i="2"/>
  <c r="K742" i="2"/>
  <c r="L742" i="2"/>
  <c r="M742" i="2"/>
  <c r="N742" i="2"/>
  <c r="O742" i="2"/>
  <c r="B743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O743" i="2"/>
  <c r="B744" i="2"/>
  <c r="C744" i="2"/>
  <c r="D744" i="2"/>
  <c r="E744" i="2"/>
  <c r="F744" i="2"/>
  <c r="G744" i="2"/>
  <c r="H744" i="2"/>
  <c r="I744" i="2"/>
  <c r="J744" i="2"/>
  <c r="K744" i="2"/>
  <c r="L744" i="2"/>
  <c r="M744" i="2"/>
  <c r="N744" i="2"/>
  <c r="O744" i="2"/>
  <c r="B745" i="2"/>
  <c r="C745" i="2"/>
  <c r="D745" i="2"/>
  <c r="E745" i="2"/>
  <c r="F745" i="2"/>
  <c r="G745" i="2"/>
  <c r="H745" i="2"/>
  <c r="I745" i="2"/>
  <c r="J745" i="2"/>
  <c r="K745" i="2"/>
  <c r="L745" i="2"/>
  <c r="M745" i="2"/>
  <c r="N745" i="2"/>
  <c r="O745" i="2"/>
  <c r="B746" i="2"/>
  <c r="C746" i="2"/>
  <c r="D746" i="2"/>
  <c r="E746" i="2"/>
  <c r="F746" i="2"/>
  <c r="G746" i="2"/>
  <c r="H746" i="2"/>
  <c r="I746" i="2"/>
  <c r="J746" i="2"/>
  <c r="K746" i="2"/>
  <c r="L746" i="2"/>
  <c r="M746" i="2"/>
  <c r="N746" i="2"/>
  <c r="O746" i="2"/>
  <c r="B747" i="2"/>
  <c r="C747" i="2"/>
  <c r="D747" i="2"/>
  <c r="E747" i="2"/>
  <c r="F747" i="2"/>
  <c r="G747" i="2"/>
  <c r="H747" i="2"/>
  <c r="I747" i="2"/>
  <c r="J747" i="2"/>
  <c r="K747" i="2"/>
  <c r="L747" i="2"/>
  <c r="M747" i="2"/>
  <c r="N747" i="2"/>
  <c r="O747" i="2"/>
  <c r="B748" i="2"/>
  <c r="C748" i="2"/>
  <c r="D748" i="2"/>
  <c r="E748" i="2"/>
  <c r="F748" i="2"/>
  <c r="G748" i="2"/>
  <c r="H748" i="2"/>
  <c r="I748" i="2"/>
  <c r="J748" i="2"/>
  <c r="K748" i="2"/>
  <c r="L748" i="2"/>
  <c r="M748" i="2"/>
  <c r="N748" i="2"/>
  <c r="O748" i="2"/>
  <c r="B749" i="2"/>
  <c r="C749" i="2"/>
  <c r="D749" i="2"/>
  <c r="E749" i="2"/>
  <c r="F749" i="2"/>
  <c r="G749" i="2"/>
  <c r="H749" i="2"/>
  <c r="I749" i="2"/>
  <c r="J749" i="2"/>
  <c r="K749" i="2"/>
  <c r="L749" i="2"/>
  <c r="M749" i="2"/>
  <c r="N749" i="2"/>
  <c r="O749" i="2"/>
  <c r="B750" i="2"/>
  <c r="C750" i="2"/>
  <c r="D750" i="2"/>
  <c r="E750" i="2"/>
  <c r="F750" i="2"/>
  <c r="G750" i="2"/>
  <c r="H750" i="2"/>
  <c r="I750" i="2"/>
  <c r="J750" i="2"/>
  <c r="K750" i="2"/>
  <c r="L750" i="2"/>
  <c r="M750" i="2"/>
  <c r="N750" i="2"/>
  <c r="O750" i="2"/>
  <c r="B751" i="2"/>
  <c r="C751" i="2"/>
  <c r="D751" i="2"/>
  <c r="E751" i="2"/>
  <c r="F751" i="2"/>
  <c r="G751" i="2"/>
  <c r="H751" i="2"/>
  <c r="I751" i="2"/>
  <c r="J751" i="2"/>
  <c r="K751" i="2"/>
  <c r="L751" i="2"/>
  <c r="M751" i="2"/>
  <c r="N751" i="2"/>
  <c r="O751" i="2"/>
  <c r="B752" i="2"/>
  <c r="C752" i="2"/>
  <c r="D752" i="2"/>
  <c r="E752" i="2"/>
  <c r="F752" i="2"/>
  <c r="G752" i="2"/>
  <c r="H752" i="2"/>
  <c r="I752" i="2"/>
  <c r="J752" i="2"/>
  <c r="K752" i="2"/>
  <c r="L752" i="2"/>
  <c r="M752" i="2"/>
  <c r="N752" i="2"/>
  <c r="O752" i="2"/>
  <c r="B753" i="2"/>
  <c r="C753" i="2"/>
  <c r="D753" i="2"/>
  <c r="E753" i="2"/>
  <c r="F753" i="2"/>
  <c r="G753" i="2"/>
  <c r="H753" i="2"/>
  <c r="I753" i="2"/>
  <c r="J753" i="2"/>
  <c r="K753" i="2"/>
  <c r="L753" i="2"/>
  <c r="M753" i="2"/>
  <c r="N753" i="2"/>
  <c r="O753" i="2"/>
  <c r="B754" i="2"/>
  <c r="C754" i="2"/>
  <c r="D754" i="2"/>
  <c r="E754" i="2"/>
  <c r="F754" i="2"/>
  <c r="G754" i="2"/>
  <c r="H754" i="2"/>
  <c r="I754" i="2"/>
  <c r="J754" i="2"/>
  <c r="K754" i="2"/>
  <c r="L754" i="2"/>
  <c r="M754" i="2"/>
  <c r="N754" i="2"/>
  <c r="O754" i="2"/>
  <c r="B755" i="2"/>
  <c r="C755" i="2"/>
  <c r="D755" i="2"/>
  <c r="E755" i="2"/>
  <c r="F755" i="2"/>
  <c r="G755" i="2"/>
  <c r="H755" i="2"/>
  <c r="I755" i="2"/>
  <c r="J755" i="2"/>
  <c r="K755" i="2"/>
  <c r="L755" i="2"/>
  <c r="M755" i="2"/>
  <c r="N755" i="2"/>
  <c r="O755" i="2"/>
  <c r="B756" i="2"/>
  <c r="C756" i="2"/>
  <c r="D756" i="2"/>
  <c r="E756" i="2"/>
  <c r="F756" i="2"/>
  <c r="G756" i="2"/>
  <c r="H756" i="2"/>
  <c r="I756" i="2"/>
  <c r="J756" i="2"/>
  <c r="K756" i="2"/>
  <c r="L756" i="2"/>
  <c r="M756" i="2"/>
  <c r="N756" i="2"/>
  <c r="O756" i="2"/>
  <c r="B757" i="2"/>
  <c r="C757" i="2"/>
  <c r="D757" i="2"/>
  <c r="E757" i="2"/>
  <c r="F757" i="2"/>
  <c r="G757" i="2"/>
  <c r="H757" i="2"/>
  <c r="I757" i="2"/>
  <c r="J757" i="2"/>
  <c r="K757" i="2"/>
  <c r="L757" i="2"/>
  <c r="M757" i="2"/>
  <c r="N757" i="2"/>
  <c r="O757" i="2"/>
  <c r="B758" i="2"/>
  <c r="C758" i="2"/>
  <c r="D758" i="2"/>
  <c r="E758" i="2"/>
  <c r="F758" i="2"/>
  <c r="G758" i="2"/>
  <c r="H758" i="2"/>
  <c r="I758" i="2"/>
  <c r="J758" i="2"/>
  <c r="K758" i="2"/>
  <c r="L758" i="2"/>
  <c r="M758" i="2"/>
  <c r="N758" i="2"/>
  <c r="O758" i="2"/>
  <c r="B759" i="2"/>
  <c r="C759" i="2"/>
  <c r="D759" i="2"/>
  <c r="E759" i="2"/>
  <c r="F759" i="2"/>
  <c r="G759" i="2"/>
  <c r="H759" i="2"/>
  <c r="I759" i="2"/>
  <c r="J759" i="2"/>
  <c r="K759" i="2"/>
  <c r="L759" i="2"/>
  <c r="M759" i="2"/>
  <c r="N759" i="2"/>
  <c r="O759" i="2"/>
  <c r="B760" i="2"/>
  <c r="C760" i="2"/>
  <c r="D760" i="2"/>
  <c r="E760" i="2"/>
  <c r="F760" i="2"/>
  <c r="G760" i="2"/>
  <c r="H760" i="2"/>
  <c r="I760" i="2"/>
  <c r="J760" i="2"/>
  <c r="K760" i="2"/>
  <c r="L760" i="2"/>
  <c r="M760" i="2"/>
  <c r="N760" i="2"/>
  <c r="O760" i="2"/>
  <c r="B761" i="2"/>
  <c r="C761" i="2"/>
  <c r="D761" i="2"/>
  <c r="E761" i="2"/>
  <c r="F761" i="2"/>
  <c r="G761" i="2"/>
  <c r="H761" i="2"/>
  <c r="I761" i="2"/>
  <c r="J761" i="2"/>
  <c r="K761" i="2"/>
  <c r="L761" i="2"/>
  <c r="M761" i="2"/>
  <c r="N761" i="2"/>
  <c r="O761" i="2"/>
  <c r="B762" i="2"/>
  <c r="C762" i="2"/>
  <c r="D762" i="2"/>
  <c r="E762" i="2"/>
  <c r="F762" i="2"/>
  <c r="G762" i="2"/>
  <c r="H762" i="2"/>
  <c r="I762" i="2"/>
  <c r="J762" i="2"/>
  <c r="K762" i="2"/>
  <c r="L762" i="2"/>
  <c r="M762" i="2"/>
  <c r="N762" i="2"/>
  <c r="O762" i="2"/>
  <c r="B763" i="2"/>
  <c r="C763" i="2"/>
  <c r="D763" i="2"/>
  <c r="E763" i="2"/>
  <c r="F763" i="2"/>
  <c r="G763" i="2"/>
  <c r="H763" i="2"/>
  <c r="I763" i="2"/>
  <c r="J763" i="2"/>
  <c r="K763" i="2"/>
  <c r="L763" i="2"/>
  <c r="M763" i="2"/>
  <c r="N763" i="2"/>
  <c r="O763" i="2"/>
  <c r="B764" i="2"/>
  <c r="C764" i="2"/>
  <c r="D764" i="2"/>
  <c r="E764" i="2"/>
  <c r="F764" i="2"/>
  <c r="G764" i="2"/>
  <c r="H764" i="2"/>
  <c r="I764" i="2"/>
  <c r="J764" i="2"/>
  <c r="K764" i="2"/>
  <c r="L764" i="2"/>
  <c r="M764" i="2"/>
  <c r="N764" i="2"/>
  <c r="O764" i="2"/>
  <c r="B765" i="2"/>
  <c r="C765" i="2"/>
  <c r="D765" i="2"/>
  <c r="E765" i="2"/>
  <c r="F765" i="2"/>
  <c r="G765" i="2"/>
  <c r="H765" i="2"/>
  <c r="I765" i="2"/>
  <c r="J765" i="2"/>
  <c r="K765" i="2"/>
  <c r="L765" i="2"/>
  <c r="M765" i="2"/>
  <c r="N765" i="2"/>
  <c r="O765" i="2"/>
  <c r="B766" i="2"/>
  <c r="C766" i="2"/>
  <c r="D766" i="2"/>
  <c r="E766" i="2"/>
  <c r="F766" i="2"/>
  <c r="G766" i="2"/>
  <c r="H766" i="2"/>
  <c r="I766" i="2"/>
  <c r="J766" i="2"/>
  <c r="K766" i="2"/>
  <c r="L766" i="2"/>
  <c r="M766" i="2"/>
  <c r="N766" i="2"/>
  <c r="O766" i="2"/>
  <c r="B767" i="2"/>
  <c r="C767" i="2"/>
  <c r="D767" i="2"/>
  <c r="E767" i="2"/>
  <c r="F767" i="2"/>
  <c r="G767" i="2"/>
  <c r="H767" i="2"/>
  <c r="I767" i="2"/>
  <c r="J767" i="2"/>
  <c r="K767" i="2"/>
  <c r="L767" i="2"/>
  <c r="M767" i="2"/>
  <c r="N767" i="2"/>
  <c r="O767" i="2"/>
  <c r="B768" i="2"/>
  <c r="C768" i="2"/>
  <c r="D768" i="2"/>
  <c r="E768" i="2"/>
  <c r="F768" i="2"/>
  <c r="G768" i="2"/>
  <c r="H768" i="2"/>
  <c r="I768" i="2"/>
  <c r="J768" i="2"/>
  <c r="K768" i="2"/>
  <c r="L768" i="2"/>
  <c r="M768" i="2"/>
  <c r="N768" i="2"/>
  <c r="O768" i="2"/>
  <c r="B769" i="2"/>
  <c r="C769" i="2"/>
  <c r="D769" i="2"/>
  <c r="E769" i="2"/>
  <c r="F769" i="2"/>
  <c r="G769" i="2"/>
  <c r="H769" i="2"/>
  <c r="I769" i="2"/>
  <c r="J769" i="2"/>
  <c r="K769" i="2"/>
  <c r="L769" i="2"/>
  <c r="M769" i="2"/>
  <c r="N769" i="2"/>
  <c r="O769" i="2"/>
  <c r="B770" i="2"/>
  <c r="C770" i="2"/>
  <c r="D770" i="2"/>
  <c r="E770" i="2"/>
  <c r="F770" i="2"/>
  <c r="G770" i="2"/>
  <c r="H770" i="2"/>
  <c r="I770" i="2"/>
  <c r="J770" i="2"/>
  <c r="K770" i="2"/>
  <c r="L770" i="2"/>
  <c r="M770" i="2"/>
  <c r="N770" i="2"/>
  <c r="O770" i="2"/>
  <c r="B771" i="2"/>
  <c r="C771" i="2"/>
  <c r="D771" i="2"/>
  <c r="E771" i="2"/>
  <c r="F771" i="2"/>
  <c r="G771" i="2"/>
  <c r="H771" i="2"/>
  <c r="I771" i="2"/>
  <c r="J771" i="2"/>
  <c r="K771" i="2"/>
  <c r="L771" i="2"/>
  <c r="M771" i="2"/>
  <c r="N771" i="2"/>
  <c r="O771" i="2"/>
  <c r="B772" i="2"/>
  <c r="C772" i="2"/>
  <c r="D772" i="2"/>
  <c r="E772" i="2"/>
  <c r="F772" i="2"/>
  <c r="G772" i="2"/>
  <c r="H772" i="2"/>
  <c r="I772" i="2"/>
  <c r="J772" i="2"/>
  <c r="K772" i="2"/>
  <c r="L772" i="2"/>
  <c r="M772" i="2"/>
  <c r="N772" i="2"/>
  <c r="O772" i="2"/>
  <c r="B773" i="2"/>
  <c r="C773" i="2"/>
  <c r="D773" i="2"/>
  <c r="E773" i="2"/>
  <c r="F773" i="2"/>
  <c r="G773" i="2"/>
  <c r="H773" i="2"/>
  <c r="I773" i="2"/>
  <c r="J773" i="2"/>
  <c r="K773" i="2"/>
  <c r="L773" i="2"/>
  <c r="M773" i="2"/>
  <c r="N773" i="2"/>
  <c r="O773" i="2"/>
  <c r="B774" i="2"/>
  <c r="C774" i="2"/>
  <c r="D774" i="2"/>
  <c r="E774" i="2"/>
  <c r="F774" i="2"/>
  <c r="G774" i="2"/>
  <c r="H774" i="2"/>
  <c r="I774" i="2"/>
  <c r="J774" i="2"/>
  <c r="K774" i="2"/>
  <c r="L774" i="2"/>
  <c r="M774" i="2"/>
  <c r="N774" i="2"/>
  <c r="O774" i="2"/>
  <c r="B775" i="2"/>
  <c r="C775" i="2"/>
  <c r="D775" i="2"/>
  <c r="E775" i="2"/>
  <c r="F775" i="2"/>
  <c r="G775" i="2"/>
  <c r="H775" i="2"/>
  <c r="I775" i="2"/>
  <c r="J775" i="2"/>
  <c r="K775" i="2"/>
  <c r="L775" i="2"/>
  <c r="M775" i="2"/>
  <c r="N775" i="2"/>
  <c r="O775" i="2"/>
  <c r="B776" i="2"/>
  <c r="C776" i="2"/>
  <c r="D776" i="2"/>
  <c r="E776" i="2"/>
  <c r="F776" i="2"/>
  <c r="G776" i="2"/>
  <c r="H776" i="2"/>
  <c r="I776" i="2"/>
  <c r="J776" i="2"/>
  <c r="K776" i="2"/>
  <c r="L776" i="2"/>
  <c r="M776" i="2"/>
  <c r="N776" i="2"/>
  <c r="O776" i="2"/>
  <c r="B777" i="2"/>
  <c r="C777" i="2"/>
  <c r="D777" i="2"/>
  <c r="E777" i="2"/>
  <c r="F777" i="2"/>
  <c r="G777" i="2"/>
  <c r="H777" i="2"/>
  <c r="I777" i="2"/>
  <c r="J777" i="2"/>
  <c r="K777" i="2"/>
  <c r="L777" i="2"/>
  <c r="M777" i="2"/>
  <c r="N777" i="2"/>
  <c r="O777" i="2"/>
  <c r="B778" i="2"/>
  <c r="C778" i="2"/>
  <c r="D778" i="2"/>
  <c r="E778" i="2"/>
  <c r="F778" i="2"/>
  <c r="G778" i="2"/>
  <c r="H778" i="2"/>
  <c r="I778" i="2"/>
  <c r="J778" i="2"/>
  <c r="K778" i="2"/>
  <c r="L778" i="2"/>
  <c r="M778" i="2"/>
  <c r="N778" i="2"/>
  <c r="O778" i="2"/>
  <c r="B779" i="2"/>
  <c r="C779" i="2"/>
  <c r="D779" i="2"/>
  <c r="E779" i="2"/>
  <c r="F779" i="2"/>
  <c r="G779" i="2"/>
  <c r="H779" i="2"/>
  <c r="I779" i="2"/>
  <c r="J779" i="2"/>
  <c r="K779" i="2"/>
  <c r="L779" i="2"/>
  <c r="M779" i="2"/>
  <c r="N779" i="2"/>
  <c r="O779" i="2"/>
  <c r="B780" i="2"/>
  <c r="C780" i="2"/>
  <c r="D780" i="2"/>
  <c r="E780" i="2"/>
  <c r="F780" i="2"/>
  <c r="G780" i="2"/>
  <c r="H780" i="2"/>
  <c r="I780" i="2"/>
  <c r="J780" i="2"/>
  <c r="K780" i="2"/>
  <c r="L780" i="2"/>
  <c r="M780" i="2"/>
  <c r="N780" i="2"/>
  <c r="O780" i="2"/>
  <c r="B781" i="2"/>
  <c r="C781" i="2"/>
  <c r="D781" i="2"/>
  <c r="E781" i="2"/>
  <c r="F781" i="2"/>
  <c r="G781" i="2"/>
  <c r="H781" i="2"/>
  <c r="I781" i="2"/>
  <c r="J781" i="2"/>
  <c r="K781" i="2"/>
  <c r="L781" i="2"/>
  <c r="M781" i="2"/>
  <c r="N781" i="2"/>
  <c r="O781" i="2"/>
  <c r="B782" i="2"/>
  <c r="C782" i="2"/>
  <c r="D782" i="2"/>
  <c r="E782" i="2"/>
  <c r="F782" i="2"/>
  <c r="G782" i="2"/>
  <c r="H782" i="2"/>
  <c r="I782" i="2"/>
  <c r="J782" i="2"/>
  <c r="K782" i="2"/>
  <c r="L782" i="2"/>
  <c r="M782" i="2"/>
  <c r="N782" i="2"/>
  <c r="O782" i="2"/>
  <c r="B783" i="2"/>
  <c r="C783" i="2"/>
  <c r="D783" i="2"/>
  <c r="E783" i="2"/>
  <c r="F783" i="2"/>
  <c r="G783" i="2"/>
  <c r="H783" i="2"/>
  <c r="I783" i="2"/>
  <c r="J783" i="2"/>
  <c r="K783" i="2"/>
  <c r="L783" i="2"/>
  <c r="M783" i="2"/>
  <c r="N783" i="2"/>
  <c r="O783" i="2"/>
  <c r="B784" i="2"/>
  <c r="C784" i="2"/>
  <c r="D784" i="2"/>
  <c r="E784" i="2"/>
  <c r="F784" i="2"/>
  <c r="G784" i="2"/>
  <c r="H784" i="2"/>
  <c r="I784" i="2"/>
  <c r="J784" i="2"/>
  <c r="K784" i="2"/>
  <c r="L784" i="2"/>
  <c r="M784" i="2"/>
  <c r="N784" i="2"/>
  <c r="O784" i="2"/>
  <c r="B785" i="2"/>
  <c r="C785" i="2"/>
  <c r="D785" i="2"/>
  <c r="E785" i="2"/>
  <c r="F785" i="2"/>
  <c r="G785" i="2"/>
  <c r="H785" i="2"/>
  <c r="I785" i="2"/>
  <c r="J785" i="2"/>
  <c r="K785" i="2"/>
  <c r="L785" i="2"/>
  <c r="M785" i="2"/>
  <c r="N785" i="2"/>
  <c r="O785" i="2"/>
  <c r="B786" i="2"/>
  <c r="C786" i="2"/>
  <c r="D786" i="2"/>
  <c r="E786" i="2"/>
  <c r="F786" i="2"/>
  <c r="G786" i="2"/>
  <c r="H786" i="2"/>
  <c r="I786" i="2"/>
  <c r="J786" i="2"/>
  <c r="K786" i="2"/>
  <c r="L786" i="2"/>
  <c r="M786" i="2"/>
  <c r="N786" i="2"/>
  <c r="O786" i="2"/>
  <c r="B787" i="2"/>
  <c r="C787" i="2"/>
  <c r="D787" i="2"/>
  <c r="E787" i="2"/>
  <c r="F787" i="2"/>
  <c r="G787" i="2"/>
  <c r="H787" i="2"/>
  <c r="I787" i="2"/>
  <c r="J787" i="2"/>
  <c r="K787" i="2"/>
  <c r="L787" i="2"/>
  <c r="M787" i="2"/>
  <c r="N787" i="2"/>
  <c r="O787" i="2"/>
  <c r="B788" i="2"/>
  <c r="C788" i="2"/>
  <c r="D788" i="2"/>
  <c r="E788" i="2"/>
  <c r="F788" i="2"/>
  <c r="G788" i="2"/>
  <c r="H788" i="2"/>
  <c r="I788" i="2"/>
  <c r="J788" i="2"/>
  <c r="K788" i="2"/>
  <c r="L788" i="2"/>
  <c r="M788" i="2"/>
  <c r="N788" i="2"/>
  <c r="O788" i="2"/>
  <c r="B789" i="2"/>
  <c r="C789" i="2"/>
  <c r="D789" i="2"/>
  <c r="E789" i="2"/>
  <c r="F789" i="2"/>
  <c r="G789" i="2"/>
  <c r="H789" i="2"/>
  <c r="I789" i="2"/>
  <c r="J789" i="2"/>
  <c r="K789" i="2"/>
  <c r="L789" i="2"/>
  <c r="M789" i="2"/>
  <c r="N789" i="2"/>
  <c r="O789" i="2"/>
  <c r="B790" i="2"/>
  <c r="C790" i="2"/>
  <c r="D790" i="2"/>
  <c r="E790" i="2"/>
  <c r="F790" i="2"/>
  <c r="G790" i="2"/>
  <c r="H790" i="2"/>
  <c r="I790" i="2"/>
  <c r="J790" i="2"/>
  <c r="K790" i="2"/>
  <c r="L790" i="2"/>
  <c r="M790" i="2"/>
  <c r="N790" i="2"/>
  <c r="O790" i="2"/>
  <c r="B791" i="2"/>
  <c r="C791" i="2"/>
  <c r="D791" i="2"/>
  <c r="E791" i="2"/>
  <c r="F791" i="2"/>
  <c r="G791" i="2"/>
  <c r="H791" i="2"/>
  <c r="I791" i="2"/>
  <c r="J791" i="2"/>
  <c r="K791" i="2"/>
  <c r="L791" i="2"/>
  <c r="M791" i="2"/>
  <c r="N791" i="2"/>
  <c r="O791" i="2"/>
  <c r="B792" i="2"/>
  <c r="C792" i="2"/>
  <c r="D792" i="2"/>
  <c r="E792" i="2"/>
  <c r="F792" i="2"/>
  <c r="G792" i="2"/>
  <c r="H792" i="2"/>
  <c r="I792" i="2"/>
  <c r="J792" i="2"/>
  <c r="K792" i="2"/>
  <c r="L792" i="2"/>
  <c r="M792" i="2"/>
  <c r="N792" i="2"/>
  <c r="O792" i="2"/>
  <c r="B793" i="2"/>
  <c r="C793" i="2"/>
  <c r="D793" i="2"/>
  <c r="E793" i="2"/>
  <c r="F793" i="2"/>
  <c r="G793" i="2"/>
  <c r="H793" i="2"/>
  <c r="I793" i="2"/>
  <c r="J793" i="2"/>
  <c r="K793" i="2"/>
  <c r="L793" i="2"/>
  <c r="M793" i="2"/>
  <c r="N793" i="2"/>
  <c r="O793" i="2"/>
  <c r="B794" i="2"/>
  <c r="C794" i="2"/>
  <c r="D794" i="2"/>
  <c r="E794" i="2"/>
  <c r="F794" i="2"/>
  <c r="G794" i="2"/>
  <c r="H794" i="2"/>
  <c r="I794" i="2"/>
  <c r="J794" i="2"/>
  <c r="K794" i="2"/>
  <c r="L794" i="2"/>
  <c r="M794" i="2"/>
  <c r="N794" i="2"/>
  <c r="O794" i="2"/>
  <c r="B795" i="2"/>
  <c r="C795" i="2"/>
  <c r="D795" i="2"/>
  <c r="E795" i="2"/>
  <c r="F795" i="2"/>
  <c r="G795" i="2"/>
  <c r="H795" i="2"/>
  <c r="I795" i="2"/>
  <c r="J795" i="2"/>
  <c r="K795" i="2"/>
  <c r="L795" i="2"/>
  <c r="M795" i="2"/>
  <c r="N795" i="2"/>
  <c r="O795" i="2"/>
  <c r="B796" i="2"/>
  <c r="C796" i="2"/>
  <c r="D796" i="2"/>
  <c r="E796" i="2"/>
  <c r="F796" i="2"/>
  <c r="G796" i="2"/>
  <c r="H796" i="2"/>
  <c r="I796" i="2"/>
  <c r="J796" i="2"/>
  <c r="K796" i="2"/>
  <c r="L796" i="2"/>
  <c r="M796" i="2"/>
  <c r="N796" i="2"/>
  <c r="O796" i="2"/>
  <c r="B797" i="2"/>
  <c r="C797" i="2"/>
  <c r="D797" i="2"/>
  <c r="E797" i="2"/>
  <c r="F797" i="2"/>
  <c r="G797" i="2"/>
  <c r="H797" i="2"/>
  <c r="I797" i="2"/>
  <c r="J797" i="2"/>
  <c r="K797" i="2"/>
  <c r="L797" i="2"/>
  <c r="M797" i="2"/>
  <c r="N797" i="2"/>
  <c r="O797" i="2"/>
  <c r="B798" i="2"/>
  <c r="C798" i="2"/>
  <c r="D798" i="2"/>
  <c r="E798" i="2"/>
  <c r="F798" i="2"/>
  <c r="G798" i="2"/>
  <c r="H798" i="2"/>
  <c r="I798" i="2"/>
  <c r="J798" i="2"/>
  <c r="K798" i="2"/>
  <c r="L798" i="2"/>
  <c r="M798" i="2"/>
  <c r="N798" i="2"/>
  <c r="O798" i="2"/>
  <c r="B799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O799" i="2"/>
  <c r="B800" i="2"/>
  <c r="C800" i="2"/>
  <c r="D800" i="2"/>
  <c r="E800" i="2"/>
  <c r="F800" i="2"/>
  <c r="G800" i="2"/>
  <c r="H800" i="2"/>
  <c r="I800" i="2"/>
  <c r="J800" i="2"/>
  <c r="K800" i="2"/>
  <c r="L800" i="2"/>
  <c r="M800" i="2"/>
  <c r="N800" i="2"/>
  <c r="O800" i="2"/>
  <c r="B801" i="2"/>
  <c r="C801" i="2"/>
  <c r="D801" i="2"/>
  <c r="E801" i="2"/>
  <c r="F801" i="2"/>
  <c r="G801" i="2"/>
  <c r="H801" i="2"/>
  <c r="I801" i="2"/>
  <c r="J801" i="2"/>
  <c r="K801" i="2"/>
  <c r="L801" i="2"/>
  <c r="M801" i="2"/>
  <c r="N801" i="2"/>
  <c r="O801" i="2"/>
  <c r="B802" i="2"/>
  <c r="C802" i="2"/>
  <c r="D802" i="2"/>
  <c r="E802" i="2"/>
  <c r="F802" i="2"/>
  <c r="G802" i="2"/>
  <c r="H802" i="2"/>
  <c r="I802" i="2"/>
  <c r="J802" i="2"/>
  <c r="K802" i="2"/>
  <c r="L802" i="2"/>
  <c r="M802" i="2"/>
  <c r="N802" i="2"/>
  <c r="O802" i="2"/>
  <c r="B803" i="2"/>
  <c r="C803" i="2"/>
  <c r="D803" i="2"/>
  <c r="E803" i="2"/>
  <c r="F803" i="2"/>
  <c r="G803" i="2"/>
  <c r="H803" i="2"/>
  <c r="I803" i="2"/>
  <c r="J803" i="2"/>
  <c r="K803" i="2"/>
  <c r="L803" i="2"/>
  <c r="M803" i="2"/>
  <c r="N803" i="2"/>
  <c r="O803" i="2"/>
  <c r="B804" i="2"/>
  <c r="C804" i="2"/>
  <c r="D804" i="2"/>
  <c r="E804" i="2"/>
  <c r="F804" i="2"/>
  <c r="G804" i="2"/>
  <c r="H804" i="2"/>
  <c r="I804" i="2"/>
  <c r="J804" i="2"/>
  <c r="K804" i="2"/>
  <c r="L804" i="2"/>
  <c r="M804" i="2"/>
  <c r="N804" i="2"/>
  <c r="O804" i="2"/>
  <c r="B805" i="2"/>
  <c r="C805" i="2"/>
  <c r="D805" i="2"/>
  <c r="E805" i="2"/>
  <c r="F805" i="2"/>
  <c r="G805" i="2"/>
  <c r="H805" i="2"/>
  <c r="I805" i="2"/>
  <c r="J805" i="2"/>
  <c r="K805" i="2"/>
  <c r="L805" i="2"/>
  <c r="M805" i="2"/>
  <c r="N805" i="2"/>
  <c r="O805" i="2"/>
  <c r="B806" i="2"/>
  <c r="C806" i="2"/>
  <c r="D806" i="2"/>
  <c r="E806" i="2"/>
  <c r="F806" i="2"/>
  <c r="G806" i="2"/>
  <c r="H806" i="2"/>
  <c r="I806" i="2"/>
  <c r="J806" i="2"/>
  <c r="K806" i="2"/>
  <c r="L806" i="2"/>
  <c r="M806" i="2"/>
  <c r="N806" i="2"/>
  <c r="O806" i="2"/>
  <c r="B807" i="2"/>
  <c r="C807" i="2"/>
  <c r="D807" i="2"/>
  <c r="E807" i="2"/>
  <c r="F807" i="2"/>
  <c r="G807" i="2"/>
  <c r="H807" i="2"/>
  <c r="I807" i="2"/>
  <c r="J807" i="2"/>
  <c r="K807" i="2"/>
  <c r="L807" i="2"/>
  <c r="M807" i="2"/>
  <c r="N807" i="2"/>
  <c r="O807" i="2"/>
  <c r="B808" i="2"/>
  <c r="C808" i="2"/>
  <c r="D808" i="2"/>
  <c r="E808" i="2"/>
  <c r="F808" i="2"/>
  <c r="G808" i="2"/>
  <c r="H808" i="2"/>
  <c r="I808" i="2"/>
  <c r="J808" i="2"/>
  <c r="K808" i="2"/>
  <c r="L808" i="2"/>
  <c r="M808" i="2"/>
  <c r="N808" i="2"/>
  <c r="O808" i="2"/>
  <c r="B809" i="2"/>
  <c r="C809" i="2"/>
  <c r="D809" i="2"/>
  <c r="E809" i="2"/>
  <c r="F809" i="2"/>
  <c r="G809" i="2"/>
  <c r="H809" i="2"/>
  <c r="I809" i="2"/>
  <c r="J809" i="2"/>
  <c r="K809" i="2"/>
  <c r="L809" i="2"/>
  <c r="M809" i="2"/>
  <c r="N809" i="2"/>
  <c r="O809" i="2"/>
  <c r="B810" i="2"/>
  <c r="C810" i="2"/>
  <c r="D810" i="2"/>
  <c r="E810" i="2"/>
  <c r="F810" i="2"/>
  <c r="G810" i="2"/>
  <c r="H810" i="2"/>
  <c r="I810" i="2"/>
  <c r="J810" i="2"/>
  <c r="K810" i="2"/>
  <c r="L810" i="2"/>
  <c r="M810" i="2"/>
  <c r="N810" i="2"/>
  <c r="O810" i="2"/>
  <c r="B811" i="2"/>
  <c r="C811" i="2"/>
  <c r="D811" i="2"/>
  <c r="E811" i="2"/>
  <c r="F811" i="2"/>
  <c r="G811" i="2"/>
  <c r="H811" i="2"/>
  <c r="I811" i="2"/>
  <c r="J811" i="2"/>
  <c r="K811" i="2"/>
  <c r="L811" i="2"/>
  <c r="M811" i="2"/>
  <c r="N811" i="2"/>
  <c r="O811" i="2"/>
  <c r="B812" i="2"/>
  <c r="C812" i="2"/>
  <c r="D812" i="2"/>
  <c r="E812" i="2"/>
  <c r="F812" i="2"/>
  <c r="G812" i="2"/>
  <c r="H812" i="2"/>
  <c r="I812" i="2"/>
  <c r="J812" i="2"/>
  <c r="K812" i="2"/>
  <c r="L812" i="2"/>
  <c r="M812" i="2"/>
  <c r="N812" i="2"/>
  <c r="O812" i="2"/>
  <c r="B813" i="2"/>
  <c r="C813" i="2"/>
  <c r="D813" i="2"/>
  <c r="E813" i="2"/>
  <c r="F813" i="2"/>
  <c r="G813" i="2"/>
  <c r="H813" i="2"/>
  <c r="I813" i="2"/>
  <c r="J813" i="2"/>
  <c r="K813" i="2"/>
  <c r="L813" i="2"/>
  <c r="M813" i="2"/>
  <c r="N813" i="2"/>
  <c r="O813" i="2"/>
  <c r="B814" i="2"/>
  <c r="C814" i="2"/>
  <c r="D814" i="2"/>
  <c r="E814" i="2"/>
  <c r="F814" i="2"/>
  <c r="G814" i="2"/>
  <c r="H814" i="2"/>
  <c r="I814" i="2"/>
  <c r="J814" i="2"/>
  <c r="K814" i="2"/>
  <c r="L814" i="2"/>
  <c r="M814" i="2"/>
  <c r="N814" i="2"/>
  <c r="O814" i="2"/>
  <c r="B815" i="2"/>
  <c r="C815" i="2"/>
  <c r="D815" i="2"/>
  <c r="E815" i="2"/>
  <c r="F815" i="2"/>
  <c r="G815" i="2"/>
  <c r="H815" i="2"/>
  <c r="I815" i="2"/>
  <c r="J815" i="2"/>
  <c r="K815" i="2"/>
  <c r="L815" i="2"/>
  <c r="M815" i="2"/>
  <c r="N815" i="2"/>
  <c r="O815" i="2"/>
  <c r="B816" i="2"/>
  <c r="C816" i="2"/>
  <c r="D816" i="2"/>
  <c r="E816" i="2"/>
  <c r="F816" i="2"/>
  <c r="G816" i="2"/>
  <c r="H816" i="2"/>
  <c r="I816" i="2"/>
  <c r="J816" i="2"/>
  <c r="K816" i="2"/>
  <c r="L816" i="2"/>
  <c r="M816" i="2"/>
  <c r="N816" i="2"/>
  <c r="O816" i="2"/>
  <c r="B817" i="2"/>
  <c r="C817" i="2"/>
  <c r="D817" i="2"/>
  <c r="E817" i="2"/>
  <c r="F817" i="2"/>
  <c r="G817" i="2"/>
  <c r="H817" i="2"/>
  <c r="I817" i="2"/>
  <c r="J817" i="2"/>
  <c r="K817" i="2"/>
  <c r="L817" i="2"/>
  <c r="M817" i="2"/>
  <c r="N817" i="2"/>
  <c r="O817" i="2"/>
  <c r="B818" i="2"/>
  <c r="C818" i="2"/>
  <c r="D818" i="2"/>
  <c r="E818" i="2"/>
  <c r="F818" i="2"/>
  <c r="G818" i="2"/>
  <c r="H818" i="2"/>
  <c r="I818" i="2"/>
  <c r="J818" i="2"/>
  <c r="K818" i="2"/>
  <c r="L818" i="2"/>
  <c r="M818" i="2"/>
  <c r="N818" i="2"/>
  <c r="O818" i="2"/>
  <c r="B819" i="2"/>
  <c r="C819" i="2"/>
  <c r="D819" i="2"/>
  <c r="E819" i="2"/>
  <c r="F819" i="2"/>
  <c r="G819" i="2"/>
  <c r="H819" i="2"/>
  <c r="I819" i="2"/>
  <c r="J819" i="2"/>
  <c r="K819" i="2"/>
  <c r="L819" i="2"/>
  <c r="M819" i="2"/>
  <c r="N819" i="2"/>
  <c r="O819" i="2"/>
  <c r="B820" i="2"/>
  <c r="C820" i="2"/>
  <c r="D820" i="2"/>
  <c r="E820" i="2"/>
  <c r="F820" i="2"/>
  <c r="G820" i="2"/>
  <c r="H820" i="2"/>
  <c r="I820" i="2"/>
  <c r="J820" i="2"/>
  <c r="K820" i="2"/>
  <c r="L820" i="2"/>
  <c r="M820" i="2"/>
  <c r="N820" i="2"/>
  <c r="O820" i="2"/>
  <c r="B821" i="2"/>
  <c r="C821" i="2"/>
  <c r="D821" i="2"/>
  <c r="E821" i="2"/>
  <c r="F821" i="2"/>
  <c r="G821" i="2"/>
  <c r="H821" i="2"/>
  <c r="I821" i="2"/>
  <c r="J821" i="2"/>
  <c r="K821" i="2"/>
  <c r="L821" i="2"/>
  <c r="M821" i="2"/>
  <c r="N821" i="2"/>
  <c r="O821" i="2"/>
  <c r="B822" i="2"/>
  <c r="C822" i="2"/>
  <c r="D822" i="2"/>
  <c r="E822" i="2"/>
  <c r="F822" i="2"/>
  <c r="G822" i="2"/>
  <c r="H822" i="2"/>
  <c r="I822" i="2"/>
  <c r="J822" i="2"/>
  <c r="K822" i="2"/>
  <c r="L822" i="2"/>
  <c r="M822" i="2"/>
  <c r="N822" i="2"/>
  <c r="O822" i="2"/>
  <c r="B823" i="2"/>
  <c r="C823" i="2"/>
  <c r="D823" i="2"/>
  <c r="E823" i="2"/>
  <c r="F823" i="2"/>
  <c r="G823" i="2"/>
  <c r="H823" i="2"/>
  <c r="I823" i="2"/>
  <c r="J823" i="2"/>
  <c r="K823" i="2"/>
  <c r="L823" i="2"/>
  <c r="M823" i="2"/>
  <c r="N823" i="2"/>
  <c r="O823" i="2"/>
  <c r="B824" i="2"/>
  <c r="C824" i="2"/>
  <c r="D824" i="2"/>
  <c r="E824" i="2"/>
  <c r="F824" i="2"/>
  <c r="G824" i="2"/>
  <c r="H824" i="2"/>
  <c r="I824" i="2"/>
  <c r="J824" i="2"/>
  <c r="K824" i="2"/>
  <c r="L824" i="2"/>
  <c r="M824" i="2"/>
  <c r="N824" i="2"/>
  <c r="O824" i="2"/>
  <c r="B825" i="2"/>
  <c r="C825" i="2"/>
  <c r="D825" i="2"/>
  <c r="E825" i="2"/>
  <c r="F825" i="2"/>
  <c r="G825" i="2"/>
  <c r="H825" i="2"/>
  <c r="I825" i="2"/>
  <c r="J825" i="2"/>
  <c r="K825" i="2"/>
  <c r="L825" i="2"/>
  <c r="M825" i="2"/>
  <c r="N825" i="2"/>
  <c r="O825" i="2"/>
  <c r="B826" i="2"/>
  <c r="C826" i="2"/>
  <c r="D826" i="2"/>
  <c r="E826" i="2"/>
  <c r="F826" i="2"/>
  <c r="G826" i="2"/>
  <c r="H826" i="2"/>
  <c r="I826" i="2"/>
  <c r="J826" i="2"/>
  <c r="K826" i="2"/>
  <c r="L826" i="2"/>
  <c r="M826" i="2"/>
  <c r="N826" i="2"/>
  <c r="O826" i="2"/>
  <c r="B827" i="2"/>
  <c r="C827" i="2"/>
  <c r="D827" i="2"/>
  <c r="E827" i="2"/>
  <c r="F827" i="2"/>
  <c r="G827" i="2"/>
  <c r="H827" i="2"/>
  <c r="I827" i="2"/>
  <c r="J827" i="2"/>
  <c r="K827" i="2"/>
  <c r="L827" i="2"/>
  <c r="M827" i="2"/>
  <c r="N827" i="2"/>
  <c r="O827" i="2"/>
  <c r="B828" i="2"/>
  <c r="C828" i="2"/>
  <c r="D828" i="2"/>
  <c r="E828" i="2"/>
  <c r="F828" i="2"/>
  <c r="G828" i="2"/>
  <c r="H828" i="2"/>
  <c r="I828" i="2"/>
  <c r="J828" i="2"/>
  <c r="K828" i="2"/>
  <c r="L828" i="2"/>
  <c r="M828" i="2"/>
  <c r="N828" i="2"/>
  <c r="O828" i="2"/>
  <c r="B829" i="2"/>
  <c r="C829" i="2"/>
  <c r="D829" i="2"/>
  <c r="E829" i="2"/>
  <c r="F829" i="2"/>
  <c r="G829" i="2"/>
  <c r="H829" i="2"/>
  <c r="I829" i="2"/>
  <c r="J829" i="2"/>
  <c r="K829" i="2"/>
  <c r="L829" i="2"/>
  <c r="M829" i="2"/>
  <c r="N829" i="2"/>
  <c r="O829" i="2"/>
  <c r="B830" i="2"/>
  <c r="C830" i="2"/>
  <c r="D830" i="2"/>
  <c r="E830" i="2"/>
  <c r="F830" i="2"/>
  <c r="G830" i="2"/>
  <c r="H830" i="2"/>
  <c r="I830" i="2"/>
  <c r="J830" i="2"/>
  <c r="K830" i="2"/>
  <c r="L830" i="2"/>
  <c r="M830" i="2"/>
  <c r="N830" i="2"/>
  <c r="O830" i="2"/>
  <c r="B831" i="2"/>
  <c r="C831" i="2"/>
  <c r="D831" i="2"/>
  <c r="E831" i="2"/>
  <c r="F831" i="2"/>
  <c r="G831" i="2"/>
  <c r="H831" i="2"/>
  <c r="I831" i="2"/>
  <c r="J831" i="2"/>
  <c r="K831" i="2"/>
  <c r="L831" i="2"/>
  <c r="M831" i="2"/>
  <c r="N831" i="2"/>
  <c r="O831" i="2"/>
  <c r="B832" i="2"/>
  <c r="C832" i="2"/>
  <c r="D832" i="2"/>
  <c r="E832" i="2"/>
  <c r="F832" i="2"/>
  <c r="G832" i="2"/>
  <c r="H832" i="2"/>
  <c r="I832" i="2"/>
  <c r="J832" i="2"/>
  <c r="K832" i="2"/>
  <c r="L832" i="2"/>
  <c r="M832" i="2"/>
  <c r="N832" i="2"/>
  <c r="O832" i="2"/>
  <c r="B833" i="2"/>
  <c r="C833" i="2"/>
  <c r="D833" i="2"/>
  <c r="E833" i="2"/>
  <c r="F833" i="2"/>
  <c r="G833" i="2"/>
  <c r="H833" i="2"/>
  <c r="I833" i="2"/>
  <c r="J833" i="2"/>
  <c r="K833" i="2"/>
  <c r="L833" i="2"/>
  <c r="M833" i="2"/>
  <c r="N833" i="2"/>
  <c r="O833" i="2"/>
  <c r="B834" i="2"/>
  <c r="C834" i="2"/>
  <c r="D834" i="2"/>
  <c r="E834" i="2"/>
  <c r="F834" i="2"/>
  <c r="G834" i="2"/>
  <c r="H834" i="2"/>
  <c r="I834" i="2"/>
  <c r="J834" i="2"/>
  <c r="K834" i="2"/>
  <c r="L834" i="2"/>
  <c r="M834" i="2"/>
  <c r="N834" i="2"/>
  <c r="O834" i="2"/>
  <c r="B835" i="2"/>
  <c r="C835" i="2"/>
  <c r="D835" i="2"/>
  <c r="E835" i="2"/>
  <c r="F835" i="2"/>
  <c r="G835" i="2"/>
  <c r="H835" i="2"/>
  <c r="I835" i="2"/>
  <c r="J835" i="2"/>
  <c r="K835" i="2"/>
  <c r="L835" i="2"/>
  <c r="M835" i="2"/>
  <c r="N835" i="2"/>
  <c r="O835" i="2"/>
  <c r="B836" i="2"/>
  <c r="C836" i="2"/>
  <c r="D836" i="2"/>
  <c r="E836" i="2"/>
  <c r="F836" i="2"/>
  <c r="G836" i="2"/>
  <c r="H836" i="2"/>
  <c r="I836" i="2"/>
  <c r="J836" i="2"/>
  <c r="K836" i="2"/>
  <c r="L836" i="2"/>
  <c r="M836" i="2"/>
  <c r="N836" i="2"/>
  <c r="O836" i="2"/>
  <c r="B837" i="2"/>
  <c r="C837" i="2"/>
  <c r="D837" i="2"/>
  <c r="E837" i="2"/>
  <c r="F837" i="2"/>
  <c r="G837" i="2"/>
  <c r="H837" i="2"/>
  <c r="I837" i="2"/>
  <c r="J837" i="2"/>
  <c r="K837" i="2"/>
  <c r="L837" i="2"/>
  <c r="M837" i="2"/>
  <c r="N837" i="2"/>
  <c r="O837" i="2"/>
  <c r="B838" i="2"/>
  <c r="C838" i="2"/>
  <c r="D838" i="2"/>
  <c r="E838" i="2"/>
  <c r="F838" i="2"/>
  <c r="G838" i="2"/>
  <c r="H838" i="2"/>
  <c r="I838" i="2"/>
  <c r="J838" i="2"/>
  <c r="K838" i="2"/>
  <c r="L838" i="2"/>
  <c r="M838" i="2"/>
  <c r="N838" i="2"/>
  <c r="O838" i="2"/>
  <c r="B839" i="2"/>
  <c r="C839" i="2"/>
  <c r="D839" i="2"/>
  <c r="E839" i="2"/>
  <c r="F839" i="2"/>
  <c r="G839" i="2"/>
  <c r="H839" i="2"/>
  <c r="I839" i="2"/>
  <c r="J839" i="2"/>
  <c r="K839" i="2"/>
  <c r="L839" i="2"/>
  <c r="M839" i="2"/>
  <c r="N839" i="2"/>
  <c r="O839" i="2"/>
  <c r="B840" i="2"/>
  <c r="C840" i="2"/>
  <c r="D840" i="2"/>
  <c r="E840" i="2"/>
  <c r="F840" i="2"/>
  <c r="G840" i="2"/>
  <c r="H840" i="2"/>
  <c r="I840" i="2"/>
  <c r="J840" i="2"/>
  <c r="K840" i="2"/>
  <c r="L840" i="2"/>
  <c r="M840" i="2"/>
  <c r="N840" i="2"/>
  <c r="O840" i="2"/>
  <c r="B841" i="2"/>
  <c r="C841" i="2"/>
  <c r="D841" i="2"/>
  <c r="E841" i="2"/>
  <c r="F841" i="2"/>
  <c r="G841" i="2"/>
  <c r="H841" i="2"/>
  <c r="I841" i="2"/>
  <c r="J841" i="2"/>
  <c r="K841" i="2"/>
  <c r="L841" i="2"/>
  <c r="M841" i="2"/>
  <c r="N841" i="2"/>
  <c r="O841" i="2"/>
  <c r="B842" i="2"/>
  <c r="C842" i="2"/>
  <c r="D842" i="2"/>
  <c r="E842" i="2"/>
  <c r="F842" i="2"/>
  <c r="G842" i="2"/>
  <c r="H842" i="2"/>
  <c r="I842" i="2"/>
  <c r="J842" i="2"/>
  <c r="K842" i="2"/>
  <c r="L842" i="2"/>
  <c r="M842" i="2"/>
  <c r="N842" i="2"/>
  <c r="O842" i="2"/>
  <c r="B843" i="2"/>
  <c r="C843" i="2"/>
  <c r="D843" i="2"/>
  <c r="E843" i="2"/>
  <c r="F843" i="2"/>
  <c r="G843" i="2"/>
  <c r="H843" i="2"/>
  <c r="I843" i="2"/>
  <c r="J843" i="2"/>
  <c r="K843" i="2"/>
  <c r="L843" i="2"/>
  <c r="M843" i="2"/>
  <c r="N843" i="2"/>
  <c r="O843" i="2"/>
  <c r="B844" i="2"/>
  <c r="C844" i="2"/>
  <c r="D844" i="2"/>
  <c r="E844" i="2"/>
  <c r="F844" i="2"/>
  <c r="G844" i="2"/>
  <c r="H844" i="2"/>
  <c r="I844" i="2"/>
  <c r="J844" i="2"/>
  <c r="K844" i="2"/>
  <c r="L844" i="2"/>
  <c r="M844" i="2"/>
  <c r="N844" i="2"/>
  <c r="O844" i="2"/>
  <c r="B845" i="2"/>
  <c r="C845" i="2"/>
  <c r="D845" i="2"/>
  <c r="E845" i="2"/>
  <c r="F845" i="2"/>
  <c r="G845" i="2"/>
  <c r="H845" i="2"/>
  <c r="I845" i="2"/>
  <c r="J845" i="2"/>
  <c r="K845" i="2"/>
  <c r="L845" i="2"/>
  <c r="M845" i="2"/>
  <c r="N845" i="2"/>
  <c r="O845" i="2"/>
  <c r="B846" i="2"/>
  <c r="C846" i="2"/>
  <c r="D846" i="2"/>
  <c r="E846" i="2"/>
  <c r="F846" i="2"/>
  <c r="G846" i="2"/>
  <c r="H846" i="2"/>
  <c r="I846" i="2"/>
  <c r="J846" i="2"/>
  <c r="K846" i="2"/>
  <c r="L846" i="2"/>
  <c r="M846" i="2"/>
  <c r="N846" i="2"/>
  <c r="O846" i="2"/>
  <c r="B847" i="2"/>
  <c r="C847" i="2"/>
  <c r="D847" i="2"/>
  <c r="E847" i="2"/>
  <c r="F847" i="2"/>
  <c r="G847" i="2"/>
  <c r="H847" i="2"/>
  <c r="I847" i="2"/>
  <c r="J847" i="2"/>
  <c r="K847" i="2"/>
  <c r="L847" i="2"/>
  <c r="M847" i="2"/>
  <c r="N847" i="2"/>
  <c r="O847" i="2"/>
  <c r="B848" i="2"/>
  <c r="C848" i="2"/>
  <c r="D848" i="2"/>
  <c r="E848" i="2"/>
  <c r="F848" i="2"/>
  <c r="G848" i="2"/>
  <c r="H848" i="2"/>
  <c r="I848" i="2"/>
  <c r="J848" i="2"/>
  <c r="K848" i="2"/>
  <c r="L848" i="2"/>
  <c r="M848" i="2"/>
  <c r="N848" i="2"/>
  <c r="O848" i="2"/>
  <c r="B849" i="2"/>
  <c r="C849" i="2"/>
  <c r="D849" i="2"/>
  <c r="E849" i="2"/>
  <c r="F849" i="2"/>
  <c r="G849" i="2"/>
  <c r="H849" i="2"/>
  <c r="I849" i="2"/>
  <c r="J849" i="2"/>
  <c r="K849" i="2"/>
  <c r="L849" i="2"/>
  <c r="M849" i="2"/>
  <c r="N849" i="2"/>
  <c r="O849" i="2"/>
  <c r="B850" i="2"/>
  <c r="C850" i="2"/>
  <c r="D850" i="2"/>
  <c r="E850" i="2"/>
  <c r="F850" i="2"/>
  <c r="G850" i="2"/>
  <c r="H850" i="2"/>
  <c r="I850" i="2"/>
  <c r="J850" i="2"/>
  <c r="K850" i="2"/>
  <c r="L850" i="2"/>
  <c r="M850" i="2"/>
  <c r="N850" i="2"/>
  <c r="O850" i="2"/>
  <c r="B851" i="2"/>
  <c r="C851" i="2"/>
  <c r="D851" i="2"/>
  <c r="E851" i="2"/>
  <c r="F851" i="2"/>
  <c r="G851" i="2"/>
  <c r="H851" i="2"/>
  <c r="I851" i="2"/>
  <c r="J851" i="2"/>
  <c r="K851" i="2"/>
  <c r="L851" i="2"/>
  <c r="M851" i="2"/>
  <c r="N851" i="2"/>
  <c r="O851" i="2"/>
  <c r="B852" i="2"/>
  <c r="C852" i="2"/>
  <c r="D852" i="2"/>
  <c r="E852" i="2"/>
  <c r="F852" i="2"/>
  <c r="G852" i="2"/>
  <c r="H852" i="2"/>
  <c r="I852" i="2"/>
  <c r="J852" i="2"/>
  <c r="K852" i="2"/>
  <c r="L852" i="2"/>
  <c r="M852" i="2"/>
  <c r="N852" i="2"/>
  <c r="O852" i="2"/>
  <c r="B853" i="2"/>
  <c r="C853" i="2"/>
  <c r="D853" i="2"/>
  <c r="E853" i="2"/>
  <c r="F853" i="2"/>
  <c r="G853" i="2"/>
  <c r="H853" i="2"/>
  <c r="I853" i="2"/>
  <c r="J853" i="2"/>
  <c r="K853" i="2"/>
  <c r="L853" i="2"/>
  <c r="M853" i="2"/>
  <c r="N853" i="2"/>
  <c r="O853" i="2"/>
  <c r="B854" i="2"/>
  <c r="C854" i="2"/>
  <c r="D854" i="2"/>
  <c r="E854" i="2"/>
  <c r="F854" i="2"/>
  <c r="G854" i="2"/>
  <c r="H854" i="2"/>
  <c r="I854" i="2"/>
  <c r="J854" i="2"/>
  <c r="K854" i="2"/>
  <c r="L854" i="2"/>
  <c r="M854" i="2"/>
  <c r="N854" i="2"/>
  <c r="O854" i="2"/>
  <c r="B855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O855" i="2"/>
  <c r="B856" i="2"/>
  <c r="C856" i="2"/>
  <c r="D856" i="2"/>
  <c r="E856" i="2"/>
  <c r="F856" i="2"/>
  <c r="G856" i="2"/>
  <c r="H856" i="2"/>
  <c r="I856" i="2"/>
  <c r="J856" i="2"/>
  <c r="K856" i="2"/>
  <c r="L856" i="2"/>
  <c r="M856" i="2"/>
  <c r="N856" i="2"/>
  <c r="O856" i="2"/>
  <c r="B857" i="2"/>
  <c r="C857" i="2"/>
  <c r="D857" i="2"/>
  <c r="E857" i="2"/>
  <c r="F857" i="2"/>
  <c r="G857" i="2"/>
  <c r="H857" i="2"/>
  <c r="I857" i="2"/>
  <c r="J857" i="2"/>
  <c r="K857" i="2"/>
  <c r="L857" i="2"/>
  <c r="M857" i="2"/>
  <c r="N857" i="2"/>
  <c r="O857" i="2"/>
  <c r="B858" i="2"/>
  <c r="C858" i="2"/>
  <c r="D858" i="2"/>
  <c r="E858" i="2"/>
  <c r="F858" i="2"/>
  <c r="G858" i="2"/>
  <c r="H858" i="2"/>
  <c r="I858" i="2"/>
  <c r="J858" i="2"/>
  <c r="K858" i="2"/>
  <c r="L858" i="2"/>
  <c r="M858" i="2"/>
  <c r="N858" i="2"/>
  <c r="O858" i="2"/>
  <c r="B859" i="2"/>
  <c r="C859" i="2"/>
  <c r="D859" i="2"/>
  <c r="E859" i="2"/>
  <c r="F859" i="2"/>
  <c r="G859" i="2"/>
  <c r="H859" i="2"/>
  <c r="I859" i="2"/>
  <c r="J859" i="2"/>
  <c r="K859" i="2"/>
  <c r="L859" i="2"/>
  <c r="M859" i="2"/>
  <c r="N859" i="2"/>
  <c r="O859" i="2"/>
  <c r="B860" i="2"/>
  <c r="C860" i="2"/>
  <c r="D860" i="2"/>
  <c r="E860" i="2"/>
  <c r="F860" i="2"/>
  <c r="G860" i="2"/>
  <c r="H860" i="2"/>
  <c r="I860" i="2"/>
  <c r="J860" i="2"/>
  <c r="K860" i="2"/>
  <c r="L860" i="2"/>
  <c r="M860" i="2"/>
  <c r="N860" i="2"/>
  <c r="O860" i="2"/>
  <c r="B861" i="2"/>
  <c r="C861" i="2"/>
  <c r="D861" i="2"/>
  <c r="E861" i="2"/>
  <c r="F861" i="2"/>
  <c r="G861" i="2"/>
  <c r="H861" i="2"/>
  <c r="I861" i="2"/>
  <c r="J861" i="2"/>
  <c r="K861" i="2"/>
  <c r="L861" i="2"/>
  <c r="M861" i="2"/>
  <c r="N861" i="2"/>
  <c r="O861" i="2"/>
  <c r="B862" i="2"/>
  <c r="C862" i="2"/>
  <c r="D862" i="2"/>
  <c r="E862" i="2"/>
  <c r="F862" i="2"/>
  <c r="G862" i="2"/>
  <c r="H862" i="2"/>
  <c r="I862" i="2"/>
  <c r="J862" i="2"/>
  <c r="K862" i="2"/>
  <c r="L862" i="2"/>
  <c r="M862" i="2"/>
  <c r="N862" i="2"/>
  <c r="O862" i="2"/>
  <c r="B863" i="2"/>
  <c r="C863" i="2"/>
  <c r="D863" i="2"/>
  <c r="E863" i="2"/>
  <c r="F863" i="2"/>
  <c r="G863" i="2"/>
  <c r="H863" i="2"/>
  <c r="I863" i="2"/>
  <c r="J863" i="2"/>
  <c r="K863" i="2"/>
  <c r="L863" i="2"/>
  <c r="M863" i="2"/>
  <c r="N863" i="2"/>
  <c r="O863" i="2"/>
  <c r="B864" i="2"/>
  <c r="C864" i="2"/>
  <c r="D864" i="2"/>
  <c r="E864" i="2"/>
  <c r="F864" i="2"/>
  <c r="G864" i="2"/>
  <c r="H864" i="2"/>
  <c r="I864" i="2"/>
  <c r="J864" i="2"/>
  <c r="K864" i="2"/>
  <c r="L864" i="2"/>
  <c r="M864" i="2"/>
  <c r="N864" i="2"/>
  <c r="O864" i="2"/>
  <c r="B865" i="2"/>
  <c r="C865" i="2"/>
  <c r="D865" i="2"/>
  <c r="E865" i="2"/>
  <c r="F865" i="2"/>
  <c r="G865" i="2"/>
  <c r="H865" i="2"/>
  <c r="I865" i="2"/>
  <c r="J865" i="2"/>
  <c r="K865" i="2"/>
  <c r="L865" i="2"/>
  <c r="M865" i="2"/>
  <c r="N865" i="2"/>
  <c r="O865" i="2"/>
  <c r="B866" i="2"/>
  <c r="C866" i="2"/>
  <c r="D866" i="2"/>
  <c r="E866" i="2"/>
  <c r="F866" i="2"/>
  <c r="G866" i="2"/>
  <c r="H866" i="2"/>
  <c r="I866" i="2"/>
  <c r="J866" i="2"/>
  <c r="K866" i="2"/>
  <c r="L866" i="2"/>
  <c r="M866" i="2"/>
  <c r="N866" i="2"/>
  <c r="O866" i="2"/>
  <c r="B867" i="2"/>
  <c r="C867" i="2"/>
  <c r="D867" i="2"/>
  <c r="E867" i="2"/>
  <c r="F867" i="2"/>
  <c r="G867" i="2"/>
  <c r="H867" i="2"/>
  <c r="I867" i="2"/>
  <c r="J867" i="2"/>
  <c r="K867" i="2"/>
  <c r="L867" i="2"/>
  <c r="M867" i="2"/>
  <c r="N867" i="2"/>
  <c r="O867" i="2"/>
  <c r="B868" i="2"/>
  <c r="C868" i="2"/>
  <c r="D868" i="2"/>
  <c r="E868" i="2"/>
  <c r="F868" i="2"/>
  <c r="G868" i="2"/>
  <c r="H868" i="2"/>
  <c r="I868" i="2"/>
  <c r="J868" i="2"/>
  <c r="K868" i="2"/>
  <c r="L868" i="2"/>
  <c r="M868" i="2"/>
  <c r="N868" i="2"/>
  <c r="O868" i="2"/>
  <c r="B869" i="2"/>
  <c r="C869" i="2"/>
  <c r="D869" i="2"/>
  <c r="E869" i="2"/>
  <c r="F869" i="2"/>
  <c r="G869" i="2"/>
  <c r="H869" i="2"/>
  <c r="I869" i="2"/>
  <c r="J869" i="2"/>
  <c r="K869" i="2"/>
  <c r="L869" i="2"/>
  <c r="M869" i="2"/>
  <c r="N869" i="2"/>
  <c r="O869" i="2"/>
  <c r="B870" i="2"/>
  <c r="C870" i="2"/>
  <c r="D870" i="2"/>
  <c r="E870" i="2"/>
  <c r="F870" i="2"/>
  <c r="G870" i="2"/>
  <c r="H870" i="2"/>
  <c r="I870" i="2"/>
  <c r="J870" i="2"/>
  <c r="K870" i="2"/>
  <c r="L870" i="2"/>
  <c r="M870" i="2"/>
  <c r="N870" i="2"/>
  <c r="O870" i="2"/>
  <c r="B871" i="2"/>
  <c r="C871" i="2"/>
  <c r="D871" i="2"/>
  <c r="E871" i="2"/>
  <c r="F871" i="2"/>
  <c r="G871" i="2"/>
  <c r="H871" i="2"/>
  <c r="I871" i="2"/>
  <c r="J871" i="2"/>
  <c r="K871" i="2"/>
  <c r="L871" i="2"/>
  <c r="M871" i="2"/>
  <c r="N871" i="2"/>
  <c r="O871" i="2"/>
  <c r="B872" i="2"/>
  <c r="C872" i="2"/>
  <c r="D872" i="2"/>
  <c r="E872" i="2"/>
  <c r="F872" i="2"/>
  <c r="G872" i="2"/>
  <c r="H872" i="2"/>
  <c r="I872" i="2"/>
  <c r="J872" i="2"/>
  <c r="K872" i="2"/>
  <c r="L872" i="2"/>
  <c r="M872" i="2"/>
  <c r="N872" i="2"/>
  <c r="O872" i="2"/>
  <c r="B873" i="2"/>
  <c r="C873" i="2"/>
  <c r="D873" i="2"/>
  <c r="E873" i="2"/>
  <c r="F873" i="2"/>
  <c r="G873" i="2"/>
  <c r="H873" i="2"/>
  <c r="I873" i="2"/>
  <c r="J873" i="2"/>
  <c r="K873" i="2"/>
  <c r="L873" i="2"/>
  <c r="M873" i="2"/>
  <c r="N873" i="2"/>
  <c r="O873" i="2"/>
  <c r="B874" i="2"/>
  <c r="C874" i="2"/>
  <c r="D874" i="2"/>
  <c r="E874" i="2"/>
  <c r="F874" i="2"/>
  <c r="G874" i="2"/>
  <c r="H874" i="2"/>
  <c r="I874" i="2"/>
  <c r="J874" i="2"/>
  <c r="K874" i="2"/>
  <c r="L874" i="2"/>
  <c r="M874" i="2"/>
  <c r="N874" i="2"/>
  <c r="O874" i="2"/>
  <c r="B875" i="2"/>
  <c r="C875" i="2"/>
  <c r="D875" i="2"/>
  <c r="E875" i="2"/>
  <c r="F875" i="2"/>
  <c r="G875" i="2"/>
  <c r="H875" i="2"/>
  <c r="I875" i="2"/>
  <c r="J875" i="2"/>
  <c r="K875" i="2"/>
  <c r="L875" i="2"/>
  <c r="M875" i="2"/>
  <c r="N875" i="2"/>
  <c r="O875" i="2"/>
  <c r="B876" i="2"/>
  <c r="C876" i="2"/>
  <c r="D876" i="2"/>
  <c r="E876" i="2"/>
  <c r="F876" i="2"/>
  <c r="G876" i="2"/>
  <c r="H876" i="2"/>
  <c r="I876" i="2"/>
  <c r="J876" i="2"/>
  <c r="K876" i="2"/>
  <c r="L876" i="2"/>
  <c r="M876" i="2"/>
  <c r="N876" i="2"/>
  <c r="O876" i="2"/>
  <c r="B877" i="2"/>
  <c r="C877" i="2"/>
  <c r="D877" i="2"/>
  <c r="E877" i="2"/>
  <c r="F877" i="2"/>
  <c r="G877" i="2"/>
  <c r="H877" i="2"/>
  <c r="I877" i="2"/>
  <c r="J877" i="2"/>
  <c r="K877" i="2"/>
  <c r="L877" i="2"/>
  <c r="M877" i="2"/>
  <c r="N877" i="2"/>
  <c r="O877" i="2"/>
  <c r="B878" i="2"/>
  <c r="C878" i="2"/>
  <c r="D878" i="2"/>
  <c r="E878" i="2"/>
  <c r="F878" i="2"/>
  <c r="G878" i="2"/>
  <c r="H878" i="2"/>
  <c r="I878" i="2"/>
  <c r="J878" i="2"/>
  <c r="K878" i="2"/>
  <c r="L878" i="2"/>
  <c r="M878" i="2"/>
  <c r="N878" i="2"/>
  <c r="O878" i="2"/>
  <c r="B879" i="2"/>
  <c r="C879" i="2"/>
  <c r="D879" i="2"/>
  <c r="E879" i="2"/>
  <c r="F879" i="2"/>
  <c r="G879" i="2"/>
  <c r="H879" i="2"/>
  <c r="I879" i="2"/>
  <c r="J879" i="2"/>
  <c r="K879" i="2"/>
  <c r="L879" i="2"/>
  <c r="M879" i="2"/>
  <c r="N879" i="2"/>
  <c r="O879" i="2"/>
  <c r="B880" i="2"/>
  <c r="C880" i="2"/>
  <c r="D880" i="2"/>
  <c r="E880" i="2"/>
  <c r="F880" i="2"/>
  <c r="G880" i="2"/>
  <c r="H880" i="2"/>
  <c r="I880" i="2"/>
  <c r="J880" i="2"/>
  <c r="K880" i="2"/>
  <c r="L880" i="2"/>
  <c r="M880" i="2"/>
  <c r="N880" i="2"/>
  <c r="O880" i="2"/>
  <c r="B881" i="2"/>
  <c r="C881" i="2"/>
  <c r="D881" i="2"/>
  <c r="E881" i="2"/>
  <c r="F881" i="2"/>
  <c r="G881" i="2"/>
  <c r="H881" i="2"/>
  <c r="I881" i="2"/>
  <c r="J881" i="2"/>
  <c r="K881" i="2"/>
  <c r="L881" i="2"/>
  <c r="M881" i="2"/>
  <c r="N881" i="2"/>
  <c r="O881" i="2"/>
  <c r="B882" i="2"/>
  <c r="C882" i="2"/>
  <c r="D882" i="2"/>
  <c r="E882" i="2"/>
  <c r="F882" i="2"/>
  <c r="G882" i="2"/>
  <c r="H882" i="2"/>
  <c r="I882" i="2"/>
  <c r="J882" i="2"/>
  <c r="K882" i="2"/>
  <c r="L882" i="2"/>
  <c r="M882" i="2"/>
  <c r="N882" i="2"/>
  <c r="O882" i="2"/>
  <c r="B883" i="2"/>
  <c r="C883" i="2"/>
  <c r="D883" i="2"/>
  <c r="E883" i="2"/>
  <c r="F883" i="2"/>
  <c r="G883" i="2"/>
  <c r="H883" i="2"/>
  <c r="I883" i="2"/>
  <c r="J883" i="2"/>
  <c r="K883" i="2"/>
  <c r="L883" i="2"/>
  <c r="M883" i="2"/>
  <c r="N883" i="2"/>
  <c r="O883" i="2"/>
  <c r="B884" i="2"/>
  <c r="C884" i="2"/>
  <c r="D884" i="2"/>
  <c r="E884" i="2"/>
  <c r="F884" i="2"/>
  <c r="G884" i="2"/>
  <c r="H884" i="2"/>
  <c r="I884" i="2"/>
  <c r="J884" i="2"/>
  <c r="K884" i="2"/>
  <c r="L884" i="2"/>
  <c r="M884" i="2"/>
  <c r="N884" i="2"/>
  <c r="O884" i="2"/>
  <c r="B885" i="2"/>
  <c r="C885" i="2"/>
  <c r="D885" i="2"/>
  <c r="E885" i="2"/>
  <c r="F885" i="2"/>
  <c r="G885" i="2"/>
  <c r="H885" i="2"/>
  <c r="I885" i="2"/>
  <c r="J885" i="2"/>
  <c r="K885" i="2"/>
  <c r="L885" i="2"/>
  <c r="M885" i="2"/>
  <c r="N885" i="2"/>
  <c r="O885" i="2"/>
  <c r="B886" i="2"/>
  <c r="C886" i="2"/>
  <c r="D886" i="2"/>
  <c r="E886" i="2"/>
  <c r="F886" i="2"/>
  <c r="G886" i="2"/>
  <c r="H886" i="2"/>
  <c r="I886" i="2"/>
  <c r="J886" i="2"/>
  <c r="K886" i="2"/>
  <c r="L886" i="2"/>
  <c r="M886" i="2"/>
  <c r="N886" i="2"/>
  <c r="O886" i="2"/>
  <c r="B887" i="2"/>
  <c r="C887" i="2"/>
  <c r="D887" i="2"/>
  <c r="E887" i="2"/>
  <c r="F887" i="2"/>
  <c r="G887" i="2"/>
  <c r="H887" i="2"/>
  <c r="I887" i="2"/>
  <c r="J887" i="2"/>
  <c r="K887" i="2"/>
  <c r="L887" i="2"/>
  <c r="M887" i="2"/>
  <c r="N887" i="2"/>
  <c r="O887" i="2"/>
  <c r="B888" i="2"/>
  <c r="C888" i="2"/>
  <c r="D888" i="2"/>
  <c r="E888" i="2"/>
  <c r="F888" i="2"/>
  <c r="G888" i="2"/>
  <c r="H888" i="2"/>
  <c r="I888" i="2"/>
  <c r="J888" i="2"/>
  <c r="K888" i="2"/>
  <c r="L888" i="2"/>
  <c r="M888" i="2"/>
  <c r="N888" i="2"/>
  <c r="O888" i="2"/>
  <c r="B889" i="2"/>
  <c r="C889" i="2"/>
  <c r="D889" i="2"/>
  <c r="E889" i="2"/>
  <c r="F889" i="2"/>
  <c r="G889" i="2"/>
  <c r="H889" i="2"/>
  <c r="I889" i="2"/>
  <c r="J889" i="2"/>
  <c r="K889" i="2"/>
  <c r="L889" i="2"/>
  <c r="M889" i="2"/>
  <c r="N889" i="2"/>
  <c r="O889" i="2"/>
  <c r="B890" i="2"/>
  <c r="C890" i="2"/>
  <c r="D890" i="2"/>
  <c r="E890" i="2"/>
  <c r="F890" i="2"/>
  <c r="G890" i="2"/>
  <c r="H890" i="2"/>
  <c r="I890" i="2"/>
  <c r="J890" i="2"/>
  <c r="K890" i="2"/>
  <c r="L890" i="2"/>
  <c r="M890" i="2"/>
  <c r="N890" i="2"/>
  <c r="O890" i="2"/>
  <c r="B891" i="2"/>
  <c r="C891" i="2"/>
  <c r="D891" i="2"/>
  <c r="E891" i="2"/>
  <c r="F891" i="2"/>
  <c r="G891" i="2"/>
  <c r="H891" i="2"/>
  <c r="I891" i="2"/>
  <c r="J891" i="2"/>
  <c r="K891" i="2"/>
  <c r="L891" i="2"/>
  <c r="M891" i="2"/>
  <c r="N891" i="2"/>
  <c r="O891" i="2"/>
  <c r="B892" i="2"/>
  <c r="C892" i="2"/>
  <c r="D892" i="2"/>
  <c r="E892" i="2"/>
  <c r="F892" i="2"/>
  <c r="G892" i="2"/>
  <c r="H892" i="2"/>
  <c r="I892" i="2"/>
  <c r="J892" i="2"/>
  <c r="K892" i="2"/>
  <c r="L892" i="2"/>
  <c r="M892" i="2"/>
  <c r="N892" i="2"/>
  <c r="O892" i="2"/>
  <c r="B893" i="2"/>
  <c r="C893" i="2"/>
  <c r="D893" i="2"/>
  <c r="E893" i="2"/>
  <c r="F893" i="2"/>
  <c r="G893" i="2"/>
  <c r="H893" i="2"/>
  <c r="I893" i="2"/>
  <c r="J893" i="2"/>
  <c r="K893" i="2"/>
  <c r="L893" i="2"/>
  <c r="M893" i="2"/>
  <c r="N893" i="2"/>
  <c r="O893" i="2"/>
  <c r="B894" i="2"/>
  <c r="C894" i="2"/>
  <c r="D894" i="2"/>
  <c r="E894" i="2"/>
  <c r="F894" i="2"/>
  <c r="G894" i="2"/>
  <c r="H894" i="2"/>
  <c r="I894" i="2"/>
  <c r="J894" i="2"/>
  <c r="K894" i="2"/>
  <c r="L894" i="2"/>
  <c r="M894" i="2"/>
  <c r="N894" i="2"/>
  <c r="O894" i="2"/>
  <c r="B895" i="2"/>
  <c r="C895" i="2"/>
  <c r="D895" i="2"/>
  <c r="E895" i="2"/>
  <c r="F895" i="2"/>
  <c r="G895" i="2"/>
  <c r="H895" i="2"/>
  <c r="I895" i="2"/>
  <c r="J895" i="2"/>
  <c r="K895" i="2"/>
  <c r="L895" i="2"/>
  <c r="M895" i="2"/>
  <c r="N895" i="2"/>
  <c r="O895" i="2"/>
  <c r="B896" i="2"/>
  <c r="C896" i="2"/>
  <c r="D896" i="2"/>
  <c r="E896" i="2"/>
  <c r="F896" i="2"/>
  <c r="G896" i="2"/>
  <c r="H896" i="2"/>
  <c r="I896" i="2"/>
  <c r="J896" i="2"/>
  <c r="K896" i="2"/>
  <c r="L896" i="2"/>
  <c r="M896" i="2"/>
  <c r="N896" i="2"/>
  <c r="O896" i="2"/>
  <c r="B897" i="2"/>
  <c r="C897" i="2"/>
  <c r="D897" i="2"/>
  <c r="E897" i="2"/>
  <c r="F897" i="2"/>
  <c r="G897" i="2"/>
  <c r="H897" i="2"/>
  <c r="I897" i="2"/>
  <c r="J897" i="2"/>
  <c r="K897" i="2"/>
  <c r="L897" i="2"/>
  <c r="M897" i="2"/>
  <c r="N897" i="2"/>
  <c r="O897" i="2"/>
  <c r="B898" i="2"/>
  <c r="C898" i="2"/>
  <c r="D898" i="2"/>
  <c r="E898" i="2"/>
  <c r="F898" i="2"/>
  <c r="G898" i="2"/>
  <c r="H898" i="2"/>
  <c r="I898" i="2"/>
  <c r="J898" i="2"/>
  <c r="K898" i="2"/>
  <c r="L898" i="2"/>
  <c r="M898" i="2"/>
  <c r="N898" i="2"/>
  <c r="O898" i="2"/>
  <c r="B899" i="2"/>
  <c r="C899" i="2"/>
  <c r="D899" i="2"/>
  <c r="E899" i="2"/>
  <c r="F899" i="2"/>
  <c r="G899" i="2"/>
  <c r="H899" i="2"/>
  <c r="I899" i="2"/>
  <c r="J899" i="2"/>
  <c r="K899" i="2"/>
  <c r="L899" i="2"/>
  <c r="M899" i="2"/>
  <c r="N899" i="2"/>
  <c r="O899" i="2"/>
  <c r="B900" i="2"/>
  <c r="C900" i="2"/>
  <c r="D900" i="2"/>
  <c r="E900" i="2"/>
  <c r="F900" i="2"/>
  <c r="G900" i="2"/>
  <c r="H900" i="2"/>
  <c r="I900" i="2"/>
  <c r="J900" i="2"/>
  <c r="K900" i="2"/>
  <c r="L900" i="2"/>
  <c r="M900" i="2"/>
  <c r="N900" i="2"/>
  <c r="O900" i="2"/>
  <c r="B901" i="2"/>
  <c r="C901" i="2"/>
  <c r="D901" i="2"/>
  <c r="E901" i="2"/>
  <c r="F901" i="2"/>
  <c r="G901" i="2"/>
  <c r="H901" i="2"/>
  <c r="I901" i="2"/>
  <c r="J901" i="2"/>
  <c r="K901" i="2"/>
  <c r="L901" i="2"/>
  <c r="M901" i="2"/>
  <c r="N901" i="2"/>
  <c r="O901" i="2"/>
  <c r="B902" i="2"/>
  <c r="C902" i="2"/>
  <c r="D902" i="2"/>
  <c r="E902" i="2"/>
  <c r="F902" i="2"/>
  <c r="G902" i="2"/>
  <c r="H902" i="2"/>
  <c r="I902" i="2"/>
  <c r="J902" i="2"/>
  <c r="K902" i="2"/>
  <c r="L902" i="2"/>
  <c r="M902" i="2"/>
  <c r="N902" i="2"/>
  <c r="O902" i="2"/>
  <c r="B903" i="2"/>
  <c r="C903" i="2"/>
  <c r="D903" i="2"/>
  <c r="E903" i="2"/>
  <c r="F903" i="2"/>
  <c r="G903" i="2"/>
  <c r="H903" i="2"/>
  <c r="I903" i="2"/>
  <c r="J903" i="2"/>
  <c r="K903" i="2"/>
  <c r="L903" i="2"/>
  <c r="M903" i="2"/>
  <c r="N903" i="2"/>
  <c r="O903" i="2"/>
  <c r="B904" i="2"/>
  <c r="C904" i="2"/>
  <c r="D904" i="2"/>
  <c r="E904" i="2"/>
  <c r="F904" i="2"/>
  <c r="G904" i="2"/>
  <c r="H904" i="2"/>
  <c r="I904" i="2"/>
  <c r="J904" i="2"/>
  <c r="K904" i="2"/>
  <c r="L904" i="2"/>
  <c r="M904" i="2"/>
  <c r="N904" i="2"/>
  <c r="O904" i="2"/>
  <c r="B905" i="2"/>
  <c r="C905" i="2"/>
  <c r="D905" i="2"/>
  <c r="E905" i="2"/>
  <c r="F905" i="2"/>
  <c r="G905" i="2"/>
  <c r="H905" i="2"/>
  <c r="I905" i="2"/>
  <c r="J905" i="2"/>
  <c r="K905" i="2"/>
  <c r="L905" i="2"/>
  <c r="M905" i="2"/>
  <c r="N905" i="2"/>
  <c r="O905" i="2"/>
  <c r="B906" i="2"/>
  <c r="C906" i="2"/>
  <c r="D906" i="2"/>
  <c r="E906" i="2"/>
  <c r="F906" i="2"/>
  <c r="G906" i="2"/>
  <c r="H906" i="2"/>
  <c r="I906" i="2"/>
  <c r="J906" i="2"/>
  <c r="K906" i="2"/>
  <c r="L906" i="2"/>
  <c r="M906" i="2"/>
  <c r="N906" i="2"/>
  <c r="O906" i="2"/>
  <c r="B907" i="2"/>
  <c r="C907" i="2"/>
  <c r="D907" i="2"/>
  <c r="E907" i="2"/>
  <c r="F907" i="2"/>
  <c r="G907" i="2"/>
  <c r="H907" i="2"/>
  <c r="I907" i="2"/>
  <c r="J907" i="2"/>
  <c r="K907" i="2"/>
  <c r="L907" i="2"/>
  <c r="M907" i="2"/>
  <c r="N907" i="2"/>
  <c r="O907" i="2"/>
  <c r="B908" i="2"/>
  <c r="C908" i="2"/>
  <c r="D908" i="2"/>
  <c r="E908" i="2"/>
  <c r="F908" i="2"/>
  <c r="G908" i="2"/>
  <c r="H908" i="2"/>
  <c r="I908" i="2"/>
  <c r="J908" i="2"/>
  <c r="K908" i="2"/>
  <c r="L908" i="2"/>
  <c r="M908" i="2"/>
  <c r="N908" i="2"/>
  <c r="O908" i="2"/>
  <c r="B909" i="2"/>
  <c r="C909" i="2"/>
  <c r="D909" i="2"/>
  <c r="E909" i="2"/>
  <c r="F909" i="2"/>
  <c r="G909" i="2"/>
  <c r="H909" i="2"/>
  <c r="I909" i="2"/>
  <c r="J909" i="2"/>
  <c r="K909" i="2"/>
  <c r="L909" i="2"/>
  <c r="M909" i="2"/>
  <c r="N909" i="2"/>
  <c r="O909" i="2"/>
  <c r="B910" i="2"/>
  <c r="C910" i="2"/>
  <c r="D910" i="2"/>
  <c r="E910" i="2"/>
  <c r="F910" i="2"/>
  <c r="G910" i="2"/>
  <c r="H910" i="2"/>
  <c r="I910" i="2"/>
  <c r="J910" i="2"/>
  <c r="K910" i="2"/>
  <c r="L910" i="2"/>
  <c r="M910" i="2"/>
  <c r="N910" i="2"/>
  <c r="O910" i="2"/>
  <c r="B911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O911" i="2"/>
  <c r="B912" i="2"/>
  <c r="C912" i="2"/>
  <c r="D912" i="2"/>
  <c r="E912" i="2"/>
  <c r="F912" i="2"/>
  <c r="G912" i="2"/>
  <c r="H912" i="2"/>
  <c r="I912" i="2"/>
  <c r="J912" i="2"/>
  <c r="K912" i="2"/>
  <c r="L912" i="2"/>
  <c r="M912" i="2"/>
  <c r="N912" i="2"/>
  <c r="O912" i="2"/>
  <c r="B913" i="2"/>
  <c r="C913" i="2"/>
  <c r="D913" i="2"/>
  <c r="E913" i="2"/>
  <c r="F913" i="2"/>
  <c r="G913" i="2"/>
  <c r="H913" i="2"/>
  <c r="I913" i="2"/>
  <c r="J913" i="2"/>
  <c r="K913" i="2"/>
  <c r="L913" i="2"/>
  <c r="M913" i="2"/>
  <c r="N913" i="2"/>
  <c r="O913" i="2"/>
  <c r="B914" i="2"/>
  <c r="C914" i="2"/>
  <c r="D914" i="2"/>
  <c r="E914" i="2"/>
  <c r="F914" i="2"/>
  <c r="G914" i="2"/>
  <c r="H914" i="2"/>
  <c r="I914" i="2"/>
  <c r="J914" i="2"/>
  <c r="K914" i="2"/>
  <c r="L914" i="2"/>
  <c r="M914" i="2"/>
  <c r="N914" i="2"/>
  <c r="O914" i="2"/>
  <c r="B915" i="2"/>
  <c r="C915" i="2"/>
  <c r="D915" i="2"/>
  <c r="E915" i="2"/>
  <c r="F915" i="2"/>
  <c r="G915" i="2"/>
  <c r="H915" i="2"/>
  <c r="I915" i="2"/>
  <c r="J915" i="2"/>
  <c r="K915" i="2"/>
  <c r="L915" i="2"/>
  <c r="M915" i="2"/>
  <c r="N915" i="2"/>
  <c r="O915" i="2"/>
  <c r="B916" i="2"/>
  <c r="C916" i="2"/>
  <c r="D916" i="2"/>
  <c r="E916" i="2"/>
  <c r="F916" i="2"/>
  <c r="G916" i="2"/>
  <c r="H916" i="2"/>
  <c r="I916" i="2"/>
  <c r="J916" i="2"/>
  <c r="K916" i="2"/>
  <c r="L916" i="2"/>
  <c r="M916" i="2"/>
  <c r="N916" i="2"/>
  <c r="O916" i="2"/>
  <c r="B917" i="2"/>
  <c r="C917" i="2"/>
  <c r="D917" i="2"/>
  <c r="E917" i="2"/>
  <c r="F917" i="2"/>
  <c r="G917" i="2"/>
  <c r="H917" i="2"/>
  <c r="I917" i="2"/>
  <c r="J917" i="2"/>
  <c r="K917" i="2"/>
  <c r="L917" i="2"/>
  <c r="M917" i="2"/>
  <c r="N917" i="2"/>
  <c r="O917" i="2"/>
  <c r="B918" i="2"/>
  <c r="C918" i="2"/>
  <c r="D918" i="2"/>
  <c r="E918" i="2"/>
  <c r="F918" i="2"/>
  <c r="G918" i="2"/>
  <c r="H918" i="2"/>
  <c r="I918" i="2"/>
  <c r="J918" i="2"/>
  <c r="K918" i="2"/>
  <c r="L918" i="2"/>
  <c r="M918" i="2"/>
  <c r="N918" i="2"/>
  <c r="O918" i="2"/>
  <c r="B919" i="2"/>
  <c r="C919" i="2"/>
  <c r="D919" i="2"/>
  <c r="E919" i="2"/>
  <c r="F919" i="2"/>
  <c r="G919" i="2"/>
  <c r="H919" i="2"/>
  <c r="I919" i="2"/>
  <c r="J919" i="2"/>
  <c r="K919" i="2"/>
  <c r="L919" i="2"/>
  <c r="M919" i="2"/>
  <c r="N919" i="2"/>
  <c r="O919" i="2"/>
  <c r="B920" i="2"/>
  <c r="C920" i="2"/>
  <c r="D920" i="2"/>
  <c r="E920" i="2"/>
  <c r="F920" i="2"/>
  <c r="G920" i="2"/>
  <c r="H920" i="2"/>
  <c r="I920" i="2"/>
  <c r="J920" i="2"/>
  <c r="K920" i="2"/>
  <c r="L920" i="2"/>
  <c r="M920" i="2"/>
  <c r="N920" i="2"/>
  <c r="O920" i="2"/>
  <c r="B921" i="2"/>
  <c r="C921" i="2"/>
  <c r="D921" i="2"/>
  <c r="E921" i="2"/>
  <c r="F921" i="2"/>
  <c r="G921" i="2"/>
  <c r="H921" i="2"/>
  <c r="I921" i="2"/>
  <c r="J921" i="2"/>
  <c r="K921" i="2"/>
  <c r="L921" i="2"/>
  <c r="M921" i="2"/>
  <c r="N921" i="2"/>
  <c r="O921" i="2"/>
  <c r="B922" i="2"/>
  <c r="C922" i="2"/>
  <c r="D922" i="2"/>
  <c r="E922" i="2"/>
  <c r="F922" i="2"/>
  <c r="G922" i="2"/>
  <c r="H922" i="2"/>
  <c r="I922" i="2"/>
  <c r="J922" i="2"/>
  <c r="K922" i="2"/>
  <c r="L922" i="2"/>
  <c r="M922" i="2"/>
  <c r="N922" i="2"/>
  <c r="O922" i="2"/>
  <c r="B923" i="2"/>
  <c r="C923" i="2"/>
  <c r="D923" i="2"/>
  <c r="E923" i="2"/>
  <c r="F923" i="2"/>
  <c r="G923" i="2"/>
  <c r="H923" i="2"/>
  <c r="I923" i="2"/>
  <c r="J923" i="2"/>
  <c r="K923" i="2"/>
  <c r="L923" i="2"/>
  <c r="M923" i="2"/>
  <c r="N923" i="2"/>
  <c r="O923" i="2"/>
  <c r="B924" i="2"/>
  <c r="C924" i="2"/>
  <c r="D924" i="2"/>
  <c r="E924" i="2"/>
  <c r="F924" i="2"/>
  <c r="G924" i="2"/>
  <c r="H924" i="2"/>
  <c r="I924" i="2"/>
  <c r="J924" i="2"/>
  <c r="K924" i="2"/>
  <c r="L924" i="2"/>
  <c r="M924" i="2"/>
  <c r="N924" i="2"/>
  <c r="O924" i="2"/>
  <c r="B925" i="2"/>
  <c r="C925" i="2"/>
  <c r="D925" i="2"/>
  <c r="E925" i="2"/>
  <c r="F925" i="2"/>
  <c r="G925" i="2"/>
  <c r="H925" i="2"/>
  <c r="I925" i="2"/>
  <c r="J925" i="2"/>
  <c r="K925" i="2"/>
  <c r="L925" i="2"/>
  <c r="M925" i="2"/>
  <c r="N925" i="2"/>
  <c r="O925" i="2"/>
  <c r="B926" i="2"/>
  <c r="C926" i="2"/>
  <c r="D926" i="2"/>
  <c r="E926" i="2"/>
  <c r="F926" i="2"/>
  <c r="G926" i="2"/>
  <c r="H926" i="2"/>
  <c r="I926" i="2"/>
  <c r="J926" i="2"/>
  <c r="K926" i="2"/>
  <c r="L926" i="2"/>
  <c r="M926" i="2"/>
  <c r="N926" i="2"/>
  <c r="O926" i="2"/>
  <c r="B927" i="2"/>
  <c r="C927" i="2"/>
  <c r="D927" i="2"/>
  <c r="E927" i="2"/>
  <c r="F927" i="2"/>
  <c r="G927" i="2"/>
  <c r="H927" i="2"/>
  <c r="I927" i="2"/>
  <c r="J927" i="2"/>
  <c r="K927" i="2"/>
  <c r="L927" i="2"/>
  <c r="M927" i="2"/>
  <c r="N927" i="2"/>
  <c r="O927" i="2"/>
  <c r="B928" i="2"/>
  <c r="C928" i="2"/>
  <c r="D928" i="2"/>
  <c r="E928" i="2"/>
  <c r="F928" i="2"/>
  <c r="G928" i="2"/>
  <c r="H928" i="2"/>
  <c r="I928" i="2"/>
  <c r="J928" i="2"/>
  <c r="K928" i="2"/>
  <c r="L928" i="2"/>
  <c r="M928" i="2"/>
  <c r="N928" i="2"/>
  <c r="O928" i="2"/>
  <c r="B929" i="2"/>
  <c r="C929" i="2"/>
  <c r="D929" i="2"/>
  <c r="E929" i="2"/>
  <c r="F929" i="2"/>
  <c r="G929" i="2"/>
  <c r="H929" i="2"/>
  <c r="I929" i="2"/>
  <c r="J929" i="2"/>
  <c r="K929" i="2"/>
  <c r="L929" i="2"/>
  <c r="M929" i="2"/>
  <c r="N929" i="2"/>
  <c r="O929" i="2"/>
  <c r="B930" i="2"/>
  <c r="C930" i="2"/>
  <c r="D930" i="2"/>
  <c r="E930" i="2"/>
  <c r="F930" i="2"/>
  <c r="G930" i="2"/>
  <c r="H930" i="2"/>
  <c r="I930" i="2"/>
  <c r="J930" i="2"/>
  <c r="K930" i="2"/>
  <c r="L930" i="2"/>
  <c r="M930" i="2"/>
  <c r="N930" i="2"/>
  <c r="O930" i="2"/>
  <c r="B931" i="2"/>
  <c r="C931" i="2"/>
  <c r="D931" i="2"/>
  <c r="E931" i="2"/>
  <c r="F931" i="2"/>
  <c r="G931" i="2"/>
  <c r="H931" i="2"/>
  <c r="I931" i="2"/>
  <c r="J931" i="2"/>
  <c r="K931" i="2"/>
  <c r="L931" i="2"/>
  <c r="M931" i="2"/>
  <c r="N931" i="2"/>
  <c r="O931" i="2"/>
  <c r="B932" i="2"/>
  <c r="C932" i="2"/>
  <c r="D932" i="2"/>
  <c r="E932" i="2"/>
  <c r="F932" i="2"/>
  <c r="G932" i="2"/>
  <c r="H932" i="2"/>
  <c r="I932" i="2"/>
  <c r="J932" i="2"/>
  <c r="K932" i="2"/>
  <c r="L932" i="2"/>
  <c r="M932" i="2"/>
  <c r="N932" i="2"/>
  <c r="O932" i="2"/>
  <c r="B933" i="2"/>
  <c r="C933" i="2"/>
  <c r="D933" i="2"/>
  <c r="E933" i="2"/>
  <c r="F933" i="2"/>
  <c r="G933" i="2"/>
  <c r="H933" i="2"/>
  <c r="I933" i="2"/>
  <c r="J933" i="2"/>
  <c r="K933" i="2"/>
  <c r="L933" i="2"/>
  <c r="M933" i="2"/>
  <c r="N933" i="2"/>
  <c r="O933" i="2"/>
  <c r="B934" i="2"/>
  <c r="C934" i="2"/>
  <c r="D934" i="2"/>
  <c r="E934" i="2"/>
  <c r="F934" i="2"/>
  <c r="G934" i="2"/>
  <c r="H934" i="2"/>
  <c r="I934" i="2"/>
  <c r="J934" i="2"/>
  <c r="K934" i="2"/>
  <c r="L934" i="2"/>
  <c r="M934" i="2"/>
  <c r="N934" i="2"/>
  <c r="O934" i="2"/>
  <c r="B935" i="2"/>
  <c r="C935" i="2"/>
  <c r="D935" i="2"/>
  <c r="E935" i="2"/>
  <c r="F935" i="2"/>
  <c r="G935" i="2"/>
  <c r="H935" i="2"/>
  <c r="I935" i="2"/>
  <c r="J935" i="2"/>
  <c r="K935" i="2"/>
  <c r="L935" i="2"/>
  <c r="M935" i="2"/>
  <c r="N935" i="2"/>
  <c r="O935" i="2"/>
  <c r="B936" i="2"/>
  <c r="C936" i="2"/>
  <c r="D936" i="2"/>
  <c r="E936" i="2"/>
  <c r="F936" i="2"/>
  <c r="G936" i="2"/>
  <c r="H936" i="2"/>
  <c r="I936" i="2"/>
  <c r="J936" i="2"/>
  <c r="K936" i="2"/>
  <c r="L936" i="2"/>
  <c r="M936" i="2"/>
  <c r="N936" i="2"/>
  <c r="O936" i="2"/>
  <c r="B937" i="2"/>
  <c r="C937" i="2"/>
  <c r="D937" i="2"/>
  <c r="E937" i="2"/>
  <c r="F937" i="2"/>
  <c r="G937" i="2"/>
  <c r="H937" i="2"/>
  <c r="I937" i="2"/>
  <c r="J937" i="2"/>
  <c r="K937" i="2"/>
  <c r="L937" i="2"/>
  <c r="M937" i="2"/>
  <c r="N937" i="2"/>
  <c r="O937" i="2"/>
  <c r="B938" i="2"/>
  <c r="C938" i="2"/>
  <c r="D938" i="2"/>
  <c r="E938" i="2"/>
  <c r="F938" i="2"/>
  <c r="G938" i="2"/>
  <c r="H938" i="2"/>
  <c r="I938" i="2"/>
  <c r="J938" i="2"/>
  <c r="K938" i="2"/>
  <c r="L938" i="2"/>
  <c r="M938" i="2"/>
  <c r="N938" i="2"/>
  <c r="O938" i="2"/>
  <c r="B939" i="2"/>
  <c r="C939" i="2"/>
  <c r="D939" i="2"/>
  <c r="E939" i="2"/>
  <c r="F939" i="2"/>
  <c r="G939" i="2"/>
  <c r="H939" i="2"/>
  <c r="I939" i="2"/>
  <c r="J939" i="2"/>
  <c r="K939" i="2"/>
  <c r="L939" i="2"/>
  <c r="M939" i="2"/>
  <c r="N939" i="2"/>
  <c r="O939" i="2"/>
  <c r="B940" i="2"/>
  <c r="C940" i="2"/>
  <c r="D940" i="2"/>
  <c r="E940" i="2"/>
  <c r="F940" i="2"/>
  <c r="G940" i="2"/>
  <c r="H940" i="2"/>
  <c r="I940" i="2"/>
  <c r="J940" i="2"/>
  <c r="K940" i="2"/>
  <c r="L940" i="2"/>
  <c r="M940" i="2"/>
  <c r="N940" i="2"/>
  <c r="O940" i="2"/>
  <c r="B941" i="2"/>
  <c r="C941" i="2"/>
  <c r="D941" i="2"/>
  <c r="E941" i="2"/>
  <c r="F941" i="2"/>
  <c r="G941" i="2"/>
  <c r="H941" i="2"/>
  <c r="I941" i="2"/>
  <c r="J941" i="2"/>
  <c r="K941" i="2"/>
  <c r="L941" i="2"/>
  <c r="M941" i="2"/>
  <c r="N941" i="2"/>
  <c r="O941" i="2"/>
  <c r="B942" i="2"/>
  <c r="C942" i="2"/>
  <c r="D942" i="2"/>
  <c r="E942" i="2"/>
  <c r="F942" i="2"/>
  <c r="G942" i="2"/>
  <c r="H942" i="2"/>
  <c r="I942" i="2"/>
  <c r="J942" i="2"/>
  <c r="K942" i="2"/>
  <c r="L942" i="2"/>
  <c r="M942" i="2"/>
  <c r="N942" i="2"/>
  <c r="O942" i="2"/>
  <c r="B943" i="2"/>
  <c r="C943" i="2"/>
  <c r="D943" i="2"/>
  <c r="E943" i="2"/>
  <c r="F943" i="2"/>
  <c r="G943" i="2"/>
  <c r="H943" i="2"/>
  <c r="I943" i="2"/>
  <c r="J943" i="2"/>
  <c r="K943" i="2"/>
  <c r="L943" i="2"/>
  <c r="M943" i="2"/>
  <c r="N943" i="2"/>
  <c r="O943" i="2"/>
  <c r="B944" i="2"/>
  <c r="C944" i="2"/>
  <c r="D944" i="2"/>
  <c r="E944" i="2"/>
  <c r="F944" i="2"/>
  <c r="G944" i="2"/>
  <c r="H944" i="2"/>
  <c r="I944" i="2"/>
  <c r="J944" i="2"/>
  <c r="K944" i="2"/>
  <c r="L944" i="2"/>
  <c r="M944" i="2"/>
  <c r="N944" i="2"/>
  <c r="O944" i="2"/>
  <c r="B945" i="2"/>
  <c r="C945" i="2"/>
  <c r="D945" i="2"/>
  <c r="E945" i="2"/>
  <c r="F945" i="2"/>
  <c r="G945" i="2"/>
  <c r="H945" i="2"/>
  <c r="I945" i="2"/>
  <c r="J945" i="2"/>
  <c r="K945" i="2"/>
  <c r="L945" i="2"/>
  <c r="M945" i="2"/>
  <c r="N945" i="2"/>
  <c r="O945" i="2"/>
  <c r="B946" i="2"/>
  <c r="C946" i="2"/>
  <c r="D946" i="2"/>
  <c r="E946" i="2"/>
  <c r="F946" i="2"/>
  <c r="G946" i="2"/>
  <c r="H946" i="2"/>
  <c r="I946" i="2"/>
  <c r="J946" i="2"/>
  <c r="K946" i="2"/>
  <c r="L946" i="2"/>
  <c r="M946" i="2"/>
  <c r="N946" i="2"/>
  <c r="O946" i="2"/>
  <c r="B947" i="2"/>
  <c r="C947" i="2"/>
  <c r="D947" i="2"/>
  <c r="E947" i="2"/>
  <c r="F947" i="2"/>
  <c r="G947" i="2"/>
  <c r="H947" i="2"/>
  <c r="I947" i="2"/>
  <c r="J947" i="2"/>
  <c r="K947" i="2"/>
  <c r="L947" i="2"/>
  <c r="M947" i="2"/>
  <c r="N947" i="2"/>
  <c r="O947" i="2"/>
  <c r="B948" i="2"/>
  <c r="C948" i="2"/>
  <c r="D948" i="2"/>
  <c r="E948" i="2"/>
  <c r="F948" i="2"/>
  <c r="G948" i="2"/>
  <c r="H948" i="2"/>
  <c r="I948" i="2"/>
  <c r="J948" i="2"/>
  <c r="K948" i="2"/>
  <c r="L948" i="2"/>
  <c r="M948" i="2"/>
  <c r="N948" i="2"/>
  <c r="O948" i="2"/>
  <c r="B949" i="2"/>
  <c r="C949" i="2"/>
  <c r="D949" i="2"/>
  <c r="E949" i="2"/>
  <c r="F949" i="2"/>
  <c r="G949" i="2"/>
  <c r="H949" i="2"/>
  <c r="I949" i="2"/>
  <c r="J949" i="2"/>
  <c r="K949" i="2"/>
  <c r="L949" i="2"/>
  <c r="M949" i="2"/>
  <c r="N949" i="2"/>
  <c r="O949" i="2"/>
  <c r="B950" i="2"/>
  <c r="C950" i="2"/>
  <c r="D950" i="2"/>
  <c r="E950" i="2"/>
  <c r="F950" i="2"/>
  <c r="G950" i="2"/>
  <c r="H950" i="2"/>
  <c r="I950" i="2"/>
  <c r="J950" i="2"/>
  <c r="K950" i="2"/>
  <c r="L950" i="2"/>
  <c r="M950" i="2"/>
  <c r="N950" i="2"/>
  <c r="O950" i="2"/>
  <c r="B951" i="2"/>
  <c r="C951" i="2"/>
  <c r="D951" i="2"/>
  <c r="E951" i="2"/>
  <c r="F951" i="2"/>
  <c r="G951" i="2"/>
  <c r="H951" i="2"/>
  <c r="I951" i="2"/>
  <c r="J951" i="2"/>
  <c r="K951" i="2"/>
  <c r="L951" i="2"/>
  <c r="M951" i="2"/>
  <c r="N951" i="2"/>
  <c r="O951" i="2"/>
  <c r="B952" i="2"/>
  <c r="C952" i="2"/>
  <c r="D952" i="2"/>
  <c r="E952" i="2"/>
  <c r="F952" i="2"/>
  <c r="G952" i="2"/>
  <c r="H952" i="2"/>
  <c r="I952" i="2"/>
  <c r="J952" i="2"/>
  <c r="K952" i="2"/>
  <c r="L952" i="2"/>
  <c r="M952" i="2"/>
  <c r="N952" i="2"/>
  <c r="O952" i="2"/>
  <c r="B953" i="2"/>
  <c r="C953" i="2"/>
  <c r="D953" i="2"/>
  <c r="E953" i="2"/>
  <c r="F953" i="2"/>
  <c r="G953" i="2"/>
  <c r="H953" i="2"/>
  <c r="I953" i="2"/>
  <c r="J953" i="2"/>
  <c r="K953" i="2"/>
  <c r="L953" i="2"/>
  <c r="M953" i="2"/>
  <c r="N953" i="2"/>
  <c r="O953" i="2"/>
  <c r="B954" i="2"/>
  <c r="C954" i="2"/>
  <c r="D954" i="2"/>
  <c r="E954" i="2"/>
  <c r="F954" i="2"/>
  <c r="G954" i="2"/>
  <c r="H954" i="2"/>
  <c r="I954" i="2"/>
  <c r="J954" i="2"/>
  <c r="K954" i="2"/>
  <c r="L954" i="2"/>
  <c r="M954" i="2"/>
  <c r="N954" i="2"/>
  <c r="O954" i="2"/>
  <c r="B955" i="2"/>
  <c r="C955" i="2"/>
  <c r="D955" i="2"/>
  <c r="E955" i="2"/>
  <c r="F955" i="2"/>
  <c r="G955" i="2"/>
  <c r="H955" i="2"/>
  <c r="I955" i="2"/>
  <c r="J955" i="2"/>
  <c r="K955" i="2"/>
  <c r="L955" i="2"/>
  <c r="M955" i="2"/>
  <c r="N955" i="2"/>
  <c r="O955" i="2"/>
  <c r="B956" i="2"/>
  <c r="C956" i="2"/>
  <c r="D956" i="2"/>
  <c r="E956" i="2"/>
  <c r="F956" i="2"/>
  <c r="G956" i="2"/>
  <c r="H956" i="2"/>
  <c r="I956" i="2"/>
  <c r="J956" i="2"/>
  <c r="K956" i="2"/>
  <c r="L956" i="2"/>
  <c r="M956" i="2"/>
  <c r="N956" i="2"/>
  <c r="O956" i="2"/>
  <c r="B957" i="2"/>
  <c r="C957" i="2"/>
  <c r="D957" i="2"/>
  <c r="E957" i="2"/>
  <c r="F957" i="2"/>
  <c r="G957" i="2"/>
  <c r="H957" i="2"/>
  <c r="I957" i="2"/>
  <c r="J957" i="2"/>
  <c r="K957" i="2"/>
  <c r="L957" i="2"/>
  <c r="M957" i="2"/>
  <c r="N957" i="2"/>
  <c r="O957" i="2"/>
  <c r="B958" i="2"/>
  <c r="C958" i="2"/>
  <c r="D958" i="2"/>
  <c r="E958" i="2"/>
  <c r="F958" i="2"/>
  <c r="G958" i="2"/>
  <c r="H958" i="2"/>
  <c r="I958" i="2"/>
  <c r="J958" i="2"/>
  <c r="K958" i="2"/>
  <c r="L958" i="2"/>
  <c r="M958" i="2"/>
  <c r="N958" i="2"/>
  <c r="O958" i="2"/>
  <c r="B959" i="2"/>
  <c r="C959" i="2"/>
  <c r="D959" i="2"/>
  <c r="E959" i="2"/>
  <c r="F959" i="2"/>
  <c r="G959" i="2"/>
  <c r="H959" i="2"/>
  <c r="I959" i="2"/>
  <c r="J959" i="2"/>
  <c r="K959" i="2"/>
  <c r="L959" i="2"/>
  <c r="M959" i="2"/>
  <c r="N959" i="2"/>
  <c r="O959" i="2"/>
  <c r="B960" i="2"/>
  <c r="C960" i="2"/>
  <c r="D960" i="2"/>
  <c r="E960" i="2"/>
  <c r="F960" i="2"/>
  <c r="G960" i="2"/>
  <c r="H960" i="2"/>
  <c r="I960" i="2"/>
  <c r="J960" i="2"/>
  <c r="K960" i="2"/>
  <c r="L960" i="2"/>
  <c r="M960" i="2"/>
  <c r="N960" i="2"/>
  <c r="O960" i="2"/>
  <c r="B961" i="2"/>
  <c r="C961" i="2"/>
  <c r="D961" i="2"/>
  <c r="E961" i="2"/>
  <c r="F961" i="2"/>
  <c r="G961" i="2"/>
  <c r="H961" i="2"/>
  <c r="I961" i="2"/>
  <c r="J961" i="2"/>
  <c r="K961" i="2"/>
  <c r="L961" i="2"/>
  <c r="M961" i="2"/>
  <c r="N961" i="2"/>
  <c r="O961" i="2"/>
  <c r="B962" i="2"/>
  <c r="C962" i="2"/>
  <c r="D962" i="2"/>
  <c r="E962" i="2"/>
  <c r="F962" i="2"/>
  <c r="G962" i="2"/>
  <c r="H962" i="2"/>
  <c r="I962" i="2"/>
  <c r="J962" i="2"/>
  <c r="K962" i="2"/>
  <c r="L962" i="2"/>
  <c r="M962" i="2"/>
  <c r="N962" i="2"/>
  <c r="O962" i="2"/>
  <c r="B963" i="2"/>
  <c r="C963" i="2"/>
  <c r="D963" i="2"/>
  <c r="E963" i="2"/>
  <c r="F963" i="2"/>
  <c r="G963" i="2"/>
  <c r="H963" i="2"/>
  <c r="I963" i="2"/>
  <c r="J963" i="2"/>
  <c r="K963" i="2"/>
  <c r="L963" i="2"/>
  <c r="M963" i="2"/>
  <c r="N963" i="2"/>
  <c r="O963" i="2"/>
  <c r="B964" i="2"/>
  <c r="C964" i="2"/>
  <c r="D964" i="2"/>
  <c r="E964" i="2"/>
  <c r="F964" i="2"/>
  <c r="G964" i="2"/>
  <c r="H964" i="2"/>
  <c r="I964" i="2"/>
  <c r="J964" i="2"/>
  <c r="K964" i="2"/>
  <c r="L964" i="2"/>
  <c r="M964" i="2"/>
  <c r="N964" i="2"/>
  <c r="O964" i="2"/>
  <c r="B965" i="2"/>
  <c r="C965" i="2"/>
  <c r="D965" i="2"/>
  <c r="E965" i="2"/>
  <c r="F965" i="2"/>
  <c r="G965" i="2"/>
  <c r="H965" i="2"/>
  <c r="I965" i="2"/>
  <c r="J965" i="2"/>
  <c r="K965" i="2"/>
  <c r="L965" i="2"/>
  <c r="M965" i="2"/>
  <c r="N965" i="2"/>
  <c r="O965" i="2"/>
  <c r="B966" i="2"/>
  <c r="C966" i="2"/>
  <c r="D966" i="2"/>
  <c r="E966" i="2"/>
  <c r="F966" i="2"/>
  <c r="G966" i="2"/>
  <c r="H966" i="2"/>
  <c r="I966" i="2"/>
  <c r="J966" i="2"/>
  <c r="K966" i="2"/>
  <c r="L966" i="2"/>
  <c r="M966" i="2"/>
  <c r="N966" i="2"/>
  <c r="O966" i="2"/>
  <c r="B967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B968" i="2"/>
  <c r="C968" i="2"/>
  <c r="D968" i="2"/>
  <c r="E968" i="2"/>
  <c r="F968" i="2"/>
  <c r="G968" i="2"/>
  <c r="H968" i="2"/>
  <c r="I968" i="2"/>
  <c r="J968" i="2"/>
  <c r="K968" i="2"/>
  <c r="L968" i="2"/>
  <c r="M968" i="2"/>
  <c r="N968" i="2"/>
  <c r="O968" i="2"/>
  <c r="B969" i="2"/>
  <c r="C969" i="2"/>
  <c r="D969" i="2"/>
  <c r="E969" i="2"/>
  <c r="F969" i="2"/>
  <c r="G969" i="2"/>
  <c r="H969" i="2"/>
  <c r="I969" i="2"/>
  <c r="J969" i="2"/>
  <c r="K969" i="2"/>
  <c r="L969" i="2"/>
  <c r="M969" i="2"/>
  <c r="N969" i="2"/>
  <c r="O969" i="2"/>
  <c r="B970" i="2"/>
  <c r="C970" i="2"/>
  <c r="D970" i="2"/>
  <c r="E970" i="2"/>
  <c r="F970" i="2"/>
  <c r="G970" i="2"/>
  <c r="H970" i="2"/>
  <c r="I970" i="2"/>
  <c r="J970" i="2"/>
  <c r="K970" i="2"/>
  <c r="L970" i="2"/>
  <c r="M970" i="2"/>
  <c r="N970" i="2"/>
  <c r="O970" i="2"/>
  <c r="B971" i="2"/>
  <c r="C971" i="2"/>
  <c r="D971" i="2"/>
  <c r="E971" i="2"/>
  <c r="F971" i="2"/>
  <c r="G971" i="2"/>
  <c r="H971" i="2"/>
  <c r="I971" i="2"/>
  <c r="J971" i="2"/>
  <c r="K971" i="2"/>
  <c r="L971" i="2"/>
  <c r="M971" i="2"/>
  <c r="N971" i="2"/>
  <c r="O971" i="2"/>
  <c r="B972" i="2"/>
  <c r="C972" i="2"/>
  <c r="D972" i="2"/>
  <c r="E972" i="2"/>
  <c r="F972" i="2"/>
  <c r="G972" i="2"/>
  <c r="H972" i="2"/>
  <c r="I972" i="2"/>
  <c r="J972" i="2"/>
  <c r="K972" i="2"/>
  <c r="L972" i="2"/>
  <c r="M972" i="2"/>
  <c r="N972" i="2"/>
  <c r="O972" i="2"/>
  <c r="B973" i="2"/>
  <c r="C973" i="2"/>
  <c r="D973" i="2"/>
  <c r="E973" i="2"/>
  <c r="F973" i="2"/>
  <c r="G973" i="2"/>
  <c r="H973" i="2"/>
  <c r="I973" i="2"/>
  <c r="J973" i="2"/>
  <c r="K973" i="2"/>
  <c r="L973" i="2"/>
  <c r="M973" i="2"/>
  <c r="N973" i="2"/>
  <c r="O973" i="2"/>
  <c r="B974" i="2"/>
  <c r="C974" i="2"/>
  <c r="D974" i="2"/>
  <c r="E974" i="2"/>
  <c r="F974" i="2"/>
  <c r="G974" i="2"/>
  <c r="H974" i="2"/>
  <c r="I974" i="2"/>
  <c r="J974" i="2"/>
  <c r="K974" i="2"/>
  <c r="L974" i="2"/>
  <c r="M974" i="2"/>
  <c r="N974" i="2"/>
  <c r="O974" i="2"/>
  <c r="B975" i="2"/>
  <c r="C975" i="2"/>
  <c r="D975" i="2"/>
  <c r="E975" i="2"/>
  <c r="F975" i="2"/>
  <c r="G975" i="2"/>
  <c r="H975" i="2"/>
  <c r="I975" i="2"/>
  <c r="J975" i="2"/>
  <c r="K975" i="2"/>
  <c r="L975" i="2"/>
  <c r="M975" i="2"/>
  <c r="N975" i="2"/>
  <c r="O975" i="2"/>
  <c r="B976" i="2"/>
  <c r="C976" i="2"/>
  <c r="D976" i="2"/>
  <c r="E976" i="2"/>
  <c r="F976" i="2"/>
  <c r="G976" i="2"/>
  <c r="H976" i="2"/>
  <c r="I976" i="2"/>
  <c r="J976" i="2"/>
  <c r="K976" i="2"/>
  <c r="L976" i="2"/>
  <c r="M976" i="2"/>
  <c r="N976" i="2"/>
  <c r="O976" i="2"/>
  <c r="B977" i="2"/>
  <c r="C977" i="2"/>
  <c r="D977" i="2"/>
  <c r="E977" i="2"/>
  <c r="F977" i="2"/>
  <c r="G977" i="2"/>
  <c r="H977" i="2"/>
  <c r="I977" i="2"/>
  <c r="J977" i="2"/>
  <c r="K977" i="2"/>
  <c r="L977" i="2"/>
  <c r="M977" i="2"/>
  <c r="N977" i="2"/>
  <c r="O977" i="2"/>
  <c r="B978" i="2"/>
  <c r="C978" i="2"/>
  <c r="D978" i="2"/>
  <c r="E978" i="2"/>
  <c r="F978" i="2"/>
  <c r="G978" i="2"/>
  <c r="H978" i="2"/>
  <c r="I978" i="2"/>
  <c r="J978" i="2"/>
  <c r="K978" i="2"/>
  <c r="L978" i="2"/>
  <c r="M978" i="2"/>
  <c r="N978" i="2"/>
  <c r="O978" i="2"/>
  <c r="B979" i="2"/>
  <c r="C979" i="2"/>
  <c r="D979" i="2"/>
  <c r="E979" i="2"/>
  <c r="F979" i="2"/>
  <c r="G979" i="2"/>
  <c r="H979" i="2"/>
  <c r="I979" i="2"/>
  <c r="J979" i="2"/>
  <c r="K979" i="2"/>
  <c r="L979" i="2"/>
  <c r="M979" i="2"/>
  <c r="N979" i="2"/>
  <c r="O979" i="2"/>
  <c r="B980" i="2"/>
  <c r="C980" i="2"/>
  <c r="D980" i="2"/>
  <c r="E980" i="2"/>
  <c r="F980" i="2"/>
  <c r="G980" i="2"/>
  <c r="H980" i="2"/>
  <c r="I980" i="2"/>
  <c r="J980" i="2"/>
  <c r="K980" i="2"/>
  <c r="L980" i="2"/>
  <c r="M980" i="2"/>
  <c r="N980" i="2"/>
  <c r="O980" i="2"/>
  <c r="B981" i="2"/>
  <c r="C981" i="2"/>
  <c r="D981" i="2"/>
  <c r="E981" i="2"/>
  <c r="F981" i="2"/>
  <c r="G981" i="2"/>
  <c r="H981" i="2"/>
  <c r="I981" i="2"/>
  <c r="J981" i="2"/>
  <c r="K981" i="2"/>
  <c r="L981" i="2"/>
  <c r="M981" i="2"/>
  <c r="N981" i="2"/>
  <c r="O981" i="2"/>
  <c r="B982" i="2"/>
  <c r="C982" i="2"/>
  <c r="D982" i="2"/>
  <c r="E982" i="2"/>
  <c r="F982" i="2"/>
  <c r="G982" i="2"/>
  <c r="H982" i="2"/>
  <c r="I982" i="2"/>
  <c r="J982" i="2"/>
  <c r="K982" i="2"/>
  <c r="L982" i="2"/>
  <c r="M982" i="2"/>
  <c r="N982" i="2"/>
  <c r="O982" i="2"/>
  <c r="B983" i="2"/>
  <c r="C983" i="2"/>
  <c r="D983" i="2"/>
  <c r="E983" i="2"/>
  <c r="F983" i="2"/>
  <c r="G983" i="2"/>
  <c r="H983" i="2"/>
  <c r="I983" i="2"/>
  <c r="J983" i="2"/>
  <c r="K983" i="2"/>
  <c r="L983" i="2"/>
  <c r="M983" i="2"/>
  <c r="N983" i="2"/>
  <c r="O983" i="2"/>
  <c r="B984" i="2"/>
  <c r="C984" i="2"/>
  <c r="D984" i="2"/>
  <c r="E984" i="2"/>
  <c r="F984" i="2"/>
  <c r="G984" i="2"/>
  <c r="H984" i="2"/>
  <c r="I984" i="2"/>
  <c r="J984" i="2"/>
  <c r="K984" i="2"/>
  <c r="L984" i="2"/>
  <c r="M984" i="2"/>
  <c r="N984" i="2"/>
  <c r="O984" i="2"/>
  <c r="B985" i="2"/>
  <c r="C985" i="2"/>
  <c r="D985" i="2"/>
  <c r="E985" i="2"/>
  <c r="F985" i="2"/>
  <c r="G985" i="2"/>
  <c r="H985" i="2"/>
  <c r="I985" i="2"/>
  <c r="J985" i="2"/>
  <c r="K985" i="2"/>
  <c r="L985" i="2"/>
  <c r="M985" i="2"/>
  <c r="N985" i="2"/>
  <c r="O985" i="2"/>
  <c r="B986" i="2"/>
  <c r="C986" i="2"/>
  <c r="D986" i="2"/>
  <c r="E986" i="2"/>
  <c r="F986" i="2"/>
  <c r="G986" i="2"/>
  <c r="H986" i="2"/>
  <c r="I986" i="2"/>
  <c r="J986" i="2"/>
  <c r="K986" i="2"/>
  <c r="L986" i="2"/>
  <c r="M986" i="2"/>
  <c r="N986" i="2"/>
  <c r="O986" i="2"/>
  <c r="B987" i="2"/>
  <c r="C987" i="2"/>
  <c r="D987" i="2"/>
  <c r="E987" i="2"/>
  <c r="F987" i="2"/>
  <c r="G987" i="2"/>
  <c r="H987" i="2"/>
  <c r="I987" i="2"/>
  <c r="J987" i="2"/>
  <c r="K987" i="2"/>
  <c r="L987" i="2"/>
  <c r="M987" i="2"/>
  <c r="N987" i="2"/>
  <c r="O987" i="2"/>
  <c r="B988" i="2"/>
  <c r="C988" i="2"/>
  <c r="D988" i="2"/>
  <c r="E988" i="2"/>
  <c r="F988" i="2"/>
  <c r="G988" i="2"/>
  <c r="H988" i="2"/>
  <c r="I988" i="2"/>
  <c r="J988" i="2"/>
  <c r="K988" i="2"/>
  <c r="L988" i="2"/>
  <c r="M988" i="2"/>
  <c r="N988" i="2"/>
  <c r="O988" i="2"/>
  <c r="B989" i="2"/>
  <c r="C989" i="2"/>
  <c r="D989" i="2"/>
  <c r="E989" i="2"/>
  <c r="F989" i="2"/>
  <c r="G989" i="2"/>
  <c r="H989" i="2"/>
  <c r="I989" i="2"/>
  <c r="J989" i="2"/>
  <c r="K989" i="2"/>
  <c r="L989" i="2"/>
  <c r="M989" i="2"/>
  <c r="N989" i="2"/>
  <c r="O989" i="2"/>
  <c r="B990" i="2"/>
  <c r="C990" i="2"/>
  <c r="D990" i="2"/>
  <c r="E990" i="2"/>
  <c r="F990" i="2"/>
  <c r="G990" i="2"/>
  <c r="H990" i="2"/>
  <c r="I990" i="2"/>
  <c r="J990" i="2"/>
  <c r="K990" i="2"/>
  <c r="L990" i="2"/>
  <c r="M990" i="2"/>
  <c r="N990" i="2"/>
  <c r="O990" i="2"/>
  <c r="B991" i="2"/>
  <c r="C991" i="2"/>
  <c r="D991" i="2"/>
  <c r="E991" i="2"/>
  <c r="F991" i="2"/>
  <c r="G991" i="2"/>
  <c r="H991" i="2"/>
  <c r="I991" i="2"/>
  <c r="J991" i="2"/>
  <c r="K991" i="2"/>
  <c r="L991" i="2"/>
  <c r="M991" i="2"/>
  <c r="N991" i="2"/>
  <c r="O991" i="2"/>
  <c r="B992" i="2"/>
  <c r="C992" i="2"/>
  <c r="D992" i="2"/>
  <c r="E992" i="2"/>
  <c r="F992" i="2"/>
  <c r="G992" i="2"/>
  <c r="H992" i="2"/>
  <c r="I992" i="2"/>
  <c r="J992" i="2"/>
  <c r="K992" i="2"/>
  <c r="L992" i="2"/>
  <c r="M992" i="2"/>
  <c r="N992" i="2"/>
  <c r="O992" i="2"/>
  <c r="B993" i="2"/>
  <c r="C993" i="2"/>
  <c r="D993" i="2"/>
  <c r="E993" i="2"/>
  <c r="F993" i="2"/>
  <c r="G993" i="2"/>
  <c r="H993" i="2"/>
  <c r="I993" i="2"/>
  <c r="J993" i="2"/>
  <c r="K993" i="2"/>
  <c r="L993" i="2"/>
  <c r="M993" i="2"/>
  <c r="N993" i="2"/>
  <c r="O993" i="2"/>
  <c r="B994" i="2"/>
  <c r="C994" i="2"/>
  <c r="D994" i="2"/>
  <c r="E994" i="2"/>
  <c r="F994" i="2"/>
  <c r="G994" i="2"/>
  <c r="H994" i="2"/>
  <c r="I994" i="2"/>
  <c r="J994" i="2"/>
  <c r="K994" i="2"/>
  <c r="L994" i="2"/>
  <c r="M994" i="2"/>
  <c r="N994" i="2"/>
  <c r="O994" i="2"/>
  <c r="B995" i="2"/>
  <c r="C995" i="2"/>
  <c r="D995" i="2"/>
  <c r="E995" i="2"/>
  <c r="F995" i="2"/>
  <c r="G995" i="2"/>
  <c r="H995" i="2"/>
  <c r="I995" i="2"/>
  <c r="J995" i="2"/>
  <c r="K995" i="2"/>
  <c r="L995" i="2"/>
  <c r="M995" i="2"/>
  <c r="N995" i="2"/>
  <c r="O995" i="2"/>
  <c r="B996" i="2"/>
  <c r="C996" i="2"/>
  <c r="D996" i="2"/>
  <c r="E996" i="2"/>
  <c r="F996" i="2"/>
  <c r="G996" i="2"/>
  <c r="H996" i="2"/>
  <c r="I996" i="2"/>
  <c r="J996" i="2"/>
  <c r="K996" i="2"/>
  <c r="L996" i="2"/>
  <c r="M996" i="2"/>
  <c r="N996" i="2"/>
  <c r="O996" i="2"/>
  <c r="B997" i="2"/>
  <c r="C997" i="2"/>
  <c r="D997" i="2"/>
  <c r="E997" i="2"/>
  <c r="F997" i="2"/>
  <c r="G997" i="2"/>
  <c r="H997" i="2"/>
  <c r="I997" i="2"/>
  <c r="J997" i="2"/>
  <c r="K997" i="2"/>
  <c r="L997" i="2"/>
  <c r="M997" i="2"/>
  <c r="N997" i="2"/>
  <c r="O997" i="2"/>
  <c r="B998" i="2"/>
  <c r="C998" i="2"/>
  <c r="D998" i="2"/>
  <c r="E998" i="2"/>
  <c r="F998" i="2"/>
  <c r="G998" i="2"/>
  <c r="H998" i="2"/>
  <c r="I998" i="2"/>
  <c r="J998" i="2"/>
  <c r="K998" i="2"/>
  <c r="L998" i="2"/>
  <c r="M998" i="2"/>
  <c r="N998" i="2"/>
  <c r="O998" i="2"/>
  <c r="B999" i="2"/>
  <c r="C999" i="2"/>
  <c r="D999" i="2"/>
  <c r="E999" i="2"/>
  <c r="F999" i="2"/>
  <c r="G999" i="2"/>
  <c r="H999" i="2"/>
  <c r="I999" i="2"/>
  <c r="J999" i="2"/>
  <c r="K999" i="2"/>
  <c r="L999" i="2"/>
  <c r="M999" i="2"/>
  <c r="N999" i="2"/>
  <c r="O999" i="2"/>
  <c r="B1000" i="2"/>
  <c r="C1000" i="2"/>
  <c r="D1000" i="2"/>
  <c r="E1000" i="2"/>
  <c r="F1000" i="2"/>
  <c r="G1000" i="2"/>
  <c r="H1000" i="2"/>
  <c r="I1000" i="2"/>
  <c r="J1000" i="2"/>
  <c r="K1000" i="2"/>
  <c r="L1000" i="2"/>
  <c r="M1000" i="2"/>
  <c r="N1000" i="2"/>
  <c r="O1000" i="2"/>
  <c r="B1001" i="2"/>
  <c r="C1001" i="2"/>
  <c r="D1001" i="2"/>
  <c r="E1001" i="2"/>
  <c r="F1001" i="2"/>
  <c r="G1001" i="2"/>
  <c r="H1001" i="2"/>
  <c r="I1001" i="2"/>
  <c r="J1001" i="2"/>
  <c r="K1001" i="2"/>
  <c r="L1001" i="2"/>
  <c r="M1001" i="2"/>
  <c r="N1001" i="2"/>
  <c r="O1001" i="2"/>
  <c r="B1002" i="2"/>
  <c r="C1002" i="2"/>
  <c r="D1002" i="2"/>
  <c r="E1002" i="2"/>
  <c r="F1002" i="2"/>
  <c r="G1002" i="2"/>
  <c r="H1002" i="2"/>
  <c r="I1002" i="2"/>
  <c r="J1002" i="2"/>
  <c r="K1002" i="2"/>
  <c r="L1002" i="2"/>
  <c r="M1002" i="2"/>
  <c r="N1002" i="2"/>
  <c r="O1002" i="2"/>
  <c r="B1003" i="2"/>
  <c r="C1003" i="2"/>
  <c r="D1003" i="2"/>
  <c r="E1003" i="2"/>
  <c r="F1003" i="2"/>
  <c r="G1003" i="2"/>
  <c r="H1003" i="2"/>
  <c r="I1003" i="2"/>
  <c r="J1003" i="2"/>
  <c r="K1003" i="2"/>
  <c r="L1003" i="2"/>
  <c r="M1003" i="2"/>
  <c r="N1003" i="2"/>
  <c r="O1003" i="2"/>
  <c r="B1004" i="2"/>
  <c r="C1004" i="2"/>
  <c r="D1004" i="2"/>
  <c r="E1004" i="2"/>
  <c r="F1004" i="2"/>
  <c r="G1004" i="2"/>
  <c r="H1004" i="2"/>
  <c r="I1004" i="2"/>
  <c r="J1004" i="2"/>
  <c r="K1004" i="2"/>
  <c r="L1004" i="2"/>
  <c r="M1004" i="2"/>
  <c r="N1004" i="2"/>
  <c r="O1004" i="2"/>
  <c r="B1005" i="2"/>
  <c r="C1005" i="2"/>
  <c r="D1005" i="2"/>
  <c r="E1005" i="2"/>
  <c r="F1005" i="2"/>
  <c r="G1005" i="2"/>
  <c r="H1005" i="2"/>
  <c r="I1005" i="2"/>
  <c r="J1005" i="2"/>
  <c r="K1005" i="2"/>
  <c r="L1005" i="2"/>
  <c r="M1005" i="2"/>
  <c r="N1005" i="2"/>
  <c r="O1005" i="2"/>
  <c r="B1006" i="2"/>
  <c r="C1006" i="2"/>
  <c r="D1006" i="2"/>
  <c r="E1006" i="2"/>
  <c r="F1006" i="2"/>
  <c r="G1006" i="2"/>
  <c r="H1006" i="2"/>
  <c r="I1006" i="2"/>
  <c r="J1006" i="2"/>
  <c r="K1006" i="2"/>
  <c r="L1006" i="2"/>
  <c r="M1006" i="2"/>
  <c r="N1006" i="2"/>
  <c r="O1006" i="2"/>
  <c r="B1007" i="2"/>
  <c r="C1007" i="2"/>
  <c r="D1007" i="2"/>
  <c r="E1007" i="2"/>
  <c r="F1007" i="2"/>
  <c r="G1007" i="2"/>
  <c r="H1007" i="2"/>
  <c r="I1007" i="2"/>
  <c r="J1007" i="2"/>
  <c r="K1007" i="2"/>
  <c r="L1007" i="2"/>
  <c r="M1007" i="2"/>
  <c r="N1007" i="2"/>
  <c r="O1007" i="2"/>
  <c r="B1008" i="2"/>
  <c r="C1008" i="2"/>
  <c r="D1008" i="2"/>
  <c r="E1008" i="2"/>
  <c r="F1008" i="2"/>
  <c r="G1008" i="2"/>
  <c r="H1008" i="2"/>
  <c r="I1008" i="2"/>
  <c r="J1008" i="2"/>
  <c r="K1008" i="2"/>
  <c r="L1008" i="2"/>
  <c r="M1008" i="2"/>
  <c r="N1008" i="2"/>
  <c r="O1008" i="2"/>
  <c r="B1009" i="2"/>
  <c r="C1009" i="2"/>
  <c r="D1009" i="2"/>
  <c r="E1009" i="2"/>
  <c r="F1009" i="2"/>
  <c r="G1009" i="2"/>
  <c r="H1009" i="2"/>
  <c r="I1009" i="2"/>
  <c r="J1009" i="2"/>
  <c r="K1009" i="2"/>
  <c r="L1009" i="2"/>
  <c r="M1009" i="2"/>
  <c r="N1009" i="2"/>
  <c r="O1009" i="2"/>
  <c r="B1010" i="2"/>
  <c r="C1010" i="2"/>
  <c r="D1010" i="2"/>
  <c r="E1010" i="2"/>
  <c r="F1010" i="2"/>
  <c r="G1010" i="2"/>
  <c r="H1010" i="2"/>
  <c r="I1010" i="2"/>
  <c r="J1010" i="2"/>
  <c r="K1010" i="2"/>
  <c r="L1010" i="2"/>
  <c r="M1010" i="2"/>
  <c r="N1010" i="2"/>
  <c r="O1010" i="2"/>
  <c r="B1011" i="2"/>
  <c r="C1011" i="2"/>
  <c r="D1011" i="2"/>
  <c r="E1011" i="2"/>
  <c r="F1011" i="2"/>
  <c r="G1011" i="2"/>
  <c r="H1011" i="2"/>
  <c r="I1011" i="2"/>
  <c r="J1011" i="2"/>
  <c r="K1011" i="2"/>
  <c r="L1011" i="2"/>
  <c r="M1011" i="2"/>
  <c r="N1011" i="2"/>
  <c r="O1011" i="2"/>
  <c r="B1012" i="2"/>
  <c r="C1012" i="2"/>
  <c r="D1012" i="2"/>
  <c r="E1012" i="2"/>
  <c r="F1012" i="2"/>
  <c r="G1012" i="2"/>
  <c r="H1012" i="2"/>
  <c r="I1012" i="2"/>
  <c r="J1012" i="2"/>
  <c r="K1012" i="2"/>
  <c r="L1012" i="2"/>
  <c r="M1012" i="2"/>
  <c r="N1012" i="2"/>
  <c r="O1012" i="2"/>
  <c r="B1013" i="2"/>
  <c r="C1013" i="2"/>
  <c r="D1013" i="2"/>
  <c r="E1013" i="2"/>
  <c r="F1013" i="2"/>
  <c r="G1013" i="2"/>
  <c r="H1013" i="2"/>
  <c r="I1013" i="2"/>
  <c r="J1013" i="2"/>
  <c r="K1013" i="2"/>
  <c r="L1013" i="2"/>
  <c r="M1013" i="2"/>
  <c r="N1013" i="2"/>
  <c r="O1013" i="2"/>
  <c r="B1014" i="2"/>
  <c r="C1014" i="2"/>
  <c r="D1014" i="2"/>
  <c r="E1014" i="2"/>
  <c r="F1014" i="2"/>
  <c r="G1014" i="2"/>
  <c r="H1014" i="2"/>
  <c r="I1014" i="2"/>
  <c r="J1014" i="2"/>
  <c r="K1014" i="2"/>
  <c r="L1014" i="2"/>
  <c r="M1014" i="2"/>
  <c r="N1014" i="2"/>
  <c r="O1014" i="2"/>
  <c r="B1015" i="2"/>
  <c r="C1015" i="2"/>
  <c r="D1015" i="2"/>
  <c r="E1015" i="2"/>
  <c r="F1015" i="2"/>
  <c r="G1015" i="2"/>
  <c r="H1015" i="2"/>
  <c r="I1015" i="2"/>
  <c r="J1015" i="2"/>
  <c r="K1015" i="2"/>
  <c r="L1015" i="2"/>
  <c r="M1015" i="2"/>
  <c r="N1015" i="2"/>
  <c r="O1015" i="2"/>
  <c r="B1016" i="2"/>
  <c r="C1016" i="2"/>
  <c r="D1016" i="2"/>
  <c r="E1016" i="2"/>
  <c r="F1016" i="2"/>
  <c r="G1016" i="2"/>
  <c r="H1016" i="2"/>
  <c r="I1016" i="2"/>
  <c r="J1016" i="2"/>
  <c r="K1016" i="2"/>
  <c r="L1016" i="2"/>
  <c r="M1016" i="2"/>
  <c r="N1016" i="2"/>
  <c r="O1016" i="2"/>
  <c r="B1017" i="2"/>
  <c r="C1017" i="2"/>
  <c r="D1017" i="2"/>
  <c r="E1017" i="2"/>
  <c r="F1017" i="2"/>
  <c r="G1017" i="2"/>
  <c r="H1017" i="2"/>
  <c r="I1017" i="2"/>
  <c r="J1017" i="2"/>
  <c r="K1017" i="2"/>
  <c r="L1017" i="2"/>
  <c r="M1017" i="2"/>
  <c r="N1017" i="2"/>
  <c r="O1017" i="2"/>
  <c r="B1018" i="2"/>
  <c r="C1018" i="2"/>
  <c r="D1018" i="2"/>
  <c r="E1018" i="2"/>
  <c r="F1018" i="2"/>
  <c r="G1018" i="2"/>
  <c r="H1018" i="2"/>
  <c r="I1018" i="2"/>
  <c r="J1018" i="2"/>
  <c r="K1018" i="2"/>
  <c r="L1018" i="2"/>
  <c r="M1018" i="2"/>
  <c r="N1018" i="2"/>
  <c r="O1018" i="2"/>
  <c r="B1019" i="2"/>
  <c r="C1019" i="2"/>
  <c r="D1019" i="2"/>
  <c r="E1019" i="2"/>
  <c r="F1019" i="2"/>
  <c r="G1019" i="2"/>
  <c r="H1019" i="2"/>
  <c r="I1019" i="2"/>
  <c r="J1019" i="2"/>
  <c r="K1019" i="2"/>
  <c r="L1019" i="2"/>
  <c r="M1019" i="2"/>
  <c r="N1019" i="2"/>
  <c r="O1019" i="2"/>
  <c r="B1020" i="2"/>
  <c r="C1020" i="2"/>
  <c r="D1020" i="2"/>
  <c r="E1020" i="2"/>
  <c r="F1020" i="2"/>
  <c r="G1020" i="2"/>
  <c r="H1020" i="2"/>
  <c r="I1020" i="2"/>
  <c r="J1020" i="2"/>
  <c r="K1020" i="2"/>
  <c r="L1020" i="2"/>
  <c r="M1020" i="2"/>
  <c r="N1020" i="2"/>
  <c r="O1020" i="2"/>
  <c r="B1021" i="2"/>
  <c r="C1021" i="2"/>
  <c r="D1021" i="2"/>
  <c r="E1021" i="2"/>
  <c r="F1021" i="2"/>
  <c r="G1021" i="2"/>
  <c r="H1021" i="2"/>
  <c r="I1021" i="2"/>
  <c r="J1021" i="2"/>
  <c r="K1021" i="2"/>
  <c r="L1021" i="2"/>
  <c r="M1021" i="2"/>
  <c r="N1021" i="2"/>
  <c r="O1021" i="2"/>
  <c r="B1022" i="2"/>
  <c r="C1022" i="2"/>
  <c r="D1022" i="2"/>
  <c r="E1022" i="2"/>
  <c r="F1022" i="2"/>
  <c r="G1022" i="2"/>
  <c r="H1022" i="2"/>
  <c r="I1022" i="2"/>
  <c r="J1022" i="2"/>
  <c r="K1022" i="2"/>
  <c r="L1022" i="2"/>
  <c r="M1022" i="2"/>
  <c r="N1022" i="2"/>
  <c r="O1022" i="2"/>
  <c r="B1023" i="2"/>
  <c r="C1023" i="2"/>
  <c r="D1023" i="2"/>
  <c r="E1023" i="2"/>
  <c r="F1023" i="2"/>
  <c r="G1023" i="2"/>
  <c r="H1023" i="2"/>
  <c r="I1023" i="2"/>
  <c r="J1023" i="2"/>
  <c r="K1023" i="2"/>
  <c r="L1023" i="2"/>
  <c r="M1023" i="2"/>
  <c r="N1023" i="2"/>
  <c r="O1023" i="2"/>
  <c r="B1024" i="2"/>
  <c r="C1024" i="2"/>
  <c r="D1024" i="2"/>
  <c r="E1024" i="2"/>
  <c r="F1024" i="2"/>
  <c r="G1024" i="2"/>
  <c r="H1024" i="2"/>
  <c r="I1024" i="2"/>
  <c r="J1024" i="2"/>
  <c r="K1024" i="2"/>
  <c r="L1024" i="2"/>
  <c r="M1024" i="2"/>
  <c r="N1024" i="2"/>
  <c r="O1024" i="2"/>
  <c r="B1025" i="2"/>
  <c r="C1025" i="2"/>
  <c r="D1025" i="2"/>
  <c r="E1025" i="2"/>
  <c r="F1025" i="2"/>
  <c r="G1025" i="2"/>
  <c r="H1025" i="2"/>
  <c r="I1025" i="2"/>
  <c r="J1025" i="2"/>
  <c r="K1025" i="2"/>
  <c r="L1025" i="2"/>
  <c r="M1025" i="2"/>
  <c r="N1025" i="2"/>
  <c r="O1025" i="2"/>
  <c r="B1026" i="2"/>
  <c r="C1026" i="2"/>
  <c r="D1026" i="2"/>
  <c r="E1026" i="2"/>
  <c r="F1026" i="2"/>
  <c r="G1026" i="2"/>
  <c r="H1026" i="2"/>
  <c r="I1026" i="2"/>
  <c r="J1026" i="2"/>
  <c r="K1026" i="2"/>
  <c r="L1026" i="2"/>
  <c r="M1026" i="2"/>
  <c r="N1026" i="2"/>
  <c r="O1026" i="2"/>
  <c r="B1027" i="2"/>
  <c r="C1027" i="2"/>
  <c r="D1027" i="2"/>
  <c r="E1027" i="2"/>
  <c r="F1027" i="2"/>
  <c r="G1027" i="2"/>
  <c r="H1027" i="2"/>
  <c r="I1027" i="2"/>
  <c r="J1027" i="2"/>
  <c r="K1027" i="2"/>
  <c r="L1027" i="2"/>
  <c r="M1027" i="2"/>
  <c r="N1027" i="2"/>
  <c r="O1027" i="2"/>
  <c r="B1028" i="2"/>
  <c r="C1028" i="2"/>
  <c r="D1028" i="2"/>
  <c r="E1028" i="2"/>
  <c r="F1028" i="2"/>
  <c r="G1028" i="2"/>
  <c r="H1028" i="2"/>
  <c r="I1028" i="2"/>
  <c r="J1028" i="2"/>
  <c r="K1028" i="2"/>
  <c r="L1028" i="2"/>
  <c r="M1028" i="2"/>
  <c r="N1028" i="2"/>
  <c r="O1028" i="2"/>
  <c r="B1029" i="2"/>
  <c r="C1029" i="2"/>
  <c r="D1029" i="2"/>
  <c r="E1029" i="2"/>
  <c r="F1029" i="2"/>
  <c r="G1029" i="2"/>
  <c r="H1029" i="2"/>
  <c r="I1029" i="2"/>
  <c r="J1029" i="2"/>
  <c r="K1029" i="2"/>
  <c r="L1029" i="2"/>
  <c r="M1029" i="2"/>
  <c r="N1029" i="2"/>
  <c r="O1029" i="2"/>
  <c r="B1030" i="2"/>
  <c r="C1030" i="2"/>
  <c r="D1030" i="2"/>
  <c r="E1030" i="2"/>
  <c r="F1030" i="2"/>
  <c r="G1030" i="2"/>
  <c r="H1030" i="2"/>
  <c r="I1030" i="2"/>
  <c r="J1030" i="2"/>
  <c r="K1030" i="2"/>
  <c r="L1030" i="2"/>
  <c r="M1030" i="2"/>
  <c r="N1030" i="2"/>
  <c r="O1030" i="2"/>
  <c r="B1031" i="2"/>
  <c r="C1031" i="2"/>
  <c r="D1031" i="2"/>
  <c r="E1031" i="2"/>
  <c r="F1031" i="2"/>
  <c r="G1031" i="2"/>
  <c r="H1031" i="2"/>
  <c r="I1031" i="2"/>
  <c r="J1031" i="2"/>
  <c r="K1031" i="2"/>
  <c r="L1031" i="2"/>
  <c r="M1031" i="2"/>
  <c r="N1031" i="2"/>
  <c r="O1031" i="2"/>
  <c r="B1032" i="2"/>
  <c r="C1032" i="2"/>
  <c r="D1032" i="2"/>
  <c r="E1032" i="2"/>
  <c r="F1032" i="2"/>
  <c r="G1032" i="2"/>
  <c r="H1032" i="2"/>
  <c r="I1032" i="2"/>
  <c r="J1032" i="2"/>
  <c r="K1032" i="2"/>
  <c r="L1032" i="2"/>
  <c r="M1032" i="2"/>
  <c r="N1032" i="2"/>
  <c r="O1032" i="2"/>
  <c r="B1033" i="2"/>
  <c r="C1033" i="2"/>
  <c r="D1033" i="2"/>
  <c r="E1033" i="2"/>
  <c r="F1033" i="2"/>
  <c r="G1033" i="2"/>
  <c r="H1033" i="2"/>
  <c r="I1033" i="2"/>
  <c r="J1033" i="2"/>
  <c r="K1033" i="2"/>
  <c r="L1033" i="2"/>
  <c r="M1033" i="2"/>
  <c r="N1033" i="2"/>
  <c r="O1033" i="2"/>
  <c r="B1034" i="2"/>
  <c r="C1034" i="2"/>
  <c r="D1034" i="2"/>
  <c r="E1034" i="2"/>
  <c r="F1034" i="2"/>
  <c r="G1034" i="2"/>
  <c r="H1034" i="2"/>
  <c r="I1034" i="2"/>
  <c r="J1034" i="2"/>
  <c r="K1034" i="2"/>
  <c r="L1034" i="2"/>
  <c r="M1034" i="2"/>
  <c r="N1034" i="2"/>
  <c r="O1034" i="2"/>
  <c r="B1035" i="2"/>
  <c r="C1035" i="2"/>
  <c r="D1035" i="2"/>
  <c r="E1035" i="2"/>
  <c r="F1035" i="2"/>
  <c r="G1035" i="2"/>
  <c r="H1035" i="2"/>
  <c r="I1035" i="2"/>
  <c r="J1035" i="2"/>
  <c r="K1035" i="2"/>
  <c r="L1035" i="2"/>
  <c r="M1035" i="2"/>
  <c r="N1035" i="2"/>
  <c r="O1035" i="2"/>
  <c r="B1036" i="2"/>
  <c r="C1036" i="2"/>
  <c r="D1036" i="2"/>
  <c r="E1036" i="2"/>
  <c r="F1036" i="2"/>
  <c r="G1036" i="2"/>
  <c r="H1036" i="2"/>
  <c r="I1036" i="2"/>
  <c r="J1036" i="2"/>
  <c r="K1036" i="2"/>
  <c r="L1036" i="2"/>
  <c r="M1036" i="2"/>
  <c r="N1036" i="2"/>
  <c r="O1036" i="2"/>
  <c r="B1037" i="2"/>
  <c r="C1037" i="2"/>
  <c r="D1037" i="2"/>
  <c r="E1037" i="2"/>
  <c r="F1037" i="2"/>
  <c r="G1037" i="2"/>
  <c r="H1037" i="2"/>
  <c r="I1037" i="2"/>
  <c r="J1037" i="2"/>
  <c r="K1037" i="2"/>
  <c r="L1037" i="2"/>
  <c r="M1037" i="2"/>
  <c r="N1037" i="2"/>
  <c r="O1037" i="2"/>
  <c r="B1038" i="2"/>
  <c r="C1038" i="2"/>
  <c r="D1038" i="2"/>
  <c r="E1038" i="2"/>
  <c r="F1038" i="2"/>
  <c r="G1038" i="2"/>
  <c r="H1038" i="2"/>
  <c r="I1038" i="2"/>
  <c r="J1038" i="2"/>
  <c r="K1038" i="2"/>
  <c r="L1038" i="2"/>
  <c r="M1038" i="2"/>
  <c r="N1038" i="2"/>
  <c r="O1038" i="2"/>
  <c r="B1039" i="2"/>
  <c r="C1039" i="2"/>
  <c r="D1039" i="2"/>
  <c r="E1039" i="2"/>
  <c r="F1039" i="2"/>
  <c r="G1039" i="2"/>
  <c r="H1039" i="2"/>
  <c r="I1039" i="2"/>
  <c r="J1039" i="2"/>
  <c r="K1039" i="2"/>
  <c r="L1039" i="2"/>
  <c r="M1039" i="2"/>
  <c r="N1039" i="2"/>
  <c r="O1039" i="2"/>
  <c r="B1040" i="2"/>
  <c r="C1040" i="2"/>
  <c r="D1040" i="2"/>
  <c r="E1040" i="2"/>
  <c r="F1040" i="2"/>
  <c r="G1040" i="2"/>
  <c r="H1040" i="2"/>
  <c r="I1040" i="2"/>
  <c r="J1040" i="2"/>
  <c r="K1040" i="2"/>
  <c r="L1040" i="2"/>
  <c r="M1040" i="2"/>
  <c r="N1040" i="2"/>
  <c r="O1040" i="2"/>
  <c r="B1041" i="2"/>
  <c r="C1041" i="2"/>
  <c r="D1041" i="2"/>
  <c r="E1041" i="2"/>
  <c r="F1041" i="2"/>
  <c r="G1041" i="2"/>
  <c r="H1041" i="2"/>
  <c r="I1041" i="2"/>
  <c r="J1041" i="2"/>
  <c r="K1041" i="2"/>
  <c r="L1041" i="2"/>
  <c r="M1041" i="2"/>
  <c r="N1041" i="2"/>
  <c r="O1041" i="2"/>
  <c r="B1042" i="2"/>
  <c r="C1042" i="2"/>
  <c r="D1042" i="2"/>
  <c r="E1042" i="2"/>
  <c r="F1042" i="2"/>
  <c r="G1042" i="2"/>
  <c r="H1042" i="2"/>
  <c r="I1042" i="2"/>
  <c r="J1042" i="2"/>
  <c r="K1042" i="2"/>
  <c r="L1042" i="2"/>
  <c r="M1042" i="2"/>
  <c r="N1042" i="2"/>
  <c r="O1042" i="2"/>
  <c r="B1043" i="2"/>
  <c r="C1043" i="2"/>
  <c r="D1043" i="2"/>
  <c r="E1043" i="2"/>
  <c r="F1043" i="2"/>
  <c r="G1043" i="2"/>
  <c r="H1043" i="2"/>
  <c r="I1043" i="2"/>
  <c r="J1043" i="2"/>
  <c r="K1043" i="2"/>
  <c r="L1043" i="2"/>
  <c r="M1043" i="2"/>
  <c r="N1043" i="2"/>
  <c r="O1043" i="2"/>
  <c r="B1044" i="2"/>
  <c r="C1044" i="2"/>
  <c r="D1044" i="2"/>
  <c r="E1044" i="2"/>
  <c r="F1044" i="2"/>
  <c r="G1044" i="2"/>
  <c r="H1044" i="2"/>
  <c r="I1044" i="2"/>
  <c r="J1044" i="2"/>
  <c r="K1044" i="2"/>
  <c r="L1044" i="2"/>
  <c r="M1044" i="2"/>
  <c r="N1044" i="2"/>
  <c r="O1044" i="2"/>
  <c r="B1045" i="2"/>
  <c r="C1045" i="2"/>
  <c r="D1045" i="2"/>
  <c r="E1045" i="2"/>
  <c r="F1045" i="2"/>
  <c r="G1045" i="2"/>
  <c r="H1045" i="2"/>
  <c r="I1045" i="2"/>
  <c r="J1045" i="2"/>
  <c r="K1045" i="2"/>
  <c r="L1045" i="2"/>
  <c r="M1045" i="2"/>
  <c r="N1045" i="2"/>
  <c r="O1045" i="2"/>
  <c r="B1046" i="2"/>
  <c r="C1046" i="2"/>
  <c r="D1046" i="2"/>
  <c r="E1046" i="2"/>
  <c r="F1046" i="2"/>
  <c r="G1046" i="2"/>
  <c r="H1046" i="2"/>
  <c r="I1046" i="2"/>
  <c r="J1046" i="2"/>
  <c r="K1046" i="2"/>
  <c r="L1046" i="2"/>
  <c r="M1046" i="2"/>
  <c r="N1046" i="2"/>
  <c r="O1046" i="2"/>
  <c r="B1047" i="2"/>
  <c r="C1047" i="2"/>
  <c r="D1047" i="2"/>
  <c r="E1047" i="2"/>
  <c r="F1047" i="2"/>
  <c r="G1047" i="2"/>
  <c r="H1047" i="2"/>
  <c r="I1047" i="2"/>
  <c r="J1047" i="2"/>
  <c r="K1047" i="2"/>
  <c r="L1047" i="2"/>
  <c r="M1047" i="2"/>
  <c r="N1047" i="2"/>
  <c r="O1047" i="2"/>
  <c r="B1048" i="2"/>
  <c r="C1048" i="2"/>
  <c r="D1048" i="2"/>
  <c r="E1048" i="2"/>
  <c r="F1048" i="2"/>
  <c r="G1048" i="2"/>
  <c r="H1048" i="2"/>
  <c r="I1048" i="2"/>
  <c r="J1048" i="2"/>
  <c r="K1048" i="2"/>
  <c r="L1048" i="2"/>
  <c r="M1048" i="2"/>
  <c r="N1048" i="2"/>
  <c r="O1048" i="2"/>
  <c r="B1049" i="2"/>
  <c r="C1049" i="2"/>
  <c r="D1049" i="2"/>
  <c r="E1049" i="2"/>
  <c r="F1049" i="2"/>
  <c r="G1049" i="2"/>
  <c r="H1049" i="2"/>
  <c r="I1049" i="2"/>
  <c r="J1049" i="2"/>
  <c r="K1049" i="2"/>
  <c r="L1049" i="2"/>
  <c r="M1049" i="2"/>
  <c r="N1049" i="2"/>
  <c r="O1049" i="2"/>
  <c r="B1050" i="2"/>
  <c r="C1050" i="2"/>
  <c r="D1050" i="2"/>
  <c r="E1050" i="2"/>
  <c r="F1050" i="2"/>
  <c r="G1050" i="2"/>
  <c r="H1050" i="2"/>
  <c r="I1050" i="2"/>
  <c r="J1050" i="2"/>
  <c r="K1050" i="2"/>
  <c r="L1050" i="2"/>
  <c r="M1050" i="2"/>
  <c r="N1050" i="2"/>
  <c r="O1050" i="2"/>
  <c r="B1051" i="2"/>
  <c r="C1051" i="2"/>
  <c r="D1051" i="2"/>
  <c r="E1051" i="2"/>
  <c r="F1051" i="2"/>
  <c r="G1051" i="2"/>
  <c r="H1051" i="2"/>
  <c r="I1051" i="2"/>
  <c r="J1051" i="2"/>
  <c r="K1051" i="2"/>
  <c r="L1051" i="2"/>
  <c r="M1051" i="2"/>
  <c r="N1051" i="2"/>
  <c r="O1051" i="2"/>
  <c r="B1052" i="2"/>
  <c r="C1052" i="2"/>
  <c r="D1052" i="2"/>
  <c r="E1052" i="2"/>
  <c r="F1052" i="2"/>
  <c r="G1052" i="2"/>
  <c r="H1052" i="2"/>
  <c r="I1052" i="2"/>
  <c r="J1052" i="2"/>
  <c r="K1052" i="2"/>
  <c r="L1052" i="2"/>
  <c r="M1052" i="2"/>
  <c r="N1052" i="2"/>
  <c r="O1052" i="2"/>
  <c r="B1053" i="2"/>
  <c r="C1053" i="2"/>
  <c r="D1053" i="2"/>
  <c r="E1053" i="2"/>
  <c r="F1053" i="2"/>
  <c r="G1053" i="2"/>
  <c r="H1053" i="2"/>
  <c r="I1053" i="2"/>
  <c r="J1053" i="2"/>
  <c r="K1053" i="2"/>
  <c r="L1053" i="2"/>
  <c r="M1053" i="2"/>
  <c r="N1053" i="2"/>
  <c r="O1053" i="2"/>
  <c r="B1054" i="2"/>
  <c r="C1054" i="2"/>
  <c r="D1054" i="2"/>
  <c r="E1054" i="2"/>
  <c r="F1054" i="2"/>
  <c r="G1054" i="2"/>
  <c r="H1054" i="2"/>
  <c r="I1054" i="2"/>
  <c r="J1054" i="2"/>
  <c r="K1054" i="2"/>
  <c r="L1054" i="2"/>
  <c r="M1054" i="2"/>
  <c r="N1054" i="2"/>
  <c r="O1054" i="2"/>
  <c r="B1055" i="2"/>
  <c r="C1055" i="2"/>
  <c r="D1055" i="2"/>
  <c r="E1055" i="2"/>
  <c r="F1055" i="2"/>
  <c r="G1055" i="2"/>
  <c r="H1055" i="2"/>
  <c r="I1055" i="2"/>
  <c r="J1055" i="2"/>
  <c r="K1055" i="2"/>
  <c r="L1055" i="2"/>
  <c r="M1055" i="2"/>
  <c r="N1055" i="2"/>
  <c r="O1055" i="2"/>
  <c r="B1056" i="2"/>
  <c r="C1056" i="2"/>
  <c r="D1056" i="2"/>
  <c r="E1056" i="2"/>
  <c r="F1056" i="2"/>
  <c r="G1056" i="2"/>
  <c r="H1056" i="2"/>
  <c r="I1056" i="2"/>
  <c r="J1056" i="2"/>
  <c r="K1056" i="2"/>
  <c r="L1056" i="2"/>
  <c r="M1056" i="2"/>
  <c r="N1056" i="2"/>
  <c r="O1056" i="2"/>
  <c r="B1057" i="2"/>
  <c r="C1057" i="2"/>
  <c r="D1057" i="2"/>
  <c r="E1057" i="2"/>
  <c r="F1057" i="2"/>
  <c r="G1057" i="2"/>
  <c r="H1057" i="2"/>
  <c r="I1057" i="2"/>
  <c r="J1057" i="2"/>
  <c r="K1057" i="2"/>
  <c r="L1057" i="2"/>
  <c r="M1057" i="2"/>
  <c r="N1057" i="2"/>
  <c r="O1057" i="2"/>
  <c r="B1058" i="2"/>
  <c r="C1058" i="2"/>
  <c r="D1058" i="2"/>
  <c r="E1058" i="2"/>
  <c r="F1058" i="2"/>
  <c r="G1058" i="2"/>
  <c r="H1058" i="2"/>
  <c r="I1058" i="2"/>
  <c r="J1058" i="2"/>
  <c r="K1058" i="2"/>
  <c r="L1058" i="2"/>
  <c r="M1058" i="2"/>
  <c r="N1058" i="2"/>
  <c r="O1058" i="2"/>
  <c r="B1059" i="2"/>
  <c r="C1059" i="2"/>
  <c r="D1059" i="2"/>
  <c r="E1059" i="2"/>
  <c r="F1059" i="2"/>
  <c r="G1059" i="2"/>
  <c r="H1059" i="2"/>
  <c r="I1059" i="2"/>
  <c r="J1059" i="2"/>
  <c r="K1059" i="2"/>
  <c r="L1059" i="2"/>
  <c r="M1059" i="2"/>
  <c r="N1059" i="2"/>
  <c r="O1059" i="2"/>
  <c r="B1060" i="2"/>
  <c r="C1060" i="2"/>
  <c r="D1060" i="2"/>
  <c r="E1060" i="2"/>
  <c r="F1060" i="2"/>
  <c r="G1060" i="2"/>
  <c r="H1060" i="2"/>
  <c r="I1060" i="2"/>
  <c r="J1060" i="2"/>
  <c r="K1060" i="2"/>
  <c r="L1060" i="2"/>
  <c r="M1060" i="2"/>
  <c r="N1060" i="2"/>
  <c r="O1060" i="2"/>
  <c r="B1061" i="2"/>
  <c r="C1061" i="2"/>
  <c r="D1061" i="2"/>
  <c r="E1061" i="2"/>
  <c r="F1061" i="2"/>
  <c r="G1061" i="2"/>
  <c r="H1061" i="2"/>
  <c r="I1061" i="2"/>
  <c r="J1061" i="2"/>
  <c r="K1061" i="2"/>
  <c r="L1061" i="2"/>
  <c r="M1061" i="2"/>
  <c r="N1061" i="2"/>
  <c r="O1061" i="2"/>
  <c r="B1062" i="2"/>
  <c r="C1062" i="2"/>
  <c r="D1062" i="2"/>
  <c r="E1062" i="2"/>
  <c r="F1062" i="2"/>
  <c r="G1062" i="2"/>
  <c r="H1062" i="2"/>
  <c r="I1062" i="2"/>
  <c r="J1062" i="2"/>
  <c r="K1062" i="2"/>
  <c r="L1062" i="2"/>
  <c r="M1062" i="2"/>
  <c r="N1062" i="2"/>
  <c r="O1062" i="2"/>
  <c r="B1063" i="2"/>
  <c r="C1063" i="2"/>
  <c r="D1063" i="2"/>
  <c r="E1063" i="2"/>
  <c r="F1063" i="2"/>
  <c r="G1063" i="2"/>
  <c r="H1063" i="2"/>
  <c r="I1063" i="2"/>
  <c r="J1063" i="2"/>
  <c r="K1063" i="2"/>
  <c r="L1063" i="2"/>
  <c r="M1063" i="2"/>
  <c r="N1063" i="2"/>
  <c r="O1063" i="2"/>
  <c r="B1064" i="2"/>
  <c r="C1064" i="2"/>
  <c r="D1064" i="2"/>
  <c r="E1064" i="2"/>
  <c r="F1064" i="2"/>
  <c r="G1064" i="2"/>
  <c r="H1064" i="2"/>
  <c r="I1064" i="2"/>
  <c r="J1064" i="2"/>
  <c r="K1064" i="2"/>
  <c r="L1064" i="2"/>
  <c r="M1064" i="2"/>
  <c r="N1064" i="2"/>
  <c r="O1064" i="2"/>
  <c r="B1065" i="2"/>
  <c r="C1065" i="2"/>
  <c r="D1065" i="2"/>
  <c r="E1065" i="2"/>
  <c r="F1065" i="2"/>
  <c r="G1065" i="2"/>
  <c r="H1065" i="2"/>
  <c r="I1065" i="2"/>
  <c r="J1065" i="2"/>
  <c r="K1065" i="2"/>
  <c r="L1065" i="2"/>
  <c r="M1065" i="2"/>
  <c r="N1065" i="2"/>
  <c r="O1065" i="2"/>
  <c r="B1066" i="2"/>
  <c r="C1066" i="2"/>
  <c r="D1066" i="2"/>
  <c r="E1066" i="2"/>
  <c r="F1066" i="2"/>
  <c r="G1066" i="2"/>
  <c r="H1066" i="2"/>
  <c r="I1066" i="2"/>
  <c r="J1066" i="2"/>
  <c r="K1066" i="2"/>
  <c r="L1066" i="2"/>
  <c r="M1066" i="2"/>
  <c r="N1066" i="2"/>
  <c r="O1066" i="2"/>
  <c r="B1067" i="2"/>
  <c r="C1067" i="2"/>
  <c r="D1067" i="2"/>
  <c r="E1067" i="2"/>
  <c r="F1067" i="2"/>
  <c r="G1067" i="2"/>
  <c r="H1067" i="2"/>
  <c r="I1067" i="2"/>
  <c r="J1067" i="2"/>
  <c r="K1067" i="2"/>
  <c r="L1067" i="2"/>
  <c r="M1067" i="2"/>
  <c r="N1067" i="2"/>
  <c r="O1067" i="2"/>
  <c r="B1068" i="2"/>
  <c r="C1068" i="2"/>
  <c r="D1068" i="2"/>
  <c r="E1068" i="2"/>
  <c r="F1068" i="2"/>
  <c r="G1068" i="2"/>
  <c r="H1068" i="2"/>
  <c r="I1068" i="2"/>
  <c r="J1068" i="2"/>
  <c r="K1068" i="2"/>
  <c r="L1068" i="2"/>
  <c r="M1068" i="2"/>
  <c r="N1068" i="2"/>
  <c r="O1068" i="2"/>
  <c r="B1069" i="2"/>
  <c r="C1069" i="2"/>
  <c r="D1069" i="2"/>
  <c r="E1069" i="2"/>
  <c r="F1069" i="2"/>
  <c r="G1069" i="2"/>
  <c r="H1069" i="2"/>
  <c r="I1069" i="2"/>
  <c r="J1069" i="2"/>
  <c r="K1069" i="2"/>
  <c r="L1069" i="2"/>
  <c r="M1069" i="2"/>
  <c r="N1069" i="2"/>
  <c r="O1069" i="2"/>
  <c r="B1071" i="2"/>
  <c r="C1071" i="2"/>
  <c r="D1071" i="2"/>
  <c r="E1071" i="2"/>
  <c r="F1071" i="2"/>
  <c r="G1071" i="2"/>
  <c r="H1071" i="2"/>
  <c r="I1071" i="2"/>
  <c r="J1071" i="2"/>
  <c r="K1071" i="2"/>
  <c r="L1071" i="2"/>
  <c r="M1071" i="2"/>
  <c r="N1071" i="2"/>
  <c r="O1071" i="2"/>
  <c r="B1072" i="2"/>
  <c r="C1072" i="2"/>
  <c r="D1072" i="2"/>
  <c r="E1072" i="2"/>
  <c r="F1072" i="2"/>
  <c r="G1072" i="2"/>
  <c r="H1072" i="2"/>
  <c r="I1072" i="2"/>
  <c r="J1072" i="2"/>
  <c r="K1072" i="2"/>
  <c r="L1072" i="2"/>
  <c r="M1072" i="2"/>
  <c r="N1072" i="2"/>
  <c r="O1072" i="2"/>
  <c r="B1073" i="2"/>
  <c r="C1073" i="2"/>
  <c r="D1073" i="2"/>
  <c r="E1073" i="2"/>
  <c r="F1073" i="2"/>
  <c r="G1073" i="2"/>
  <c r="H1073" i="2"/>
  <c r="I1073" i="2"/>
  <c r="J1073" i="2"/>
  <c r="K1073" i="2"/>
  <c r="L1073" i="2"/>
  <c r="M1073" i="2"/>
  <c r="N1073" i="2"/>
  <c r="O1073" i="2"/>
  <c r="B1074" i="2"/>
  <c r="C1074" i="2"/>
  <c r="D1074" i="2"/>
  <c r="E1074" i="2"/>
  <c r="F1074" i="2"/>
  <c r="G1074" i="2"/>
  <c r="H1074" i="2"/>
  <c r="I1074" i="2"/>
  <c r="J1074" i="2"/>
  <c r="K1074" i="2"/>
  <c r="L1074" i="2"/>
  <c r="M1074" i="2"/>
  <c r="N1074" i="2"/>
  <c r="O1074" i="2"/>
  <c r="B1075" i="2"/>
  <c r="C1075" i="2"/>
  <c r="D1075" i="2"/>
  <c r="E1075" i="2"/>
  <c r="F1075" i="2"/>
  <c r="G1075" i="2"/>
  <c r="H1075" i="2"/>
  <c r="I1075" i="2"/>
  <c r="J1075" i="2"/>
  <c r="K1075" i="2"/>
  <c r="L1075" i="2"/>
  <c r="M1075" i="2"/>
  <c r="N1075" i="2"/>
  <c r="O1075" i="2"/>
  <c r="B1076" i="2"/>
  <c r="C1076" i="2"/>
  <c r="D1076" i="2"/>
  <c r="E1076" i="2"/>
  <c r="F1076" i="2"/>
  <c r="G1076" i="2"/>
  <c r="H1076" i="2"/>
  <c r="I1076" i="2"/>
  <c r="J1076" i="2"/>
  <c r="K1076" i="2"/>
  <c r="L1076" i="2"/>
  <c r="M1076" i="2"/>
  <c r="N1076" i="2"/>
  <c r="O1076" i="2"/>
  <c r="B1077" i="2"/>
  <c r="C1077" i="2"/>
  <c r="D1077" i="2"/>
  <c r="E1077" i="2"/>
  <c r="F1077" i="2"/>
  <c r="G1077" i="2"/>
  <c r="H1077" i="2"/>
  <c r="I1077" i="2"/>
  <c r="J1077" i="2"/>
  <c r="K1077" i="2"/>
  <c r="L1077" i="2"/>
  <c r="M1077" i="2"/>
  <c r="N1077" i="2"/>
  <c r="O1077" i="2"/>
  <c r="B1078" i="2"/>
  <c r="C1078" i="2"/>
  <c r="D1078" i="2"/>
  <c r="E1078" i="2"/>
  <c r="F1078" i="2"/>
  <c r="G1078" i="2"/>
  <c r="H1078" i="2"/>
  <c r="I1078" i="2"/>
  <c r="J1078" i="2"/>
  <c r="K1078" i="2"/>
  <c r="L1078" i="2"/>
  <c r="M1078" i="2"/>
  <c r="N1078" i="2"/>
  <c r="O1078" i="2"/>
  <c r="B1079" i="2"/>
  <c r="C1079" i="2"/>
  <c r="D1079" i="2"/>
  <c r="E1079" i="2"/>
  <c r="F1079" i="2"/>
  <c r="G1079" i="2"/>
  <c r="H1079" i="2"/>
  <c r="I1079" i="2"/>
  <c r="J1079" i="2"/>
  <c r="K1079" i="2"/>
  <c r="L1079" i="2"/>
  <c r="M1079" i="2"/>
  <c r="N1079" i="2"/>
  <c r="O1079" i="2"/>
  <c r="B1080" i="2"/>
  <c r="C1080" i="2"/>
  <c r="D1080" i="2"/>
  <c r="E1080" i="2"/>
  <c r="F1080" i="2"/>
  <c r="G1080" i="2"/>
  <c r="H1080" i="2"/>
  <c r="I1080" i="2"/>
  <c r="J1080" i="2"/>
  <c r="K1080" i="2"/>
  <c r="L1080" i="2"/>
  <c r="M1080" i="2"/>
  <c r="N1080" i="2"/>
  <c r="O1080" i="2"/>
  <c r="B1081" i="2"/>
  <c r="C1081" i="2"/>
  <c r="D1081" i="2"/>
  <c r="E1081" i="2"/>
  <c r="F1081" i="2"/>
  <c r="G1081" i="2"/>
  <c r="H1081" i="2"/>
  <c r="I1081" i="2"/>
  <c r="J1081" i="2"/>
  <c r="K1081" i="2"/>
  <c r="L1081" i="2"/>
  <c r="M1081" i="2"/>
  <c r="N1081" i="2"/>
  <c r="O1081" i="2"/>
  <c r="B1082" i="2"/>
  <c r="C1082" i="2"/>
  <c r="D1082" i="2"/>
  <c r="E1082" i="2"/>
  <c r="F1082" i="2"/>
  <c r="G1082" i="2"/>
  <c r="H1082" i="2"/>
  <c r="I1082" i="2"/>
  <c r="J1082" i="2"/>
  <c r="K1082" i="2"/>
  <c r="L1082" i="2"/>
  <c r="M1082" i="2"/>
  <c r="N1082" i="2"/>
  <c r="O1082" i="2"/>
  <c r="B1083" i="2"/>
  <c r="C1083" i="2"/>
  <c r="D1083" i="2"/>
  <c r="E1083" i="2"/>
  <c r="F1083" i="2"/>
  <c r="G1083" i="2"/>
  <c r="H1083" i="2"/>
  <c r="I1083" i="2"/>
  <c r="J1083" i="2"/>
  <c r="K1083" i="2"/>
  <c r="L1083" i="2"/>
  <c r="M1083" i="2"/>
  <c r="N1083" i="2"/>
  <c r="O1083" i="2"/>
  <c r="B1084" i="2"/>
  <c r="C1084" i="2"/>
  <c r="D1084" i="2"/>
  <c r="E1084" i="2"/>
  <c r="F1084" i="2"/>
  <c r="G1084" i="2"/>
  <c r="H1084" i="2"/>
  <c r="I1084" i="2"/>
  <c r="J1084" i="2"/>
  <c r="K1084" i="2"/>
  <c r="L1084" i="2"/>
  <c r="M1084" i="2"/>
  <c r="N1084" i="2"/>
  <c r="O1084" i="2"/>
  <c r="B1085" i="2"/>
  <c r="C1085" i="2"/>
  <c r="D1085" i="2"/>
  <c r="E1085" i="2"/>
  <c r="F1085" i="2"/>
  <c r="G1085" i="2"/>
  <c r="H1085" i="2"/>
  <c r="I1085" i="2"/>
  <c r="J1085" i="2"/>
  <c r="K1085" i="2"/>
  <c r="L1085" i="2"/>
  <c r="M1085" i="2"/>
  <c r="N1085" i="2"/>
  <c r="O1085" i="2"/>
  <c r="B1086" i="2"/>
  <c r="C1086" i="2"/>
  <c r="D1086" i="2"/>
  <c r="E1086" i="2"/>
  <c r="F1086" i="2"/>
  <c r="G1086" i="2"/>
  <c r="H1086" i="2"/>
  <c r="I1086" i="2"/>
  <c r="J1086" i="2"/>
  <c r="K1086" i="2"/>
  <c r="L1086" i="2"/>
  <c r="M1086" i="2"/>
  <c r="N1086" i="2"/>
  <c r="O1086" i="2"/>
  <c r="B1087" i="2"/>
  <c r="C1087" i="2"/>
  <c r="D1087" i="2"/>
  <c r="E1087" i="2"/>
  <c r="F1087" i="2"/>
  <c r="G1087" i="2"/>
  <c r="H1087" i="2"/>
  <c r="I1087" i="2"/>
  <c r="J1087" i="2"/>
  <c r="K1087" i="2"/>
  <c r="L1087" i="2"/>
  <c r="M1087" i="2"/>
  <c r="N1087" i="2"/>
  <c r="O1087" i="2"/>
  <c r="B1088" i="2"/>
  <c r="C1088" i="2"/>
  <c r="D1088" i="2"/>
  <c r="E1088" i="2"/>
  <c r="F1088" i="2"/>
  <c r="G1088" i="2"/>
  <c r="H1088" i="2"/>
  <c r="I1088" i="2"/>
  <c r="J1088" i="2"/>
  <c r="K1088" i="2"/>
  <c r="L1088" i="2"/>
  <c r="M1088" i="2"/>
  <c r="N1088" i="2"/>
  <c r="O1088" i="2"/>
  <c r="B1089" i="2"/>
  <c r="C1089" i="2"/>
  <c r="D1089" i="2"/>
  <c r="E1089" i="2"/>
  <c r="F1089" i="2"/>
  <c r="G1089" i="2"/>
  <c r="H1089" i="2"/>
  <c r="I1089" i="2"/>
  <c r="J1089" i="2"/>
  <c r="K1089" i="2"/>
  <c r="L1089" i="2"/>
  <c r="M1089" i="2"/>
  <c r="N1089" i="2"/>
  <c r="O1089" i="2"/>
  <c r="B1090" i="2"/>
  <c r="C1090" i="2"/>
  <c r="D1090" i="2"/>
  <c r="E1090" i="2"/>
  <c r="F1090" i="2"/>
  <c r="G1090" i="2"/>
  <c r="H1090" i="2"/>
  <c r="I1090" i="2"/>
  <c r="J1090" i="2"/>
  <c r="K1090" i="2"/>
  <c r="L1090" i="2"/>
  <c r="M1090" i="2"/>
  <c r="N1090" i="2"/>
  <c r="O1090" i="2"/>
  <c r="B1091" i="2"/>
  <c r="C1091" i="2"/>
  <c r="D1091" i="2"/>
  <c r="E1091" i="2"/>
  <c r="F1091" i="2"/>
  <c r="G1091" i="2"/>
  <c r="H1091" i="2"/>
  <c r="I1091" i="2"/>
  <c r="J1091" i="2"/>
  <c r="K1091" i="2"/>
  <c r="L1091" i="2"/>
  <c r="M1091" i="2"/>
  <c r="N1091" i="2"/>
  <c r="O1091" i="2"/>
  <c r="B1092" i="2"/>
  <c r="C1092" i="2"/>
  <c r="D1092" i="2"/>
  <c r="E1092" i="2"/>
  <c r="F1092" i="2"/>
  <c r="G1092" i="2"/>
  <c r="H1092" i="2"/>
  <c r="I1092" i="2"/>
  <c r="J1092" i="2"/>
  <c r="K1092" i="2"/>
  <c r="L1092" i="2"/>
  <c r="M1092" i="2"/>
  <c r="N1092" i="2"/>
  <c r="O1092" i="2"/>
  <c r="B1093" i="2"/>
  <c r="C1093" i="2"/>
  <c r="D1093" i="2"/>
  <c r="E1093" i="2"/>
  <c r="F1093" i="2"/>
  <c r="G1093" i="2"/>
  <c r="H1093" i="2"/>
  <c r="I1093" i="2"/>
  <c r="J1093" i="2"/>
  <c r="K1093" i="2"/>
  <c r="L1093" i="2"/>
  <c r="M1093" i="2"/>
  <c r="N1093" i="2"/>
  <c r="O1093" i="2"/>
  <c r="B1094" i="2"/>
  <c r="C1094" i="2"/>
  <c r="D1094" i="2"/>
  <c r="E1094" i="2"/>
  <c r="F1094" i="2"/>
  <c r="G1094" i="2"/>
  <c r="H1094" i="2"/>
  <c r="I1094" i="2"/>
  <c r="J1094" i="2"/>
  <c r="K1094" i="2"/>
  <c r="L1094" i="2"/>
  <c r="M1094" i="2"/>
  <c r="N1094" i="2"/>
  <c r="O1094" i="2"/>
  <c r="B1095" i="2"/>
  <c r="C1095" i="2"/>
  <c r="D1095" i="2"/>
  <c r="E1095" i="2"/>
  <c r="F1095" i="2"/>
  <c r="G1095" i="2"/>
  <c r="H1095" i="2"/>
  <c r="I1095" i="2"/>
  <c r="J1095" i="2"/>
  <c r="K1095" i="2"/>
  <c r="L1095" i="2"/>
  <c r="M1095" i="2"/>
  <c r="N1095" i="2"/>
  <c r="O1095" i="2"/>
  <c r="B1096" i="2"/>
  <c r="C1096" i="2"/>
  <c r="D1096" i="2"/>
  <c r="E1096" i="2"/>
  <c r="F1096" i="2"/>
  <c r="G1096" i="2"/>
  <c r="H1096" i="2"/>
  <c r="I1096" i="2"/>
  <c r="J1096" i="2"/>
  <c r="K1096" i="2"/>
  <c r="L1096" i="2"/>
  <c r="M1096" i="2"/>
  <c r="N1096" i="2"/>
  <c r="O1096" i="2"/>
  <c r="B1097" i="2"/>
  <c r="C1097" i="2"/>
  <c r="D1097" i="2"/>
  <c r="E1097" i="2"/>
  <c r="F1097" i="2"/>
  <c r="G1097" i="2"/>
  <c r="H1097" i="2"/>
  <c r="I1097" i="2"/>
  <c r="J1097" i="2"/>
  <c r="K1097" i="2"/>
  <c r="L1097" i="2"/>
  <c r="M1097" i="2"/>
  <c r="N1097" i="2"/>
  <c r="O1097" i="2"/>
  <c r="B1098" i="2"/>
  <c r="C1098" i="2"/>
  <c r="D1098" i="2"/>
  <c r="E1098" i="2"/>
  <c r="F1098" i="2"/>
  <c r="G1098" i="2"/>
  <c r="H1098" i="2"/>
  <c r="I1098" i="2"/>
  <c r="J1098" i="2"/>
  <c r="K1098" i="2"/>
  <c r="L1098" i="2"/>
  <c r="M1098" i="2"/>
  <c r="N1098" i="2"/>
  <c r="O1098" i="2"/>
  <c r="B1099" i="2"/>
  <c r="C1099" i="2"/>
  <c r="D1099" i="2"/>
  <c r="E1099" i="2"/>
  <c r="F1099" i="2"/>
  <c r="G1099" i="2"/>
  <c r="H1099" i="2"/>
  <c r="I1099" i="2"/>
  <c r="J1099" i="2"/>
  <c r="K1099" i="2"/>
  <c r="L1099" i="2"/>
  <c r="M1099" i="2"/>
  <c r="N1099" i="2"/>
  <c r="O1099" i="2"/>
  <c r="B1100" i="2"/>
  <c r="C1100" i="2"/>
  <c r="D1100" i="2"/>
  <c r="E1100" i="2"/>
  <c r="F1100" i="2"/>
  <c r="G1100" i="2"/>
  <c r="H1100" i="2"/>
  <c r="I1100" i="2"/>
  <c r="J1100" i="2"/>
  <c r="K1100" i="2"/>
  <c r="L1100" i="2"/>
  <c r="M1100" i="2"/>
  <c r="N1100" i="2"/>
  <c r="O1100" i="2"/>
  <c r="B1101" i="2"/>
  <c r="C1101" i="2"/>
  <c r="D1101" i="2"/>
  <c r="E1101" i="2"/>
  <c r="F1101" i="2"/>
  <c r="G1101" i="2"/>
  <c r="H1101" i="2"/>
  <c r="I1101" i="2"/>
  <c r="J1101" i="2"/>
  <c r="K1101" i="2"/>
  <c r="L1101" i="2"/>
  <c r="M1101" i="2"/>
  <c r="N1101" i="2"/>
  <c r="O1101" i="2"/>
  <c r="B1102" i="2"/>
  <c r="C1102" i="2"/>
  <c r="D1102" i="2"/>
  <c r="E1102" i="2"/>
  <c r="F1102" i="2"/>
  <c r="G1102" i="2"/>
  <c r="H1102" i="2"/>
  <c r="I1102" i="2"/>
  <c r="J1102" i="2"/>
  <c r="K1102" i="2"/>
  <c r="L1102" i="2"/>
  <c r="M1102" i="2"/>
  <c r="N1102" i="2"/>
  <c r="O1102" i="2"/>
  <c r="B1103" i="2"/>
  <c r="C1103" i="2"/>
  <c r="D1103" i="2"/>
  <c r="E1103" i="2"/>
  <c r="F1103" i="2"/>
  <c r="G1103" i="2"/>
  <c r="H1103" i="2"/>
  <c r="I1103" i="2"/>
  <c r="J1103" i="2"/>
  <c r="K1103" i="2"/>
  <c r="L1103" i="2"/>
  <c r="M1103" i="2"/>
  <c r="N1103" i="2"/>
  <c r="O1103" i="2"/>
  <c r="B1104" i="2"/>
  <c r="C1104" i="2"/>
  <c r="D1104" i="2"/>
  <c r="E1104" i="2"/>
  <c r="F1104" i="2"/>
  <c r="G1104" i="2"/>
  <c r="H1104" i="2"/>
  <c r="I1104" i="2"/>
  <c r="J1104" i="2"/>
  <c r="K1104" i="2"/>
  <c r="L1104" i="2"/>
  <c r="M1104" i="2"/>
  <c r="N1104" i="2"/>
  <c r="O1104" i="2"/>
  <c r="B1105" i="2"/>
  <c r="C1105" i="2"/>
  <c r="D1105" i="2"/>
  <c r="E1105" i="2"/>
  <c r="F1105" i="2"/>
  <c r="G1105" i="2"/>
  <c r="H1105" i="2"/>
  <c r="I1105" i="2"/>
  <c r="J1105" i="2"/>
  <c r="K1105" i="2"/>
  <c r="L1105" i="2"/>
  <c r="M1105" i="2"/>
  <c r="N1105" i="2"/>
  <c r="O1105" i="2"/>
  <c r="B1106" i="2"/>
  <c r="C1106" i="2"/>
  <c r="D1106" i="2"/>
  <c r="E1106" i="2"/>
  <c r="F1106" i="2"/>
  <c r="G1106" i="2"/>
  <c r="H1106" i="2"/>
  <c r="I1106" i="2"/>
  <c r="J1106" i="2"/>
  <c r="K1106" i="2"/>
  <c r="L1106" i="2"/>
  <c r="M1106" i="2"/>
  <c r="N1106" i="2"/>
  <c r="O1106" i="2"/>
  <c r="B1107" i="2"/>
  <c r="C1107" i="2"/>
  <c r="D1107" i="2"/>
  <c r="E1107" i="2"/>
  <c r="F1107" i="2"/>
  <c r="G1107" i="2"/>
  <c r="H1107" i="2"/>
  <c r="I1107" i="2"/>
  <c r="J1107" i="2"/>
  <c r="K1107" i="2"/>
  <c r="L1107" i="2"/>
  <c r="M1107" i="2"/>
  <c r="N1107" i="2"/>
  <c r="O1107" i="2"/>
  <c r="B1108" i="2"/>
  <c r="C1108" i="2"/>
  <c r="D1108" i="2"/>
  <c r="E1108" i="2"/>
  <c r="F1108" i="2"/>
  <c r="G1108" i="2"/>
  <c r="H1108" i="2"/>
  <c r="I1108" i="2"/>
  <c r="J1108" i="2"/>
  <c r="K1108" i="2"/>
  <c r="L1108" i="2"/>
  <c r="M1108" i="2"/>
  <c r="N1108" i="2"/>
  <c r="O1108" i="2"/>
  <c r="B1109" i="2"/>
  <c r="C1109" i="2"/>
  <c r="D1109" i="2"/>
  <c r="E1109" i="2"/>
  <c r="F1109" i="2"/>
  <c r="G1109" i="2"/>
  <c r="H1109" i="2"/>
  <c r="I1109" i="2"/>
  <c r="J1109" i="2"/>
  <c r="K1109" i="2"/>
  <c r="L1109" i="2"/>
  <c r="M1109" i="2"/>
  <c r="N1109" i="2"/>
  <c r="O1109" i="2"/>
  <c r="B1110" i="2"/>
  <c r="C1110" i="2"/>
  <c r="D1110" i="2"/>
  <c r="E1110" i="2"/>
  <c r="F1110" i="2"/>
  <c r="G1110" i="2"/>
  <c r="H1110" i="2"/>
  <c r="I1110" i="2"/>
  <c r="J1110" i="2"/>
  <c r="K1110" i="2"/>
  <c r="L1110" i="2"/>
  <c r="M1110" i="2"/>
  <c r="N1110" i="2"/>
  <c r="O1110" i="2"/>
  <c r="B1111" i="2"/>
  <c r="C1111" i="2"/>
  <c r="D1111" i="2"/>
  <c r="E1111" i="2"/>
  <c r="F1111" i="2"/>
  <c r="G1111" i="2"/>
  <c r="H1111" i="2"/>
  <c r="I1111" i="2"/>
  <c r="J1111" i="2"/>
  <c r="K1111" i="2"/>
  <c r="L1111" i="2"/>
  <c r="M1111" i="2"/>
  <c r="N1111" i="2"/>
  <c r="O1111" i="2"/>
  <c r="B1112" i="2"/>
  <c r="C1112" i="2"/>
  <c r="D1112" i="2"/>
  <c r="E1112" i="2"/>
  <c r="F1112" i="2"/>
  <c r="G1112" i="2"/>
  <c r="H1112" i="2"/>
  <c r="I1112" i="2"/>
  <c r="J1112" i="2"/>
  <c r="K1112" i="2"/>
  <c r="L1112" i="2"/>
  <c r="M1112" i="2"/>
  <c r="N1112" i="2"/>
  <c r="O1112" i="2"/>
  <c r="B1113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B1114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B1115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B1116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B1117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B1118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B1119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B1120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B1121" i="2"/>
  <c r="C1121" i="2"/>
  <c r="D1121" i="2"/>
  <c r="E1121" i="2"/>
  <c r="F1121" i="2"/>
  <c r="G1121" i="2"/>
  <c r="H1121" i="2"/>
  <c r="I1121" i="2"/>
  <c r="J1121" i="2"/>
  <c r="K1121" i="2"/>
  <c r="L1121" i="2"/>
  <c r="M1121" i="2"/>
  <c r="N1121" i="2"/>
  <c r="O1121" i="2"/>
  <c r="B1122" i="2"/>
  <c r="C1122" i="2"/>
  <c r="D1122" i="2"/>
  <c r="E1122" i="2"/>
  <c r="F1122" i="2"/>
  <c r="G1122" i="2"/>
  <c r="H1122" i="2"/>
  <c r="I1122" i="2"/>
  <c r="J1122" i="2"/>
  <c r="K1122" i="2"/>
  <c r="L1122" i="2"/>
  <c r="M1122" i="2"/>
  <c r="N1122" i="2"/>
  <c r="O1122" i="2"/>
  <c r="B1123" i="2"/>
  <c r="C1123" i="2"/>
  <c r="D1123" i="2"/>
  <c r="E1123" i="2"/>
  <c r="F1123" i="2"/>
  <c r="G1123" i="2"/>
  <c r="H1123" i="2"/>
  <c r="I1123" i="2"/>
  <c r="J1123" i="2"/>
  <c r="K1123" i="2"/>
  <c r="L1123" i="2"/>
  <c r="M1123" i="2"/>
  <c r="N1123" i="2"/>
  <c r="O1123" i="2"/>
  <c r="B1124" i="2"/>
  <c r="C1124" i="2"/>
  <c r="D1124" i="2"/>
  <c r="E1124" i="2"/>
  <c r="F1124" i="2"/>
  <c r="G1124" i="2"/>
  <c r="H1124" i="2"/>
  <c r="I1124" i="2"/>
  <c r="J1124" i="2"/>
  <c r="K1124" i="2"/>
  <c r="L1124" i="2"/>
  <c r="M1124" i="2"/>
  <c r="N1124" i="2"/>
  <c r="O1124" i="2"/>
  <c r="B1125" i="2"/>
  <c r="C1125" i="2"/>
  <c r="D1125" i="2"/>
  <c r="E1125" i="2"/>
  <c r="F1125" i="2"/>
  <c r="G1125" i="2"/>
  <c r="H1125" i="2"/>
  <c r="I1125" i="2"/>
  <c r="J1125" i="2"/>
  <c r="K1125" i="2"/>
  <c r="L1125" i="2"/>
  <c r="M1125" i="2"/>
  <c r="N1125" i="2"/>
  <c r="O1125" i="2"/>
  <c r="B1126" i="2"/>
  <c r="C1126" i="2"/>
  <c r="D1126" i="2"/>
  <c r="E1126" i="2"/>
  <c r="F1126" i="2"/>
  <c r="G1126" i="2"/>
  <c r="H1126" i="2"/>
  <c r="I1126" i="2"/>
  <c r="J1126" i="2"/>
  <c r="K1126" i="2"/>
  <c r="L1126" i="2"/>
  <c r="M1126" i="2"/>
  <c r="N1126" i="2"/>
  <c r="O1126" i="2"/>
  <c r="B1127" i="2"/>
  <c r="C1127" i="2"/>
  <c r="D1127" i="2"/>
  <c r="E1127" i="2"/>
  <c r="F1127" i="2"/>
  <c r="G1127" i="2"/>
  <c r="H1127" i="2"/>
  <c r="I1127" i="2"/>
  <c r="J1127" i="2"/>
  <c r="K1127" i="2"/>
  <c r="L1127" i="2"/>
  <c r="M1127" i="2"/>
  <c r="N1127" i="2"/>
  <c r="O1127" i="2"/>
  <c r="B1128" i="2"/>
  <c r="C1128" i="2"/>
  <c r="D1128" i="2"/>
  <c r="E1128" i="2"/>
  <c r="F1128" i="2"/>
  <c r="G1128" i="2"/>
  <c r="H1128" i="2"/>
  <c r="I1128" i="2"/>
  <c r="J1128" i="2"/>
  <c r="K1128" i="2"/>
  <c r="L1128" i="2"/>
  <c r="M1128" i="2"/>
  <c r="N1128" i="2"/>
  <c r="O1128" i="2"/>
  <c r="B1129" i="2"/>
  <c r="C1129" i="2"/>
  <c r="D1129" i="2"/>
  <c r="E1129" i="2"/>
  <c r="F1129" i="2"/>
  <c r="G1129" i="2"/>
  <c r="H1129" i="2"/>
  <c r="I1129" i="2"/>
  <c r="J1129" i="2"/>
  <c r="K1129" i="2"/>
  <c r="L1129" i="2"/>
  <c r="M1129" i="2"/>
  <c r="N1129" i="2"/>
  <c r="O1129" i="2"/>
  <c r="B1130" i="2"/>
  <c r="C1130" i="2"/>
  <c r="D1130" i="2"/>
  <c r="E1130" i="2"/>
  <c r="F1130" i="2"/>
  <c r="G1130" i="2"/>
  <c r="H1130" i="2"/>
  <c r="I1130" i="2"/>
  <c r="J1130" i="2"/>
  <c r="K1130" i="2"/>
  <c r="L1130" i="2"/>
  <c r="M1130" i="2"/>
  <c r="N1130" i="2"/>
  <c r="O1130" i="2"/>
  <c r="B1131" i="2"/>
  <c r="C1131" i="2"/>
  <c r="D1131" i="2"/>
  <c r="E1131" i="2"/>
  <c r="F1131" i="2"/>
  <c r="G1131" i="2"/>
  <c r="H1131" i="2"/>
  <c r="I1131" i="2"/>
  <c r="J1131" i="2"/>
  <c r="K1131" i="2"/>
  <c r="L1131" i="2"/>
  <c r="M1131" i="2"/>
  <c r="N1131" i="2"/>
  <c r="O1131" i="2"/>
  <c r="B1132" i="2"/>
  <c r="C1132" i="2"/>
  <c r="D1132" i="2"/>
  <c r="E1132" i="2"/>
  <c r="F1132" i="2"/>
  <c r="G1132" i="2"/>
  <c r="H1132" i="2"/>
  <c r="I1132" i="2"/>
  <c r="J1132" i="2"/>
  <c r="K1132" i="2"/>
  <c r="L1132" i="2"/>
  <c r="M1132" i="2"/>
  <c r="N1132" i="2"/>
  <c r="O1132" i="2"/>
  <c r="B1133" i="2"/>
  <c r="C1133" i="2"/>
  <c r="D1133" i="2"/>
  <c r="E1133" i="2"/>
  <c r="F1133" i="2"/>
  <c r="G1133" i="2"/>
  <c r="H1133" i="2"/>
  <c r="I1133" i="2"/>
  <c r="J1133" i="2"/>
  <c r="K1133" i="2"/>
  <c r="L1133" i="2"/>
  <c r="M1133" i="2"/>
  <c r="N1133" i="2"/>
  <c r="O1133" i="2"/>
  <c r="B1134" i="2"/>
  <c r="C1134" i="2"/>
  <c r="D1134" i="2"/>
  <c r="E1134" i="2"/>
  <c r="F1134" i="2"/>
  <c r="G1134" i="2"/>
  <c r="H1134" i="2"/>
  <c r="I1134" i="2"/>
  <c r="J1134" i="2"/>
  <c r="K1134" i="2"/>
  <c r="L1134" i="2"/>
  <c r="M1134" i="2"/>
  <c r="N1134" i="2"/>
  <c r="O1134" i="2"/>
  <c r="B1135" i="2"/>
  <c r="C1135" i="2"/>
  <c r="D1135" i="2"/>
  <c r="E1135" i="2"/>
  <c r="F1135" i="2"/>
  <c r="G1135" i="2"/>
  <c r="H1135" i="2"/>
  <c r="I1135" i="2"/>
  <c r="J1135" i="2"/>
  <c r="K1135" i="2"/>
  <c r="L1135" i="2"/>
  <c r="M1135" i="2"/>
  <c r="N1135" i="2"/>
  <c r="O1135" i="2"/>
  <c r="B1136" i="2"/>
  <c r="C1136" i="2"/>
  <c r="D1136" i="2"/>
  <c r="E1136" i="2"/>
  <c r="F1136" i="2"/>
  <c r="G1136" i="2"/>
  <c r="H1136" i="2"/>
  <c r="I1136" i="2"/>
  <c r="J1136" i="2"/>
  <c r="K1136" i="2"/>
  <c r="L1136" i="2"/>
  <c r="M1136" i="2"/>
  <c r="N1136" i="2"/>
  <c r="O1136" i="2"/>
  <c r="B1137" i="2"/>
  <c r="C1137" i="2"/>
  <c r="D1137" i="2"/>
  <c r="E1137" i="2"/>
  <c r="F1137" i="2"/>
  <c r="G1137" i="2"/>
  <c r="H1137" i="2"/>
  <c r="I1137" i="2"/>
  <c r="J1137" i="2"/>
  <c r="K1137" i="2"/>
  <c r="L1137" i="2"/>
  <c r="M1137" i="2"/>
  <c r="N1137" i="2"/>
  <c r="O1137" i="2"/>
  <c r="B1138" i="2"/>
  <c r="C1138" i="2"/>
  <c r="D1138" i="2"/>
  <c r="E1138" i="2"/>
  <c r="F1138" i="2"/>
  <c r="G1138" i="2"/>
  <c r="H1138" i="2"/>
  <c r="I1138" i="2"/>
  <c r="J1138" i="2"/>
  <c r="K1138" i="2"/>
  <c r="L1138" i="2"/>
  <c r="M1138" i="2"/>
  <c r="N1138" i="2"/>
  <c r="O1138" i="2"/>
  <c r="B1139" i="2"/>
  <c r="C1139" i="2"/>
  <c r="D1139" i="2"/>
  <c r="E1139" i="2"/>
  <c r="F1139" i="2"/>
  <c r="G1139" i="2"/>
  <c r="H1139" i="2"/>
  <c r="I1139" i="2"/>
  <c r="J1139" i="2"/>
  <c r="K1139" i="2"/>
  <c r="L1139" i="2"/>
  <c r="M1139" i="2"/>
  <c r="N1139" i="2"/>
  <c r="O1139" i="2"/>
  <c r="B1140" i="2"/>
  <c r="C1140" i="2"/>
  <c r="D1140" i="2"/>
  <c r="E1140" i="2"/>
  <c r="F1140" i="2"/>
  <c r="G1140" i="2"/>
  <c r="H1140" i="2"/>
  <c r="I1140" i="2"/>
  <c r="J1140" i="2"/>
  <c r="K1140" i="2"/>
  <c r="L1140" i="2"/>
  <c r="M1140" i="2"/>
  <c r="N1140" i="2"/>
  <c r="O1140" i="2"/>
  <c r="B1141" i="2"/>
  <c r="C1141" i="2"/>
  <c r="D1141" i="2"/>
  <c r="E1141" i="2"/>
  <c r="F1141" i="2"/>
  <c r="G1141" i="2"/>
  <c r="H1141" i="2"/>
  <c r="I1141" i="2"/>
  <c r="J1141" i="2"/>
  <c r="K1141" i="2"/>
  <c r="L1141" i="2"/>
  <c r="M1141" i="2"/>
  <c r="N1141" i="2"/>
  <c r="O1141" i="2"/>
  <c r="B1142" i="2"/>
  <c r="C1142" i="2"/>
  <c r="D1142" i="2"/>
  <c r="E1142" i="2"/>
  <c r="F1142" i="2"/>
  <c r="G1142" i="2"/>
  <c r="H1142" i="2"/>
  <c r="I1142" i="2"/>
  <c r="J1142" i="2"/>
  <c r="K1142" i="2"/>
  <c r="L1142" i="2"/>
  <c r="M1142" i="2"/>
  <c r="N1142" i="2"/>
  <c r="O1142" i="2"/>
  <c r="B1143" i="2"/>
  <c r="C1143" i="2"/>
  <c r="D1143" i="2"/>
  <c r="E1143" i="2"/>
  <c r="F1143" i="2"/>
  <c r="G1143" i="2"/>
  <c r="H1143" i="2"/>
  <c r="I1143" i="2"/>
  <c r="J1143" i="2"/>
  <c r="K1143" i="2"/>
  <c r="L1143" i="2"/>
  <c r="M1143" i="2"/>
  <c r="N1143" i="2"/>
  <c r="O1143" i="2"/>
  <c r="B1144" i="2"/>
  <c r="C1144" i="2"/>
  <c r="D1144" i="2"/>
  <c r="E1144" i="2"/>
  <c r="F1144" i="2"/>
  <c r="G1144" i="2"/>
  <c r="H1144" i="2"/>
  <c r="I1144" i="2"/>
  <c r="J1144" i="2"/>
  <c r="K1144" i="2"/>
  <c r="L1144" i="2"/>
  <c r="M1144" i="2"/>
  <c r="N1144" i="2"/>
  <c r="O1144" i="2"/>
  <c r="B1145" i="2"/>
  <c r="C1145" i="2"/>
  <c r="D1145" i="2"/>
  <c r="E1145" i="2"/>
  <c r="F1145" i="2"/>
  <c r="G1145" i="2"/>
  <c r="H1145" i="2"/>
  <c r="I1145" i="2"/>
  <c r="J1145" i="2"/>
  <c r="K1145" i="2"/>
  <c r="L1145" i="2"/>
  <c r="M1145" i="2"/>
  <c r="N1145" i="2"/>
  <c r="O1145" i="2"/>
  <c r="B1146" i="2"/>
  <c r="C1146" i="2"/>
  <c r="D1146" i="2"/>
  <c r="E1146" i="2"/>
  <c r="F1146" i="2"/>
  <c r="G1146" i="2"/>
  <c r="H1146" i="2"/>
  <c r="I1146" i="2"/>
  <c r="J1146" i="2"/>
  <c r="K1146" i="2"/>
  <c r="L1146" i="2"/>
  <c r="M1146" i="2"/>
  <c r="N1146" i="2"/>
  <c r="O1146" i="2"/>
  <c r="B1147" i="2"/>
  <c r="C1147" i="2"/>
  <c r="D1147" i="2"/>
  <c r="E1147" i="2"/>
  <c r="F1147" i="2"/>
  <c r="G1147" i="2"/>
  <c r="H1147" i="2"/>
  <c r="I1147" i="2"/>
  <c r="J1147" i="2"/>
  <c r="K1147" i="2"/>
  <c r="L1147" i="2"/>
  <c r="M1147" i="2"/>
  <c r="N1147" i="2"/>
  <c r="O1147" i="2"/>
  <c r="B1148" i="2"/>
  <c r="C1148" i="2"/>
  <c r="D1148" i="2"/>
  <c r="E1148" i="2"/>
  <c r="F1148" i="2"/>
  <c r="G1148" i="2"/>
  <c r="H1148" i="2"/>
  <c r="I1148" i="2"/>
  <c r="J1148" i="2"/>
  <c r="K1148" i="2"/>
  <c r="L1148" i="2"/>
  <c r="M1148" i="2"/>
  <c r="N1148" i="2"/>
  <c r="O1148" i="2"/>
  <c r="B1149" i="2"/>
  <c r="C1149" i="2"/>
  <c r="D1149" i="2"/>
  <c r="E1149" i="2"/>
  <c r="F1149" i="2"/>
  <c r="G1149" i="2"/>
  <c r="H1149" i="2"/>
  <c r="I1149" i="2"/>
  <c r="J1149" i="2"/>
  <c r="K1149" i="2"/>
  <c r="L1149" i="2"/>
  <c r="M1149" i="2"/>
  <c r="N1149" i="2"/>
  <c r="O1149" i="2"/>
  <c r="B1150" i="2"/>
  <c r="C1150" i="2"/>
  <c r="D1150" i="2"/>
  <c r="E1150" i="2"/>
  <c r="F1150" i="2"/>
  <c r="G1150" i="2"/>
  <c r="H1150" i="2"/>
  <c r="I1150" i="2"/>
  <c r="J1150" i="2"/>
  <c r="K1150" i="2"/>
  <c r="L1150" i="2"/>
  <c r="M1150" i="2"/>
  <c r="N1150" i="2"/>
  <c r="O1150" i="2"/>
  <c r="B1151" i="2"/>
  <c r="C1151" i="2"/>
  <c r="D1151" i="2"/>
  <c r="E1151" i="2"/>
  <c r="F1151" i="2"/>
  <c r="G1151" i="2"/>
  <c r="H1151" i="2"/>
  <c r="I1151" i="2"/>
  <c r="J1151" i="2"/>
  <c r="K1151" i="2"/>
  <c r="L1151" i="2"/>
  <c r="M1151" i="2"/>
  <c r="N1151" i="2"/>
  <c r="O1151" i="2"/>
  <c r="B1152" i="2"/>
  <c r="C1152" i="2"/>
  <c r="D1152" i="2"/>
  <c r="E1152" i="2"/>
  <c r="F1152" i="2"/>
  <c r="G1152" i="2"/>
  <c r="H1152" i="2"/>
  <c r="I1152" i="2"/>
  <c r="J1152" i="2"/>
  <c r="K1152" i="2"/>
  <c r="L1152" i="2"/>
  <c r="M1152" i="2"/>
  <c r="N1152" i="2"/>
  <c r="O1152" i="2"/>
  <c r="B1153" i="2"/>
  <c r="C1153" i="2"/>
  <c r="D1153" i="2"/>
  <c r="E1153" i="2"/>
  <c r="F1153" i="2"/>
  <c r="G1153" i="2"/>
  <c r="H1153" i="2"/>
  <c r="I1153" i="2"/>
  <c r="J1153" i="2"/>
  <c r="K1153" i="2"/>
  <c r="L1153" i="2"/>
  <c r="M1153" i="2"/>
  <c r="N1153" i="2"/>
  <c r="O1153" i="2"/>
  <c r="B1154" i="2"/>
  <c r="C1154" i="2"/>
  <c r="D1154" i="2"/>
  <c r="E1154" i="2"/>
  <c r="F1154" i="2"/>
  <c r="G1154" i="2"/>
  <c r="H1154" i="2"/>
  <c r="I1154" i="2"/>
  <c r="J1154" i="2"/>
  <c r="K1154" i="2"/>
  <c r="L1154" i="2"/>
  <c r="M1154" i="2"/>
  <c r="N1154" i="2"/>
  <c r="O1154" i="2"/>
  <c r="B1155" i="2"/>
  <c r="C1155" i="2"/>
  <c r="D1155" i="2"/>
  <c r="E1155" i="2"/>
  <c r="F1155" i="2"/>
  <c r="G1155" i="2"/>
  <c r="H1155" i="2"/>
  <c r="I1155" i="2"/>
  <c r="J1155" i="2"/>
  <c r="K1155" i="2"/>
  <c r="L1155" i="2"/>
  <c r="M1155" i="2"/>
  <c r="N1155" i="2"/>
  <c r="O1155" i="2"/>
  <c r="B1156" i="2"/>
  <c r="C1156" i="2"/>
  <c r="D1156" i="2"/>
  <c r="E1156" i="2"/>
  <c r="F1156" i="2"/>
  <c r="G1156" i="2"/>
  <c r="H1156" i="2"/>
  <c r="I1156" i="2"/>
  <c r="J1156" i="2"/>
  <c r="K1156" i="2"/>
  <c r="L1156" i="2"/>
  <c r="M1156" i="2"/>
  <c r="N1156" i="2"/>
  <c r="O1156" i="2"/>
  <c r="B1157" i="2"/>
  <c r="C1157" i="2"/>
  <c r="D1157" i="2"/>
  <c r="E1157" i="2"/>
  <c r="F1157" i="2"/>
  <c r="G1157" i="2"/>
  <c r="H1157" i="2"/>
  <c r="I1157" i="2"/>
  <c r="J1157" i="2"/>
  <c r="K1157" i="2"/>
  <c r="L1157" i="2"/>
  <c r="M1157" i="2"/>
  <c r="N1157" i="2"/>
  <c r="O1157" i="2"/>
  <c r="B1158" i="2"/>
  <c r="C1158" i="2"/>
  <c r="D1158" i="2"/>
  <c r="E1158" i="2"/>
  <c r="F1158" i="2"/>
  <c r="G1158" i="2"/>
  <c r="H1158" i="2"/>
  <c r="I1158" i="2"/>
  <c r="J1158" i="2"/>
  <c r="K1158" i="2"/>
  <c r="L1158" i="2"/>
  <c r="M1158" i="2"/>
  <c r="N1158" i="2"/>
  <c r="O1158" i="2"/>
  <c r="I1117" i="3" l="1"/>
  <c r="E1117" i="3"/>
  <c r="I1116" i="3"/>
  <c r="E1116" i="3"/>
  <c r="I1115" i="3"/>
  <c r="E1115" i="3"/>
  <c r="I1114" i="3"/>
  <c r="E1114" i="3"/>
  <c r="I1113" i="3"/>
  <c r="E1113" i="3"/>
  <c r="I1112" i="3"/>
  <c r="E1112" i="3"/>
  <c r="I1111" i="3"/>
  <c r="E1111" i="3"/>
  <c r="I1110" i="3"/>
  <c r="E1110" i="3"/>
  <c r="I1109" i="3"/>
  <c r="E1109" i="3"/>
  <c r="I1108" i="3"/>
  <c r="E1108" i="3"/>
  <c r="I1107" i="3"/>
  <c r="B1156" i="4"/>
  <c r="B1152" i="4"/>
  <c r="B1148" i="4"/>
  <c r="B1144" i="4"/>
  <c r="B1140" i="4"/>
  <c r="B1136" i="4"/>
  <c r="B1132" i="4"/>
  <c r="B1128" i="4"/>
  <c r="B1124" i="4"/>
  <c r="B1120" i="4"/>
  <c r="K1117" i="3"/>
  <c r="G1117" i="3"/>
  <c r="K1116" i="3"/>
  <c r="G1116" i="3"/>
  <c r="K1115" i="3"/>
  <c r="G1115" i="3"/>
  <c r="K1114" i="3"/>
  <c r="G1114" i="3"/>
  <c r="K1113" i="3"/>
  <c r="G1113" i="3"/>
  <c r="K1112" i="3"/>
  <c r="G1112" i="3"/>
  <c r="K1111" i="3"/>
  <c r="G1111" i="3"/>
  <c r="K1110" i="3"/>
  <c r="G1110" i="3"/>
  <c r="K1109" i="3"/>
  <c r="G1109" i="3"/>
  <c r="K1108" i="3"/>
  <c r="G1108" i="3"/>
  <c r="K1107" i="3"/>
  <c r="G1107" i="3"/>
  <c r="K1106" i="3"/>
  <c r="G1106" i="3"/>
  <c r="K1105" i="3"/>
  <c r="G1105" i="3"/>
  <c r="K1104" i="3"/>
  <c r="G1104" i="3"/>
  <c r="K1103" i="3"/>
  <c r="G1103" i="3"/>
  <c r="K1102" i="3"/>
  <c r="G1102" i="3"/>
  <c r="K1101" i="3"/>
  <c r="G1101" i="3"/>
  <c r="K1100" i="3"/>
  <c r="G1100" i="3"/>
  <c r="B1155" i="4"/>
  <c r="B1151" i="4"/>
  <c r="B1147" i="4"/>
  <c r="B1143" i="4"/>
  <c r="B1139" i="4"/>
  <c r="B1135" i="4"/>
  <c r="B1131" i="4"/>
  <c r="B1127" i="4"/>
  <c r="B1123" i="4"/>
  <c r="B1119" i="4"/>
  <c r="H1117" i="4"/>
  <c r="D1117" i="4"/>
  <c r="H1116" i="4"/>
  <c r="D1116" i="4"/>
  <c r="H1115" i="4"/>
  <c r="D1115" i="4"/>
  <c r="H1114" i="4"/>
  <c r="D1114" i="4"/>
  <c r="B1154" i="4"/>
  <c r="B1150" i="4"/>
  <c r="B1146" i="4"/>
  <c r="B1142" i="4"/>
  <c r="B1138" i="4"/>
  <c r="B1134" i="4"/>
  <c r="B1130" i="4"/>
  <c r="B1126" i="4"/>
  <c r="B1122" i="4"/>
  <c r="B1118" i="4"/>
  <c r="E1107" i="3"/>
  <c r="I1106" i="3"/>
  <c r="E1106" i="3"/>
  <c r="I1105" i="3"/>
  <c r="E1105" i="3"/>
  <c r="I1104" i="3"/>
  <c r="E1104" i="3"/>
  <c r="I1103" i="3"/>
  <c r="E1103" i="3"/>
  <c r="I1102" i="3"/>
  <c r="E1102" i="3"/>
  <c r="I1101" i="3"/>
  <c r="E1101" i="3"/>
  <c r="I1100" i="3"/>
  <c r="E1100" i="3"/>
  <c r="F1117" i="4"/>
  <c r="B1117" i="4"/>
  <c r="F1116" i="4"/>
  <c r="B1116" i="4"/>
  <c r="F1115" i="4"/>
  <c r="B1115" i="4"/>
  <c r="F1114" i="4"/>
  <c r="B1114" i="4"/>
  <c r="F1113" i="4"/>
  <c r="B1113" i="4"/>
  <c r="F1112" i="4"/>
  <c r="B1112" i="4"/>
  <c r="F1111" i="4"/>
  <c r="B1111" i="4"/>
  <c r="F1110" i="4"/>
  <c r="B1110" i="4"/>
  <c r="F1109" i="4"/>
  <c r="B1109" i="4"/>
  <c r="F1108" i="4"/>
  <c r="B1108" i="4"/>
  <c r="F1107" i="4"/>
  <c r="B1107" i="4"/>
  <c r="F1106" i="4"/>
  <c r="B1106" i="4"/>
  <c r="F1105" i="4"/>
  <c r="B1105" i="4"/>
  <c r="F1104" i="4"/>
  <c r="B1104" i="4"/>
  <c r="F1103" i="4"/>
  <c r="B1103" i="4"/>
  <c r="F1102" i="4"/>
  <c r="B1102" i="4"/>
  <c r="F1101" i="4"/>
  <c r="B1101" i="4"/>
  <c r="F1100" i="4"/>
  <c r="B1100" i="4"/>
  <c r="F1099" i="4"/>
  <c r="B1099" i="4"/>
  <c r="F1098" i="4"/>
  <c r="B1098" i="4"/>
  <c r="F1097" i="4"/>
  <c r="B1097" i="4"/>
  <c r="F1096" i="4"/>
  <c r="B1096" i="4"/>
  <c r="F1095" i="4"/>
  <c r="B1095" i="4"/>
  <c r="F1094" i="4"/>
  <c r="B1094" i="4"/>
  <c r="F1093" i="4"/>
  <c r="B1093" i="4"/>
  <c r="G1092" i="4"/>
  <c r="C1092" i="4"/>
  <c r="F1091" i="4"/>
  <c r="B1091" i="4"/>
  <c r="G1090" i="4"/>
  <c r="C1090" i="4"/>
  <c r="F1089" i="4"/>
  <c r="B1089" i="4"/>
  <c r="M1157" i="5"/>
  <c r="M1153" i="5"/>
  <c r="H1113" i="4"/>
  <c r="D1113" i="4"/>
  <c r="H1112" i="4"/>
  <c r="D1112" i="4"/>
  <c r="H1111" i="4"/>
  <c r="D1111" i="4"/>
  <c r="H1110" i="4"/>
  <c r="D1110" i="4"/>
  <c r="H1109" i="4"/>
  <c r="D1109" i="4"/>
  <c r="H1108" i="4"/>
  <c r="D1108" i="4"/>
  <c r="H1107" i="4"/>
  <c r="D1107" i="4"/>
  <c r="H1106" i="4"/>
  <c r="D1106" i="4"/>
  <c r="H1105" i="4"/>
  <c r="D1105" i="4"/>
  <c r="H1104" i="4"/>
  <c r="D1104" i="4"/>
  <c r="H1103" i="4"/>
  <c r="D1103" i="4"/>
  <c r="H1102" i="4"/>
  <c r="D1102" i="4"/>
  <c r="H1101" i="4"/>
  <c r="D1101" i="4"/>
  <c r="H1100" i="4"/>
  <c r="D1100" i="4"/>
  <c r="H1099" i="4"/>
  <c r="D1099" i="4"/>
  <c r="H1098" i="4"/>
  <c r="D1098" i="4"/>
  <c r="H1097" i="4"/>
  <c r="D1097" i="4"/>
  <c r="H1096" i="4"/>
  <c r="D1096" i="4"/>
  <c r="H1095" i="4"/>
  <c r="D1095" i="4"/>
  <c r="H1094" i="4"/>
  <c r="D1094" i="4"/>
  <c r="H1093" i="4"/>
  <c r="D1093" i="4"/>
  <c r="I1092" i="4"/>
  <c r="E1092" i="4"/>
  <c r="H1091" i="4"/>
  <c r="D1091" i="4"/>
  <c r="I1090" i="4"/>
  <c r="E1090" i="4"/>
  <c r="H1089" i="4"/>
  <c r="D1089" i="4"/>
  <c r="M1156" i="5"/>
  <c r="M1152" i="5"/>
  <c r="M1155" i="5"/>
  <c r="M1151" i="5"/>
  <c r="M1150" i="5"/>
  <c r="M1149" i="5"/>
  <c r="M1148" i="5"/>
  <c r="AB1068" i="5"/>
  <c r="AB1066" i="5"/>
  <c r="AB1064" i="5"/>
  <c r="AB1062" i="5"/>
  <c r="AB1060" i="5"/>
  <c r="AB1058" i="5"/>
  <c r="AB1157" i="5" s="1"/>
  <c r="AB1056" i="5"/>
  <c r="AB1054" i="5"/>
  <c r="AB1052" i="5"/>
  <c r="AB1050" i="5"/>
  <c r="AB1048" i="5"/>
  <c r="AB1046" i="5"/>
  <c r="AB1044" i="5"/>
  <c r="AB1042" i="5"/>
  <c r="AB1040" i="5"/>
  <c r="AB1038" i="5"/>
  <c r="AB1036" i="5"/>
  <c r="AB1034" i="5"/>
  <c r="AB1155" i="5" s="1"/>
  <c r="AB1032" i="5"/>
  <c r="AB1030" i="5"/>
  <c r="AB1028" i="5"/>
  <c r="AB1026" i="5"/>
  <c r="AB1024" i="5"/>
  <c r="AB1022" i="5"/>
  <c r="AB1154" i="5" s="1"/>
  <c r="AB1020" i="5"/>
  <c r="AB1018" i="5"/>
  <c r="AB1016" i="5"/>
  <c r="AB1014" i="5"/>
  <c r="AB1012" i="5"/>
  <c r="AB1010" i="5"/>
  <c r="AB1153" i="5" s="1"/>
  <c r="AB1008" i="5"/>
  <c r="AB1006" i="5"/>
  <c r="AB1004" i="5"/>
  <c r="AB1002" i="5"/>
  <c r="AB1000" i="5"/>
  <c r="AB998" i="5"/>
  <c r="AB996" i="5"/>
  <c r="AB994" i="5"/>
  <c r="AB992" i="5"/>
  <c r="AB990" i="5"/>
  <c r="AB988" i="5"/>
  <c r="AB986" i="5"/>
  <c r="AB1151" i="5" s="1"/>
  <c r="AB984" i="5"/>
  <c r="AB982" i="5"/>
  <c r="AB980" i="5"/>
  <c r="AB978" i="5"/>
  <c r="AB976" i="5"/>
  <c r="AB974" i="5"/>
  <c r="AB1150" i="5" s="1"/>
  <c r="AB972" i="5"/>
  <c r="AB970" i="5"/>
  <c r="AB968" i="5"/>
  <c r="AB966" i="5"/>
  <c r="AB964" i="5"/>
  <c r="AB962" i="5"/>
  <c r="AB960" i="5"/>
  <c r="AB958" i="5"/>
  <c r="AB956" i="5"/>
  <c r="AB954" i="5"/>
  <c r="AB952" i="5"/>
  <c r="AB950" i="5"/>
  <c r="AB948" i="5"/>
  <c r="AB946" i="5"/>
  <c r="AB944" i="5"/>
  <c r="AB942" i="5"/>
  <c r="AB940" i="5"/>
  <c r="AB938" i="5"/>
  <c r="AB936" i="5"/>
  <c r="AB934" i="5"/>
  <c r="AB932" i="5"/>
  <c r="AB930" i="5"/>
  <c r="AB928" i="5"/>
  <c r="AB926" i="5"/>
  <c r="AB924" i="5"/>
  <c r="AB922" i="5"/>
  <c r="AB920" i="5"/>
  <c r="AB918" i="5"/>
  <c r="AB916" i="5"/>
  <c r="AB914" i="5"/>
  <c r="AB912" i="5"/>
  <c r="AB910" i="5"/>
  <c r="AB908" i="5"/>
  <c r="AB906" i="5"/>
  <c r="AB904" i="5"/>
  <c r="AB902" i="5"/>
  <c r="AB900" i="5"/>
  <c r="AB898" i="5"/>
  <c r="AB896" i="5"/>
  <c r="AB894" i="5"/>
  <c r="AB892" i="5"/>
  <c r="AB890" i="5"/>
  <c r="AB888" i="5"/>
  <c r="AB886" i="5"/>
  <c r="AB884" i="5"/>
  <c r="AB882" i="5"/>
  <c r="AB880" i="5"/>
  <c r="AB878" i="5"/>
  <c r="AB876" i="5"/>
  <c r="AB874" i="5"/>
  <c r="AB872" i="5"/>
  <c r="AB870" i="5"/>
  <c r="AB868" i="5"/>
  <c r="AB866" i="5"/>
  <c r="AB864" i="5"/>
  <c r="AB862" i="5"/>
  <c r="AB860" i="5"/>
  <c r="AB858" i="5"/>
  <c r="AB856" i="5"/>
  <c r="AB854" i="5"/>
  <c r="AB852" i="5"/>
  <c r="AB850" i="5"/>
  <c r="AB848" i="5"/>
  <c r="AB846" i="5"/>
  <c r="AB844" i="5"/>
  <c r="AB842" i="5"/>
  <c r="AB840" i="5"/>
  <c r="AB838" i="5"/>
  <c r="AB836" i="5"/>
  <c r="AB834" i="5"/>
  <c r="AB832" i="5"/>
  <c r="AB830" i="5"/>
  <c r="AB828" i="5"/>
  <c r="AB826" i="5"/>
  <c r="AB824" i="5"/>
  <c r="AB822" i="5"/>
  <c r="AB820" i="5"/>
  <c r="AB818" i="5"/>
  <c r="AB816" i="5"/>
  <c r="AB814" i="5"/>
  <c r="AB812" i="5"/>
  <c r="AB810" i="5"/>
  <c r="AB808" i="5"/>
  <c r="AB806" i="5"/>
  <c r="AB804" i="5"/>
  <c r="AB802" i="5"/>
  <c r="AB800" i="5"/>
  <c r="AB798" i="5"/>
  <c r="AB796" i="5"/>
  <c r="AB794" i="5"/>
  <c r="AB792" i="5"/>
  <c r="AB790" i="5"/>
  <c r="AB788" i="5"/>
  <c r="AB786" i="5"/>
  <c r="AB784" i="5"/>
  <c r="AB782" i="5"/>
  <c r="AB780" i="5"/>
  <c r="AB778" i="5"/>
  <c r="AB776" i="5"/>
  <c r="AB774" i="5"/>
  <c r="AB772" i="5"/>
  <c r="AB770" i="5"/>
  <c r="AB768" i="5"/>
  <c r="AB737" i="5"/>
  <c r="AB735" i="5"/>
  <c r="AB733" i="5"/>
  <c r="AB731" i="5"/>
  <c r="AB729" i="5"/>
  <c r="AB727" i="5"/>
  <c r="AB725" i="5"/>
  <c r="AB723" i="5"/>
  <c r="AB721" i="5"/>
  <c r="AB1129" i="5" s="1"/>
  <c r="AB719" i="5"/>
  <c r="AB717" i="5"/>
  <c r="AB715" i="5"/>
  <c r="AB713" i="5"/>
  <c r="AB711" i="5"/>
  <c r="AB709" i="5"/>
  <c r="AB707" i="5"/>
  <c r="AB705" i="5"/>
  <c r="AB703" i="5"/>
  <c r="AB701" i="5"/>
  <c r="AB699" i="5"/>
  <c r="AB697" i="5"/>
  <c r="AB1127" i="5" s="1"/>
  <c r="AB695" i="5"/>
  <c r="AB693" i="5"/>
  <c r="AB691" i="5"/>
  <c r="AB689" i="5"/>
  <c r="AB687" i="5"/>
  <c r="AB685" i="5"/>
  <c r="AB683" i="5"/>
  <c r="AB681" i="5"/>
  <c r="AB679" i="5"/>
  <c r="AB677" i="5"/>
  <c r="AB675" i="5"/>
  <c r="AB673" i="5"/>
  <c r="AB1125" i="5" s="1"/>
  <c r="AB671" i="5"/>
  <c r="AB669" i="5"/>
  <c r="AB667" i="5"/>
  <c r="AB665" i="5"/>
  <c r="AB663" i="5"/>
  <c r="AB661" i="5"/>
  <c r="AB659" i="5"/>
  <c r="AB657" i="5"/>
  <c r="AB655" i="5"/>
  <c r="AB653" i="5"/>
  <c r="AB651" i="5"/>
  <c r="AB649" i="5"/>
  <c r="AB1123" i="5" s="1"/>
  <c r="AB647" i="5"/>
  <c r="AB645" i="5"/>
  <c r="AB643" i="5"/>
  <c r="AB641" i="5"/>
  <c r="AB639" i="5"/>
  <c r="AB637" i="5"/>
  <c r="AB635" i="5"/>
  <c r="AB633" i="5"/>
  <c r="AB631" i="5"/>
  <c r="AB629" i="5"/>
  <c r="AB627" i="5"/>
  <c r="AB625" i="5"/>
  <c r="AB1121" i="5" s="1"/>
  <c r="AB623" i="5"/>
  <c r="AB621" i="5"/>
  <c r="AB619" i="5"/>
  <c r="AB617" i="5"/>
  <c r="AB615" i="5"/>
  <c r="AB613" i="5"/>
  <c r="AB611" i="5"/>
  <c r="AB609" i="5"/>
  <c r="AB607" i="5"/>
  <c r="AB605" i="5"/>
  <c r="AB603" i="5"/>
  <c r="AB601" i="5"/>
  <c r="AB1119" i="5" s="1"/>
  <c r="AB599" i="5"/>
  <c r="AB597" i="5"/>
  <c r="AB595" i="5"/>
  <c r="AB593" i="5"/>
  <c r="AB591" i="5"/>
  <c r="AB589" i="5"/>
  <c r="AB587" i="5"/>
  <c r="AB585" i="5"/>
  <c r="AB583" i="5"/>
  <c r="AB581" i="5"/>
  <c r="AB579" i="5"/>
  <c r="AB577" i="5"/>
  <c r="AB1117" i="5" s="1"/>
  <c r="AB575" i="5"/>
  <c r="AB573" i="5"/>
  <c r="AB571" i="5"/>
  <c r="AB569" i="5"/>
  <c r="AB567" i="5"/>
  <c r="AB565" i="5"/>
  <c r="AB563" i="5"/>
  <c r="AB561" i="5"/>
  <c r="AB559" i="5"/>
  <c r="AB557" i="5"/>
  <c r="AB555" i="5"/>
  <c r="AB553" i="5"/>
  <c r="AB1115" i="5" s="1"/>
  <c r="AB551" i="5"/>
  <c r="AB549" i="5"/>
  <c r="AB547" i="5"/>
  <c r="AB545" i="5"/>
  <c r="AB543" i="5"/>
  <c r="AB541" i="5"/>
  <c r="AB539" i="5"/>
  <c r="AB537" i="5"/>
  <c r="AB535" i="5"/>
  <c r="AB533" i="5"/>
  <c r="AB531" i="5"/>
  <c r="AB529" i="5"/>
  <c r="AB1113" i="5" s="1"/>
  <c r="AB527" i="5"/>
  <c r="AB525" i="5"/>
  <c r="AB523" i="5"/>
  <c r="AB521" i="5"/>
  <c r="AB519" i="5"/>
  <c r="AB517" i="5"/>
  <c r="AB515" i="5"/>
  <c r="AB513" i="5"/>
  <c r="AB511" i="5"/>
  <c r="AB509" i="5"/>
  <c r="AB507" i="5"/>
  <c r="AB505" i="5"/>
  <c r="AB1111" i="5" s="1"/>
  <c r="AB503" i="5"/>
  <c r="AB501" i="5"/>
  <c r="AB499" i="5"/>
  <c r="AB497" i="5"/>
  <c r="AB495" i="5"/>
  <c r="AB493" i="5"/>
  <c r="AB491" i="5"/>
  <c r="AB489" i="5"/>
  <c r="AB487" i="5"/>
  <c r="AB485" i="5"/>
  <c r="AB483" i="5"/>
  <c r="AB481" i="5"/>
  <c r="AB1109" i="5" s="1"/>
  <c r="AB479" i="5"/>
  <c r="AB477" i="5"/>
  <c r="AB475" i="5"/>
  <c r="AB473" i="5"/>
  <c r="AB471" i="5"/>
  <c r="AB469" i="5"/>
  <c r="AB467" i="5"/>
  <c r="AB465" i="5"/>
  <c r="AB463" i="5"/>
  <c r="AB461" i="5"/>
  <c r="AB459" i="5"/>
  <c r="AB457" i="5"/>
  <c r="AB1107" i="5" s="1"/>
  <c r="AB455" i="5"/>
  <c r="AB453" i="5"/>
  <c r="AB451" i="5"/>
  <c r="AB449" i="5"/>
  <c r="AB447" i="5"/>
  <c r="AB445" i="5"/>
  <c r="AB443" i="5"/>
  <c r="AB441" i="5"/>
  <c r="AB439" i="5"/>
  <c r="AB437" i="5"/>
  <c r="AB435" i="5"/>
  <c r="AB433" i="5"/>
  <c r="AB1105" i="5" s="1"/>
  <c r="AB431" i="5"/>
  <c r="AB429" i="5"/>
  <c r="AB427" i="5"/>
  <c r="AB425" i="5"/>
  <c r="AB423" i="5"/>
  <c r="AB421" i="5"/>
  <c r="AB419" i="5"/>
  <c r="AB417" i="5"/>
  <c r="AB415" i="5"/>
  <c r="AB413" i="5"/>
  <c r="AB411" i="5"/>
  <c r="AB409" i="5"/>
  <c r="AB1103" i="5" s="1"/>
  <c r="AB407" i="5"/>
  <c r="AB405" i="5"/>
  <c r="AB403" i="5"/>
  <c r="AB401" i="5"/>
  <c r="AB399" i="5"/>
  <c r="AB397" i="5"/>
  <c r="AB395" i="5"/>
  <c r="AB393" i="5"/>
  <c r="AB391" i="5"/>
  <c r="AB389" i="5"/>
  <c r="AB387" i="5"/>
  <c r="AB385" i="5"/>
  <c r="AB1101" i="5" s="1"/>
  <c r="AB383" i="5"/>
  <c r="AB381" i="5"/>
  <c r="AB379" i="5"/>
  <c r="AB377" i="5"/>
  <c r="AB375" i="5"/>
  <c r="AB373" i="5"/>
  <c r="AB371" i="5"/>
  <c r="AB369" i="5"/>
  <c r="AB367" i="5"/>
  <c r="AB365" i="5"/>
  <c r="AB363" i="5"/>
  <c r="AB361" i="5"/>
  <c r="AB1099" i="5" s="1"/>
  <c r="AB359" i="5"/>
  <c r="AB357" i="5"/>
  <c r="AB355" i="5"/>
  <c r="AB353" i="5"/>
  <c r="AB351" i="5"/>
  <c r="AB349" i="5"/>
  <c r="AB347" i="5"/>
  <c r="AB345" i="5"/>
  <c r="AB343" i="5"/>
  <c r="AB341" i="5"/>
  <c r="AB339" i="5"/>
  <c r="AB337" i="5"/>
  <c r="AB1097" i="5" s="1"/>
  <c r="AB335" i="5"/>
  <c r="AB333" i="5"/>
  <c r="AB331" i="5"/>
  <c r="AB329" i="5"/>
  <c r="AB327" i="5"/>
  <c r="AB325" i="5"/>
  <c r="AB323" i="5"/>
  <c r="AB321" i="5"/>
  <c r="AB319" i="5"/>
  <c r="AB317" i="5"/>
  <c r="AB315" i="5"/>
  <c r="AB313" i="5"/>
  <c r="AB1095" i="5" s="1"/>
  <c r="AB311" i="5"/>
  <c r="AB309" i="5"/>
  <c r="AB307" i="5"/>
  <c r="AB305" i="5"/>
  <c r="AB303" i="5"/>
  <c r="AB301" i="5"/>
  <c r="AB299" i="5"/>
  <c r="AB297" i="5"/>
  <c r="AB295" i="5"/>
  <c r="AB293" i="5"/>
  <c r="AB291" i="5"/>
  <c r="AB289" i="5"/>
  <c r="AB1093" i="5" s="1"/>
  <c r="AB287" i="5"/>
  <c r="AB285" i="5"/>
  <c r="AB283" i="5"/>
  <c r="AB281" i="5"/>
  <c r="AB279" i="5"/>
  <c r="AB277" i="5"/>
  <c r="AB275" i="5"/>
  <c r="AB273" i="5"/>
  <c r="AB271" i="5"/>
  <c r="AB269" i="5"/>
  <c r="AB267" i="5"/>
  <c r="AB265" i="5"/>
  <c r="AB1091" i="5" s="1"/>
  <c r="AB263" i="5"/>
  <c r="AB261" i="5"/>
  <c r="AB259" i="5"/>
  <c r="AB257" i="5"/>
  <c r="AB255" i="5"/>
  <c r="AB253" i="5"/>
  <c r="AB251" i="5"/>
  <c r="AB249" i="5"/>
  <c r="AB247" i="5"/>
  <c r="AB245" i="5"/>
  <c r="AB243" i="5"/>
  <c r="AB241" i="5"/>
  <c r="AB1089" i="5" s="1"/>
  <c r="AB239" i="5"/>
  <c r="AB237" i="5"/>
  <c r="AB235" i="5"/>
  <c r="AB233" i="5"/>
  <c r="AB231" i="5"/>
  <c r="AB229" i="5"/>
  <c r="AB227" i="5"/>
  <c r="AB225" i="5"/>
  <c r="AB223" i="5"/>
  <c r="AB221" i="5"/>
  <c r="AB219" i="5"/>
  <c r="AB217" i="5"/>
  <c r="AB1087" i="5" s="1"/>
  <c r="AB215" i="5"/>
  <c r="AB213" i="5"/>
  <c r="AB211" i="5"/>
  <c r="AB209" i="5"/>
  <c r="AB207" i="5"/>
  <c r="AB205" i="5"/>
  <c r="AB203" i="5"/>
  <c r="AB201" i="5"/>
  <c r="AB199" i="5"/>
  <c r="AB197" i="5"/>
  <c r="AB195" i="5"/>
  <c r="AB193" i="5"/>
  <c r="AB1085" i="5" s="1"/>
  <c r="AB191" i="5"/>
  <c r="AB189" i="5"/>
  <c r="AB187" i="5"/>
  <c r="AB185" i="5"/>
  <c r="AB183" i="5"/>
  <c r="AB181" i="5"/>
  <c r="AB179" i="5"/>
  <c r="AB177" i="5"/>
  <c r="AB175" i="5"/>
  <c r="AB173" i="5"/>
  <c r="AB171" i="5"/>
  <c r="AB169" i="5"/>
  <c r="AB1083" i="5" s="1"/>
  <c r="AB167" i="5"/>
  <c r="AB165" i="5"/>
  <c r="AB163" i="5"/>
  <c r="AB161" i="5"/>
  <c r="AB159" i="5"/>
  <c r="AB157" i="5"/>
  <c r="AB155" i="5"/>
  <c r="AB153" i="5"/>
  <c r="AB151" i="5"/>
  <c r="AB149" i="5"/>
  <c r="AB147" i="5"/>
  <c r="AB145" i="5"/>
  <c r="AB1081" i="5" s="1"/>
  <c r="AB143" i="5"/>
  <c r="AB141" i="5"/>
  <c r="AB139" i="5"/>
  <c r="AB137" i="5"/>
  <c r="AB135" i="5"/>
  <c r="AB133" i="5"/>
  <c r="AB131" i="5"/>
  <c r="AB129" i="5"/>
  <c r="AB127" i="5"/>
  <c r="AB125" i="5"/>
  <c r="AB123" i="5"/>
  <c r="AB121" i="5"/>
  <c r="AB1079" i="5" s="1"/>
  <c r="AB119" i="5"/>
  <c r="AB117" i="5"/>
  <c r="AB115" i="5"/>
  <c r="AB113" i="5"/>
  <c r="AB111" i="5"/>
  <c r="AB109" i="5"/>
  <c r="AB107" i="5"/>
  <c r="AC98" i="5"/>
  <c r="AC93" i="5"/>
  <c r="AC91" i="5"/>
  <c r="AC89" i="5"/>
  <c r="AC87" i="5"/>
  <c r="AC85" i="5"/>
  <c r="AC83" i="5"/>
  <c r="AC81" i="5"/>
  <c r="AC79" i="5"/>
  <c r="AC77" i="5"/>
  <c r="AC75" i="5"/>
  <c r="AC73" i="5"/>
  <c r="AC71" i="5"/>
  <c r="AC69" i="5"/>
  <c r="AC67" i="5"/>
  <c r="AC65" i="5"/>
  <c r="AC63" i="5"/>
  <c r="AC61" i="5"/>
  <c r="AB59" i="5"/>
  <c r="AB55" i="5"/>
  <c r="AB51" i="5"/>
  <c r="AB47" i="5"/>
  <c r="AB43" i="5"/>
  <c r="AB39" i="5"/>
  <c r="AB37" i="5"/>
  <c r="AB35" i="5"/>
  <c r="AB1071" i="5" s="1"/>
  <c r="AC33" i="5"/>
  <c r="AC29" i="5"/>
  <c r="AC25" i="5"/>
  <c r="AB21" i="5"/>
  <c r="AB19" i="5"/>
  <c r="AB17" i="5"/>
  <c r="AB60" i="5"/>
  <c r="AB56" i="5"/>
  <c r="AB52" i="5"/>
  <c r="AB46" i="5"/>
  <c r="AB42" i="5"/>
  <c r="AC102" i="5"/>
  <c r="AB57" i="5"/>
  <c r="AB53" i="5"/>
  <c r="AB49" i="5"/>
  <c r="AB45" i="5"/>
  <c r="AB41" i="5"/>
  <c r="AC31" i="5"/>
  <c r="AC27" i="5"/>
  <c r="AC23" i="5"/>
  <c r="AC104" i="5"/>
  <c r="AC96" i="5"/>
  <c r="AB94" i="5"/>
  <c r="AB92" i="5"/>
  <c r="AB90" i="5"/>
  <c r="AB88" i="5"/>
  <c r="AB86" i="5"/>
  <c r="AB84" i="5"/>
  <c r="AB82" i="5"/>
  <c r="AB80" i="5"/>
  <c r="AB78" i="5"/>
  <c r="AB76" i="5"/>
  <c r="AB74" i="5"/>
  <c r="AB72" i="5"/>
  <c r="AB70" i="5"/>
  <c r="AB68" i="5"/>
  <c r="AB66" i="5"/>
  <c r="AB64" i="5"/>
  <c r="AB62" i="5"/>
  <c r="AB1074" i="5" s="1"/>
  <c r="AB58" i="5"/>
  <c r="AB54" i="5"/>
  <c r="AB50" i="5"/>
  <c r="AB48" i="5"/>
  <c r="AB44" i="5"/>
  <c r="AB40" i="5"/>
  <c r="AC34" i="5"/>
  <c r="AC30" i="5"/>
  <c r="AC26" i="5"/>
  <c r="AC22" i="5"/>
  <c r="AC20" i="5"/>
  <c r="AC18" i="5"/>
  <c r="AC1070" i="5" s="1"/>
  <c r="AB1149" i="5"/>
  <c r="AB1148" i="5"/>
  <c r="AB1147" i="5"/>
  <c r="AB1146" i="5"/>
  <c r="AB1145" i="5"/>
  <c r="AB1144" i="5"/>
  <c r="AB1143" i="5"/>
  <c r="AB1142" i="5"/>
  <c r="AB1141" i="5"/>
  <c r="AB1140" i="5"/>
  <c r="AB1139" i="5"/>
  <c r="AB1138" i="5"/>
  <c r="AB1137" i="5"/>
  <c r="AB1136" i="5"/>
  <c r="AB1135" i="5"/>
  <c r="AB1134" i="5"/>
  <c r="AB1133" i="5"/>
  <c r="K1156" i="3"/>
  <c r="I1156" i="3"/>
  <c r="G1156" i="3"/>
  <c r="E1156" i="3"/>
  <c r="K1155" i="3"/>
  <c r="I1155" i="3"/>
  <c r="G1155" i="3"/>
  <c r="E1155" i="3"/>
  <c r="K1154" i="3"/>
  <c r="I1154" i="3"/>
  <c r="G1154" i="3"/>
  <c r="E1154" i="3"/>
  <c r="K1153" i="3"/>
  <c r="I1153" i="3"/>
  <c r="G1153" i="3"/>
  <c r="E1153" i="3"/>
  <c r="K1152" i="3"/>
  <c r="I1152" i="3"/>
  <c r="G1152" i="3"/>
  <c r="E1152" i="3"/>
  <c r="K1151" i="3"/>
  <c r="I1151" i="3"/>
  <c r="G1151" i="3"/>
  <c r="E1151" i="3"/>
  <c r="K1150" i="3"/>
  <c r="I1150" i="3"/>
  <c r="G1150" i="3"/>
  <c r="E1150" i="3"/>
  <c r="K1149" i="3"/>
  <c r="I1149" i="3"/>
  <c r="G1149" i="3"/>
  <c r="E1149" i="3"/>
  <c r="K1148" i="3"/>
  <c r="I1148" i="3"/>
  <c r="G1148" i="3"/>
  <c r="E1148" i="3"/>
  <c r="K1147" i="3"/>
  <c r="I1147" i="3"/>
  <c r="G1147" i="3"/>
  <c r="E1147" i="3"/>
  <c r="K1146" i="3"/>
  <c r="I1146" i="3"/>
  <c r="G1146" i="3"/>
  <c r="E1146" i="3"/>
  <c r="K1145" i="3"/>
  <c r="I1145" i="3"/>
  <c r="G1145" i="3"/>
  <c r="E1145" i="3"/>
  <c r="K1144" i="3"/>
  <c r="I1144" i="3"/>
  <c r="G1144" i="3"/>
  <c r="E1144" i="3"/>
  <c r="K1143" i="3"/>
  <c r="I1143" i="3"/>
  <c r="G1143" i="3"/>
  <c r="E1143" i="3"/>
  <c r="K1142" i="3"/>
  <c r="I1142" i="3"/>
  <c r="G1142" i="3"/>
  <c r="E1142" i="3"/>
  <c r="K1141" i="3"/>
  <c r="I1141" i="3"/>
  <c r="G1141" i="3"/>
  <c r="E1141" i="3"/>
  <c r="K1140" i="3"/>
  <c r="I1140" i="3"/>
  <c r="G1140" i="3"/>
  <c r="E1140" i="3"/>
  <c r="K1139" i="3"/>
  <c r="I1139" i="3"/>
  <c r="G1139" i="3"/>
  <c r="E1139" i="3"/>
  <c r="K1138" i="3"/>
  <c r="I1138" i="3"/>
  <c r="G1138" i="3"/>
  <c r="E1138" i="3"/>
  <c r="K1137" i="3"/>
  <c r="I1137" i="3"/>
  <c r="G1137" i="3"/>
  <c r="E1137" i="3"/>
  <c r="K1136" i="3"/>
  <c r="I1136" i="3"/>
  <c r="G1136" i="3"/>
  <c r="E1136" i="3"/>
  <c r="K1135" i="3"/>
  <c r="I1135" i="3"/>
  <c r="G1135" i="3"/>
  <c r="E1135" i="3"/>
  <c r="K1134" i="3"/>
  <c r="I1134" i="3"/>
  <c r="G1134" i="3"/>
  <c r="E1134" i="3"/>
  <c r="K1133" i="3"/>
  <c r="I1133" i="3"/>
  <c r="G1133" i="3"/>
  <c r="E1133" i="3"/>
  <c r="K1132" i="3"/>
  <c r="I1132" i="3"/>
  <c r="G1132" i="3"/>
  <c r="E1132" i="3"/>
  <c r="K1131" i="3"/>
  <c r="I1131" i="3"/>
  <c r="G1131" i="3"/>
  <c r="E1131" i="3"/>
  <c r="K1130" i="3"/>
  <c r="I1130" i="3"/>
  <c r="G1130" i="3"/>
  <c r="E1130" i="3"/>
  <c r="K1129" i="3"/>
  <c r="I1129" i="3"/>
  <c r="G1129" i="3"/>
  <c r="E1129" i="3"/>
  <c r="K1128" i="3"/>
  <c r="I1128" i="3"/>
  <c r="G1128" i="3"/>
  <c r="E1128" i="3"/>
  <c r="K1127" i="3"/>
  <c r="I1127" i="3"/>
  <c r="G1127" i="3"/>
  <c r="E1127" i="3"/>
  <c r="K1126" i="3"/>
  <c r="I1126" i="3"/>
  <c r="G1126" i="3"/>
  <c r="E1126" i="3"/>
  <c r="K1125" i="3"/>
  <c r="I1125" i="3"/>
  <c r="G1125" i="3"/>
  <c r="E1125" i="3"/>
  <c r="K1124" i="3"/>
  <c r="I1124" i="3"/>
  <c r="G1124" i="3"/>
  <c r="E1124" i="3"/>
  <c r="K1123" i="3"/>
  <c r="I1123" i="3"/>
  <c r="G1123" i="3"/>
  <c r="E1123" i="3"/>
  <c r="K1122" i="3"/>
  <c r="I1122" i="3"/>
  <c r="G1122" i="3"/>
  <c r="E1122" i="3"/>
  <c r="K1121" i="3"/>
  <c r="I1121" i="3"/>
  <c r="G1121" i="3"/>
  <c r="E1121" i="3"/>
  <c r="K1120" i="3"/>
  <c r="I1120" i="3"/>
  <c r="G1120" i="3"/>
  <c r="E1120" i="3"/>
  <c r="K1119" i="3"/>
  <c r="I1119" i="3"/>
  <c r="G1119" i="3"/>
  <c r="E1119" i="3"/>
  <c r="K1118" i="3"/>
  <c r="I1118" i="3"/>
  <c r="G1118" i="3"/>
  <c r="E1118" i="3"/>
  <c r="J1156" i="4"/>
  <c r="H1156" i="4"/>
  <c r="F1156" i="4"/>
  <c r="D1156" i="4"/>
  <c r="J1155" i="4"/>
  <c r="H1155" i="4"/>
  <c r="F1155" i="4"/>
  <c r="D1155" i="4"/>
  <c r="J1154" i="4"/>
  <c r="H1154" i="4"/>
  <c r="F1154" i="4"/>
  <c r="D1154" i="4"/>
  <c r="J1153" i="4"/>
  <c r="H1153" i="4"/>
  <c r="F1153" i="4"/>
  <c r="D1153" i="4"/>
  <c r="J1152" i="4"/>
  <c r="H1152" i="4"/>
  <c r="F1152" i="4"/>
  <c r="D1152" i="4"/>
  <c r="J1151" i="4"/>
  <c r="H1151" i="4"/>
  <c r="F1151" i="4"/>
  <c r="D1151" i="4"/>
  <c r="J1150" i="4"/>
  <c r="H1150" i="4"/>
  <c r="F1150" i="4"/>
  <c r="D1150" i="4"/>
  <c r="J1149" i="4"/>
  <c r="H1149" i="4"/>
  <c r="F1149" i="4"/>
  <c r="D1149" i="4"/>
  <c r="J1148" i="4"/>
  <c r="H1148" i="4"/>
  <c r="F1148" i="4"/>
  <c r="D1148" i="4"/>
  <c r="J1147" i="4"/>
  <c r="H1147" i="4"/>
  <c r="F1147" i="4"/>
  <c r="D1147" i="4"/>
  <c r="J1146" i="4"/>
  <c r="H1146" i="4"/>
  <c r="F1146" i="4"/>
  <c r="D1146" i="4"/>
  <c r="J1145" i="4"/>
  <c r="H1145" i="4"/>
  <c r="F1145" i="4"/>
  <c r="D1145" i="4"/>
  <c r="J1144" i="4"/>
  <c r="H1144" i="4"/>
  <c r="F1144" i="4"/>
  <c r="D1144" i="4"/>
  <c r="J1143" i="4"/>
  <c r="H1143" i="4"/>
  <c r="F1143" i="4"/>
  <c r="D1143" i="4"/>
  <c r="J1142" i="4"/>
  <c r="H1142" i="4"/>
  <c r="F1142" i="4"/>
  <c r="D1142" i="4"/>
  <c r="J1141" i="4"/>
  <c r="H1141" i="4"/>
  <c r="F1141" i="4"/>
  <c r="D1141" i="4"/>
  <c r="J1140" i="4"/>
  <c r="H1140" i="4"/>
  <c r="F1140" i="4"/>
  <c r="D1140" i="4"/>
  <c r="J1139" i="4"/>
  <c r="H1139" i="4"/>
  <c r="F1139" i="4"/>
  <c r="D1139" i="4"/>
  <c r="J1138" i="4"/>
  <c r="H1138" i="4"/>
  <c r="F1138" i="4"/>
  <c r="D1138" i="4"/>
  <c r="J1137" i="4"/>
  <c r="H1137" i="4"/>
  <c r="F1137" i="4"/>
  <c r="D1137" i="4"/>
  <c r="J1136" i="4"/>
  <c r="H1136" i="4"/>
  <c r="F1136" i="4"/>
  <c r="D1136" i="4"/>
  <c r="J1135" i="4"/>
  <c r="H1135" i="4"/>
  <c r="F1135" i="4"/>
  <c r="D1135" i="4"/>
  <c r="J1134" i="4"/>
  <c r="H1134" i="4"/>
  <c r="F1134" i="4"/>
  <c r="D1134" i="4"/>
  <c r="J1133" i="4"/>
  <c r="H1133" i="4"/>
  <c r="F1133" i="4"/>
  <c r="D1133" i="4"/>
  <c r="J1132" i="4"/>
  <c r="H1132" i="4"/>
  <c r="F1132" i="4"/>
  <c r="D1132" i="4"/>
  <c r="J1131" i="4"/>
  <c r="H1131" i="4"/>
  <c r="F1131" i="4"/>
  <c r="D1131" i="4"/>
  <c r="J1130" i="4"/>
  <c r="H1130" i="4"/>
  <c r="F1130" i="4"/>
  <c r="D1130" i="4"/>
  <c r="J1129" i="4"/>
  <c r="H1129" i="4"/>
  <c r="F1129" i="4"/>
  <c r="D1129" i="4"/>
  <c r="J1128" i="4"/>
  <c r="H1128" i="4"/>
  <c r="F1128" i="4"/>
  <c r="D1128" i="4"/>
  <c r="J1127" i="4"/>
  <c r="H1127" i="4"/>
  <c r="F1127" i="4"/>
  <c r="D1127" i="4"/>
  <c r="J1126" i="4"/>
  <c r="H1126" i="4"/>
  <c r="F1126" i="4"/>
  <c r="D1126" i="4"/>
  <c r="J1125" i="4"/>
  <c r="H1125" i="4"/>
  <c r="F1125" i="4"/>
  <c r="D1125" i="4"/>
  <c r="J1124" i="4"/>
  <c r="H1124" i="4"/>
  <c r="F1124" i="4"/>
  <c r="D1124" i="4"/>
  <c r="J1123" i="4"/>
  <c r="H1123" i="4"/>
  <c r="F1123" i="4"/>
  <c r="D1123" i="4"/>
  <c r="J1122" i="4"/>
  <c r="H1122" i="4"/>
  <c r="F1122" i="4"/>
  <c r="D1122" i="4"/>
  <c r="J1121" i="4"/>
  <c r="H1121" i="4"/>
  <c r="F1121" i="4"/>
  <c r="D1121" i="4"/>
  <c r="J1120" i="4"/>
  <c r="H1120" i="4"/>
  <c r="F1120" i="4"/>
  <c r="D1120" i="4"/>
  <c r="J1119" i="4"/>
  <c r="H1119" i="4"/>
  <c r="F1119" i="4"/>
  <c r="D1119" i="4"/>
  <c r="J1118" i="4"/>
  <c r="H1118" i="4"/>
  <c r="F1118" i="4"/>
  <c r="D1118" i="4"/>
  <c r="AC1157" i="5"/>
  <c r="X1157" i="5"/>
  <c r="V1157" i="5"/>
  <c r="T1157" i="5"/>
  <c r="R1157" i="5"/>
  <c r="P1157" i="5"/>
  <c r="N1157" i="5"/>
  <c r="L1157" i="5"/>
  <c r="J1157" i="5"/>
  <c r="H1157" i="5"/>
  <c r="F1157" i="5"/>
  <c r="D1157" i="5"/>
  <c r="AC1156" i="5"/>
  <c r="X1156" i="5"/>
  <c r="V1156" i="5"/>
  <c r="T1156" i="5"/>
  <c r="R1156" i="5"/>
  <c r="P1156" i="5"/>
  <c r="N1156" i="5"/>
  <c r="L1156" i="5"/>
  <c r="J1156" i="5"/>
  <c r="H1156" i="5"/>
  <c r="F1156" i="5"/>
  <c r="D1156" i="5"/>
  <c r="AC1155" i="5"/>
  <c r="X1155" i="5"/>
  <c r="V1155" i="5"/>
  <c r="T1155" i="5"/>
  <c r="R1155" i="5"/>
  <c r="P1155" i="5"/>
  <c r="N1155" i="5"/>
  <c r="L1155" i="5"/>
  <c r="J1155" i="5"/>
  <c r="H1155" i="5"/>
  <c r="F1155" i="5"/>
  <c r="D1155" i="5"/>
  <c r="AC1154" i="5"/>
  <c r="X1154" i="5"/>
  <c r="V1154" i="5"/>
  <c r="T1154" i="5"/>
  <c r="R1154" i="5"/>
  <c r="P1154" i="5"/>
  <c r="N1154" i="5"/>
  <c r="L1154" i="5"/>
  <c r="J1154" i="5"/>
  <c r="H1154" i="5"/>
  <c r="F1154" i="5"/>
  <c r="D1154" i="5"/>
  <c r="AC1153" i="5"/>
  <c r="X1153" i="5"/>
  <c r="V1153" i="5"/>
  <c r="T1153" i="5"/>
  <c r="R1153" i="5"/>
  <c r="P1153" i="5"/>
  <c r="N1153" i="5"/>
  <c r="L1153" i="5"/>
  <c r="J1153" i="5"/>
  <c r="H1153" i="5"/>
  <c r="F1153" i="5"/>
  <c r="D1153" i="5"/>
  <c r="AC1152" i="5"/>
  <c r="X1152" i="5"/>
  <c r="V1152" i="5"/>
  <c r="T1152" i="5"/>
  <c r="R1152" i="5"/>
  <c r="P1152" i="5"/>
  <c r="N1152" i="5"/>
  <c r="L1152" i="5"/>
  <c r="J1152" i="5"/>
  <c r="H1152" i="5"/>
  <c r="F1152" i="5"/>
  <c r="D1152" i="5"/>
  <c r="AC1151" i="5"/>
  <c r="X1151" i="5"/>
  <c r="V1151" i="5"/>
  <c r="T1151" i="5"/>
  <c r="R1151" i="5"/>
  <c r="P1151" i="5"/>
  <c r="N1151" i="5"/>
  <c r="L1151" i="5"/>
  <c r="J1151" i="5"/>
  <c r="H1151" i="5"/>
  <c r="F1151" i="5"/>
  <c r="D1151" i="5"/>
  <c r="AC1149" i="5"/>
  <c r="AC1148" i="5"/>
  <c r="AC1147" i="5"/>
  <c r="AC1146" i="5"/>
  <c r="AC1145" i="5"/>
  <c r="AC1144" i="5"/>
  <c r="AC1143" i="5"/>
  <c r="AC1142" i="5"/>
  <c r="AC1141" i="5"/>
  <c r="AC1140" i="5"/>
  <c r="AC1139" i="5"/>
  <c r="AC1138" i="5"/>
  <c r="AC1137" i="5"/>
  <c r="AC1136" i="5"/>
  <c r="AC1135" i="5"/>
  <c r="AC1134" i="5"/>
  <c r="AC1133" i="5"/>
  <c r="AB765" i="5"/>
  <c r="AB763" i="5"/>
  <c r="AB761" i="5"/>
  <c r="AB759" i="5"/>
  <c r="AB757" i="5"/>
  <c r="AB755" i="5"/>
  <c r="AB753" i="5"/>
  <c r="AB751" i="5"/>
  <c r="AB749" i="5"/>
  <c r="AB747" i="5"/>
  <c r="AB745" i="5"/>
  <c r="AB743" i="5"/>
  <c r="AB741" i="5"/>
  <c r="AB739" i="5"/>
  <c r="AB1130" i="5" s="1"/>
  <c r="AC766" i="5"/>
  <c r="AC764" i="5"/>
  <c r="AC762" i="5"/>
  <c r="AC760" i="5"/>
  <c r="AC758" i="5"/>
  <c r="AC756" i="5"/>
  <c r="AC754" i="5"/>
  <c r="AC752" i="5"/>
  <c r="AC750" i="5"/>
  <c r="AC748" i="5"/>
  <c r="AC746" i="5"/>
  <c r="AC744" i="5"/>
  <c r="AC742" i="5"/>
  <c r="AC740" i="5"/>
  <c r="AC738" i="5"/>
  <c r="AC1130" i="5" s="1"/>
  <c r="AC105" i="5"/>
  <c r="AC103" i="5"/>
  <c r="AC101" i="5"/>
  <c r="AC99" i="5"/>
  <c r="AC97" i="5"/>
  <c r="AC95" i="5"/>
  <c r="AC1076" i="5" s="1"/>
  <c r="S922" i="6"/>
  <c r="S1144" i="6" s="1"/>
  <c r="Q1144" i="6"/>
  <c r="AB104" i="5"/>
  <c r="AB102" i="5"/>
  <c r="AB100" i="5"/>
  <c r="AB98" i="5"/>
  <c r="AB1077" i="5" s="1"/>
  <c r="AB96" i="5"/>
  <c r="AB1076" i="5" s="1"/>
  <c r="S1056" i="6"/>
  <c r="S1156" i="6" s="1"/>
  <c r="Q1156" i="6"/>
  <c r="L1156" i="6"/>
  <c r="S1044" i="6"/>
  <c r="S1155" i="6" s="1"/>
  <c r="Q1155" i="6"/>
  <c r="L1155" i="6"/>
  <c r="S1032" i="6"/>
  <c r="S1154" i="6" s="1"/>
  <c r="Q1154" i="6"/>
  <c r="L1154" i="6"/>
  <c r="S1020" i="6"/>
  <c r="S1153" i="6" s="1"/>
  <c r="Q1153" i="6"/>
  <c r="L1153" i="6"/>
  <c r="S1008" i="6"/>
  <c r="S1152" i="6" s="1"/>
  <c r="Q1152" i="6"/>
  <c r="L1152" i="6"/>
  <c r="S996" i="6"/>
  <c r="S1151" i="6" s="1"/>
  <c r="Q1151" i="6"/>
  <c r="L1151" i="6"/>
  <c r="S984" i="6"/>
  <c r="S1150" i="6" s="1"/>
  <c r="Q1150" i="6"/>
  <c r="L1150" i="6"/>
  <c r="S972" i="6"/>
  <c r="S1149" i="6" s="1"/>
  <c r="Q1149" i="6"/>
  <c r="L1149" i="6"/>
  <c r="S960" i="6"/>
  <c r="S1148" i="6" s="1"/>
  <c r="Q1148" i="6"/>
  <c r="L1148" i="6"/>
  <c r="S948" i="6"/>
  <c r="S1147" i="6" s="1"/>
  <c r="Q1147" i="6"/>
  <c r="L1147" i="6"/>
  <c r="S936" i="6"/>
  <c r="S1146" i="6" s="1"/>
  <c r="Q1146" i="6"/>
  <c r="L1146" i="6"/>
  <c r="S924" i="6"/>
  <c r="S1145" i="6" s="1"/>
  <c r="Q1145" i="6"/>
  <c r="L1145" i="6"/>
  <c r="L921" i="6"/>
  <c r="L917" i="6"/>
  <c r="L913" i="6"/>
  <c r="L909" i="6"/>
  <c r="L905" i="6"/>
  <c r="L901" i="6"/>
  <c r="L897" i="6"/>
  <c r="L919" i="6"/>
  <c r="L915" i="6"/>
  <c r="L911" i="6"/>
  <c r="L907" i="6"/>
  <c r="L903" i="6"/>
  <c r="L899" i="6"/>
  <c r="L895" i="6"/>
  <c r="L1142" i="6" s="1"/>
  <c r="L800" i="6"/>
  <c r="L1134" i="6" s="1"/>
  <c r="L745" i="6"/>
  <c r="L741" i="6"/>
  <c r="L737" i="6"/>
  <c r="L733" i="6"/>
  <c r="L729" i="6"/>
  <c r="L1128" i="6" s="1"/>
  <c r="L747" i="6"/>
  <c r="L743" i="6"/>
  <c r="L739" i="6"/>
  <c r="L735" i="6"/>
  <c r="L731" i="6"/>
  <c r="L640" i="6"/>
  <c r="L636" i="6"/>
  <c r="L632" i="6"/>
  <c r="L628" i="6"/>
  <c r="L624" i="6"/>
  <c r="L620" i="6"/>
  <c r="L616" i="6"/>
  <c r="L612" i="6"/>
  <c r="L608" i="6"/>
  <c r="L604" i="6"/>
  <c r="L600" i="6"/>
  <c r="S33" i="6"/>
  <c r="S29" i="6"/>
  <c r="S1070" i="6" s="1"/>
  <c r="S20" i="6"/>
  <c r="S1069" i="6" s="1"/>
  <c r="L638" i="6"/>
  <c r="L634" i="6"/>
  <c r="L630" i="6"/>
  <c r="L626" i="6"/>
  <c r="L622" i="6"/>
  <c r="L618" i="6"/>
  <c r="L614" i="6"/>
  <c r="L610" i="6"/>
  <c r="L606" i="6"/>
  <c r="L602" i="6"/>
  <c r="AC1131" i="5" l="1"/>
  <c r="AB1132" i="5"/>
  <c r="AB1070" i="5"/>
  <c r="AC1075" i="5"/>
  <c r="AB1075" i="5"/>
  <c r="AB1078" i="5"/>
  <c r="AB1080" i="5"/>
  <c r="AB1082" i="5"/>
  <c r="AB1084" i="5"/>
  <c r="AB1086" i="5"/>
  <c r="AB1088" i="5"/>
  <c r="AB1090" i="5"/>
  <c r="AB1092" i="5"/>
  <c r="AB1094" i="5"/>
  <c r="AB1096" i="5"/>
  <c r="AB1098" i="5"/>
  <c r="AB1100" i="5"/>
  <c r="AB1102" i="5"/>
  <c r="AB1104" i="5"/>
  <c r="AB1106" i="5"/>
  <c r="AB1108" i="5"/>
  <c r="AB1110" i="5"/>
  <c r="AB1112" i="5"/>
  <c r="AB1114" i="5"/>
  <c r="AB1116" i="5"/>
  <c r="AB1118" i="5"/>
  <c r="AB1120" i="5"/>
  <c r="AB1122" i="5"/>
  <c r="AB1124" i="5"/>
  <c r="AB1126" i="5"/>
  <c r="AB1128" i="5"/>
  <c r="AC1132" i="5"/>
  <c r="AB1131" i="5"/>
  <c r="AC1074" i="5"/>
  <c r="AB1073" i="5"/>
  <c r="AC1071" i="5"/>
  <c r="AB1072" i="5"/>
  <c r="AB1152" i="5"/>
  <c r="AB1156" i="5"/>
  <c r="L1118" i="6"/>
  <c r="L1120" i="6"/>
  <c r="L1130" i="6"/>
  <c r="L1143" i="6"/>
  <c r="AC1077" i="5"/>
  <c r="L1119" i="6"/>
  <c r="L1121" i="6"/>
  <c r="L1129" i="6"/>
  <c r="L1144" i="6"/>
</calcChain>
</file>

<file path=xl/sharedStrings.xml><?xml version="1.0" encoding="utf-8"?>
<sst xmlns="http://schemas.openxmlformats.org/spreadsheetml/2006/main" count="254" uniqueCount="101">
  <si>
    <t>WITHOUT NOx</t>
  </si>
  <si>
    <t>WITH NOx</t>
  </si>
  <si>
    <t>Selection</t>
  </si>
  <si>
    <t>Natural Gas</t>
  </si>
  <si>
    <t>WITHOUT SO2 &amp; NOx</t>
  </si>
  <si>
    <t>WITH SO2 &amp; NOx</t>
  </si>
  <si>
    <t>Heavy Oil SO2</t>
  </si>
  <si>
    <t>HIGH PRICES</t>
  </si>
  <si>
    <t>MEDIUM PRICES</t>
  </si>
  <si>
    <t>LOW PRICES</t>
  </si>
  <si>
    <t>Coal</t>
  </si>
  <si>
    <t>Light Oil SO2</t>
  </si>
  <si>
    <t>Heavy Oil</t>
  </si>
  <si>
    <t>Light Oil</t>
  </si>
  <si>
    <t>$/MMBTU</t>
  </si>
  <si>
    <t>MONTH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</si>
  <si>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</si>
  <si>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</si>
  <si>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</si>
  <si>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</si>
  <si>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</si>
  <si>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</si>
  <si>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</si>
  <si>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</si>
  <si>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>HIGH</t>
  </si>
  <si>
    <t>LOW</t>
  </si>
  <si>
    <t xml:space="preserve"> </t>
  </si>
  <si>
    <t>April 01, 2013 - EUGENE UNGAR</t>
  </si>
  <si>
    <t>RIVIERA</t>
  </si>
  <si>
    <t>CANAVERAL</t>
  </si>
  <si>
    <t>MARTIN</t>
  </si>
  <si>
    <t>PUTNAM</t>
  </si>
  <si>
    <t>FT MYERS</t>
  </si>
  <si>
    <t>LAUDERDALE</t>
  </si>
  <si>
    <t>PORT EVERGLADES</t>
  </si>
  <si>
    <t>OLEANDER</t>
  </si>
  <si>
    <t>WCEC</t>
  </si>
  <si>
    <t>TURKEY POINT</t>
  </si>
  <si>
    <t>$/BBL.</t>
  </si>
  <si>
    <t>WTI</t>
  </si>
  <si>
    <t>RIVIERA 1%</t>
  </si>
  <si>
    <t>SANFORD 1%</t>
  </si>
  <si>
    <t>INDIAN RIVER &amp; CANAVERAL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</si>
  <si>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</si>
  <si>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MANATEE 1%</t>
  </si>
  <si>
    <t>PORT EVERGLADES 1%</t>
  </si>
  <si>
    <t>MARTIN 1%</t>
  </si>
  <si>
    <t>MARTIN 0.7%</t>
  </si>
  <si>
    <t>MM$</t>
  </si>
  <si>
    <t>WEIGHTED AVERAGE GULFSTREAM FIRM</t>
  </si>
  <si>
    <t>WEIGHTED AVERAGE FGT FIRM</t>
  </si>
  <si>
    <t>UPS REPLACEMENT SUNK DEMAND CHARGE</t>
  </si>
  <si>
    <t>UPS REPLACEMENT DISPATCH PRICE</t>
  </si>
  <si>
    <t>BAY GAS STORAGE DEMAND CHARGE</t>
  </si>
  <si>
    <t>GULF SOUTH</t>
  </si>
  <si>
    <t>TRANSCO 4A</t>
  </si>
  <si>
    <t>SESH</t>
  </si>
  <si>
    <t>GULFSTREAM</t>
  </si>
  <si>
    <t>FGT</t>
  </si>
  <si>
    <t>HENRY HUB</t>
  </si>
  <si>
    <t>GULFSTREAM NON-FIRM BACKHAUL</t>
  </si>
  <si>
    <t>GULFSTREAM NON-FIRM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</si>
  <si>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</si>
  <si>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DISPATCH PRICE</t>
  </si>
  <si>
    <r>
      <t xml:space="preserve">GULFSTREAM FIRM </t>
    </r>
    <r>
      <rPr>
        <b/>
        <sz val="12"/>
        <color indexed="12"/>
        <rFont val="Arial"/>
        <family val="2"/>
      </rPr>
      <t xml:space="preserve">GULF SOUTH </t>
    </r>
    <r>
      <rPr>
        <b/>
        <sz val="12"/>
        <rFont val="Arial"/>
        <family val="2"/>
      </rPr>
      <t>DISPATCH PRICE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</si>
  <si>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DISPATCH PRICE</t>
    </r>
  </si>
  <si>
    <t>FGT NON-FIRM</t>
  </si>
  <si>
    <t>FUTURE GAS PIPELINE</t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</si>
  <si>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</si>
  <si>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</si>
  <si>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t>PHASE VIII ZONE 3 MOBILE BAY/DESTIN FGT FIRM</t>
  </si>
  <si>
    <r>
      <t xml:space="preserve">ZONE 3 MOBILE BAY/DESTIN FGT FIRM </t>
    </r>
    <r>
      <rPr>
        <b/>
        <sz val="12"/>
        <color indexed="12"/>
        <rFont val="Arial"/>
        <family val="2"/>
      </rPr>
      <t>GULF SOUTH</t>
    </r>
  </si>
  <si>
    <r>
      <t xml:space="preserve">ZONE 3 MOBILE BAY/DESTIN FGT FIRM </t>
    </r>
    <r>
      <rPr>
        <b/>
        <sz val="12"/>
        <color indexed="17"/>
        <rFont val="Arial"/>
        <family val="2"/>
      </rPr>
      <t>SESH</t>
    </r>
  </si>
  <si>
    <t>ZONE 3 MOBILE BAY/DESTIN FGT FIRM</t>
  </si>
  <si>
    <t>ZONE 3 FGT FIRM</t>
  </si>
  <si>
    <t>ZONE 2 FGT FIRM</t>
  </si>
  <si>
    <t>ZONE 1 FGT FIRM</t>
  </si>
  <si>
    <t>ESTMATED SUNK DEMAND CHARGE(S) FOR THE NEW PIPELINE WILL BE PROVIDED UPON REQUEST</t>
  </si>
  <si>
    <t>FIRM TRANSPORT AND STORAGE CONTRACTS THROUGH FGT PHASE VIII</t>
  </si>
  <si>
    <t>SUNK DEMAND CHARGE FOR ALL CURRENT</t>
  </si>
  <si>
    <t>MMCF/DAY</t>
  </si>
  <si>
    <t>DAYS</t>
  </si>
  <si>
    <t>GULFSTREAM NON-FIRM &amp; NON-FIRM BACKHAUL</t>
  </si>
  <si>
    <t>TOTAL GULFSTREAM FIRM</t>
  </si>
  <si>
    <t>GULFSTREAM FIRM CONTRACTUAL BALANCE</t>
  </si>
  <si>
    <r>
      <t xml:space="preserve">GULFSTREAM FIRM </t>
    </r>
    <r>
      <rPr>
        <b/>
        <sz val="12"/>
        <color indexed="12"/>
        <rFont val="Arial"/>
        <family val="2"/>
      </rPr>
      <t>GULF SOUTH</t>
    </r>
    <r>
      <rPr>
        <b/>
        <sz val="12"/>
        <rFont val="Arial"/>
        <family val="2"/>
      </rPr>
      <t xml:space="preserve"> VOLUMES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</si>
  <si>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VOLUMES</t>
    </r>
  </si>
  <si>
    <t>TOTAL FGT FIRM</t>
  </si>
  <si>
    <t>PHASE VIII FTS 3</t>
  </si>
  <si>
    <t>FGT FIRM BY ZONE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</si>
  <si>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</si>
  <si>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</si>
  <si>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</si>
  <si>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</si>
  <si>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</si>
  <si>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15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</si>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</sst>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"/>
    <numFmt numFmtId="169" formatCode="&quot;$&quot;#,##0.0_);[Red]\(&quot;$&quot;#,##0.0\)"/>
    <numFmt numFmtId="170" formatCode="0.0"/>
  </numFmts>
  <fonts count="20" x14ac:knownFonts="1">
    <font>
      <sz val="12"/>
      <name val="Helv"/>
    </font>
    <font>
      <sz val="12"/>
      <name val="Helv"/>
    </font>
    <font>
      <sz val="12"/>
      <color indexed="12"/>
      <name val="Helv"/>
    </font>
    <font>
      <b/>
      <sz val="12"/>
      <name val="Helv"/>
    </font>
    <font>
      <sz val="10"/>
      <name val="Arial"/>
      <family val="2"/>
    </font>
    <font>
      <sz val="12"/>
      <name val="Arial"/>
      <family val="2"/>
    </font>
    <font>
      <b/>
      <u val="singleAccounting"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2"/>
      <color indexed="12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2">
    <xf numFmtId="164" fontId="0" fillId="0" borderId="0">
      <alignment horizontal="left" wrapText="1"/>
    </xf>
    <xf numFmtId="44" fontId="4" fillId="0" borderId="0" applyFont="0" applyFill="0" applyBorder="0" applyAlignment="0" applyProtection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</cellStyleXfs>
  <cellXfs count="116">
    <xf numFmtId="164" fontId="0" fillId="0" borderId="0" xfId="0">
      <alignment horizontal="left" wrapText="1"/>
    </xf>
    <xf numFmtId="165" fontId="0" fillId="0" borderId="0" xfId="0" applyNumberFormat="1" applyAlignment="1"/>
    <xf numFmtId="165" fontId="2" fillId="0" borderId="1" xfId="0" quotePrefix="1" applyNumberFormat="1" applyFont="1" applyBorder="1" applyAlignment="1">
      <alignment horizontal="left"/>
    </xf>
    <xf numFmtId="165" fontId="2" fillId="0" borderId="3" xfId="0" quotePrefix="1" applyNumberFormat="1" applyFont="1" applyBorder="1" applyAlignment="1">
      <alignment horizontal="left"/>
    </xf>
    <xf numFmtId="165" fontId="3" fillId="0" borderId="4" xfId="0" applyNumberFormat="1" applyFont="1" applyBorder="1" applyAlignment="1"/>
    <xf numFmtId="165" fontId="2" fillId="0" borderId="1" xfId="0" applyNumberFormat="1" applyFont="1" applyBorder="1" applyAlignment="1"/>
    <xf numFmtId="165" fontId="2" fillId="0" borderId="3" xfId="0" applyNumberFormat="1" applyFont="1" applyBorder="1" applyAlignment="1"/>
    <xf numFmtId="165" fontId="3" fillId="0" borderId="4" xfId="0" quotePrefix="1" applyNumberFormat="1" applyFont="1" applyBorder="1" applyAlignment="1">
      <alignment horizontal="left"/>
    </xf>
    <xf numFmtId="0" fontId="4" fillId="0" borderId="0" xfId="21"/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5" fontId="5" fillId="0" borderId="0" xfId="0" applyNumberFormat="1" applyFont="1" applyAlignment="1"/>
    <xf numFmtId="17" fontId="5" fillId="0" borderId="0" xfId="0" applyNumberFormat="1" applyFont="1" applyAlignment="1">
      <alignment horizontal="center"/>
    </xf>
    <xf numFmtId="166" fontId="5" fillId="0" borderId="0" xfId="21" applyNumberFormat="1" applyFont="1" applyAlignment="1">
      <alignment horizontal="center"/>
    </xf>
    <xf numFmtId="44" fontId="6" fillId="0" borderId="0" xfId="1" applyFont="1" applyAlignment="1">
      <alignment horizontal="center"/>
    </xf>
    <xf numFmtId="0" fontId="7" fillId="0" borderId="0" xfId="21" applyFont="1" applyAlignment="1">
      <alignment horizontal="center"/>
    </xf>
    <xf numFmtId="165" fontId="8" fillId="0" borderId="0" xfId="0" quotePrefix="1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8" fillId="2" borderId="0" xfId="0" quotePrefix="1" applyNumberFormat="1" applyFont="1" applyFill="1" applyAlignment="1">
      <alignment horizontal="center"/>
    </xf>
    <xf numFmtId="165" fontId="8" fillId="3" borderId="0" xfId="0" quotePrefix="1" applyNumberFormat="1" applyFont="1" applyFill="1" applyAlignment="1">
      <alignment horizontal="center"/>
    </xf>
    <xf numFmtId="165" fontId="8" fillId="4" borderId="0" xfId="0" quotePrefix="1" applyNumberFormat="1" applyFont="1" applyFill="1" applyAlignment="1">
      <alignment horizontal="center"/>
    </xf>
    <xf numFmtId="0" fontId="4" fillId="0" borderId="0" xfId="21" applyFill="1"/>
    <xf numFmtId="165" fontId="8" fillId="2" borderId="0" xfId="0" quotePrefix="1" applyNumberFormat="1" applyFont="1" applyFill="1" applyAlignment="1">
      <alignment horizontal="center" vertical="center" wrapText="1"/>
    </xf>
    <xf numFmtId="165" fontId="8" fillId="3" borderId="0" xfId="0" quotePrefix="1" applyNumberFormat="1" applyFont="1" applyFill="1" applyAlignment="1">
      <alignment horizontal="center" vertical="center" wrapText="1"/>
    </xf>
    <xf numFmtId="165" fontId="8" fillId="4" borderId="0" xfId="0" quotePrefix="1" applyNumberFormat="1" applyFont="1" applyFill="1" applyAlignment="1">
      <alignment horizontal="center" vertical="center" wrapText="1"/>
    </xf>
    <xf numFmtId="0" fontId="9" fillId="0" borderId="0" xfId="21" applyFont="1"/>
    <xf numFmtId="10" fontId="8" fillId="7" borderId="0" xfId="21" quotePrefix="1" applyNumberFormat="1" applyFont="1" applyFill="1" applyAlignment="1">
      <alignment horizontal="center"/>
    </xf>
    <xf numFmtId="15" fontId="8" fillId="7" borderId="0" xfId="21" applyNumberFormat="1" applyFont="1" applyFill="1" applyAlignment="1">
      <alignment horizontal="left"/>
    </xf>
    <xf numFmtId="15" fontId="8" fillId="0" borderId="0" xfId="21" quotePrefix="1" applyNumberFormat="1" applyFont="1" applyAlignment="1">
      <alignment horizontal="left"/>
    </xf>
    <xf numFmtId="0" fontId="10" fillId="0" borderId="0" xfId="21" applyFont="1"/>
    <xf numFmtId="0" fontId="4" fillId="0" borderId="0" xfId="21" applyAlignment="1">
      <alignment horizontal="center"/>
    </xf>
    <xf numFmtId="17" fontId="1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center"/>
    </xf>
    <xf numFmtId="8" fontId="4" fillId="0" borderId="0" xfId="21" applyNumberFormat="1"/>
    <xf numFmtId="0" fontId="4" fillId="0" borderId="0" xfId="21" applyAlignment="1">
      <alignment horizontal="center" wrapText="1"/>
    </xf>
    <xf numFmtId="0" fontId="8" fillId="0" borderId="0" xfId="21" applyFont="1" applyAlignment="1">
      <alignment horizontal="center" wrapText="1"/>
    </xf>
    <xf numFmtId="0" fontId="7" fillId="0" borderId="0" xfId="21" applyFont="1" applyAlignment="1">
      <alignment horizontal="center" wrapText="1"/>
    </xf>
    <xf numFmtId="0" fontId="8" fillId="0" borderId="0" xfId="21" quotePrefix="1" applyFont="1" applyAlignment="1">
      <alignment horizontal="center" wrapText="1"/>
    </xf>
    <xf numFmtId="10" fontId="11" fillId="7" borderId="0" xfId="21" applyNumberFormat="1" applyFont="1" applyFill="1" applyAlignment="1">
      <alignment horizontal="center"/>
    </xf>
    <xf numFmtId="0" fontId="8" fillId="7" borderId="0" xfId="21" applyFont="1" applyFill="1" applyAlignment="1">
      <alignment horizontal="center"/>
    </xf>
    <xf numFmtId="166" fontId="8" fillId="0" borderId="0" xfId="21" applyNumberFormat="1" applyFont="1" applyFill="1" applyAlignment="1">
      <alignment horizontal="center"/>
    </xf>
    <xf numFmtId="15" fontId="8" fillId="0" borderId="0" xfId="21" applyNumberFormat="1" applyFont="1" applyAlignment="1">
      <alignment horizontal="left"/>
    </xf>
    <xf numFmtId="8" fontId="5" fillId="0" borderId="0" xfId="21" applyNumberFormat="1" applyFont="1" applyAlignment="1">
      <alignment horizontal="center"/>
    </xf>
    <xf numFmtId="166" fontId="5" fillId="6" borderId="0" xfId="21" applyNumberFormat="1" applyFont="1" applyFill="1" applyAlignment="1">
      <alignment horizontal="center"/>
    </xf>
    <xf numFmtId="15" fontId="8" fillId="0" borderId="0" xfId="21" applyNumberFormat="1" applyFont="1" applyFill="1" applyAlignment="1">
      <alignment horizontal="left"/>
    </xf>
    <xf numFmtId="0" fontId="4" fillId="0" borderId="0" xfId="21" applyFill="1" applyAlignment="1">
      <alignment horizontal="center"/>
    </xf>
    <xf numFmtId="168" fontId="5" fillId="0" borderId="0" xfId="21" applyNumberFormat="1" applyFont="1" applyAlignment="1">
      <alignment horizontal="center"/>
    </xf>
    <xf numFmtId="166" fontId="5" fillId="3" borderId="0" xfId="21" applyNumberFormat="1" applyFont="1" applyFill="1" applyAlignment="1">
      <alignment horizontal="center"/>
    </xf>
    <xf numFmtId="168" fontId="4" fillId="0" borderId="0" xfId="21" applyNumberFormat="1"/>
    <xf numFmtId="166" fontId="4" fillId="0" borderId="0" xfId="21" applyNumberFormat="1"/>
    <xf numFmtId="166" fontId="8" fillId="5" borderId="0" xfId="21" applyNumberFormat="1" applyFont="1" applyFill="1" applyAlignment="1">
      <alignment horizontal="center"/>
    </xf>
    <xf numFmtId="168" fontId="5" fillId="0" borderId="0" xfId="21" applyNumberFormat="1" applyFont="1"/>
    <xf numFmtId="166" fontId="5" fillId="0" borderId="0" xfId="21" applyNumberFormat="1" applyFont="1"/>
    <xf numFmtId="168" fontId="14" fillId="0" borderId="0" xfId="21" applyNumberFormat="1" applyFont="1" applyAlignment="1">
      <alignment horizontal="center"/>
    </xf>
    <xf numFmtId="169" fontId="5" fillId="0" borderId="0" xfId="21" applyNumberFormat="1" applyFont="1" applyAlignment="1">
      <alignment horizontal="center"/>
    </xf>
    <xf numFmtId="169" fontId="5" fillId="5" borderId="0" xfId="21" applyNumberFormat="1" applyFont="1" applyFill="1" applyAlignment="1">
      <alignment horizontal="center"/>
    </xf>
    <xf numFmtId="166" fontId="5" fillId="5" borderId="0" xfId="21" applyNumberFormat="1" applyFont="1" applyFill="1" applyAlignment="1">
      <alignment horizontal="center"/>
    </xf>
    <xf numFmtId="166" fontId="15" fillId="6" borderId="0" xfId="21" applyNumberFormat="1" applyFont="1" applyFill="1" applyAlignment="1">
      <alignment horizontal="center"/>
    </xf>
    <xf numFmtId="166" fontId="15" fillId="3" borderId="0" xfId="21" applyNumberFormat="1" applyFont="1" applyFill="1" applyAlignment="1">
      <alignment horizontal="center"/>
    </xf>
    <xf numFmtId="168" fontId="15" fillId="0" borderId="0" xfId="21" applyNumberFormat="1" applyFont="1" applyAlignment="1">
      <alignment horizontal="center"/>
    </xf>
    <xf numFmtId="166" fontId="15" fillId="0" borderId="0" xfId="21" applyNumberFormat="1" applyFont="1" applyAlignment="1">
      <alignment horizontal="center"/>
    </xf>
    <xf numFmtId="169" fontId="15" fillId="0" borderId="0" xfId="21" applyNumberFormat="1" applyFont="1" applyAlignment="1">
      <alignment horizontal="center"/>
    </xf>
    <xf numFmtId="166" fontId="16" fillId="5" borderId="0" xfId="21" applyNumberFormat="1" applyFont="1" applyFill="1" applyAlignment="1">
      <alignment horizontal="center"/>
    </xf>
    <xf numFmtId="0" fontId="8" fillId="6" borderId="0" xfId="21" applyFont="1" applyFill="1" applyAlignment="1">
      <alignment horizontal="center" wrapText="1"/>
    </xf>
    <xf numFmtId="0" fontId="8" fillId="3" borderId="0" xfId="21" applyFont="1" applyFill="1" applyAlignment="1">
      <alignment horizontal="center" wrapText="1"/>
    </xf>
    <xf numFmtId="0" fontId="8" fillId="5" borderId="0" xfId="21" applyFont="1" applyFill="1" applyAlignment="1">
      <alignment horizontal="center" wrapText="1"/>
    </xf>
    <xf numFmtId="0" fontId="8" fillId="6" borderId="0" xfId="21" quotePrefix="1" applyFont="1" applyFill="1" applyAlignment="1">
      <alignment horizontal="center" wrapText="1"/>
    </xf>
    <xf numFmtId="0" fontId="8" fillId="2" borderId="0" xfId="21" quotePrefix="1" applyFont="1" applyFill="1" applyAlignment="1">
      <alignment horizontal="center" wrapText="1"/>
    </xf>
    <xf numFmtId="0" fontId="8" fillId="3" borderId="0" xfId="21" quotePrefix="1" applyFont="1" applyFill="1" applyAlignment="1">
      <alignment horizontal="center" wrapText="1"/>
    </xf>
    <xf numFmtId="0" fontId="8" fillId="0" borderId="0" xfId="21" applyFont="1" applyAlignment="1">
      <alignment horizontal="center"/>
    </xf>
    <xf numFmtId="10" fontId="8" fillId="0" borderId="0" xfId="21" applyNumberFormat="1" applyFont="1" applyFill="1" applyAlignment="1">
      <alignment horizontal="center"/>
    </xf>
    <xf numFmtId="0" fontId="8" fillId="0" borderId="0" xfId="21" applyFont="1" applyFill="1" applyAlignment="1">
      <alignment horizontal="center"/>
    </xf>
    <xf numFmtId="10" fontId="8" fillId="7" borderId="0" xfId="21" applyNumberFormat="1" applyFont="1" applyFill="1" applyAlignment="1">
      <alignment horizontal="center"/>
    </xf>
    <xf numFmtId="0" fontId="8" fillId="0" borderId="0" xfId="21" quotePrefix="1" applyFont="1" applyAlignment="1">
      <alignment horizontal="center"/>
    </xf>
    <xf numFmtId="1" fontId="5" fillId="0" borderId="0" xfId="21" applyNumberFormat="1" applyFont="1" applyAlignment="1">
      <alignment horizontal="center"/>
    </xf>
    <xf numFmtId="1" fontId="4" fillId="0" borderId="0" xfId="21" applyNumberFormat="1" applyAlignment="1">
      <alignment horizontal="center"/>
    </xf>
    <xf numFmtId="1" fontId="5" fillId="8" borderId="0" xfId="21" applyNumberFormat="1" applyFont="1" applyFill="1" applyAlignment="1">
      <alignment horizontal="center"/>
    </xf>
    <xf numFmtId="1" fontId="5" fillId="0" borderId="0" xfId="21" applyNumberFormat="1" applyFont="1" applyFill="1" applyAlignment="1">
      <alignment horizontal="center"/>
    </xf>
    <xf numFmtId="3" fontId="5" fillId="0" borderId="0" xfId="21" applyNumberFormat="1" applyFont="1" applyAlignment="1">
      <alignment horizontal="center"/>
    </xf>
    <xf numFmtId="3" fontId="5" fillId="0" borderId="0" xfId="21" applyNumberFormat="1" applyFont="1" applyFill="1" applyAlignment="1">
      <alignment horizontal="center"/>
    </xf>
    <xf numFmtId="3" fontId="5" fillId="8" borderId="0" xfId="21" applyNumberFormat="1" applyFont="1" applyFill="1" applyAlignment="1">
      <alignment horizontal="center"/>
    </xf>
    <xf numFmtId="170" fontId="8" fillId="5" borderId="0" xfId="21" applyNumberFormat="1" applyFont="1" applyFill="1" applyAlignment="1">
      <alignment horizontal="center"/>
    </xf>
    <xf numFmtId="3" fontId="5" fillId="5" borderId="0" xfId="21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8" fillId="5" borderId="0" xfId="21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5" borderId="0" xfId="21" applyNumberFormat="1" applyFont="1" applyFill="1" applyAlignment="1">
      <alignment horizontal="center"/>
    </xf>
    <xf numFmtId="0" fontId="7" fillId="5" borderId="0" xfId="21" applyFont="1" applyFill="1" applyAlignment="1">
      <alignment horizontal="center" wrapText="1"/>
    </xf>
    <xf numFmtId="0" fontId="8" fillId="2" borderId="0" xfId="21" applyFont="1" applyFill="1" applyAlignment="1">
      <alignment horizontal="center" wrapText="1"/>
    </xf>
    <xf numFmtId="0" fontId="5" fillId="0" borderId="0" xfId="21" applyFont="1" applyAlignment="1">
      <alignment horizontal="center" wrapText="1"/>
    </xf>
    <xf numFmtId="0" fontId="8" fillId="0" borderId="0" xfId="21" quotePrefix="1" applyFont="1" applyFill="1" applyAlignment="1">
      <alignment horizontal="center"/>
    </xf>
    <xf numFmtId="0" fontId="8" fillId="0" borderId="0" xfId="21" applyFont="1" applyFill="1" applyAlignment="1"/>
    <xf numFmtId="0" fontId="8" fillId="4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8" fillId="0" borderId="0" xfId="21" applyFont="1"/>
    <xf numFmtId="165" fontId="3" fillId="0" borderId="0" xfId="0" applyNumberFormat="1" applyFont="1" applyAlignment="1">
      <alignment horizontal="left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8" fillId="6" borderId="0" xfId="0" quotePrefix="1" applyNumberFormat="1" applyFont="1" applyFill="1" applyAlignment="1">
      <alignment horizontal="center"/>
    </xf>
    <xf numFmtId="0" fontId="8" fillId="0" borderId="0" xfId="21" applyFont="1" applyAlignment="1">
      <alignment horizontal="center"/>
    </xf>
    <xf numFmtId="0" fontId="8" fillId="5" borderId="0" xfId="21" quotePrefix="1" applyFont="1" applyFill="1" applyAlignment="1">
      <alignment horizontal="center"/>
    </xf>
    <xf numFmtId="0" fontId="8" fillId="5" borderId="0" xfId="21" applyFont="1" applyFill="1" applyAlignment="1">
      <alignment horizontal="center"/>
    </xf>
    <xf numFmtId="0" fontId="8" fillId="6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19" fillId="6" borderId="7" xfId="21" quotePrefix="1" applyFont="1" applyFill="1" applyBorder="1" applyAlignment="1">
      <alignment horizontal="center"/>
    </xf>
    <xf numFmtId="0" fontId="19" fillId="6" borderId="6" xfId="21" quotePrefix="1" applyFont="1" applyFill="1" applyBorder="1" applyAlignment="1">
      <alignment horizontal="center"/>
    </xf>
    <xf numFmtId="0" fontId="19" fillId="6" borderId="5" xfId="21" quotePrefix="1" applyFont="1" applyFill="1" applyBorder="1" applyAlignment="1">
      <alignment horizontal="center"/>
    </xf>
    <xf numFmtId="0" fontId="8" fillId="0" borderId="0" xfId="21" quotePrefix="1" applyFont="1" applyFill="1" applyAlignment="1">
      <alignment horizontal="center"/>
    </xf>
    <xf numFmtId="0" fontId="8" fillId="4" borderId="0" xfId="21" quotePrefix="1" applyFont="1" applyFill="1" applyAlignment="1">
      <alignment horizontal="center"/>
    </xf>
    <xf numFmtId="0" fontId="8" fillId="4" borderId="0" xfId="21" applyFont="1" applyFill="1" applyAlignment="1">
      <alignment horizontal="center"/>
    </xf>
  </cellXfs>
  <cellStyles count="22">
    <cellStyle name="_CC Oil" xfId="2"/>
    <cellStyle name="_DSO Oil" xfId="3"/>
    <cellStyle name="_FLCC Oil" xfId="4"/>
    <cellStyle name="_FLPEGT Oil" xfId="5"/>
    <cellStyle name="_FMCT Oil" xfId="6"/>
    <cellStyle name="_GTDW_DataTemplate" xfId="7"/>
    <cellStyle name="_Gulfstream Gas" xfId="8"/>
    <cellStyle name="_MR .7 Oil" xfId="9"/>
    <cellStyle name="_MR 1 Oil" xfId="10"/>
    <cellStyle name="_MRCT Oil" xfId="11"/>
    <cellStyle name="_MT Gulfstream Gas" xfId="12"/>
    <cellStyle name="_MT Oil" xfId="13"/>
    <cellStyle name="_OLCT Oil" xfId="14"/>
    <cellStyle name="_PE Oil" xfId="15"/>
    <cellStyle name="_PN Oil" xfId="16"/>
    <cellStyle name="_RV Oil" xfId="17"/>
    <cellStyle name="_SHCT Oil" xfId="18"/>
    <cellStyle name="_SN Oil" xfId="19"/>
    <cellStyle name="_TP Oil" xfId="20"/>
    <cellStyle name="Currency" xfId="1" builtinId="4"/>
    <cellStyle name="Normal" xfId="0" builtinId="0"/>
    <cellStyle name="Normal_060415 RAP Fuel Price Forecast Template - Case 1 (Historical Spread)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32" fmlaRange="CONTROL!$B$32:$B$34" sel="2" val="0"/>
</file>

<file path=xl/ctrlProps/ctrlProp2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3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4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5.xml><?xml version="1.0" encoding="utf-8"?>
<formControlPr xmlns="http://schemas.microsoft.com/office/spreadsheetml/2009/9/main" objectType="Drop" dropLines="2" dropStyle="combo" dx="18" fmlaLink="CONTROL!$C$38" fmlaRange="CONTROL!$B$38:$B$39" val="0"/>
</file>

<file path=xl/ctrlProps/ctrlProp6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ctrlProps/ctrlProp7.xml><?xml version="1.0" encoding="utf-8"?>
<formControlPr xmlns="http://schemas.microsoft.com/office/spreadsheetml/2009/9/main" objectType="Drop" dropLines="2" dropStyle="combo" dx="18" fmlaLink="CONTROL!$C$42" fmlaRange="CONTROL!$B$42:$B$4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7</xdr:row>
          <xdr:rowOff>76200</xdr:rowOff>
        </xdr:from>
        <xdr:to>
          <xdr:col>6</xdr:col>
          <xdr:colOff>400050</xdr:colOff>
          <xdr:row>8</xdr:row>
          <xdr:rowOff>133350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85725</xdr:rowOff>
        </xdr:from>
        <xdr:to>
          <xdr:col>7</xdr:col>
          <xdr:colOff>104775</xdr:colOff>
          <xdr:row>8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114300</xdr:rowOff>
        </xdr:from>
        <xdr:to>
          <xdr:col>8</xdr:col>
          <xdr:colOff>295275</xdr:colOff>
          <xdr:row>9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180975</xdr:rowOff>
        </xdr:from>
        <xdr:to>
          <xdr:col>8</xdr:col>
          <xdr:colOff>342900</xdr:colOff>
          <xdr:row>9</xdr:row>
          <xdr:rowOff>85725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</xdr:row>
          <xdr:rowOff>180975</xdr:rowOff>
        </xdr:from>
        <xdr:to>
          <xdr:col>9</xdr:col>
          <xdr:colOff>609600</xdr:colOff>
          <xdr:row>9</xdr:row>
          <xdr:rowOff>85725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7</xdr:row>
          <xdr:rowOff>85725</xdr:rowOff>
        </xdr:from>
        <xdr:to>
          <xdr:col>8</xdr:col>
          <xdr:colOff>600075</xdr:colOff>
          <xdr:row>8</xdr:row>
          <xdr:rowOff>171450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</xdr:row>
          <xdr:rowOff>180975</xdr:rowOff>
        </xdr:from>
        <xdr:to>
          <xdr:col>12</xdr:col>
          <xdr:colOff>323850</xdr:colOff>
          <xdr:row>9</xdr:row>
          <xdr:rowOff>66675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3.zip\2013\4.%20April\130401%202013%20-%202100%20LONG-TERM%20FORECAST%20FPL%20METHODOLOGY%20-%20To%20Dele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OIL BACKUP"/>
      <sheetName val="PIRA - LONG TERM GAS BACKUP"/>
      <sheetName val="OIL &amp; GAS SEASONALITY"/>
      <sheetName val="DISTILLATE &amp; RESIDUAL FUEL OIL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TRANSCO 4 LATERAL TO GULFSTREAM"/>
      <sheetName val="SESH TO FGT FIRM ZONE 3 MOB BAY"/>
      <sheetName val="SESH TO FTS 3"/>
      <sheetName val="SESH TO GULFSTREAM"/>
      <sheetName val="GULFSTREAM FIRM "/>
      <sheetName val="GULFSTREAM NON-FIRM"/>
      <sheetName val="GULFSTREAM NON-FIRM  BACKHAUL "/>
      <sheetName val="UPS REPLACEMENT"/>
      <sheetName val="FUTURE GAS PIPELINE"/>
      <sheetName val="Upload"/>
      <sheetName val="MOST LIKELY COAL &amp; PET COKE"/>
      <sheetName val="GULF SOUTH TO FGT Z3 MOBILE BAY"/>
      <sheetName val="GULF SOUTH TO GULFSTRE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3"/>
  <sheetViews>
    <sheetView showGridLines="0" tabSelected="1" zoomScale="75" zoomScaleNormal="75" workbookViewId="0">
      <selection sqref="A1:A6"/>
    </sheetView>
  </sheetViews>
  <sheetFormatPr defaultColWidth="8.88671875" defaultRowHeight="15.75" x14ac:dyDescent="0.25"/>
  <cols>
    <col min="1" max="1" width="8.88671875" style="1"/>
    <col min="2" max="2" width="15.5546875" style="1" bestFit="1" customWidth="1"/>
    <col min="3" max="3" width="9.5546875" style="1" bestFit="1" customWidth="1"/>
    <col min="4" max="16384" width="8.88671875" style="1"/>
  </cols>
  <sheetData>
    <row r="1" spans="1:3" x14ac:dyDescent="0.25">
      <c r="A1" s="100" t="s">
        <v>90</v>
      </c>
    </row>
    <row r="2" spans="1:3" x14ac:dyDescent="0.25">
      <c r="A2" s="100" t="s">
        <v>91</v>
      </c>
    </row>
    <row r="3" spans="1:3" x14ac:dyDescent="0.25">
      <c r="A3" s="100" t="s">
        <v>92</v>
      </c>
    </row>
    <row r="4" spans="1:3" x14ac:dyDescent="0.25">
      <c r="A4" s="100" t="s">
        <v>93</v>
      </c>
    </row>
    <row r="5" spans="1:3" x14ac:dyDescent="0.25">
      <c r="A5" s="100" t="s">
        <v>95</v>
      </c>
    </row>
    <row r="6" spans="1:3" x14ac:dyDescent="0.25">
      <c r="A6" s="100" t="s">
        <v>94</v>
      </c>
    </row>
    <row r="8" spans="1:3" x14ac:dyDescent="0.25">
      <c r="B8" s="4" t="s">
        <v>13</v>
      </c>
      <c r="C8" s="4" t="s">
        <v>2</v>
      </c>
    </row>
    <row r="9" spans="1:3" x14ac:dyDescent="0.25">
      <c r="B9" s="6" t="s">
        <v>9</v>
      </c>
      <c r="C9" s="101">
        <v>2</v>
      </c>
    </row>
    <row r="10" spans="1:3" x14ac:dyDescent="0.25">
      <c r="B10" s="6" t="s">
        <v>8</v>
      </c>
      <c r="C10" s="103"/>
    </row>
    <row r="11" spans="1:3" x14ac:dyDescent="0.25">
      <c r="B11" s="5" t="s">
        <v>7</v>
      </c>
      <c r="C11" s="102"/>
    </row>
    <row r="14" spans="1:3" x14ac:dyDescent="0.25">
      <c r="B14" s="4" t="s">
        <v>12</v>
      </c>
      <c r="C14" s="4" t="s">
        <v>2</v>
      </c>
    </row>
    <row r="15" spans="1:3" x14ac:dyDescent="0.25">
      <c r="B15" s="6" t="s">
        <v>9</v>
      </c>
      <c r="C15" s="101">
        <v>2</v>
      </c>
    </row>
    <row r="16" spans="1:3" x14ac:dyDescent="0.25">
      <c r="B16" s="6" t="s">
        <v>8</v>
      </c>
      <c r="C16" s="103"/>
    </row>
    <row r="17" spans="2:3" x14ac:dyDescent="0.25">
      <c r="B17" s="5" t="s">
        <v>7</v>
      </c>
      <c r="C17" s="102"/>
    </row>
    <row r="20" spans="2:3" x14ac:dyDescent="0.25">
      <c r="B20" s="4" t="s">
        <v>3</v>
      </c>
      <c r="C20" s="4" t="s">
        <v>2</v>
      </c>
    </row>
    <row r="21" spans="2:3" x14ac:dyDescent="0.25">
      <c r="B21" s="6" t="s">
        <v>9</v>
      </c>
      <c r="C21" s="101">
        <v>2</v>
      </c>
    </row>
    <row r="22" spans="2:3" x14ac:dyDescent="0.25">
      <c r="B22" s="6" t="s">
        <v>8</v>
      </c>
      <c r="C22" s="103"/>
    </row>
    <row r="23" spans="2:3" x14ac:dyDescent="0.25">
      <c r="B23" s="5" t="s">
        <v>7</v>
      </c>
      <c r="C23" s="102"/>
    </row>
    <row r="26" spans="2:3" x14ac:dyDescent="0.25">
      <c r="B26" s="7" t="s">
        <v>11</v>
      </c>
      <c r="C26" s="7" t="s">
        <v>2</v>
      </c>
    </row>
    <row r="27" spans="2:3" x14ac:dyDescent="0.25">
      <c r="B27" s="3" t="s">
        <v>5</v>
      </c>
      <c r="C27" s="101">
        <v>1</v>
      </c>
    </row>
    <row r="28" spans="2:3" x14ac:dyDescent="0.25">
      <c r="B28" s="2" t="s">
        <v>4</v>
      </c>
      <c r="C28" s="102"/>
    </row>
    <row r="31" spans="2:3" x14ac:dyDescent="0.25">
      <c r="B31" s="4" t="s">
        <v>10</v>
      </c>
      <c r="C31" s="4" t="s">
        <v>2</v>
      </c>
    </row>
    <row r="32" spans="2:3" x14ac:dyDescent="0.25">
      <c r="B32" s="6" t="s">
        <v>9</v>
      </c>
      <c r="C32" s="101">
        <v>2</v>
      </c>
    </row>
    <row r="33" spans="2:3" x14ac:dyDescent="0.25">
      <c r="B33" s="6" t="s">
        <v>8</v>
      </c>
      <c r="C33" s="103"/>
    </row>
    <row r="34" spans="2:3" x14ac:dyDescent="0.25">
      <c r="B34" s="5" t="s">
        <v>7</v>
      </c>
      <c r="C34" s="102"/>
    </row>
    <row r="37" spans="2:3" x14ac:dyDescent="0.25">
      <c r="B37" s="4" t="s">
        <v>6</v>
      </c>
      <c r="C37" s="4" t="s">
        <v>2</v>
      </c>
    </row>
    <row r="38" spans="2:3" x14ac:dyDescent="0.25">
      <c r="B38" s="3" t="s">
        <v>5</v>
      </c>
      <c r="C38" s="101">
        <v>1</v>
      </c>
    </row>
    <row r="39" spans="2:3" x14ac:dyDescent="0.25">
      <c r="B39" s="2" t="s">
        <v>4</v>
      </c>
      <c r="C39" s="102"/>
    </row>
    <row r="41" spans="2:3" x14ac:dyDescent="0.25">
      <c r="B41" s="4" t="s">
        <v>3</v>
      </c>
      <c r="C41" s="4" t="s">
        <v>2</v>
      </c>
    </row>
    <row r="42" spans="2:3" x14ac:dyDescent="0.25">
      <c r="B42" s="3" t="s">
        <v>1</v>
      </c>
      <c r="C42" s="101">
        <v>1</v>
      </c>
    </row>
    <row r="43" spans="2:3" x14ac:dyDescent="0.25">
      <c r="B43" s="2" t="s">
        <v>0</v>
      </c>
      <c r="C43" s="102"/>
    </row>
  </sheetData>
  <mergeCells count="7">
    <mergeCell ref="C42:C43"/>
    <mergeCell ref="C32:C34"/>
    <mergeCell ref="C38:C39"/>
    <mergeCell ref="C9:C11"/>
    <mergeCell ref="C15:C17"/>
    <mergeCell ref="C21:C23"/>
    <mergeCell ref="C27:C28"/>
  </mergeCells>
  <pageMargins left="0.25" right="0.25" top="0.5" bottom="0.5" header="0.25" footer="0.25"/>
  <pageSetup scale="7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1158"/>
  <sheetViews>
    <sheetView zoomScale="75" zoomScaleNormal="75" workbookViewId="0">
      <pane xSplit="1" ySplit="13" topLeftCell="B14" activePane="bottomRight" state="frozen"/>
      <selection activeCell="B1" sqref="B1"/>
      <selection pane="topRight" activeCell="B1" sqref="B1"/>
      <selection pane="bottomLeft" activeCell="B1" sqref="B1"/>
      <selection pane="bottomRight" activeCell="B14" sqref="B14"/>
    </sheetView>
  </sheetViews>
  <sheetFormatPr defaultColWidth="7.109375" defaultRowHeight="12.75" x14ac:dyDescent="0.2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 x14ac:dyDescent="0.25">
      <c r="A1" s="100" t="s">
        <v>90</v>
      </c>
    </row>
    <row r="2" spans="1:19" ht="15.75" x14ac:dyDescent="0.25">
      <c r="A2" s="100" t="s">
        <v>91</v>
      </c>
    </row>
    <row r="3" spans="1:19" ht="15.75" x14ac:dyDescent="0.25">
      <c r="A3" s="100" t="s">
        <v>92</v>
      </c>
    </row>
    <row r="4" spans="1:19" ht="15.75" x14ac:dyDescent="0.25">
      <c r="A4" s="100" t="s">
        <v>93</v>
      </c>
    </row>
    <row r="5" spans="1:19" ht="15.75" x14ac:dyDescent="0.25">
      <c r="A5" s="100" t="s">
        <v>95</v>
      </c>
    </row>
    <row r="6" spans="1:19" ht="15.75" x14ac:dyDescent="0.25">
      <c r="A6" s="100" t="s">
        <v>96</v>
      </c>
    </row>
    <row r="7" spans="1:19" ht="20.25" x14ac:dyDescent="0.3">
      <c r="A7" s="30"/>
    </row>
    <row r="8" spans="1:19" ht="18" x14ac:dyDescent="0.25">
      <c r="A8" s="29" t="s">
        <v>27</v>
      </c>
      <c r="B8" s="29"/>
      <c r="H8" s="26" t="s">
        <v>26</v>
      </c>
    </row>
    <row r="9" spans="1:19" ht="18" x14ac:dyDescent="0.25">
      <c r="A9" s="29"/>
      <c r="B9" s="28" t="s">
        <v>25</v>
      </c>
      <c r="C9" s="27">
        <f>1-0.149</f>
        <v>0.85099999999999998</v>
      </c>
      <c r="D9" s="28" t="s">
        <v>24</v>
      </c>
      <c r="E9" s="27">
        <v>1.149</v>
      </c>
      <c r="H9" s="26"/>
      <c r="P9" s="105"/>
      <c r="Q9" s="105"/>
      <c r="R9" s="105"/>
      <c r="S9" s="105"/>
    </row>
    <row r="10" spans="1:19" ht="15.75" x14ac:dyDescent="0.25">
      <c r="B10" s="104" t="s">
        <v>23</v>
      </c>
      <c r="C10" s="104"/>
      <c r="D10" s="104"/>
      <c r="E10" s="106" t="s">
        <v>22</v>
      </c>
      <c r="F10" s="106"/>
      <c r="G10" s="107"/>
      <c r="H10" s="108" t="s">
        <v>21</v>
      </c>
      <c r="I10" s="108"/>
      <c r="J10" s="108"/>
      <c r="K10" s="108"/>
      <c r="L10" s="107" t="s">
        <v>20</v>
      </c>
      <c r="M10" s="107"/>
      <c r="N10" s="107"/>
      <c r="O10" s="107"/>
      <c r="P10" s="105"/>
      <c r="Q10" s="105"/>
      <c r="R10" s="105"/>
      <c r="S10" s="105"/>
    </row>
    <row r="11" spans="1:19" ht="63" x14ac:dyDescent="0.25">
      <c r="B11" s="25" t="s">
        <v>19</v>
      </c>
      <c r="C11" s="24" t="s">
        <v>17</v>
      </c>
      <c r="D11" s="23" t="s">
        <v>16</v>
      </c>
      <c r="E11" s="25" t="s">
        <v>19</v>
      </c>
      <c r="F11" s="24" t="s">
        <v>17</v>
      </c>
      <c r="G11" s="23" t="s">
        <v>16</v>
      </c>
      <c r="H11" s="25" t="s">
        <v>19</v>
      </c>
      <c r="I11" s="25" t="s">
        <v>18</v>
      </c>
      <c r="J11" s="24" t="s">
        <v>17</v>
      </c>
      <c r="K11" s="23" t="s">
        <v>16</v>
      </c>
      <c r="L11" s="25" t="s">
        <v>19</v>
      </c>
      <c r="M11" s="25" t="s">
        <v>18</v>
      </c>
      <c r="N11" s="24" t="s">
        <v>17</v>
      </c>
      <c r="O11" s="23" t="s">
        <v>16</v>
      </c>
      <c r="P11" s="22"/>
      <c r="Q11" s="18"/>
      <c r="R11" s="18"/>
      <c r="S11" s="18"/>
    </row>
    <row r="12" spans="1:19" ht="13.5" customHeight="1" x14ac:dyDescent="0.25">
      <c r="B12" s="21"/>
      <c r="C12" s="20"/>
      <c r="D12" s="19"/>
      <c r="E12" s="21"/>
      <c r="F12" s="20"/>
      <c r="G12" s="19"/>
      <c r="H12" s="21"/>
      <c r="I12" s="21"/>
      <c r="J12" s="20"/>
      <c r="K12" s="19"/>
      <c r="L12" s="21"/>
      <c r="M12" s="21"/>
      <c r="N12" s="20"/>
      <c r="O12" s="19"/>
      <c r="P12" s="18"/>
      <c r="Q12" s="17"/>
      <c r="R12" s="17"/>
      <c r="S12" s="17"/>
    </row>
    <row r="13" spans="1:19" ht="20.25" x14ac:dyDescent="0.55000000000000004">
      <c r="A13" s="16" t="s">
        <v>15</v>
      </c>
      <c r="B13" s="15" t="s">
        <v>14</v>
      </c>
      <c r="C13" s="15" t="s">
        <v>14</v>
      </c>
      <c r="D13" s="15" t="s">
        <v>14</v>
      </c>
      <c r="E13" s="15" t="s">
        <v>14</v>
      </c>
      <c r="F13" s="15" t="s">
        <v>14</v>
      </c>
      <c r="G13" s="15" t="s">
        <v>14</v>
      </c>
      <c r="H13" s="15" t="s">
        <v>14</v>
      </c>
      <c r="I13" s="15" t="s">
        <v>14</v>
      </c>
      <c r="J13" s="15" t="s">
        <v>14</v>
      </c>
      <c r="K13" s="15" t="s">
        <v>14</v>
      </c>
      <c r="L13" s="15" t="s">
        <v>14</v>
      </c>
      <c r="M13" s="15" t="s">
        <v>14</v>
      </c>
      <c r="N13" s="15" t="s">
        <v>14</v>
      </c>
      <c r="O13" s="15" t="s">
        <v>14</v>
      </c>
      <c r="P13" s="15"/>
      <c r="Q13" s="15"/>
      <c r="R13" s="15"/>
      <c r="S13" s="15"/>
    </row>
    <row r="14" spans="1:19" ht="15" x14ac:dyDescent="0.2">
      <c r="A14" s="13">
        <v>41275</v>
      </c>
      <c r="B14" s="9">
        <f>2.2699 * CHOOSE(CONTROL!$C$32, $C$9, 100%, $E$9)</f>
        <v>2.2698999999999998</v>
      </c>
      <c r="C14" s="9">
        <f>2.2008 * CHOOSE(CONTROL!$C$32, $C$9, 100%, $E$9)</f>
        <v>2.2008000000000001</v>
      </c>
      <c r="D14" s="9">
        <f>2.2354 * CHOOSE(CONTROL!$C$32, $C$9, 100%, $E$9)</f>
        <v>2.2353999999999998</v>
      </c>
      <c r="E14" s="11">
        <f>3.5217 * CHOOSE(CONTROL!$C$32, $C$9, 100%, $E$9)</f>
        <v>3.5217000000000001</v>
      </c>
      <c r="F14" s="11">
        <f>3.0912 * CHOOSE(CONTROL!$C$32, $C$9, 100%, $E$9)</f>
        <v>3.0912000000000002</v>
      </c>
      <c r="G14" s="11">
        <f>3.1027 * CHOOSE(CONTROL!$C$32, $C$9, 100%, $E$9)</f>
        <v>3.1027</v>
      </c>
      <c r="H14" s="11">
        <f>5.79 * CHOOSE(CONTROL!$C$32, $C$9, 100%, $E$9)</f>
        <v>5.79</v>
      </c>
      <c r="I14" s="11">
        <f>5.8015 * CHOOSE(CONTROL!$C$32, $C$9, 100%, $E$9)</f>
        <v>5.8014999999999999</v>
      </c>
      <c r="J14" s="11">
        <f>5.79 * CHOOSE(CONTROL!$C$32, $C$9, 100%, $E$9)</f>
        <v>5.79</v>
      </c>
      <c r="K14" s="11">
        <f>5.8015 * CHOOSE(CONTROL!$C$32, $C$9, 100%, $E$9)</f>
        <v>5.8014999999999999</v>
      </c>
      <c r="L14" s="11">
        <f>3.5217 * CHOOSE(CONTROL!$C$32, $C$9, 100%, $E$9)</f>
        <v>3.5217000000000001</v>
      </c>
      <c r="M14" s="11">
        <f>3.5333 * CHOOSE(CONTROL!$C$32, $C$9, 100%, $E$9)</f>
        <v>3.5333000000000001</v>
      </c>
      <c r="N14" s="11">
        <f>3.5217 * CHOOSE(CONTROL!$C$32, $C$9, 100%, $E$9)</f>
        <v>3.5217000000000001</v>
      </c>
      <c r="O14" s="11">
        <f>3.5333 * CHOOSE(CONTROL!$C$32, $C$9, 100%, $E$9)</f>
        <v>3.5333000000000001</v>
      </c>
      <c r="P14" s="14"/>
      <c r="Q14" s="11"/>
      <c r="R14" s="11"/>
    </row>
    <row r="15" spans="1:19" ht="15" x14ac:dyDescent="0.2">
      <c r="A15" s="13">
        <v>41306</v>
      </c>
      <c r="B15" s="9">
        <f>2.2758 * CHOOSE(CONTROL!$C$32, $C$9, 100%, $E$9)</f>
        <v>2.2757999999999998</v>
      </c>
      <c r="C15" s="9">
        <f>2.2117 * CHOOSE(CONTROL!$C$32, $C$9, 100%, $E$9)</f>
        <v>2.2117</v>
      </c>
      <c r="D15" s="9">
        <f>2.2463 * CHOOSE(CONTROL!$C$32, $C$9, 100%, $E$9)</f>
        <v>2.2463000000000002</v>
      </c>
      <c r="E15" s="11">
        <f>3.4548 * CHOOSE(CONTROL!$C$32, $C$9, 100%, $E$9)</f>
        <v>3.4548000000000001</v>
      </c>
      <c r="F15" s="11">
        <f>3.0912 * CHOOSE(CONTROL!$C$32, $C$9, 100%, $E$9)</f>
        <v>3.0912000000000002</v>
      </c>
      <c r="G15" s="11">
        <f>3.1027 * CHOOSE(CONTROL!$C$32, $C$9, 100%, $E$9)</f>
        <v>3.1027</v>
      </c>
      <c r="H15" s="11">
        <f>5.79 * CHOOSE(CONTROL!$C$32, $C$9, 100%, $E$9)</f>
        <v>5.79</v>
      </c>
      <c r="I15" s="11">
        <f>5.8015 * CHOOSE(CONTROL!$C$32, $C$9, 100%, $E$9)</f>
        <v>5.8014999999999999</v>
      </c>
      <c r="J15" s="11">
        <f>5.79 * CHOOSE(CONTROL!$C$32, $C$9, 100%, $E$9)</f>
        <v>5.79</v>
      </c>
      <c r="K15" s="11">
        <f>5.8015 * CHOOSE(CONTROL!$C$32, $C$9, 100%, $E$9)</f>
        <v>5.8014999999999999</v>
      </c>
      <c r="L15" s="11">
        <f>3.4548 * CHOOSE(CONTROL!$C$32, $C$9, 100%, $E$9)</f>
        <v>3.4548000000000001</v>
      </c>
      <c r="M15" s="11">
        <f>3.4663 * CHOOSE(CONTROL!$C$32, $C$9, 100%, $E$9)</f>
        <v>3.4662999999999999</v>
      </c>
      <c r="N15" s="11">
        <f>3.4548 * CHOOSE(CONTROL!$C$32, $C$9, 100%, $E$9)</f>
        <v>3.4548000000000001</v>
      </c>
      <c r="O15" s="11">
        <f>3.4663 * CHOOSE(CONTROL!$C$32, $C$9, 100%, $E$9)</f>
        <v>3.4662999999999999</v>
      </c>
      <c r="P15" s="14"/>
      <c r="Q15" s="11"/>
      <c r="R15" s="11"/>
    </row>
    <row r="16" spans="1:19" ht="15" x14ac:dyDescent="0.2">
      <c r="A16" s="13">
        <v>41334</v>
      </c>
      <c r="B16" s="9">
        <f>2.2895 * CHOOSE(CONTROL!$C$32, $C$9, 100%, $E$9)</f>
        <v>2.2894999999999999</v>
      </c>
      <c r="C16" s="9">
        <f>2.2178 * CHOOSE(CONTROL!$C$32, $C$9, 100%, $E$9)</f>
        <v>2.2178</v>
      </c>
      <c r="D16" s="9">
        <f>2.2524 * CHOOSE(CONTROL!$C$32, $C$9, 100%, $E$9)</f>
        <v>2.2524000000000002</v>
      </c>
      <c r="E16" s="11">
        <f>3.4548 * CHOOSE(CONTROL!$C$32, $C$9, 100%, $E$9)</f>
        <v>3.4548000000000001</v>
      </c>
      <c r="F16" s="11">
        <f>3.0866 * CHOOSE(CONTROL!$C$32, $C$9, 100%, $E$9)</f>
        <v>3.0865999999999998</v>
      </c>
      <c r="G16" s="11">
        <f>3.0981 * CHOOSE(CONTROL!$C$32, $C$9, 100%, $E$9)</f>
        <v>3.0981000000000001</v>
      </c>
      <c r="H16" s="11">
        <f>5.79 * CHOOSE(CONTROL!$C$32, $C$9, 100%, $E$9)</f>
        <v>5.79</v>
      </c>
      <c r="I16" s="11">
        <f>5.8015 * CHOOSE(CONTROL!$C$32, $C$9, 100%, $E$9)</f>
        <v>5.8014999999999999</v>
      </c>
      <c r="J16" s="11">
        <f>5.79 * CHOOSE(CONTROL!$C$32, $C$9, 100%, $E$9)</f>
        <v>5.79</v>
      </c>
      <c r="K16" s="11">
        <f>5.8015 * CHOOSE(CONTROL!$C$32, $C$9, 100%, $E$9)</f>
        <v>5.8014999999999999</v>
      </c>
      <c r="L16" s="11">
        <f>3.4548 * CHOOSE(CONTROL!$C$32, $C$9, 100%, $E$9)</f>
        <v>3.4548000000000001</v>
      </c>
      <c r="M16" s="11">
        <f>3.4663 * CHOOSE(CONTROL!$C$32, $C$9, 100%, $E$9)</f>
        <v>3.4662999999999999</v>
      </c>
      <c r="N16" s="11">
        <f>3.4548 * CHOOSE(CONTROL!$C$32, $C$9, 100%, $E$9)</f>
        <v>3.4548000000000001</v>
      </c>
      <c r="O16" s="11">
        <f>3.4663 * CHOOSE(CONTROL!$C$32, $C$9, 100%, $E$9)</f>
        <v>3.4662999999999999</v>
      </c>
      <c r="P16" s="14"/>
      <c r="Q16" s="11"/>
      <c r="R16" s="11"/>
    </row>
    <row r="17" spans="1:18" ht="15" x14ac:dyDescent="0.2">
      <c r="A17" s="13">
        <v>41365</v>
      </c>
      <c r="B17" s="9">
        <f>2.2879 * CHOOSE(CONTROL!$C$32, $C$9, 100%, $E$9)</f>
        <v>2.2879</v>
      </c>
      <c r="C17" s="9">
        <f>2.1959 * CHOOSE(CONTROL!$C$32, $C$9, 100%, $E$9)</f>
        <v>2.1959</v>
      </c>
      <c r="D17" s="9">
        <f>2.2305 * CHOOSE(CONTROL!$C$32, $C$9, 100%, $E$9)</f>
        <v>2.2305000000000001</v>
      </c>
      <c r="E17" s="11">
        <f>3.4508 * CHOOSE(CONTROL!$C$32, $C$9, 100%, $E$9)</f>
        <v>3.4508000000000001</v>
      </c>
      <c r="F17" s="11">
        <f>3.0772 * CHOOSE(CONTROL!$C$32, $C$9, 100%, $E$9)</f>
        <v>3.0771999999999999</v>
      </c>
      <c r="G17" s="11">
        <f>3.0887 * CHOOSE(CONTROL!$C$32, $C$9, 100%, $E$9)</f>
        <v>3.0886999999999998</v>
      </c>
      <c r="H17" s="11">
        <f>5.8021 * CHOOSE(CONTROL!$C$32, $C$9, 100%, $E$9)</f>
        <v>5.8021000000000003</v>
      </c>
      <c r="I17" s="11">
        <f>5.8136 * CHOOSE(CONTROL!$C$32, $C$9, 100%, $E$9)</f>
        <v>5.8136000000000001</v>
      </c>
      <c r="J17" s="11">
        <f>5.8021 * CHOOSE(CONTROL!$C$32, $C$9, 100%, $E$9)</f>
        <v>5.8021000000000003</v>
      </c>
      <c r="K17" s="11">
        <f>5.8136 * CHOOSE(CONTROL!$C$32, $C$9, 100%, $E$9)</f>
        <v>5.8136000000000001</v>
      </c>
      <c r="L17" s="11">
        <f>3.4508 * CHOOSE(CONTROL!$C$32, $C$9, 100%, $E$9)</f>
        <v>3.4508000000000001</v>
      </c>
      <c r="M17" s="11">
        <f>3.4623 * CHOOSE(CONTROL!$C$32, $C$9, 100%, $E$9)</f>
        <v>3.4622999999999999</v>
      </c>
      <c r="N17" s="11">
        <f>3.4508 * CHOOSE(CONTROL!$C$32, $C$9, 100%, $E$9)</f>
        <v>3.4508000000000001</v>
      </c>
      <c r="O17" s="11">
        <f>3.4623 * CHOOSE(CONTROL!$C$32, $C$9, 100%, $E$9)</f>
        <v>3.4622999999999999</v>
      </c>
      <c r="P17" s="14"/>
      <c r="Q17" s="11"/>
      <c r="R17" s="11"/>
    </row>
    <row r="18" spans="1:18" ht="15" x14ac:dyDescent="0.2">
      <c r="A18" s="13">
        <v>41395</v>
      </c>
      <c r="B18" s="9">
        <f>2.2947 * CHOOSE(CONTROL!$C$32, $C$9, 100%, $E$9)</f>
        <v>2.2947000000000002</v>
      </c>
      <c r="C18" s="9">
        <f>2.19 * CHOOSE(CONTROL!$C$32, $C$9, 100%, $E$9)</f>
        <v>2.19</v>
      </c>
      <c r="D18" s="9">
        <f>2.2354 * CHOOSE(CONTROL!$C$32, $C$9, 100%, $E$9)</f>
        <v>2.2353999999999998</v>
      </c>
      <c r="E18" s="11">
        <f>3.4702 * CHOOSE(CONTROL!$C$32, $C$9, 100%, $E$9)</f>
        <v>3.4702000000000002</v>
      </c>
      <c r="F18" s="11">
        <f>3.084 * CHOOSE(CONTROL!$C$32, $C$9, 100%, $E$9)</f>
        <v>3.0840000000000001</v>
      </c>
      <c r="G18" s="11">
        <f>3.0991 * CHOOSE(CONTROL!$C$32, $C$9, 100%, $E$9)</f>
        <v>3.0991</v>
      </c>
      <c r="H18" s="11">
        <f>5.8142 * CHOOSE(CONTROL!$C$32, $C$9, 100%, $E$9)</f>
        <v>5.8141999999999996</v>
      </c>
      <c r="I18" s="11">
        <f>5.8292 * CHOOSE(CONTROL!$C$32, $C$9, 100%, $E$9)</f>
        <v>5.8292000000000002</v>
      </c>
      <c r="J18" s="11">
        <f>5.8142 * CHOOSE(CONTROL!$C$32, $C$9, 100%, $E$9)</f>
        <v>5.8141999999999996</v>
      </c>
      <c r="K18" s="11">
        <f>5.8292 * CHOOSE(CONTROL!$C$32, $C$9, 100%, $E$9)</f>
        <v>5.8292000000000002</v>
      </c>
      <c r="L18" s="11">
        <f>3.4702 * CHOOSE(CONTROL!$C$32, $C$9, 100%, $E$9)</f>
        <v>3.4702000000000002</v>
      </c>
      <c r="M18" s="11">
        <f>3.4852 * CHOOSE(CONTROL!$C$32, $C$9, 100%, $E$9)</f>
        <v>3.4851999999999999</v>
      </c>
      <c r="N18" s="11">
        <f>3.4702 * CHOOSE(CONTROL!$C$32, $C$9, 100%, $E$9)</f>
        <v>3.4702000000000002</v>
      </c>
      <c r="O18" s="11">
        <f>3.4852 * CHOOSE(CONTROL!$C$32, $C$9, 100%, $E$9)</f>
        <v>3.4851999999999999</v>
      </c>
      <c r="P18" s="14"/>
      <c r="Q18" s="11"/>
      <c r="R18" s="11"/>
    </row>
    <row r="19" spans="1:18" ht="15" x14ac:dyDescent="0.2">
      <c r="A19" s="13">
        <v>41426</v>
      </c>
      <c r="B19" s="9">
        <f>2.296 * CHOOSE(CONTROL!$C$32, $C$9, 100%, $E$9)</f>
        <v>2.2959999999999998</v>
      </c>
      <c r="C19" s="9">
        <f>2.1989 * CHOOSE(CONTROL!$C$32, $C$9, 100%, $E$9)</f>
        <v>2.1989000000000001</v>
      </c>
      <c r="D19" s="9">
        <f>2.2443 * CHOOSE(CONTROL!$C$32, $C$9, 100%, $E$9)</f>
        <v>2.2443</v>
      </c>
      <c r="E19" s="11">
        <f>3.4782 * CHOOSE(CONTROL!$C$32, $C$9, 100%, $E$9)</f>
        <v>3.4782000000000002</v>
      </c>
      <c r="F19" s="11">
        <f>3.109 * CHOOSE(CONTROL!$C$32, $C$9, 100%, $E$9)</f>
        <v>3.109</v>
      </c>
      <c r="G19" s="11">
        <f>3.1241 * CHOOSE(CONTROL!$C$32, $C$9, 100%, $E$9)</f>
        <v>3.1240999999999999</v>
      </c>
      <c r="H19" s="11">
        <f>5.8263 * CHOOSE(CONTROL!$C$32, $C$9, 100%, $E$9)</f>
        <v>5.8262999999999998</v>
      </c>
      <c r="I19" s="11">
        <f>5.8413 * CHOOSE(CONTROL!$C$32, $C$9, 100%, $E$9)</f>
        <v>5.8413000000000004</v>
      </c>
      <c r="J19" s="11">
        <f>5.8263 * CHOOSE(CONTROL!$C$32, $C$9, 100%, $E$9)</f>
        <v>5.8262999999999998</v>
      </c>
      <c r="K19" s="11">
        <f>5.8413 * CHOOSE(CONTROL!$C$32, $C$9, 100%, $E$9)</f>
        <v>5.8413000000000004</v>
      </c>
      <c r="L19" s="11">
        <f>3.4782 * CHOOSE(CONTROL!$C$32, $C$9, 100%, $E$9)</f>
        <v>3.4782000000000002</v>
      </c>
      <c r="M19" s="11">
        <f>3.4933 * CHOOSE(CONTROL!$C$32, $C$9, 100%, $E$9)</f>
        <v>3.4933000000000001</v>
      </c>
      <c r="N19" s="11">
        <f>3.4782 * CHOOSE(CONTROL!$C$32, $C$9, 100%, $E$9)</f>
        <v>3.4782000000000002</v>
      </c>
      <c r="O19" s="11">
        <f>3.4933 * CHOOSE(CONTROL!$C$32, $C$9, 100%, $E$9)</f>
        <v>3.4933000000000001</v>
      </c>
      <c r="P19" s="14"/>
      <c r="Q19" s="11"/>
      <c r="R19" s="11"/>
    </row>
    <row r="20" spans="1:18" ht="15" x14ac:dyDescent="0.2">
      <c r="A20" s="13">
        <v>41456</v>
      </c>
      <c r="B20" s="9">
        <f>2.3 * CHOOSE(CONTROL!$C$32, $C$9, 100%, $E$9)</f>
        <v>2.2999999999999998</v>
      </c>
      <c r="C20" s="9">
        <f>2.2233 * CHOOSE(CONTROL!$C$32, $C$9, 100%, $E$9)</f>
        <v>2.2233000000000001</v>
      </c>
      <c r="D20" s="9">
        <f>2.2687 * CHOOSE(CONTROL!$C$32, $C$9, 100%, $E$9)</f>
        <v>2.2686999999999999</v>
      </c>
      <c r="E20" s="11">
        <f>3.4973 * CHOOSE(CONTROL!$C$32, $C$9, 100%, $E$9)</f>
        <v>3.4973000000000001</v>
      </c>
      <c r="F20" s="11">
        <f>3.1418 * CHOOSE(CONTROL!$C$32, $C$9, 100%, $E$9)</f>
        <v>3.1417999999999999</v>
      </c>
      <c r="G20" s="11">
        <f>3.1569 * CHOOSE(CONTROL!$C$32, $C$9, 100%, $E$9)</f>
        <v>3.1568999999999998</v>
      </c>
      <c r="H20" s="11">
        <f>5.8384 * CHOOSE(CONTROL!$C$32, $C$9, 100%, $E$9)</f>
        <v>5.8384</v>
      </c>
      <c r="I20" s="11">
        <f>5.8535 * CHOOSE(CONTROL!$C$32, $C$9, 100%, $E$9)</f>
        <v>5.8535000000000004</v>
      </c>
      <c r="J20" s="11">
        <f>5.8384 * CHOOSE(CONTROL!$C$32, $C$9, 100%, $E$9)</f>
        <v>5.8384</v>
      </c>
      <c r="K20" s="11">
        <f>5.8535 * CHOOSE(CONTROL!$C$32, $C$9, 100%, $E$9)</f>
        <v>5.8535000000000004</v>
      </c>
      <c r="L20" s="11">
        <f>3.4973 * CHOOSE(CONTROL!$C$32, $C$9, 100%, $E$9)</f>
        <v>3.4973000000000001</v>
      </c>
      <c r="M20" s="11">
        <f>3.5123 * CHOOSE(CONTROL!$C$32, $C$9, 100%, $E$9)</f>
        <v>3.5123000000000002</v>
      </c>
      <c r="N20" s="11">
        <f>3.4973 * CHOOSE(CONTROL!$C$32, $C$9, 100%, $E$9)</f>
        <v>3.4973000000000001</v>
      </c>
      <c r="O20" s="11">
        <f>3.5123 * CHOOSE(CONTROL!$C$32, $C$9, 100%, $E$9)</f>
        <v>3.5123000000000002</v>
      </c>
      <c r="P20" s="14"/>
      <c r="Q20" s="11"/>
      <c r="R20" s="11"/>
    </row>
    <row r="21" spans="1:18" ht="15" x14ac:dyDescent="0.2">
      <c r="A21" s="13">
        <v>41487</v>
      </c>
      <c r="B21" s="9">
        <f>2.3085 * CHOOSE(CONTROL!$C$32, $C$9, 100%, $E$9)</f>
        <v>2.3085</v>
      </c>
      <c r="C21" s="9">
        <f>2.2521 * CHOOSE(CONTROL!$C$32, $C$9, 100%, $E$9)</f>
        <v>2.2521</v>
      </c>
      <c r="D21" s="9">
        <f>2.2975 * CHOOSE(CONTROL!$C$32, $C$9, 100%, $E$9)</f>
        <v>2.2974999999999999</v>
      </c>
      <c r="E21" s="11">
        <f>3.499 * CHOOSE(CONTROL!$C$32, $C$9, 100%, $E$9)</f>
        <v>3.4990000000000001</v>
      </c>
      <c r="F21" s="11">
        <f>3.1759 * CHOOSE(CONTROL!$C$32, $C$9, 100%, $E$9)</f>
        <v>3.1758999999999999</v>
      </c>
      <c r="G21" s="11">
        <f>3.191 * CHOOSE(CONTROL!$C$32, $C$9, 100%, $E$9)</f>
        <v>3.1909999999999998</v>
      </c>
      <c r="H21" s="11">
        <f>5.8506 * CHOOSE(CONTROL!$C$32, $C$9, 100%, $E$9)</f>
        <v>5.8506</v>
      </c>
      <c r="I21" s="11">
        <f>5.8656 * CHOOSE(CONTROL!$C$32, $C$9, 100%, $E$9)</f>
        <v>5.8655999999999997</v>
      </c>
      <c r="J21" s="11">
        <f>5.8506 * CHOOSE(CONTROL!$C$32, $C$9, 100%, $E$9)</f>
        <v>5.8506</v>
      </c>
      <c r="K21" s="11">
        <f>5.8656 * CHOOSE(CONTROL!$C$32, $C$9, 100%, $E$9)</f>
        <v>5.8655999999999997</v>
      </c>
      <c r="L21" s="11">
        <f>3.499 * CHOOSE(CONTROL!$C$32, $C$9, 100%, $E$9)</f>
        <v>3.4990000000000001</v>
      </c>
      <c r="M21" s="11">
        <f>3.5141 * CHOOSE(CONTROL!$C$32, $C$9, 100%, $E$9)</f>
        <v>3.5141</v>
      </c>
      <c r="N21" s="11">
        <f>3.499 * CHOOSE(CONTROL!$C$32, $C$9, 100%, $E$9)</f>
        <v>3.4990000000000001</v>
      </c>
      <c r="O21" s="11">
        <f>3.5141 * CHOOSE(CONTROL!$C$32, $C$9, 100%, $E$9)</f>
        <v>3.5141</v>
      </c>
      <c r="P21" s="14"/>
      <c r="Q21" s="11"/>
      <c r="R21" s="11"/>
    </row>
    <row r="22" spans="1:18" ht="15" x14ac:dyDescent="0.2">
      <c r="A22" s="13">
        <v>41518</v>
      </c>
      <c r="B22" s="9">
        <f>2.3073 * CHOOSE(CONTROL!$C$32, $C$9, 100%, $E$9)</f>
        <v>2.3073000000000001</v>
      </c>
      <c r="C22" s="9">
        <f>2.2458 * CHOOSE(CONTROL!$C$32, $C$9, 100%, $E$9)</f>
        <v>2.2458</v>
      </c>
      <c r="D22" s="9">
        <f>2.2912 * CHOOSE(CONTROL!$C$32, $C$9, 100%, $E$9)</f>
        <v>2.2911999999999999</v>
      </c>
      <c r="E22" s="11">
        <f>3.4957 * CHOOSE(CONTROL!$C$32, $C$9, 100%, $E$9)</f>
        <v>3.4956999999999998</v>
      </c>
      <c r="F22" s="11">
        <f>3.1918 * CHOOSE(CONTROL!$C$32, $C$9, 100%, $E$9)</f>
        <v>3.1918000000000002</v>
      </c>
      <c r="G22" s="11">
        <f>3.2069 * CHOOSE(CONTROL!$C$32, $C$9, 100%, $E$9)</f>
        <v>3.2069000000000001</v>
      </c>
      <c r="H22" s="11">
        <f>5.8628 * CHOOSE(CONTROL!$C$32, $C$9, 100%, $E$9)</f>
        <v>5.8628</v>
      </c>
      <c r="I22" s="11">
        <f>5.8778 * CHOOSE(CONTROL!$C$32, $C$9, 100%, $E$9)</f>
        <v>5.8777999999999997</v>
      </c>
      <c r="J22" s="11">
        <f>5.8628 * CHOOSE(CONTROL!$C$32, $C$9, 100%, $E$9)</f>
        <v>5.8628</v>
      </c>
      <c r="K22" s="11">
        <f>5.8778 * CHOOSE(CONTROL!$C$32, $C$9, 100%, $E$9)</f>
        <v>5.8777999999999997</v>
      </c>
      <c r="L22" s="11">
        <f>3.4957 * CHOOSE(CONTROL!$C$32, $C$9, 100%, $E$9)</f>
        <v>3.4956999999999998</v>
      </c>
      <c r="M22" s="11">
        <f>3.5107 * CHOOSE(CONTROL!$C$32, $C$9, 100%, $E$9)</f>
        <v>3.5106999999999999</v>
      </c>
      <c r="N22" s="11">
        <f>3.4957 * CHOOSE(CONTROL!$C$32, $C$9, 100%, $E$9)</f>
        <v>3.4956999999999998</v>
      </c>
      <c r="O22" s="11">
        <f>3.5107 * CHOOSE(CONTROL!$C$32, $C$9, 100%, $E$9)</f>
        <v>3.5106999999999999</v>
      </c>
      <c r="P22" s="14"/>
      <c r="Q22" s="11"/>
      <c r="R22" s="11"/>
    </row>
    <row r="23" spans="1:18" ht="15" x14ac:dyDescent="0.2">
      <c r="A23" s="13">
        <v>41548</v>
      </c>
      <c r="B23" s="9">
        <f>2.3058 * CHOOSE(CONTROL!$C$32, $C$9, 100%, $E$9)</f>
        <v>2.3058000000000001</v>
      </c>
      <c r="C23" s="9">
        <f>2.2367 * CHOOSE(CONTROL!$C$32, $C$9, 100%, $E$9)</f>
        <v>2.2366999999999999</v>
      </c>
      <c r="D23" s="9">
        <f>2.2712 * CHOOSE(CONTROL!$C$32, $C$9, 100%, $E$9)</f>
        <v>2.2711999999999999</v>
      </c>
      <c r="E23" s="11">
        <f>3.5106 * CHOOSE(CONTROL!$C$32, $C$9, 100%, $E$9)</f>
        <v>3.5106000000000002</v>
      </c>
      <c r="F23" s="11">
        <f>3.2177 * CHOOSE(CONTROL!$C$32, $C$9, 100%, $E$9)</f>
        <v>3.2176999999999998</v>
      </c>
      <c r="G23" s="11">
        <f>3.2293 * CHOOSE(CONTROL!$C$32, $C$9, 100%, $E$9)</f>
        <v>3.2292999999999998</v>
      </c>
      <c r="H23" s="11">
        <f>5.875 * CHOOSE(CONTROL!$C$32, $C$9, 100%, $E$9)</f>
        <v>5.875</v>
      </c>
      <c r="I23" s="11">
        <f>5.8865 * CHOOSE(CONTROL!$C$32, $C$9, 100%, $E$9)</f>
        <v>5.8864999999999998</v>
      </c>
      <c r="J23" s="11">
        <f>5.875 * CHOOSE(CONTROL!$C$32, $C$9, 100%, $E$9)</f>
        <v>5.875</v>
      </c>
      <c r="K23" s="11">
        <f>5.8865 * CHOOSE(CONTROL!$C$32, $C$9, 100%, $E$9)</f>
        <v>5.8864999999999998</v>
      </c>
      <c r="L23" s="11">
        <f>3.5106 * CHOOSE(CONTROL!$C$32, $C$9, 100%, $E$9)</f>
        <v>3.5106000000000002</v>
      </c>
      <c r="M23" s="11">
        <f>3.5221 * CHOOSE(CONTROL!$C$32, $C$9, 100%, $E$9)</f>
        <v>3.5221</v>
      </c>
      <c r="N23" s="11">
        <f>3.5106 * CHOOSE(CONTROL!$C$32, $C$9, 100%, $E$9)</f>
        <v>3.5106000000000002</v>
      </c>
      <c r="O23" s="11">
        <f>3.5221 * CHOOSE(CONTROL!$C$32, $C$9, 100%, $E$9)</f>
        <v>3.5221</v>
      </c>
      <c r="P23" s="14"/>
      <c r="Q23" s="11"/>
      <c r="R23" s="11"/>
    </row>
    <row r="24" spans="1:18" ht="15" x14ac:dyDescent="0.2">
      <c r="A24" s="13">
        <v>41579</v>
      </c>
      <c r="B24" s="9">
        <f>2.3113 * CHOOSE(CONTROL!$C$32, $C$9, 100%, $E$9)</f>
        <v>2.3113000000000001</v>
      </c>
      <c r="C24" s="9">
        <f>2.2472 * CHOOSE(CONTROL!$C$32, $C$9, 100%, $E$9)</f>
        <v>2.2471999999999999</v>
      </c>
      <c r="D24" s="9">
        <f>2.2818 * CHOOSE(CONTROL!$C$32, $C$9, 100%, $E$9)</f>
        <v>2.2818000000000001</v>
      </c>
      <c r="E24" s="11">
        <f>3.5106 * CHOOSE(CONTROL!$C$32, $C$9, 100%, $E$9)</f>
        <v>3.5106000000000002</v>
      </c>
      <c r="F24" s="11">
        <f>3.245 * CHOOSE(CONTROL!$C$32, $C$9, 100%, $E$9)</f>
        <v>3.2450000000000001</v>
      </c>
      <c r="G24" s="11">
        <f>3.2565 * CHOOSE(CONTROL!$C$32, $C$9, 100%, $E$9)</f>
        <v>3.2565</v>
      </c>
      <c r="H24" s="11">
        <f>5.8872 * CHOOSE(CONTROL!$C$32, $C$9, 100%, $E$9)</f>
        <v>5.8872</v>
      </c>
      <c r="I24" s="11">
        <f>5.8987 * CHOOSE(CONTROL!$C$32, $C$9, 100%, $E$9)</f>
        <v>5.8986999999999998</v>
      </c>
      <c r="J24" s="11">
        <f>5.8872 * CHOOSE(CONTROL!$C$32, $C$9, 100%, $E$9)</f>
        <v>5.8872</v>
      </c>
      <c r="K24" s="11">
        <f>5.8987 * CHOOSE(CONTROL!$C$32, $C$9, 100%, $E$9)</f>
        <v>5.8986999999999998</v>
      </c>
      <c r="L24" s="11">
        <f>3.5106 * CHOOSE(CONTROL!$C$32, $C$9, 100%, $E$9)</f>
        <v>3.5106000000000002</v>
      </c>
      <c r="M24" s="11">
        <f>3.5221 * CHOOSE(CONTROL!$C$32, $C$9, 100%, $E$9)</f>
        <v>3.5221</v>
      </c>
      <c r="N24" s="11">
        <f>3.5106 * CHOOSE(CONTROL!$C$32, $C$9, 100%, $E$9)</f>
        <v>3.5106000000000002</v>
      </c>
      <c r="O24" s="11">
        <f>3.5221 * CHOOSE(CONTROL!$C$32, $C$9, 100%, $E$9)</f>
        <v>3.5221</v>
      </c>
      <c r="P24" s="14"/>
      <c r="Q24" s="11"/>
      <c r="R24" s="11"/>
    </row>
    <row r="25" spans="1:18" ht="15" x14ac:dyDescent="0.2">
      <c r="A25" s="13">
        <v>41609</v>
      </c>
      <c r="B25" s="9">
        <f>2.3131 * CHOOSE(CONTROL!$C$32, $C$9, 100%, $E$9)</f>
        <v>2.3130999999999999</v>
      </c>
      <c r="C25" s="9">
        <f>2.2592 * CHOOSE(CONTROL!$C$32, $C$9, 100%, $E$9)</f>
        <v>2.2591999999999999</v>
      </c>
      <c r="D25" s="9">
        <f>2.2938 * CHOOSE(CONTROL!$C$32, $C$9, 100%, $E$9)</f>
        <v>2.2938000000000001</v>
      </c>
      <c r="E25" s="11">
        <f>3.5079 * CHOOSE(CONTROL!$C$32, $C$9, 100%, $E$9)</f>
        <v>3.5078999999999998</v>
      </c>
      <c r="F25" s="11">
        <f>3.2814 * CHOOSE(CONTROL!$C$32, $C$9, 100%, $E$9)</f>
        <v>3.2814000000000001</v>
      </c>
      <c r="G25" s="11">
        <f>3.2929 * CHOOSE(CONTROL!$C$32, $C$9, 100%, $E$9)</f>
        <v>3.2928999999999999</v>
      </c>
      <c r="H25" s="11">
        <f>5.8995 * CHOOSE(CONTROL!$C$32, $C$9, 100%, $E$9)</f>
        <v>5.8994999999999997</v>
      </c>
      <c r="I25" s="11">
        <f>5.911 * CHOOSE(CONTROL!$C$32, $C$9, 100%, $E$9)</f>
        <v>5.9109999999999996</v>
      </c>
      <c r="J25" s="11">
        <f>5.8995 * CHOOSE(CONTROL!$C$32, $C$9, 100%, $E$9)</f>
        <v>5.8994999999999997</v>
      </c>
      <c r="K25" s="11">
        <f>5.911 * CHOOSE(CONTROL!$C$32, $C$9, 100%, $E$9)</f>
        <v>5.9109999999999996</v>
      </c>
      <c r="L25" s="11">
        <f>3.5079 * CHOOSE(CONTROL!$C$32, $C$9, 100%, $E$9)</f>
        <v>3.5078999999999998</v>
      </c>
      <c r="M25" s="11">
        <f>3.5194 * CHOOSE(CONTROL!$C$32, $C$9, 100%, $E$9)</f>
        <v>3.5194000000000001</v>
      </c>
      <c r="N25" s="11">
        <f>3.5079 * CHOOSE(CONTROL!$C$32, $C$9, 100%, $E$9)</f>
        <v>3.5078999999999998</v>
      </c>
      <c r="O25" s="11">
        <f>3.5194 * CHOOSE(CONTROL!$C$32, $C$9, 100%, $E$9)</f>
        <v>3.5194000000000001</v>
      </c>
      <c r="P25" s="14"/>
      <c r="Q25" s="11"/>
      <c r="R25" s="11"/>
    </row>
    <row r="26" spans="1:18" ht="15" x14ac:dyDescent="0.2">
      <c r="A26" s="13">
        <v>41640</v>
      </c>
      <c r="B26" s="9">
        <f>2.326 * CHOOSE(CONTROL!$C$32, $C$9, 100%, $E$9)</f>
        <v>2.3260000000000001</v>
      </c>
      <c r="C26" s="9">
        <f>2.2882 * CHOOSE(CONTROL!$C$32, $C$9, 100%, $E$9)</f>
        <v>2.2881999999999998</v>
      </c>
      <c r="D26" s="9">
        <f>2.3228 * CHOOSE(CONTROL!$C$32, $C$9, 100%, $E$9)</f>
        <v>2.3228</v>
      </c>
      <c r="E26" s="11">
        <f>3.4998 * CHOOSE(CONTROL!$C$32, $C$9, 100%, $E$9)</f>
        <v>3.4998</v>
      </c>
      <c r="F26" s="11">
        <f>3.2737 * CHOOSE(CONTROL!$C$32, $C$9, 100%, $E$9)</f>
        <v>3.2736999999999998</v>
      </c>
      <c r="G26" s="11">
        <f>3.2853 * CHOOSE(CONTROL!$C$32, $C$9, 100%, $E$9)</f>
        <v>3.2852999999999999</v>
      </c>
      <c r="H26" s="11">
        <f>5.9118 * CHOOSE(CONTROL!$C$32, $C$9, 100%, $E$9)</f>
        <v>5.9118000000000004</v>
      </c>
      <c r="I26" s="11">
        <f>5.9233 * CHOOSE(CONTROL!$C$32, $C$9, 100%, $E$9)</f>
        <v>5.9233000000000002</v>
      </c>
      <c r="J26" s="11">
        <f>5.9118 * CHOOSE(CONTROL!$C$32, $C$9, 100%, $E$9)</f>
        <v>5.9118000000000004</v>
      </c>
      <c r="K26" s="11">
        <f>5.9233 * CHOOSE(CONTROL!$C$32, $C$9, 100%, $E$9)</f>
        <v>5.9233000000000002</v>
      </c>
      <c r="L26" s="11">
        <f>3.4998 * CHOOSE(CONTROL!$C$32, $C$9, 100%, $E$9)</f>
        <v>3.4998</v>
      </c>
      <c r="M26" s="11">
        <f>3.5113 * CHOOSE(CONTROL!$C$32, $C$9, 100%, $E$9)</f>
        <v>3.5112999999999999</v>
      </c>
      <c r="N26" s="11">
        <f>3.4998 * CHOOSE(CONTROL!$C$32, $C$9, 100%, $E$9)</f>
        <v>3.4998</v>
      </c>
      <c r="O26" s="11">
        <f>3.5113 * CHOOSE(CONTROL!$C$32, $C$9, 100%, $E$9)</f>
        <v>3.5112999999999999</v>
      </c>
      <c r="P26" s="14"/>
      <c r="Q26" s="11"/>
      <c r="R26" s="11"/>
    </row>
    <row r="27" spans="1:18" ht="15" x14ac:dyDescent="0.2">
      <c r="A27" s="13">
        <v>41671</v>
      </c>
      <c r="B27" s="9">
        <f>2.338 * CHOOSE(CONTROL!$C$32, $C$9, 100%, $E$9)</f>
        <v>2.3380000000000001</v>
      </c>
      <c r="C27" s="9">
        <f>2.3077 * CHOOSE(CONTROL!$C$32, $C$9, 100%, $E$9)</f>
        <v>2.3077000000000001</v>
      </c>
      <c r="D27" s="9">
        <f>2.3423 * CHOOSE(CONTROL!$C$32, $C$9, 100%, $E$9)</f>
        <v>2.3422999999999998</v>
      </c>
      <c r="E27" s="11">
        <f>3.5012 * CHOOSE(CONTROL!$C$32, $C$9, 100%, $E$9)</f>
        <v>3.5011999999999999</v>
      </c>
      <c r="F27" s="11">
        <f>3.2886 * CHOOSE(CONTROL!$C$32, $C$9, 100%, $E$9)</f>
        <v>3.2886000000000002</v>
      </c>
      <c r="G27" s="11">
        <f>3.3001 * CHOOSE(CONTROL!$C$32, $C$9, 100%, $E$9)</f>
        <v>3.3001</v>
      </c>
      <c r="H27" s="11">
        <f>5.9241 * CHOOSE(CONTROL!$C$32, $C$9, 100%, $E$9)</f>
        <v>5.9241000000000001</v>
      </c>
      <c r="I27" s="11">
        <f>5.9356 * CHOOSE(CONTROL!$C$32, $C$9, 100%, $E$9)</f>
        <v>5.9356</v>
      </c>
      <c r="J27" s="11">
        <f>5.9241 * CHOOSE(CONTROL!$C$32, $C$9, 100%, $E$9)</f>
        <v>5.9241000000000001</v>
      </c>
      <c r="K27" s="11">
        <f>5.9356 * CHOOSE(CONTROL!$C$32, $C$9, 100%, $E$9)</f>
        <v>5.9356</v>
      </c>
      <c r="L27" s="11">
        <f>3.5012 * CHOOSE(CONTROL!$C$32, $C$9, 100%, $E$9)</f>
        <v>3.5011999999999999</v>
      </c>
      <c r="M27" s="11">
        <f>3.5127 * CHOOSE(CONTROL!$C$32, $C$9, 100%, $E$9)</f>
        <v>3.5127000000000002</v>
      </c>
      <c r="N27" s="11">
        <f>3.5012 * CHOOSE(CONTROL!$C$32, $C$9, 100%, $E$9)</f>
        <v>3.5011999999999999</v>
      </c>
      <c r="O27" s="11">
        <f>3.5127 * CHOOSE(CONTROL!$C$32, $C$9, 100%, $E$9)</f>
        <v>3.5127000000000002</v>
      </c>
      <c r="P27" s="14"/>
      <c r="Q27" s="11"/>
      <c r="R27" s="11"/>
    </row>
    <row r="28" spans="1:18" ht="15" x14ac:dyDescent="0.2">
      <c r="A28" s="13">
        <v>41699</v>
      </c>
      <c r="B28" s="9">
        <f>2.3423 * CHOOSE(CONTROL!$C$32, $C$9, 100%, $E$9)</f>
        <v>2.3422999999999998</v>
      </c>
      <c r="C28" s="9">
        <f>2.3166 * CHOOSE(CONTROL!$C$32, $C$9, 100%, $E$9)</f>
        <v>2.3166000000000002</v>
      </c>
      <c r="D28" s="9">
        <f>2.3512 * CHOOSE(CONTROL!$C$32, $C$9, 100%, $E$9)</f>
        <v>2.3512</v>
      </c>
      <c r="E28" s="11">
        <f>3.4055 * CHOOSE(CONTROL!$C$32, $C$9, 100%, $E$9)</f>
        <v>3.4055</v>
      </c>
      <c r="F28" s="11">
        <f>3.2949 * CHOOSE(CONTROL!$C$32, $C$9, 100%, $E$9)</f>
        <v>3.2949000000000002</v>
      </c>
      <c r="G28" s="11">
        <f>3.3064 * CHOOSE(CONTROL!$C$32, $C$9, 100%, $E$9)</f>
        <v>3.3064</v>
      </c>
      <c r="H28" s="11">
        <f>5.9364 * CHOOSE(CONTROL!$C$32, $C$9, 100%, $E$9)</f>
        <v>5.9363999999999999</v>
      </c>
      <c r="I28" s="11">
        <f>5.9479 * CHOOSE(CONTROL!$C$32, $C$9, 100%, $E$9)</f>
        <v>5.9478999999999997</v>
      </c>
      <c r="J28" s="11">
        <f>5.9364 * CHOOSE(CONTROL!$C$32, $C$9, 100%, $E$9)</f>
        <v>5.9363999999999999</v>
      </c>
      <c r="K28" s="11">
        <f>5.9479 * CHOOSE(CONTROL!$C$32, $C$9, 100%, $E$9)</f>
        <v>5.9478999999999997</v>
      </c>
      <c r="L28" s="11">
        <f>3.4055 * CHOOSE(CONTROL!$C$32, $C$9, 100%, $E$9)</f>
        <v>3.4055</v>
      </c>
      <c r="M28" s="11">
        <f>3.417 * CHOOSE(CONTROL!$C$32, $C$9, 100%, $E$9)</f>
        <v>3.4169999999999998</v>
      </c>
      <c r="N28" s="11">
        <f>3.4055 * CHOOSE(CONTROL!$C$32, $C$9, 100%, $E$9)</f>
        <v>3.4055</v>
      </c>
      <c r="O28" s="11">
        <f>3.417 * CHOOSE(CONTROL!$C$32, $C$9, 100%, $E$9)</f>
        <v>3.4169999999999998</v>
      </c>
      <c r="P28" s="14"/>
      <c r="Q28" s="11"/>
      <c r="R28" s="11"/>
    </row>
    <row r="29" spans="1:18" ht="15" x14ac:dyDescent="0.2">
      <c r="A29" s="13">
        <v>41730</v>
      </c>
      <c r="B29" s="9">
        <f>2.3408 * CHOOSE(CONTROL!$C$32, $C$9, 100%, $E$9)</f>
        <v>2.3408000000000002</v>
      </c>
      <c r="C29" s="9">
        <f>2.3136 * CHOOSE(CONTROL!$C$32, $C$9, 100%, $E$9)</f>
        <v>2.3136000000000001</v>
      </c>
      <c r="D29" s="9">
        <f>2.3482 * CHOOSE(CONTROL!$C$32, $C$9, 100%, $E$9)</f>
        <v>2.3481999999999998</v>
      </c>
      <c r="E29" s="11">
        <f>3.4026 * CHOOSE(CONTROL!$C$32, $C$9, 100%, $E$9)</f>
        <v>3.4026000000000001</v>
      </c>
      <c r="F29" s="11">
        <f>3.3055 * CHOOSE(CONTROL!$C$32, $C$9, 100%, $E$9)</f>
        <v>3.3054999999999999</v>
      </c>
      <c r="G29" s="11">
        <f>3.317 * CHOOSE(CONTROL!$C$32, $C$9, 100%, $E$9)</f>
        <v>3.3170000000000002</v>
      </c>
      <c r="H29" s="11">
        <f>5.9488 * CHOOSE(CONTROL!$C$32, $C$9, 100%, $E$9)</f>
        <v>5.9488000000000003</v>
      </c>
      <c r="I29" s="11">
        <f>5.9603 * CHOOSE(CONTROL!$C$32, $C$9, 100%, $E$9)</f>
        <v>5.9603000000000002</v>
      </c>
      <c r="J29" s="11">
        <f>5.9488 * CHOOSE(CONTROL!$C$32, $C$9, 100%, $E$9)</f>
        <v>5.9488000000000003</v>
      </c>
      <c r="K29" s="11">
        <f>5.9603 * CHOOSE(CONTROL!$C$32, $C$9, 100%, $E$9)</f>
        <v>5.9603000000000002</v>
      </c>
      <c r="L29" s="11">
        <f>3.4026 * CHOOSE(CONTROL!$C$32, $C$9, 100%, $E$9)</f>
        <v>3.4026000000000001</v>
      </c>
      <c r="M29" s="11">
        <f>3.4142 * CHOOSE(CONTROL!$C$32, $C$9, 100%, $E$9)</f>
        <v>3.4142000000000001</v>
      </c>
      <c r="N29" s="11">
        <f>3.4026 * CHOOSE(CONTROL!$C$32, $C$9, 100%, $E$9)</f>
        <v>3.4026000000000001</v>
      </c>
      <c r="O29" s="11">
        <f>3.4142 * CHOOSE(CONTROL!$C$32, $C$9, 100%, $E$9)</f>
        <v>3.4142000000000001</v>
      </c>
      <c r="P29" s="14"/>
      <c r="Q29" s="11"/>
      <c r="R29" s="11"/>
    </row>
    <row r="30" spans="1:18" ht="15" x14ac:dyDescent="0.2">
      <c r="A30" s="13">
        <v>41760</v>
      </c>
      <c r="B30" s="9">
        <f>2.3438 * CHOOSE(CONTROL!$C$32, $C$9, 100%, $E$9)</f>
        <v>2.3437999999999999</v>
      </c>
      <c r="C30" s="9">
        <f>2.3151 * CHOOSE(CONTROL!$C$32, $C$9, 100%, $E$9)</f>
        <v>2.3151000000000002</v>
      </c>
      <c r="D30" s="9">
        <f>2.3605 * CHOOSE(CONTROL!$C$32, $C$9, 100%, $E$9)</f>
        <v>2.3605</v>
      </c>
      <c r="E30" s="11">
        <f>3.4085 * CHOOSE(CONTROL!$C$32, $C$9, 100%, $E$9)</f>
        <v>3.4085000000000001</v>
      </c>
      <c r="F30" s="11">
        <f>3.3161 * CHOOSE(CONTROL!$C$32, $C$9, 100%, $E$9)</f>
        <v>3.3161</v>
      </c>
      <c r="G30" s="11">
        <f>3.3312 * CHOOSE(CONTROL!$C$32, $C$9, 100%, $E$9)</f>
        <v>3.3311999999999999</v>
      </c>
      <c r="H30" s="11">
        <f>5.9612 * CHOOSE(CONTROL!$C$32, $C$9, 100%, $E$9)</f>
        <v>5.9611999999999998</v>
      </c>
      <c r="I30" s="11">
        <f>5.9763 * CHOOSE(CONTROL!$C$32, $C$9, 100%, $E$9)</f>
        <v>5.9763000000000002</v>
      </c>
      <c r="J30" s="11">
        <f>5.9612 * CHOOSE(CONTROL!$C$32, $C$9, 100%, $E$9)</f>
        <v>5.9611999999999998</v>
      </c>
      <c r="K30" s="11">
        <f>5.9763 * CHOOSE(CONTROL!$C$32, $C$9, 100%, $E$9)</f>
        <v>5.9763000000000002</v>
      </c>
      <c r="L30" s="11">
        <f>3.4085 * CHOOSE(CONTROL!$C$32, $C$9, 100%, $E$9)</f>
        <v>3.4085000000000001</v>
      </c>
      <c r="M30" s="11">
        <f>3.4236 * CHOOSE(CONTROL!$C$32, $C$9, 100%, $E$9)</f>
        <v>3.4236</v>
      </c>
      <c r="N30" s="11">
        <f>3.4085 * CHOOSE(CONTROL!$C$32, $C$9, 100%, $E$9)</f>
        <v>3.4085000000000001</v>
      </c>
      <c r="O30" s="11">
        <f>3.4236 * CHOOSE(CONTROL!$C$32, $C$9, 100%, $E$9)</f>
        <v>3.4236</v>
      </c>
      <c r="P30" s="14"/>
      <c r="Q30" s="11"/>
      <c r="R30" s="11"/>
    </row>
    <row r="31" spans="1:18" ht="15" x14ac:dyDescent="0.2">
      <c r="A31" s="13">
        <v>41791</v>
      </c>
      <c r="B31" s="9">
        <f>2.3496 * CHOOSE(CONTROL!$C$32, $C$9, 100%, $E$9)</f>
        <v>2.3496000000000001</v>
      </c>
      <c r="C31" s="9">
        <f>2.327 * CHOOSE(CONTROL!$C$32, $C$9, 100%, $E$9)</f>
        <v>2.327</v>
      </c>
      <c r="D31" s="9">
        <f>2.3724 * CHOOSE(CONTROL!$C$32, $C$9, 100%, $E$9)</f>
        <v>2.3723999999999998</v>
      </c>
      <c r="E31" s="11">
        <f>3.4321 * CHOOSE(CONTROL!$C$32, $C$9, 100%, $E$9)</f>
        <v>3.4321000000000002</v>
      </c>
      <c r="F31" s="11">
        <f>3.3585 * CHOOSE(CONTROL!$C$32, $C$9, 100%, $E$9)</f>
        <v>3.3584999999999998</v>
      </c>
      <c r="G31" s="11">
        <f>3.3735 * CHOOSE(CONTROL!$C$32, $C$9, 100%, $E$9)</f>
        <v>3.3734999999999999</v>
      </c>
      <c r="H31" s="11">
        <f>5.9736 * CHOOSE(CONTROL!$C$32, $C$9, 100%, $E$9)</f>
        <v>5.9736000000000002</v>
      </c>
      <c r="I31" s="11">
        <f>5.9887 * CHOOSE(CONTROL!$C$32, $C$9, 100%, $E$9)</f>
        <v>5.9886999999999997</v>
      </c>
      <c r="J31" s="11">
        <f>5.9736 * CHOOSE(CONTROL!$C$32, $C$9, 100%, $E$9)</f>
        <v>5.9736000000000002</v>
      </c>
      <c r="K31" s="11">
        <f>5.9887 * CHOOSE(CONTROL!$C$32, $C$9, 100%, $E$9)</f>
        <v>5.9886999999999997</v>
      </c>
      <c r="L31" s="11">
        <f>3.4321 * CHOOSE(CONTROL!$C$32, $C$9, 100%, $E$9)</f>
        <v>3.4321000000000002</v>
      </c>
      <c r="M31" s="11">
        <f>3.4471 * CHOOSE(CONTROL!$C$32, $C$9, 100%, $E$9)</f>
        <v>3.4470999999999998</v>
      </c>
      <c r="N31" s="11">
        <f>3.4321 * CHOOSE(CONTROL!$C$32, $C$9, 100%, $E$9)</f>
        <v>3.4321000000000002</v>
      </c>
      <c r="O31" s="11">
        <f>3.4471 * CHOOSE(CONTROL!$C$32, $C$9, 100%, $E$9)</f>
        <v>3.4470999999999998</v>
      </c>
      <c r="P31" s="14"/>
      <c r="Q31" s="11"/>
      <c r="R31" s="11"/>
    </row>
    <row r="32" spans="1:18" ht="15" x14ac:dyDescent="0.2">
      <c r="A32" s="13">
        <v>41821</v>
      </c>
      <c r="B32" s="9">
        <f>2.3649 * CHOOSE(CONTROL!$C$32, $C$9, 100%, $E$9)</f>
        <v>2.3649</v>
      </c>
      <c r="C32" s="9">
        <f>2.3574 * CHOOSE(CONTROL!$C$32, $C$9, 100%, $E$9)</f>
        <v>2.3574000000000002</v>
      </c>
      <c r="D32" s="9">
        <f>2.4028 * CHOOSE(CONTROL!$C$32, $C$9, 100%, $E$9)</f>
        <v>2.4028</v>
      </c>
      <c r="E32" s="11">
        <f>3.4478 * CHOOSE(CONTROL!$C$32, $C$9, 100%, $E$9)</f>
        <v>3.4478</v>
      </c>
      <c r="F32" s="11">
        <f>3.4008 * CHOOSE(CONTROL!$C$32, $C$9, 100%, $E$9)</f>
        <v>3.4007999999999998</v>
      </c>
      <c r="G32" s="11">
        <f>3.4159 * CHOOSE(CONTROL!$C$32, $C$9, 100%, $E$9)</f>
        <v>3.4159000000000002</v>
      </c>
      <c r="H32" s="11">
        <f>5.986 * CHOOSE(CONTROL!$C$32, $C$9, 100%, $E$9)</f>
        <v>5.9859999999999998</v>
      </c>
      <c r="I32" s="11">
        <f>6.0011 * CHOOSE(CONTROL!$C$32, $C$9, 100%, $E$9)</f>
        <v>6.0011000000000001</v>
      </c>
      <c r="J32" s="11">
        <f>5.986 * CHOOSE(CONTROL!$C$32, $C$9, 100%, $E$9)</f>
        <v>5.9859999999999998</v>
      </c>
      <c r="K32" s="11">
        <f>6.0011 * CHOOSE(CONTROL!$C$32, $C$9, 100%, $E$9)</f>
        <v>6.0011000000000001</v>
      </c>
      <c r="L32" s="11">
        <f>3.4478 * CHOOSE(CONTROL!$C$32, $C$9, 100%, $E$9)</f>
        <v>3.4478</v>
      </c>
      <c r="M32" s="11">
        <f>3.4629 * CHOOSE(CONTROL!$C$32, $C$9, 100%, $E$9)</f>
        <v>3.4628999999999999</v>
      </c>
      <c r="N32" s="11">
        <f>3.4478 * CHOOSE(CONTROL!$C$32, $C$9, 100%, $E$9)</f>
        <v>3.4478</v>
      </c>
      <c r="O32" s="11">
        <f>3.4629 * CHOOSE(CONTROL!$C$32, $C$9, 100%, $E$9)</f>
        <v>3.4628999999999999</v>
      </c>
      <c r="P32" s="14"/>
      <c r="Q32" s="11"/>
      <c r="R32" s="11"/>
    </row>
    <row r="33" spans="1:18" ht="15" x14ac:dyDescent="0.2">
      <c r="A33" s="13">
        <v>41852</v>
      </c>
      <c r="B33" s="9">
        <f>2.3848 * CHOOSE(CONTROL!$C$32, $C$9, 100%, $E$9)</f>
        <v>2.3847999999999998</v>
      </c>
      <c r="C33" s="9">
        <f>2.3923 * CHOOSE(CONTROL!$C$32, $C$9, 100%, $E$9)</f>
        <v>2.3923000000000001</v>
      </c>
      <c r="D33" s="9">
        <f>2.4377 * CHOOSE(CONTROL!$C$32, $C$9, 100%, $E$9)</f>
        <v>2.4377</v>
      </c>
      <c r="E33" s="11">
        <f>3.4793 * CHOOSE(CONTROL!$C$32, $C$9, 100%, $E$9)</f>
        <v>3.4792999999999998</v>
      </c>
      <c r="F33" s="11">
        <f>3.4517 * CHOOSE(CONTROL!$C$32, $C$9, 100%, $E$9)</f>
        <v>3.4517000000000002</v>
      </c>
      <c r="G33" s="11">
        <f>3.4668 * CHOOSE(CONTROL!$C$32, $C$9, 100%, $E$9)</f>
        <v>3.4668000000000001</v>
      </c>
      <c r="H33" s="11">
        <f>5.9985 * CHOOSE(CONTROL!$C$32, $C$9, 100%, $E$9)</f>
        <v>5.9984999999999999</v>
      </c>
      <c r="I33" s="11">
        <f>6.0136 * CHOOSE(CONTROL!$C$32, $C$9, 100%, $E$9)</f>
        <v>6.0136000000000003</v>
      </c>
      <c r="J33" s="11">
        <f>5.9985 * CHOOSE(CONTROL!$C$32, $C$9, 100%, $E$9)</f>
        <v>5.9984999999999999</v>
      </c>
      <c r="K33" s="11">
        <f>6.0136 * CHOOSE(CONTROL!$C$32, $C$9, 100%, $E$9)</f>
        <v>6.0136000000000003</v>
      </c>
      <c r="L33" s="11">
        <f>3.4793 * CHOOSE(CONTROL!$C$32, $C$9, 100%, $E$9)</f>
        <v>3.4792999999999998</v>
      </c>
      <c r="M33" s="11">
        <f>3.4943 * CHOOSE(CONTROL!$C$32, $C$9, 100%, $E$9)</f>
        <v>3.4943</v>
      </c>
      <c r="N33" s="11">
        <f>3.4793 * CHOOSE(CONTROL!$C$32, $C$9, 100%, $E$9)</f>
        <v>3.4792999999999998</v>
      </c>
      <c r="O33" s="11">
        <f>3.4943 * CHOOSE(CONTROL!$C$32, $C$9, 100%, $E$9)</f>
        <v>3.4943</v>
      </c>
      <c r="P33" s="14"/>
      <c r="Q33" s="11"/>
      <c r="R33" s="11"/>
    </row>
    <row r="34" spans="1:18" ht="15" x14ac:dyDescent="0.2">
      <c r="A34" s="13">
        <v>41883</v>
      </c>
      <c r="B34" s="9">
        <f>2.3937 * CHOOSE(CONTROL!$C$32, $C$9, 100%, $E$9)</f>
        <v>2.3936999999999999</v>
      </c>
      <c r="C34" s="9">
        <f>2.4103 * CHOOSE(CONTROL!$C$32, $C$9, 100%, $E$9)</f>
        <v>2.4102999999999999</v>
      </c>
      <c r="D34" s="9">
        <f>2.4557 * CHOOSE(CONTROL!$C$32, $C$9, 100%, $E$9)</f>
        <v>2.4557000000000002</v>
      </c>
      <c r="E34" s="11">
        <f>3.4806 * CHOOSE(CONTROL!$C$32, $C$9, 100%, $E$9)</f>
        <v>3.4805999999999999</v>
      </c>
      <c r="F34" s="11">
        <f>3.4538 * CHOOSE(CONTROL!$C$32, $C$9, 100%, $E$9)</f>
        <v>3.4538000000000002</v>
      </c>
      <c r="G34" s="11">
        <f>3.4689 * CHOOSE(CONTROL!$C$32, $C$9, 100%, $E$9)</f>
        <v>3.4689000000000001</v>
      </c>
      <c r="H34" s="11">
        <f>6.011 * CHOOSE(CONTROL!$C$32, $C$9, 100%, $E$9)</f>
        <v>6.0110000000000001</v>
      </c>
      <c r="I34" s="11">
        <f>6.0261 * CHOOSE(CONTROL!$C$32, $C$9, 100%, $E$9)</f>
        <v>6.0260999999999996</v>
      </c>
      <c r="J34" s="11">
        <f>6.011 * CHOOSE(CONTROL!$C$32, $C$9, 100%, $E$9)</f>
        <v>6.0110000000000001</v>
      </c>
      <c r="K34" s="11">
        <f>6.0261 * CHOOSE(CONTROL!$C$32, $C$9, 100%, $E$9)</f>
        <v>6.0260999999999996</v>
      </c>
      <c r="L34" s="11">
        <f>3.4806 * CHOOSE(CONTROL!$C$32, $C$9, 100%, $E$9)</f>
        <v>3.4805999999999999</v>
      </c>
      <c r="M34" s="11">
        <f>3.4956 * CHOOSE(CONTROL!$C$32, $C$9, 100%, $E$9)</f>
        <v>3.4956</v>
      </c>
      <c r="N34" s="11">
        <f>3.4806 * CHOOSE(CONTROL!$C$32, $C$9, 100%, $E$9)</f>
        <v>3.4805999999999999</v>
      </c>
      <c r="O34" s="11">
        <f>3.4956 * CHOOSE(CONTROL!$C$32, $C$9, 100%, $E$9)</f>
        <v>3.4956</v>
      </c>
      <c r="P34" s="14"/>
      <c r="Q34" s="11"/>
      <c r="R34" s="11"/>
    </row>
    <row r="35" spans="1:18" ht="15" x14ac:dyDescent="0.2">
      <c r="A35" s="13">
        <v>41913</v>
      </c>
      <c r="B35" s="9">
        <f>2.3937 * CHOOSE(CONTROL!$C$32, $C$9, 100%, $E$9)</f>
        <v>2.3936999999999999</v>
      </c>
      <c r="C35" s="9">
        <f>2.4103 * CHOOSE(CONTROL!$C$32, $C$9, 100%, $E$9)</f>
        <v>2.4102999999999999</v>
      </c>
      <c r="D35" s="9">
        <f>2.4449 * CHOOSE(CONTROL!$C$32, $C$9, 100%, $E$9)</f>
        <v>2.4449000000000001</v>
      </c>
      <c r="E35" s="11">
        <f>3.4819 * CHOOSE(CONTROL!$C$32, $C$9, 100%, $E$9)</f>
        <v>3.4819</v>
      </c>
      <c r="F35" s="11">
        <f>3.4559 * CHOOSE(CONTROL!$C$32, $C$9, 100%, $E$9)</f>
        <v>3.4559000000000002</v>
      </c>
      <c r="G35" s="11">
        <f>3.4675 * CHOOSE(CONTROL!$C$32, $C$9, 100%, $E$9)</f>
        <v>3.4674999999999998</v>
      </c>
      <c r="H35" s="11">
        <f>6.0235 * CHOOSE(CONTROL!$C$32, $C$9, 100%, $E$9)</f>
        <v>6.0235000000000003</v>
      </c>
      <c r="I35" s="11">
        <f>6.0351 * CHOOSE(CONTROL!$C$32, $C$9, 100%, $E$9)</f>
        <v>6.0350999999999999</v>
      </c>
      <c r="J35" s="11">
        <f>6.0235 * CHOOSE(CONTROL!$C$32, $C$9, 100%, $E$9)</f>
        <v>6.0235000000000003</v>
      </c>
      <c r="K35" s="11">
        <f>6.0351 * CHOOSE(CONTROL!$C$32, $C$9, 100%, $E$9)</f>
        <v>6.0350999999999999</v>
      </c>
      <c r="L35" s="11">
        <f>3.4819 * CHOOSE(CONTROL!$C$32, $C$9, 100%, $E$9)</f>
        <v>3.4819</v>
      </c>
      <c r="M35" s="11">
        <f>3.4934 * CHOOSE(CONTROL!$C$32, $C$9, 100%, $E$9)</f>
        <v>3.4933999999999998</v>
      </c>
      <c r="N35" s="11">
        <f>3.4819 * CHOOSE(CONTROL!$C$32, $C$9, 100%, $E$9)</f>
        <v>3.4819</v>
      </c>
      <c r="O35" s="11">
        <f>3.4934 * CHOOSE(CONTROL!$C$32, $C$9, 100%, $E$9)</f>
        <v>3.4933999999999998</v>
      </c>
      <c r="P35" s="14"/>
      <c r="Q35" s="11"/>
      <c r="R35" s="11"/>
    </row>
    <row r="36" spans="1:18" ht="15" x14ac:dyDescent="0.2">
      <c r="A36" s="13">
        <v>41944</v>
      </c>
      <c r="B36" s="9">
        <f>2.4013 * CHOOSE(CONTROL!$C$32, $C$9, 100%, $E$9)</f>
        <v>2.4013</v>
      </c>
      <c r="C36" s="9">
        <f>2.421 * CHOOSE(CONTROL!$C$32, $C$9, 100%, $E$9)</f>
        <v>2.4209999999999998</v>
      </c>
      <c r="D36" s="9">
        <f>2.4555 * CHOOSE(CONTROL!$C$32, $C$9, 100%, $E$9)</f>
        <v>2.4554999999999998</v>
      </c>
      <c r="E36" s="11">
        <f>3.4897 * CHOOSE(CONTROL!$C$32, $C$9, 100%, $E$9)</f>
        <v>3.4897</v>
      </c>
      <c r="F36" s="11">
        <f>3.4623 * CHOOSE(CONTROL!$C$32, $C$9, 100%, $E$9)</f>
        <v>3.4622999999999999</v>
      </c>
      <c r="G36" s="11">
        <f>3.4738 * CHOOSE(CONTROL!$C$32, $C$9, 100%, $E$9)</f>
        <v>3.4738000000000002</v>
      </c>
      <c r="H36" s="11">
        <f>6.0361 * CHOOSE(CONTROL!$C$32, $C$9, 100%, $E$9)</f>
        <v>6.0361000000000002</v>
      </c>
      <c r="I36" s="11">
        <f>6.0476 * CHOOSE(CONTROL!$C$32, $C$9, 100%, $E$9)</f>
        <v>6.0476000000000001</v>
      </c>
      <c r="J36" s="11">
        <f>6.0361 * CHOOSE(CONTROL!$C$32, $C$9, 100%, $E$9)</f>
        <v>6.0361000000000002</v>
      </c>
      <c r="K36" s="11">
        <f>6.0476 * CHOOSE(CONTROL!$C$32, $C$9, 100%, $E$9)</f>
        <v>6.0476000000000001</v>
      </c>
      <c r="L36" s="11">
        <f>3.4897 * CHOOSE(CONTROL!$C$32, $C$9, 100%, $E$9)</f>
        <v>3.4897</v>
      </c>
      <c r="M36" s="11">
        <f>3.5013 * CHOOSE(CONTROL!$C$32, $C$9, 100%, $E$9)</f>
        <v>3.5013000000000001</v>
      </c>
      <c r="N36" s="11">
        <f>3.4897 * CHOOSE(CONTROL!$C$32, $C$9, 100%, $E$9)</f>
        <v>3.4897</v>
      </c>
      <c r="O36" s="11">
        <f>3.5013 * CHOOSE(CONTROL!$C$32, $C$9, 100%, $E$9)</f>
        <v>3.5013000000000001</v>
      </c>
      <c r="P36" s="14"/>
      <c r="Q36" s="11"/>
      <c r="R36" s="11"/>
    </row>
    <row r="37" spans="1:18" ht="15" x14ac:dyDescent="0.2">
      <c r="A37" s="13">
        <v>41974</v>
      </c>
      <c r="B37" s="9">
        <f>2.4071 * CHOOSE(CONTROL!$C$32, $C$9, 100%, $E$9)</f>
        <v>2.4070999999999998</v>
      </c>
      <c r="C37" s="9">
        <f>2.4328 * CHOOSE(CONTROL!$C$32, $C$9, 100%, $E$9)</f>
        <v>2.4327999999999999</v>
      </c>
      <c r="D37" s="9">
        <f>2.4674 * CHOOSE(CONTROL!$C$32, $C$9, 100%, $E$9)</f>
        <v>2.4674</v>
      </c>
      <c r="E37" s="11">
        <f>3.4979 * CHOOSE(CONTROL!$C$32, $C$9, 100%, $E$9)</f>
        <v>3.4979</v>
      </c>
      <c r="F37" s="11">
        <f>3.475 * CHOOSE(CONTROL!$C$32, $C$9, 100%, $E$9)</f>
        <v>3.4750000000000001</v>
      </c>
      <c r="G37" s="11">
        <f>3.4865 * CHOOSE(CONTROL!$C$32, $C$9, 100%, $E$9)</f>
        <v>3.4864999999999999</v>
      </c>
      <c r="H37" s="11">
        <f>6.0487 * CHOOSE(CONTROL!$C$32, $C$9, 100%, $E$9)</f>
        <v>6.0487000000000002</v>
      </c>
      <c r="I37" s="11">
        <f>6.0602 * CHOOSE(CONTROL!$C$32, $C$9, 100%, $E$9)</f>
        <v>6.0602</v>
      </c>
      <c r="J37" s="11">
        <f>6.0487 * CHOOSE(CONTROL!$C$32, $C$9, 100%, $E$9)</f>
        <v>6.0487000000000002</v>
      </c>
      <c r="K37" s="11">
        <f>6.0602 * CHOOSE(CONTROL!$C$32, $C$9, 100%, $E$9)</f>
        <v>6.0602</v>
      </c>
      <c r="L37" s="11">
        <f>3.4979 * CHOOSE(CONTROL!$C$32, $C$9, 100%, $E$9)</f>
        <v>3.4979</v>
      </c>
      <c r="M37" s="11">
        <f>3.5094 * CHOOSE(CONTROL!$C$32, $C$9, 100%, $E$9)</f>
        <v>3.5093999999999999</v>
      </c>
      <c r="N37" s="11">
        <f>3.4979 * CHOOSE(CONTROL!$C$32, $C$9, 100%, $E$9)</f>
        <v>3.4979</v>
      </c>
      <c r="O37" s="11">
        <f>3.5094 * CHOOSE(CONTROL!$C$32, $C$9, 100%, $E$9)</f>
        <v>3.5093999999999999</v>
      </c>
      <c r="P37" s="14"/>
      <c r="Q37" s="11"/>
      <c r="R37" s="11"/>
    </row>
    <row r="38" spans="1:18" ht="15" x14ac:dyDescent="0.2">
      <c r="A38" s="13">
        <v>42005</v>
      </c>
      <c r="B38" s="9">
        <f>2.4532 * CHOOSE(CONTROL!$C$32, $C$9, 100%, $E$9)</f>
        <v>2.4531999999999998</v>
      </c>
      <c r="C38" s="9">
        <f>2.4532 * CHOOSE(CONTROL!$C$32, $C$9, 100%, $E$9)</f>
        <v>2.4531999999999998</v>
      </c>
      <c r="D38" s="9">
        <f>2.4541 * CHOOSE(CONTROL!$C$32, $C$9, 100%, $E$9)</f>
        <v>2.4540999999999999</v>
      </c>
      <c r="E38" s="11">
        <f>3.8055 * CHOOSE(CONTROL!$C$32, $C$9, 100%, $E$9)</f>
        <v>3.8054999999999999</v>
      </c>
      <c r="F38" s="11">
        <f>3.5836 * CHOOSE(CONTROL!$C$32, $C$9, 100%, $E$9)</f>
        <v>3.5836000000000001</v>
      </c>
      <c r="G38" s="11">
        <f>3.5868 * CHOOSE(CONTROL!$C$32, $C$9, 100%, $E$9)</f>
        <v>3.5868000000000002</v>
      </c>
      <c r="H38" s="11">
        <f>6.0613 * CHOOSE(CONTROL!$C$32, $C$9, 100%, $E$9)</f>
        <v>6.0613000000000001</v>
      </c>
      <c r="I38" s="11">
        <f>6.0645 * CHOOSE(CONTROL!$C$32, $C$9, 100%, $E$9)</f>
        <v>6.0644999999999998</v>
      </c>
      <c r="J38" s="11">
        <f>6.0613 * CHOOSE(CONTROL!$C$32, $C$9, 100%, $E$9)</f>
        <v>6.0613000000000001</v>
      </c>
      <c r="K38" s="11">
        <f>6.0645 * CHOOSE(CONTROL!$C$32, $C$9, 100%, $E$9)</f>
        <v>6.0644999999999998</v>
      </c>
      <c r="L38" s="11">
        <f>3.8055 * CHOOSE(CONTROL!$C$32, $C$9, 100%, $E$9)</f>
        <v>3.8054999999999999</v>
      </c>
      <c r="M38" s="11">
        <f>3.8087 * CHOOSE(CONTROL!$C$32, $C$9, 100%, $E$9)</f>
        <v>3.8087</v>
      </c>
      <c r="N38" s="11">
        <f>3.8055 * CHOOSE(CONTROL!$C$32, $C$9, 100%, $E$9)</f>
        <v>3.8054999999999999</v>
      </c>
      <c r="O38" s="11">
        <f>3.8087 * CHOOSE(CONTROL!$C$32, $C$9, 100%, $E$9)</f>
        <v>3.8087</v>
      </c>
      <c r="P38" s="14"/>
      <c r="Q38" s="11"/>
      <c r="R38" s="11"/>
    </row>
    <row r="39" spans="1:18" ht="15" x14ac:dyDescent="0.2">
      <c r="A39" s="13">
        <v>42036</v>
      </c>
      <c r="B39" s="9">
        <f>2.4638 * CHOOSE(CONTROL!$C$32, $C$9, 100%, $E$9)</f>
        <v>2.4638</v>
      </c>
      <c r="C39" s="9">
        <f>2.4638 * CHOOSE(CONTROL!$C$32, $C$9, 100%, $E$9)</f>
        <v>2.4638</v>
      </c>
      <c r="D39" s="9">
        <f>2.4647 * CHOOSE(CONTROL!$C$32, $C$9, 100%, $E$9)</f>
        <v>2.4647000000000001</v>
      </c>
      <c r="E39" s="11">
        <f>3.7577 * CHOOSE(CONTROL!$C$32, $C$9, 100%, $E$9)</f>
        <v>3.7576999999999998</v>
      </c>
      <c r="F39" s="11">
        <f>3.5836 * CHOOSE(CONTROL!$C$32, $C$9, 100%, $E$9)</f>
        <v>3.5836000000000001</v>
      </c>
      <c r="G39" s="11">
        <f>3.5868 * CHOOSE(CONTROL!$C$32, $C$9, 100%, $E$9)</f>
        <v>3.5868000000000002</v>
      </c>
      <c r="H39" s="11">
        <f>6.0739 * CHOOSE(CONTROL!$C$32, $C$9, 100%, $E$9)</f>
        <v>6.0739000000000001</v>
      </c>
      <c r="I39" s="11">
        <f>6.0771 * CHOOSE(CONTROL!$C$32, $C$9, 100%, $E$9)</f>
        <v>6.0770999999999997</v>
      </c>
      <c r="J39" s="11">
        <f>6.0739 * CHOOSE(CONTROL!$C$32, $C$9, 100%, $E$9)</f>
        <v>6.0739000000000001</v>
      </c>
      <c r="K39" s="11">
        <f>6.0771 * CHOOSE(CONTROL!$C$32, $C$9, 100%, $E$9)</f>
        <v>6.0770999999999997</v>
      </c>
      <c r="L39" s="11">
        <f>3.7577 * CHOOSE(CONTROL!$C$32, $C$9, 100%, $E$9)</f>
        <v>3.7576999999999998</v>
      </c>
      <c r="M39" s="11">
        <f>3.7609 * CHOOSE(CONTROL!$C$32, $C$9, 100%, $E$9)</f>
        <v>3.7608999999999999</v>
      </c>
      <c r="N39" s="11">
        <f>3.7577 * CHOOSE(CONTROL!$C$32, $C$9, 100%, $E$9)</f>
        <v>3.7576999999999998</v>
      </c>
      <c r="O39" s="11">
        <f>3.7609 * CHOOSE(CONTROL!$C$32, $C$9, 100%, $E$9)</f>
        <v>3.7608999999999999</v>
      </c>
      <c r="P39" s="14"/>
      <c r="Q39" s="11"/>
      <c r="R39" s="11"/>
    </row>
    <row r="40" spans="1:18" ht="15" x14ac:dyDescent="0.2">
      <c r="A40" s="13">
        <v>42064</v>
      </c>
      <c r="B40" s="9">
        <f>2.4574 * CHOOSE(CONTROL!$C$32, $C$9, 100%, $E$9)</f>
        <v>2.4573999999999998</v>
      </c>
      <c r="C40" s="9">
        <f>2.4574 * CHOOSE(CONTROL!$C$32, $C$9, 100%, $E$9)</f>
        <v>2.4573999999999998</v>
      </c>
      <c r="D40" s="9">
        <f>2.4583 * CHOOSE(CONTROL!$C$32, $C$9, 100%, $E$9)</f>
        <v>2.4582999999999999</v>
      </c>
      <c r="E40" s="11">
        <f>3.686 * CHOOSE(CONTROL!$C$32, $C$9, 100%, $E$9)</f>
        <v>3.6859999999999999</v>
      </c>
      <c r="F40" s="11">
        <f>3.5836 * CHOOSE(CONTROL!$C$32, $C$9, 100%, $E$9)</f>
        <v>3.5836000000000001</v>
      </c>
      <c r="G40" s="11">
        <f>3.5868 * CHOOSE(CONTROL!$C$32, $C$9, 100%, $E$9)</f>
        <v>3.5868000000000002</v>
      </c>
      <c r="H40" s="11">
        <f>6.0865 * CHOOSE(CONTROL!$C$32, $C$9, 100%, $E$9)</f>
        <v>6.0865</v>
      </c>
      <c r="I40" s="11">
        <f>6.0898 * CHOOSE(CONTROL!$C$32, $C$9, 100%, $E$9)</f>
        <v>6.0898000000000003</v>
      </c>
      <c r="J40" s="11">
        <f>6.0865 * CHOOSE(CONTROL!$C$32, $C$9, 100%, $E$9)</f>
        <v>6.0865</v>
      </c>
      <c r="K40" s="11">
        <f>6.0898 * CHOOSE(CONTROL!$C$32, $C$9, 100%, $E$9)</f>
        <v>6.0898000000000003</v>
      </c>
      <c r="L40" s="11">
        <f>3.686 * CHOOSE(CONTROL!$C$32, $C$9, 100%, $E$9)</f>
        <v>3.6859999999999999</v>
      </c>
      <c r="M40" s="11">
        <f>3.6892 * CHOOSE(CONTROL!$C$32, $C$9, 100%, $E$9)</f>
        <v>3.6892</v>
      </c>
      <c r="N40" s="11">
        <f>3.686 * CHOOSE(CONTROL!$C$32, $C$9, 100%, $E$9)</f>
        <v>3.6859999999999999</v>
      </c>
      <c r="O40" s="11">
        <f>3.6892 * CHOOSE(CONTROL!$C$32, $C$9, 100%, $E$9)</f>
        <v>3.6892</v>
      </c>
      <c r="P40" s="14"/>
      <c r="Q40" s="11"/>
      <c r="R40" s="11"/>
    </row>
    <row r="41" spans="1:18" ht="15" x14ac:dyDescent="0.2">
      <c r="A41" s="13">
        <v>42095</v>
      </c>
      <c r="B41" s="9">
        <f>2.4574 * CHOOSE(CONTROL!$C$32, $C$9, 100%, $E$9)</f>
        <v>2.4573999999999998</v>
      </c>
      <c r="C41" s="9">
        <f>2.4574 * CHOOSE(CONTROL!$C$32, $C$9, 100%, $E$9)</f>
        <v>2.4573999999999998</v>
      </c>
      <c r="D41" s="9">
        <f>2.4583 * CHOOSE(CONTROL!$C$32, $C$9, 100%, $E$9)</f>
        <v>2.4582999999999999</v>
      </c>
      <c r="E41" s="11">
        <f>3.6986 * CHOOSE(CONTROL!$C$32, $C$9, 100%, $E$9)</f>
        <v>3.6985999999999999</v>
      </c>
      <c r="F41" s="11">
        <f>3.5836 * CHOOSE(CONTROL!$C$32, $C$9, 100%, $E$9)</f>
        <v>3.5836000000000001</v>
      </c>
      <c r="G41" s="11">
        <f>3.5868 * CHOOSE(CONTROL!$C$32, $C$9, 100%, $E$9)</f>
        <v>3.5868000000000002</v>
      </c>
      <c r="H41" s="11">
        <f>6.0992 * CHOOSE(CONTROL!$C$32, $C$9, 100%, $E$9)</f>
        <v>6.0991999999999997</v>
      </c>
      <c r="I41" s="11">
        <f>6.1025 * CHOOSE(CONTROL!$C$32, $C$9, 100%, $E$9)</f>
        <v>6.1025</v>
      </c>
      <c r="J41" s="11">
        <f>6.0992 * CHOOSE(CONTROL!$C$32, $C$9, 100%, $E$9)</f>
        <v>6.0991999999999997</v>
      </c>
      <c r="K41" s="11">
        <f>6.1025 * CHOOSE(CONTROL!$C$32, $C$9, 100%, $E$9)</f>
        <v>6.1025</v>
      </c>
      <c r="L41" s="11">
        <f>3.6986 * CHOOSE(CONTROL!$C$32, $C$9, 100%, $E$9)</f>
        <v>3.6985999999999999</v>
      </c>
      <c r="M41" s="11">
        <f>3.7018 * CHOOSE(CONTROL!$C$32, $C$9, 100%, $E$9)</f>
        <v>3.7018</v>
      </c>
      <c r="N41" s="11">
        <f>3.6986 * CHOOSE(CONTROL!$C$32, $C$9, 100%, $E$9)</f>
        <v>3.6985999999999999</v>
      </c>
      <c r="O41" s="11">
        <f>3.7018 * CHOOSE(CONTROL!$C$32, $C$9, 100%, $E$9)</f>
        <v>3.7018</v>
      </c>
      <c r="P41" s="14"/>
      <c r="Q41" s="11"/>
      <c r="R41" s="11"/>
    </row>
    <row r="42" spans="1:18" ht="15" x14ac:dyDescent="0.2">
      <c r="A42" s="13">
        <v>42125</v>
      </c>
      <c r="B42" s="9">
        <f>2.4559 * CHOOSE(CONTROL!$C$32, $C$9, 100%, $E$9)</f>
        <v>2.4559000000000002</v>
      </c>
      <c r="C42" s="9">
        <f>2.4559 * CHOOSE(CONTROL!$C$32, $C$9, 100%, $E$9)</f>
        <v>2.4559000000000002</v>
      </c>
      <c r="D42" s="9">
        <f>2.4572 * CHOOSE(CONTROL!$C$32, $C$9, 100%, $E$9)</f>
        <v>2.4571999999999998</v>
      </c>
      <c r="E42" s="11">
        <f>3.7718 * CHOOSE(CONTROL!$C$32, $C$9, 100%, $E$9)</f>
        <v>3.7717999999999998</v>
      </c>
      <c r="F42" s="11">
        <f>3.5836 * CHOOSE(CONTROL!$C$32, $C$9, 100%, $E$9)</f>
        <v>3.5836000000000001</v>
      </c>
      <c r="G42" s="11">
        <f>3.5878 * CHOOSE(CONTROL!$C$32, $C$9, 100%, $E$9)</f>
        <v>3.5878000000000001</v>
      </c>
      <c r="H42" s="11">
        <f>6.1119 * CHOOSE(CONTROL!$C$32, $C$9, 100%, $E$9)</f>
        <v>6.1119000000000003</v>
      </c>
      <c r="I42" s="11">
        <f>6.1161 * CHOOSE(CONTROL!$C$32, $C$9, 100%, $E$9)</f>
        <v>6.1161000000000003</v>
      </c>
      <c r="J42" s="11">
        <f>6.1119 * CHOOSE(CONTROL!$C$32, $C$9, 100%, $E$9)</f>
        <v>6.1119000000000003</v>
      </c>
      <c r="K42" s="11">
        <f>6.1161 * CHOOSE(CONTROL!$C$32, $C$9, 100%, $E$9)</f>
        <v>6.1161000000000003</v>
      </c>
      <c r="L42" s="11">
        <f>3.7718 * CHOOSE(CONTROL!$C$32, $C$9, 100%, $E$9)</f>
        <v>3.7717999999999998</v>
      </c>
      <c r="M42" s="11">
        <f>3.776 * CHOOSE(CONTROL!$C$32, $C$9, 100%, $E$9)</f>
        <v>3.7759999999999998</v>
      </c>
      <c r="N42" s="11">
        <f>3.7718 * CHOOSE(CONTROL!$C$32, $C$9, 100%, $E$9)</f>
        <v>3.7717999999999998</v>
      </c>
      <c r="O42" s="11">
        <f>3.776 * CHOOSE(CONTROL!$C$32, $C$9, 100%, $E$9)</f>
        <v>3.7759999999999998</v>
      </c>
      <c r="P42" s="14"/>
      <c r="Q42" s="11"/>
      <c r="R42" s="11"/>
    </row>
    <row r="43" spans="1:18" ht="15" x14ac:dyDescent="0.2">
      <c r="A43" s="13">
        <v>42156</v>
      </c>
      <c r="B43" s="9">
        <f>2.4775 * CHOOSE(CONTROL!$C$32, $C$9, 100%, $E$9)</f>
        <v>2.4775</v>
      </c>
      <c r="C43" s="9">
        <f>2.4775 * CHOOSE(CONTROL!$C$32, $C$9, 100%, $E$9)</f>
        <v>2.4775</v>
      </c>
      <c r="D43" s="9">
        <f>2.4788 * CHOOSE(CONTROL!$C$32, $C$9, 100%, $E$9)</f>
        <v>2.4788000000000001</v>
      </c>
      <c r="E43" s="11">
        <f>3.8167 * CHOOSE(CONTROL!$C$32, $C$9, 100%, $E$9)</f>
        <v>3.8167</v>
      </c>
      <c r="F43" s="11">
        <f>3.5836 * CHOOSE(CONTROL!$C$32, $C$9, 100%, $E$9)</f>
        <v>3.5836000000000001</v>
      </c>
      <c r="G43" s="11">
        <f>3.5878 * CHOOSE(CONTROL!$C$32, $C$9, 100%, $E$9)</f>
        <v>3.5878000000000001</v>
      </c>
      <c r="H43" s="11">
        <f>6.1247 * CHOOSE(CONTROL!$C$32, $C$9, 100%, $E$9)</f>
        <v>6.1246999999999998</v>
      </c>
      <c r="I43" s="11">
        <f>6.1289 * CHOOSE(CONTROL!$C$32, $C$9, 100%, $E$9)</f>
        <v>6.1288999999999998</v>
      </c>
      <c r="J43" s="11">
        <f>6.1247 * CHOOSE(CONTROL!$C$32, $C$9, 100%, $E$9)</f>
        <v>6.1246999999999998</v>
      </c>
      <c r="K43" s="11">
        <f>6.1289 * CHOOSE(CONTROL!$C$32, $C$9, 100%, $E$9)</f>
        <v>6.1288999999999998</v>
      </c>
      <c r="L43" s="11">
        <f>3.8167 * CHOOSE(CONTROL!$C$32, $C$9, 100%, $E$9)</f>
        <v>3.8167</v>
      </c>
      <c r="M43" s="11">
        <f>3.8209 * CHOOSE(CONTROL!$C$32, $C$9, 100%, $E$9)</f>
        <v>3.8209</v>
      </c>
      <c r="N43" s="11">
        <f>3.8167 * CHOOSE(CONTROL!$C$32, $C$9, 100%, $E$9)</f>
        <v>3.8167</v>
      </c>
      <c r="O43" s="11">
        <f>3.8209 * CHOOSE(CONTROL!$C$32, $C$9, 100%, $E$9)</f>
        <v>3.8209</v>
      </c>
      <c r="P43" s="14"/>
      <c r="Q43" s="11"/>
      <c r="R43" s="11"/>
    </row>
    <row r="44" spans="1:18" ht="15" x14ac:dyDescent="0.2">
      <c r="A44" s="13">
        <v>42186</v>
      </c>
      <c r="B44" s="9">
        <f>2.5019 * CHOOSE(CONTROL!$C$32, $C$9, 100%, $E$9)</f>
        <v>2.5019</v>
      </c>
      <c r="C44" s="9">
        <f>2.5019 * CHOOSE(CONTROL!$C$32, $C$9, 100%, $E$9)</f>
        <v>2.5019</v>
      </c>
      <c r="D44" s="9">
        <f>2.5031 * CHOOSE(CONTROL!$C$32, $C$9, 100%, $E$9)</f>
        <v>2.5030999999999999</v>
      </c>
      <c r="E44" s="11">
        <f>3.8864 * CHOOSE(CONTROL!$C$32, $C$9, 100%, $E$9)</f>
        <v>3.8864000000000001</v>
      </c>
      <c r="F44" s="11">
        <f>3.5836 * CHOOSE(CONTROL!$C$32, $C$9, 100%, $E$9)</f>
        <v>3.5836000000000001</v>
      </c>
      <c r="G44" s="11">
        <f>3.5878 * CHOOSE(CONTROL!$C$32, $C$9, 100%, $E$9)</f>
        <v>3.5878000000000001</v>
      </c>
      <c r="H44" s="11">
        <f>6.1374 * CHOOSE(CONTROL!$C$32, $C$9, 100%, $E$9)</f>
        <v>6.1374000000000004</v>
      </c>
      <c r="I44" s="11">
        <f>6.1416 * CHOOSE(CONTROL!$C$32, $C$9, 100%, $E$9)</f>
        <v>6.1416000000000004</v>
      </c>
      <c r="J44" s="11">
        <f>6.1374 * CHOOSE(CONTROL!$C$32, $C$9, 100%, $E$9)</f>
        <v>6.1374000000000004</v>
      </c>
      <c r="K44" s="11">
        <f>6.1416 * CHOOSE(CONTROL!$C$32, $C$9, 100%, $E$9)</f>
        <v>6.1416000000000004</v>
      </c>
      <c r="L44" s="11">
        <f>3.8864 * CHOOSE(CONTROL!$C$32, $C$9, 100%, $E$9)</f>
        <v>3.8864000000000001</v>
      </c>
      <c r="M44" s="11">
        <f>3.8906 * CHOOSE(CONTROL!$C$32, $C$9, 100%, $E$9)</f>
        <v>3.8906000000000001</v>
      </c>
      <c r="N44" s="11">
        <f>3.8864 * CHOOSE(CONTROL!$C$32, $C$9, 100%, $E$9)</f>
        <v>3.8864000000000001</v>
      </c>
      <c r="O44" s="11">
        <f>3.8906 * CHOOSE(CONTROL!$C$32, $C$9, 100%, $E$9)</f>
        <v>3.8906000000000001</v>
      </c>
      <c r="P44" s="14"/>
      <c r="Q44" s="11"/>
      <c r="R44" s="11"/>
    </row>
    <row r="45" spans="1:18" ht="15" x14ac:dyDescent="0.2">
      <c r="A45" s="13">
        <v>42217</v>
      </c>
      <c r="B45" s="9">
        <f>2.5126 * CHOOSE(CONTROL!$C$32, $C$9, 100%, $E$9)</f>
        <v>2.5125999999999999</v>
      </c>
      <c r="C45" s="9">
        <f>2.5126 * CHOOSE(CONTROL!$C$32, $C$9, 100%, $E$9)</f>
        <v>2.5125999999999999</v>
      </c>
      <c r="D45" s="9">
        <f>2.5139 * CHOOSE(CONTROL!$C$32, $C$9, 100%, $E$9)</f>
        <v>2.5139</v>
      </c>
      <c r="E45" s="11">
        <f>3.8864 * CHOOSE(CONTROL!$C$32, $C$9, 100%, $E$9)</f>
        <v>3.8864000000000001</v>
      </c>
      <c r="F45" s="11">
        <f>3.5836 * CHOOSE(CONTROL!$C$32, $C$9, 100%, $E$9)</f>
        <v>3.5836000000000001</v>
      </c>
      <c r="G45" s="11">
        <f>3.5878 * CHOOSE(CONTROL!$C$32, $C$9, 100%, $E$9)</f>
        <v>3.5878000000000001</v>
      </c>
      <c r="H45" s="11">
        <f>6.1502 * CHOOSE(CONTROL!$C$32, $C$9, 100%, $E$9)</f>
        <v>6.1501999999999999</v>
      </c>
      <c r="I45" s="11">
        <f>6.1544 * CHOOSE(CONTROL!$C$32, $C$9, 100%, $E$9)</f>
        <v>6.1543999999999999</v>
      </c>
      <c r="J45" s="11">
        <f>6.1502 * CHOOSE(CONTROL!$C$32, $C$9, 100%, $E$9)</f>
        <v>6.1501999999999999</v>
      </c>
      <c r="K45" s="11">
        <f>6.1544 * CHOOSE(CONTROL!$C$32, $C$9, 100%, $E$9)</f>
        <v>6.1543999999999999</v>
      </c>
      <c r="L45" s="11">
        <f>3.8864 * CHOOSE(CONTROL!$C$32, $C$9, 100%, $E$9)</f>
        <v>3.8864000000000001</v>
      </c>
      <c r="M45" s="11">
        <f>3.8906 * CHOOSE(CONTROL!$C$32, $C$9, 100%, $E$9)</f>
        <v>3.8906000000000001</v>
      </c>
      <c r="N45" s="11">
        <f>3.8864 * CHOOSE(CONTROL!$C$32, $C$9, 100%, $E$9)</f>
        <v>3.8864000000000001</v>
      </c>
      <c r="O45" s="11">
        <f>3.8906 * CHOOSE(CONTROL!$C$32, $C$9, 100%, $E$9)</f>
        <v>3.8906000000000001</v>
      </c>
      <c r="P45" s="14"/>
      <c r="Q45" s="11"/>
      <c r="R45" s="11"/>
    </row>
    <row r="46" spans="1:18" ht="15" x14ac:dyDescent="0.2">
      <c r="A46" s="13">
        <v>42248</v>
      </c>
      <c r="B46" s="9">
        <f>2.5129 * CHOOSE(CONTROL!$C$32, $C$9, 100%, $E$9)</f>
        <v>2.5129000000000001</v>
      </c>
      <c r="C46" s="9">
        <f>2.5129 * CHOOSE(CONTROL!$C$32, $C$9, 100%, $E$9)</f>
        <v>2.5129000000000001</v>
      </c>
      <c r="D46" s="9">
        <f>2.5142 * CHOOSE(CONTROL!$C$32, $C$9, 100%, $E$9)</f>
        <v>2.5142000000000002</v>
      </c>
      <c r="E46" s="11">
        <f>3.7811 * CHOOSE(CONTROL!$C$32, $C$9, 100%, $E$9)</f>
        <v>3.7810999999999999</v>
      </c>
      <c r="F46" s="11">
        <f>3.5836 * CHOOSE(CONTROL!$C$32, $C$9, 100%, $E$9)</f>
        <v>3.5836000000000001</v>
      </c>
      <c r="G46" s="11">
        <f>3.5878 * CHOOSE(CONTROL!$C$32, $C$9, 100%, $E$9)</f>
        <v>3.5878000000000001</v>
      </c>
      <c r="H46" s="11">
        <f>6.163 * CHOOSE(CONTROL!$C$32, $C$9, 100%, $E$9)</f>
        <v>6.1630000000000003</v>
      </c>
      <c r="I46" s="11">
        <f>6.1672 * CHOOSE(CONTROL!$C$32, $C$9, 100%, $E$9)</f>
        <v>6.1672000000000002</v>
      </c>
      <c r="J46" s="11">
        <f>6.163 * CHOOSE(CONTROL!$C$32, $C$9, 100%, $E$9)</f>
        <v>6.1630000000000003</v>
      </c>
      <c r="K46" s="11">
        <f>6.1672 * CHOOSE(CONTROL!$C$32, $C$9, 100%, $E$9)</f>
        <v>6.1672000000000002</v>
      </c>
      <c r="L46" s="11">
        <f>3.7811 * CHOOSE(CONTROL!$C$32, $C$9, 100%, $E$9)</f>
        <v>3.7810999999999999</v>
      </c>
      <c r="M46" s="11">
        <f>3.7853 * CHOOSE(CONTROL!$C$32, $C$9, 100%, $E$9)</f>
        <v>3.7852999999999999</v>
      </c>
      <c r="N46" s="11">
        <f>3.7811 * CHOOSE(CONTROL!$C$32, $C$9, 100%, $E$9)</f>
        <v>3.7810999999999999</v>
      </c>
      <c r="O46" s="11">
        <f>3.7853 * CHOOSE(CONTROL!$C$32, $C$9, 100%, $E$9)</f>
        <v>3.7852999999999999</v>
      </c>
      <c r="P46" s="14"/>
      <c r="Q46" s="11"/>
      <c r="R46" s="11"/>
    </row>
    <row r="47" spans="1:18" ht="15" x14ac:dyDescent="0.2">
      <c r="A47" s="13">
        <v>42278</v>
      </c>
      <c r="B47" s="9">
        <f>2.5008 * CHOOSE(CONTROL!$C$32, $C$9, 100%, $E$9)</f>
        <v>2.5007999999999999</v>
      </c>
      <c r="C47" s="9">
        <f>2.5008 * CHOOSE(CONTROL!$C$32, $C$9, 100%, $E$9)</f>
        <v>2.5007999999999999</v>
      </c>
      <c r="D47" s="9">
        <f>2.5017 * CHOOSE(CONTROL!$C$32, $C$9, 100%, $E$9)</f>
        <v>2.5017</v>
      </c>
      <c r="E47" s="11">
        <f>3.865 * CHOOSE(CONTROL!$C$32, $C$9, 100%, $E$9)</f>
        <v>3.8650000000000002</v>
      </c>
      <c r="F47" s="11">
        <f>3.5836 * CHOOSE(CONTROL!$C$32, $C$9, 100%, $E$9)</f>
        <v>3.5836000000000001</v>
      </c>
      <c r="G47" s="11">
        <f>3.5868 * CHOOSE(CONTROL!$C$32, $C$9, 100%, $E$9)</f>
        <v>3.5868000000000002</v>
      </c>
      <c r="H47" s="11">
        <f>6.1759 * CHOOSE(CONTROL!$C$32, $C$9, 100%, $E$9)</f>
        <v>6.1759000000000004</v>
      </c>
      <c r="I47" s="11">
        <f>6.1791 * CHOOSE(CONTROL!$C$32, $C$9, 100%, $E$9)</f>
        <v>6.1791</v>
      </c>
      <c r="J47" s="11">
        <f>6.1759 * CHOOSE(CONTROL!$C$32, $C$9, 100%, $E$9)</f>
        <v>6.1759000000000004</v>
      </c>
      <c r="K47" s="11">
        <f>6.1791 * CHOOSE(CONTROL!$C$32, $C$9, 100%, $E$9)</f>
        <v>6.1791</v>
      </c>
      <c r="L47" s="11">
        <f>3.865 * CHOOSE(CONTROL!$C$32, $C$9, 100%, $E$9)</f>
        <v>3.8650000000000002</v>
      </c>
      <c r="M47" s="11">
        <f>3.8682 * CHOOSE(CONTROL!$C$32, $C$9, 100%, $E$9)</f>
        <v>3.8681999999999999</v>
      </c>
      <c r="N47" s="11">
        <f>3.865 * CHOOSE(CONTROL!$C$32, $C$9, 100%, $E$9)</f>
        <v>3.8650000000000002</v>
      </c>
      <c r="O47" s="11">
        <f>3.8682 * CHOOSE(CONTROL!$C$32, $C$9, 100%, $E$9)</f>
        <v>3.8681999999999999</v>
      </c>
      <c r="P47" s="14"/>
      <c r="Q47" s="11"/>
      <c r="R47" s="11"/>
    </row>
    <row r="48" spans="1:18" ht="15" x14ac:dyDescent="0.2">
      <c r="A48" s="13">
        <v>42309</v>
      </c>
      <c r="B48" s="9">
        <f>2.5055 * CHOOSE(CONTROL!$C$32, $C$9, 100%, $E$9)</f>
        <v>2.5055000000000001</v>
      </c>
      <c r="C48" s="9">
        <f>2.5055 * CHOOSE(CONTROL!$C$32, $C$9, 100%, $E$9)</f>
        <v>2.5055000000000001</v>
      </c>
      <c r="D48" s="9">
        <f>2.5064 * CHOOSE(CONTROL!$C$32, $C$9, 100%, $E$9)</f>
        <v>2.5064000000000002</v>
      </c>
      <c r="E48" s="11">
        <f>3.865 * CHOOSE(CONTROL!$C$32, $C$9, 100%, $E$9)</f>
        <v>3.8650000000000002</v>
      </c>
      <c r="F48" s="11">
        <f>3.5836 * CHOOSE(CONTROL!$C$32, $C$9, 100%, $E$9)</f>
        <v>3.5836000000000001</v>
      </c>
      <c r="G48" s="11">
        <f>3.5868 * CHOOSE(CONTROL!$C$32, $C$9, 100%, $E$9)</f>
        <v>3.5868000000000002</v>
      </c>
      <c r="H48" s="11">
        <f>6.1887 * CHOOSE(CONTROL!$C$32, $C$9, 100%, $E$9)</f>
        <v>6.1886999999999999</v>
      </c>
      <c r="I48" s="11">
        <f>6.192 * CHOOSE(CONTROL!$C$32, $C$9, 100%, $E$9)</f>
        <v>6.1920000000000002</v>
      </c>
      <c r="J48" s="11">
        <f>6.1887 * CHOOSE(CONTROL!$C$32, $C$9, 100%, $E$9)</f>
        <v>6.1886999999999999</v>
      </c>
      <c r="K48" s="11">
        <f>6.192 * CHOOSE(CONTROL!$C$32, $C$9, 100%, $E$9)</f>
        <v>6.1920000000000002</v>
      </c>
      <c r="L48" s="11">
        <f>3.865 * CHOOSE(CONTROL!$C$32, $C$9, 100%, $E$9)</f>
        <v>3.8650000000000002</v>
      </c>
      <c r="M48" s="11">
        <f>3.8682 * CHOOSE(CONTROL!$C$32, $C$9, 100%, $E$9)</f>
        <v>3.8681999999999999</v>
      </c>
      <c r="N48" s="11">
        <f>3.865 * CHOOSE(CONTROL!$C$32, $C$9, 100%, $E$9)</f>
        <v>3.8650000000000002</v>
      </c>
      <c r="O48" s="11">
        <f>3.8682 * CHOOSE(CONTROL!$C$32, $C$9, 100%, $E$9)</f>
        <v>3.8681999999999999</v>
      </c>
      <c r="P48" s="14"/>
      <c r="Q48" s="11"/>
      <c r="R48" s="11"/>
    </row>
    <row r="49" spans="1:18" ht="15" x14ac:dyDescent="0.2">
      <c r="A49" s="13">
        <v>42339</v>
      </c>
      <c r="B49" s="9">
        <f>2.5088 * CHOOSE(CONTROL!$C$32, $C$9, 100%, $E$9)</f>
        <v>2.5087999999999999</v>
      </c>
      <c r="C49" s="9">
        <f>2.5088 * CHOOSE(CONTROL!$C$32, $C$9, 100%, $E$9)</f>
        <v>2.5087999999999999</v>
      </c>
      <c r="D49" s="9">
        <f>2.5098 * CHOOSE(CONTROL!$C$32, $C$9, 100%, $E$9)</f>
        <v>2.5097999999999998</v>
      </c>
      <c r="E49" s="11">
        <f>3.8041 * CHOOSE(CONTROL!$C$32, $C$9, 100%, $E$9)</f>
        <v>3.8041</v>
      </c>
      <c r="F49" s="11">
        <f>3.5836 * CHOOSE(CONTROL!$C$32, $C$9, 100%, $E$9)</f>
        <v>3.5836000000000001</v>
      </c>
      <c r="G49" s="11">
        <f>3.5868 * CHOOSE(CONTROL!$C$32, $C$9, 100%, $E$9)</f>
        <v>3.5868000000000002</v>
      </c>
      <c r="H49" s="11">
        <f>6.2016 * CHOOSE(CONTROL!$C$32, $C$9, 100%, $E$9)</f>
        <v>6.2016</v>
      </c>
      <c r="I49" s="11">
        <f>6.2048 * CHOOSE(CONTROL!$C$32, $C$9, 100%, $E$9)</f>
        <v>6.2047999999999996</v>
      </c>
      <c r="J49" s="11">
        <f>6.2016 * CHOOSE(CONTROL!$C$32, $C$9, 100%, $E$9)</f>
        <v>6.2016</v>
      </c>
      <c r="K49" s="11">
        <f>6.2048 * CHOOSE(CONTROL!$C$32, $C$9, 100%, $E$9)</f>
        <v>6.2047999999999996</v>
      </c>
      <c r="L49" s="11">
        <f>3.8041 * CHOOSE(CONTROL!$C$32, $C$9, 100%, $E$9)</f>
        <v>3.8041</v>
      </c>
      <c r="M49" s="11">
        <f>3.8073 * CHOOSE(CONTROL!$C$32, $C$9, 100%, $E$9)</f>
        <v>3.8073000000000001</v>
      </c>
      <c r="N49" s="11">
        <f>3.8041 * CHOOSE(CONTROL!$C$32, $C$9, 100%, $E$9)</f>
        <v>3.8041</v>
      </c>
      <c r="O49" s="11">
        <f>3.8073 * CHOOSE(CONTROL!$C$32, $C$9, 100%, $E$9)</f>
        <v>3.8073000000000001</v>
      </c>
      <c r="P49" s="14"/>
      <c r="Q49" s="11"/>
      <c r="R49" s="11"/>
    </row>
    <row r="50" spans="1:18" ht="15" x14ac:dyDescent="0.2">
      <c r="A50" s="13">
        <v>42370</v>
      </c>
      <c r="B50" s="9">
        <f>3.2679 * CHOOSE(CONTROL!$C$32, $C$9, 100%, $E$9)</f>
        <v>3.2679</v>
      </c>
      <c r="C50" s="9">
        <f>3.2679 * CHOOSE(CONTROL!$C$32, $C$9, 100%, $E$9)</f>
        <v>3.2679</v>
      </c>
      <c r="D50" s="9">
        <f>3.2689 * CHOOSE(CONTROL!$C$32, $C$9, 100%, $E$9)</f>
        <v>3.2688999999999999</v>
      </c>
      <c r="E50" s="11">
        <f>3.9546 * CHOOSE(CONTROL!$C$32, $C$9, 100%, $E$9)</f>
        <v>3.9546000000000001</v>
      </c>
      <c r="F50" s="11">
        <f>3.6856 * CHOOSE(CONTROL!$C$32, $C$9, 100%, $E$9)</f>
        <v>3.6856</v>
      </c>
      <c r="G50" s="11">
        <f>3.6888 * CHOOSE(CONTROL!$C$32, $C$9, 100%, $E$9)</f>
        <v>3.6888000000000001</v>
      </c>
      <c r="H50" s="11">
        <f>6.2145 * CHOOSE(CONTROL!$C$32, $C$9, 100%, $E$9)</f>
        <v>6.2145000000000001</v>
      </c>
      <c r="I50" s="11">
        <f>6.2178 * CHOOSE(CONTROL!$C$32, $C$9, 100%, $E$9)</f>
        <v>6.2178000000000004</v>
      </c>
      <c r="J50" s="11">
        <f>6.2145 * CHOOSE(CONTROL!$C$32, $C$9, 100%, $E$9)</f>
        <v>6.2145000000000001</v>
      </c>
      <c r="K50" s="11">
        <f>6.2178 * CHOOSE(CONTROL!$C$32, $C$9, 100%, $E$9)</f>
        <v>6.2178000000000004</v>
      </c>
      <c r="L50" s="11">
        <f>3.9546 * CHOOSE(CONTROL!$C$32, $C$9, 100%, $E$9)</f>
        <v>3.9546000000000001</v>
      </c>
      <c r="M50" s="11">
        <f>3.9578 * CHOOSE(CONTROL!$C$32, $C$9, 100%, $E$9)</f>
        <v>3.9578000000000002</v>
      </c>
      <c r="N50" s="11">
        <f>3.9546 * CHOOSE(CONTROL!$C$32, $C$9, 100%, $E$9)</f>
        <v>3.9546000000000001</v>
      </c>
      <c r="O50" s="11">
        <f>3.9578 * CHOOSE(CONTROL!$C$32, $C$9, 100%, $E$9)</f>
        <v>3.9578000000000002</v>
      </c>
      <c r="P50" s="14"/>
      <c r="Q50" s="11"/>
      <c r="R50" s="11"/>
    </row>
    <row r="51" spans="1:18" ht="15" x14ac:dyDescent="0.2">
      <c r="A51" s="13">
        <v>42401</v>
      </c>
      <c r="B51" s="9">
        <f>3.2731 * CHOOSE(CONTROL!$C$32, $C$9, 100%, $E$9)</f>
        <v>3.2730999999999999</v>
      </c>
      <c r="C51" s="9">
        <f>3.2731 * CHOOSE(CONTROL!$C$32, $C$9, 100%, $E$9)</f>
        <v>3.2730999999999999</v>
      </c>
      <c r="D51" s="9">
        <f>3.274 * CHOOSE(CONTROL!$C$32, $C$9, 100%, $E$9)</f>
        <v>3.274</v>
      </c>
      <c r="E51" s="11">
        <f>3.8942 * CHOOSE(CONTROL!$C$32, $C$9, 100%, $E$9)</f>
        <v>3.8942000000000001</v>
      </c>
      <c r="F51" s="11">
        <f>3.6856 * CHOOSE(CONTROL!$C$32, $C$9, 100%, $E$9)</f>
        <v>3.6856</v>
      </c>
      <c r="G51" s="11">
        <f>3.6888 * CHOOSE(CONTROL!$C$32, $C$9, 100%, $E$9)</f>
        <v>3.6888000000000001</v>
      </c>
      <c r="H51" s="11">
        <f>6.2275 * CHOOSE(CONTROL!$C$32, $C$9, 100%, $E$9)</f>
        <v>6.2275</v>
      </c>
      <c r="I51" s="11">
        <f>6.2307 * CHOOSE(CONTROL!$C$32, $C$9, 100%, $E$9)</f>
        <v>6.2306999999999997</v>
      </c>
      <c r="J51" s="11">
        <f>6.2275 * CHOOSE(CONTROL!$C$32, $C$9, 100%, $E$9)</f>
        <v>6.2275</v>
      </c>
      <c r="K51" s="11">
        <f>6.2307 * CHOOSE(CONTROL!$C$32, $C$9, 100%, $E$9)</f>
        <v>6.2306999999999997</v>
      </c>
      <c r="L51" s="11">
        <f>3.8942 * CHOOSE(CONTROL!$C$32, $C$9, 100%, $E$9)</f>
        <v>3.8942000000000001</v>
      </c>
      <c r="M51" s="11">
        <f>3.8974 * CHOOSE(CONTROL!$C$32, $C$9, 100%, $E$9)</f>
        <v>3.8974000000000002</v>
      </c>
      <c r="N51" s="11">
        <f>3.8942 * CHOOSE(CONTROL!$C$32, $C$9, 100%, $E$9)</f>
        <v>3.8942000000000001</v>
      </c>
      <c r="O51" s="11">
        <f>3.8974 * CHOOSE(CONTROL!$C$32, $C$9, 100%, $E$9)</f>
        <v>3.8974000000000002</v>
      </c>
      <c r="P51" s="14"/>
      <c r="Q51" s="11"/>
      <c r="R51" s="11"/>
    </row>
    <row r="52" spans="1:18" ht="15" x14ac:dyDescent="0.2">
      <c r="A52" s="13">
        <v>42430</v>
      </c>
      <c r="B52" s="9">
        <f>3.2698 * CHOOSE(CONTROL!$C$32, $C$9, 100%, $E$9)</f>
        <v>3.2698</v>
      </c>
      <c r="C52" s="9">
        <f>3.2698 * CHOOSE(CONTROL!$C$32, $C$9, 100%, $E$9)</f>
        <v>3.2698</v>
      </c>
      <c r="D52" s="9">
        <f>3.2708 * CHOOSE(CONTROL!$C$32, $C$9, 100%, $E$9)</f>
        <v>3.2707999999999999</v>
      </c>
      <c r="E52" s="11">
        <f>3.8028 * CHOOSE(CONTROL!$C$32, $C$9, 100%, $E$9)</f>
        <v>3.8028</v>
      </c>
      <c r="F52" s="11">
        <f>3.6856 * CHOOSE(CONTROL!$C$32, $C$9, 100%, $E$9)</f>
        <v>3.6856</v>
      </c>
      <c r="G52" s="11">
        <f>3.6888 * CHOOSE(CONTROL!$C$32, $C$9, 100%, $E$9)</f>
        <v>3.6888000000000001</v>
      </c>
      <c r="H52" s="11">
        <f>6.2405 * CHOOSE(CONTROL!$C$32, $C$9, 100%, $E$9)</f>
        <v>6.2404999999999999</v>
      </c>
      <c r="I52" s="11">
        <f>6.2437 * CHOOSE(CONTROL!$C$32, $C$9, 100%, $E$9)</f>
        <v>6.2436999999999996</v>
      </c>
      <c r="J52" s="11">
        <f>6.2405 * CHOOSE(CONTROL!$C$32, $C$9, 100%, $E$9)</f>
        <v>6.2404999999999999</v>
      </c>
      <c r="K52" s="11">
        <f>6.2437 * CHOOSE(CONTROL!$C$32, $C$9, 100%, $E$9)</f>
        <v>6.2436999999999996</v>
      </c>
      <c r="L52" s="11">
        <f>3.8028 * CHOOSE(CONTROL!$C$32, $C$9, 100%, $E$9)</f>
        <v>3.8028</v>
      </c>
      <c r="M52" s="11">
        <f>3.806 * CHOOSE(CONTROL!$C$32, $C$9, 100%, $E$9)</f>
        <v>3.806</v>
      </c>
      <c r="N52" s="11">
        <f>3.8028 * CHOOSE(CONTROL!$C$32, $C$9, 100%, $E$9)</f>
        <v>3.8028</v>
      </c>
      <c r="O52" s="11">
        <f>3.806 * CHOOSE(CONTROL!$C$32, $C$9, 100%, $E$9)</f>
        <v>3.806</v>
      </c>
      <c r="P52" s="14"/>
      <c r="Q52" s="11"/>
      <c r="R52" s="11"/>
    </row>
    <row r="53" spans="1:18" ht="15" x14ac:dyDescent="0.2">
      <c r="A53" s="13">
        <v>42461</v>
      </c>
      <c r="B53" s="9">
        <f>3.2637 * CHOOSE(CONTROL!$C$32, $C$9, 100%, $E$9)</f>
        <v>3.2637</v>
      </c>
      <c r="C53" s="9">
        <f>3.2637 * CHOOSE(CONTROL!$C$32, $C$9, 100%, $E$9)</f>
        <v>3.2637</v>
      </c>
      <c r="D53" s="9">
        <f>3.2647 * CHOOSE(CONTROL!$C$32, $C$9, 100%, $E$9)</f>
        <v>3.2646999999999999</v>
      </c>
      <c r="E53" s="11">
        <f>3.8942 * CHOOSE(CONTROL!$C$32, $C$9, 100%, $E$9)</f>
        <v>3.8942000000000001</v>
      </c>
      <c r="F53" s="11">
        <f>3.6856 * CHOOSE(CONTROL!$C$32, $C$9, 100%, $E$9)</f>
        <v>3.6856</v>
      </c>
      <c r="G53" s="11">
        <f>3.6888 * CHOOSE(CONTROL!$C$32, $C$9, 100%, $E$9)</f>
        <v>3.6888000000000001</v>
      </c>
      <c r="H53" s="11">
        <f>6.2535 * CHOOSE(CONTROL!$C$32, $C$9, 100%, $E$9)</f>
        <v>6.2534999999999998</v>
      </c>
      <c r="I53" s="11">
        <f>6.2567 * CHOOSE(CONTROL!$C$32, $C$9, 100%, $E$9)</f>
        <v>6.2567000000000004</v>
      </c>
      <c r="J53" s="11">
        <f>6.2535 * CHOOSE(CONTROL!$C$32, $C$9, 100%, $E$9)</f>
        <v>6.2534999999999998</v>
      </c>
      <c r="K53" s="11">
        <f>6.2567 * CHOOSE(CONTROL!$C$32, $C$9, 100%, $E$9)</f>
        <v>6.2567000000000004</v>
      </c>
      <c r="L53" s="11">
        <f>3.8942 * CHOOSE(CONTROL!$C$32, $C$9, 100%, $E$9)</f>
        <v>3.8942000000000001</v>
      </c>
      <c r="M53" s="11">
        <f>3.8974 * CHOOSE(CONTROL!$C$32, $C$9, 100%, $E$9)</f>
        <v>3.8974000000000002</v>
      </c>
      <c r="N53" s="11">
        <f>3.8942 * CHOOSE(CONTROL!$C$32, $C$9, 100%, $E$9)</f>
        <v>3.8942000000000001</v>
      </c>
      <c r="O53" s="11">
        <f>3.8974 * CHOOSE(CONTROL!$C$32, $C$9, 100%, $E$9)</f>
        <v>3.8974000000000002</v>
      </c>
      <c r="P53" s="14"/>
      <c r="Q53" s="11"/>
      <c r="R53" s="11"/>
    </row>
    <row r="54" spans="1:18" ht="15" x14ac:dyDescent="0.2">
      <c r="A54" s="13">
        <v>42491</v>
      </c>
      <c r="B54" s="9">
        <f>3.2722 * CHOOSE(CONTROL!$C$32, $C$9, 100%, $E$9)</f>
        <v>3.2722000000000002</v>
      </c>
      <c r="C54" s="9">
        <f>3.2722 * CHOOSE(CONTROL!$C$32, $C$9, 100%, $E$9)</f>
        <v>3.2722000000000002</v>
      </c>
      <c r="D54" s="9">
        <f>3.2735 * CHOOSE(CONTROL!$C$32, $C$9, 100%, $E$9)</f>
        <v>3.2734999999999999</v>
      </c>
      <c r="E54" s="11">
        <f>3.9546 * CHOOSE(CONTROL!$C$32, $C$9, 100%, $E$9)</f>
        <v>3.9546000000000001</v>
      </c>
      <c r="F54" s="11">
        <f>3.6856 * CHOOSE(CONTROL!$C$32, $C$9, 100%, $E$9)</f>
        <v>3.6856</v>
      </c>
      <c r="G54" s="11">
        <f>3.6898 * CHOOSE(CONTROL!$C$32, $C$9, 100%, $E$9)</f>
        <v>3.6898</v>
      </c>
      <c r="H54" s="11">
        <f>6.2665 * CHOOSE(CONTROL!$C$32, $C$9, 100%, $E$9)</f>
        <v>6.2664999999999997</v>
      </c>
      <c r="I54" s="11">
        <f>6.2707 * CHOOSE(CONTROL!$C$32, $C$9, 100%, $E$9)</f>
        <v>6.2706999999999997</v>
      </c>
      <c r="J54" s="11">
        <f>6.2665 * CHOOSE(CONTROL!$C$32, $C$9, 100%, $E$9)</f>
        <v>6.2664999999999997</v>
      </c>
      <c r="K54" s="11">
        <f>6.2707 * CHOOSE(CONTROL!$C$32, $C$9, 100%, $E$9)</f>
        <v>6.2706999999999997</v>
      </c>
      <c r="L54" s="11">
        <f>3.9546 * CHOOSE(CONTROL!$C$32, $C$9, 100%, $E$9)</f>
        <v>3.9546000000000001</v>
      </c>
      <c r="M54" s="11">
        <f>3.9588 * CHOOSE(CONTROL!$C$32, $C$9, 100%, $E$9)</f>
        <v>3.9588000000000001</v>
      </c>
      <c r="N54" s="11">
        <f>3.9546 * CHOOSE(CONTROL!$C$32, $C$9, 100%, $E$9)</f>
        <v>3.9546000000000001</v>
      </c>
      <c r="O54" s="11">
        <f>3.9588 * CHOOSE(CONTROL!$C$32, $C$9, 100%, $E$9)</f>
        <v>3.9588000000000001</v>
      </c>
      <c r="P54" s="14"/>
      <c r="Q54" s="11"/>
      <c r="R54" s="11"/>
    </row>
    <row r="55" spans="1:18" ht="15" x14ac:dyDescent="0.2">
      <c r="A55" s="13">
        <v>42522</v>
      </c>
      <c r="B55" s="9">
        <f>3.2786 * CHOOSE(CONTROL!$C$32, $C$9, 100%, $E$9)</f>
        <v>3.2786</v>
      </c>
      <c r="C55" s="9">
        <f>3.2786 * CHOOSE(CONTROL!$C$32, $C$9, 100%, $E$9)</f>
        <v>3.2786</v>
      </c>
      <c r="D55" s="9">
        <f>3.2798 * CHOOSE(CONTROL!$C$32, $C$9, 100%, $E$9)</f>
        <v>3.2797999999999998</v>
      </c>
      <c r="E55" s="11">
        <f>3.9458 * CHOOSE(CONTROL!$C$32, $C$9, 100%, $E$9)</f>
        <v>3.9458000000000002</v>
      </c>
      <c r="F55" s="11">
        <f>3.6856 * CHOOSE(CONTROL!$C$32, $C$9, 100%, $E$9)</f>
        <v>3.6856</v>
      </c>
      <c r="G55" s="11">
        <f>3.6898 * CHOOSE(CONTROL!$C$32, $C$9, 100%, $E$9)</f>
        <v>3.6898</v>
      </c>
      <c r="H55" s="11">
        <f>6.2795 * CHOOSE(CONTROL!$C$32, $C$9, 100%, $E$9)</f>
        <v>6.2794999999999996</v>
      </c>
      <c r="I55" s="11">
        <f>6.2837 * CHOOSE(CONTROL!$C$32, $C$9, 100%, $E$9)</f>
        <v>6.2836999999999996</v>
      </c>
      <c r="J55" s="11">
        <f>6.2795 * CHOOSE(CONTROL!$C$32, $C$9, 100%, $E$9)</f>
        <v>6.2794999999999996</v>
      </c>
      <c r="K55" s="11">
        <f>6.2837 * CHOOSE(CONTROL!$C$32, $C$9, 100%, $E$9)</f>
        <v>6.2836999999999996</v>
      </c>
      <c r="L55" s="11">
        <f>3.9458 * CHOOSE(CONTROL!$C$32, $C$9, 100%, $E$9)</f>
        <v>3.9458000000000002</v>
      </c>
      <c r="M55" s="11">
        <f>3.95 * CHOOSE(CONTROL!$C$32, $C$9, 100%, $E$9)</f>
        <v>3.95</v>
      </c>
      <c r="N55" s="11">
        <f>3.9458 * CHOOSE(CONTROL!$C$32, $C$9, 100%, $E$9)</f>
        <v>3.9458000000000002</v>
      </c>
      <c r="O55" s="11">
        <f>3.95 * CHOOSE(CONTROL!$C$32, $C$9, 100%, $E$9)</f>
        <v>3.95</v>
      </c>
      <c r="P55" s="14"/>
      <c r="Q55" s="11"/>
      <c r="R55" s="11"/>
    </row>
    <row r="56" spans="1:18" ht="15" x14ac:dyDescent="0.2">
      <c r="A56" s="13">
        <v>42552</v>
      </c>
      <c r="B56" s="9">
        <f>3.2759 * CHOOSE(CONTROL!$C$32, $C$9, 100%, $E$9)</f>
        <v>3.2759</v>
      </c>
      <c r="C56" s="9">
        <f>3.2759 * CHOOSE(CONTROL!$C$32, $C$9, 100%, $E$9)</f>
        <v>3.2759</v>
      </c>
      <c r="D56" s="9">
        <f>3.2771 * CHOOSE(CONTROL!$C$32, $C$9, 100%, $E$9)</f>
        <v>3.2770999999999999</v>
      </c>
      <c r="E56" s="11">
        <f>3.9546 * CHOOSE(CONTROL!$C$32, $C$9, 100%, $E$9)</f>
        <v>3.9546000000000001</v>
      </c>
      <c r="F56" s="11">
        <f>3.6856 * CHOOSE(CONTROL!$C$32, $C$9, 100%, $E$9)</f>
        <v>3.6856</v>
      </c>
      <c r="G56" s="11">
        <f>3.6898 * CHOOSE(CONTROL!$C$32, $C$9, 100%, $E$9)</f>
        <v>3.6898</v>
      </c>
      <c r="H56" s="11">
        <f>6.2926 * CHOOSE(CONTROL!$C$32, $C$9, 100%, $E$9)</f>
        <v>6.2926000000000002</v>
      </c>
      <c r="I56" s="11">
        <f>6.2968 * CHOOSE(CONTROL!$C$32, $C$9, 100%, $E$9)</f>
        <v>6.2968000000000002</v>
      </c>
      <c r="J56" s="11">
        <f>6.2926 * CHOOSE(CONTROL!$C$32, $C$9, 100%, $E$9)</f>
        <v>6.2926000000000002</v>
      </c>
      <c r="K56" s="11">
        <f>6.2968 * CHOOSE(CONTROL!$C$32, $C$9, 100%, $E$9)</f>
        <v>6.2968000000000002</v>
      </c>
      <c r="L56" s="11">
        <f>3.9546 * CHOOSE(CONTROL!$C$32, $C$9, 100%, $E$9)</f>
        <v>3.9546000000000001</v>
      </c>
      <c r="M56" s="11">
        <f>3.9588 * CHOOSE(CONTROL!$C$32, $C$9, 100%, $E$9)</f>
        <v>3.9588000000000001</v>
      </c>
      <c r="N56" s="11">
        <f>3.9546 * CHOOSE(CONTROL!$C$32, $C$9, 100%, $E$9)</f>
        <v>3.9546000000000001</v>
      </c>
      <c r="O56" s="11">
        <f>3.9588 * CHOOSE(CONTROL!$C$32, $C$9, 100%, $E$9)</f>
        <v>3.9588000000000001</v>
      </c>
      <c r="P56" s="14"/>
      <c r="Q56" s="14"/>
      <c r="R56" s="14"/>
    </row>
    <row r="57" spans="1:18" ht="15" x14ac:dyDescent="0.2">
      <c r="A57" s="13">
        <v>42583</v>
      </c>
      <c r="B57" s="9">
        <f>3.2911 * CHOOSE(CONTROL!$C$32, $C$9, 100%, $E$9)</f>
        <v>3.2911000000000001</v>
      </c>
      <c r="C57" s="9">
        <f>3.2911 * CHOOSE(CONTROL!$C$32, $C$9, 100%, $E$9)</f>
        <v>3.2911000000000001</v>
      </c>
      <c r="D57" s="9">
        <f>3.2923 * CHOOSE(CONTROL!$C$32, $C$9, 100%, $E$9)</f>
        <v>3.2923</v>
      </c>
      <c r="E57" s="11">
        <f>3.9996 * CHOOSE(CONTROL!$C$32, $C$9, 100%, $E$9)</f>
        <v>3.9996</v>
      </c>
      <c r="F57" s="11">
        <f>3.6856 * CHOOSE(CONTROL!$C$32, $C$9, 100%, $E$9)</f>
        <v>3.6856</v>
      </c>
      <c r="G57" s="11">
        <f>3.6898 * CHOOSE(CONTROL!$C$32, $C$9, 100%, $E$9)</f>
        <v>3.6898</v>
      </c>
      <c r="H57" s="11">
        <f>6.3057 * CHOOSE(CONTROL!$C$32, $C$9, 100%, $E$9)</f>
        <v>6.3056999999999999</v>
      </c>
      <c r="I57" s="11">
        <f>6.3099 * CHOOSE(CONTROL!$C$32, $C$9, 100%, $E$9)</f>
        <v>6.3098999999999998</v>
      </c>
      <c r="J57" s="11">
        <f>6.3057 * CHOOSE(CONTROL!$C$32, $C$9, 100%, $E$9)</f>
        <v>6.3056999999999999</v>
      </c>
      <c r="K57" s="11">
        <f>6.3099 * CHOOSE(CONTROL!$C$32, $C$9, 100%, $E$9)</f>
        <v>6.3098999999999998</v>
      </c>
      <c r="L57" s="11">
        <f>3.9996 * CHOOSE(CONTROL!$C$32, $C$9, 100%, $E$9)</f>
        <v>3.9996</v>
      </c>
      <c r="M57" s="11">
        <f>4.0038 * CHOOSE(CONTROL!$C$32, $C$9, 100%, $E$9)</f>
        <v>4.0038</v>
      </c>
      <c r="N57" s="11">
        <f>3.9996 * CHOOSE(CONTROL!$C$32, $C$9, 100%, $E$9)</f>
        <v>3.9996</v>
      </c>
      <c r="O57" s="11">
        <f>4.0038 * CHOOSE(CONTROL!$C$32, $C$9, 100%, $E$9)</f>
        <v>4.0038</v>
      </c>
      <c r="P57" s="14"/>
      <c r="Q57" s="14"/>
      <c r="R57" s="14"/>
    </row>
    <row r="58" spans="1:18" ht="15" x14ac:dyDescent="0.2">
      <c r="A58" s="13">
        <v>42614</v>
      </c>
      <c r="B58" s="9">
        <f>3.2883 * CHOOSE(CONTROL!$C$32, $C$9, 100%, $E$9)</f>
        <v>3.2883</v>
      </c>
      <c r="C58" s="9">
        <f>3.2883 * CHOOSE(CONTROL!$C$32, $C$9, 100%, $E$9)</f>
        <v>3.2883</v>
      </c>
      <c r="D58" s="9">
        <f>3.2895 * CHOOSE(CONTROL!$C$32, $C$9, 100%, $E$9)</f>
        <v>3.2894999999999999</v>
      </c>
      <c r="E58" s="11">
        <f>3.9458 * CHOOSE(CONTROL!$C$32, $C$9, 100%, $E$9)</f>
        <v>3.9458000000000002</v>
      </c>
      <c r="F58" s="11">
        <f>3.6856 * CHOOSE(CONTROL!$C$32, $C$9, 100%, $E$9)</f>
        <v>3.6856</v>
      </c>
      <c r="G58" s="11">
        <f>3.6898 * CHOOSE(CONTROL!$C$32, $C$9, 100%, $E$9)</f>
        <v>3.6898</v>
      </c>
      <c r="H58" s="11">
        <f>6.3189 * CHOOSE(CONTROL!$C$32, $C$9, 100%, $E$9)</f>
        <v>6.3189000000000002</v>
      </c>
      <c r="I58" s="11">
        <f>6.3231 * CHOOSE(CONTROL!$C$32, $C$9, 100%, $E$9)</f>
        <v>6.3231000000000002</v>
      </c>
      <c r="J58" s="11">
        <f>6.3189 * CHOOSE(CONTROL!$C$32, $C$9, 100%, $E$9)</f>
        <v>6.3189000000000002</v>
      </c>
      <c r="K58" s="11">
        <f>6.3231 * CHOOSE(CONTROL!$C$32, $C$9, 100%, $E$9)</f>
        <v>6.3231000000000002</v>
      </c>
      <c r="L58" s="11">
        <f>3.9458 * CHOOSE(CONTROL!$C$32, $C$9, 100%, $E$9)</f>
        <v>3.9458000000000002</v>
      </c>
      <c r="M58" s="11">
        <f>3.95 * CHOOSE(CONTROL!$C$32, $C$9, 100%, $E$9)</f>
        <v>3.95</v>
      </c>
      <c r="N58" s="11">
        <f>3.9458 * CHOOSE(CONTROL!$C$32, $C$9, 100%, $E$9)</f>
        <v>3.9458000000000002</v>
      </c>
      <c r="O58" s="11">
        <f>3.95 * CHOOSE(CONTROL!$C$32, $C$9, 100%, $E$9)</f>
        <v>3.95</v>
      </c>
      <c r="P58" s="14"/>
      <c r="Q58" s="14"/>
      <c r="R58" s="14"/>
    </row>
    <row r="59" spans="1:18" ht="15" x14ac:dyDescent="0.2">
      <c r="A59" s="13">
        <v>42644</v>
      </c>
      <c r="B59" s="9">
        <f>3.269 * CHOOSE(CONTROL!$C$32, $C$9, 100%, $E$9)</f>
        <v>3.2690000000000001</v>
      </c>
      <c r="C59" s="9">
        <f>3.269 * CHOOSE(CONTROL!$C$32, $C$9, 100%, $E$9)</f>
        <v>3.2690000000000001</v>
      </c>
      <c r="D59" s="9">
        <f>3.27 * CHOOSE(CONTROL!$C$32, $C$9, 100%, $E$9)</f>
        <v>3.27</v>
      </c>
      <c r="E59" s="11">
        <f>4.0035 * CHOOSE(CONTROL!$C$32, $C$9, 100%, $E$9)</f>
        <v>4.0034999999999998</v>
      </c>
      <c r="F59" s="11">
        <f>3.6856 * CHOOSE(CONTROL!$C$32, $C$9, 100%, $E$9)</f>
        <v>3.6856</v>
      </c>
      <c r="G59" s="11">
        <f>3.6888 * CHOOSE(CONTROL!$C$32, $C$9, 100%, $E$9)</f>
        <v>3.6888000000000001</v>
      </c>
      <c r="H59" s="11">
        <f>6.332 * CHOOSE(CONTROL!$C$32, $C$9, 100%, $E$9)</f>
        <v>6.3319999999999999</v>
      </c>
      <c r="I59" s="11">
        <f>6.3353 * CHOOSE(CONTROL!$C$32, $C$9, 100%, $E$9)</f>
        <v>6.3353000000000002</v>
      </c>
      <c r="J59" s="11">
        <f>6.332 * CHOOSE(CONTROL!$C$32, $C$9, 100%, $E$9)</f>
        <v>6.3319999999999999</v>
      </c>
      <c r="K59" s="11">
        <f>6.3353 * CHOOSE(CONTROL!$C$32, $C$9, 100%, $E$9)</f>
        <v>6.3353000000000002</v>
      </c>
      <c r="L59" s="11">
        <f>4.0035 * CHOOSE(CONTROL!$C$32, $C$9, 100%, $E$9)</f>
        <v>4.0034999999999998</v>
      </c>
      <c r="M59" s="11">
        <f>4.0067 * CHOOSE(CONTROL!$C$32, $C$9, 100%, $E$9)</f>
        <v>4.0067000000000004</v>
      </c>
      <c r="N59" s="11">
        <f>4.0035 * CHOOSE(CONTROL!$C$32, $C$9, 100%, $E$9)</f>
        <v>4.0034999999999998</v>
      </c>
      <c r="O59" s="11">
        <f>4.0067 * CHOOSE(CONTROL!$C$32, $C$9, 100%, $E$9)</f>
        <v>4.0067000000000004</v>
      </c>
      <c r="P59" s="14"/>
      <c r="Q59" s="14"/>
      <c r="R59" s="14"/>
    </row>
    <row r="60" spans="1:18" ht="15" x14ac:dyDescent="0.2">
      <c r="A60" s="13">
        <v>42675</v>
      </c>
      <c r="B60" s="9">
        <f>3.2806 * CHOOSE(CONTROL!$C$32, $C$9, 100%, $E$9)</f>
        <v>3.2806000000000002</v>
      </c>
      <c r="C60" s="9">
        <f>3.2806 * CHOOSE(CONTROL!$C$32, $C$9, 100%, $E$9)</f>
        <v>3.2806000000000002</v>
      </c>
      <c r="D60" s="9">
        <f>3.2816 * CHOOSE(CONTROL!$C$32, $C$9, 100%, $E$9)</f>
        <v>3.2816000000000001</v>
      </c>
      <c r="E60" s="11">
        <f>3.9579 * CHOOSE(CONTROL!$C$32, $C$9, 100%, $E$9)</f>
        <v>3.9579</v>
      </c>
      <c r="F60" s="11">
        <f>3.6856 * CHOOSE(CONTROL!$C$32, $C$9, 100%, $E$9)</f>
        <v>3.6856</v>
      </c>
      <c r="G60" s="11">
        <f>3.6888 * CHOOSE(CONTROL!$C$32, $C$9, 100%, $E$9)</f>
        <v>3.6888000000000001</v>
      </c>
      <c r="H60" s="11">
        <f>6.3452 * CHOOSE(CONTROL!$C$32, $C$9, 100%, $E$9)</f>
        <v>6.3452000000000002</v>
      </c>
      <c r="I60" s="11">
        <f>6.3485 * CHOOSE(CONTROL!$C$32, $C$9, 100%, $E$9)</f>
        <v>6.3484999999999996</v>
      </c>
      <c r="J60" s="11">
        <f>6.3452 * CHOOSE(CONTROL!$C$32, $C$9, 100%, $E$9)</f>
        <v>6.3452000000000002</v>
      </c>
      <c r="K60" s="11">
        <f>6.3485 * CHOOSE(CONTROL!$C$32, $C$9, 100%, $E$9)</f>
        <v>6.3484999999999996</v>
      </c>
      <c r="L60" s="11">
        <f>3.9579 * CHOOSE(CONTROL!$C$32, $C$9, 100%, $E$9)</f>
        <v>3.9579</v>
      </c>
      <c r="M60" s="11">
        <f>3.9611 * CHOOSE(CONTROL!$C$32, $C$9, 100%, $E$9)</f>
        <v>3.9611000000000001</v>
      </c>
      <c r="N60" s="11">
        <f>3.9579 * CHOOSE(CONTROL!$C$32, $C$9, 100%, $E$9)</f>
        <v>3.9579</v>
      </c>
      <c r="O60" s="11">
        <f>3.9611 * CHOOSE(CONTROL!$C$32, $C$9, 100%, $E$9)</f>
        <v>3.9611000000000001</v>
      </c>
      <c r="P60" s="14"/>
      <c r="Q60" s="14"/>
      <c r="R60" s="14"/>
    </row>
    <row r="61" spans="1:18" ht="15" x14ac:dyDescent="0.2">
      <c r="A61" s="13">
        <v>42705</v>
      </c>
      <c r="B61" s="9">
        <f>3.2808 * CHOOSE(CONTROL!$C$32, $C$9, 100%, $E$9)</f>
        <v>3.2808000000000002</v>
      </c>
      <c r="C61" s="9">
        <f>3.2808 * CHOOSE(CONTROL!$C$32, $C$9, 100%, $E$9)</f>
        <v>3.2808000000000002</v>
      </c>
      <c r="D61" s="9">
        <f>3.2818 * CHOOSE(CONTROL!$C$32, $C$9, 100%, $E$9)</f>
        <v>3.2818000000000001</v>
      </c>
      <c r="E61" s="11">
        <f>3.8968 * CHOOSE(CONTROL!$C$32, $C$9, 100%, $E$9)</f>
        <v>3.8967999999999998</v>
      </c>
      <c r="F61" s="11">
        <f>3.6856 * CHOOSE(CONTROL!$C$32, $C$9, 100%, $E$9)</f>
        <v>3.6856</v>
      </c>
      <c r="G61" s="11">
        <f>3.6888 * CHOOSE(CONTROL!$C$32, $C$9, 100%, $E$9)</f>
        <v>3.6888000000000001</v>
      </c>
      <c r="H61" s="11">
        <f>6.3585 * CHOOSE(CONTROL!$C$32, $C$9, 100%, $E$9)</f>
        <v>6.3585000000000003</v>
      </c>
      <c r="I61" s="11">
        <f>6.3617 * CHOOSE(CONTROL!$C$32, $C$9, 100%, $E$9)</f>
        <v>6.3616999999999999</v>
      </c>
      <c r="J61" s="11">
        <f>6.3585 * CHOOSE(CONTROL!$C$32, $C$9, 100%, $E$9)</f>
        <v>6.3585000000000003</v>
      </c>
      <c r="K61" s="11">
        <f>6.3617 * CHOOSE(CONTROL!$C$32, $C$9, 100%, $E$9)</f>
        <v>6.3616999999999999</v>
      </c>
      <c r="L61" s="11">
        <f>3.8968 * CHOOSE(CONTROL!$C$32, $C$9, 100%, $E$9)</f>
        <v>3.8967999999999998</v>
      </c>
      <c r="M61" s="11">
        <f>3.9 * CHOOSE(CONTROL!$C$32, $C$9, 100%, $E$9)</f>
        <v>3.9</v>
      </c>
      <c r="N61" s="11">
        <f>3.8968 * CHOOSE(CONTROL!$C$32, $C$9, 100%, $E$9)</f>
        <v>3.8967999999999998</v>
      </c>
      <c r="O61" s="11">
        <f>3.9 * CHOOSE(CONTROL!$C$32, $C$9, 100%, $E$9)</f>
        <v>3.9</v>
      </c>
      <c r="P61" s="14"/>
      <c r="Q61" s="14"/>
      <c r="R61" s="14"/>
    </row>
    <row r="62" spans="1:18" ht="15" x14ac:dyDescent="0.2">
      <c r="A62" s="13">
        <v>42736</v>
      </c>
      <c r="B62" s="9">
        <f>3.2762 * CHOOSE(CONTROL!$C$32, $C$9, 100%, $E$9)</f>
        <v>3.2761999999999998</v>
      </c>
      <c r="C62" s="9">
        <f>3.2762 * CHOOSE(CONTROL!$C$32, $C$9, 100%, $E$9)</f>
        <v>3.2761999999999998</v>
      </c>
      <c r="D62" s="9">
        <f>3.2771 * CHOOSE(CONTROL!$C$32, $C$9, 100%, $E$9)</f>
        <v>3.2770999999999999</v>
      </c>
      <c r="E62" s="11">
        <f>3.8371 * CHOOSE(CONTROL!$C$32, $C$9, 100%, $E$9)</f>
        <v>3.8371</v>
      </c>
      <c r="F62" s="11">
        <f>3.8371 * CHOOSE(CONTROL!$C$32, $C$9, 100%, $E$9)</f>
        <v>3.8371</v>
      </c>
      <c r="G62" s="11">
        <f>3.8403 * CHOOSE(CONTROL!$C$32, $C$9, 100%, $E$9)</f>
        <v>3.8403</v>
      </c>
      <c r="H62" s="11">
        <f>6.3717 * CHOOSE(CONTROL!$C$32, $C$9, 100%, $E$9)</f>
        <v>6.3716999999999997</v>
      </c>
      <c r="I62" s="11">
        <f>6.3749 * CHOOSE(CONTROL!$C$32, $C$9, 100%, $E$9)</f>
        <v>6.3749000000000002</v>
      </c>
      <c r="J62" s="11">
        <f>6.3717 * CHOOSE(CONTROL!$C$32, $C$9, 100%, $E$9)</f>
        <v>6.3716999999999997</v>
      </c>
      <c r="K62" s="11">
        <f>6.3749 * CHOOSE(CONTROL!$C$32, $C$9, 100%, $E$9)</f>
        <v>6.3749000000000002</v>
      </c>
      <c r="L62" s="11">
        <f>3.8371 * CHOOSE(CONTROL!$C$32, $C$9, 100%, $E$9)</f>
        <v>3.8371</v>
      </c>
      <c r="M62" s="11">
        <f>3.8403 * CHOOSE(CONTROL!$C$32, $C$9, 100%, $E$9)</f>
        <v>3.8403</v>
      </c>
      <c r="N62" s="11">
        <f>3.8371 * CHOOSE(CONTROL!$C$32, $C$9, 100%, $E$9)</f>
        <v>3.8371</v>
      </c>
      <c r="O62" s="11">
        <f>3.8403 * CHOOSE(CONTROL!$C$32, $C$9, 100%, $E$9)</f>
        <v>3.8403</v>
      </c>
      <c r="P62" s="14"/>
      <c r="Q62" s="14"/>
      <c r="R62" s="14"/>
    </row>
    <row r="63" spans="1:18" ht="15" x14ac:dyDescent="0.2">
      <c r="A63" s="13">
        <v>42767</v>
      </c>
      <c r="B63" s="9">
        <f>3.2814 * CHOOSE(CONTROL!$C$32, $C$9, 100%, $E$9)</f>
        <v>3.2814000000000001</v>
      </c>
      <c r="C63" s="9">
        <f>3.2814 * CHOOSE(CONTROL!$C$32, $C$9, 100%, $E$9)</f>
        <v>3.2814000000000001</v>
      </c>
      <c r="D63" s="9">
        <f>3.2824 * CHOOSE(CONTROL!$C$32, $C$9, 100%, $E$9)</f>
        <v>3.2824</v>
      </c>
      <c r="E63" s="11">
        <f>3.8351 * CHOOSE(CONTROL!$C$32, $C$9, 100%, $E$9)</f>
        <v>3.8351000000000002</v>
      </c>
      <c r="F63" s="11">
        <f>3.8351 * CHOOSE(CONTROL!$C$32, $C$9, 100%, $E$9)</f>
        <v>3.8351000000000002</v>
      </c>
      <c r="G63" s="11">
        <f>3.8383 * CHOOSE(CONTROL!$C$32, $C$9, 100%, $E$9)</f>
        <v>3.8382999999999998</v>
      </c>
      <c r="H63" s="11">
        <f>6.385 * CHOOSE(CONTROL!$C$32, $C$9, 100%, $E$9)</f>
        <v>6.3849999999999998</v>
      </c>
      <c r="I63" s="11">
        <f>6.3882 * CHOOSE(CONTROL!$C$32, $C$9, 100%, $E$9)</f>
        <v>6.3882000000000003</v>
      </c>
      <c r="J63" s="11">
        <f>6.385 * CHOOSE(CONTROL!$C$32, $C$9, 100%, $E$9)</f>
        <v>6.3849999999999998</v>
      </c>
      <c r="K63" s="11">
        <f>6.3882 * CHOOSE(CONTROL!$C$32, $C$9, 100%, $E$9)</f>
        <v>6.3882000000000003</v>
      </c>
      <c r="L63" s="11">
        <f>3.8351 * CHOOSE(CONTROL!$C$32, $C$9, 100%, $E$9)</f>
        <v>3.8351000000000002</v>
      </c>
      <c r="M63" s="11">
        <f>3.8383 * CHOOSE(CONTROL!$C$32, $C$9, 100%, $E$9)</f>
        <v>3.8382999999999998</v>
      </c>
      <c r="N63" s="11">
        <f>3.8351 * CHOOSE(CONTROL!$C$32, $C$9, 100%, $E$9)</f>
        <v>3.8351000000000002</v>
      </c>
      <c r="O63" s="11">
        <f>3.8383 * CHOOSE(CONTROL!$C$32, $C$9, 100%, $E$9)</f>
        <v>3.8382999999999998</v>
      </c>
      <c r="P63" s="14"/>
      <c r="Q63" s="14"/>
      <c r="R63" s="14"/>
    </row>
    <row r="64" spans="1:18" ht="15" x14ac:dyDescent="0.2">
      <c r="A64" s="13">
        <v>42795</v>
      </c>
      <c r="B64" s="9">
        <f>3.2785 * CHOOSE(CONTROL!$C$32, $C$9, 100%, $E$9)</f>
        <v>3.2785000000000002</v>
      </c>
      <c r="C64" s="9">
        <f>3.2785 * CHOOSE(CONTROL!$C$32, $C$9, 100%, $E$9)</f>
        <v>3.2785000000000002</v>
      </c>
      <c r="D64" s="9">
        <f>3.2795 * CHOOSE(CONTROL!$C$32, $C$9, 100%, $E$9)</f>
        <v>3.2795000000000001</v>
      </c>
      <c r="E64" s="11">
        <f>3.8331 * CHOOSE(CONTROL!$C$32, $C$9, 100%, $E$9)</f>
        <v>3.8331</v>
      </c>
      <c r="F64" s="11">
        <f>3.8331 * CHOOSE(CONTROL!$C$32, $C$9, 100%, $E$9)</f>
        <v>3.8331</v>
      </c>
      <c r="G64" s="11">
        <f>3.8363 * CHOOSE(CONTROL!$C$32, $C$9, 100%, $E$9)</f>
        <v>3.8363</v>
      </c>
      <c r="H64" s="11">
        <f>6.3983 * CHOOSE(CONTROL!$C$32, $C$9, 100%, $E$9)</f>
        <v>6.3982999999999999</v>
      </c>
      <c r="I64" s="11">
        <f>6.4015 * CHOOSE(CONTROL!$C$32, $C$9, 100%, $E$9)</f>
        <v>6.4015000000000004</v>
      </c>
      <c r="J64" s="11">
        <f>6.3983 * CHOOSE(CONTROL!$C$32, $C$9, 100%, $E$9)</f>
        <v>6.3982999999999999</v>
      </c>
      <c r="K64" s="11">
        <f>6.4015 * CHOOSE(CONTROL!$C$32, $C$9, 100%, $E$9)</f>
        <v>6.4015000000000004</v>
      </c>
      <c r="L64" s="11">
        <f>3.8331 * CHOOSE(CONTROL!$C$32, $C$9, 100%, $E$9)</f>
        <v>3.8331</v>
      </c>
      <c r="M64" s="11">
        <f>3.8363 * CHOOSE(CONTROL!$C$32, $C$9, 100%, $E$9)</f>
        <v>3.8363</v>
      </c>
      <c r="N64" s="11">
        <f>3.8331 * CHOOSE(CONTROL!$C$32, $C$9, 100%, $E$9)</f>
        <v>3.8331</v>
      </c>
      <c r="O64" s="11">
        <f>3.8363 * CHOOSE(CONTROL!$C$32, $C$9, 100%, $E$9)</f>
        <v>3.8363</v>
      </c>
      <c r="P64" s="14"/>
      <c r="Q64" s="14"/>
      <c r="R64" s="14"/>
    </row>
    <row r="65" spans="1:18" ht="15" x14ac:dyDescent="0.2">
      <c r="A65" s="13">
        <v>42826</v>
      </c>
      <c r="B65" s="9">
        <f>3.2725 * CHOOSE(CONTROL!$C$32, $C$9, 100%, $E$9)</f>
        <v>3.2725</v>
      </c>
      <c r="C65" s="9">
        <f>3.2725 * CHOOSE(CONTROL!$C$32, $C$9, 100%, $E$9)</f>
        <v>3.2725</v>
      </c>
      <c r="D65" s="9">
        <f>3.2734 * CHOOSE(CONTROL!$C$32, $C$9, 100%, $E$9)</f>
        <v>3.2734000000000001</v>
      </c>
      <c r="E65" s="11">
        <f>3.8305 * CHOOSE(CONTROL!$C$32, $C$9, 100%, $E$9)</f>
        <v>3.8304999999999998</v>
      </c>
      <c r="F65" s="11">
        <f>3.8305 * CHOOSE(CONTROL!$C$32, $C$9, 100%, $E$9)</f>
        <v>3.8304999999999998</v>
      </c>
      <c r="G65" s="11">
        <f>3.8338 * CHOOSE(CONTROL!$C$32, $C$9, 100%, $E$9)</f>
        <v>3.8338000000000001</v>
      </c>
      <c r="H65" s="11">
        <f>6.4116 * CHOOSE(CONTROL!$C$32, $C$9, 100%, $E$9)</f>
        <v>6.4116</v>
      </c>
      <c r="I65" s="11">
        <f>6.4148 * CHOOSE(CONTROL!$C$32, $C$9, 100%, $E$9)</f>
        <v>6.4147999999999996</v>
      </c>
      <c r="J65" s="11">
        <f>6.4116 * CHOOSE(CONTROL!$C$32, $C$9, 100%, $E$9)</f>
        <v>6.4116</v>
      </c>
      <c r="K65" s="11">
        <f>6.4148 * CHOOSE(CONTROL!$C$32, $C$9, 100%, $E$9)</f>
        <v>6.4147999999999996</v>
      </c>
      <c r="L65" s="11">
        <f>3.8305 * CHOOSE(CONTROL!$C$32, $C$9, 100%, $E$9)</f>
        <v>3.8304999999999998</v>
      </c>
      <c r="M65" s="11">
        <f>3.8338 * CHOOSE(CONTROL!$C$32, $C$9, 100%, $E$9)</f>
        <v>3.8338000000000001</v>
      </c>
      <c r="N65" s="11">
        <f>3.8305 * CHOOSE(CONTROL!$C$32, $C$9, 100%, $E$9)</f>
        <v>3.8304999999999998</v>
      </c>
      <c r="O65" s="11">
        <f>3.8338 * CHOOSE(CONTROL!$C$32, $C$9, 100%, $E$9)</f>
        <v>3.8338000000000001</v>
      </c>
      <c r="P65" s="14"/>
      <c r="Q65" s="14"/>
      <c r="R65" s="14"/>
    </row>
    <row r="66" spans="1:18" ht="15" x14ac:dyDescent="0.2">
      <c r="A66" s="13">
        <v>42856</v>
      </c>
      <c r="B66" s="9">
        <f>3.2809 * CHOOSE(CONTROL!$C$32, $C$9, 100%, $E$9)</f>
        <v>3.2808999999999999</v>
      </c>
      <c r="C66" s="9">
        <f>3.2809 * CHOOSE(CONTROL!$C$32, $C$9, 100%, $E$9)</f>
        <v>3.2808999999999999</v>
      </c>
      <c r="D66" s="9">
        <f>3.2822 * CHOOSE(CONTROL!$C$32, $C$9, 100%, $E$9)</f>
        <v>3.2822</v>
      </c>
      <c r="E66" s="11">
        <f>3.8305 * CHOOSE(CONTROL!$C$32, $C$9, 100%, $E$9)</f>
        <v>3.8304999999999998</v>
      </c>
      <c r="F66" s="11">
        <f>3.8305 * CHOOSE(CONTROL!$C$32, $C$9, 100%, $E$9)</f>
        <v>3.8304999999999998</v>
      </c>
      <c r="G66" s="11">
        <f>3.8348 * CHOOSE(CONTROL!$C$32, $C$9, 100%, $E$9)</f>
        <v>3.8348</v>
      </c>
      <c r="H66" s="11">
        <f>6.425 * CHOOSE(CONTROL!$C$32, $C$9, 100%, $E$9)</f>
        <v>6.4249999999999998</v>
      </c>
      <c r="I66" s="11">
        <f>6.4292 * CHOOSE(CONTROL!$C$32, $C$9, 100%, $E$9)</f>
        <v>6.4291999999999998</v>
      </c>
      <c r="J66" s="11">
        <f>6.425 * CHOOSE(CONTROL!$C$32, $C$9, 100%, $E$9)</f>
        <v>6.4249999999999998</v>
      </c>
      <c r="K66" s="11">
        <f>6.4292 * CHOOSE(CONTROL!$C$32, $C$9, 100%, $E$9)</f>
        <v>6.4291999999999998</v>
      </c>
      <c r="L66" s="11">
        <f>3.8305 * CHOOSE(CONTROL!$C$32, $C$9, 100%, $E$9)</f>
        <v>3.8304999999999998</v>
      </c>
      <c r="M66" s="11">
        <f>3.8348 * CHOOSE(CONTROL!$C$32, $C$9, 100%, $E$9)</f>
        <v>3.8348</v>
      </c>
      <c r="N66" s="11">
        <f>3.8305 * CHOOSE(CONTROL!$C$32, $C$9, 100%, $E$9)</f>
        <v>3.8304999999999998</v>
      </c>
      <c r="O66" s="11">
        <f>3.8348 * CHOOSE(CONTROL!$C$32, $C$9, 100%, $E$9)</f>
        <v>3.8348</v>
      </c>
      <c r="P66" s="14"/>
      <c r="Q66" s="14"/>
      <c r="R66" s="14"/>
    </row>
    <row r="67" spans="1:18" ht="15" x14ac:dyDescent="0.2">
      <c r="A67" s="13">
        <v>42887</v>
      </c>
      <c r="B67" s="9">
        <f>3.2871 * CHOOSE(CONTROL!$C$32, $C$9, 100%, $E$9)</f>
        <v>3.2871000000000001</v>
      </c>
      <c r="C67" s="9">
        <f>3.2871 * CHOOSE(CONTROL!$C$32, $C$9, 100%, $E$9)</f>
        <v>3.2871000000000001</v>
      </c>
      <c r="D67" s="9">
        <f>3.2883 * CHOOSE(CONTROL!$C$32, $C$9, 100%, $E$9)</f>
        <v>3.2883</v>
      </c>
      <c r="E67" s="11">
        <f>3.8345 * CHOOSE(CONTROL!$C$32, $C$9, 100%, $E$9)</f>
        <v>3.8344999999999998</v>
      </c>
      <c r="F67" s="11">
        <f>3.8345 * CHOOSE(CONTROL!$C$32, $C$9, 100%, $E$9)</f>
        <v>3.8344999999999998</v>
      </c>
      <c r="G67" s="11">
        <f>3.8388 * CHOOSE(CONTROL!$C$32, $C$9, 100%, $E$9)</f>
        <v>3.8388</v>
      </c>
      <c r="H67" s="11">
        <f>6.4383 * CHOOSE(CONTROL!$C$32, $C$9, 100%, $E$9)</f>
        <v>6.4382999999999999</v>
      </c>
      <c r="I67" s="11">
        <f>6.4425 * CHOOSE(CONTROL!$C$32, $C$9, 100%, $E$9)</f>
        <v>6.4424999999999999</v>
      </c>
      <c r="J67" s="11">
        <f>6.4383 * CHOOSE(CONTROL!$C$32, $C$9, 100%, $E$9)</f>
        <v>6.4382999999999999</v>
      </c>
      <c r="K67" s="11">
        <f>6.4425 * CHOOSE(CONTROL!$C$32, $C$9, 100%, $E$9)</f>
        <v>6.4424999999999999</v>
      </c>
      <c r="L67" s="11">
        <f>3.8345 * CHOOSE(CONTROL!$C$32, $C$9, 100%, $E$9)</f>
        <v>3.8344999999999998</v>
      </c>
      <c r="M67" s="11">
        <f>3.8388 * CHOOSE(CONTROL!$C$32, $C$9, 100%, $E$9)</f>
        <v>3.8388</v>
      </c>
      <c r="N67" s="11">
        <f>3.8345 * CHOOSE(CONTROL!$C$32, $C$9, 100%, $E$9)</f>
        <v>3.8344999999999998</v>
      </c>
      <c r="O67" s="11">
        <f>3.8388 * CHOOSE(CONTROL!$C$32, $C$9, 100%, $E$9)</f>
        <v>3.8388</v>
      </c>
      <c r="P67" s="14"/>
      <c r="Q67" s="14"/>
      <c r="R67" s="14"/>
    </row>
    <row r="68" spans="1:18" ht="15" x14ac:dyDescent="0.2">
      <c r="A68" s="13">
        <v>42917</v>
      </c>
      <c r="B68" s="9">
        <f>3.3418 * CHOOSE(CONTROL!$C$32, $C$9, 100%, $E$9)</f>
        <v>3.3418000000000001</v>
      </c>
      <c r="C68" s="9">
        <f>3.3418 * CHOOSE(CONTROL!$C$32, $C$9, 100%, $E$9)</f>
        <v>3.3418000000000001</v>
      </c>
      <c r="D68" s="9">
        <f>3.343 * CHOOSE(CONTROL!$C$32, $C$9, 100%, $E$9)</f>
        <v>3.343</v>
      </c>
      <c r="E68" s="11">
        <f>3.9255 * CHOOSE(CONTROL!$C$32, $C$9, 100%, $E$9)</f>
        <v>3.9255</v>
      </c>
      <c r="F68" s="11">
        <f>3.9255 * CHOOSE(CONTROL!$C$32, $C$9, 100%, $E$9)</f>
        <v>3.9255</v>
      </c>
      <c r="G68" s="11">
        <f>3.9297 * CHOOSE(CONTROL!$C$32, $C$9, 100%, $E$9)</f>
        <v>3.9297</v>
      </c>
      <c r="H68" s="11">
        <f>6.4518 * CHOOSE(CONTROL!$C$32, $C$9, 100%, $E$9)</f>
        <v>6.4518000000000004</v>
      </c>
      <c r="I68" s="11">
        <f>6.456 * CHOOSE(CONTROL!$C$32, $C$9, 100%, $E$9)</f>
        <v>6.4560000000000004</v>
      </c>
      <c r="J68" s="11">
        <f>6.4518 * CHOOSE(CONTROL!$C$32, $C$9, 100%, $E$9)</f>
        <v>6.4518000000000004</v>
      </c>
      <c r="K68" s="11">
        <f>6.456 * CHOOSE(CONTROL!$C$32, $C$9, 100%, $E$9)</f>
        <v>6.4560000000000004</v>
      </c>
      <c r="L68" s="11">
        <f>3.9255 * CHOOSE(CONTROL!$C$32, $C$9, 100%, $E$9)</f>
        <v>3.9255</v>
      </c>
      <c r="M68" s="11">
        <f>3.9297 * CHOOSE(CONTROL!$C$32, $C$9, 100%, $E$9)</f>
        <v>3.9297</v>
      </c>
      <c r="N68" s="11">
        <f>3.9255 * CHOOSE(CONTROL!$C$32, $C$9, 100%, $E$9)</f>
        <v>3.9255</v>
      </c>
      <c r="O68" s="11">
        <f>3.9297 * CHOOSE(CONTROL!$C$32, $C$9, 100%, $E$9)</f>
        <v>3.9297</v>
      </c>
      <c r="P68" s="14"/>
      <c r="Q68" s="14"/>
      <c r="R68" s="14"/>
    </row>
    <row r="69" spans="1:18" ht="15" x14ac:dyDescent="0.2">
      <c r="A69" s="13">
        <v>42948</v>
      </c>
      <c r="B69" s="9">
        <f>3.357 * CHOOSE(CONTROL!$C$32, $C$9, 100%, $E$9)</f>
        <v>3.3570000000000002</v>
      </c>
      <c r="C69" s="9">
        <f>3.357 * CHOOSE(CONTROL!$C$32, $C$9, 100%, $E$9)</f>
        <v>3.3570000000000002</v>
      </c>
      <c r="D69" s="9">
        <f>3.3582 * CHOOSE(CONTROL!$C$32, $C$9, 100%, $E$9)</f>
        <v>3.3582000000000001</v>
      </c>
      <c r="E69" s="11">
        <f>3.9299 * CHOOSE(CONTROL!$C$32, $C$9, 100%, $E$9)</f>
        <v>3.9298999999999999</v>
      </c>
      <c r="F69" s="11">
        <f>3.9299 * CHOOSE(CONTROL!$C$32, $C$9, 100%, $E$9)</f>
        <v>3.9298999999999999</v>
      </c>
      <c r="G69" s="11">
        <f>3.9341 * CHOOSE(CONTROL!$C$32, $C$9, 100%, $E$9)</f>
        <v>3.9340999999999999</v>
      </c>
      <c r="H69" s="11">
        <f>6.4652 * CHOOSE(CONTROL!$C$32, $C$9, 100%, $E$9)</f>
        <v>6.4652000000000003</v>
      </c>
      <c r="I69" s="11">
        <f>6.4694 * CHOOSE(CONTROL!$C$32, $C$9, 100%, $E$9)</f>
        <v>6.4694000000000003</v>
      </c>
      <c r="J69" s="11">
        <f>6.4652 * CHOOSE(CONTROL!$C$32, $C$9, 100%, $E$9)</f>
        <v>6.4652000000000003</v>
      </c>
      <c r="K69" s="11">
        <f>6.4694 * CHOOSE(CONTROL!$C$32, $C$9, 100%, $E$9)</f>
        <v>6.4694000000000003</v>
      </c>
      <c r="L69" s="11">
        <f>3.9299 * CHOOSE(CONTROL!$C$32, $C$9, 100%, $E$9)</f>
        <v>3.9298999999999999</v>
      </c>
      <c r="M69" s="11">
        <f>3.9341 * CHOOSE(CONTROL!$C$32, $C$9, 100%, $E$9)</f>
        <v>3.9340999999999999</v>
      </c>
      <c r="N69" s="11">
        <f>3.9299 * CHOOSE(CONTROL!$C$32, $C$9, 100%, $E$9)</f>
        <v>3.9298999999999999</v>
      </c>
      <c r="O69" s="11">
        <f>3.9341 * CHOOSE(CONTROL!$C$32, $C$9, 100%, $E$9)</f>
        <v>3.9340999999999999</v>
      </c>
      <c r="P69" s="14"/>
      <c r="Q69" s="14"/>
      <c r="R69" s="14"/>
    </row>
    <row r="70" spans="1:18" ht="15" x14ac:dyDescent="0.2">
      <c r="A70" s="13">
        <v>42979</v>
      </c>
      <c r="B70" s="9">
        <f>3.354 * CHOOSE(CONTROL!$C$32, $C$9, 100%, $E$9)</f>
        <v>3.3540000000000001</v>
      </c>
      <c r="C70" s="9">
        <f>3.354 * CHOOSE(CONTROL!$C$32, $C$9, 100%, $E$9)</f>
        <v>3.3540000000000001</v>
      </c>
      <c r="D70" s="9">
        <f>3.3553 * CHOOSE(CONTROL!$C$32, $C$9, 100%, $E$9)</f>
        <v>3.3553000000000002</v>
      </c>
      <c r="E70" s="11">
        <f>3.9279 * CHOOSE(CONTROL!$C$32, $C$9, 100%, $E$9)</f>
        <v>3.9279000000000002</v>
      </c>
      <c r="F70" s="11">
        <f>3.9279 * CHOOSE(CONTROL!$C$32, $C$9, 100%, $E$9)</f>
        <v>3.9279000000000002</v>
      </c>
      <c r="G70" s="11">
        <f>3.9321 * CHOOSE(CONTROL!$C$32, $C$9, 100%, $E$9)</f>
        <v>3.9321000000000002</v>
      </c>
      <c r="H70" s="11">
        <f>6.4787 * CHOOSE(CONTROL!$C$32, $C$9, 100%, $E$9)</f>
        <v>6.4786999999999999</v>
      </c>
      <c r="I70" s="11">
        <f>6.4829 * CHOOSE(CONTROL!$C$32, $C$9, 100%, $E$9)</f>
        <v>6.4828999999999999</v>
      </c>
      <c r="J70" s="11">
        <f>6.4787 * CHOOSE(CONTROL!$C$32, $C$9, 100%, $E$9)</f>
        <v>6.4786999999999999</v>
      </c>
      <c r="K70" s="11">
        <f>6.4829 * CHOOSE(CONTROL!$C$32, $C$9, 100%, $E$9)</f>
        <v>6.4828999999999999</v>
      </c>
      <c r="L70" s="11">
        <f>3.9279 * CHOOSE(CONTROL!$C$32, $C$9, 100%, $E$9)</f>
        <v>3.9279000000000002</v>
      </c>
      <c r="M70" s="11">
        <f>3.9321 * CHOOSE(CONTROL!$C$32, $C$9, 100%, $E$9)</f>
        <v>3.9321000000000002</v>
      </c>
      <c r="N70" s="11">
        <f>3.9279 * CHOOSE(CONTROL!$C$32, $C$9, 100%, $E$9)</f>
        <v>3.9279000000000002</v>
      </c>
      <c r="O70" s="11">
        <f>3.9321 * CHOOSE(CONTROL!$C$32, $C$9, 100%, $E$9)</f>
        <v>3.9321000000000002</v>
      </c>
      <c r="P70" s="14"/>
      <c r="Q70" s="14"/>
      <c r="R70" s="14"/>
    </row>
    <row r="71" spans="1:18" ht="15" x14ac:dyDescent="0.2">
      <c r="A71" s="13">
        <v>43009</v>
      </c>
      <c r="B71" s="9">
        <f>3.3348 * CHOOSE(CONTROL!$C$32, $C$9, 100%, $E$9)</f>
        <v>3.3348</v>
      </c>
      <c r="C71" s="9">
        <f>3.3348 * CHOOSE(CONTROL!$C$32, $C$9, 100%, $E$9)</f>
        <v>3.3348</v>
      </c>
      <c r="D71" s="9">
        <f>3.3357 * CHOOSE(CONTROL!$C$32, $C$9, 100%, $E$9)</f>
        <v>3.3357000000000001</v>
      </c>
      <c r="E71" s="11">
        <f>3.9209 * CHOOSE(CONTROL!$C$32, $C$9, 100%, $E$9)</f>
        <v>3.9209000000000001</v>
      </c>
      <c r="F71" s="11">
        <f>3.9209 * CHOOSE(CONTROL!$C$32, $C$9, 100%, $E$9)</f>
        <v>3.9209000000000001</v>
      </c>
      <c r="G71" s="11">
        <f>3.9241 * CHOOSE(CONTROL!$C$32, $C$9, 100%, $E$9)</f>
        <v>3.9241000000000001</v>
      </c>
      <c r="H71" s="11">
        <f>6.4922 * CHOOSE(CONTROL!$C$32, $C$9, 100%, $E$9)</f>
        <v>6.4922000000000004</v>
      </c>
      <c r="I71" s="11">
        <f>6.4954 * CHOOSE(CONTROL!$C$32, $C$9, 100%, $E$9)</f>
        <v>6.4954000000000001</v>
      </c>
      <c r="J71" s="11">
        <f>6.4922 * CHOOSE(CONTROL!$C$32, $C$9, 100%, $E$9)</f>
        <v>6.4922000000000004</v>
      </c>
      <c r="K71" s="11">
        <f>6.4954 * CHOOSE(CONTROL!$C$32, $C$9, 100%, $E$9)</f>
        <v>6.4954000000000001</v>
      </c>
      <c r="L71" s="11">
        <f>3.9209 * CHOOSE(CONTROL!$C$32, $C$9, 100%, $E$9)</f>
        <v>3.9209000000000001</v>
      </c>
      <c r="M71" s="11">
        <f>3.9241 * CHOOSE(CONTROL!$C$32, $C$9, 100%, $E$9)</f>
        <v>3.9241000000000001</v>
      </c>
      <c r="N71" s="11">
        <f>3.9209 * CHOOSE(CONTROL!$C$32, $C$9, 100%, $E$9)</f>
        <v>3.9209000000000001</v>
      </c>
      <c r="O71" s="11">
        <f>3.9241 * CHOOSE(CONTROL!$C$32, $C$9, 100%, $E$9)</f>
        <v>3.9241000000000001</v>
      </c>
      <c r="P71" s="14"/>
      <c r="Q71" s="14"/>
      <c r="R71" s="14"/>
    </row>
    <row r="72" spans="1:18" ht="15" x14ac:dyDescent="0.2">
      <c r="A72" s="13">
        <v>43040</v>
      </c>
      <c r="B72" s="9">
        <f>3.3463 * CHOOSE(CONTROL!$C$32, $C$9, 100%, $E$9)</f>
        <v>3.3462999999999998</v>
      </c>
      <c r="C72" s="9">
        <f>3.3463 * CHOOSE(CONTROL!$C$32, $C$9, 100%, $E$9)</f>
        <v>3.3462999999999998</v>
      </c>
      <c r="D72" s="9">
        <f>3.3473 * CHOOSE(CONTROL!$C$32, $C$9, 100%, $E$9)</f>
        <v>3.3473000000000002</v>
      </c>
      <c r="E72" s="11">
        <f>3.9229 * CHOOSE(CONTROL!$C$32, $C$9, 100%, $E$9)</f>
        <v>3.9228999999999998</v>
      </c>
      <c r="F72" s="11">
        <f>3.9229 * CHOOSE(CONTROL!$C$32, $C$9, 100%, $E$9)</f>
        <v>3.9228999999999998</v>
      </c>
      <c r="G72" s="11">
        <f>3.9261 * CHOOSE(CONTROL!$C$32, $C$9, 100%, $E$9)</f>
        <v>3.9260999999999999</v>
      </c>
      <c r="H72" s="11">
        <f>6.5057 * CHOOSE(CONTROL!$C$32, $C$9, 100%, $E$9)</f>
        <v>6.5057</v>
      </c>
      <c r="I72" s="11">
        <f>6.5089 * CHOOSE(CONTROL!$C$32, $C$9, 100%, $E$9)</f>
        <v>6.5088999999999997</v>
      </c>
      <c r="J72" s="11">
        <f>6.5057 * CHOOSE(CONTROL!$C$32, $C$9, 100%, $E$9)</f>
        <v>6.5057</v>
      </c>
      <c r="K72" s="11">
        <f>6.5089 * CHOOSE(CONTROL!$C$32, $C$9, 100%, $E$9)</f>
        <v>6.5088999999999997</v>
      </c>
      <c r="L72" s="11">
        <f>3.9229 * CHOOSE(CONTROL!$C$32, $C$9, 100%, $E$9)</f>
        <v>3.9228999999999998</v>
      </c>
      <c r="M72" s="11">
        <f>3.9261 * CHOOSE(CONTROL!$C$32, $C$9, 100%, $E$9)</f>
        <v>3.9260999999999999</v>
      </c>
      <c r="N72" s="11">
        <f>3.9229 * CHOOSE(CONTROL!$C$32, $C$9, 100%, $E$9)</f>
        <v>3.9228999999999998</v>
      </c>
      <c r="O72" s="11">
        <f>3.9261 * CHOOSE(CONTROL!$C$32, $C$9, 100%, $E$9)</f>
        <v>3.9260999999999999</v>
      </c>
      <c r="P72" s="14"/>
      <c r="Q72" s="14"/>
      <c r="R72" s="14"/>
    </row>
    <row r="73" spans="1:18" ht="15" x14ac:dyDescent="0.2">
      <c r="A73" s="13">
        <v>43070</v>
      </c>
      <c r="B73" s="9">
        <f>3.3463 * CHOOSE(CONTROL!$C$32, $C$9, 100%, $E$9)</f>
        <v>3.3462999999999998</v>
      </c>
      <c r="C73" s="9">
        <f>3.3463 * CHOOSE(CONTROL!$C$32, $C$9, 100%, $E$9)</f>
        <v>3.3462999999999998</v>
      </c>
      <c r="D73" s="9">
        <f>3.3473 * CHOOSE(CONTROL!$C$32, $C$9, 100%, $E$9)</f>
        <v>3.3473000000000002</v>
      </c>
      <c r="E73" s="11">
        <f>3.9229 * CHOOSE(CONTROL!$C$32, $C$9, 100%, $E$9)</f>
        <v>3.9228999999999998</v>
      </c>
      <c r="F73" s="11">
        <f>3.9229 * CHOOSE(CONTROL!$C$32, $C$9, 100%, $E$9)</f>
        <v>3.9228999999999998</v>
      </c>
      <c r="G73" s="11">
        <f>3.9261 * CHOOSE(CONTROL!$C$32, $C$9, 100%, $E$9)</f>
        <v>3.9260999999999999</v>
      </c>
      <c r="H73" s="11">
        <f>6.5192 * CHOOSE(CONTROL!$C$32, $C$9, 100%, $E$9)</f>
        <v>6.5191999999999997</v>
      </c>
      <c r="I73" s="11">
        <f>6.5225 * CHOOSE(CONTROL!$C$32, $C$9, 100%, $E$9)</f>
        <v>6.5225</v>
      </c>
      <c r="J73" s="11">
        <f>6.5192 * CHOOSE(CONTROL!$C$32, $C$9, 100%, $E$9)</f>
        <v>6.5191999999999997</v>
      </c>
      <c r="K73" s="11">
        <f>6.5225 * CHOOSE(CONTROL!$C$32, $C$9, 100%, $E$9)</f>
        <v>6.5225</v>
      </c>
      <c r="L73" s="11">
        <f>3.9229 * CHOOSE(CONTROL!$C$32, $C$9, 100%, $E$9)</f>
        <v>3.9228999999999998</v>
      </c>
      <c r="M73" s="11">
        <f>3.9261 * CHOOSE(CONTROL!$C$32, $C$9, 100%, $E$9)</f>
        <v>3.9260999999999999</v>
      </c>
      <c r="N73" s="11">
        <f>3.9229 * CHOOSE(CONTROL!$C$32, $C$9, 100%, $E$9)</f>
        <v>3.9228999999999998</v>
      </c>
      <c r="O73" s="11">
        <f>3.9261 * CHOOSE(CONTROL!$C$32, $C$9, 100%, $E$9)</f>
        <v>3.9260999999999999</v>
      </c>
      <c r="P73" s="14"/>
      <c r="Q73" s="14"/>
      <c r="R73" s="14"/>
    </row>
    <row r="74" spans="1:18" ht="15" x14ac:dyDescent="0.2">
      <c r="A74" s="13">
        <v>43101</v>
      </c>
      <c r="B74" s="9">
        <f>3.3747 * CHOOSE(CONTROL!$C$32, $C$9, 100%, $E$9)</f>
        <v>3.3746999999999998</v>
      </c>
      <c r="C74" s="9">
        <f>3.3747 * CHOOSE(CONTROL!$C$32, $C$9, 100%, $E$9)</f>
        <v>3.3746999999999998</v>
      </c>
      <c r="D74" s="9">
        <f>3.3756 * CHOOSE(CONTROL!$C$32, $C$9, 100%, $E$9)</f>
        <v>3.3755999999999999</v>
      </c>
      <c r="E74" s="11">
        <f>3.9606 * CHOOSE(CONTROL!$C$32, $C$9, 100%, $E$9)</f>
        <v>3.9605999999999999</v>
      </c>
      <c r="F74" s="11">
        <f>3.9606 * CHOOSE(CONTROL!$C$32, $C$9, 100%, $E$9)</f>
        <v>3.9605999999999999</v>
      </c>
      <c r="G74" s="11">
        <f>3.9638 * CHOOSE(CONTROL!$C$32, $C$9, 100%, $E$9)</f>
        <v>3.9638</v>
      </c>
      <c r="H74" s="11">
        <f>6.5328 * CHOOSE(CONTROL!$C$32, $C$9, 100%, $E$9)</f>
        <v>6.5327999999999999</v>
      </c>
      <c r="I74" s="11">
        <f>6.5361 * CHOOSE(CONTROL!$C$32, $C$9, 100%, $E$9)</f>
        <v>6.5361000000000002</v>
      </c>
      <c r="J74" s="11">
        <f>6.5328 * CHOOSE(CONTROL!$C$32, $C$9, 100%, $E$9)</f>
        <v>6.5327999999999999</v>
      </c>
      <c r="K74" s="11">
        <f>6.5361 * CHOOSE(CONTROL!$C$32, $C$9, 100%, $E$9)</f>
        <v>6.5361000000000002</v>
      </c>
      <c r="L74" s="11">
        <f>3.9606 * CHOOSE(CONTROL!$C$32, $C$9, 100%, $E$9)</f>
        <v>3.9605999999999999</v>
      </c>
      <c r="M74" s="11">
        <f>3.9638 * CHOOSE(CONTROL!$C$32, $C$9, 100%, $E$9)</f>
        <v>3.9638</v>
      </c>
      <c r="N74" s="11">
        <f>3.9606 * CHOOSE(CONTROL!$C$32, $C$9, 100%, $E$9)</f>
        <v>3.9605999999999999</v>
      </c>
      <c r="O74" s="11">
        <f>3.9638 * CHOOSE(CONTROL!$C$32, $C$9, 100%, $E$9)</f>
        <v>3.9638</v>
      </c>
      <c r="P74" s="14"/>
      <c r="Q74" s="14"/>
      <c r="R74" s="14"/>
    </row>
    <row r="75" spans="1:18" ht="15" x14ac:dyDescent="0.2">
      <c r="A75" s="13">
        <v>43132</v>
      </c>
      <c r="B75" s="9">
        <f>3.3805 * CHOOSE(CONTROL!$C$32, $C$9, 100%, $E$9)</f>
        <v>3.3805000000000001</v>
      </c>
      <c r="C75" s="9">
        <f>3.3805 * CHOOSE(CONTROL!$C$32, $C$9, 100%, $E$9)</f>
        <v>3.3805000000000001</v>
      </c>
      <c r="D75" s="9">
        <f>3.3814 * CHOOSE(CONTROL!$C$32, $C$9, 100%, $E$9)</f>
        <v>3.3814000000000002</v>
      </c>
      <c r="E75" s="11">
        <f>3.9586 * CHOOSE(CONTROL!$C$32, $C$9, 100%, $E$9)</f>
        <v>3.9586000000000001</v>
      </c>
      <c r="F75" s="11">
        <f>3.9586 * CHOOSE(CONTROL!$C$32, $C$9, 100%, $E$9)</f>
        <v>3.9586000000000001</v>
      </c>
      <c r="G75" s="11">
        <f>3.9618 * CHOOSE(CONTROL!$C$32, $C$9, 100%, $E$9)</f>
        <v>3.9618000000000002</v>
      </c>
      <c r="H75" s="11">
        <f>6.5464 * CHOOSE(CONTROL!$C$32, $C$9, 100%, $E$9)</f>
        <v>6.5464000000000002</v>
      </c>
      <c r="I75" s="11">
        <f>6.5497 * CHOOSE(CONTROL!$C$32, $C$9, 100%, $E$9)</f>
        <v>6.5496999999999996</v>
      </c>
      <c r="J75" s="11">
        <f>6.5464 * CHOOSE(CONTROL!$C$32, $C$9, 100%, $E$9)</f>
        <v>6.5464000000000002</v>
      </c>
      <c r="K75" s="11">
        <f>6.5497 * CHOOSE(CONTROL!$C$32, $C$9, 100%, $E$9)</f>
        <v>6.5496999999999996</v>
      </c>
      <c r="L75" s="11">
        <f>3.9586 * CHOOSE(CONTROL!$C$32, $C$9, 100%, $E$9)</f>
        <v>3.9586000000000001</v>
      </c>
      <c r="M75" s="11">
        <f>3.9618 * CHOOSE(CONTROL!$C$32, $C$9, 100%, $E$9)</f>
        <v>3.9618000000000002</v>
      </c>
      <c r="N75" s="11">
        <f>3.9586 * CHOOSE(CONTROL!$C$32, $C$9, 100%, $E$9)</f>
        <v>3.9586000000000001</v>
      </c>
      <c r="O75" s="11">
        <f>3.9618 * CHOOSE(CONTROL!$C$32, $C$9, 100%, $E$9)</f>
        <v>3.9618000000000002</v>
      </c>
      <c r="P75" s="14"/>
      <c r="Q75" s="14"/>
      <c r="R75" s="14"/>
    </row>
    <row r="76" spans="1:18" ht="15" x14ac:dyDescent="0.2">
      <c r="A76" s="13">
        <v>43160</v>
      </c>
      <c r="B76" s="9">
        <f>3.3774 * CHOOSE(CONTROL!$C$32, $C$9, 100%, $E$9)</f>
        <v>3.3774000000000002</v>
      </c>
      <c r="C76" s="9">
        <f>3.3774 * CHOOSE(CONTROL!$C$32, $C$9, 100%, $E$9)</f>
        <v>3.3774000000000002</v>
      </c>
      <c r="D76" s="9">
        <f>3.3784 * CHOOSE(CONTROL!$C$32, $C$9, 100%, $E$9)</f>
        <v>3.3784000000000001</v>
      </c>
      <c r="E76" s="11">
        <f>3.9566 * CHOOSE(CONTROL!$C$32, $C$9, 100%, $E$9)</f>
        <v>3.9565999999999999</v>
      </c>
      <c r="F76" s="11">
        <f>3.9566 * CHOOSE(CONTROL!$C$32, $C$9, 100%, $E$9)</f>
        <v>3.9565999999999999</v>
      </c>
      <c r="G76" s="11">
        <f>3.9598 * CHOOSE(CONTROL!$C$32, $C$9, 100%, $E$9)</f>
        <v>3.9598</v>
      </c>
      <c r="H76" s="11">
        <f>6.5601 * CHOOSE(CONTROL!$C$32, $C$9, 100%, $E$9)</f>
        <v>6.5601000000000003</v>
      </c>
      <c r="I76" s="11">
        <f>6.5633 * CHOOSE(CONTROL!$C$32, $C$9, 100%, $E$9)</f>
        <v>6.5632999999999999</v>
      </c>
      <c r="J76" s="11">
        <f>6.5601 * CHOOSE(CONTROL!$C$32, $C$9, 100%, $E$9)</f>
        <v>6.5601000000000003</v>
      </c>
      <c r="K76" s="11">
        <f>6.5633 * CHOOSE(CONTROL!$C$32, $C$9, 100%, $E$9)</f>
        <v>6.5632999999999999</v>
      </c>
      <c r="L76" s="11">
        <f>3.9566 * CHOOSE(CONTROL!$C$32, $C$9, 100%, $E$9)</f>
        <v>3.9565999999999999</v>
      </c>
      <c r="M76" s="11">
        <f>3.9598 * CHOOSE(CONTROL!$C$32, $C$9, 100%, $E$9)</f>
        <v>3.9598</v>
      </c>
      <c r="N76" s="11">
        <f>3.9566 * CHOOSE(CONTROL!$C$32, $C$9, 100%, $E$9)</f>
        <v>3.9565999999999999</v>
      </c>
      <c r="O76" s="11">
        <f>3.9598 * CHOOSE(CONTROL!$C$32, $C$9, 100%, $E$9)</f>
        <v>3.9598</v>
      </c>
      <c r="P76" s="14"/>
      <c r="Q76" s="14"/>
      <c r="R76" s="14"/>
    </row>
    <row r="77" spans="1:18" ht="15" x14ac:dyDescent="0.2">
      <c r="A77" s="13">
        <v>43191</v>
      </c>
      <c r="B77" s="9">
        <f>3.3713 * CHOOSE(CONTROL!$C$32, $C$9, 100%, $E$9)</f>
        <v>3.3713000000000002</v>
      </c>
      <c r="C77" s="9">
        <f>3.3713 * CHOOSE(CONTROL!$C$32, $C$9, 100%, $E$9)</f>
        <v>3.3713000000000002</v>
      </c>
      <c r="D77" s="9">
        <f>3.3723 * CHOOSE(CONTROL!$C$32, $C$9, 100%, $E$9)</f>
        <v>3.3723000000000001</v>
      </c>
      <c r="E77" s="11">
        <f>3.9541 * CHOOSE(CONTROL!$C$32, $C$9, 100%, $E$9)</f>
        <v>3.9540999999999999</v>
      </c>
      <c r="F77" s="11">
        <f>3.9541 * CHOOSE(CONTROL!$C$32, $C$9, 100%, $E$9)</f>
        <v>3.9540999999999999</v>
      </c>
      <c r="G77" s="11">
        <f>3.9573 * CHOOSE(CONTROL!$C$32, $C$9, 100%, $E$9)</f>
        <v>3.9573</v>
      </c>
      <c r="H77" s="11">
        <f>6.5737 * CHOOSE(CONTROL!$C$32, $C$9, 100%, $E$9)</f>
        <v>6.5736999999999997</v>
      </c>
      <c r="I77" s="11">
        <f>6.577 * CHOOSE(CONTROL!$C$32, $C$9, 100%, $E$9)</f>
        <v>6.577</v>
      </c>
      <c r="J77" s="11">
        <f>6.5737 * CHOOSE(CONTROL!$C$32, $C$9, 100%, $E$9)</f>
        <v>6.5736999999999997</v>
      </c>
      <c r="K77" s="11">
        <f>6.577 * CHOOSE(CONTROL!$C$32, $C$9, 100%, $E$9)</f>
        <v>6.577</v>
      </c>
      <c r="L77" s="11">
        <f>3.9541 * CHOOSE(CONTROL!$C$32, $C$9, 100%, $E$9)</f>
        <v>3.9540999999999999</v>
      </c>
      <c r="M77" s="11">
        <f>3.9573 * CHOOSE(CONTROL!$C$32, $C$9, 100%, $E$9)</f>
        <v>3.9573</v>
      </c>
      <c r="N77" s="11">
        <f>3.9541 * CHOOSE(CONTROL!$C$32, $C$9, 100%, $E$9)</f>
        <v>3.9540999999999999</v>
      </c>
      <c r="O77" s="11">
        <f>3.9573 * CHOOSE(CONTROL!$C$32, $C$9, 100%, $E$9)</f>
        <v>3.9573</v>
      </c>
      <c r="P77" s="14"/>
      <c r="Q77" s="14"/>
      <c r="R77" s="14"/>
    </row>
    <row r="78" spans="1:18" ht="15" x14ac:dyDescent="0.2">
      <c r="A78" s="13">
        <v>43221</v>
      </c>
      <c r="B78" s="9">
        <f>3.38 * CHOOSE(CONTROL!$C$32, $C$9, 100%, $E$9)</f>
        <v>3.38</v>
      </c>
      <c r="C78" s="9">
        <f>3.38 * CHOOSE(CONTROL!$C$32, $C$9, 100%, $E$9)</f>
        <v>3.38</v>
      </c>
      <c r="D78" s="9">
        <f>3.3812 * CHOOSE(CONTROL!$C$32, $C$9, 100%, $E$9)</f>
        <v>3.3812000000000002</v>
      </c>
      <c r="E78" s="11">
        <f>3.9541 * CHOOSE(CONTROL!$C$32, $C$9, 100%, $E$9)</f>
        <v>3.9540999999999999</v>
      </c>
      <c r="F78" s="11">
        <f>3.9541 * CHOOSE(CONTROL!$C$32, $C$9, 100%, $E$9)</f>
        <v>3.9540999999999999</v>
      </c>
      <c r="G78" s="11">
        <f>3.9583 * CHOOSE(CONTROL!$C$32, $C$9, 100%, $E$9)</f>
        <v>3.9582999999999999</v>
      </c>
      <c r="H78" s="11">
        <f>6.5874 * CHOOSE(CONTROL!$C$32, $C$9, 100%, $E$9)</f>
        <v>6.5873999999999997</v>
      </c>
      <c r="I78" s="11">
        <f>6.5916 * CHOOSE(CONTROL!$C$32, $C$9, 100%, $E$9)</f>
        <v>6.5915999999999997</v>
      </c>
      <c r="J78" s="11">
        <f>6.5874 * CHOOSE(CONTROL!$C$32, $C$9, 100%, $E$9)</f>
        <v>6.5873999999999997</v>
      </c>
      <c r="K78" s="11">
        <f>6.5916 * CHOOSE(CONTROL!$C$32, $C$9, 100%, $E$9)</f>
        <v>6.5915999999999997</v>
      </c>
      <c r="L78" s="11">
        <f>3.9541 * CHOOSE(CONTROL!$C$32, $C$9, 100%, $E$9)</f>
        <v>3.9540999999999999</v>
      </c>
      <c r="M78" s="11">
        <f>3.9583 * CHOOSE(CONTROL!$C$32, $C$9, 100%, $E$9)</f>
        <v>3.9582999999999999</v>
      </c>
      <c r="N78" s="11">
        <f>3.9541 * CHOOSE(CONTROL!$C$32, $C$9, 100%, $E$9)</f>
        <v>3.9540999999999999</v>
      </c>
      <c r="O78" s="11">
        <f>3.9583 * CHOOSE(CONTROL!$C$32, $C$9, 100%, $E$9)</f>
        <v>3.9582999999999999</v>
      </c>
      <c r="P78" s="14"/>
      <c r="Q78" s="14"/>
      <c r="R78" s="14"/>
    </row>
    <row r="79" spans="1:18" ht="15" x14ac:dyDescent="0.2">
      <c r="A79" s="13">
        <v>43252</v>
      </c>
      <c r="B79" s="9">
        <f>3.386 * CHOOSE(CONTROL!$C$32, $C$9, 100%, $E$9)</f>
        <v>3.3860000000000001</v>
      </c>
      <c r="C79" s="9">
        <f>3.386 * CHOOSE(CONTROL!$C$32, $C$9, 100%, $E$9)</f>
        <v>3.3860000000000001</v>
      </c>
      <c r="D79" s="9">
        <f>3.3872 * CHOOSE(CONTROL!$C$32, $C$9, 100%, $E$9)</f>
        <v>3.3872</v>
      </c>
      <c r="E79" s="11">
        <f>3.9581 * CHOOSE(CONTROL!$C$32, $C$9, 100%, $E$9)</f>
        <v>3.9581</v>
      </c>
      <c r="F79" s="11">
        <f>3.9581 * CHOOSE(CONTROL!$C$32, $C$9, 100%, $E$9)</f>
        <v>3.9581</v>
      </c>
      <c r="G79" s="11">
        <f>3.9623 * CHOOSE(CONTROL!$C$32, $C$9, 100%, $E$9)</f>
        <v>3.9622999999999999</v>
      </c>
      <c r="H79" s="11">
        <f>6.6012 * CHOOSE(CONTROL!$C$32, $C$9, 100%, $E$9)</f>
        <v>6.6012000000000004</v>
      </c>
      <c r="I79" s="11">
        <f>6.6054 * CHOOSE(CONTROL!$C$32, $C$9, 100%, $E$9)</f>
        <v>6.6054000000000004</v>
      </c>
      <c r="J79" s="11">
        <f>6.6012 * CHOOSE(CONTROL!$C$32, $C$9, 100%, $E$9)</f>
        <v>6.6012000000000004</v>
      </c>
      <c r="K79" s="11">
        <f>6.6054 * CHOOSE(CONTROL!$C$32, $C$9, 100%, $E$9)</f>
        <v>6.6054000000000004</v>
      </c>
      <c r="L79" s="11">
        <f>3.9581 * CHOOSE(CONTROL!$C$32, $C$9, 100%, $E$9)</f>
        <v>3.9581</v>
      </c>
      <c r="M79" s="11">
        <f>3.9623 * CHOOSE(CONTROL!$C$32, $C$9, 100%, $E$9)</f>
        <v>3.9622999999999999</v>
      </c>
      <c r="N79" s="11">
        <f>3.9581 * CHOOSE(CONTROL!$C$32, $C$9, 100%, $E$9)</f>
        <v>3.9581</v>
      </c>
      <c r="O79" s="11">
        <f>3.9623 * CHOOSE(CONTROL!$C$32, $C$9, 100%, $E$9)</f>
        <v>3.9622999999999999</v>
      </c>
      <c r="P79" s="14"/>
      <c r="Q79" s="14"/>
      <c r="R79" s="14"/>
    </row>
    <row r="80" spans="1:18" ht="15" x14ac:dyDescent="0.2">
      <c r="A80" s="13">
        <v>43282</v>
      </c>
      <c r="B80" s="9">
        <f>3.4206 * CHOOSE(CONTROL!$C$32, $C$9, 100%, $E$9)</f>
        <v>3.4205999999999999</v>
      </c>
      <c r="C80" s="9">
        <f>3.4206 * CHOOSE(CONTROL!$C$32, $C$9, 100%, $E$9)</f>
        <v>3.4205999999999999</v>
      </c>
      <c r="D80" s="9">
        <f>3.4218 * CHOOSE(CONTROL!$C$32, $C$9, 100%, $E$9)</f>
        <v>3.4218000000000002</v>
      </c>
      <c r="E80" s="11">
        <f>4.0414 * CHOOSE(CONTROL!$C$32, $C$9, 100%, $E$9)</f>
        <v>4.0414000000000003</v>
      </c>
      <c r="F80" s="11">
        <f>4.0414 * CHOOSE(CONTROL!$C$32, $C$9, 100%, $E$9)</f>
        <v>4.0414000000000003</v>
      </c>
      <c r="G80" s="11">
        <f>4.0456 * CHOOSE(CONTROL!$C$32, $C$9, 100%, $E$9)</f>
        <v>4.0456000000000003</v>
      </c>
      <c r="H80" s="11">
        <f>6.6149 * CHOOSE(CONTROL!$C$32, $C$9, 100%, $E$9)</f>
        <v>6.6148999999999996</v>
      </c>
      <c r="I80" s="11">
        <f>6.6191 * CHOOSE(CONTROL!$C$32, $C$9, 100%, $E$9)</f>
        <v>6.6191000000000004</v>
      </c>
      <c r="J80" s="11">
        <f>6.6149 * CHOOSE(CONTROL!$C$32, $C$9, 100%, $E$9)</f>
        <v>6.6148999999999996</v>
      </c>
      <c r="K80" s="11">
        <f>6.6191 * CHOOSE(CONTROL!$C$32, $C$9, 100%, $E$9)</f>
        <v>6.6191000000000004</v>
      </c>
      <c r="L80" s="11">
        <f>4.0414 * CHOOSE(CONTROL!$C$32, $C$9, 100%, $E$9)</f>
        <v>4.0414000000000003</v>
      </c>
      <c r="M80" s="11">
        <f>4.0456 * CHOOSE(CONTROL!$C$32, $C$9, 100%, $E$9)</f>
        <v>4.0456000000000003</v>
      </c>
      <c r="N80" s="11">
        <f>4.0414 * CHOOSE(CONTROL!$C$32, $C$9, 100%, $E$9)</f>
        <v>4.0414000000000003</v>
      </c>
      <c r="O80" s="11">
        <f>4.0456 * CHOOSE(CONTROL!$C$32, $C$9, 100%, $E$9)</f>
        <v>4.0456000000000003</v>
      </c>
      <c r="P80" s="14"/>
      <c r="Q80" s="14"/>
      <c r="R80" s="14"/>
    </row>
    <row r="81" spans="1:18" ht="15" x14ac:dyDescent="0.2">
      <c r="A81" s="13">
        <v>43313</v>
      </c>
      <c r="B81" s="9">
        <f>3.4359 * CHOOSE(CONTROL!$C$32, $C$9, 100%, $E$9)</f>
        <v>3.4359000000000002</v>
      </c>
      <c r="C81" s="9">
        <f>3.4359 * CHOOSE(CONTROL!$C$32, $C$9, 100%, $E$9)</f>
        <v>3.4359000000000002</v>
      </c>
      <c r="D81" s="9">
        <f>3.4372 * CHOOSE(CONTROL!$C$32, $C$9, 100%, $E$9)</f>
        <v>3.4371999999999998</v>
      </c>
      <c r="E81" s="11">
        <f>4.0458 * CHOOSE(CONTROL!$C$32, $C$9, 100%, $E$9)</f>
        <v>4.0457999999999998</v>
      </c>
      <c r="F81" s="11">
        <f>4.0458 * CHOOSE(CONTROL!$C$32, $C$9, 100%, $E$9)</f>
        <v>4.0457999999999998</v>
      </c>
      <c r="G81" s="11">
        <f>4.05 * CHOOSE(CONTROL!$C$32, $C$9, 100%, $E$9)</f>
        <v>4.05</v>
      </c>
      <c r="H81" s="11">
        <f>6.6287 * CHOOSE(CONTROL!$C$32, $C$9, 100%, $E$9)</f>
        <v>6.6287000000000003</v>
      </c>
      <c r="I81" s="11">
        <f>6.6329 * CHOOSE(CONTROL!$C$32, $C$9, 100%, $E$9)</f>
        <v>6.6329000000000002</v>
      </c>
      <c r="J81" s="11">
        <f>6.6287 * CHOOSE(CONTROL!$C$32, $C$9, 100%, $E$9)</f>
        <v>6.6287000000000003</v>
      </c>
      <c r="K81" s="11">
        <f>6.6329 * CHOOSE(CONTROL!$C$32, $C$9, 100%, $E$9)</f>
        <v>6.6329000000000002</v>
      </c>
      <c r="L81" s="11">
        <f>4.0458 * CHOOSE(CONTROL!$C$32, $C$9, 100%, $E$9)</f>
        <v>4.0457999999999998</v>
      </c>
      <c r="M81" s="11">
        <f>4.05 * CHOOSE(CONTROL!$C$32, $C$9, 100%, $E$9)</f>
        <v>4.05</v>
      </c>
      <c r="N81" s="11">
        <f>4.0458 * CHOOSE(CONTROL!$C$32, $C$9, 100%, $E$9)</f>
        <v>4.0457999999999998</v>
      </c>
      <c r="O81" s="11">
        <f>4.05 * CHOOSE(CONTROL!$C$32, $C$9, 100%, $E$9)</f>
        <v>4.05</v>
      </c>
      <c r="P81" s="14"/>
      <c r="Q81" s="14"/>
      <c r="R81" s="14"/>
    </row>
    <row r="82" spans="1:18" ht="15" x14ac:dyDescent="0.2">
      <c r="A82" s="13">
        <v>43344</v>
      </c>
      <c r="B82" s="9">
        <f>3.4328 * CHOOSE(CONTROL!$C$32, $C$9, 100%, $E$9)</f>
        <v>3.4327999999999999</v>
      </c>
      <c r="C82" s="9">
        <f>3.4328 * CHOOSE(CONTROL!$C$32, $C$9, 100%, $E$9)</f>
        <v>3.4327999999999999</v>
      </c>
      <c r="D82" s="9">
        <f>3.434 * CHOOSE(CONTROL!$C$32, $C$9, 100%, $E$9)</f>
        <v>3.4340000000000002</v>
      </c>
      <c r="E82" s="11">
        <f>4.0438 * CHOOSE(CONTROL!$C$32, $C$9, 100%, $E$9)</f>
        <v>4.0438000000000001</v>
      </c>
      <c r="F82" s="11">
        <f>4.0438 * CHOOSE(CONTROL!$C$32, $C$9, 100%, $E$9)</f>
        <v>4.0438000000000001</v>
      </c>
      <c r="G82" s="11">
        <f>4.048 * CHOOSE(CONTROL!$C$32, $C$9, 100%, $E$9)</f>
        <v>4.048</v>
      </c>
      <c r="H82" s="11">
        <f>6.6425 * CHOOSE(CONTROL!$C$32, $C$9, 100%, $E$9)</f>
        <v>6.6425000000000001</v>
      </c>
      <c r="I82" s="11">
        <f>6.6467 * CHOOSE(CONTROL!$C$32, $C$9, 100%, $E$9)</f>
        <v>6.6467000000000001</v>
      </c>
      <c r="J82" s="11">
        <f>6.6425 * CHOOSE(CONTROL!$C$32, $C$9, 100%, $E$9)</f>
        <v>6.6425000000000001</v>
      </c>
      <c r="K82" s="11">
        <f>6.6467 * CHOOSE(CONTROL!$C$32, $C$9, 100%, $E$9)</f>
        <v>6.6467000000000001</v>
      </c>
      <c r="L82" s="11">
        <f>4.0438 * CHOOSE(CONTROL!$C$32, $C$9, 100%, $E$9)</f>
        <v>4.0438000000000001</v>
      </c>
      <c r="M82" s="11">
        <f>4.048 * CHOOSE(CONTROL!$C$32, $C$9, 100%, $E$9)</f>
        <v>4.048</v>
      </c>
      <c r="N82" s="11">
        <f>4.0438 * CHOOSE(CONTROL!$C$32, $C$9, 100%, $E$9)</f>
        <v>4.0438000000000001</v>
      </c>
      <c r="O82" s="11">
        <f>4.048 * CHOOSE(CONTROL!$C$32, $C$9, 100%, $E$9)</f>
        <v>4.048</v>
      </c>
      <c r="P82" s="14"/>
      <c r="Q82" s="14"/>
      <c r="R82" s="14"/>
    </row>
    <row r="83" spans="1:18" ht="15" x14ac:dyDescent="0.2">
      <c r="A83" s="13">
        <v>43374</v>
      </c>
      <c r="B83" s="9">
        <f>3.4135 * CHOOSE(CONTROL!$C$32, $C$9, 100%, $E$9)</f>
        <v>3.4135</v>
      </c>
      <c r="C83" s="9">
        <f>3.4135 * CHOOSE(CONTROL!$C$32, $C$9, 100%, $E$9)</f>
        <v>3.4135</v>
      </c>
      <c r="D83" s="9">
        <f>3.4145 * CHOOSE(CONTROL!$C$32, $C$9, 100%, $E$9)</f>
        <v>3.4144999999999999</v>
      </c>
      <c r="E83" s="11">
        <f>4.0369 * CHOOSE(CONTROL!$C$32, $C$9, 100%, $E$9)</f>
        <v>4.0369000000000002</v>
      </c>
      <c r="F83" s="11">
        <f>4.0369 * CHOOSE(CONTROL!$C$32, $C$9, 100%, $E$9)</f>
        <v>4.0369000000000002</v>
      </c>
      <c r="G83" s="11">
        <f>4.0402 * CHOOSE(CONTROL!$C$32, $C$9, 100%, $E$9)</f>
        <v>4.0401999999999996</v>
      </c>
      <c r="H83" s="11">
        <f>6.6563 * CHOOSE(CONTROL!$C$32, $C$9, 100%, $E$9)</f>
        <v>6.6562999999999999</v>
      </c>
      <c r="I83" s="11">
        <f>6.6596 * CHOOSE(CONTROL!$C$32, $C$9, 100%, $E$9)</f>
        <v>6.6596000000000002</v>
      </c>
      <c r="J83" s="11">
        <f>6.6563 * CHOOSE(CONTROL!$C$32, $C$9, 100%, $E$9)</f>
        <v>6.6562999999999999</v>
      </c>
      <c r="K83" s="11">
        <f>6.6596 * CHOOSE(CONTROL!$C$32, $C$9, 100%, $E$9)</f>
        <v>6.6596000000000002</v>
      </c>
      <c r="L83" s="11">
        <f>4.0369 * CHOOSE(CONTROL!$C$32, $C$9, 100%, $E$9)</f>
        <v>4.0369000000000002</v>
      </c>
      <c r="M83" s="11">
        <f>4.0402 * CHOOSE(CONTROL!$C$32, $C$9, 100%, $E$9)</f>
        <v>4.0401999999999996</v>
      </c>
      <c r="N83" s="11">
        <f>4.0369 * CHOOSE(CONTROL!$C$32, $C$9, 100%, $E$9)</f>
        <v>4.0369000000000002</v>
      </c>
      <c r="O83" s="11">
        <f>4.0402 * CHOOSE(CONTROL!$C$32, $C$9, 100%, $E$9)</f>
        <v>4.0401999999999996</v>
      </c>
      <c r="P83" s="14"/>
      <c r="Q83" s="14"/>
      <c r="R83" s="14"/>
    </row>
    <row r="84" spans="1:18" ht="15" x14ac:dyDescent="0.2">
      <c r="A84" s="13">
        <v>43405</v>
      </c>
      <c r="B84" s="9">
        <f>3.4253 * CHOOSE(CONTROL!$C$32, $C$9, 100%, $E$9)</f>
        <v>3.4253</v>
      </c>
      <c r="C84" s="9">
        <f>3.4253 * CHOOSE(CONTROL!$C$32, $C$9, 100%, $E$9)</f>
        <v>3.4253</v>
      </c>
      <c r="D84" s="9">
        <f>3.4262 * CHOOSE(CONTROL!$C$32, $C$9, 100%, $E$9)</f>
        <v>3.4262000000000001</v>
      </c>
      <c r="E84" s="11">
        <f>4.0389 * CHOOSE(CONTROL!$C$32, $C$9, 100%, $E$9)</f>
        <v>4.0388999999999999</v>
      </c>
      <c r="F84" s="11">
        <f>4.0389 * CHOOSE(CONTROL!$C$32, $C$9, 100%, $E$9)</f>
        <v>4.0388999999999999</v>
      </c>
      <c r="G84" s="11">
        <f>4.0422 * CHOOSE(CONTROL!$C$32, $C$9, 100%, $E$9)</f>
        <v>4.0422000000000002</v>
      </c>
      <c r="H84" s="11">
        <f>6.6702 * CHOOSE(CONTROL!$C$32, $C$9, 100%, $E$9)</f>
        <v>6.6702000000000004</v>
      </c>
      <c r="I84" s="11">
        <f>6.6734 * CHOOSE(CONTROL!$C$32, $C$9, 100%, $E$9)</f>
        <v>6.6734</v>
      </c>
      <c r="J84" s="11">
        <f>6.6702 * CHOOSE(CONTROL!$C$32, $C$9, 100%, $E$9)</f>
        <v>6.6702000000000004</v>
      </c>
      <c r="K84" s="11">
        <f>6.6734 * CHOOSE(CONTROL!$C$32, $C$9, 100%, $E$9)</f>
        <v>6.6734</v>
      </c>
      <c r="L84" s="11">
        <f>4.0389 * CHOOSE(CONTROL!$C$32, $C$9, 100%, $E$9)</f>
        <v>4.0388999999999999</v>
      </c>
      <c r="M84" s="11">
        <f>4.0422 * CHOOSE(CONTROL!$C$32, $C$9, 100%, $E$9)</f>
        <v>4.0422000000000002</v>
      </c>
      <c r="N84" s="11">
        <f>4.0389 * CHOOSE(CONTROL!$C$32, $C$9, 100%, $E$9)</f>
        <v>4.0388999999999999</v>
      </c>
      <c r="O84" s="11">
        <f>4.0422 * CHOOSE(CONTROL!$C$32, $C$9, 100%, $E$9)</f>
        <v>4.0422000000000002</v>
      </c>
      <c r="P84" s="14"/>
      <c r="Q84" s="14"/>
      <c r="R84" s="14"/>
    </row>
    <row r="85" spans="1:18" ht="15" x14ac:dyDescent="0.2">
      <c r="A85" s="13">
        <v>43435</v>
      </c>
      <c r="B85" s="9">
        <f>3.4251 * CHOOSE(CONTROL!$C$32, $C$9, 100%, $E$9)</f>
        <v>3.4251</v>
      </c>
      <c r="C85" s="9">
        <f>3.4251 * CHOOSE(CONTROL!$C$32, $C$9, 100%, $E$9)</f>
        <v>3.4251</v>
      </c>
      <c r="D85" s="9">
        <f>3.4261 * CHOOSE(CONTROL!$C$32, $C$9, 100%, $E$9)</f>
        <v>3.4260999999999999</v>
      </c>
      <c r="E85" s="11">
        <f>4.0389 * CHOOSE(CONTROL!$C$32, $C$9, 100%, $E$9)</f>
        <v>4.0388999999999999</v>
      </c>
      <c r="F85" s="11">
        <f>4.0389 * CHOOSE(CONTROL!$C$32, $C$9, 100%, $E$9)</f>
        <v>4.0388999999999999</v>
      </c>
      <c r="G85" s="11">
        <f>4.0422 * CHOOSE(CONTROL!$C$32, $C$9, 100%, $E$9)</f>
        <v>4.0422000000000002</v>
      </c>
      <c r="H85" s="11">
        <f>6.6841 * CHOOSE(CONTROL!$C$32, $C$9, 100%, $E$9)</f>
        <v>6.6840999999999999</v>
      </c>
      <c r="I85" s="11">
        <f>6.6873 * CHOOSE(CONTROL!$C$32, $C$9, 100%, $E$9)</f>
        <v>6.6872999999999996</v>
      </c>
      <c r="J85" s="11">
        <f>6.6841 * CHOOSE(CONTROL!$C$32, $C$9, 100%, $E$9)</f>
        <v>6.6840999999999999</v>
      </c>
      <c r="K85" s="11">
        <f>6.6873 * CHOOSE(CONTROL!$C$32, $C$9, 100%, $E$9)</f>
        <v>6.6872999999999996</v>
      </c>
      <c r="L85" s="11">
        <f>4.0389 * CHOOSE(CONTROL!$C$32, $C$9, 100%, $E$9)</f>
        <v>4.0388999999999999</v>
      </c>
      <c r="M85" s="11">
        <f>4.0422 * CHOOSE(CONTROL!$C$32, $C$9, 100%, $E$9)</f>
        <v>4.0422000000000002</v>
      </c>
      <c r="N85" s="11">
        <f>4.0389 * CHOOSE(CONTROL!$C$32, $C$9, 100%, $E$9)</f>
        <v>4.0388999999999999</v>
      </c>
      <c r="O85" s="11">
        <f>4.0422 * CHOOSE(CONTROL!$C$32, $C$9, 100%, $E$9)</f>
        <v>4.0422000000000002</v>
      </c>
      <c r="P85" s="14"/>
      <c r="Q85" s="14"/>
      <c r="R85" s="14"/>
    </row>
    <row r="86" spans="1:18" ht="15" x14ac:dyDescent="0.2">
      <c r="A86" s="13">
        <v>43466</v>
      </c>
      <c r="B86" s="9">
        <f>3.206 * CHOOSE(CONTROL!$C$32, $C$9, 100%, $E$9)</f>
        <v>3.206</v>
      </c>
      <c r="C86" s="9">
        <f>3.206 * CHOOSE(CONTROL!$C$32, $C$9, 100%, $E$9)</f>
        <v>3.206</v>
      </c>
      <c r="D86" s="9">
        <f>3.2069 * CHOOSE(CONTROL!$C$32, $C$9, 100%, $E$9)</f>
        <v>3.2069000000000001</v>
      </c>
      <c r="E86" s="11">
        <f>4.0646 * CHOOSE(CONTROL!$C$32, $C$9, 100%, $E$9)</f>
        <v>4.0646000000000004</v>
      </c>
      <c r="F86" s="11">
        <f>4.0646 * CHOOSE(CONTROL!$C$32, $C$9, 100%, $E$9)</f>
        <v>4.0646000000000004</v>
      </c>
      <c r="G86" s="11">
        <f>4.0678 * CHOOSE(CONTROL!$C$32, $C$9, 100%, $E$9)</f>
        <v>4.0678000000000001</v>
      </c>
      <c r="H86" s="11">
        <f>6.698 * CHOOSE(CONTROL!$C$32, $C$9, 100%, $E$9)</f>
        <v>6.6980000000000004</v>
      </c>
      <c r="I86" s="11">
        <f>6.7013 * CHOOSE(CONTROL!$C$32, $C$9, 100%, $E$9)</f>
        <v>6.7012999999999998</v>
      </c>
      <c r="J86" s="11">
        <f>6.698 * CHOOSE(CONTROL!$C$32, $C$9, 100%, $E$9)</f>
        <v>6.6980000000000004</v>
      </c>
      <c r="K86" s="11">
        <f>6.7013 * CHOOSE(CONTROL!$C$32, $C$9, 100%, $E$9)</f>
        <v>6.7012999999999998</v>
      </c>
      <c r="L86" s="11">
        <f>4.0646 * CHOOSE(CONTROL!$C$32, $C$9, 100%, $E$9)</f>
        <v>4.0646000000000004</v>
      </c>
      <c r="M86" s="11">
        <f>4.0678 * CHOOSE(CONTROL!$C$32, $C$9, 100%, $E$9)</f>
        <v>4.0678000000000001</v>
      </c>
      <c r="N86" s="11">
        <f>4.0646 * CHOOSE(CONTROL!$C$32, $C$9, 100%, $E$9)</f>
        <v>4.0646000000000004</v>
      </c>
      <c r="O86" s="11">
        <f>4.0678 * CHOOSE(CONTROL!$C$32, $C$9, 100%, $E$9)</f>
        <v>4.0678000000000001</v>
      </c>
      <c r="P86" s="14"/>
      <c r="Q86" s="14"/>
      <c r="R86" s="14"/>
    </row>
    <row r="87" spans="1:18" ht="15" x14ac:dyDescent="0.2">
      <c r="A87" s="13">
        <v>43497</v>
      </c>
      <c r="B87" s="9">
        <f>3.2029 * CHOOSE(CONTROL!$C$32, $C$9, 100%, $E$9)</f>
        <v>3.2029000000000001</v>
      </c>
      <c r="C87" s="9">
        <f>3.2029 * CHOOSE(CONTROL!$C$32, $C$9, 100%, $E$9)</f>
        <v>3.2029000000000001</v>
      </c>
      <c r="D87" s="9">
        <f>3.2039 * CHOOSE(CONTROL!$C$32, $C$9, 100%, $E$9)</f>
        <v>3.2039</v>
      </c>
      <c r="E87" s="11">
        <f>4.0626 * CHOOSE(CONTROL!$C$32, $C$9, 100%, $E$9)</f>
        <v>4.0625999999999998</v>
      </c>
      <c r="F87" s="11">
        <f>4.0626 * CHOOSE(CONTROL!$C$32, $C$9, 100%, $E$9)</f>
        <v>4.0625999999999998</v>
      </c>
      <c r="G87" s="11">
        <f>4.0658 * CHOOSE(CONTROL!$C$32, $C$9, 100%, $E$9)</f>
        <v>4.0658000000000003</v>
      </c>
      <c r="H87" s="11">
        <f>6.712 * CHOOSE(CONTROL!$C$32, $C$9, 100%, $E$9)</f>
        <v>6.7119999999999997</v>
      </c>
      <c r="I87" s="11">
        <f>6.7152 * CHOOSE(CONTROL!$C$32, $C$9, 100%, $E$9)</f>
        <v>6.7152000000000003</v>
      </c>
      <c r="J87" s="11">
        <f>6.712 * CHOOSE(CONTROL!$C$32, $C$9, 100%, $E$9)</f>
        <v>6.7119999999999997</v>
      </c>
      <c r="K87" s="11">
        <f>6.7152 * CHOOSE(CONTROL!$C$32, $C$9, 100%, $E$9)</f>
        <v>6.7152000000000003</v>
      </c>
      <c r="L87" s="11">
        <f>4.0626 * CHOOSE(CONTROL!$C$32, $C$9, 100%, $E$9)</f>
        <v>4.0625999999999998</v>
      </c>
      <c r="M87" s="11">
        <f>4.0658 * CHOOSE(CONTROL!$C$32, $C$9, 100%, $E$9)</f>
        <v>4.0658000000000003</v>
      </c>
      <c r="N87" s="11">
        <f>4.0626 * CHOOSE(CONTROL!$C$32, $C$9, 100%, $E$9)</f>
        <v>4.0625999999999998</v>
      </c>
      <c r="O87" s="11">
        <f>4.0658 * CHOOSE(CONTROL!$C$32, $C$9, 100%, $E$9)</f>
        <v>4.0658000000000003</v>
      </c>
      <c r="P87" s="14"/>
      <c r="Q87" s="14"/>
      <c r="R87" s="14"/>
    </row>
    <row r="88" spans="1:18" ht="15" x14ac:dyDescent="0.2">
      <c r="A88" s="13">
        <v>43525</v>
      </c>
      <c r="B88" s="9">
        <f>3.1999 * CHOOSE(CONTROL!$C$32, $C$9, 100%, $E$9)</f>
        <v>3.1999</v>
      </c>
      <c r="C88" s="9">
        <f>3.1999 * CHOOSE(CONTROL!$C$32, $C$9, 100%, $E$9)</f>
        <v>3.1999</v>
      </c>
      <c r="D88" s="9">
        <f>3.2009 * CHOOSE(CONTROL!$C$32, $C$9, 100%, $E$9)</f>
        <v>3.2008999999999999</v>
      </c>
      <c r="E88" s="11">
        <f>4.0606 * CHOOSE(CONTROL!$C$32, $C$9, 100%, $E$9)</f>
        <v>4.0606</v>
      </c>
      <c r="F88" s="11">
        <f>4.0606 * CHOOSE(CONTROL!$C$32, $C$9, 100%, $E$9)</f>
        <v>4.0606</v>
      </c>
      <c r="G88" s="11">
        <f>4.0638 * CHOOSE(CONTROL!$C$32, $C$9, 100%, $E$9)</f>
        <v>4.0637999999999996</v>
      </c>
      <c r="H88" s="11">
        <f>6.726 * CHOOSE(CONTROL!$C$32, $C$9, 100%, $E$9)</f>
        <v>6.726</v>
      </c>
      <c r="I88" s="11">
        <f>6.7292 * CHOOSE(CONTROL!$C$32, $C$9, 100%, $E$9)</f>
        <v>6.7291999999999996</v>
      </c>
      <c r="J88" s="11">
        <f>6.726 * CHOOSE(CONTROL!$C$32, $C$9, 100%, $E$9)</f>
        <v>6.726</v>
      </c>
      <c r="K88" s="11">
        <f>6.7292 * CHOOSE(CONTROL!$C$32, $C$9, 100%, $E$9)</f>
        <v>6.7291999999999996</v>
      </c>
      <c r="L88" s="11">
        <f>4.0606 * CHOOSE(CONTROL!$C$32, $C$9, 100%, $E$9)</f>
        <v>4.0606</v>
      </c>
      <c r="M88" s="11">
        <f>4.0638 * CHOOSE(CONTROL!$C$32, $C$9, 100%, $E$9)</f>
        <v>4.0637999999999996</v>
      </c>
      <c r="N88" s="11">
        <f>4.0606 * CHOOSE(CONTROL!$C$32, $C$9, 100%, $E$9)</f>
        <v>4.0606</v>
      </c>
      <c r="O88" s="11">
        <f>4.0638 * CHOOSE(CONTROL!$C$32, $C$9, 100%, $E$9)</f>
        <v>4.0637999999999996</v>
      </c>
      <c r="P88" s="14"/>
      <c r="Q88" s="14"/>
      <c r="R88" s="14"/>
    </row>
    <row r="89" spans="1:18" ht="15" x14ac:dyDescent="0.2">
      <c r="A89" s="13">
        <v>43556</v>
      </c>
      <c r="B89" s="9">
        <f>3.1968 * CHOOSE(CONTROL!$C$32, $C$9, 100%, $E$9)</f>
        <v>3.1968000000000001</v>
      </c>
      <c r="C89" s="9">
        <f>3.1968 * CHOOSE(CONTROL!$C$32, $C$9, 100%, $E$9)</f>
        <v>3.1968000000000001</v>
      </c>
      <c r="D89" s="9">
        <f>3.1978 * CHOOSE(CONTROL!$C$32, $C$9, 100%, $E$9)</f>
        <v>3.1978</v>
      </c>
      <c r="E89" s="11">
        <f>4.0581 * CHOOSE(CONTROL!$C$32, $C$9, 100%, $E$9)</f>
        <v>4.0580999999999996</v>
      </c>
      <c r="F89" s="11">
        <f>4.0581 * CHOOSE(CONTROL!$C$32, $C$9, 100%, $E$9)</f>
        <v>4.0580999999999996</v>
      </c>
      <c r="G89" s="11">
        <f>4.0613 * CHOOSE(CONTROL!$C$32, $C$9, 100%, $E$9)</f>
        <v>4.0613000000000001</v>
      </c>
      <c r="H89" s="11">
        <f>6.74 * CHOOSE(CONTROL!$C$32, $C$9, 100%, $E$9)</f>
        <v>6.74</v>
      </c>
      <c r="I89" s="11">
        <f>6.7432 * CHOOSE(CONTROL!$C$32, $C$9, 100%, $E$9)</f>
        <v>6.7431999999999999</v>
      </c>
      <c r="J89" s="11">
        <f>6.74 * CHOOSE(CONTROL!$C$32, $C$9, 100%, $E$9)</f>
        <v>6.74</v>
      </c>
      <c r="K89" s="11">
        <f>6.7432 * CHOOSE(CONTROL!$C$32, $C$9, 100%, $E$9)</f>
        <v>6.7431999999999999</v>
      </c>
      <c r="L89" s="11">
        <f>4.0581 * CHOOSE(CONTROL!$C$32, $C$9, 100%, $E$9)</f>
        <v>4.0580999999999996</v>
      </c>
      <c r="M89" s="11">
        <f>4.0613 * CHOOSE(CONTROL!$C$32, $C$9, 100%, $E$9)</f>
        <v>4.0613000000000001</v>
      </c>
      <c r="N89" s="11">
        <f>4.0581 * CHOOSE(CONTROL!$C$32, $C$9, 100%, $E$9)</f>
        <v>4.0580999999999996</v>
      </c>
      <c r="O89" s="11">
        <f>4.0613 * CHOOSE(CONTROL!$C$32, $C$9, 100%, $E$9)</f>
        <v>4.0613000000000001</v>
      </c>
      <c r="P89" s="14"/>
      <c r="Q89" s="14"/>
      <c r="R89" s="14"/>
    </row>
    <row r="90" spans="1:18" ht="15" x14ac:dyDescent="0.2">
      <c r="A90" s="13">
        <v>43586</v>
      </c>
      <c r="B90" s="9">
        <f>3.1968 * CHOOSE(CONTROL!$C$32, $C$9, 100%, $E$9)</f>
        <v>3.1968000000000001</v>
      </c>
      <c r="C90" s="9">
        <f>3.1968 * CHOOSE(CONTROL!$C$32, $C$9, 100%, $E$9)</f>
        <v>3.1968000000000001</v>
      </c>
      <c r="D90" s="9">
        <f>3.198 * CHOOSE(CONTROL!$C$32, $C$9, 100%, $E$9)</f>
        <v>3.198</v>
      </c>
      <c r="E90" s="11">
        <f>4.0581 * CHOOSE(CONTROL!$C$32, $C$9, 100%, $E$9)</f>
        <v>4.0580999999999996</v>
      </c>
      <c r="F90" s="11">
        <f>4.0581 * CHOOSE(CONTROL!$C$32, $C$9, 100%, $E$9)</f>
        <v>4.0580999999999996</v>
      </c>
      <c r="G90" s="11">
        <f>4.0623 * CHOOSE(CONTROL!$C$32, $C$9, 100%, $E$9)</f>
        <v>4.0622999999999996</v>
      </c>
      <c r="H90" s="11">
        <f>6.754 * CHOOSE(CONTROL!$C$32, $C$9, 100%, $E$9)</f>
        <v>6.7539999999999996</v>
      </c>
      <c r="I90" s="11">
        <f>6.7582 * CHOOSE(CONTROL!$C$32, $C$9, 100%, $E$9)</f>
        <v>6.7582000000000004</v>
      </c>
      <c r="J90" s="11">
        <f>6.754 * CHOOSE(CONTROL!$C$32, $C$9, 100%, $E$9)</f>
        <v>6.7539999999999996</v>
      </c>
      <c r="K90" s="11">
        <f>6.7582 * CHOOSE(CONTROL!$C$32, $C$9, 100%, $E$9)</f>
        <v>6.7582000000000004</v>
      </c>
      <c r="L90" s="11">
        <f>4.0581 * CHOOSE(CONTROL!$C$32, $C$9, 100%, $E$9)</f>
        <v>4.0580999999999996</v>
      </c>
      <c r="M90" s="11">
        <f>4.0623 * CHOOSE(CONTROL!$C$32, $C$9, 100%, $E$9)</f>
        <v>4.0622999999999996</v>
      </c>
      <c r="N90" s="11">
        <f>4.0581 * CHOOSE(CONTROL!$C$32, $C$9, 100%, $E$9)</f>
        <v>4.0580999999999996</v>
      </c>
      <c r="O90" s="11">
        <f>4.0623 * CHOOSE(CONTROL!$C$32, $C$9, 100%, $E$9)</f>
        <v>4.0622999999999996</v>
      </c>
      <c r="P90" s="14"/>
      <c r="Q90" s="14"/>
      <c r="R90" s="14"/>
    </row>
    <row r="91" spans="1:18" ht="15" x14ac:dyDescent="0.2">
      <c r="A91" s="13">
        <v>43617</v>
      </c>
      <c r="B91" s="9">
        <f>3.2029 * CHOOSE(CONTROL!$C$32, $C$9, 100%, $E$9)</f>
        <v>3.2029000000000001</v>
      </c>
      <c r="C91" s="9">
        <f>3.2029 * CHOOSE(CONTROL!$C$32, $C$9, 100%, $E$9)</f>
        <v>3.2029000000000001</v>
      </c>
      <c r="D91" s="9">
        <f>3.2041 * CHOOSE(CONTROL!$C$32, $C$9, 100%, $E$9)</f>
        <v>3.2040999999999999</v>
      </c>
      <c r="E91" s="11">
        <f>4.0621 * CHOOSE(CONTROL!$C$32, $C$9, 100%, $E$9)</f>
        <v>4.0621</v>
      </c>
      <c r="F91" s="11">
        <f>4.0621 * CHOOSE(CONTROL!$C$32, $C$9, 100%, $E$9)</f>
        <v>4.0621</v>
      </c>
      <c r="G91" s="11">
        <f>4.0663 * CHOOSE(CONTROL!$C$32, $C$9, 100%, $E$9)</f>
        <v>4.0663</v>
      </c>
      <c r="H91" s="11">
        <f>6.7681 * CHOOSE(CONTROL!$C$32, $C$9, 100%, $E$9)</f>
        <v>6.7680999999999996</v>
      </c>
      <c r="I91" s="11">
        <f>6.7723 * CHOOSE(CONTROL!$C$32, $C$9, 100%, $E$9)</f>
        <v>6.7723000000000004</v>
      </c>
      <c r="J91" s="11">
        <f>6.7681 * CHOOSE(CONTROL!$C$32, $C$9, 100%, $E$9)</f>
        <v>6.7680999999999996</v>
      </c>
      <c r="K91" s="11">
        <f>6.7723 * CHOOSE(CONTROL!$C$32, $C$9, 100%, $E$9)</f>
        <v>6.7723000000000004</v>
      </c>
      <c r="L91" s="11">
        <f>4.0621 * CHOOSE(CONTROL!$C$32, $C$9, 100%, $E$9)</f>
        <v>4.0621</v>
      </c>
      <c r="M91" s="11">
        <f>4.0663 * CHOOSE(CONTROL!$C$32, $C$9, 100%, $E$9)</f>
        <v>4.0663</v>
      </c>
      <c r="N91" s="11">
        <f>4.0621 * CHOOSE(CONTROL!$C$32, $C$9, 100%, $E$9)</f>
        <v>4.0621</v>
      </c>
      <c r="O91" s="11">
        <f>4.0663 * CHOOSE(CONTROL!$C$32, $C$9, 100%, $E$9)</f>
        <v>4.0663</v>
      </c>
      <c r="P91" s="14"/>
      <c r="Q91" s="14"/>
      <c r="R91" s="14"/>
    </row>
    <row r="92" spans="1:18" ht="15" x14ac:dyDescent="0.2">
      <c r="A92" s="13">
        <v>43647</v>
      </c>
      <c r="B92" s="9">
        <f>3.243 * CHOOSE(CONTROL!$C$32, $C$9, 100%, $E$9)</f>
        <v>3.2429999999999999</v>
      </c>
      <c r="C92" s="9">
        <f>3.243 * CHOOSE(CONTROL!$C$32, $C$9, 100%, $E$9)</f>
        <v>3.2429999999999999</v>
      </c>
      <c r="D92" s="9">
        <f>3.2442 * CHOOSE(CONTROL!$C$32, $C$9, 100%, $E$9)</f>
        <v>3.2442000000000002</v>
      </c>
      <c r="E92" s="11">
        <f>4.1173 * CHOOSE(CONTROL!$C$32, $C$9, 100%, $E$9)</f>
        <v>4.1173000000000002</v>
      </c>
      <c r="F92" s="11">
        <f>4.1173 * CHOOSE(CONTROL!$C$32, $C$9, 100%, $E$9)</f>
        <v>4.1173000000000002</v>
      </c>
      <c r="G92" s="11">
        <f>4.1215 * CHOOSE(CONTROL!$C$32, $C$9, 100%, $E$9)</f>
        <v>4.1215000000000002</v>
      </c>
      <c r="H92" s="11">
        <f>6.7822 * CHOOSE(CONTROL!$C$32, $C$9, 100%, $E$9)</f>
        <v>6.7821999999999996</v>
      </c>
      <c r="I92" s="11">
        <f>6.7864 * CHOOSE(CONTROL!$C$32, $C$9, 100%, $E$9)</f>
        <v>6.7864000000000004</v>
      </c>
      <c r="J92" s="11">
        <f>6.7822 * CHOOSE(CONTROL!$C$32, $C$9, 100%, $E$9)</f>
        <v>6.7821999999999996</v>
      </c>
      <c r="K92" s="11">
        <f>6.7864 * CHOOSE(CONTROL!$C$32, $C$9, 100%, $E$9)</f>
        <v>6.7864000000000004</v>
      </c>
      <c r="L92" s="11">
        <f>4.1173 * CHOOSE(CONTROL!$C$32, $C$9, 100%, $E$9)</f>
        <v>4.1173000000000002</v>
      </c>
      <c r="M92" s="11">
        <f>4.1215 * CHOOSE(CONTROL!$C$32, $C$9, 100%, $E$9)</f>
        <v>4.1215000000000002</v>
      </c>
      <c r="N92" s="11">
        <f>4.1173 * CHOOSE(CONTROL!$C$32, $C$9, 100%, $E$9)</f>
        <v>4.1173000000000002</v>
      </c>
      <c r="O92" s="11">
        <f>4.1215 * CHOOSE(CONTROL!$C$32, $C$9, 100%, $E$9)</f>
        <v>4.1215000000000002</v>
      </c>
      <c r="P92" s="14"/>
      <c r="Q92" s="14"/>
      <c r="R92" s="14"/>
    </row>
    <row r="93" spans="1:18" ht="15" x14ac:dyDescent="0.2">
      <c r="A93" s="13">
        <v>43678</v>
      </c>
      <c r="B93" s="9">
        <f>3.2497 * CHOOSE(CONTROL!$C$32, $C$9, 100%, $E$9)</f>
        <v>3.2496999999999998</v>
      </c>
      <c r="C93" s="9">
        <f>3.2497 * CHOOSE(CONTROL!$C$32, $C$9, 100%, $E$9)</f>
        <v>3.2496999999999998</v>
      </c>
      <c r="D93" s="9">
        <f>3.2509 * CHOOSE(CONTROL!$C$32, $C$9, 100%, $E$9)</f>
        <v>3.2509000000000001</v>
      </c>
      <c r="E93" s="11">
        <f>4.1217 * CHOOSE(CONTROL!$C$32, $C$9, 100%, $E$9)</f>
        <v>4.1216999999999997</v>
      </c>
      <c r="F93" s="11">
        <f>4.1217 * CHOOSE(CONTROL!$C$32, $C$9, 100%, $E$9)</f>
        <v>4.1216999999999997</v>
      </c>
      <c r="G93" s="11">
        <f>4.1259 * CHOOSE(CONTROL!$C$32, $C$9, 100%, $E$9)</f>
        <v>4.1258999999999997</v>
      </c>
      <c r="H93" s="11">
        <f>6.7963 * CHOOSE(CONTROL!$C$32, $C$9, 100%, $E$9)</f>
        <v>6.7962999999999996</v>
      </c>
      <c r="I93" s="11">
        <f>6.8005 * CHOOSE(CONTROL!$C$32, $C$9, 100%, $E$9)</f>
        <v>6.8005000000000004</v>
      </c>
      <c r="J93" s="11">
        <f>6.7963 * CHOOSE(CONTROL!$C$32, $C$9, 100%, $E$9)</f>
        <v>6.7962999999999996</v>
      </c>
      <c r="K93" s="11">
        <f>6.8005 * CHOOSE(CONTROL!$C$32, $C$9, 100%, $E$9)</f>
        <v>6.8005000000000004</v>
      </c>
      <c r="L93" s="11">
        <f>4.1217 * CHOOSE(CONTROL!$C$32, $C$9, 100%, $E$9)</f>
        <v>4.1216999999999997</v>
      </c>
      <c r="M93" s="11">
        <f>4.1259 * CHOOSE(CONTROL!$C$32, $C$9, 100%, $E$9)</f>
        <v>4.1258999999999997</v>
      </c>
      <c r="N93" s="11">
        <f>4.1217 * CHOOSE(CONTROL!$C$32, $C$9, 100%, $E$9)</f>
        <v>4.1216999999999997</v>
      </c>
      <c r="O93" s="11">
        <f>4.1259 * CHOOSE(CONTROL!$C$32, $C$9, 100%, $E$9)</f>
        <v>4.1258999999999997</v>
      </c>
      <c r="P93" s="14"/>
      <c r="Q93" s="14"/>
      <c r="R93" s="14"/>
    </row>
    <row r="94" spans="1:18" ht="15" x14ac:dyDescent="0.2">
      <c r="A94" s="13">
        <v>43709</v>
      </c>
      <c r="B94" s="9">
        <f>3.2466 * CHOOSE(CONTROL!$C$32, $C$9, 100%, $E$9)</f>
        <v>3.2465999999999999</v>
      </c>
      <c r="C94" s="9">
        <f>3.2466 * CHOOSE(CONTROL!$C$32, $C$9, 100%, $E$9)</f>
        <v>3.2465999999999999</v>
      </c>
      <c r="D94" s="9">
        <f>3.2479 * CHOOSE(CONTROL!$C$32, $C$9, 100%, $E$9)</f>
        <v>3.2479</v>
      </c>
      <c r="E94" s="11">
        <f>4.1197 * CHOOSE(CONTROL!$C$32, $C$9, 100%, $E$9)</f>
        <v>4.1196999999999999</v>
      </c>
      <c r="F94" s="11">
        <f>4.1197 * CHOOSE(CONTROL!$C$32, $C$9, 100%, $E$9)</f>
        <v>4.1196999999999999</v>
      </c>
      <c r="G94" s="11">
        <f>4.1239 * CHOOSE(CONTROL!$C$32, $C$9, 100%, $E$9)</f>
        <v>4.1238999999999999</v>
      </c>
      <c r="H94" s="11">
        <f>6.8105 * CHOOSE(CONTROL!$C$32, $C$9, 100%, $E$9)</f>
        <v>6.8105000000000002</v>
      </c>
      <c r="I94" s="11">
        <f>6.8147 * CHOOSE(CONTROL!$C$32, $C$9, 100%, $E$9)</f>
        <v>6.8147000000000002</v>
      </c>
      <c r="J94" s="11">
        <f>6.8105 * CHOOSE(CONTROL!$C$32, $C$9, 100%, $E$9)</f>
        <v>6.8105000000000002</v>
      </c>
      <c r="K94" s="11">
        <f>6.8147 * CHOOSE(CONTROL!$C$32, $C$9, 100%, $E$9)</f>
        <v>6.8147000000000002</v>
      </c>
      <c r="L94" s="11">
        <f>4.1197 * CHOOSE(CONTROL!$C$32, $C$9, 100%, $E$9)</f>
        <v>4.1196999999999999</v>
      </c>
      <c r="M94" s="11">
        <f>4.1239 * CHOOSE(CONTROL!$C$32, $C$9, 100%, $E$9)</f>
        <v>4.1238999999999999</v>
      </c>
      <c r="N94" s="11">
        <f>4.1197 * CHOOSE(CONTROL!$C$32, $C$9, 100%, $E$9)</f>
        <v>4.1196999999999999</v>
      </c>
      <c r="O94" s="11">
        <f>4.1239 * CHOOSE(CONTROL!$C$32, $C$9, 100%, $E$9)</f>
        <v>4.1238999999999999</v>
      </c>
      <c r="P94" s="14"/>
      <c r="Q94" s="14"/>
      <c r="R94" s="14"/>
    </row>
    <row r="95" spans="1:18" ht="15" x14ac:dyDescent="0.2">
      <c r="A95" s="13">
        <v>43739</v>
      </c>
      <c r="B95" s="9">
        <f>3.239 * CHOOSE(CONTROL!$C$32, $C$9, 100%, $E$9)</f>
        <v>3.2389999999999999</v>
      </c>
      <c r="C95" s="9">
        <f>3.239 * CHOOSE(CONTROL!$C$32, $C$9, 100%, $E$9)</f>
        <v>3.2389999999999999</v>
      </c>
      <c r="D95" s="9">
        <f>3.2399 * CHOOSE(CONTROL!$C$32, $C$9, 100%, $E$9)</f>
        <v>3.2399</v>
      </c>
      <c r="E95" s="11">
        <f>4.113 * CHOOSE(CONTROL!$C$32, $C$9, 100%, $E$9)</f>
        <v>4.1130000000000004</v>
      </c>
      <c r="F95" s="11">
        <f>4.113 * CHOOSE(CONTROL!$C$32, $C$9, 100%, $E$9)</f>
        <v>4.1130000000000004</v>
      </c>
      <c r="G95" s="11">
        <f>4.1163 * CHOOSE(CONTROL!$C$32, $C$9, 100%, $E$9)</f>
        <v>4.1162999999999998</v>
      </c>
      <c r="H95" s="11">
        <f>6.8247 * CHOOSE(CONTROL!$C$32, $C$9, 100%, $E$9)</f>
        <v>6.8247</v>
      </c>
      <c r="I95" s="11">
        <f>6.8279 * CHOOSE(CONTROL!$C$32, $C$9, 100%, $E$9)</f>
        <v>6.8278999999999996</v>
      </c>
      <c r="J95" s="11">
        <f>6.8247 * CHOOSE(CONTROL!$C$32, $C$9, 100%, $E$9)</f>
        <v>6.8247</v>
      </c>
      <c r="K95" s="11">
        <f>6.8279 * CHOOSE(CONTROL!$C$32, $C$9, 100%, $E$9)</f>
        <v>6.8278999999999996</v>
      </c>
      <c r="L95" s="11">
        <f>4.113 * CHOOSE(CONTROL!$C$32, $C$9, 100%, $E$9)</f>
        <v>4.1130000000000004</v>
      </c>
      <c r="M95" s="11">
        <f>4.1163 * CHOOSE(CONTROL!$C$32, $C$9, 100%, $E$9)</f>
        <v>4.1162999999999998</v>
      </c>
      <c r="N95" s="11">
        <f>4.113 * CHOOSE(CONTROL!$C$32, $C$9, 100%, $E$9)</f>
        <v>4.1130000000000004</v>
      </c>
      <c r="O95" s="11">
        <f>4.1163 * CHOOSE(CONTROL!$C$32, $C$9, 100%, $E$9)</f>
        <v>4.1162999999999998</v>
      </c>
      <c r="P95" s="14"/>
      <c r="Q95" s="14"/>
      <c r="R95" s="14"/>
    </row>
    <row r="96" spans="1:18" ht="15" x14ac:dyDescent="0.2">
      <c r="A96" s="13">
        <v>43770</v>
      </c>
      <c r="B96" s="9">
        <f>3.242 * CHOOSE(CONTROL!$C$32, $C$9, 100%, $E$9)</f>
        <v>3.242</v>
      </c>
      <c r="C96" s="9">
        <f>3.242 * CHOOSE(CONTROL!$C$32, $C$9, 100%, $E$9)</f>
        <v>3.242</v>
      </c>
      <c r="D96" s="9">
        <f>3.243 * CHOOSE(CONTROL!$C$32, $C$9, 100%, $E$9)</f>
        <v>3.2429999999999999</v>
      </c>
      <c r="E96" s="11">
        <f>4.115 * CHOOSE(CONTROL!$C$32, $C$9, 100%, $E$9)</f>
        <v>4.1150000000000002</v>
      </c>
      <c r="F96" s="11">
        <f>4.115 * CHOOSE(CONTROL!$C$32, $C$9, 100%, $E$9)</f>
        <v>4.1150000000000002</v>
      </c>
      <c r="G96" s="11">
        <f>4.1183 * CHOOSE(CONTROL!$C$32, $C$9, 100%, $E$9)</f>
        <v>4.1182999999999996</v>
      </c>
      <c r="H96" s="11">
        <f>6.8389 * CHOOSE(CONTROL!$C$32, $C$9, 100%, $E$9)</f>
        <v>6.8388999999999998</v>
      </c>
      <c r="I96" s="11">
        <f>6.8421 * CHOOSE(CONTROL!$C$32, $C$9, 100%, $E$9)</f>
        <v>6.8421000000000003</v>
      </c>
      <c r="J96" s="11">
        <f>6.8389 * CHOOSE(CONTROL!$C$32, $C$9, 100%, $E$9)</f>
        <v>6.8388999999999998</v>
      </c>
      <c r="K96" s="11">
        <f>6.8421 * CHOOSE(CONTROL!$C$32, $C$9, 100%, $E$9)</f>
        <v>6.8421000000000003</v>
      </c>
      <c r="L96" s="11">
        <f>4.115 * CHOOSE(CONTROL!$C$32, $C$9, 100%, $E$9)</f>
        <v>4.1150000000000002</v>
      </c>
      <c r="M96" s="11">
        <f>4.1183 * CHOOSE(CONTROL!$C$32, $C$9, 100%, $E$9)</f>
        <v>4.1182999999999996</v>
      </c>
      <c r="N96" s="11">
        <f>4.115 * CHOOSE(CONTROL!$C$32, $C$9, 100%, $E$9)</f>
        <v>4.1150000000000002</v>
      </c>
      <c r="O96" s="11">
        <f>4.1183 * CHOOSE(CONTROL!$C$32, $C$9, 100%, $E$9)</f>
        <v>4.1182999999999996</v>
      </c>
      <c r="P96" s="14"/>
      <c r="Q96" s="14"/>
      <c r="R96" s="14"/>
    </row>
    <row r="97" spans="1:18" ht="15" x14ac:dyDescent="0.2">
      <c r="A97" s="13">
        <v>43800</v>
      </c>
      <c r="B97" s="9">
        <f>3.242 * CHOOSE(CONTROL!$C$32, $C$9, 100%, $E$9)</f>
        <v>3.242</v>
      </c>
      <c r="C97" s="9">
        <f>3.242 * CHOOSE(CONTROL!$C$32, $C$9, 100%, $E$9)</f>
        <v>3.242</v>
      </c>
      <c r="D97" s="9">
        <f>3.243 * CHOOSE(CONTROL!$C$32, $C$9, 100%, $E$9)</f>
        <v>3.2429999999999999</v>
      </c>
      <c r="E97" s="11">
        <f>4.115 * CHOOSE(CONTROL!$C$32, $C$9, 100%, $E$9)</f>
        <v>4.1150000000000002</v>
      </c>
      <c r="F97" s="11">
        <f>4.115 * CHOOSE(CONTROL!$C$32, $C$9, 100%, $E$9)</f>
        <v>4.1150000000000002</v>
      </c>
      <c r="G97" s="11">
        <f>4.1183 * CHOOSE(CONTROL!$C$32, $C$9, 100%, $E$9)</f>
        <v>4.1182999999999996</v>
      </c>
      <c r="H97" s="11">
        <f>6.8531 * CHOOSE(CONTROL!$C$32, $C$9, 100%, $E$9)</f>
        <v>6.8531000000000004</v>
      </c>
      <c r="I97" s="11">
        <f>6.8564 * CHOOSE(CONTROL!$C$32, $C$9, 100%, $E$9)</f>
        <v>6.8563999999999998</v>
      </c>
      <c r="J97" s="11">
        <f>6.8531 * CHOOSE(CONTROL!$C$32, $C$9, 100%, $E$9)</f>
        <v>6.8531000000000004</v>
      </c>
      <c r="K97" s="11">
        <f>6.8564 * CHOOSE(CONTROL!$C$32, $C$9, 100%, $E$9)</f>
        <v>6.8563999999999998</v>
      </c>
      <c r="L97" s="11">
        <f>4.115 * CHOOSE(CONTROL!$C$32, $C$9, 100%, $E$9)</f>
        <v>4.1150000000000002</v>
      </c>
      <c r="M97" s="11">
        <f>4.1183 * CHOOSE(CONTROL!$C$32, $C$9, 100%, $E$9)</f>
        <v>4.1182999999999996</v>
      </c>
      <c r="N97" s="11">
        <f>4.115 * CHOOSE(CONTROL!$C$32, $C$9, 100%, $E$9)</f>
        <v>4.1150000000000002</v>
      </c>
      <c r="O97" s="11">
        <f>4.1183 * CHOOSE(CONTROL!$C$32, $C$9, 100%, $E$9)</f>
        <v>4.1182999999999996</v>
      </c>
      <c r="P97" s="14"/>
      <c r="Q97" s="14"/>
      <c r="R97" s="14"/>
    </row>
    <row r="98" spans="1:18" ht="15" x14ac:dyDescent="0.2">
      <c r="A98" s="13">
        <v>43831</v>
      </c>
      <c r="B98" s="9">
        <f>3.2675 * CHOOSE(CONTROL!$C$32, $C$9, 100%, $E$9)</f>
        <v>3.2675000000000001</v>
      </c>
      <c r="C98" s="9">
        <f>3.2675 * CHOOSE(CONTROL!$C$32, $C$9, 100%, $E$9)</f>
        <v>3.2675000000000001</v>
      </c>
      <c r="D98" s="9">
        <f>3.2684 * CHOOSE(CONTROL!$C$32, $C$9, 100%, $E$9)</f>
        <v>3.2684000000000002</v>
      </c>
      <c r="E98" s="11">
        <f>4.148 * CHOOSE(CONTROL!$C$32, $C$9, 100%, $E$9)</f>
        <v>4.1479999999999997</v>
      </c>
      <c r="F98" s="11">
        <f>4.148 * CHOOSE(CONTROL!$C$32, $C$9, 100%, $E$9)</f>
        <v>4.1479999999999997</v>
      </c>
      <c r="G98" s="11">
        <f>4.1512 * CHOOSE(CONTROL!$C$32, $C$9, 100%, $E$9)</f>
        <v>4.1512000000000002</v>
      </c>
      <c r="H98" s="11">
        <f>6.8674 * CHOOSE(CONTROL!$C$32, $C$9, 100%, $E$9)</f>
        <v>6.8673999999999999</v>
      </c>
      <c r="I98" s="11">
        <f>6.8706 * CHOOSE(CONTROL!$C$32, $C$9, 100%, $E$9)</f>
        <v>6.8705999999999996</v>
      </c>
      <c r="J98" s="11">
        <f>6.8674 * CHOOSE(CONTROL!$C$32, $C$9, 100%, $E$9)</f>
        <v>6.8673999999999999</v>
      </c>
      <c r="K98" s="11">
        <f>6.8706 * CHOOSE(CONTROL!$C$32, $C$9, 100%, $E$9)</f>
        <v>6.8705999999999996</v>
      </c>
      <c r="L98" s="11">
        <f>4.148 * CHOOSE(CONTROL!$C$32, $C$9, 100%, $E$9)</f>
        <v>4.1479999999999997</v>
      </c>
      <c r="M98" s="11">
        <f>4.1512 * CHOOSE(CONTROL!$C$32, $C$9, 100%, $E$9)</f>
        <v>4.1512000000000002</v>
      </c>
      <c r="N98" s="11">
        <f>4.148 * CHOOSE(CONTROL!$C$32, $C$9, 100%, $E$9)</f>
        <v>4.1479999999999997</v>
      </c>
      <c r="O98" s="11">
        <f>4.1512 * CHOOSE(CONTROL!$C$32, $C$9, 100%, $E$9)</f>
        <v>4.1512000000000002</v>
      </c>
      <c r="P98" s="14"/>
      <c r="Q98" s="14"/>
      <c r="R98" s="14"/>
    </row>
    <row r="99" spans="1:18" ht="15" x14ac:dyDescent="0.2">
      <c r="A99" s="13">
        <v>43862</v>
      </c>
      <c r="B99" s="9">
        <f>3.2644 * CHOOSE(CONTROL!$C$32, $C$9, 100%, $E$9)</f>
        <v>3.2644000000000002</v>
      </c>
      <c r="C99" s="9">
        <f>3.2644 * CHOOSE(CONTROL!$C$32, $C$9, 100%, $E$9)</f>
        <v>3.2644000000000002</v>
      </c>
      <c r="D99" s="9">
        <f>3.2654 * CHOOSE(CONTROL!$C$32, $C$9, 100%, $E$9)</f>
        <v>3.2654000000000001</v>
      </c>
      <c r="E99" s="11">
        <f>4.146 * CHOOSE(CONTROL!$C$32, $C$9, 100%, $E$9)</f>
        <v>4.1459999999999999</v>
      </c>
      <c r="F99" s="11">
        <f>4.146 * CHOOSE(CONTROL!$C$32, $C$9, 100%, $E$9)</f>
        <v>4.1459999999999999</v>
      </c>
      <c r="G99" s="11">
        <f>4.1492 * CHOOSE(CONTROL!$C$32, $C$9, 100%, $E$9)</f>
        <v>4.1492000000000004</v>
      </c>
      <c r="H99" s="11">
        <f>6.8817 * CHOOSE(CONTROL!$C$32, $C$9, 100%, $E$9)</f>
        <v>6.8817000000000004</v>
      </c>
      <c r="I99" s="11">
        <f>6.885 * CHOOSE(CONTROL!$C$32, $C$9, 100%, $E$9)</f>
        <v>6.8849999999999998</v>
      </c>
      <c r="J99" s="11">
        <f>6.8817 * CHOOSE(CONTROL!$C$32, $C$9, 100%, $E$9)</f>
        <v>6.8817000000000004</v>
      </c>
      <c r="K99" s="11">
        <f>6.885 * CHOOSE(CONTROL!$C$32, $C$9, 100%, $E$9)</f>
        <v>6.8849999999999998</v>
      </c>
      <c r="L99" s="11">
        <f>4.146 * CHOOSE(CONTROL!$C$32, $C$9, 100%, $E$9)</f>
        <v>4.1459999999999999</v>
      </c>
      <c r="M99" s="11">
        <f>4.1492 * CHOOSE(CONTROL!$C$32, $C$9, 100%, $E$9)</f>
        <v>4.1492000000000004</v>
      </c>
      <c r="N99" s="11">
        <f>4.146 * CHOOSE(CONTROL!$C$32, $C$9, 100%, $E$9)</f>
        <v>4.1459999999999999</v>
      </c>
      <c r="O99" s="11">
        <f>4.1492 * CHOOSE(CONTROL!$C$32, $C$9, 100%, $E$9)</f>
        <v>4.1492000000000004</v>
      </c>
      <c r="P99" s="14"/>
      <c r="Q99" s="14"/>
      <c r="R99" s="14"/>
    </row>
    <row r="100" spans="1:18" ht="15" x14ac:dyDescent="0.2">
      <c r="A100" s="13">
        <v>43891</v>
      </c>
      <c r="B100" s="9">
        <f>3.2614 * CHOOSE(CONTROL!$C$32, $C$9, 100%, $E$9)</f>
        <v>3.2614000000000001</v>
      </c>
      <c r="C100" s="9">
        <f>3.2614 * CHOOSE(CONTROL!$C$32, $C$9, 100%, $E$9)</f>
        <v>3.2614000000000001</v>
      </c>
      <c r="D100" s="9">
        <f>3.2624 * CHOOSE(CONTROL!$C$32, $C$9, 100%, $E$9)</f>
        <v>3.2624</v>
      </c>
      <c r="E100" s="11">
        <f>4.144 * CHOOSE(CONTROL!$C$32, $C$9, 100%, $E$9)</f>
        <v>4.1440000000000001</v>
      </c>
      <c r="F100" s="11">
        <f>4.144 * CHOOSE(CONTROL!$C$32, $C$9, 100%, $E$9)</f>
        <v>4.1440000000000001</v>
      </c>
      <c r="G100" s="11">
        <f>4.1472 * CHOOSE(CONTROL!$C$32, $C$9, 100%, $E$9)</f>
        <v>4.1471999999999998</v>
      </c>
      <c r="H100" s="11">
        <f>6.8961 * CHOOSE(CONTROL!$C$32, $C$9, 100%, $E$9)</f>
        <v>6.8960999999999997</v>
      </c>
      <c r="I100" s="11">
        <f>6.8993 * CHOOSE(CONTROL!$C$32, $C$9, 100%, $E$9)</f>
        <v>6.8993000000000002</v>
      </c>
      <c r="J100" s="11">
        <f>6.8961 * CHOOSE(CONTROL!$C$32, $C$9, 100%, $E$9)</f>
        <v>6.8960999999999997</v>
      </c>
      <c r="K100" s="11">
        <f>6.8993 * CHOOSE(CONTROL!$C$32, $C$9, 100%, $E$9)</f>
        <v>6.8993000000000002</v>
      </c>
      <c r="L100" s="11">
        <f>4.144 * CHOOSE(CONTROL!$C$32, $C$9, 100%, $E$9)</f>
        <v>4.1440000000000001</v>
      </c>
      <c r="M100" s="11">
        <f>4.1472 * CHOOSE(CONTROL!$C$32, $C$9, 100%, $E$9)</f>
        <v>4.1471999999999998</v>
      </c>
      <c r="N100" s="11">
        <f>4.144 * CHOOSE(CONTROL!$C$32, $C$9, 100%, $E$9)</f>
        <v>4.1440000000000001</v>
      </c>
      <c r="O100" s="11">
        <f>4.1472 * CHOOSE(CONTROL!$C$32, $C$9, 100%, $E$9)</f>
        <v>4.1471999999999998</v>
      </c>
      <c r="P100" s="14"/>
      <c r="Q100" s="14"/>
      <c r="R100" s="14"/>
    </row>
    <row r="101" spans="1:18" ht="15" x14ac:dyDescent="0.2">
      <c r="A101" s="13">
        <v>43922</v>
      </c>
      <c r="B101" s="9">
        <f>3.2584 * CHOOSE(CONTROL!$C$32, $C$9, 100%, $E$9)</f>
        <v>3.2584</v>
      </c>
      <c r="C101" s="9">
        <f>3.2584 * CHOOSE(CONTROL!$C$32, $C$9, 100%, $E$9)</f>
        <v>3.2584</v>
      </c>
      <c r="D101" s="9">
        <f>3.2593 * CHOOSE(CONTROL!$C$32, $C$9, 100%, $E$9)</f>
        <v>3.2593000000000001</v>
      </c>
      <c r="E101" s="11">
        <f>4.1415 * CHOOSE(CONTROL!$C$32, $C$9, 100%, $E$9)</f>
        <v>4.1414999999999997</v>
      </c>
      <c r="F101" s="11">
        <f>4.1415 * CHOOSE(CONTROL!$C$32, $C$9, 100%, $E$9)</f>
        <v>4.1414999999999997</v>
      </c>
      <c r="G101" s="11">
        <f>4.1448 * CHOOSE(CONTROL!$C$32, $C$9, 100%, $E$9)</f>
        <v>4.1448</v>
      </c>
      <c r="H101" s="11">
        <f>6.9104 * CHOOSE(CONTROL!$C$32, $C$9, 100%, $E$9)</f>
        <v>6.9104000000000001</v>
      </c>
      <c r="I101" s="11">
        <f>6.9137 * CHOOSE(CONTROL!$C$32, $C$9, 100%, $E$9)</f>
        <v>6.9137000000000004</v>
      </c>
      <c r="J101" s="11">
        <f>6.9104 * CHOOSE(CONTROL!$C$32, $C$9, 100%, $E$9)</f>
        <v>6.9104000000000001</v>
      </c>
      <c r="K101" s="11">
        <f>6.9137 * CHOOSE(CONTROL!$C$32, $C$9, 100%, $E$9)</f>
        <v>6.9137000000000004</v>
      </c>
      <c r="L101" s="11">
        <f>4.1415 * CHOOSE(CONTROL!$C$32, $C$9, 100%, $E$9)</f>
        <v>4.1414999999999997</v>
      </c>
      <c r="M101" s="11">
        <f>4.1448 * CHOOSE(CONTROL!$C$32, $C$9, 100%, $E$9)</f>
        <v>4.1448</v>
      </c>
      <c r="N101" s="11">
        <f>4.1415 * CHOOSE(CONTROL!$C$32, $C$9, 100%, $E$9)</f>
        <v>4.1414999999999997</v>
      </c>
      <c r="O101" s="11">
        <f>4.1448 * CHOOSE(CONTROL!$C$32, $C$9, 100%, $E$9)</f>
        <v>4.1448</v>
      </c>
      <c r="P101" s="14"/>
      <c r="Q101" s="14"/>
      <c r="R101" s="14"/>
    </row>
    <row r="102" spans="1:18" ht="15" x14ac:dyDescent="0.2">
      <c r="A102" s="13">
        <v>43952</v>
      </c>
      <c r="B102" s="9">
        <f>3.2584 * CHOOSE(CONTROL!$C$32, $C$9, 100%, $E$9)</f>
        <v>3.2584</v>
      </c>
      <c r="C102" s="9">
        <f>3.2584 * CHOOSE(CONTROL!$C$32, $C$9, 100%, $E$9)</f>
        <v>3.2584</v>
      </c>
      <c r="D102" s="9">
        <f>3.2596 * CHOOSE(CONTROL!$C$32, $C$9, 100%, $E$9)</f>
        <v>3.2595999999999998</v>
      </c>
      <c r="E102" s="11">
        <f>4.1415 * CHOOSE(CONTROL!$C$32, $C$9, 100%, $E$9)</f>
        <v>4.1414999999999997</v>
      </c>
      <c r="F102" s="11">
        <f>4.1415 * CHOOSE(CONTROL!$C$32, $C$9, 100%, $E$9)</f>
        <v>4.1414999999999997</v>
      </c>
      <c r="G102" s="11">
        <f>4.1457 * CHOOSE(CONTROL!$C$32, $C$9, 100%, $E$9)</f>
        <v>4.1456999999999997</v>
      </c>
      <c r="H102" s="11">
        <f>6.9248 * CHOOSE(CONTROL!$C$32, $C$9, 100%, $E$9)</f>
        <v>6.9248000000000003</v>
      </c>
      <c r="I102" s="11">
        <f>6.929 * CHOOSE(CONTROL!$C$32, $C$9, 100%, $E$9)</f>
        <v>6.9290000000000003</v>
      </c>
      <c r="J102" s="11">
        <f>6.9248 * CHOOSE(CONTROL!$C$32, $C$9, 100%, $E$9)</f>
        <v>6.9248000000000003</v>
      </c>
      <c r="K102" s="11">
        <f>6.929 * CHOOSE(CONTROL!$C$32, $C$9, 100%, $E$9)</f>
        <v>6.9290000000000003</v>
      </c>
      <c r="L102" s="11">
        <f>4.1415 * CHOOSE(CONTROL!$C$32, $C$9, 100%, $E$9)</f>
        <v>4.1414999999999997</v>
      </c>
      <c r="M102" s="11">
        <f>4.1457 * CHOOSE(CONTROL!$C$32, $C$9, 100%, $E$9)</f>
        <v>4.1456999999999997</v>
      </c>
      <c r="N102" s="11">
        <f>4.1415 * CHOOSE(CONTROL!$C$32, $C$9, 100%, $E$9)</f>
        <v>4.1414999999999997</v>
      </c>
      <c r="O102" s="11">
        <f>4.1457 * CHOOSE(CONTROL!$C$32, $C$9, 100%, $E$9)</f>
        <v>4.1456999999999997</v>
      </c>
      <c r="P102" s="14"/>
      <c r="Q102" s="14"/>
      <c r="R102" s="14"/>
    </row>
    <row r="103" spans="1:18" ht="15" x14ac:dyDescent="0.2">
      <c r="A103" s="13">
        <v>43983</v>
      </c>
      <c r="B103" s="9">
        <f>3.2644 * CHOOSE(CONTROL!$C$32, $C$9, 100%, $E$9)</f>
        <v>3.2644000000000002</v>
      </c>
      <c r="C103" s="9">
        <f>3.2644 * CHOOSE(CONTROL!$C$32, $C$9, 100%, $E$9)</f>
        <v>3.2644000000000002</v>
      </c>
      <c r="D103" s="9">
        <f>3.2657 * CHOOSE(CONTROL!$C$32, $C$9, 100%, $E$9)</f>
        <v>3.2656999999999998</v>
      </c>
      <c r="E103" s="11">
        <f>4.1455 * CHOOSE(CONTROL!$C$32, $C$9, 100%, $E$9)</f>
        <v>4.1455000000000002</v>
      </c>
      <c r="F103" s="11">
        <f>4.1455 * CHOOSE(CONTROL!$C$32, $C$9, 100%, $E$9)</f>
        <v>4.1455000000000002</v>
      </c>
      <c r="G103" s="11">
        <f>4.1497 * CHOOSE(CONTROL!$C$32, $C$9, 100%, $E$9)</f>
        <v>4.1497000000000002</v>
      </c>
      <c r="H103" s="11">
        <f>6.9393 * CHOOSE(CONTROL!$C$32, $C$9, 100%, $E$9)</f>
        <v>6.9393000000000002</v>
      </c>
      <c r="I103" s="11">
        <f>6.9435 * CHOOSE(CONTROL!$C$32, $C$9, 100%, $E$9)</f>
        <v>6.9435000000000002</v>
      </c>
      <c r="J103" s="11">
        <f>6.9393 * CHOOSE(CONTROL!$C$32, $C$9, 100%, $E$9)</f>
        <v>6.9393000000000002</v>
      </c>
      <c r="K103" s="11">
        <f>6.9435 * CHOOSE(CONTROL!$C$32, $C$9, 100%, $E$9)</f>
        <v>6.9435000000000002</v>
      </c>
      <c r="L103" s="11">
        <f>4.1455 * CHOOSE(CONTROL!$C$32, $C$9, 100%, $E$9)</f>
        <v>4.1455000000000002</v>
      </c>
      <c r="M103" s="11">
        <f>4.1497 * CHOOSE(CONTROL!$C$32, $C$9, 100%, $E$9)</f>
        <v>4.1497000000000002</v>
      </c>
      <c r="N103" s="11">
        <f>4.1455 * CHOOSE(CONTROL!$C$32, $C$9, 100%, $E$9)</f>
        <v>4.1455000000000002</v>
      </c>
      <c r="O103" s="11">
        <f>4.1497 * CHOOSE(CONTROL!$C$32, $C$9, 100%, $E$9)</f>
        <v>4.1497000000000002</v>
      </c>
      <c r="P103" s="14"/>
      <c r="Q103" s="14"/>
      <c r="R103" s="14"/>
    </row>
    <row r="104" spans="1:18" ht="15" x14ac:dyDescent="0.2">
      <c r="A104" s="13">
        <v>44013</v>
      </c>
      <c r="B104" s="9">
        <f>3.3098 * CHOOSE(CONTROL!$C$32, $C$9, 100%, $E$9)</f>
        <v>3.3098000000000001</v>
      </c>
      <c r="C104" s="9">
        <f>3.3098 * CHOOSE(CONTROL!$C$32, $C$9, 100%, $E$9)</f>
        <v>3.3098000000000001</v>
      </c>
      <c r="D104" s="9">
        <f>3.3111 * CHOOSE(CONTROL!$C$32, $C$9, 100%, $E$9)</f>
        <v>3.3111000000000002</v>
      </c>
      <c r="E104" s="11">
        <f>4.2176 * CHOOSE(CONTROL!$C$32, $C$9, 100%, $E$9)</f>
        <v>4.2176</v>
      </c>
      <c r="F104" s="11">
        <f>4.2176 * CHOOSE(CONTROL!$C$32, $C$9, 100%, $E$9)</f>
        <v>4.2176</v>
      </c>
      <c r="G104" s="11">
        <f>4.2218 * CHOOSE(CONTROL!$C$32, $C$9, 100%, $E$9)</f>
        <v>4.2218</v>
      </c>
      <c r="H104" s="11">
        <f>6.9537 * CHOOSE(CONTROL!$C$32, $C$9, 100%, $E$9)</f>
        <v>6.9537000000000004</v>
      </c>
      <c r="I104" s="11">
        <f>6.9579 * CHOOSE(CONTROL!$C$32, $C$9, 100%, $E$9)</f>
        <v>6.9579000000000004</v>
      </c>
      <c r="J104" s="11">
        <f>6.9537 * CHOOSE(CONTROL!$C$32, $C$9, 100%, $E$9)</f>
        <v>6.9537000000000004</v>
      </c>
      <c r="K104" s="11">
        <f>6.9579 * CHOOSE(CONTROL!$C$32, $C$9, 100%, $E$9)</f>
        <v>6.9579000000000004</v>
      </c>
      <c r="L104" s="11">
        <f>4.2176 * CHOOSE(CONTROL!$C$32, $C$9, 100%, $E$9)</f>
        <v>4.2176</v>
      </c>
      <c r="M104" s="11">
        <f>4.2218 * CHOOSE(CONTROL!$C$32, $C$9, 100%, $E$9)</f>
        <v>4.2218</v>
      </c>
      <c r="N104" s="11">
        <f>4.2176 * CHOOSE(CONTROL!$C$32, $C$9, 100%, $E$9)</f>
        <v>4.2176</v>
      </c>
      <c r="O104" s="11">
        <f>4.2218 * CHOOSE(CONTROL!$C$32, $C$9, 100%, $E$9)</f>
        <v>4.2218</v>
      </c>
      <c r="P104" s="14"/>
      <c r="Q104" s="14"/>
      <c r="R104" s="14"/>
    </row>
    <row r="105" spans="1:18" ht="15" x14ac:dyDescent="0.2">
      <c r="A105" s="13">
        <v>44044</v>
      </c>
      <c r="B105" s="9">
        <f>3.3165 * CHOOSE(CONTROL!$C$32, $C$9, 100%, $E$9)</f>
        <v>3.3165</v>
      </c>
      <c r="C105" s="9">
        <f>3.3165 * CHOOSE(CONTROL!$C$32, $C$9, 100%, $E$9)</f>
        <v>3.3165</v>
      </c>
      <c r="D105" s="9">
        <f>3.3178 * CHOOSE(CONTROL!$C$32, $C$9, 100%, $E$9)</f>
        <v>3.3178000000000001</v>
      </c>
      <c r="E105" s="11">
        <f>4.222 * CHOOSE(CONTROL!$C$32, $C$9, 100%, $E$9)</f>
        <v>4.2220000000000004</v>
      </c>
      <c r="F105" s="11">
        <f>4.222 * CHOOSE(CONTROL!$C$32, $C$9, 100%, $E$9)</f>
        <v>4.2220000000000004</v>
      </c>
      <c r="G105" s="11">
        <f>4.2262 * CHOOSE(CONTROL!$C$32, $C$9, 100%, $E$9)</f>
        <v>4.2262000000000004</v>
      </c>
      <c r="H105" s="11">
        <f>6.9682 * CHOOSE(CONTROL!$C$32, $C$9, 100%, $E$9)</f>
        <v>6.9682000000000004</v>
      </c>
      <c r="I105" s="11">
        <f>6.9724 * CHOOSE(CONTROL!$C$32, $C$9, 100%, $E$9)</f>
        <v>6.9724000000000004</v>
      </c>
      <c r="J105" s="11">
        <f>6.9682 * CHOOSE(CONTROL!$C$32, $C$9, 100%, $E$9)</f>
        <v>6.9682000000000004</v>
      </c>
      <c r="K105" s="11">
        <f>6.9724 * CHOOSE(CONTROL!$C$32, $C$9, 100%, $E$9)</f>
        <v>6.9724000000000004</v>
      </c>
      <c r="L105" s="11">
        <f>4.222 * CHOOSE(CONTROL!$C$32, $C$9, 100%, $E$9)</f>
        <v>4.2220000000000004</v>
      </c>
      <c r="M105" s="11">
        <f>4.2262 * CHOOSE(CONTROL!$C$32, $C$9, 100%, $E$9)</f>
        <v>4.2262000000000004</v>
      </c>
      <c r="N105" s="11">
        <f>4.222 * CHOOSE(CONTROL!$C$32, $C$9, 100%, $E$9)</f>
        <v>4.2220000000000004</v>
      </c>
      <c r="O105" s="11">
        <f>4.2262 * CHOOSE(CONTROL!$C$32, $C$9, 100%, $E$9)</f>
        <v>4.2262000000000004</v>
      </c>
      <c r="P105" s="14"/>
      <c r="Q105" s="14"/>
      <c r="R105" s="14"/>
    </row>
    <row r="106" spans="1:18" ht="15" x14ac:dyDescent="0.2">
      <c r="A106" s="13">
        <v>44075</v>
      </c>
      <c r="B106" s="9">
        <f>3.3135 * CHOOSE(CONTROL!$C$32, $C$9, 100%, $E$9)</f>
        <v>3.3134999999999999</v>
      </c>
      <c r="C106" s="9">
        <f>3.3135 * CHOOSE(CONTROL!$C$32, $C$9, 100%, $E$9)</f>
        <v>3.3134999999999999</v>
      </c>
      <c r="D106" s="9">
        <f>3.3147 * CHOOSE(CONTROL!$C$32, $C$9, 100%, $E$9)</f>
        <v>3.3147000000000002</v>
      </c>
      <c r="E106" s="11">
        <f>4.22 * CHOOSE(CONTROL!$C$32, $C$9, 100%, $E$9)</f>
        <v>4.22</v>
      </c>
      <c r="F106" s="11">
        <f>4.22 * CHOOSE(CONTROL!$C$32, $C$9, 100%, $E$9)</f>
        <v>4.22</v>
      </c>
      <c r="G106" s="11">
        <f>4.2242 * CHOOSE(CONTROL!$C$32, $C$9, 100%, $E$9)</f>
        <v>4.2241999999999997</v>
      </c>
      <c r="H106" s="11">
        <f>6.9827 * CHOOSE(CONTROL!$C$32, $C$9, 100%, $E$9)</f>
        <v>6.9827000000000004</v>
      </c>
      <c r="I106" s="11">
        <f>6.9869 * CHOOSE(CONTROL!$C$32, $C$9, 100%, $E$9)</f>
        <v>6.9869000000000003</v>
      </c>
      <c r="J106" s="11">
        <f>6.9827 * CHOOSE(CONTROL!$C$32, $C$9, 100%, $E$9)</f>
        <v>6.9827000000000004</v>
      </c>
      <c r="K106" s="11">
        <f>6.9869 * CHOOSE(CONTROL!$C$32, $C$9, 100%, $E$9)</f>
        <v>6.9869000000000003</v>
      </c>
      <c r="L106" s="11">
        <f>4.22 * CHOOSE(CONTROL!$C$32, $C$9, 100%, $E$9)</f>
        <v>4.22</v>
      </c>
      <c r="M106" s="11">
        <f>4.2242 * CHOOSE(CONTROL!$C$32, $C$9, 100%, $E$9)</f>
        <v>4.2241999999999997</v>
      </c>
      <c r="N106" s="11">
        <f>4.22 * CHOOSE(CONTROL!$C$32, $C$9, 100%, $E$9)</f>
        <v>4.22</v>
      </c>
      <c r="O106" s="11">
        <f>4.2242 * CHOOSE(CONTROL!$C$32, $C$9, 100%, $E$9)</f>
        <v>4.2241999999999997</v>
      </c>
      <c r="P106" s="14"/>
      <c r="Q106" s="14"/>
      <c r="R106" s="14"/>
    </row>
    <row r="107" spans="1:18" ht="15" x14ac:dyDescent="0.2">
      <c r="A107" s="13">
        <v>44105</v>
      </c>
      <c r="B107" s="9">
        <f>3.3061 * CHOOSE(CONTROL!$C$32, $C$9, 100%, $E$9)</f>
        <v>3.3060999999999998</v>
      </c>
      <c r="C107" s="9">
        <f>3.3061 * CHOOSE(CONTROL!$C$32, $C$9, 100%, $E$9)</f>
        <v>3.3060999999999998</v>
      </c>
      <c r="D107" s="9">
        <f>3.3071 * CHOOSE(CONTROL!$C$32, $C$9, 100%, $E$9)</f>
        <v>3.3071000000000002</v>
      </c>
      <c r="E107" s="11">
        <f>4.2135 * CHOOSE(CONTROL!$C$32, $C$9, 100%, $E$9)</f>
        <v>4.2134999999999998</v>
      </c>
      <c r="F107" s="11">
        <f>4.2135 * CHOOSE(CONTROL!$C$32, $C$9, 100%, $E$9)</f>
        <v>4.2134999999999998</v>
      </c>
      <c r="G107" s="11">
        <f>4.2167 * CHOOSE(CONTROL!$C$32, $C$9, 100%, $E$9)</f>
        <v>4.2167000000000003</v>
      </c>
      <c r="H107" s="11">
        <f>6.9973 * CHOOSE(CONTROL!$C$32, $C$9, 100%, $E$9)</f>
        <v>6.9973000000000001</v>
      </c>
      <c r="I107" s="11">
        <f>7.0005 * CHOOSE(CONTROL!$C$32, $C$9, 100%, $E$9)</f>
        <v>7.0004999999999997</v>
      </c>
      <c r="J107" s="11">
        <f>6.9973 * CHOOSE(CONTROL!$C$32, $C$9, 100%, $E$9)</f>
        <v>6.9973000000000001</v>
      </c>
      <c r="K107" s="11">
        <f>7.0005 * CHOOSE(CONTROL!$C$32, $C$9, 100%, $E$9)</f>
        <v>7.0004999999999997</v>
      </c>
      <c r="L107" s="11">
        <f>4.2135 * CHOOSE(CONTROL!$C$32, $C$9, 100%, $E$9)</f>
        <v>4.2134999999999998</v>
      </c>
      <c r="M107" s="11">
        <f>4.2167 * CHOOSE(CONTROL!$C$32, $C$9, 100%, $E$9)</f>
        <v>4.2167000000000003</v>
      </c>
      <c r="N107" s="11">
        <f>4.2135 * CHOOSE(CONTROL!$C$32, $C$9, 100%, $E$9)</f>
        <v>4.2134999999999998</v>
      </c>
      <c r="O107" s="11">
        <f>4.2167 * CHOOSE(CONTROL!$C$32, $C$9, 100%, $E$9)</f>
        <v>4.2167000000000003</v>
      </c>
      <c r="P107" s="14"/>
      <c r="Q107" s="14"/>
      <c r="R107" s="14"/>
    </row>
    <row r="108" spans="1:18" ht="15" x14ac:dyDescent="0.2">
      <c r="A108" s="13">
        <v>44136</v>
      </c>
      <c r="B108" s="9">
        <f>3.3092 * CHOOSE(CONTROL!$C$32, $C$9, 100%, $E$9)</f>
        <v>3.3092000000000001</v>
      </c>
      <c r="C108" s="9">
        <f>3.3092 * CHOOSE(CONTROL!$C$32, $C$9, 100%, $E$9)</f>
        <v>3.3092000000000001</v>
      </c>
      <c r="D108" s="9">
        <f>3.3101 * CHOOSE(CONTROL!$C$32, $C$9, 100%, $E$9)</f>
        <v>3.3100999999999998</v>
      </c>
      <c r="E108" s="11">
        <f>4.2155 * CHOOSE(CONTROL!$C$32, $C$9, 100%, $E$9)</f>
        <v>4.2154999999999996</v>
      </c>
      <c r="F108" s="11">
        <f>4.2155 * CHOOSE(CONTROL!$C$32, $C$9, 100%, $E$9)</f>
        <v>4.2154999999999996</v>
      </c>
      <c r="G108" s="11">
        <f>4.2187 * CHOOSE(CONTROL!$C$32, $C$9, 100%, $E$9)</f>
        <v>4.2187000000000001</v>
      </c>
      <c r="H108" s="11">
        <f>7.0118 * CHOOSE(CONTROL!$C$32, $C$9, 100%, $E$9)</f>
        <v>7.0118</v>
      </c>
      <c r="I108" s="11">
        <f>7.0151 * CHOOSE(CONTROL!$C$32, $C$9, 100%, $E$9)</f>
        <v>7.0151000000000003</v>
      </c>
      <c r="J108" s="11">
        <f>7.0118 * CHOOSE(CONTROL!$C$32, $C$9, 100%, $E$9)</f>
        <v>7.0118</v>
      </c>
      <c r="K108" s="11">
        <f>7.0151 * CHOOSE(CONTROL!$C$32, $C$9, 100%, $E$9)</f>
        <v>7.0151000000000003</v>
      </c>
      <c r="L108" s="11">
        <f>4.2155 * CHOOSE(CONTROL!$C$32, $C$9, 100%, $E$9)</f>
        <v>4.2154999999999996</v>
      </c>
      <c r="M108" s="11">
        <f>4.2187 * CHOOSE(CONTROL!$C$32, $C$9, 100%, $E$9)</f>
        <v>4.2187000000000001</v>
      </c>
      <c r="N108" s="11">
        <f>4.2155 * CHOOSE(CONTROL!$C$32, $C$9, 100%, $E$9)</f>
        <v>4.2154999999999996</v>
      </c>
      <c r="O108" s="11">
        <f>4.2187 * CHOOSE(CONTROL!$C$32, $C$9, 100%, $E$9)</f>
        <v>4.2187000000000001</v>
      </c>
      <c r="P108" s="14"/>
      <c r="Q108" s="14"/>
      <c r="R108" s="14"/>
    </row>
    <row r="109" spans="1:18" ht="15" x14ac:dyDescent="0.2">
      <c r="A109" s="13">
        <v>44166</v>
      </c>
      <c r="B109" s="9">
        <f>3.3092 * CHOOSE(CONTROL!$C$32, $C$9, 100%, $E$9)</f>
        <v>3.3092000000000001</v>
      </c>
      <c r="C109" s="9">
        <f>3.3092 * CHOOSE(CONTROL!$C$32, $C$9, 100%, $E$9)</f>
        <v>3.3092000000000001</v>
      </c>
      <c r="D109" s="9">
        <f>3.3101 * CHOOSE(CONTROL!$C$32, $C$9, 100%, $E$9)</f>
        <v>3.3100999999999998</v>
      </c>
      <c r="E109" s="11">
        <f>4.2155 * CHOOSE(CONTROL!$C$32, $C$9, 100%, $E$9)</f>
        <v>4.2154999999999996</v>
      </c>
      <c r="F109" s="11">
        <f>4.2155 * CHOOSE(CONTROL!$C$32, $C$9, 100%, $E$9)</f>
        <v>4.2154999999999996</v>
      </c>
      <c r="G109" s="11">
        <f>4.2187 * CHOOSE(CONTROL!$C$32, $C$9, 100%, $E$9)</f>
        <v>4.2187000000000001</v>
      </c>
      <c r="H109" s="11">
        <f>7.0264 * CHOOSE(CONTROL!$C$32, $C$9, 100%, $E$9)</f>
        <v>7.0263999999999998</v>
      </c>
      <c r="I109" s="11">
        <f>7.0297 * CHOOSE(CONTROL!$C$32, $C$9, 100%, $E$9)</f>
        <v>7.0297000000000001</v>
      </c>
      <c r="J109" s="11">
        <f>7.0264 * CHOOSE(CONTROL!$C$32, $C$9, 100%, $E$9)</f>
        <v>7.0263999999999998</v>
      </c>
      <c r="K109" s="11">
        <f>7.0297 * CHOOSE(CONTROL!$C$32, $C$9, 100%, $E$9)</f>
        <v>7.0297000000000001</v>
      </c>
      <c r="L109" s="11">
        <f>4.2155 * CHOOSE(CONTROL!$C$32, $C$9, 100%, $E$9)</f>
        <v>4.2154999999999996</v>
      </c>
      <c r="M109" s="11">
        <f>4.2187 * CHOOSE(CONTROL!$C$32, $C$9, 100%, $E$9)</f>
        <v>4.2187000000000001</v>
      </c>
      <c r="N109" s="11">
        <f>4.2155 * CHOOSE(CONTROL!$C$32, $C$9, 100%, $E$9)</f>
        <v>4.2154999999999996</v>
      </c>
      <c r="O109" s="11">
        <f>4.2187 * CHOOSE(CONTROL!$C$32, $C$9, 100%, $E$9)</f>
        <v>4.2187000000000001</v>
      </c>
      <c r="P109" s="14"/>
      <c r="Q109" s="14"/>
      <c r="R109" s="14"/>
    </row>
    <row r="110" spans="1:18" ht="15" x14ac:dyDescent="0.2">
      <c r="A110" s="13">
        <v>44197</v>
      </c>
      <c r="B110" s="9">
        <f>3.3407 * CHOOSE(CONTROL!$C$32, $C$9, 100%, $E$9)</f>
        <v>3.3407</v>
      </c>
      <c r="C110" s="9">
        <f>3.3407 * CHOOSE(CONTROL!$C$32, $C$9, 100%, $E$9)</f>
        <v>3.3407</v>
      </c>
      <c r="D110" s="9">
        <f>3.3416 * CHOOSE(CONTROL!$C$32, $C$9, 100%, $E$9)</f>
        <v>3.3416000000000001</v>
      </c>
      <c r="E110" s="11">
        <f>4.2457 * CHOOSE(CONTROL!$C$32, $C$9, 100%, $E$9)</f>
        <v>4.2457000000000003</v>
      </c>
      <c r="F110" s="11">
        <f>4.2457 * CHOOSE(CONTROL!$C$32, $C$9, 100%, $E$9)</f>
        <v>4.2457000000000003</v>
      </c>
      <c r="G110" s="11">
        <f>4.249 * CHOOSE(CONTROL!$C$32, $C$9, 100%, $E$9)</f>
        <v>4.2489999999999997</v>
      </c>
      <c r="H110" s="11">
        <f>7.0411 * CHOOSE(CONTROL!$C$32, $C$9, 100%, $E$9)</f>
        <v>7.0411000000000001</v>
      </c>
      <c r="I110" s="11">
        <f>7.0443 * CHOOSE(CONTROL!$C$32, $C$9, 100%, $E$9)</f>
        <v>7.0442999999999998</v>
      </c>
      <c r="J110" s="11">
        <f>7.0411 * CHOOSE(CONTROL!$C$32, $C$9, 100%, $E$9)</f>
        <v>7.0411000000000001</v>
      </c>
      <c r="K110" s="11">
        <f>7.0443 * CHOOSE(CONTROL!$C$32, $C$9, 100%, $E$9)</f>
        <v>7.0442999999999998</v>
      </c>
      <c r="L110" s="11">
        <f>4.2457 * CHOOSE(CONTROL!$C$32, $C$9, 100%, $E$9)</f>
        <v>4.2457000000000003</v>
      </c>
      <c r="M110" s="11">
        <f>4.249 * CHOOSE(CONTROL!$C$32, $C$9, 100%, $E$9)</f>
        <v>4.2489999999999997</v>
      </c>
      <c r="N110" s="11">
        <f>4.2457 * CHOOSE(CONTROL!$C$32, $C$9, 100%, $E$9)</f>
        <v>4.2457000000000003</v>
      </c>
      <c r="O110" s="11">
        <f>4.249 * CHOOSE(CONTROL!$C$32, $C$9, 100%, $E$9)</f>
        <v>4.2489999999999997</v>
      </c>
      <c r="P110" s="14"/>
      <c r="Q110" s="14"/>
      <c r="R110" s="14"/>
    </row>
    <row r="111" spans="1:18" ht="15" x14ac:dyDescent="0.2">
      <c r="A111" s="13">
        <v>44228</v>
      </c>
      <c r="B111" s="9">
        <f>3.3376 * CHOOSE(CONTROL!$C$32, $C$9, 100%, $E$9)</f>
        <v>3.3376000000000001</v>
      </c>
      <c r="C111" s="9">
        <f>3.3376 * CHOOSE(CONTROL!$C$32, $C$9, 100%, $E$9)</f>
        <v>3.3376000000000001</v>
      </c>
      <c r="D111" s="9">
        <f>3.3386 * CHOOSE(CONTROL!$C$32, $C$9, 100%, $E$9)</f>
        <v>3.3386</v>
      </c>
      <c r="E111" s="11">
        <f>4.2437 * CHOOSE(CONTROL!$C$32, $C$9, 100%, $E$9)</f>
        <v>4.2436999999999996</v>
      </c>
      <c r="F111" s="11">
        <f>4.2437 * CHOOSE(CONTROL!$C$32, $C$9, 100%, $E$9)</f>
        <v>4.2436999999999996</v>
      </c>
      <c r="G111" s="11">
        <f>4.247 * CHOOSE(CONTROL!$C$32, $C$9, 100%, $E$9)</f>
        <v>4.2469999999999999</v>
      </c>
      <c r="H111" s="11">
        <f>7.0558 * CHOOSE(CONTROL!$C$32, $C$9, 100%, $E$9)</f>
        <v>7.0557999999999996</v>
      </c>
      <c r="I111" s="11">
        <f>7.059 * CHOOSE(CONTROL!$C$32, $C$9, 100%, $E$9)</f>
        <v>7.0590000000000002</v>
      </c>
      <c r="J111" s="11">
        <f>7.0558 * CHOOSE(CONTROL!$C$32, $C$9, 100%, $E$9)</f>
        <v>7.0557999999999996</v>
      </c>
      <c r="K111" s="11">
        <f>7.059 * CHOOSE(CONTROL!$C$32, $C$9, 100%, $E$9)</f>
        <v>7.0590000000000002</v>
      </c>
      <c r="L111" s="11">
        <f>4.2437 * CHOOSE(CONTROL!$C$32, $C$9, 100%, $E$9)</f>
        <v>4.2436999999999996</v>
      </c>
      <c r="M111" s="11">
        <f>4.247 * CHOOSE(CONTROL!$C$32, $C$9, 100%, $E$9)</f>
        <v>4.2469999999999999</v>
      </c>
      <c r="N111" s="11">
        <f>4.2437 * CHOOSE(CONTROL!$C$32, $C$9, 100%, $E$9)</f>
        <v>4.2436999999999996</v>
      </c>
      <c r="O111" s="11">
        <f>4.247 * CHOOSE(CONTROL!$C$32, $C$9, 100%, $E$9)</f>
        <v>4.2469999999999999</v>
      </c>
      <c r="P111" s="14"/>
      <c r="Q111" s="14"/>
      <c r="R111" s="14"/>
    </row>
    <row r="112" spans="1:18" ht="15" x14ac:dyDescent="0.2">
      <c r="A112" s="13">
        <v>44256</v>
      </c>
      <c r="B112" s="9">
        <f>3.3346 * CHOOSE(CONTROL!$C$32, $C$9, 100%, $E$9)</f>
        <v>3.3346</v>
      </c>
      <c r="C112" s="9">
        <f>3.3346 * CHOOSE(CONTROL!$C$32, $C$9, 100%, $E$9)</f>
        <v>3.3346</v>
      </c>
      <c r="D112" s="9">
        <f>3.3355 * CHOOSE(CONTROL!$C$32, $C$9, 100%, $E$9)</f>
        <v>3.3355000000000001</v>
      </c>
      <c r="E112" s="11">
        <f>4.2417 * CHOOSE(CONTROL!$C$32, $C$9, 100%, $E$9)</f>
        <v>4.2416999999999998</v>
      </c>
      <c r="F112" s="11">
        <f>4.2417 * CHOOSE(CONTROL!$C$32, $C$9, 100%, $E$9)</f>
        <v>4.2416999999999998</v>
      </c>
      <c r="G112" s="11">
        <f>4.245 * CHOOSE(CONTROL!$C$32, $C$9, 100%, $E$9)</f>
        <v>4.2450000000000001</v>
      </c>
      <c r="H112" s="11">
        <f>7.0705 * CHOOSE(CONTROL!$C$32, $C$9, 100%, $E$9)</f>
        <v>7.0705</v>
      </c>
      <c r="I112" s="11">
        <f>7.0737 * CHOOSE(CONTROL!$C$32, $C$9, 100%, $E$9)</f>
        <v>7.0736999999999997</v>
      </c>
      <c r="J112" s="11">
        <f>7.0705 * CHOOSE(CONTROL!$C$32, $C$9, 100%, $E$9)</f>
        <v>7.0705</v>
      </c>
      <c r="K112" s="11">
        <f>7.0737 * CHOOSE(CONTROL!$C$32, $C$9, 100%, $E$9)</f>
        <v>7.0736999999999997</v>
      </c>
      <c r="L112" s="11">
        <f>4.2417 * CHOOSE(CONTROL!$C$32, $C$9, 100%, $E$9)</f>
        <v>4.2416999999999998</v>
      </c>
      <c r="M112" s="11">
        <f>4.245 * CHOOSE(CONTROL!$C$32, $C$9, 100%, $E$9)</f>
        <v>4.2450000000000001</v>
      </c>
      <c r="N112" s="11">
        <f>4.2417 * CHOOSE(CONTROL!$C$32, $C$9, 100%, $E$9)</f>
        <v>4.2416999999999998</v>
      </c>
      <c r="O112" s="11">
        <f>4.245 * CHOOSE(CONTROL!$C$32, $C$9, 100%, $E$9)</f>
        <v>4.2450000000000001</v>
      </c>
      <c r="P112" s="14"/>
      <c r="Q112" s="14"/>
      <c r="R112" s="14"/>
    </row>
    <row r="113" spans="1:18" ht="15" x14ac:dyDescent="0.2">
      <c r="A113" s="13">
        <v>44287</v>
      </c>
      <c r="B113" s="9">
        <f>3.3316 * CHOOSE(CONTROL!$C$32, $C$9, 100%, $E$9)</f>
        <v>3.3315999999999999</v>
      </c>
      <c r="C113" s="9">
        <f>3.3316 * CHOOSE(CONTROL!$C$32, $C$9, 100%, $E$9)</f>
        <v>3.3315999999999999</v>
      </c>
      <c r="D113" s="9">
        <f>3.3326 * CHOOSE(CONTROL!$C$32, $C$9, 100%, $E$9)</f>
        <v>3.3325999999999998</v>
      </c>
      <c r="E113" s="11">
        <f>4.2394 * CHOOSE(CONTROL!$C$32, $C$9, 100%, $E$9)</f>
        <v>4.2393999999999998</v>
      </c>
      <c r="F113" s="11">
        <f>4.2394 * CHOOSE(CONTROL!$C$32, $C$9, 100%, $E$9)</f>
        <v>4.2393999999999998</v>
      </c>
      <c r="G113" s="11">
        <f>4.2426 * CHOOSE(CONTROL!$C$32, $C$9, 100%, $E$9)</f>
        <v>4.2426000000000004</v>
      </c>
      <c r="H113" s="11">
        <f>7.0852 * CHOOSE(CONTROL!$C$32, $C$9, 100%, $E$9)</f>
        <v>7.0852000000000004</v>
      </c>
      <c r="I113" s="11">
        <f>7.0884 * CHOOSE(CONTROL!$C$32, $C$9, 100%, $E$9)</f>
        <v>7.0884</v>
      </c>
      <c r="J113" s="11">
        <f>7.0852 * CHOOSE(CONTROL!$C$32, $C$9, 100%, $E$9)</f>
        <v>7.0852000000000004</v>
      </c>
      <c r="K113" s="11">
        <f>7.0884 * CHOOSE(CONTROL!$C$32, $C$9, 100%, $E$9)</f>
        <v>7.0884</v>
      </c>
      <c r="L113" s="11">
        <f>4.2394 * CHOOSE(CONTROL!$C$32, $C$9, 100%, $E$9)</f>
        <v>4.2393999999999998</v>
      </c>
      <c r="M113" s="11">
        <f>4.2426 * CHOOSE(CONTROL!$C$32, $C$9, 100%, $E$9)</f>
        <v>4.2426000000000004</v>
      </c>
      <c r="N113" s="11">
        <f>4.2394 * CHOOSE(CONTROL!$C$32, $C$9, 100%, $E$9)</f>
        <v>4.2393999999999998</v>
      </c>
      <c r="O113" s="11">
        <f>4.2426 * CHOOSE(CONTROL!$C$32, $C$9, 100%, $E$9)</f>
        <v>4.2426000000000004</v>
      </c>
      <c r="P113" s="14"/>
      <c r="Q113" s="14"/>
      <c r="R113" s="14"/>
    </row>
    <row r="114" spans="1:18" ht="15" x14ac:dyDescent="0.2">
      <c r="A114" s="13">
        <v>44317</v>
      </c>
      <c r="B114" s="9">
        <f>3.3316 * CHOOSE(CONTROL!$C$32, $C$9, 100%, $E$9)</f>
        <v>3.3315999999999999</v>
      </c>
      <c r="C114" s="9">
        <f>3.3316 * CHOOSE(CONTROL!$C$32, $C$9, 100%, $E$9)</f>
        <v>3.3315999999999999</v>
      </c>
      <c r="D114" s="9">
        <f>3.3329 * CHOOSE(CONTROL!$C$32, $C$9, 100%, $E$9)</f>
        <v>3.3329</v>
      </c>
      <c r="E114" s="11">
        <f>4.2394 * CHOOSE(CONTROL!$C$32, $C$9, 100%, $E$9)</f>
        <v>4.2393999999999998</v>
      </c>
      <c r="F114" s="11">
        <f>4.2394 * CHOOSE(CONTROL!$C$32, $C$9, 100%, $E$9)</f>
        <v>4.2393999999999998</v>
      </c>
      <c r="G114" s="11">
        <f>4.2436 * CHOOSE(CONTROL!$C$32, $C$9, 100%, $E$9)</f>
        <v>4.2435999999999998</v>
      </c>
      <c r="H114" s="11">
        <f>7.0999 * CHOOSE(CONTROL!$C$32, $C$9, 100%, $E$9)</f>
        <v>7.0998999999999999</v>
      </c>
      <c r="I114" s="11">
        <f>7.1041 * CHOOSE(CONTROL!$C$32, $C$9, 100%, $E$9)</f>
        <v>7.1040999999999999</v>
      </c>
      <c r="J114" s="11">
        <f>7.0999 * CHOOSE(CONTROL!$C$32, $C$9, 100%, $E$9)</f>
        <v>7.0998999999999999</v>
      </c>
      <c r="K114" s="11">
        <f>7.1041 * CHOOSE(CONTROL!$C$32, $C$9, 100%, $E$9)</f>
        <v>7.1040999999999999</v>
      </c>
      <c r="L114" s="11">
        <f>4.2394 * CHOOSE(CONTROL!$C$32, $C$9, 100%, $E$9)</f>
        <v>4.2393999999999998</v>
      </c>
      <c r="M114" s="11">
        <f>4.2436 * CHOOSE(CONTROL!$C$32, $C$9, 100%, $E$9)</f>
        <v>4.2435999999999998</v>
      </c>
      <c r="N114" s="11">
        <f>4.2394 * CHOOSE(CONTROL!$C$32, $C$9, 100%, $E$9)</f>
        <v>4.2393999999999998</v>
      </c>
      <c r="O114" s="11">
        <f>4.2436 * CHOOSE(CONTROL!$C$32, $C$9, 100%, $E$9)</f>
        <v>4.2435999999999998</v>
      </c>
      <c r="P114" s="14"/>
      <c r="Q114" s="14"/>
      <c r="R114" s="14"/>
    </row>
    <row r="115" spans="1:18" ht="15" x14ac:dyDescent="0.2">
      <c r="A115" s="13">
        <v>44348</v>
      </c>
      <c r="B115" s="9">
        <f>3.3377 * CHOOSE(CONTROL!$C$32, $C$9, 100%, $E$9)</f>
        <v>3.3376999999999999</v>
      </c>
      <c r="C115" s="9">
        <f>3.3377 * CHOOSE(CONTROL!$C$32, $C$9, 100%, $E$9)</f>
        <v>3.3376999999999999</v>
      </c>
      <c r="D115" s="9">
        <f>3.339 * CHOOSE(CONTROL!$C$32, $C$9, 100%, $E$9)</f>
        <v>3.339</v>
      </c>
      <c r="E115" s="11">
        <f>4.2434 * CHOOSE(CONTROL!$C$32, $C$9, 100%, $E$9)</f>
        <v>4.2434000000000003</v>
      </c>
      <c r="F115" s="11">
        <f>4.2434 * CHOOSE(CONTROL!$C$32, $C$9, 100%, $E$9)</f>
        <v>4.2434000000000003</v>
      </c>
      <c r="G115" s="11">
        <f>4.2476 * CHOOSE(CONTROL!$C$32, $C$9, 100%, $E$9)</f>
        <v>4.2476000000000003</v>
      </c>
      <c r="H115" s="11">
        <f>7.1147 * CHOOSE(CONTROL!$C$32, $C$9, 100%, $E$9)</f>
        <v>7.1147</v>
      </c>
      <c r="I115" s="11">
        <f>7.1189 * CHOOSE(CONTROL!$C$32, $C$9, 100%, $E$9)</f>
        <v>7.1189</v>
      </c>
      <c r="J115" s="11">
        <f>7.1147 * CHOOSE(CONTROL!$C$32, $C$9, 100%, $E$9)</f>
        <v>7.1147</v>
      </c>
      <c r="K115" s="11">
        <f>7.1189 * CHOOSE(CONTROL!$C$32, $C$9, 100%, $E$9)</f>
        <v>7.1189</v>
      </c>
      <c r="L115" s="11">
        <f>4.2434 * CHOOSE(CONTROL!$C$32, $C$9, 100%, $E$9)</f>
        <v>4.2434000000000003</v>
      </c>
      <c r="M115" s="11">
        <f>4.2476 * CHOOSE(CONTROL!$C$32, $C$9, 100%, $E$9)</f>
        <v>4.2476000000000003</v>
      </c>
      <c r="N115" s="11">
        <f>4.2434 * CHOOSE(CONTROL!$C$32, $C$9, 100%, $E$9)</f>
        <v>4.2434000000000003</v>
      </c>
      <c r="O115" s="11">
        <f>4.2476 * CHOOSE(CONTROL!$C$32, $C$9, 100%, $E$9)</f>
        <v>4.2476000000000003</v>
      </c>
      <c r="P115" s="14"/>
      <c r="Q115" s="14"/>
      <c r="R115" s="14"/>
    </row>
    <row r="116" spans="1:18" ht="15" x14ac:dyDescent="0.2">
      <c r="A116" s="13">
        <v>44378</v>
      </c>
      <c r="B116" s="9">
        <f>3.3976 * CHOOSE(CONTROL!$C$32, $C$9, 100%, $E$9)</f>
        <v>3.3976000000000002</v>
      </c>
      <c r="C116" s="9">
        <f>3.3976 * CHOOSE(CONTROL!$C$32, $C$9, 100%, $E$9)</f>
        <v>3.3976000000000002</v>
      </c>
      <c r="D116" s="9">
        <f>3.3988 * CHOOSE(CONTROL!$C$32, $C$9, 100%, $E$9)</f>
        <v>3.3988</v>
      </c>
      <c r="E116" s="11">
        <f>4.3089 * CHOOSE(CONTROL!$C$32, $C$9, 100%, $E$9)</f>
        <v>4.3089000000000004</v>
      </c>
      <c r="F116" s="11">
        <f>4.3089 * CHOOSE(CONTROL!$C$32, $C$9, 100%, $E$9)</f>
        <v>4.3089000000000004</v>
      </c>
      <c r="G116" s="11">
        <f>4.3131 * CHOOSE(CONTROL!$C$32, $C$9, 100%, $E$9)</f>
        <v>4.3131000000000004</v>
      </c>
      <c r="H116" s="11">
        <f>7.1296 * CHOOSE(CONTROL!$C$32, $C$9, 100%, $E$9)</f>
        <v>7.1295999999999999</v>
      </c>
      <c r="I116" s="11">
        <f>7.1338 * CHOOSE(CONTROL!$C$32, $C$9, 100%, $E$9)</f>
        <v>7.1337999999999999</v>
      </c>
      <c r="J116" s="11">
        <f>7.1296 * CHOOSE(CONTROL!$C$32, $C$9, 100%, $E$9)</f>
        <v>7.1295999999999999</v>
      </c>
      <c r="K116" s="11">
        <f>7.1338 * CHOOSE(CONTROL!$C$32, $C$9, 100%, $E$9)</f>
        <v>7.1337999999999999</v>
      </c>
      <c r="L116" s="11">
        <f>4.3089 * CHOOSE(CONTROL!$C$32, $C$9, 100%, $E$9)</f>
        <v>4.3089000000000004</v>
      </c>
      <c r="M116" s="11">
        <f>4.3131 * CHOOSE(CONTROL!$C$32, $C$9, 100%, $E$9)</f>
        <v>4.3131000000000004</v>
      </c>
      <c r="N116" s="11">
        <f>4.3089 * CHOOSE(CONTROL!$C$32, $C$9, 100%, $E$9)</f>
        <v>4.3089000000000004</v>
      </c>
      <c r="O116" s="11">
        <f>4.3131 * CHOOSE(CONTROL!$C$32, $C$9, 100%, $E$9)</f>
        <v>4.3131000000000004</v>
      </c>
      <c r="P116" s="14"/>
      <c r="Q116" s="14"/>
      <c r="R116" s="14"/>
    </row>
    <row r="117" spans="1:18" ht="15" x14ac:dyDescent="0.2">
      <c r="A117" s="13">
        <v>44409</v>
      </c>
      <c r="B117" s="9">
        <f>3.4043 * CHOOSE(CONTROL!$C$32, $C$9, 100%, $E$9)</f>
        <v>3.4043000000000001</v>
      </c>
      <c r="C117" s="9">
        <f>3.4043 * CHOOSE(CONTROL!$C$32, $C$9, 100%, $E$9)</f>
        <v>3.4043000000000001</v>
      </c>
      <c r="D117" s="9">
        <f>3.4055 * CHOOSE(CONTROL!$C$32, $C$9, 100%, $E$9)</f>
        <v>3.4055</v>
      </c>
      <c r="E117" s="11">
        <f>4.3133 * CHOOSE(CONTROL!$C$32, $C$9, 100%, $E$9)</f>
        <v>4.3132999999999999</v>
      </c>
      <c r="F117" s="11">
        <f>4.3133 * CHOOSE(CONTROL!$C$32, $C$9, 100%, $E$9)</f>
        <v>4.3132999999999999</v>
      </c>
      <c r="G117" s="11">
        <f>4.3175 * CHOOSE(CONTROL!$C$32, $C$9, 100%, $E$9)</f>
        <v>4.3174999999999999</v>
      </c>
      <c r="H117" s="11">
        <f>7.1444 * CHOOSE(CONTROL!$C$32, $C$9, 100%, $E$9)</f>
        <v>7.1444000000000001</v>
      </c>
      <c r="I117" s="11">
        <f>7.1486 * CHOOSE(CONTROL!$C$32, $C$9, 100%, $E$9)</f>
        <v>7.1486000000000001</v>
      </c>
      <c r="J117" s="11">
        <f>7.1444 * CHOOSE(CONTROL!$C$32, $C$9, 100%, $E$9)</f>
        <v>7.1444000000000001</v>
      </c>
      <c r="K117" s="11">
        <f>7.1486 * CHOOSE(CONTROL!$C$32, $C$9, 100%, $E$9)</f>
        <v>7.1486000000000001</v>
      </c>
      <c r="L117" s="11">
        <f>4.3133 * CHOOSE(CONTROL!$C$32, $C$9, 100%, $E$9)</f>
        <v>4.3132999999999999</v>
      </c>
      <c r="M117" s="11">
        <f>4.3175 * CHOOSE(CONTROL!$C$32, $C$9, 100%, $E$9)</f>
        <v>4.3174999999999999</v>
      </c>
      <c r="N117" s="11">
        <f>4.3133 * CHOOSE(CONTROL!$C$32, $C$9, 100%, $E$9)</f>
        <v>4.3132999999999999</v>
      </c>
      <c r="O117" s="11">
        <f>4.3175 * CHOOSE(CONTROL!$C$32, $C$9, 100%, $E$9)</f>
        <v>4.3174999999999999</v>
      </c>
      <c r="P117" s="14"/>
      <c r="Q117" s="14"/>
      <c r="R117" s="14"/>
    </row>
    <row r="118" spans="1:18" ht="15" x14ac:dyDescent="0.2">
      <c r="A118" s="13">
        <v>44440</v>
      </c>
      <c r="B118" s="9">
        <f>3.4012 * CHOOSE(CONTROL!$C$32, $C$9, 100%, $E$9)</f>
        <v>3.4011999999999998</v>
      </c>
      <c r="C118" s="9">
        <f>3.4012 * CHOOSE(CONTROL!$C$32, $C$9, 100%, $E$9)</f>
        <v>3.4011999999999998</v>
      </c>
      <c r="D118" s="9">
        <f>3.4025 * CHOOSE(CONTROL!$C$32, $C$9, 100%, $E$9)</f>
        <v>3.4024999999999999</v>
      </c>
      <c r="E118" s="11">
        <f>4.3113 * CHOOSE(CONTROL!$C$32, $C$9, 100%, $E$9)</f>
        <v>4.3113000000000001</v>
      </c>
      <c r="F118" s="11">
        <f>4.3113 * CHOOSE(CONTROL!$C$32, $C$9, 100%, $E$9)</f>
        <v>4.3113000000000001</v>
      </c>
      <c r="G118" s="11">
        <f>4.3155 * CHOOSE(CONTROL!$C$32, $C$9, 100%, $E$9)</f>
        <v>4.3155000000000001</v>
      </c>
      <c r="H118" s="11">
        <f>7.1593 * CHOOSE(CONTROL!$C$32, $C$9, 100%, $E$9)</f>
        <v>7.1593</v>
      </c>
      <c r="I118" s="11">
        <f>7.1635 * CHOOSE(CONTROL!$C$32, $C$9, 100%, $E$9)</f>
        <v>7.1635</v>
      </c>
      <c r="J118" s="11">
        <f>7.1593 * CHOOSE(CONTROL!$C$32, $C$9, 100%, $E$9)</f>
        <v>7.1593</v>
      </c>
      <c r="K118" s="11">
        <f>7.1635 * CHOOSE(CONTROL!$C$32, $C$9, 100%, $E$9)</f>
        <v>7.1635</v>
      </c>
      <c r="L118" s="11">
        <f>4.3113 * CHOOSE(CONTROL!$C$32, $C$9, 100%, $E$9)</f>
        <v>4.3113000000000001</v>
      </c>
      <c r="M118" s="11">
        <f>4.3155 * CHOOSE(CONTROL!$C$32, $C$9, 100%, $E$9)</f>
        <v>4.3155000000000001</v>
      </c>
      <c r="N118" s="11">
        <f>4.3113 * CHOOSE(CONTROL!$C$32, $C$9, 100%, $E$9)</f>
        <v>4.3113000000000001</v>
      </c>
      <c r="O118" s="11">
        <f>4.3155 * CHOOSE(CONTROL!$C$32, $C$9, 100%, $E$9)</f>
        <v>4.3155000000000001</v>
      </c>
      <c r="P118" s="14"/>
      <c r="Q118" s="14"/>
      <c r="R118" s="14"/>
    </row>
    <row r="119" spans="1:18" ht="15" x14ac:dyDescent="0.2">
      <c r="A119" s="13">
        <v>44470</v>
      </c>
      <c r="B119" s="9">
        <f>3.3942 * CHOOSE(CONTROL!$C$32, $C$9, 100%, $E$9)</f>
        <v>3.3942000000000001</v>
      </c>
      <c r="C119" s="9">
        <f>3.3942 * CHOOSE(CONTROL!$C$32, $C$9, 100%, $E$9)</f>
        <v>3.3942000000000001</v>
      </c>
      <c r="D119" s="9">
        <f>3.3951 * CHOOSE(CONTROL!$C$32, $C$9, 100%, $E$9)</f>
        <v>3.3950999999999998</v>
      </c>
      <c r="E119" s="11">
        <f>4.3049 * CHOOSE(CONTROL!$C$32, $C$9, 100%, $E$9)</f>
        <v>4.3048999999999999</v>
      </c>
      <c r="F119" s="11">
        <f>4.3049 * CHOOSE(CONTROL!$C$32, $C$9, 100%, $E$9)</f>
        <v>4.3048999999999999</v>
      </c>
      <c r="G119" s="11">
        <f>4.3081 * CHOOSE(CONTROL!$C$32, $C$9, 100%, $E$9)</f>
        <v>4.3080999999999996</v>
      </c>
      <c r="H119" s="11">
        <f>7.1742 * CHOOSE(CONTROL!$C$32, $C$9, 100%, $E$9)</f>
        <v>7.1741999999999999</v>
      </c>
      <c r="I119" s="11">
        <f>7.1774 * CHOOSE(CONTROL!$C$32, $C$9, 100%, $E$9)</f>
        <v>7.1773999999999996</v>
      </c>
      <c r="J119" s="11">
        <f>7.1742 * CHOOSE(CONTROL!$C$32, $C$9, 100%, $E$9)</f>
        <v>7.1741999999999999</v>
      </c>
      <c r="K119" s="11">
        <f>7.1774 * CHOOSE(CONTROL!$C$32, $C$9, 100%, $E$9)</f>
        <v>7.1773999999999996</v>
      </c>
      <c r="L119" s="11">
        <f>4.3049 * CHOOSE(CONTROL!$C$32, $C$9, 100%, $E$9)</f>
        <v>4.3048999999999999</v>
      </c>
      <c r="M119" s="11">
        <f>4.3081 * CHOOSE(CONTROL!$C$32, $C$9, 100%, $E$9)</f>
        <v>4.3080999999999996</v>
      </c>
      <c r="N119" s="11">
        <f>4.3049 * CHOOSE(CONTROL!$C$32, $C$9, 100%, $E$9)</f>
        <v>4.3048999999999999</v>
      </c>
      <c r="O119" s="11">
        <f>4.3081 * CHOOSE(CONTROL!$C$32, $C$9, 100%, $E$9)</f>
        <v>4.3080999999999996</v>
      </c>
      <c r="P119" s="14"/>
      <c r="Q119" s="14"/>
      <c r="R119" s="14"/>
    </row>
    <row r="120" spans="1:18" ht="15" x14ac:dyDescent="0.2">
      <c r="A120" s="13">
        <v>44501</v>
      </c>
      <c r="B120" s="9">
        <f>3.3972 * CHOOSE(CONTROL!$C$32, $C$9, 100%, $E$9)</f>
        <v>3.3972000000000002</v>
      </c>
      <c r="C120" s="9">
        <f>3.3972 * CHOOSE(CONTROL!$C$32, $C$9, 100%, $E$9)</f>
        <v>3.3972000000000002</v>
      </c>
      <c r="D120" s="9">
        <f>3.3982 * CHOOSE(CONTROL!$C$32, $C$9, 100%, $E$9)</f>
        <v>3.3982000000000001</v>
      </c>
      <c r="E120" s="11">
        <f>4.3069 * CHOOSE(CONTROL!$C$32, $C$9, 100%, $E$9)</f>
        <v>4.3068999999999997</v>
      </c>
      <c r="F120" s="11">
        <f>4.3069 * CHOOSE(CONTROL!$C$32, $C$9, 100%, $E$9)</f>
        <v>4.3068999999999997</v>
      </c>
      <c r="G120" s="11">
        <f>4.3101 * CHOOSE(CONTROL!$C$32, $C$9, 100%, $E$9)</f>
        <v>4.3101000000000003</v>
      </c>
      <c r="H120" s="11">
        <f>7.1892 * CHOOSE(CONTROL!$C$32, $C$9, 100%, $E$9)</f>
        <v>7.1891999999999996</v>
      </c>
      <c r="I120" s="11">
        <f>7.1924 * CHOOSE(CONTROL!$C$32, $C$9, 100%, $E$9)</f>
        <v>7.1924000000000001</v>
      </c>
      <c r="J120" s="11">
        <f>7.1892 * CHOOSE(CONTROL!$C$32, $C$9, 100%, $E$9)</f>
        <v>7.1891999999999996</v>
      </c>
      <c r="K120" s="11">
        <f>7.1924 * CHOOSE(CONTROL!$C$32, $C$9, 100%, $E$9)</f>
        <v>7.1924000000000001</v>
      </c>
      <c r="L120" s="11">
        <f>4.3069 * CHOOSE(CONTROL!$C$32, $C$9, 100%, $E$9)</f>
        <v>4.3068999999999997</v>
      </c>
      <c r="M120" s="11">
        <f>4.3101 * CHOOSE(CONTROL!$C$32, $C$9, 100%, $E$9)</f>
        <v>4.3101000000000003</v>
      </c>
      <c r="N120" s="11">
        <f>4.3069 * CHOOSE(CONTROL!$C$32, $C$9, 100%, $E$9)</f>
        <v>4.3068999999999997</v>
      </c>
      <c r="O120" s="11">
        <f>4.3101 * CHOOSE(CONTROL!$C$32, $C$9, 100%, $E$9)</f>
        <v>4.3101000000000003</v>
      </c>
      <c r="P120" s="14"/>
      <c r="Q120" s="14"/>
      <c r="R120" s="14"/>
    </row>
    <row r="121" spans="1:18" ht="15" x14ac:dyDescent="0.2">
      <c r="A121" s="13">
        <v>44531</v>
      </c>
      <c r="B121" s="9">
        <f>3.3972 * CHOOSE(CONTROL!$C$32, $C$9, 100%, $E$9)</f>
        <v>3.3972000000000002</v>
      </c>
      <c r="C121" s="9">
        <f>3.3972 * CHOOSE(CONTROL!$C$32, $C$9, 100%, $E$9)</f>
        <v>3.3972000000000002</v>
      </c>
      <c r="D121" s="9">
        <f>3.3982 * CHOOSE(CONTROL!$C$32, $C$9, 100%, $E$9)</f>
        <v>3.3982000000000001</v>
      </c>
      <c r="E121" s="11">
        <f>4.3069 * CHOOSE(CONTROL!$C$32, $C$9, 100%, $E$9)</f>
        <v>4.3068999999999997</v>
      </c>
      <c r="F121" s="11">
        <f>4.3069 * CHOOSE(CONTROL!$C$32, $C$9, 100%, $E$9)</f>
        <v>4.3068999999999997</v>
      </c>
      <c r="G121" s="11">
        <f>4.3101 * CHOOSE(CONTROL!$C$32, $C$9, 100%, $E$9)</f>
        <v>4.3101000000000003</v>
      </c>
      <c r="H121" s="11">
        <f>7.2041 * CHOOSE(CONTROL!$C$32, $C$9, 100%, $E$9)</f>
        <v>7.2041000000000004</v>
      </c>
      <c r="I121" s="11">
        <f>7.2074 * CHOOSE(CONTROL!$C$32, $C$9, 100%, $E$9)</f>
        <v>7.2073999999999998</v>
      </c>
      <c r="J121" s="11">
        <f>7.2041 * CHOOSE(CONTROL!$C$32, $C$9, 100%, $E$9)</f>
        <v>7.2041000000000004</v>
      </c>
      <c r="K121" s="11">
        <f>7.2074 * CHOOSE(CONTROL!$C$32, $C$9, 100%, $E$9)</f>
        <v>7.2073999999999998</v>
      </c>
      <c r="L121" s="11">
        <f>4.3069 * CHOOSE(CONTROL!$C$32, $C$9, 100%, $E$9)</f>
        <v>4.3068999999999997</v>
      </c>
      <c r="M121" s="11">
        <f>4.3101 * CHOOSE(CONTROL!$C$32, $C$9, 100%, $E$9)</f>
        <v>4.3101000000000003</v>
      </c>
      <c r="N121" s="11">
        <f>4.3069 * CHOOSE(CONTROL!$C$32, $C$9, 100%, $E$9)</f>
        <v>4.3068999999999997</v>
      </c>
      <c r="O121" s="11">
        <f>4.3101 * CHOOSE(CONTROL!$C$32, $C$9, 100%, $E$9)</f>
        <v>4.3101000000000003</v>
      </c>
      <c r="P121" s="14"/>
      <c r="Q121" s="14"/>
      <c r="R121" s="14"/>
    </row>
    <row r="122" spans="1:18" ht="15" x14ac:dyDescent="0.2">
      <c r="A122" s="13">
        <v>44562</v>
      </c>
      <c r="B122" s="9">
        <f>3.4251 * CHOOSE(CONTROL!$C$32, $C$9, 100%, $E$9)</f>
        <v>3.4251</v>
      </c>
      <c r="C122" s="9">
        <f>3.4251 * CHOOSE(CONTROL!$C$32, $C$9, 100%, $E$9)</f>
        <v>3.4251</v>
      </c>
      <c r="D122" s="9">
        <f>3.426 * CHOOSE(CONTROL!$C$32, $C$9, 100%, $E$9)</f>
        <v>3.4260000000000002</v>
      </c>
      <c r="E122" s="11">
        <f>4.3439 * CHOOSE(CONTROL!$C$32, $C$9, 100%, $E$9)</f>
        <v>4.3438999999999997</v>
      </c>
      <c r="F122" s="11">
        <f>4.3439 * CHOOSE(CONTROL!$C$32, $C$9, 100%, $E$9)</f>
        <v>4.3438999999999997</v>
      </c>
      <c r="G122" s="11">
        <f>4.3471 * CHOOSE(CONTROL!$C$32, $C$9, 100%, $E$9)</f>
        <v>4.3471000000000002</v>
      </c>
      <c r="H122" s="11">
        <f>7.2191 * CHOOSE(CONTROL!$C$32, $C$9, 100%, $E$9)</f>
        <v>7.2191000000000001</v>
      </c>
      <c r="I122" s="11">
        <f>7.2224 * CHOOSE(CONTROL!$C$32, $C$9, 100%, $E$9)</f>
        <v>7.2224000000000004</v>
      </c>
      <c r="J122" s="11">
        <f>7.2191 * CHOOSE(CONTROL!$C$32, $C$9, 100%, $E$9)</f>
        <v>7.2191000000000001</v>
      </c>
      <c r="K122" s="11">
        <f>7.2224 * CHOOSE(CONTROL!$C$32, $C$9, 100%, $E$9)</f>
        <v>7.2224000000000004</v>
      </c>
      <c r="L122" s="11">
        <f>4.3439 * CHOOSE(CONTROL!$C$32, $C$9, 100%, $E$9)</f>
        <v>4.3438999999999997</v>
      </c>
      <c r="M122" s="11">
        <f>4.3471 * CHOOSE(CONTROL!$C$32, $C$9, 100%, $E$9)</f>
        <v>4.3471000000000002</v>
      </c>
      <c r="N122" s="11">
        <f>4.3439 * CHOOSE(CONTROL!$C$32, $C$9, 100%, $E$9)</f>
        <v>4.3438999999999997</v>
      </c>
      <c r="O122" s="11">
        <f>4.3471 * CHOOSE(CONTROL!$C$32, $C$9, 100%, $E$9)</f>
        <v>4.3471000000000002</v>
      </c>
      <c r="P122" s="14"/>
      <c r="Q122" s="14"/>
      <c r="R122" s="14"/>
    </row>
    <row r="123" spans="1:18" ht="15" x14ac:dyDescent="0.2">
      <c r="A123" s="13">
        <v>44593</v>
      </c>
      <c r="B123" s="9">
        <f>3.422 * CHOOSE(CONTROL!$C$32, $C$9, 100%, $E$9)</f>
        <v>3.4220000000000002</v>
      </c>
      <c r="C123" s="9">
        <f>3.422 * CHOOSE(CONTROL!$C$32, $C$9, 100%, $E$9)</f>
        <v>3.4220000000000002</v>
      </c>
      <c r="D123" s="9">
        <f>3.423 * CHOOSE(CONTROL!$C$32, $C$9, 100%, $E$9)</f>
        <v>3.423</v>
      </c>
      <c r="E123" s="11">
        <f>4.3419 * CHOOSE(CONTROL!$C$32, $C$9, 100%, $E$9)</f>
        <v>4.3418999999999999</v>
      </c>
      <c r="F123" s="11">
        <f>4.3419 * CHOOSE(CONTROL!$C$32, $C$9, 100%, $E$9)</f>
        <v>4.3418999999999999</v>
      </c>
      <c r="G123" s="11">
        <f>4.3451 * CHOOSE(CONTROL!$C$32, $C$9, 100%, $E$9)</f>
        <v>4.3451000000000004</v>
      </c>
      <c r="H123" s="11">
        <f>7.2342 * CHOOSE(CONTROL!$C$32, $C$9, 100%, $E$9)</f>
        <v>7.2342000000000004</v>
      </c>
      <c r="I123" s="11">
        <f>7.2374 * CHOOSE(CONTROL!$C$32, $C$9, 100%, $E$9)</f>
        <v>7.2374000000000001</v>
      </c>
      <c r="J123" s="11">
        <f>7.2342 * CHOOSE(CONTROL!$C$32, $C$9, 100%, $E$9)</f>
        <v>7.2342000000000004</v>
      </c>
      <c r="K123" s="11">
        <f>7.2374 * CHOOSE(CONTROL!$C$32, $C$9, 100%, $E$9)</f>
        <v>7.2374000000000001</v>
      </c>
      <c r="L123" s="11">
        <f>4.3419 * CHOOSE(CONTROL!$C$32, $C$9, 100%, $E$9)</f>
        <v>4.3418999999999999</v>
      </c>
      <c r="M123" s="11">
        <f>4.3451 * CHOOSE(CONTROL!$C$32, $C$9, 100%, $E$9)</f>
        <v>4.3451000000000004</v>
      </c>
      <c r="N123" s="11">
        <f>4.3419 * CHOOSE(CONTROL!$C$32, $C$9, 100%, $E$9)</f>
        <v>4.3418999999999999</v>
      </c>
      <c r="O123" s="11">
        <f>4.3451 * CHOOSE(CONTROL!$C$32, $C$9, 100%, $E$9)</f>
        <v>4.3451000000000004</v>
      </c>
      <c r="P123" s="14"/>
      <c r="Q123" s="14"/>
      <c r="R123" s="14"/>
    </row>
    <row r="124" spans="1:18" ht="15" x14ac:dyDescent="0.2">
      <c r="A124" s="13">
        <v>44621</v>
      </c>
      <c r="B124" s="9">
        <f>3.419 * CHOOSE(CONTROL!$C$32, $C$9, 100%, $E$9)</f>
        <v>3.419</v>
      </c>
      <c r="C124" s="9">
        <f>3.419 * CHOOSE(CONTROL!$C$32, $C$9, 100%, $E$9)</f>
        <v>3.419</v>
      </c>
      <c r="D124" s="9">
        <f>3.4199 * CHOOSE(CONTROL!$C$32, $C$9, 100%, $E$9)</f>
        <v>3.4199000000000002</v>
      </c>
      <c r="E124" s="11">
        <f>4.3399 * CHOOSE(CONTROL!$C$32, $C$9, 100%, $E$9)</f>
        <v>4.3399000000000001</v>
      </c>
      <c r="F124" s="11">
        <f>4.3399 * CHOOSE(CONTROL!$C$32, $C$9, 100%, $E$9)</f>
        <v>4.3399000000000001</v>
      </c>
      <c r="G124" s="11">
        <f>4.3431 * CHOOSE(CONTROL!$C$32, $C$9, 100%, $E$9)</f>
        <v>4.3430999999999997</v>
      </c>
      <c r="H124" s="11">
        <f>7.2493 * CHOOSE(CONTROL!$C$32, $C$9, 100%, $E$9)</f>
        <v>7.2492999999999999</v>
      </c>
      <c r="I124" s="11">
        <f>7.2525 * CHOOSE(CONTROL!$C$32, $C$9, 100%, $E$9)</f>
        <v>7.2525000000000004</v>
      </c>
      <c r="J124" s="11">
        <f>7.2493 * CHOOSE(CONTROL!$C$32, $C$9, 100%, $E$9)</f>
        <v>7.2492999999999999</v>
      </c>
      <c r="K124" s="11">
        <f>7.2525 * CHOOSE(CONTROL!$C$32, $C$9, 100%, $E$9)</f>
        <v>7.2525000000000004</v>
      </c>
      <c r="L124" s="11">
        <f>4.3399 * CHOOSE(CONTROL!$C$32, $C$9, 100%, $E$9)</f>
        <v>4.3399000000000001</v>
      </c>
      <c r="M124" s="11">
        <f>4.3431 * CHOOSE(CONTROL!$C$32, $C$9, 100%, $E$9)</f>
        <v>4.3430999999999997</v>
      </c>
      <c r="N124" s="11">
        <f>4.3399 * CHOOSE(CONTROL!$C$32, $C$9, 100%, $E$9)</f>
        <v>4.3399000000000001</v>
      </c>
      <c r="O124" s="11">
        <f>4.3431 * CHOOSE(CONTROL!$C$32, $C$9, 100%, $E$9)</f>
        <v>4.3430999999999997</v>
      </c>
      <c r="P124" s="14"/>
      <c r="Q124" s="14"/>
      <c r="R124" s="14"/>
    </row>
    <row r="125" spans="1:18" ht="15" x14ac:dyDescent="0.2">
      <c r="A125" s="13">
        <v>44652</v>
      </c>
      <c r="B125" s="9">
        <f>3.4161 * CHOOSE(CONTROL!$C$32, $C$9, 100%, $E$9)</f>
        <v>3.4161000000000001</v>
      </c>
      <c r="C125" s="9">
        <f>3.4161 * CHOOSE(CONTROL!$C$32, $C$9, 100%, $E$9)</f>
        <v>3.4161000000000001</v>
      </c>
      <c r="D125" s="9">
        <f>3.4171 * CHOOSE(CONTROL!$C$32, $C$9, 100%, $E$9)</f>
        <v>3.4171</v>
      </c>
      <c r="E125" s="11">
        <f>4.3376 * CHOOSE(CONTROL!$C$32, $C$9, 100%, $E$9)</f>
        <v>4.3376000000000001</v>
      </c>
      <c r="F125" s="11">
        <f>4.3376 * CHOOSE(CONTROL!$C$32, $C$9, 100%, $E$9)</f>
        <v>4.3376000000000001</v>
      </c>
      <c r="G125" s="11">
        <f>4.3408 * CHOOSE(CONTROL!$C$32, $C$9, 100%, $E$9)</f>
        <v>4.3407999999999998</v>
      </c>
      <c r="H125" s="11">
        <f>7.2644 * CHOOSE(CONTROL!$C$32, $C$9, 100%, $E$9)</f>
        <v>7.2644000000000002</v>
      </c>
      <c r="I125" s="11">
        <f>7.2676 * CHOOSE(CONTROL!$C$32, $C$9, 100%, $E$9)</f>
        <v>7.2675999999999998</v>
      </c>
      <c r="J125" s="11">
        <f>7.2644 * CHOOSE(CONTROL!$C$32, $C$9, 100%, $E$9)</f>
        <v>7.2644000000000002</v>
      </c>
      <c r="K125" s="11">
        <f>7.2676 * CHOOSE(CONTROL!$C$32, $C$9, 100%, $E$9)</f>
        <v>7.2675999999999998</v>
      </c>
      <c r="L125" s="11">
        <f>4.3376 * CHOOSE(CONTROL!$C$32, $C$9, 100%, $E$9)</f>
        <v>4.3376000000000001</v>
      </c>
      <c r="M125" s="11">
        <f>4.3408 * CHOOSE(CONTROL!$C$32, $C$9, 100%, $E$9)</f>
        <v>4.3407999999999998</v>
      </c>
      <c r="N125" s="11">
        <f>4.3376 * CHOOSE(CONTROL!$C$32, $C$9, 100%, $E$9)</f>
        <v>4.3376000000000001</v>
      </c>
      <c r="O125" s="11">
        <f>4.3408 * CHOOSE(CONTROL!$C$32, $C$9, 100%, $E$9)</f>
        <v>4.3407999999999998</v>
      </c>
      <c r="P125" s="14"/>
      <c r="Q125" s="14"/>
      <c r="R125" s="14"/>
    </row>
    <row r="126" spans="1:18" ht="15" x14ac:dyDescent="0.2">
      <c r="A126" s="13">
        <v>44682</v>
      </c>
      <c r="B126" s="9">
        <f>3.4161 * CHOOSE(CONTROL!$C$32, $C$9, 100%, $E$9)</f>
        <v>3.4161000000000001</v>
      </c>
      <c r="C126" s="9">
        <f>3.4161 * CHOOSE(CONTROL!$C$32, $C$9, 100%, $E$9)</f>
        <v>3.4161000000000001</v>
      </c>
      <c r="D126" s="9">
        <f>3.4174 * CHOOSE(CONTROL!$C$32, $C$9, 100%, $E$9)</f>
        <v>3.4174000000000002</v>
      </c>
      <c r="E126" s="11">
        <f>4.3376 * CHOOSE(CONTROL!$C$32, $C$9, 100%, $E$9)</f>
        <v>4.3376000000000001</v>
      </c>
      <c r="F126" s="11">
        <f>4.3376 * CHOOSE(CONTROL!$C$32, $C$9, 100%, $E$9)</f>
        <v>4.3376000000000001</v>
      </c>
      <c r="G126" s="11">
        <f>4.3418 * CHOOSE(CONTROL!$C$32, $C$9, 100%, $E$9)</f>
        <v>4.3418000000000001</v>
      </c>
      <c r="H126" s="11">
        <f>7.2795 * CHOOSE(CONTROL!$C$32, $C$9, 100%, $E$9)</f>
        <v>7.2794999999999996</v>
      </c>
      <c r="I126" s="11">
        <f>7.2837 * CHOOSE(CONTROL!$C$32, $C$9, 100%, $E$9)</f>
        <v>7.2836999999999996</v>
      </c>
      <c r="J126" s="11">
        <f>7.2795 * CHOOSE(CONTROL!$C$32, $C$9, 100%, $E$9)</f>
        <v>7.2794999999999996</v>
      </c>
      <c r="K126" s="11">
        <f>7.2837 * CHOOSE(CONTROL!$C$32, $C$9, 100%, $E$9)</f>
        <v>7.2836999999999996</v>
      </c>
      <c r="L126" s="11">
        <f>4.3376 * CHOOSE(CONTROL!$C$32, $C$9, 100%, $E$9)</f>
        <v>4.3376000000000001</v>
      </c>
      <c r="M126" s="11">
        <f>4.3418 * CHOOSE(CONTROL!$C$32, $C$9, 100%, $E$9)</f>
        <v>4.3418000000000001</v>
      </c>
      <c r="N126" s="11">
        <f>4.3376 * CHOOSE(CONTROL!$C$32, $C$9, 100%, $E$9)</f>
        <v>4.3376000000000001</v>
      </c>
      <c r="O126" s="11">
        <f>4.3418 * CHOOSE(CONTROL!$C$32, $C$9, 100%, $E$9)</f>
        <v>4.3418000000000001</v>
      </c>
      <c r="P126" s="14"/>
      <c r="Q126" s="14"/>
      <c r="R126" s="14"/>
    </row>
    <row r="127" spans="1:18" ht="15" x14ac:dyDescent="0.2">
      <c r="A127" s="13">
        <v>44713</v>
      </c>
      <c r="B127" s="9">
        <f>3.4222 * CHOOSE(CONTROL!$C$32, $C$9, 100%, $E$9)</f>
        <v>3.4222000000000001</v>
      </c>
      <c r="C127" s="9">
        <f>3.4222 * CHOOSE(CONTROL!$C$32, $C$9, 100%, $E$9)</f>
        <v>3.4222000000000001</v>
      </c>
      <c r="D127" s="9">
        <f>3.4234 * CHOOSE(CONTROL!$C$32, $C$9, 100%, $E$9)</f>
        <v>3.4234</v>
      </c>
      <c r="E127" s="11">
        <f>4.3416 * CHOOSE(CONTROL!$C$32, $C$9, 100%, $E$9)</f>
        <v>4.3415999999999997</v>
      </c>
      <c r="F127" s="11">
        <f>4.3416 * CHOOSE(CONTROL!$C$32, $C$9, 100%, $E$9)</f>
        <v>4.3415999999999997</v>
      </c>
      <c r="G127" s="11">
        <f>4.3458 * CHOOSE(CONTROL!$C$32, $C$9, 100%, $E$9)</f>
        <v>4.3457999999999997</v>
      </c>
      <c r="H127" s="11">
        <f>7.2947 * CHOOSE(CONTROL!$C$32, $C$9, 100%, $E$9)</f>
        <v>7.2946999999999997</v>
      </c>
      <c r="I127" s="11">
        <f>7.2989 * CHOOSE(CONTROL!$C$32, $C$9, 100%, $E$9)</f>
        <v>7.2988999999999997</v>
      </c>
      <c r="J127" s="11">
        <f>7.2947 * CHOOSE(CONTROL!$C$32, $C$9, 100%, $E$9)</f>
        <v>7.2946999999999997</v>
      </c>
      <c r="K127" s="11">
        <f>7.2989 * CHOOSE(CONTROL!$C$32, $C$9, 100%, $E$9)</f>
        <v>7.2988999999999997</v>
      </c>
      <c r="L127" s="11">
        <f>4.3416 * CHOOSE(CONTROL!$C$32, $C$9, 100%, $E$9)</f>
        <v>4.3415999999999997</v>
      </c>
      <c r="M127" s="11">
        <f>4.3458 * CHOOSE(CONTROL!$C$32, $C$9, 100%, $E$9)</f>
        <v>4.3457999999999997</v>
      </c>
      <c r="N127" s="11">
        <f>4.3416 * CHOOSE(CONTROL!$C$32, $C$9, 100%, $E$9)</f>
        <v>4.3415999999999997</v>
      </c>
      <c r="O127" s="11">
        <f>4.3458 * CHOOSE(CONTROL!$C$32, $C$9, 100%, $E$9)</f>
        <v>4.3457999999999997</v>
      </c>
      <c r="P127" s="14"/>
      <c r="Q127" s="14"/>
      <c r="R127" s="14"/>
    </row>
    <row r="128" spans="1:18" ht="15" x14ac:dyDescent="0.2">
      <c r="A128" s="13">
        <v>44743</v>
      </c>
      <c r="B128" s="9">
        <f>3.4729 * CHOOSE(CONTROL!$C$32, $C$9, 100%, $E$9)</f>
        <v>3.4729000000000001</v>
      </c>
      <c r="C128" s="9">
        <f>3.4729 * CHOOSE(CONTROL!$C$32, $C$9, 100%, $E$9)</f>
        <v>3.4729000000000001</v>
      </c>
      <c r="D128" s="9">
        <f>3.4741 * CHOOSE(CONTROL!$C$32, $C$9, 100%, $E$9)</f>
        <v>3.4741</v>
      </c>
      <c r="E128" s="11">
        <f>4.4233 * CHOOSE(CONTROL!$C$32, $C$9, 100%, $E$9)</f>
        <v>4.4233000000000002</v>
      </c>
      <c r="F128" s="11">
        <f>4.4233 * CHOOSE(CONTROL!$C$32, $C$9, 100%, $E$9)</f>
        <v>4.4233000000000002</v>
      </c>
      <c r="G128" s="11">
        <f>4.4275 * CHOOSE(CONTROL!$C$32, $C$9, 100%, $E$9)</f>
        <v>4.4275000000000002</v>
      </c>
      <c r="H128" s="11">
        <f>7.3099 * CHOOSE(CONTROL!$C$32, $C$9, 100%, $E$9)</f>
        <v>7.3098999999999998</v>
      </c>
      <c r="I128" s="11">
        <f>7.3141 * CHOOSE(CONTROL!$C$32, $C$9, 100%, $E$9)</f>
        <v>7.3140999999999998</v>
      </c>
      <c r="J128" s="11">
        <f>7.3099 * CHOOSE(CONTROL!$C$32, $C$9, 100%, $E$9)</f>
        <v>7.3098999999999998</v>
      </c>
      <c r="K128" s="11">
        <f>7.3141 * CHOOSE(CONTROL!$C$32, $C$9, 100%, $E$9)</f>
        <v>7.3140999999999998</v>
      </c>
      <c r="L128" s="11">
        <f>4.4233 * CHOOSE(CONTROL!$C$32, $C$9, 100%, $E$9)</f>
        <v>4.4233000000000002</v>
      </c>
      <c r="M128" s="11">
        <f>4.4275 * CHOOSE(CONTROL!$C$32, $C$9, 100%, $E$9)</f>
        <v>4.4275000000000002</v>
      </c>
      <c r="N128" s="11">
        <f>4.4233 * CHOOSE(CONTROL!$C$32, $C$9, 100%, $E$9)</f>
        <v>4.4233000000000002</v>
      </c>
      <c r="O128" s="11">
        <f>4.4275 * CHOOSE(CONTROL!$C$32, $C$9, 100%, $E$9)</f>
        <v>4.4275000000000002</v>
      </c>
      <c r="P128" s="14"/>
      <c r="Q128" s="14"/>
      <c r="R128" s="14"/>
    </row>
    <row r="129" spans="1:18" ht="15" x14ac:dyDescent="0.2">
      <c r="A129" s="13">
        <v>44774</v>
      </c>
      <c r="B129" s="9">
        <f>3.4796 * CHOOSE(CONTROL!$C$32, $C$9, 100%, $E$9)</f>
        <v>3.4796</v>
      </c>
      <c r="C129" s="9">
        <f>3.4796 * CHOOSE(CONTROL!$C$32, $C$9, 100%, $E$9)</f>
        <v>3.4796</v>
      </c>
      <c r="D129" s="9">
        <f>3.4808 * CHOOSE(CONTROL!$C$32, $C$9, 100%, $E$9)</f>
        <v>3.4807999999999999</v>
      </c>
      <c r="E129" s="11">
        <f>4.4277 * CHOOSE(CONTROL!$C$32, $C$9, 100%, $E$9)</f>
        <v>4.4276999999999997</v>
      </c>
      <c r="F129" s="11">
        <f>4.4277 * CHOOSE(CONTROL!$C$32, $C$9, 100%, $E$9)</f>
        <v>4.4276999999999997</v>
      </c>
      <c r="G129" s="11">
        <f>4.4319 * CHOOSE(CONTROL!$C$32, $C$9, 100%, $E$9)</f>
        <v>4.4318999999999997</v>
      </c>
      <c r="H129" s="11">
        <f>7.3251 * CHOOSE(CONTROL!$C$32, $C$9, 100%, $E$9)</f>
        <v>7.3250999999999999</v>
      </c>
      <c r="I129" s="11">
        <f>7.3293 * CHOOSE(CONTROL!$C$32, $C$9, 100%, $E$9)</f>
        <v>7.3292999999999999</v>
      </c>
      <c r="J129" s="11">
        <f>7.3251 * CHOOSE(CONTROL!$C$32, $C$9, 100%, $E$9)</f>
        <v>7.3250999999999999</v>
      </c>
      <c r="K129" s="11">
        <f>7.3293 * CHOOSE(CONTROL!$C$32, $C$9, 100%, $E$9)</f>
        <v>7.3292999999999999</v>
      </c>
      <c r="L129" s="11">
        <f>4.4277 * CHOOSE(CONTROL!$C$32, $C$9, 100%, $E$9)</f>
        <v>4.4276999999999997</v>
      </c>
      <c r="M129" s="11">
        <f>4.4319 * CHOOSE(CONTROL!$C$32, $C$9, 100%, $E$9)</f>
        <v>4.4318999999999997</v>
      </c>
      <c r="N129" s="11">
        <f>4.4277 * CHOOSE(CONTROL!$C$32, $C$9, 100%, $E$9)</f>
        <v>4.4276999999999997</v>
      </c>
      <c r="O129" s="11">
        <f>4.4319 * CHOOSE(CONTROL!$C$32, $C$9, 100%, $E$9)</f>
        <v>4.4318999999999997</v>
      </c>
      <c r="P129" s="14"/>
      <c r="Q129" s="14"/>
      <c r="R129" s="14"/>
    </row>
    <row r="130" spans="1:18" ht="15" x14ac:dyDescent="0.2">
      <c r="A130" s="13">
        <v>44805</v>
      </c>
      <c r="B130" s="9">
        <f>3.4765 * CHOOSE(CONTROL!$C$32, $C$9, 100%, $E$9)</f>
        <v>3.4765000000000001</v>
      </c>
      <c r="C130" s="9">
        <f>3.4765 * CHOOSE(CONTROL!$C$32, $C$9, 100%, $E$9)</f>
        <v>3.4765000000000001</v>
      </c>
      <c r="D130" s="9">
        <f>3.4778 * CHOOSE(CONTROL!$C$32, $C$9, 100%, $E$9)</f>
        <v>3.4777999999999998</v>
      </c>
      <c r="E130" s="11">
        <f>4.4257 * CHOOSE(CONTROL!$C$32, $C$9, 100%, $E$9)</f>
        <v>4.4257</v>
      </c>
      <c r="F130" s="11">
        <f>4.4257 * CHOOSE(CONTROL!$C$32, $C$9, 100%, $E$9)</f>
        <v>4.4257</v>
      </c>
      <c r="G130" s="11">
        <f>4.4299 * CHOOSE(CONTROL!$C$32, $C$9, 100%, $E$9)</f>
        <v>4.4298999999999999</v>
      </c>
      <c r="H130" s="11">
        <f>7.3403 * CHOOSE(CONTROL!$C$32, $C$9, 100%, $E$9)</f>
        <v>7.3403</v>
      </c>
      <c r="I130" s="11">
        <f>7.3445 * CHOOSE(CONTROL!$C$32, $C$9, 100%, $E$9)</f>
        <v>7.3445</v>
      </c>
      <c r="J130" s="11">
        <f>7.3403 * CHOOSE(CONTROL!$C$32, $C$9, 100%, $E$9)</f>
        <v>7.3403</v>
      </c>
      <c r="K130" s="11">
        <f>7.3445 * CHOOSE(CONTROL!$C$32, $C$9, 100%, $E$9)</f>
        <v>7.3445</v>
      </c>
      <c r="L130" s="11">
        <f>4.4257 * CHOOSE(CONTROL!$C$32, $C$9, 100%, $E$9)</f>
        <v>4.4257</v>
      </c>
      <c r="M130" s="11">
        <f>4.4299 * CHOOSE(CONTROL!$C$32, $C$9, 100%, $E$9)</f>
        <v>4.4298999999999999</v>
      </c>
      <c r="N130" s="11">
        <f>4.4257 * CHOOSE(CONTROL!$C$32, $C$9, 100%, $E$9)</f>
        <v>4.4257</v>
      </c>
      <c r="O130" s="11">
        <f>4.4299 * CHOOSE(CONTROL!$C$32, $C$9, 100%, $E$9)</f>
        <v>4.4298999999999999</v>
      </c>
      <c r="P130" s="14"/>
      <c r="Q130" s="14"/>
      <c r="R130" s="14"/>
    </row>
    <row r="131" spans="1:18" ht="15" x14ac:dyDescent="0.2">
      <c r="A131" s="13">
        <v>44835</v>
      </c>
      <c r="B131" s="9">
        <f>3.4698 * CHOOSE(CONTROL!$C$32, $C$9, 100%, $E$9)</f>
        <v>3.4698000000000002</v>
      </c>
      <c r="C131" s="9">
        <f>3.4698 * CHOOSE(CONTROL!$C$32, $C$9, 100%, $E$9)</f>
        <v>3.4698000000000002</v>
      </c>
      <c r="D131" s="9">
        <f>3.4707 * CHOOSE(CONTROL!$C$32, $C$9, 100%, $E$9)</f>
        <v>3.4706999999999999</v>
      </c>
      <c r="E131" s="11">
        <f>4.4195 * CHOOSE(CONTROL!$C$32, $C$9, 100%, $E$9)</f>
        <v>4.4195000000000002</v>
      </c>
      <c r="F131" s="11">
        <f>4.4195 * CHOOSE(CONTROL!$C$32, $C$9, 100%, $E$9)</f>
        <v>4.4195000000000002</v>
      </c>
      <c r="G131" s="11">
        <f>4.4228 * CHOOSE(CONTROL!$C$32, $C$9, 100%, $E$9)</f>
        <v>4.4227999999999996</v>
      </c>
      <c r="H131" s="11">
        <f>7.3556 * CHOOSE(CONTROL!$C$32, $C$9, 100%, $E$9)</f>
        <v>7.3555999999999999</v>
      </c>
      <c r="I131" s="11">
        <f>7.3589 * CHOOSE(CONTROL!$C$32, $C$9, 100%, $E$9)</f>
        <v>7.3589000000000002</v>
      </c>
      <c r="J131" s="11">
        <f>7.3556 * CHOOSE(CONTROL!$C$32, $C$9, 100%, $E$9)</f>
        <v>7.3555999999999999</v>
      </c>
      <c r="K131" s="11">
        <f>7.3589 * CHOOSE(CONTROL!$C$32, $C$9, 100%, $E$9)</f>
        <v>7.3589000000000002</v>
      </c>
      <c r="L131" s="11">
        <f>4.4195 * CHOOSE(CONTROL!$C$32, $C$9, 100%, $E$9)</f>
        <v>4.4195000000000002</v>
      </c>
      <c r="M131" s="11">
        <f>4.4228 * CHOOSE(CONTROL!$C$32, $C$9, 100%, $E$9)</f>
        <v>4.4227999999999996</v>
      </c>
      <c r="N131" s="11">
        <f>4.4195 * CHOOSE(CONTROL!$C$32, $C$9, 100%, $E$9)</f>
        <v>4.4195000000000002</v>
      </c>
      <c r="O131" s="11">
        <f>4.4228 * CHOOSE(CONTROL!$C$32, $C$9, 100%, $E$9)</f>
        <v>4.4227999999999996</v>
      </c>
      <c r="P131" s="14"/>
      <c r="Q131" s="14"/>
      <c r="R131" s="14"/>
    </row>
    <row r="132" spans="1:18" ht="15" x14ac:dyDescent="0.2">
      <c r="A132" s="13">
        <v>44866</v>
      </c>
      <c r="B132" s="9">
        <f>3.4728 * CHOOSE(CONTROL!$C$32, $C$9, 100%, $E$9)</f>
        <v>3.4727999999999999</v>
      </c>
      <c r="C132" s="9">
        <f>3.4728 * CHOOSE(CONTROL!$C$32, $C$9, 100%, $E$9)</f>
        <v>3.4727999999999999</v>
      </c>
      <c r="D132" s="9">
        <f>3.4738 * CHOOSE(CONTROL!$C$32, $C$9, 100%, $E$9)</f>
        <v>3.4738000000000002</v>
      </c>
      <c r="E132" s="11">
        <f>4.4215 * CHOOSE(CONTROL!$C$32, $C$9, 100%, $E$9)</f>
        <v>4.4215</v>
      </c>
      <c r="F132" s="11">
        <f>4.4215 * CHOOSE(CONTROL!$C$32, $C$9, 100%, $E$9)</f>
        <v>4.4215</v>
      </c>
      <c r="G132" s="11">
        <f>4.4248 * CHOOSE(CONTROL!$C$32, $C$9, 100%, $E$9)</f>
        <v>4.4248000000000003</v>
      </c>
      <c r="H132" s="11">
        <f>7.371 * CHOOSE(CONTROL!$C$32, $C$9, 100%, $E$9)</f>
        <v>7.3710000000000004</v>
      </c>
      <c r="I132" s="11">
        <f>7.3742 * CHOOSE(CONTROL!$C$32, $C$9, 100%, $E$9)</f>
        <v>7.3742000000000001</v>
      </c>
      <c r="J132" s="11">
        <f>7.371 * CHOOSE(CONTROL!$C$32, $C$9, 100%, $E$9)</f>
        <v>7.3710000000000004</v>
      </c>
      <c r="K132" s="11">
        <f>7.3742 * CHOOSE(CONTROL!$C$32, $C$9, 100%, $E$9)</f>
        <v>7.3742000000000001</v>
      </c>
      <c r="L132" s="11">
        <f>4.4215 * CHOOSE(CONTROL!$C$32, $C$9, 100%, $E$9)</f>
        <v>4.4215</v>
      </c>
      <c r="M132" s="11">
        <f>4.4248 * CHOOSE(CONTROL!$C$32, $C$9, 100%, $E$9)</f>
        <v>4.4248000000000003</v>
      </c>
      <c r="N132" s="11">
        <f>4.4215 * CHOOSE(CONTROL!$C$32, $C$9, 100%, $E$9)</f>
        <v>4.4215</v>
      </c>
      <c r="O132" s="11">
        <f>4.4248 * CHOOSE(CONTROL!$C$32, $C$9, 100%, $E$9)</f>
        <v>4.4248000000000003</v>
      </c>
      <c r="P132" s="14"/>
      <c r="Q132" s="14"/>
      <c r="R132" s="14"/>
    </row>
    <row r="133" spans="1:18" ht="15" x14ac:dyDescent="0.2">
      <c r="A133" s="13">
        <v>44896</v>
      </c>
      <c r="B133" s="9">
        <f>3.4728 * CHOOSE(CONTROL!$C$32, $C$9, 100%, $E$9)</f>
        <v>3.4727999999999999</v>
      </c>
      <c r="C133" s="9">
        <f>3.4728 * CHOOSE(CONTROL!$C$32, $C$9, 100%, $E$9)</f>
        <v>3.4727999999999999</v>
      </c>
      <c r="D133" s="9">
        <f>3.4738 * CHOOSE(CONTROL!$C$32, $C$9, 100%, $E$9)</f>
        <v>3.4738000000000002</v>
      </c>
      <c r="E133" s="11">
        <f>4.4215 * CHOOSE(CONTROL!$C$32, $C$9, 100%, $E$9)</f>
        <v>4.4215</v>
      </c>
      <c r="F133" s="11">
        <f>4.4215 * CHOOSE(CONTROL!$C$32, $C$9, 100%, $E$9)</f>
        <v>4.4215</v>
      </c>
      <c r="G133" s="11">
        <f>4.4248 * CHOOSE(CONTROL!$C$32, $C$9, 100%, $E$9)</f>
        <v>4.4248000000000003</v>
      </c>
      <c r="H133" s="11">
        <f>7.3863 * CHOOSE(CONTROL!$C$32, $C$9, 100%, $E$9)</f>
        <v>7.3863000000000003</v>
      </c>
      <c r="I133" s="11">
        <f>7.3895 * CHOOSE(CONTROL!$C$32, $C$9, 100%, $E$9)</f>
        <v>7.3895</v>
      </c>
      <c r="J133" s="11">
        <f>7.3863 * CHOOSE(CONTROL!$C$32, $C$9, 100%, $E$9)</f>
        <v>7.3863000000000003</v>
      </c>
      <c r="K133" s="11">
        <f>7.3895 * CHOOSE(CONTROL!$C$32, $C$9, 100%, $E$9)</f>
        <v>7.3895</v>
      </c>
      <c r="L133" s="11">
        <f>4.4215 * CHOOSE(CONTROL!$C$32, $C$9, 100%, $E$9)</f>
        <v>4.4215</v>
      </c>
      <c r="M133" s="11">
        <f>4.4248 * CHOOSE(CONTROL!$C$32, $C$9, 100%, $E$9)</f>
        <v>4.4248000000000003</v>
      </c>
      <c r="N133" s="11">
        <f>4.4215 * CHOOSE(CONTROL!$C$32, $C$9, 100%, $E$9)</f>
        <v>4.4215</v>
      </c>
      <c r="O133" s="11">
        <f>4.4248 * CHOOSE(CONTROL!$C$32, $C$9, 100%, $E$9)</f>
        <v>4.4248000000000003</v>
      </c>
      <c r="P133" s="14"/>
      <c r="Q133" s="14"/>
      <c r="R133" s="14"/>
    </row>
    <row r="134" spans="1:18" ht="15" x14ac:dyDescent="0.2">
      <c r="A134" s="13">
        <v>44927</v>
      </c>
      <c r="B134" s="9">
        <f>3.5089 * CHOOSE(CONTROL!$C$32, $C$9, 100%, $E$9)</f>
        <v>3.5089000000000001</v>
      </c>
      <c r="C134" s="9">
        <f>3.5089 * CHOOSE(CONTROL!$C$32, $C$9, 100%, $E$9)</f>
        <v>3.5089000000000001</v>
      </c>
      <c r="D134" s="9">
        <f>3.5098 * CHOOSE(CONTROL!$C$32, $C$9, 100%, $E$9)</f>
        <v>3.5097999999999998</v>
      </c>
      <c r="E134" s="11">
        <f>4.4558 * CHOOSE(CONTROL!$C$32, $C$9, 100%, $E$9)</f>
        <v>4.4558</v>
      </c>
      <c r="F134" s="11">
        <f>4.4558 * CHOOSE(CONTROL!$C$32, $C$9, 100%, $E$9)</f>
        <v>4.4558</v>
      </c>
      <c r="G134" s="11">
        <f>4.459 * CHOOSE(CONTROL!$C$32, $C$9, 100%, $E$9)</f>
        <v>4.4589999999999996</v>
      </c>
      <c r="H134" s="11">
        <f>7.4017 * CHOOSE(CONTROL!$C$32, $C$9, 100%, $E$9)</f>
        <v>7.4016999999999999</v>
      </c>
      <c r="I134" s="11">
        <f>7.4049 * CHOOSE(CONTROL!$C$32, $C$9, 100%, $E$9)</f>
        <v>7.4048999999999996</v>
      </c>
      <c r="J134" s="11">
        <f>7.4017 * CHOOSE(CONTROL!$C$32, $C$9, 100%, $E$9)</f>
        <v>7.4016999999999999</v>
      </c>
      <c r="K134" s="11">
        <f>7.4049 * CHOOSE(CONTROL!$C$32, $C$9, 100%, $E$9)</f>
        <v>7.4048999999999996</v>
      </c>
      <c r="L134" s="11">
        <f>4.4558 * CHOOSE(CONTROL!$C$32, $C$9, 100%, $E$9)</f>
        <v>4.4558</v>
      </c>
      <c r="M134" s="11">
        <f>4.459 * CHOOSE(CONTROL!$C$32, $C$9, 100%, $E$9)</f>
        <v>4.4589999999999996</v>
      </c>
      <c r="N134" s="11">
        <f>4.4558 * CHOOSE(CONTROL!$C$32, $C$9, 100%, $E$9)</f>
        <v>4.4558</v>
      </c>
      <c r="O134" s="11">
        <f>4.459 * CHOOSE(CONTROL!$C$32, $C$9, 100%, $E$9)</f>
        <v>4.4589999999999996</v>
      </c>
      <c r="P134" s="14"/>
      <c r="Q134" s="14"/>
      <c r="R134" s="14"/>
    </row>
    <row r="135" spans="1:18" ht="15" x14ac:dyDescent="0.2">
      <c r="A135" s="13">
        <v>44958</v>
      </c>
      <c r="B135" s="9">
        <f>3.5058 * CHOOSE(CONTROL!$C$32, $C$9, 100%, $E$9)</f>
        <v>3.5057999999999998</v>
      </c>
      <c r="C135" s="9">
        <f>3.5058 * CHOOSE(CONTROL!$C$32, $C$9, 100%, $E$9)</f>
        <v>3.5057999999999998</v>
      </c>
      <c r="D135" s="9">
        <f>3.5068 * CHOOSE(CONTROL!$C$32, $C$9, 100%, $E$9)</f>
        <v>3.5068000000000001</v>
      </c>
      <c r="E135" s="11">
        <f>4.4538 * CHOOSE(CONTROL!$C$32, $C$9, 100%, $E$9)</f>
        <v>4.4538000000000002</v>
      </c>
      <c r="F135" s="11">
        <f>4.4538 * CHOOSE(CONTROL!$C$32, $C$9, 100%, $E$9)</f>
        <v>4.4538000000000002</v>
      </c>
      <c r="G135" s="11">
        <f>4.457 * CHOOSE(CONTROL!$C$32, $C$9, 100%, $E$9)</f>
        <v>4.4569999999999999</v>
      </c>
      <c r="H135" s="11">
        <f>7.4171 * CHOOSE(CONTROL!$C$32, $C$9, 100%, $E$9)</f>
        <v>7.4170999999999996</v>
      </c>
      <c r="I135" s="11">
        <f>7.4203 * CHOOSE(CONTROL!$C$32, $C$9, 100%, $E$9)</f>
        <v>7.4203000000000001</v>
      </c>
      <c r="J135" s="11">
        <f>7.4171 * CHOOSE(CONTROL!$C$32, $C$9, 100%, $E$9)</f>
        <v>7.4170999999999996</v>
      </c>
      <c r="K135" s="11">
        <f>7.4203 * CHOOSE(CONTROL!$C$32, $C$9, 100%, $E$9)</f>
        <v>7.4203000000000001</v>
      </c>
      <c r="L135" s="11">
        <f>4.4538 * CHOOSE(CONTROL!$C$32, $C$9, 100%, $E$9)</f>
        <v>4.4538000000000002</v>
      </c>
      <c r="M135" s="11">
        <f>4.457 * CHOOSE(CONTROL!$C$32, $C$9, 100%, $E$9)</f>
        <v>4.4569999999999999</v>
      </c>
      <c r="N135" s="11">
        <f>4.4538 * CHOOSE(CONTROL!$C$32, $C$9, 100%, $E$9)</f>
        <v>4.4538000000000002</v>
      </c>
      <c r="O135" s="11">
        <f>4.457 * CHOOSE(CONTROL!$C$32, $C$9, 100%, $E$9)</f>
        <v>4.4569999999999999</v>
      </c>
      <c r="P135" s="14"/>
      <c r="Q135" s="14"/>
      <c r="R135" s="14"/>
    </row>
    <row r="136" spans="1:18" ht="15" x14ac:dyDescent="0.2">
      <c r="A136" s="13">
        <v>44986</v>
      </c>
      <c r="B136" s="9">
        <f>3.5028 * CHOOSE(CONTROL!$C$32, $C$9, 100%, $E$9)</f>
        <v>3.5028000000000001</v>
      </c>
      <c r="C136" s="9">
        <f>3.5028 * CHOOSE(CONTROL!$C$32, $C$9, 100%, $E$9)</f>
        <v>3.5028000000000001</v>
      </c>
      <c r="D136" s="9">
        <f>3.5038 * CHOOSE(CONTROL!$C$32, $C$9, 100%, $E$9)</f>
        <v>3.5038</v>
      </c>
      <c r="E136" s="11">
        <f>4.4518 * CHOOSE(CONTROL!$C$32, $C$9, 100%, $E$9)</f>
        <v>4.4518000000000004</v>
      </c>
      <c r="F136" s="11">
        <f>4.4518 * CHOOSE(CONTROL!$C$32, $C$9, 100%, $E$9)</f>
        <v>4.4518000000000004</v>
      </c>
      <c r="G136" s="11">
        <f>4.455 * CHOOSE(CONTROL!$C$32, $C$9, 100%, $E$9)</f>
        <v>4.4550000000000001</v>
      </c>
      <c r="H136" s="11">
        <f>7.4326 * CHOOSE(CONTROL!$C$32, $C$9, 100%, $E$9)</f>
        <v>7.4325999999999999</v>
      </c>
      <c r="I136" s="11">
        <f>7.4358 * CHOOSE(CONTROL!$C$32, $C$9, 100%, $E$9)</f>
        <v>7.4358000000000004</v>
      </c>
      <c r="J136" s="11">
        <f>7.4326 * CHOOSE(CONTROL!$C$32, $C$9, 100%, $E$9)</f>
        <v>7.4325999999999999</v>
      </c>
      <c r="K136" s="11">
        <f>7.4358 * CHOOSE(CONTROL!$C$32, $C$9, 100%, $E$9)</f>
        <v>7.4358000000000004</v>
      </c>
      <c r="L136" s="11">
        <f>4.4518 * CHOOSE(CONTROL!$C$32, $C$9, 100%, $E$9)</f>
        <v>4.4518000000000004</v>
      </c>
      <c r="M136" s="11">
        <f>4.455 * CHOOSE(CONTROL!$C$32, $C$9, 100%, $E$9)</f>
        <v>4.4550000000000001</v>
      </c>
      <c r="N136" s="11">
        <f>4.4518 * CHOOSE(CONTROL!$C$32, $C$9, 100%, $E$9)</f>
        <v>4.4518000000000004</v>
      </c>
      <c r="O136" s="11">
        <f>4.455 * CHOOSE(CONTROL!$C$32, $C$9, 100%, $E$9)</f>
        <v>4.4550000000000001</v>
      </c>
      <c r="P136" s="14"/>
      <c r="Q136" s="14"/>
      <c r="R136" s="14"/>
    </row>
    <row r="137" spans="1:18" ht="15" x14ac:dyDescent="0.2">
      <c r="A137" s="13">
        <v>45017</v>
      </c>
      <c r="B137" s="9">
        <f>3.5 * CHOOSE(CONTROL!$C$32, $C$9, 100%, $E$9)</f>
        <v>3.5</v>
      </c>
      <c r="C137" s="9">
        <f>3.5 * CHOOSE(CONTROL!$C$32, $C$9, 100%, $E$9)</f>
        <v>3.5</v>
      </c>
      <c r="D137" s="9">
        <f>3.501 * CHOOSE(CONTROL!$C$32, $C$9, 100%, $E$9)</f>
        <v>3.5009999999999999</v>
      </c>
      <c r="E137" s="11">
        <f>4.4495 * CHOOSE(CONTROL!$C$32, $C$9, 100%, $E$9)</f>
        <v>4.4494999999999996</v>
      </c>
      <c r="F137" s="11">
        <f>4.4495 * CHOOSE(CONTROL!$C$32, $C$9, 100%, $E$9)</f>
        <v>4.4494999999999996</v>
      </c>
      <c r="G137" s="11">
        <f>4.4527 * CHOOSE(CONTROL!$C$32, $C$9, 100%, $E$9)</f>
        <v>4.4527000000000001</v>
      </c>
      <c r="H137" s="11">
        <f>7.4481 * CHOOSE(CONTROL!$C$32, $C$9, 100%, $E$9)</f>
        <v>7.4481000000000002</v>
      </c>
      <c r="I137" s="11">
        <f>7.4513 * CHOOSE(CONTROL!$C$32, $C$9, 100%, $E$9)</f>
        <v>7.4512999999999998</v>
      </c>
      <c r="J137" s="11">
        <f>7.4481 * CHOOSE(CONTROL!$C$32, $C$9, 100%, $E$9)</f>
        <v>7.4481000000000002</v>
      </c>
      <c r="K137" s="11">
        <f>7.4513 * CHOOSE(CONTROL!$C$32, $C$9, 100%, $E$9)</f>
        <v>7.4512999999999998</v>
      </c>
      <c r="L137" s="11">
        <f>4.4495 * CHOOSE(CONTROL!$C$32, $C$9, 100%, $E$9)</f>
        <v>4.4494999999999996</v>
      </c>
      <c r="M137" s="11">
        <f>4.4527 * CHOOSE(CONTROL!$C$32, $C$9, 100%, $E$9)</f>
        <v>4.4527000000000001</v>
      </c>
      <c r="N137" s="11">
        <f>4.4495 * CHOOSE(CONTROL!$C$32, $C$9, 100%, $E$9)</f>
        <v>4.4494999999999996</v>
      </c>
      <c r="O137" s="11">
        <f>4.4527 * CHOOSE(CONTROL!$C$32, $C$9, 100%, $E$9)</f>
        <v>4.4527000000000001</v>
      </c>
      <c r="P137" s="14"/>
      <c r="Q137" s="14"/>
      <c r="R137" s="14"/>
    </row>
    <row r="138" spans="1:18" ht="15" x14ac:dyDescent="0.2">
      <c r="A138" s="13">
        <v>45047</v>
      </c>
      <c r="B138" s="9">
        <f>3.5 * CHOOSE(CONTROL!$C$32, $C$9, 100%, $E$9)</f>
        <v>3.5</v>
      </c>
      <c r="C138" s="9">
        <f>3.5 * CHOOSE(CONTROL!$C$32, $C$9, 100%, $E$9)</f>
        <v>3.5</v>
      </c>
      <c r="D138" s="9">
        <f>3.5013 * CHOOSE(CONTROL!$C$32, $C$9, 100%, $E$9)</f>
        <v>3.5013000000000001</v>
      </c>
      <c r="E138" s="11">
        <f>4.4495 * CHOOSE(CONTROL!$C$32, $C$9, 100%, $E$9)</f>
        <v>4.4494999999999996</v>
      </c>
      <c r="F138" s="11">
        <f>4.4495 * CHOOSE(CONTROL!$C$32, $C$9, 100%, $E$9)</f>
        <v>4.4494999999999996</v>
      </c>
      <c r="G138" s="11">
        <f>4.4537 * CHOOSE(CONTROL!$C$32, $C$9, 100%, $E$9)</f>
        <v>4.4537000000000004</v>
      </c>
      <c r="H138" s="11">
        <f>7.4636 * CHOOSE(CONTROL!$C$32, $C$9, 100%, $E$9)</f>
        <v>7.4635999999999996</v>
      </c>
      <c r="I138" s="11">
        <f>7.4678 * CHOOSE(CONTROL!$C$32, $C$9, 100%, $E$9)</f>
        <v>7.4678000000000004</v>
      </c>
      <c r="J138" s="11">
        <f>7.4636 * CHOOSE(CONTROL!$C$32, $C$9, 100%, $E$9)</f>
        <v>7.4635999999999996</v>
      </c>
      <c r="K138" s="11">
        <f>7.4678 * CHOOSE(CONTROL!$C$32, $C$9, 100%, $E$9)</f>
        <v>7.4678000000000004</v>
      </c>
      <c r="L138" s="11">
        <f>4.4495 * CHOOSE(CONTROL!$C$32, $C$9, 100%, $E$9)</f>
        <v>4.4494999999999996</v>
      </c>
      <c r="M138" s="11">
        <f>4.4537 * CHOOSE(CONTROL!$C$32, $C$9, 100%, $E$9)</f>
        <v>4.4537000000000004</v>
      </c>
      <c r="N138" s="11">
        <f>4.4495 * CHOOSE(CONTROL!$C$32, $C$9, 100%, $E$9)</f>
        <v>4.4494999999999996</v>
      </c>
      <c r="O138" s="11">
        <f>4.4537 * CHOOSE(CONTROL!$C$32, $C$9, 100%, $E$9)</f>
        <v>4.4537000000000004</v>
      </c>
      <c r="P138" s="14"/>
      <c r="Q138" s="14"/>
      <c r="R138" s="14"/>
    </row>
    <row r="139" spans="1:18" ht="15" x14ac:dyDescent="0.2">
      <c r="A139" s="13">
        <v>45078</v>
      </c>
      <c r="B139" s="9">
        <f>3.5061 * CHOOSE(CONTROL!$C$32, $C$9, 100%, $E$9)</f>
        <v>3.5061</v>
      </c>
      <c r="C139" s="9">
        <f>3.5061 * CHOOSE(CONTROL!$C$32, $C$9, 100%, $E$9)</f>
        <v>3.5061</v>
      </c>
      <c r="D139" s="9">
        <f>3.5073 * CHOOSE(CONTROL!$C$32, $C$9, 100%, $E$9)</f>
        <v>3.5072999999999999</v>
      </c>
      <c r="E139" s="11">
        <f>4.4535 * CHOOSE(CONTROL!$C$32, $C$9, 100%, $E$9)</f>
        <v>4.4535</v>
      </c>
      <c r="F139" s="11">
        <f>4.4535 * CHOOSE(CONTROL!$C$32, $C$9, 100%, $E$9)</f>
        <v>4.4535</v>
      </c>
      <c r="G139" s="11">
        <f>4.4577 * CHOOSE(CONTROL!$C$32, $C$9, 100%, $E$9)</f>
        <v>4.4577</v>
      </c>
      <c r="H139" s="11">
        <f>7.4791 * CHOOSE(CONTROL!$C$32, $C$9, 100%, $E$9)</f>
        <v>7.4790999999999999</v>
      </c>
      <c r="I139" s="11">
        <f>7.4833 * CHOOSE(CONTROL!$C$32, $C$9, 100%, $E$9)</f>
        <v>7.4832999999999998</v>
      </c>
      <c r="J139" s="11">
        <f>7.4791 * CHOOSE(CONTROL!$C$32, $C$9, 100%, $E$9)</f>
        <v>7.4790999999999999</v>
      </c>
      <c r="K139" s="11">
        <f>7.4833 * CHOOSE(CONTROL!$C$32, $C$9, 100%, $E$9)</f>
        <v>7.4832999999999998</v>
      </c>
      <c r="L139" s="11">
        <f>4.4535 * CHOOSE(CONTROL!$C$32, $C$9, 100%, $E$9)</f>
        <v>4.4535</v>
      </c>
      <c r="M139" s="11">
        <f>4.4577 * CHOOSE(CONTROL!$C$32, $C$9, 100%, $E$9)</f>
        <v>4.4577</v>
      </c>
      <c r="N139" s="11">
        <f>4.4535 * CHOOSE(CONTROL!$C$32, $C$9, 100%, $E$9)</f>
        <v>4.4535</v>
      </c>
      <c r="O139" s="11">
        <f>4.4577 * CHOOSE(CONTROL!$C$32, $C$9, 100%, $E$9)</f>
        <v>4.4577</v>
      </c>
      <c r="P139" s="14"/>
      <c r="Q139" s="14"/>
      <c r="R139" s="14"/>
    </row>
    <row r="140" spans="1:18" ht="15" x14ac:dyDescent="0.2">
      <c r="A140" s="13">
        <v>45108</v>
      </c>
      <c r="B140" s="9">
        <f>3.5764 * CHOOSE(CONTROL!$C$32, $C$9, 100%, $E$9)</f>
        <v>3.5764</v>
      </c>
      <c r="C140" s="9">
        <f>3.5764 * CHOOSE(CONTROL!$C$32, $C$9, 100%, $E$9)</f>
        <v>3.5764</v>
      </c>
      <c r="D140" s="9">
        <f>3.5776 * CHOOSE(CONTROL!$C$32, $C$9, 100%, $E$9)</f>
        <v>3.5775999999999999</v>
      </c>
      <c r="E140" s="11">
        <f>4.5283 * CHOOSE(CONTROL!$C$32, $C$9, 100%, $E$9)</f>
        <v>4.5282999999999998</v>
      </c>
      <c r="F140" s="11">
        <f>4.5283 * CHOOSE(CONTROL!$C$32, $C$9, 100%, $E$9)</f>
        <v>4.5282999999999998</v>
      </c>
      <c r="G140" s="11">
        <f>4.5325 * CHOOSE(CONTROL!$C$32, $C$9, 100%, $E$9)</f>
        <v>4.5324999999999998</v>
      </c>
      <c r="H140" s="11">
        <f>7.4947 * CHOOSE(CONTROL!$C$32, $C$9, 100%, $E$9)</f>
        <v>7.4946999999999999</v>
      </c>
      <c r="I140" s="11">
        <f>7.4989 * CHOOSE(CONTROL!$C$32, $C$9, 100%, $E$9)</f>
        <v>7.4988999999999999</v>
      </c>
      <c r="J140" s="11">
        <f>7.4947 * CHOOSE(CONTROL!$C$32, $C$9, 100%, $E$9)</f>
        <v>7.4946999999999999</v>
      </c>
      <c r="K140" s="11">
        <f>7.4989 * CHOOSE(CONTROL!$C$32, $C$9, 100%, $E$9)</f>
        <v>7.4988999999999999</v>
      </c>
      <c r="L140" s="11">
        <f>4.5283 * CHOOSE(CONTROL!$C$32, $C$9, 100%, $E$9)</f>
        <v>4.5282999999999998</v>
      </c>
      <c r="M140" s="11">
        <f>4.5325 * CHOOSE(CONTROL!$C$32, $C$9, 100%, $E$9)</f>
        <v>4.5324999999999998</v>
      </c>
      <c r="N140" s="11">
        <f>4.5283 * CHOOSE(CONTROL!$C$32, $C$9, 100%, $E$9)</f>
        <v>4.5282999999999998</v>
      </c>
      <c r="O140" s="11">
        <f>4.5325 * CHOOSE(CONTROL!$C$32, $C$9, 100%, $E$9)</f>
        <v>4.5324999999999998</v>
      </c>
      <c r="P140" s="14"/>
      <c r="Q140" s="14"/>
      <c r="R140" s="14"/>
    </row>
    <row r="141" spans="1:18" ht="15" x14ac:dyDescent="0.2">
      <c r="A141" s="13">
        <v>45139</v>
      </c>
      <c r="B141" s="9">
        <f>3.5831 * CHOOSE(CONTROL!$C$32, $C$9, 100%, $E$9)</f>
        <v>3.5831</v>
      </c>
      <c r="C141" s="9">
        <f>3.5831 * CHOOSE(CONTROL!$C$32, $C$9, 100%, $E$9)</f>
        <v>3.5831</v>
      </c>
      <c r="D141" s="9">
        <f>3.5843 * CHOOSE(CONTROL!$C$32, $C$9, 100%, $E$9)</f>
        <v>3.5842999999999998</v>
      </c>
      <c r="E141" s="11">
        <f>4.5327 * CHOOSE(CONTROL!$C$32, $C$9, 100%, $E$9)</f>
        <v>4.5327000000000002</v>
      </c>
      <c r="F141" s="11">
        <f>4.5327 * CHOOSE(CONTROL!$C$32, $C$9, 100%, $E$9)</f>
        <v>4.5327000000000002</v>
      </c>
      <c r="G141" s="11">
        <f>4.5369 * CHOOSE(CONTROL!$C$32, $C$9, 100%, $E$9)</f>
        <v>4.5369000000000002</v>
      </c>
      <c r="H141" s="11">
        <f>7.5103 * CHOOSE(CONTROL!$C$32, $C$9, 100%, $E$9)</f>
        <v>7.5103</v>
      </c>
      <c r="I141" s="11">
        <f>7.5145 * CHOOSE(CONTROL!$C$32, $C$9, 100%, $E$9)</f>
        <v>7.5145</v>
      </c>
      <c r="J141" s="11">
        <f>7.5103 * CHOOSE(CONTROL!$C$32, $C$9, 100%, $E$9)</f>
        <v>7.5103</v>
      </c>
      <c r="K141" s="11">
        <f>7.5145 * CHOOSE(CONTROL!$C$32, $C$9, 100%, $E$9)</f>
        <v>7.5145</v>
      </c>
      <c r="L141" s="11">
        <f>4.5327 * CHOOSE(CONTROL!$C$32, $C$9, 100%, $E$9)</f>
        <v>4.5327000000000002</v>
      </c>
      <c r="M141" s="11">
        <f>4.5369 * CHOOSE(CONTROL!$C$32, $C$9, 100%, $E$9)</f>
        <v>4.5369000000000002</v>
      </c>
      <c r="N141" s="11">
        <f>4.5327 * CHOOSE(CONTROL!$C$32, $C$9, 100%, $E$9)</f>
        <v>4.5327000000000002</v>
      </c>
      <c r="O141" s="11">
        <f>4.5369 * CHOOSE(CONTROL!$C$32, $C$9, 100%, $E$9)</f>
        <v>4.5369000000000002</v>
      </c>
      <c r="P141" s="14"/>
      <c r="Q141" s="14"/>
      <c r="R141" s="14"/>
    </row>
    <row r="142" spans="1:18" ht="15" x14ac:dyDescent="0.2">
      <c r="A142" s="13">
        <v>45170</v>
      </c>
      <c r="B142" s="9">
        <f>3.58 * CHOOSE(CONTROL!$C$32, $C$9, 100%, $E$9)</f>
        <v>3.58</v>
      </c>
      <c r="C142" s="9">
        <f>3.58 * CHOOSE(CONTROL!$C$32, $C$9, 100%, $E$9)</f>
        <v>3.58</v>
      </c>
      <c r="D142" s="9">
        <f>3.5813 * CHOOSE(CONTROL!$C$32, $C$9, 100%, $E$9)</f>
        <v>3.5813000000000001</v>
      </c>
      <c r="E142" s="11">
        <f>4.5307 * CHOOSE(CONTROL!$C$32, $C$9, 100%, $E$9)</f>
        <v>4.5307000000000004</v>
      </c>
      <c r="F142" s="11">
        <f>4.5307 * CHOOSE(CONTROL!$C$32, $C$9, 100%, $E$9)</f>
        <v>4.5307000000000004</v>
      </c>
      <c r="G142" s="11">
        <f>4.5349 * CHOOSE(CONTROL!$C$32, $C$9, 100%, $E$9)</f>
        <v>4.5349000000000004</v>
      </c>
      <c r="H142" s="11">
        <f>7.526 * CHOOSE(CONTROL!$C$32, $C$9, 100%, $E$9)</f>
        <v>7.5259999999999998</v>
      </c>
      <c r="I142" s="11">
        <f>7.5302 * CHOOSE(CONTROL!$C$32, $C$9, 100%, $E$9)</f>
        <v>7.5301999999999998</v>
      </c>
      <c r="J142" s="11">
        <f>7.526 * CHOOSE(CONTROL!$C$32, $C$9, 100%, $E$9)</f>
        <v>7.5259999999999998</v>
      </c>
      <c r="K142" s="11">
        <f>7.5302 * CHOOSE(CONTROL!$C$32, $C$9, 100%, $E$9)</f>
        <v>7.5301999999999998</v>
      </c>
      <c r="L142" s="11">
        <f>4.5307 * CHOOSE(CONTROL!$C$32, $C$9, 100%, $E$9)</f>
        <v>4.5307000000000004</v>
      </c>
      <c r="M142" s="11">
        <f>4.5349 * CHOOSE(CONTROL!$C$32, $C$9, 100%, $E$9)</f>
        <v>4.5349000000000004</v>
      </c>
      <c r="N142" s="11">
        <f>4.5307 * CHOOSE(CONTROL!$C$32, $C$9, 100%, $E$9)</f>
        <v>4.5307000000000004</v>
      </c>
      <c r="O142" s="11">
        <f>4.5349 * CHOOSE(CONTROL!$C$32, $C$9, 100%, $E$9)</f>
        <v>4.5349000000000004</v>
      </c>
      <c r="P142" s="14"/>
      <c r="Q142" s="14"/>
      <c r="R142" s="14"/>
    </row>
    <row r="143" spans="1:18" ht="15" x14ac:dyDescent="0.2">
      <c r="A143" s="13">
        <v>45200</v>
      </c>
      <c r="B143" s="9">
        <f>3.5736 * CHOOSE(CONTROL!$C$32, $C$9, 100%, $E$9)</f>
        <v>3.5735999999999999</v>
      </c>
      <c r="C143" s="9">
        <f>3.5736 * CHOOSE(CONTROL!$C$32, $C$9, 100%, $E$9)</f>
        <v>3.5735999999999999</v>
      </c>
      <c r="D143" s="9">
        <f>3.5746 * CHOOSE(CONTROL!$C$32, $C$9, 100%, $E$9)</f>
        <v>3.5746000000000002</v>
      </c>
      <c r="E143" s="11">
        <f>4.5247 * CHOOSE(CONTROL!$C$32, $C$9, 100%, $E$9)</f>
        <v>4.5247000000000002</v>
      </c>
      <c r="F143" s="11">
        <f>4.5247 * CHOOSE(CONTROL!$C$32, $C$9, 100%, $E$9)</f>
        <v>4.5247000000000002</v>
      </c>
      <c r="G143" s="11">
        <f>4.5279 * CHOOSE(CONTROL!$C$32, $C$9, 100%, $E$9)</f>
        <v>4.5278999999999998</v>
      </c>
      <c r="H143" s="11">
        <f>7.5416 * CHOOSE(CONTROL!$C$32, $C$9, 100%, $E$9)</f>
        <v>7.5415999999999999</v>
      </c>
      <c r="I143" s="11">
        <f>7.5449 * CHOOSE(CONTROL!$C$32, $C$9, 100%, $E$9)</f>
        <v>7.5449000000000002</v>
      </c>
      <c r="J143" s="11">
        <f>7.5416 * CHOOSE(CONTROL!$C$32, $C$9, 100%, $E$9)</f>
        <v>7.5415999999999999</v>
      </c>
      <c r="K143" s="11">
        <f>7.5449 * CHOOSE(CONTROL!$C$32, $C$9, 100%, $E$9)</f>
        <v>7.5449000000000002</v>
      </c>
      <c r="L143" s="11">
        <f>4.5247 * CHOOSE(CONTROL!$C$32, $C$9, 100%, $E$9)</f>
        <v>4.5247000000000002</v>
      </c>
      <c r="M143" s="11">
        <f>4.5279 * CHOOSE(CONTROL!$C$32, $C$9, 100%, $E$9)</f>
        <v>4.5278999999999998</v>
      </c>
      <c r="N143" s="11">
        <f>4.5247 * CHOOSE(CONTROL!$C$32, $C$9, 100%, $E$9)</f>
        <v>4.5247000000000002</v>
      </c>
      <c r="O143" s="11">
        <f>4.5279 * CHOOSE(CONTROL!$C$32, $C$9, 100%, $E$9)</f>
        <v>4.5278999999999998</v>
      </c>
      <c r="P143" s="14"/>
      <c r="Q143" s="14"/>
      <c r="R143" s="14"/>
    </row>
    <row r="144" spans="1:18" ht="15" x14ac:dyDescent="0.2">
      <c r="A144" s="13">
        <v>45231</v>
      </c>
      <c r="B144" s="9">
        <f>3.5766 * CHOOSE(CONTROL!$C$32, $C$9, 100%, $E$9)</f>
        <v>3.5766</v>
      </c>
      <c r="C144" s="9">
        <f>3.5766 * CHOOSE(CONTROL!$C$32, $C$9, 100%, $E$9)</f>
        <v>3.5766</v>
      </c>
      <c r="D144" s="9">
        <f>3.5776 * CHOOSE(CONTROL!$C$32, $C$9, 100%, $E$9)</f>
        <v>3.5775999999999999</v>
      </c>
      <c r="E144" s="11">
        <f>4.5267 * CHOOSE(CONTROL!$C$32, $C$9, 100%, $E$9)</f>
        <v>4.5266999999999999</v>
      </c>
      <c r="F144" s="11">
        <f>4.5267 * CHOOSE(CONTROL!$C$32, $C$9, 100%, $E$9)</f>
        <v>4.5266999999999999</v>
      </c>
      <c r="G144" s="11">
        <f>4.5299 * CHOOSE(CONTROL!$C$32, $C$9, 100%, $E$9)</f>
        <v>4.5298999999999996</v>
      </c>
      <c r="H144" s="11">
        <f>7.5574 * CHOOSE(CONTROL!$C$32, $C$9, 100%, $E$9)</f>
        <v>7.5574000000000003</v>
      </c>
      <c r="I144" s="11">
        <f>7.5606 * CHOOSE(CONTROL!$C$32, $C$9, 100%, $E$9)</f>
        <v>7.5606</v>
      </c>
      <c r="J144" s="11">
        <f>7.5574 * CHOOSE(CONTROL!$C$32, $C$9, 100%, $E$9)</f>
        <v>7.5574000000000003</v>
      </c>
      <c r="K144" s="11">
        <f>7.5606 * CHOOSE(CONTROL!$C$32, $C$9, 100%, $E$9)</f>
        <v>7.5606</v>
      </c>
      <c r="L144" s="11">
        <f>4.5267 * CHOOSE(CONTROL!$C$32, $C$9, 100%, $E$9)</f>
        <v>4.5266999999999999</v>
      </c>
      <c r="M144" s="11">
        <f>4.5299 * CHOOSE(CONTROL!$C$32, $C$9, 100%, $E$9)</f>
        <v>4.5298999999999996</v>
      </c>
      <c r="N144" s="11">
        <f>4.5267 * CHOOSE(CONTROL!$C$32, $C$9, 100%, $E$9)</f>
        <v>4.5266999999999999</v>
      </c>
      <c r="O144" s="11">
        <f>4.5299 * CHOOSE(CONTROL!$C$32, $C$9, 100%, $E$9)</f>
        <v>4.5298999999999996</v>
      </c>
      <c r="P144" s="14"/>
      <c r="Q144" s="14"/>
      <c r="R144" s="14"/>
    </row>
    <row r="145" spans="1:18" ht="15" x14ac:dyDescent="0.2">
      <c r="A145" s="13">
        <v>45261</v>
      </c>
      <c r="B145" s="9">
        <f>3.5766 * CHOOSE(CONTROL!$C$32, $C$9, 100%, $E$9)</f>
        <v>3.5766</v>
      </c>
      <c r="C145" s="9">
        <f>3.5766 * CHOOSE(CONTROL!$C$32, $C$9, 100%, $E$9)</f>
        <v>3.5766</v>
      </c>
      <c r="D145" s="9">
        <f>3.5776 * CHOOSE(CONTROL!$C$32, $C$9, 100%, $E$9)</f>
        <v>3.5775999999999999</v>
      </c>
      <c r="E145" s="11">
        <f>4.5267 * CHOOSE(CONTROL!$C$32, $C$9, 100%, $E$9)</f>
        <v>4.5266999999999999</v>
      </c>
      <c r="F145" s="11">
        <f>4.5267 * CHOOSE(CONTROL!$C$32, $C$9, 100%, $E$9)</f>
        <v>4.5266999999999999</v>
      </c>
      <c r="G145" s="11">
        <f>4.5299 * CHOOSE(CONTROL!$C$32, $C$9, 100%, $E$9)</f>
        <v>4.5298999999999996</v>
      </c>
      <c r="H145" s="11">
        <f>7.5731 * CHOOSE(CONTROL!$C$32, $C$9, 100%, $E$9)</f>
        <v>7.5731000000000002</v>
      </c>
      <c r="I145" s="11">
        <f>7.5763 * CHOOSE(CONTROL!$C$32, $C$9, 100%, $E$9)</f>
        <v>7.5762999999999998</v>
      </c>
      <c r="J145" s="11">
        <f>7.5731 * CHOOSE(CONTROL!$C$32, $C$9, 100%, $E$9)</f>
        <v>7.5731000000000002</v>
      </c>
      <c r="K145" s="11">
        <f>7.5763 * CHOOSE(CONTROL!$C$32, $C$9, 100%, $E$9)</f>
        <v>7.5762999999999998</v>
      </c>
      <c r="L145" s="11">
        <f>4.5267 * CHOOSE(CONTROL!$C$32, $C$9, 100%, $E$9)</f>
        <v>4.5266999999999999</v>
      </c>
      <c r="M145" s="11">
        <f>4.5299 * CHOOSE(CONTROL!$C$32, $C$9, 100%, $E$9)</f>
        <v>4.5298999999999996</v>
      </c>
      <c r="N145" s="11">
        <f>4.5267 * CHOOSE(CONTROL!$C$32, $C$9, 100%, $E$9)</f>
        <v>4.5266999999999999</v>
      </c>
      <c r="O145" s="11">
        <f>4.5299 * CHOOSE(CONTROL!$C$32, $C$9, 100%, $E$9)</f>
        <v>4.5298999999999996</v>
      </c>
      <c r="P145" s="14"/>
      <c r="Q145" s="14"/>
      <c r="R145" s="14"/>
    </row>
    <row r="146" spans="1:18" ht="15" x14ac:dyDescent="0.2">
      <c r="A146" s="13">
        <v>45292</v>
      </c>
      <c r="B146" s="9">
        <f>3.6058 * CHOOSE(CONTROL!$C$32, $C$9, 100%, $E$9)</f>
        <v>3.6057999999999999</v>
      </c>
      <c r="C146" s="9">
        <f>3.6058 * CHOOSE(CONTROL!$C$32, $C$9, 100%, $E$9)</f>
        <v>3.6057999999999999</v>
      </c>
      <c r="D146" s="9">
        <f>3.6068 * CHOOSE(CONTROL!$C$32, $C$9, 100%, $E$9)</f>
        <v>3.6067999999999998</v>
      </c>
      <c r="E146" s="11">
        <f>4.5664 * CHOOSE(CONTROL!$C$32, $C$9, 100%, $E$9)</f>
        <v>4.5663999999999998</v>
      </c>
      <c r="F146" s="11">
        <f>4.5664 * CHOOSE(CONTROL!$C$32, $C$9, 100%, $E$9)</f>
        <v>4.5663999999999998</v>
      </c>
      <c r="G146" s="11">
        <f>4.5696 * CHOOSE(CONTROL!$C$32, $C$9, 100%, $E$9)</f>
        <v>4.5696000000000003</v>
      </c>
      <c r="H146" s="11">
        <f>7.5889 * CHOOSE(CONTROL!$C$32, $C$9, 100%, $E$9)</f>
        <v>7.5888999999999998</v>
      </c>
      <c r="I146" s="11">
        <f>7.5921 * CHOOSE(CONTROL!$C$32, $C$9, 100%, $E$9)</f>
        <v>7.5921000000000003</v>
      </c>
      <c r="J146" s="11">
        <f>7.5889 * CHOOSE(CONTROL!$C$32, $C$9, 100%, $E$9)</f>
        <v>7.5888999999999998</v>
      </c>
      <c r="K146" s="11">
        <f>7.5921 * CHOOSE(CONTROL!$C$32, $C$9, 100%, $E$9)</f>
        <v>7.5921000000000003</v>
      </c>
      <c r="L146" s="11">
        <f>4.5664 * CHOOSE(CONTROL!$C$32, $C$9, 100%, $E$9)</f>
        <v>4.5663999999999998</v>
      </c>
      <c r="M146" s="11">
        <f>4.5696 * CHOOSE(CONTROL!$C$32, $C$9, 100%, $E$9)</f>
        <v>4.5696000000000003</v>
      </c>
      <c r="N146" s="11">
        <f>4.5664 * CHOOSE(CONTROL!$C$32, $C$9, 100%, $E$9)</f>
        <v>4.5663999999999998</v>
      </c>
      <c r="O146" s="11">
        <f>4.5696 * CHOOSE(CONTROL!$C$32, $C$9, 100%, $E$9)</f>
        <v>4.5696000000000003</v>
      </c>
      <c r="P146" s="14"/>
      <c r="Q146" s="14"/>
      <c r="R146" s="14"/>
    </row>
    <row r="147" spans="1:18" ht="15" x14ac:dyDescent="0.2">
      <c r="A147" s="13">
        <v>45323</v>
      </c>
      <c r="B147" s="9">
        <f>3.6028 * CHOOSE(CONTROL!$C$32, $C$9, 100%, $E$9)</f>
        <v>3.6027999999999998</v>
      </c>
      <c r="C147" s="9">
        <f>3.6028 * CHOOSE(CONTROL!$C$32, $C$9, 100%, $E$9)</f>
        <v>3.6027999999999998</v>
      </c>
      <c r="D147" s="9">
        <f>3.6037 * CHOOSE(CONTROL!$C$32, $C$9, 100%, $E$9)</f>
        <v>3.6036999999999999</v>
      </c>
      <c r="E147" s="11">
        <f>4.5644 * CHOOSE(CONTROL!$C$32, $C$9, 100%, $E$9)</f>
        <v>4.5644</v>
      </c>
      <c r="F147" s="11">
        <f>4.5644 * CHOOSE(CONTROL!$C$32, $C$9, 100%, $E$9)</f>
        <v>4.5644</v>
      </c>
      <c r="G147" s="11">
        <f>4.5676 * CHOOSE(CONTROL!$C$32, $C$9, 100%, $E$9)</f>
        <v>4.5675999999999997</v>
      </c>
      <c r="H147" s="11">
        <f>7.6047 * CHOOSE(CONTROL!$C$32, $C$9, 100%, $E$9)</f>
        <v>7.6047000000000002</v>
      </c>
      <c r="I147" s="11">
        <f>7.6079 * CHOOSE(CONTROL!$C$32, $C$9, 100%, $E$9)</f>
        <v>7.6078999999999999</v>
      </c>
      <c r="J147" s="11">
        <f>7.6047 * CHOOSE(CONTROL!$C$32, $C$9, 100%, $E$9)</f>
        <v>7.6047000000000002</v>
      </c>
      <c r="K147" s="11">
        <f>7.6079 * CHOOSE(CONTROL!$C$32, $C$9, 100%, $E$9)</f>
        <v>7.6078999999999999</v>
      </c>
      <c r="L147" s="11">
        <f>4.5644 * CHOOSE(CONTROL!$C$32, $C$9, 100%, $E$9)</f>
        <v>4.5644</v>
      </c>
      <c r="M147" s="11">
        <f>4.5676 * CHOOSE(CONTROL!$C$32, $C$9, 100%, $E$9)</f>
        <v>4.5675999999999997</v>
      </c>
      <c r="N147" s="11">
        <f>4.5644 * CHOOSE(CONTROL!$C$32, $C$9, 100%, $E$9)</f>
        <v>4.5644</v>
      </c>
      <c r="O147" s="11">
        <f>4.5676 * CHOOSE(CONTROL!$C$32, $C$9, 100%, $E$9)</f>
        <v>4.5675999999999997</v>
      </c>
      <c r="P147" s="14"/>
      <c r="Q147" s="14"/>
      <c r="R147" s="14"/>
    </row>
    <row r="148" spans="1:18" ht="15" x14ac:dyDescent="0.2">
      <c r="A148" s="13">
        <v>45352</v>
      </c>
      <c r="B148" s="9">
        <f>3.5997 * CHOOSE(CONTROL!$C$32, $C$9, 100%, $E$9)</f>
        <v>3.5996999999999999</v>
      </c>
      <c r="C148" s="9">
        <f>3.5997 * CHOOSE(CONTROL!$C$32, $C$9, 100%, $E$9)</f>
        <v>3.5996999999999999</v>
      </c>
      <c r="D148" s="9">
        <f>3.6007 * CHOOSE(CONTROL!$C$32, $C$9, 100%, $E$9)</f>
        <v>3.6006999999999998</v>
      </c>
      <c r="E148" s="11">
        <f>4.5624 * CHOOSE(CONTROL!$C$32, $C$9, 100%, $E$9)</f>
        <v>4.5624000000000002</v>
      </c>
      <c r="F148" s="11">
        <f>4.5624 * CHOOSE(CONTROL!$C$32, $C$9, 100%, $E$9)</f>
        <v>4.5624000000000002</v>
      </c>
      <c r="G148" s="11">
        <f>4.5656 * CHOOSE(CONTROL!$C$32, $C$9, 100%, $E$9)</f>
        <v>4.5655999999999999</v>
      </c>
      <c r="H148" s="11">
        <f>7.6205 * CHOOSE(CONTROL!$C$32, $C$9, 100%, $E$9)</f>
        <v>7.6204999999999998</v>
      </c>
      <c r="I148" s="11">
        <f>7.6238 * CHOOSE(CONTROL!$C$32, $C$9, 100%, $E$9)</f>
        <v>7.6238000000000001</v>
      </c>
      <c r="J148" s="11">
        <f>7.6205 * CHOOSE(CONTROL!$C$32, $C$9, 100%, $E$9)</f>
        <v>7.6204999999999998</v>
      </c>
      <c r="K148" s="11">
        <f>7.6238 * CHOOSE(CONTROL!$C$32, $C$9, 100%, $E$9)</f>
        <v>7.6238000000000001</v>
      </c>
      <c r="L148" s="11">
        <f>4.5624 * CHOOSE(CONTROL!$C$32, $C$9, 100%, $E$9)</f>
        <v>4.5624000000000002</v>
      </c>
      <c r="M148" s="11">
        <f>4.5656 * CHOOSE(CONTROL!$C$32, $C$9, 100%, $E$9)</f>
        <v>4.5655999999999999</v>
      </c>
      <c r="N148" s="11">
        <f>4.5624 * CHOOSE(CONTROL!$C$32, $C$9, 100%, $E$9)</f>
        <v>4.5624000000000002</v>
      </c>
      <c r="O148" s="11">
        <f>4.5656 * CHOOSE(CONTROL!$C$32, $C$9, 100%, $E$9)</f>
        <v>4.5655999999999999</v>
      </c>
      <c r="P148" s="14"/>
      <c r="Q148" s="14"/>
      <c r="R148" s="14"/>
    </row>
    <row r="149" spans="1:18" ht="15" x14ac:dyDescent="0.2">
      <c r="A149" s="13">
        <v>45383</v>
      </c>
      <c r="B149" s="9">
        <f>3.597 * CHOOSE(CONTROL!$C$32, $C$9, 100%, $E$9)</f>
        <v>3.597</v>
      </c>
      <c r="C149" s="9">
        <f>3.597 * CHOOSE(CONTROL!$C$32, $C$9, 100%, $E$9)</f>
        <v>3.597</v>
      </c>
      <c r="D149" s="9">
        <f>3.598 * CHOOSE(CONTROL!$C$32, $C$9, 100%, $E$9)</f>
        <v>3.5979999999999999</v>
      </c>
      <c r="E149" s="11">
        <f>4.5602 * CHOOSE(CONTROL!$C$32, $C$9, 100%, $E$9)</f>
        <v>4.5602</v>
      </c>
      <c r="F149" s="11">
        <f>4.5602 * CHOOSE(CONTROL!$C$32, $C$9, 100%, $E$9)</f>
        <v>4.5602</v>
      </c>
      <c r="G149" s="11">
        <f>4.5634 * CHOOSE(CONTROL!$C$32, $C$9, 100%, $E$9)</f>
        <v>4.5633999999999997</v>
      </c>
      <c r="H149" s="11">
        <f>7.6364 * CHOOSE(CONTROL!$C$32, $C$9, 100%, $E$9)</f>
        <v>7.6364000000000001</v>
      </c>
      <c r="I149" s="11">
        <f>7.6396 * CHOOSE(CONTROL!$C$32, $C$9, 100%, $E$9)</f>
        <v>7.6395999999999997</v>
      </c>
      <c r="J149" s="11">
        <f>7.6364 * CHOOSE(CONTROL!$C$32, $C$9, 100%, $E$9)</f>
        <v>7.6364000000000001</v>
      </c>
      <c r="K149" s="11">
        <f>7.6396 * CHOOSE(CONTROL!$C$32, $C$9, 100%, $E$9)</f>
        <v>7.6395999999999997</v>
      </c>
      <c r="L149" s="11">
        <f>4.5602 * CHOOSE(CONTROL!$C$32, $C$9, 100%, $E$9)</f>
        <v>4.5602</v>
      </c>
      <c r="M149" s="11">
        <f>4.5634 * CHOOSE(CONTROL!$C$32, $C$9, 100%, $E$9)</f>
        <v>4.5633999999999997</v>
      </c>
      <c r="N149" s="11">
        <f>4.5602 * CHOOSE(CONTROL!$C$32, $C$9, 100%, $E$9)</f>
        <v>4.5602</v>
      </c>
      <c r="O149" s="11">
        <f>4.5634 * CHOOSE(CONTROL!$C$32, $C$9, 100%, $E$9)</f>
        <v>4.5633999999999997</v>
      </c>
      <c r="P149" s="14"/>
      <c r="Q149" s="14"/>
      <c r="R149" s="14"/>
    </row>
    <row r="150" spans="1:18" ht="15" x14ac:dyDescent="0.2">
      <c r="A150" s="13">
        <v>45413</v>
      </c>
      <c r="B150" s="9">
        <f>3.597 * CHOOSE(CONTROL!$C$32, $C$9, 100%, $E$9)</f>
        <v>3.597</v>
      </c>
      <c r="C150" s="9">
        <f>3.597 * CHOOSE(CONTROL!$C$32, $C$9, 100%, $E$9)</f>
        <v>3.597</v>
      </c>
      <c r="D150" s="9">
        <f>3.5983 * CHOOSE(CONTROL!$C$32, $C$9, 100%, $E$9)</f>
        <v>3.5983000000000001</v>
      </c>
      <c r="E150" s="11">
        <f>4.5602 * CHOOSE(CONTROL!$C$32, $C$9, 100%, $E$9)</f>
        <v>4.5602</v>
      </c>
      <c r="F150" s="11">
        <f>4.5602 * CHOOSE(CONTROL!$C$32, $C$9, 100%, $E$9)</f>
        <v>4.5602</v>
      </c>
      <c r="G150" s="11">
        <f>4.5644 * CHOOSE(CONTROL!$C$32, $C$9, 100%, $E$9)</f>
        <v>4.5644</v>
      </c>
      <c r="H150" s="11">
        <f>7.6523 * CHOOSE(CONTROL!$C$32, $C$9, 100%, $E$9)</f>
        <v>7.6523000000000003</v>
      </c>
      <c r="I150" s="11">
        <f>7.6565 * CHOOSE(CONTROL!$C$32, $C$9, 100%, $E$9)</f>
        <v>7.6565000000000003</v>
      </c>
      <c r="J150" s="11">
        <f>7.6523 * CHOOSE(CONTROL!$C$32, $C$9, 100%, $E$9)</f>
        <v>7.6523000000000003</v>
      </c>
      <c r="K150" s="11">
        <f>7.6565 * CHOOSE(CONTROL!$C$32, $C$9, 100%, $E$9)</f>
        <v>7.6565000000000003</v>
      </c>
      <c r="L150" s="11">
        <f>4.5602 * CHOOSE(CONTROL!$C$32, $C$9, 100%, $E$9)</f>
        <v>4.5602</v>
      </c>
      <c r="M150" s="11">
        <f>4.5644 * CHOOSE(CONTROL!$C$32, $C$9, 100%, $E$9)</f>
        <v>4.5644</v>
      </c>
      <c r="N150" s="11">
        <f>4.5602 * CHOOSE(CONTROL!$C$32, $C$9, 100%, $E$9)</f>
        <v>4.5602</v>
      </c>
      <c r="O150" s="11">
        <f>4.5644 * CHOOSE(CONTROL!$C$32, $C$9, 100%, $E$9)</f>
        <v>4.5644</v>
      </c>
      <c r="P150" s="14"/>
      <c r="Q150" s="14"/>
      <c r="R150" s="14"/>
    </row>
    <row r="151" spans="1:18" ht="15" x14ac:dyDescent="0.2">
      <c r="A151" s="13">
        <v>45444</v>
      </c>
      <c r="B151" s="9">
        <f>3.6031 * CHOOSE(CONTROL!$C$32, $C$9, 100%, $E$9)</f>
        <v>3.6031</v>
      </c>
      <c r="C151" s="9">
        <f>3.6031 * CHOOSE(CONTROL!$C$32, $C$9, 100%, $E$9)</f>
        <v>3.6031</v>
      </c>
      <c r="D151" s="9">
        <f>3.6044 * CHOOSE(CONTROL!$C$32, $C$9, 100%, $E$9)</f>
        <v>3.6044</v>
      </c>
      <c r="E151" s="11">
        <f>4.5642 * CHOOSE(CONTROL!$C$32, $C$9, 100%, $E$9)</f>
        <v>4.5641999999999996</v>
      </c>
      <c r="F151" s="11">
        <f>4.5642 * CHOOSE(CONTROL!$C$32, $C$9, 100%, $E$9)</f>
        <v>4.5641999999999996</v>
      </c>
      <c r="G151" s="11">
        <f>4.5684 * CHOOSE(CONTROL!$C$32, $C$9, 100%, $E$9)</f>
        <v>4.5683999999999996</v>
      </c>
      <c r="H151" s="11">
        <f>7.6683 * CHOOSE(CONTROL!$C$32, $C$9, 100%, $E$9)</f>
        <v>7.6683000000000003</v>
      </c>
      <c r="I151" s="11">
        <f>7.6725 * CHOOSE(CONTROL!$C$32, $C$9, 100%, $E$9)</f>
        <v>7.6725000000000003</v>
      </c>
      <c r="J151" s="11">
        <f>7.6683 * CHOOSE(CONTROL!$C$32, $C$9, 100%, $E$9)</f>
        <v>7.6683000000000003</v>
      </c>
      <c r="K151" s="11">
        <f>7.6725 * CHOOSE(CONTROL!$C$32, $C$9, 100%, $E$9)</f>
        <v>7.6725000000000003</v>
      </c>
      <c r="L151" s="11">
        <f>4.5642 * CHOOSE(CONTROL!$C$32, $C$9, 100%, $E$9)</f>
        <v>4.5641999999999996</v>
      </c>
      <c r="M151" s="11">
        <f>4.5684 * CHOOSE(CONTROL!$C$32, $C$9, 100%, $E$9)</f>
        <v>4.5683999999999996</v>
      </c>
      <c r="N151" s="11">
        <f>4.5642 * CHOOSE(CONTROL!$C$32, $C$9, 100%, $E$9)</f>
        <v>4.5641999999999996</v>
      </c>
      <c r="O151" s="11">
        <f>4.5684 * CHOOSE(CONTROL!$C$32, $C$9, 100%, $E$9)</f>
        <v>4.5683999999999996</v>
      </c>
      <c r="P151" s="14"/>
      <c r="Q151" s="14"/>
      <c r="R151" s="14"/>
    </row>
    <row r="152" spans="1:18" ht="15" x14ac:dyDescent="0.2">
      <c r="A152" s="13">
        <v>45474</v>
      </c>
      <c r="B152" s="9">
        <f>3.6559 * CHOOSE(CONTROL!$C$32, $C$9, 100%, $E$9)</f>
        <v>3.6558999999999999</v>
      </c>
      <c r="C152" s="9">
        <f>3.6559 * CHOOSE(CONTROL!$C$32, $C$9, 100%, $E$9)</f>
        <v>3.6558999999999999</v>
      </c>
      <c r="D152" s="9">
        <f>3.6571 * CHOOSE(CONTROL!$C$32, $C$9, 100%, $E$9)</f>
        <v>3.6570999999999998</v>
      </c>
      <c r="E152" s="11">
        <f>4.6521 * CHOOSE(CONTROL!$C$32, $C$9, 100%, $E$9)</f>
        <v>4.6520999999999999</v>
      </c>
      <c r="F152" s="11">
        <f>4.6521 * CHOOSE(CONTROL!$C$32, $C$9, 100%, $E$9)</f>
        <v>4.6520999999999999</v>
      </c>
      <c r="G152" s="11">
        <f>4.6563 * CHOOSE(CONTROL!$C$32, $C$9, 100%, $E$9)</f>
        <v>4.6562999999999999</v>
      </c>
      <c r="H152" s="11">
        <f>7.6842 * CHOOSE(CONTROL!$C$32, $C$9, 100%, $E$9)</f>
        <v>7.6841999999999997</v>
      </c>
      <c r="I152" s="11">
        <f>7.6884 * CHOOSE(CONTROL!$C$32, $C$9, 100%, $E$9)</f>
        <v>7.6883999999999997</v>
      </c>
      <c r="J152" s="11">
        <f>7.6842 * CHOOSE(CONTROL!$C$32, $C$9, 100%, $E$9)</f>
        <v>7.6841999999999997</v>
      </c>
      <c r="K152" s="11">
        <f>7.6884 * CHOOSE(CONTROL!$C$32, $C$9, 100%, $E$9)</f>
        <v>7.6883999999999997</v>
      </c>
      <c r="L152" s="11">
        <f>4.6521 * CHOOSE(CONTROL!$C$32, $C$9, 100%, $E$9)</f>
        <v>4.6520999999999999</v>
      </c>
      <c r="M152" s="11">
        <f>4.6563 * CHOOSE(CONTROL!$C$32, $C$9, 100%, $E$9)</f>
        <v>4.6562999999999999</v>
      </c>
      <c r="N152" s="11">
        <f>4.6521 * CHOOSE(CONTROL!$C$32, $C$9, 100%, $E$9)</f>
        <v>4.6520999999999999</v>
      </c>
      <c r="O152" s="11">
        <f>4.6563 * CHOOSE(CONTROL!$C$32, $C$9, 100%, $E$9)</f>
        <v>4.6562999999999999</v>
      </c>
      <c r="P152" s="14"/>
      <c r="Q152" s="14"/>
      <c r="R152" s="14"/>
    </row>
    <row r="153" spans="1:18" ht="15" x14ac:dyDescent="0.2">
      <c r="A153" s="13">
        <v>45505</v>
      </c>
      <c r="B153" s="9">
        <f>3.6626 * CHOOSE(CONTROL!$C$32, $C$9, 100%, $E$9)</f>
        <v>3.6625999999999999</v>
      </c>
      <c r="C153" s="9">
        <f>3.6626 * CHOOSE(CONTROL!$C$32, $C$9, 100%, $E$9)</f>
        <v>3.6625999999999999</v>
      </c>
      <c r="D153" s="9">
        <f>3.6638 * CHOOSE(CONTROL!$C$32, $C$9, 100%, $E$9)</f>
        <v>3.6638000000000002</v>
      </c>
      <c r="E153" s="11">
        <f>4.6565 * CHOOSE(CONTROL!$C$32, $C$9, 100%, $E$9)</f>
        <v>4.6565000000000003</v>
      </c>
      <c r="F153" s="11">
        <f>4.6565 * CHOOSE(CONTROL!$C$32, $C$9, 100%, $E$9)</f>
        <v>4.6565000000000003</v>
      </c>
      <c r="G153" s="11">
        <f>4.6607 * CHOOSE(CONTROL!$C$32, $C$9, 100%, $E$9)</f>
        <v>4.6607000000000003</v>
      </c>
      <c r="H153" s="11">
        <f>7.7002 * CHOOSE(CONTROL!$C$32, $C$9, 100%, $E$9)</f>
        <v>7.7001999999999997</v>
      </c>
      <c r="I153" s="11">
        <f>7.7044 * CHOOSE(CONTROL!$C$32, $C$9, 100%, $E$9)</f>
        <v>7.7043999999999997</v>
      </c>
      <c r="J153" s="11">
        <f>7.7002 * CHOOSE(CONTROL!$C$32, $C$9, 100%, $E$9)</f>
        <v>7.7001999999999997</v>
      </c>
      <c r="K153" s="11">
        <f>7.7044 * CHOOSE(CONTROL!$C$32, $C$9, 100%, $E$9)</f>
        <v>7.7043999999999997</v>
      </c>
      <c r="L153" s="11">
        <f>4.6565 * CHOOSE(CONTROL!$C$32, $C$9, 100%, $E$9)</f>
        <v>4.6565000000000003</v>
      </c>
      <c r="M153" s="11">
        <f>4.6607 * CHOOSE(CONTROL!$C$32, $C$9, 100%, $E$9)</f>
        <v>4.6607000000000003</v>
      </c>
      <c r="N153" s="11">
        <f>4.6565 * CHOOSE(CONTROL!$C$32, $C$9, 100%, $E$9)</f>
        <v>4.6565000000000003</v>
      </c>
      <c r="O153" s="11">
        <f>4.6607 * CHOOSE(CONTROL!$C$32, $C$9, 100%, $E$9)</f>
        <v>4.6607000000000003</v>
      </c>
      <c r="P153" s="14"/>
      <c r="Q153" s="14"/>
      <c r="R153" s="14"/>
    </row>
    <row r="154" spans="1:18" ht="15" x14ac:dyDescent="0.2">
      <c r="A154" s="13">
        <v>45536</v>
      </c>
      <c r="B154" s="9">
        <f>3.6595 * CHOOSE(CONTROL!$C$32, $C$9, 100%, $E$9)</f>
        <v>3.6595</v>
      </c>
      <c r="C154" s="9">
        <f>3.6595 * CHOOSE(CONTROL!$C$32, $C$9, 100%, $E$9)</f>
        <v>3.6595</v>
      </c>
      <c r="D154" s="9">
        <f>3.6608 * CHOOSE(CONTROL!$C$32, $C$9, 100%, $E$9)</f>
        <v>3.6608000000000001</v>
      </c>
      <c r="E154" s="11">
        <f>4.6545 * CHOOSE(CONTROL!$C$32, $C$9, 100%, $E$9)</f>
        <v>4.6544999999999996</v>
      </c>
      <c r="F154" s="11">
        <f>4.6545 * CHOOSE(CONTROL!$C$32, $C$9, 100%, $E$9)</f>
        <v>4.6544999999999996</v>
      </c>
      <c r="G154" s="11">
        <f>4.6587 * CHOOSE(CONTROL!$C$32, $C$9, 100%, $E$9)</f>
        <v>4.6586999999999996</v>
      </c>
      <c r="H154" s="11">
        <f>7.7163 * CHOOSE(CONTROL!$C$32, $C$9, 100%, $E$9)</f>
        <v>7.7163000000000004</v>
      </c>
      <c r="I154" s="11">
        <f>7.7205 * CHOOSE(CONTROL!$C$32, $C$9, 100%, $E$9)</f>
        <v>7.7205000000000004</v>
      </c>
      <c r="J154" s="11">
        <f>7.7163 * CHOOSE(CONTROL!$C$32, $C$9, 100%, $E$9)</f>
        <v>7.7163000000000004</v>
      </c>
      <c r="K154" s="11">
        <f>7.7205 * CHOOSE(CONTROL!$C$32, $C$9, 100%, $E$9)</f>
        <v>7.7205000000000004</v>
      </c>
      <c r="L154" s="11">
        <f>4.6545 * CHOOSE(CONTROL!$C$32, $C$9, 100%, $E$9)</f>
        <v>4.6544999999999996</v>
      </c>
      <c r="M154" s="11">
        <f>4.6587 * CHOOSE(CONTROL!$C$32, $C$9, 100%, $E$9)</f>
        <v>4.6586999999999996</v>
      </c>
      <c r="N154" s="11">
        <f>4.6545 * CHOOSE(CONTROL!$C$32, $C$9, 100%, $E$9)</f>
        <v>4.6544999999999996</v>
      </c>
      <c r="O154" s="11">
        <f>4.6587 * CHOOSE(CONTROL!$C$32, $C$9, 100%, $E$9)</f>
        <v>4.6586999999999996</v>
      </c>
      <c r="P154" s="14"/>
      <c r="Q154" s="14"/>
      <c r="R154" s="14"/>
    </row>
    <row r="155" spans="1:18" ht="15" x14ac:dyDescent="0.2">
      <c r="A155" s="13">
        <v>45566</v>
      </c>
      <c r="B155" s="9">
        <f>3.6534 * CHOOSE(CONTROL!$C$32, $C$9, 100%, $E$9)</f>
        <v>3.6534</v>
      </c>
      <c r="C155" s="9">
        <f>3.6534 * CHOOSE(CONTROL!$C$32, $C$9, 100%, $E$9)</f>
        <v>3.6534</v>
      </c>
      <c r="D155" s="9">
        <f>3.6544 * CHOOSE(CONTROL!$C$32, $C$9, 100%, $E$9)</f>
        <v>3.6543999999999999</v>
      </c>
      <c r="E155" s="11">
        <f>4.6486 * CHOOSE(CONTROL!$C$32, $C$9, 100%, $E$9)</f>
        <v>4.6486000000000001</v>
      </c>
      <c r="F155" s="11">
        <f>4.6486 * CHOOSE(CONTROL!$C$32, $C$9, 100%, $E$9)</f>
        <v>4.6486000000000001</v>
      </c>
      <c r="G155" s="11">
        <f>4.6518 * CHOOSE(CONTROL!$C$32, $C$9, 100%, $E$9)</f>
        <v>4.6517999999999997</v>
      </c>
      <c r="H155" s="11">
        <f>7.7324 * CHOOSE(CONTROL!$C$32, $C$9, 100%, $E$9)</f>
        <v>7.7324000000000002</v>
      </c>
      <c r="I155" s="11">
        <f>7.7356 * CHOOSE(CONTROL!$C$32, $C$9, 100%, $E$9)</f>
        <v>7.7355999999999998</v>
      </c>
      <c r="J155" s="11">
        <f>7.7324 * CHOOSE(CONTROL!$C$32, $C$9, 100%, $E$9)</f>
        <v>7.7324000000000002</v>
      </c>
      <c r="K155" s="11">
        <f>7.7356 * CHOOSE(CONTROL!$C$32, $C$9, 100%, $E$9)</f>
        <v>7.7355999999999998</v>
      </c>
      <c r="L155" s="11">
        <f>4.6486 * CHOOSE(CONTROL!$C$32, $C$9, 100%, $E$9)</f>
        <v>4.6486000000000001</v>
      </c>
      <c r="M155" s="11">
        <f>4.6518 * CHOOSE(CONTROL!$C$32, $C$9, 100%, $E$9)</f>
        <v>4.6517999999999997</v>
      </c>
      <c r="N155" s="11">
        <f>4.6486 * CHOOSE(CONTROL!$C$32, $C$9, 100%, $E$9)</f>
        <v>4.6486000000000001</v>
      </c>
      <c r="O155" s="11">
        <f>4.6518 * CHOOSE(CONTROL!$C$32, $C$9, 100%, $E$9)</f>
        <v>4.6517999999999997</v>
      </c>
      <c r="P155" s="14"/>
      <c r="Q155" s="14"/>
      <c r="R155" s="14"/>
    </row>
    <row r="156" spans="1:18" ht="15" x14ac:dyDescent="0.2">
      <c r="A156" s="13">
        <v>45597</v>
      </c>
      <c r="B156" s="9">
        <f>3.6565 * CHOOSE(CONTROL!$C$32, $C$9, 100%, $E$9)</f>
        <v>3.6564999999999999</v>
      </c>
      <c r="C156" s="9">
        <f>3.6565 * CHOOSE(CONTROL!$C$32, $C$9, 100%, $E$9)</f>
        <v>3.6564999999999999</v>
      </c>
      <c r="D156" s="9">
        <f>3.6574 * CHOOSE(CONTROL!$C$32, $C$9, 100%, $E$9)</f>
        <v>3.6574</v>
      </c>
      <c r="E156" s="11">
        <f>4.6506 * CHOOSE(CONTROL!$C$32, $C$9, 100%, $E$9)</f>
        <v>4.6505999999999998</v>
      </c>
      <c r="F156" s="11">
        <f>4.6506 * CHOOSE(CONTROL!$C$32, $C$9, 100%, $E$9)</f>
        <v>4.6505999999999998</v>
      </c>
      <c r="G156" s="11">
        <f>4.6538 * CHOOSE(CONTROL!$C$32, $C$9, 100%, $E$9)</f>
        <v>4.6538000000000004</v>
      </c>
      <c r="H156" s="11">
        <f>7.7485 * CHOOSE(CONTROL!$C$32, $C$9, 100%, $E$9)</f>
        <v>7.7484999999999999</v>
      </c>
      <c r="I156" s="11">
        <f>7.7517 * CHOOSE(CONTROL!$C$32, $C$9, 100%, $E$9)</f>
        <v>7.7516999999999996</v>
      </c>
      <c r="J156" s="11">
        <f>7.7485 * CHOOSE(CONTROL!$C$32, $C$9, 100%, $E$9)</f>
        <v>7.7484999999999999</v>
      </c>
      <c r="K156" s="11">
        <f>7.7517 * CHOOSE(CONTROL!$C$32, $C$9, 100%, $E$9)</f>
        <v>7.7516999999999996</v>
      </c>
      <c r="L156" s="11">
        <f>4.6506 * CHOOSE(CONTROL!$C$32, $C$9, 100%, $E$9)</f>
        <v>4.6505999999999998</v>
      </c>
      <c r="M156" s="11">
        <f>4.6538 * CHOOSE(CONTROL!$C$32, $C$9, 100%, $E$9)</f>
        <v>4.6538000000000004</v>
      </c>
      <c r="N156" s="11">
        <f>4.6506 * CHOOSE(CONTROL!$C$32, $C$9, 100%, $E$9)</f>
        <v>4.6505999999999998</v>
      </c>
      <c r="O156" s="11">
        <f>4.6538 * CHOOSE(CONTROL!$C$32, $C$9, 100%, $E$9)</f>
        <v>4.6538000000000004</v>
      </c>
      <c r="P156" s="14"/>
      <c r="Q156" s="14"/>
      <c r="R156" s="14"/>
    </row>
    <row r="157" spans="1:18" ht="15" x14ac:dyDescent="0.2">
      <c r="A157" s="13">
        <v>45627</v>
      </c>
      <c r="B157" s="9">
        <f>3.6565 * CHOOSE(CONTROL!$C$32, $C$9, 100%, $E$9)</f>
        <v>3.6564999999999999</v>
      </c>
      <c r="C157" s="9">
        <f>3.6565 * CHOOSE(CONTROL!$C$32, $C$9, 100%, $E$9)</f>
        <v>3.6564999999999999</v>
      </c>
      <c r="D157" s="9">
        <f>3.6574 * CHOOSE(CONTROL!$C$32, $C$9, 100%, $E$9)</f>
        <v>3.6574</v>
      </c>
      <c r="E157" s="11">
        <f>4.6506 * CHOOSE(CONTROL!$C$32, $C$9, 100%, $E$9)</f>
        <v>4.6505999999999998</v>
      </c>
      <c r="F157" s="11">
        <f>4.6506 * CHOOSE(CONTROL!$C$32, $C$9, 100%, $E$9)</f>
        <v>4.6505999999999998</v>
      </c>
      <c r="G157" s="11">
        <f>4.6538 * CHOOSE(CONTROL!$C$32, $C$9, 100%, $E$9)</f>
        <v>4.6538000000000004</v>
      </c>
      <c r="H157" s="11">
        <f>7.7646 * CHOOSE(CONTROL!$C$32, $C$9, 100%, $E$9)</f>
        <v>7.7645999999999997</v>
      </c>
      <c r="I157" s="11">
        <f>7.7678 * CHOOSE(CONTROL!$C$32, $C$9, 100%, $E$9)</f>
        <v>7.7678000000000003</v>
      </c>
      <c r="J157" s="11">
        <f>7.7646 * CHOOSE(CONTROL!$C$32, $C$9, 100%, $E$9)</f>
        <v>7.7645999999999997</v>
      </c>
      <c r="K157" s="11">
        <f>7.7678 * CHOOSE(CONTROL!$C$32, $C$9, 100%, $E$9)</f>
        <v>7.7678000000000003</v>
      </c>
      <c r="L157" s="11">
        <f>4.6506 * CHOOSE(CONTROL!$C$32, $C$9, 100%, $E$9)</f>
        <v>4.6505999999999998</v>
      </c>
      <c r="M157" s="11">
        <f>4.6538 * CHOOSE(CONTROL!$C$32, $C$9, 100%, $E$9)</f>
        <v>4.6538000000000004</v>
      </c>
      <c r="N157" s="11">
        <f>4.6506 * CHOOSE(CONTROL!$C$32, $C$9, 100%, $E$9)</f>
        <v>4.6505999999999998</v>
      </c>
      <c r="O157" s="11">
        <f>4.6538 * CHOOSE(CONTROL!$C$32, $C$9, 100%, $E$9)</f>
        <v>4.6538000000000004</v>
      </c>
      <c r="P157" s="14"/>
      <c r="Q157" s="14"/>
      <c r="R157" s="14"/>
    </row>
    <row r="158" spans="1:18" ht="15" x14ac:dyDescent="0.2">
      <c r="A158" s="13">
        <v>45658</v>
      </c>
      <c r="B158" s="9">
        <f>3.691 * CHOOSE(CONTROL!$C$32, $C$9, 100%, $E$9)</f>
        <v>3.6909999999999998</v>
      </c>
      <c r="C158" s="9">
        <f>3.691 * CHOOSE(CONTROL!$C$32, $C$9, 100%, $E$9)</f>
        <v>3.6909999999999998</v>
      </c>
      <c r="D158" s="9">
        <f>3.692 * CHOOSE(CONTROL!$C$32, $C$9, 100%, $E$9)</f>
        <v>3.6920000000000002</v>
      </c>
      <c r="E158" s="11">
        <f>4.6908 * CHOOSE(CONTROL!$C$32, $C$9, 100%, $E$9)</f>
        <v>4.6908000000000003</v>
      </c>
      <c r="F158" s="11">
        <f>4.6908 * CHOOSE(CONTROL!$C$32, $C$9, 100%, $E$9)</f>
        <v>4.6908000000000003</v>
      </c>
      <c r="G158" s="11">
        <f>4.6941 * CHOOSE(CONTROL!$C$32, $C$9, 100%, $E$9)</f>
        <v>4.6940999999999997</v>
      </c>
      <c r="H158" s="11">
        <f>7.7808 * CHOOSE(CONTROL!$C$32, $C$9, 100%, $E$9)</f>
        <v>7.7808000000000002</v>
      </c>
      <c r="I158" s="11">
        <f>7.784 * CHOOSE(CONTROL!$C$32, $C$9, 100%, $E$9)</f>
        <v>7.7839999999999998</v>
      </c>
      <c r="J158" s="11">
        <f>7.7808 * CHOOSE(CONTROL!$C$32, $C$9, 100%, $E$9)</f>
        <v>7.7808000000000002</v>
      </c>
      <c r="K158" s="11">
        <f>7.784 * CHOOSE(CONTROL!$C$32, $C$9, 100%, $E$9)</f>
        <v>7.7839999999999998</v>
      </c>
      <c r="L158" s="11">
        <f>4.6908 * CHOOSE(CONTROL!$C$32, $C$9, 100%, $E$9)</f>
        <v>4.6908000000000003</v>
      </c>
      <c r="M158" s="11">
        <f>4.6941 * CHOOSE(CONTROL!$C$32, $C$9, 100%, $E$9)</f>
        <v>4.6940999999999997</v>
      </c>
      <c r="N158" s="11">
        <f>4.6908 * CHOOSE(CONTROL!$C$32, $C$9, 100%, $E$9)</f>
        <v>4.6908000000000003</v>
      </c>
      <c r="O158" s="11">
        <f>4.6941 * CHOOSE(CONTROL!$C$32, $C$9, 100%, $E$9)</f>
        <v>4.6940999999999997</v>
      </c>
      <c r="P158" s="14"/>
      <c r="Q158" s="14"/>
      <c r="R158" s="14"/>
    </row>
    <row r="159" spans="1:18" ht="15" x14ac:dyDescent="0.2">
      <c r="A159" s="13">
        <v>45689</v>
      </c>
      <c r="B159" s="9">
        <f>3.688 * CHOOSE(CONTROL!$C$32, $C$9, 100%, $E$9)</f>
        <v>3.6880000000000002</v>
      </c>
      <c r="C159" s="9">
        <f>3.688 * CHOOSE(CONTROL!$C$32, $C$9, 100%, $E$9)</f>
        <v>3.6880000000000002</v>
      </c>
      <c r="D159" s="9">
        <f>3.689 * CHOOSE(CONTROL!$C$32, $C$9, 100%, $E$9)</f>
        <v>3.6890000000000001</v>
      </c>
      <c r="E159" s="11">
        <f>4.6888 * CHOOSE(CONTROL!$C$32, $C$9, 100%, $E$9)</f>
        <v>4.6887999999999996</v>
      </c>
      <c r="F159" s="11">
        <f>4.6888 * CHOOSE(CONTROL!$C$32, $C$9, 100%, $E$9)</f>
        <v>4.6887999999999996</v>
      </c>
      <c r="G159" s="11">
        <f>4.6921 * CHOOSE(CONTROL!$C$32, $C$9, 100%, $E$9)</f>
        <v>4.6920999999999999</v>
      </c>
      <c r="H159" s="11">
        <f>7.797 * CHOOSE(CONTROL!$C$32, $C$9, 100%, $E$9)</f>
        <v>7.7969999999999997</v>
      </c>
      <c r="I159" s="11">
        <f>7.8002 * CHOOSE(CONTROL!$C$32, $C$9, 100%, $E$9)</f>
        <v>7.8002000000000002</v>
      </c>
      <c r="J159" s="11">
        <f>7.797 * CHOOSE(CONTROL!$C$32, $C$9, 100%, $E$9)</f>
        <v>7.7969999999999997</v>
      </c>
      <c r="K159" s="11">
        <f>7.8002 * CHOOSE(CONTROL!$C$32, $C$9, 100%, $E$9)</f>
        <v>7.8002000000000002</v>
      </c>
      <c r="L159" s="11">
        <f>4.6888 * CHOOSE(CONTROL!$C$32, $C$9, 100%, $E$9)</f>
        <v>4.6887999999999996</v>
      </c>
      <c r="M159" s="11">
        <f>4.6921 * CHOOSE(CONTROL!$C$32, $C$9, 100%, $E$9)</f>
        <v>4.6920999999999999</v>
      </c>
      <c r="N159" s="11">
        <f>4.6888 * CHOOSE(CONTROL!$C$32, $C$9, 100%, $E$9)</f>
        <v>4.6887999999999996</v>
      </c>
      <c r="O159" s="11">
        <f>4.6921 * CHOOSE(CONTROL!$C$32, $C$9, 100%, $E$9)</f>
        <v>4.6920999999999999</v>
      </c>
      <c r="P159" s="14"/>
      <c r="Q159" s="14"/>
      <c r="R159" s="14"/>
    </row>
    <row r="160" spans="1:18" ht="15" x14ac:dyDescent="0.2">
      <c r="A160" s="13">
        <v>45717</v>
      </c>
      <c r="B160" s="9">
        <f>3.685 * CHOOSE(CONTROL!$C$32, $C$9, 100%, $E$9)</f>
        <v>3.6850000000000001</v>
      </c>
      <c r="C160" s="9">
        <f>3.685 * CHOOSE(CONTROL!$C$32, $C$9, 100%, $E$9)</f>
        <v>3.6850000000000001</v>
      </c>
      <c r="D160" s="9">
        <f>3.6859 * CHOOSE(CONTROL!$C$32, $C$9, 100%, $E$9)</f>
        <v>3.6859000000000002</v>
      </c>
      <c r="E160" s="11">
        <f>4.6868 * CHOOSE(CONTROL!$C$32, $C$9, 100%, $E$9)</f>
        <v>4.6867999999999999</v>
      </c>
      <c r="F160" s="11">
        <f>4.6868 * CHOOSE(CONTROL!$C$32, $C$9, 100%, $E$9)</f>
        <v>4.6867999999999999</v>
      </c>
      <c r="G160" s="11">
        <f>4.6901 * CHOOSE(CONTROL!$C$32, $C$9, 100%, $E$9)</f>
        <v>4.6901000000000002</v>
      </c>
      <c r="H160" s="11">
        <f>7.8132 * CHOOSE(CONTROL!$C$32, $C$9, 100%, $E$9)</f>
        <v>7.8132000000000001</v>
      </c>
      <c r="I160" s="11">
        <f>7.8165 * CHOOSE(CONTROL!$C$32, $C$9, 100%, $E$9)</f>
        <v>7.8164999999999996</v>
      </c>
      <c r="J160" s="11">
        <f>7.8132 * CHOOSE(CONTROL!$C$32, $C$9, 100%, $E$9)</f>
        <v>7.8132000000000001</v>
      </c>
      <c r="K160" s="11">
        <f>7.8165 * CHOOSE(CONTROL!$C$32, $C$9, 100%, $E$9)</f>
        <v>7.8164999999999996</v>
      </c>
      <c r="L160" s="11">
        <f>4.6868 * CHOOSE(CONTROL!$C$32, $C$9, 100%, $E$9)</f>
        <v>4.6867999999999999</v>
      </c>
      <c r="M160" s="11">
        <f>4.6901 * CHOOSE(CONTROL!$C$32, $C$9, 100%, $E$9)</f>
        <v>4.6901000000000002</v>
      </c>
      <c r="N160" s="11">
        <f>4.6868 * CHOOSE(CONTROL!$C$32, $C$9, 100%, $E$9)</f>
        <v>4.6867999999999999</v>
      </c>
      <c r="O160" s="11">
        <f>4.6901 * CHOOSE(CONTROL!$C$32, $C$9, 100%, $E$9)</f>
        <v>4.6901000000000002</v>
      </c>
      <c r="P160" s="14"/>
      <c r="Q160" s="14"/>
      <c r="R160" s="14"/>
    </row>
    <row r="161" spans="1:18" ht="15" x14ac:dyDescent="0.2">
      <c r="A161" s="13">
        <v>45748</v>
      </c>
      <c r="B161" s="9">
        <f>3.6823 * CHOOSE(CONTROL!$C$32, $C$9, 100%, $E$9)</f>
        <v>3.6823000000000001</v>
      </c>
      <c r="C161" s="9">
        <f>3.6823 * CHOOSE(CONTROL!$C$32, $C$9, 100%, $E$9)</f>
        <v>3.6823000000000001</v>
      </c>
      <c r="D161" s="9">
        <f>3.6833 * CHOOSE(CONTROL!$C$32, $C$9, 100%, $E$9)</f>
        <v>3.6833</v>
      </c>
      <c r="E161" s="11">
        <f>4.6846 * CHOOSE(CONTROL!$C$32, $C$9, 100%, $E$9)</f>
        <v>4.6845999999999997</v>
      </c>
      <c r="F161" s="11">
        <f>4.6846 * CHOOSE(CONTROL!$C$32, $C$9, 100%, $E$9)</f>
        <v>4.6845999999999997</v>
      </c>
      <c r="G161" s="11">
        <f>4.6879 * CHOOSE(CONTROL!$C$32, $C$9, 100%, $E$9)</f>
        <v>4.6879</v>
      </c>
      <c r="H161" s="11">
        <f>7.8295 * CHOOSE(CONTROL!$C$32, $C$9, 100%, $E$9)</f>
        <v>7.8295000000000003</v>
      </c>
      <c r="I161" s="11">
        <f>7.8327 * CHOOSE(CONTROL!$C$32, $C$9, 100%, $E$9)</f>
        <v>7.8327</v>
      </c>
      <c r="J161" s="11">
        <f>7.8295 * CHOOSE(CONTROL!$C$32, $C$9, 100%, $E$9)</f>
        <v>7.8295000000000003</v>
      </c>
      <c r="K161" s="11">
        <f>7.8327 * CHOOSE(CONTROL!$C$32, $C$9, 100%, $E$9)</f>
        <v>7.8327</v>
      </c>
      <c r="L161" s="11">
        <f>4.6846 * CHOOSE(CONTROL!$C$32, $C$9, 100%, $E$9)</f>
        <v>4.6845999999999997</v>
      </c>
      <c r="M161" s="11">
        <f>4.6879 * CHOOSE(CONTROL!$C$32, $C$9, 100%, $E$9)</f>
        <v>4.6879</v>
      </c>
      <c r="N161" s="11">
        <f>4.6846 * CHOOSE(CONTROL!$C$32, $C$9, 100%, $E$9)</f>
        <v>4.6845999999999997</v>
      </c>
      <c r="O161" s="11">
        <f>4.6879 * CHOOSE(CONTROL!$C$32, $C$9, 100%, $E$9)</f>
        <v>4.6879</v>
      </c>
      <c r="P161" s="14"/>
      <c r="Q161" s="14"/>
      <c r="R161" s="14"/>
    </row>
    <row r="162" spans="1:18" ht="15" x14ac:dyDescent="0.2">
      <c r="A162" s="13">
        <v>45778</v>
      </c>
      <c r="B162" s="9">
        <f>3.6823 * CHOOSE(CONTROL!$C$32, $C$9, 100%, $E$9)</f>
        <v>3.6823000000000001</v>
      </c>
      <c r="C162" s="9">
        <f>3.6823 * CHOOSE(CONTROL!$C$32, $C$9, 100%, $E$9)</f>
        <v>3.6823000000000001</v>
      </c>
      <c r="D162" s="9">
        <f>3.6836 * CHOOSE(CONTROL!$C$32, $C$9, 100%, $E$9)</f>
        <v>3.6836000000000002</v>
      </c>
      <c r="E162" s="11">
        <f>4.6846 * CHOOSE(CONTROL!$C$32, $C$9, 100%, $E$9)</f>
        <v>4.6845999999999997</v>
      </c>
      <c r="F162" s="11">
        <f>4.6846 * CHOOSE(CONTROL!$C$32, $C$9, 100%, $E$9)</f>
        <v>4.6845999999999997</v>
      </c>
      <c r="G162" s="11">
        <f>4.6888 * CHOOSE(CONTROL!$C$32, $C$9, 100%, $E$9)</f>
        <v>4.6887999999999996</v>
      </c>
      <c r="H162" s="11">
        <f>7.8458 * CHOOSE(CONTROL!$C$32, $C$9, 100%, $E$9)</f>
        <v>7.8457999999999997</v>
      </c>
      <c r="I162" s="11">
        <f>7.85 * CHOOSE(CONTROL!$C$32, $C$9, 100%, $E$9)</f>
        <v>7.85</v>
      </c>
      <c r="J162" s="11">
        <f>7.8458 * CHOOSE(CONTROL!$C$32, $C$9, 100%, $E$9)</f>
        <v>7.8457999999999997</v>
      </c>
      <c r="K162" s="11">
        <f>7.85 * CHOOSE(CONTROL!$C$32, $C$9, 100%, $E$9)</f>
        <v>7.85</v>
      </c>
      <c r="L162" s="11">
        <f>4.6846 * CHOOSE(CONTROL!$C$32, $C$9, 100%, $E$9)</f>
        <v>4.6845999999999997</v>
      </c>
      <c r="M162" s="11">
        <f>4.6888 * CHOOSE(CONTROL!$C$32, $C$9, 100%, $E$9)</f>
        <v>4.6887999999999996</v>
      </c>
      <c r="N162" s="11">
        <f>4.6846 * CHOOSE(CONTROL!$C$32, $C$9, 100%, $E$9)</f>
        <v>4.6845999999999997</v>
      </c>
      <c r="O162" s="11">
        <f>4.6888 * CHOOSE(CONTROL!$C$32, $C$9, 100%, $E$9)</f>
        <v>4.6887999999999996</v>
      </c>
      <c r="P162" s="14"/>
      <c r="Q162" s="14"/>
      <c r="R162" s="14"/>
    </row>
    <row r="163" spans="1:18" ht="15" x14ac:dyDescent="0.2">
      <c r="A163" s="13">
        <v>45809</v>
      </c>
      <c r="B163" s="9">
        <f>3.6884 * CHOOSE(CONTROL!$C$32, $C$9, 100%, $E$9)</f>
        <v>3.6884000000000001</v>
      </c>
      <c r="C163" s="9">
        <f>3.6884 * CHOOSE(CONTROL!$C$32, $C$9, 100%, $E$9)</f>
        <v>3.6884000000000001</v>
      </c>
      <c r="D163" s="9">
        <f>3.6897 * CHOOSE(CONTROL!$C$32, $C$9, 100%, $E$9)</f>
        <v>3.6897000000000002</v>
      </c>
      <c r="E163" s="11">
        <f>4.6886 * CHOOSE(CONTROL!$C$32, $C$9, 100%, $E$9)</f>
        <v>4.6886000000000001</v>
      </c>
      <c r="F163" s="11">
        <f>4.6886 * CHOOSE(CONTROL!$C$32, $C$9, 100%, $E$9)</f>
        <v>4.6886000000000001</v>
      </c>
      <c r="G163" s="11">
        <f>4.6928 * CHOOSE(CONTROL!$C$32, $C$9, 100%, $E$9)</f>
        <v>4.6928000000000001</v>
      </c>
      <c r="H163" s="11">
        <f>7.8622 * CHOOSE(CONTROL!$C$32, $C$9, 100%, $E$9)</f>
        <v>7.8621999999999996</v>
      </c>
      <c r="I163" s="11">
        <f>7.8664 * CHOOSE(CONTROL!$C$32, $C$9, 100%, $E$9)</f>
        <v>7.8663999999999996</v>
      </c>
      <c r="J163" s="11">
        <f>7.8622 * CHOOSE(CONTROL!$C$32, $C$9, 100%, $E$9)</f>
        <v>7.8621999999999996</v>
      </c>
      <c r="K163" s="11">
        <f>7.8664 * CHOOSE(CONTROL!$C$32, $C$9, 100%, $E$9)</f>
        <v>7.8663999999999996</v>
      </c>
      <c r="L163" s="11">
        <f>4.6886 * CHOOSE(CONTROL!$C$32, $C$9, 100%, $E$9)</f>
        <v>4.6886000000000001</v>
      </c>
      <c r="M163" s="11">
        <f>4.6928 * CHOOSE(CONTROL!$C$32, $C$9, 100%, $E$9)</f>
        <v>4.6928000000000001</v>
      </c>
      <c r="N163" s="11">
        <f>4.6886 * CHOOSE(CONTROL!$C$32, $C$9, 100%, $E$9)</f>
        <v>4.6886000000000001</v>
      </c>
      <c r="O163" s="11">
        <f>4.6928 * CHOOSE(CONTROL!$C$32, $C$9, 100%, $E$9)</f>
        <v>4.6928000000000001</v>
      </c>
      <c r="P163" s="14"/>
      <c r="Q163" s="14"/>
      <c r="R163" s="14"/>
    </row>
    <row r="164" spans="1:18" ht="15" x14ac:dyDescent="0.2">
      <c r="A164" s="13">
        <v>45839</v>
      </c>
      <c r="B164" s="9">
        <f>3.7541 * CHOOSE(CONTROL!$C$32, $C$9, 100%, $E$9)</f>
        <v>3.7541000000000002</v>
      </c>
      <c r="C164" s="9">
        <f>3.7541 * CHOOSE(CONTROL!$C$32, $C$9, 100%, $E$9)</f>
        <v>3.7541000000000002</v>
      </c>
      <c r="D164" s="9">
        <f>3.7553 * CHOOSE(CONTROL!$C$32, $C$9, 100%, $E$9)</f>
        <v>3.7553000000000001</v>
      </c>
      <c r="E164" s="11">
        <f>4.7776 * CHOOSE(CONTROL!$C$32, $C$9, 100%, $E$9)</f>
        <v>4.7775999999999996</v>
      </c>
      <c r="F164" s="11">
        <f>4.7776 * CHOOSE(CONTROL!$C$32, $C$9, 100%, $E$9)</f>
        <v>4.7775999999999996</v>
      </c>
      <c r="G164" s="11">
        <f>4.7818 * CHOOSE(CONTROL!$C$32, $C$9, 100%, $E$9)</f>
        <v>4.7817999999999996</v>
      </c>
      <c r="H164" s="11">
        <f>7.8786 * CHOOSE(CONTROL!$C$32, $C$9, 100%, $E$9)</f>
        <v>7.8785999999999996</v>
      </c>
      <c r="I164" s="11">
        <f>7.8828 * CHOOSE(CONTROL!$C$32, $C$9, 100%, $E$9)</f>
        <v>7.8827999999999996</v>
      </c>
      <c r="J164" s="11">
        <f>7.8786 * CHOOSE(CONTROL!$C$32, $C$9, 100%, $E$9)</f>
        <v>7.8785999999999996</v>
      </c>
      <c r="K164" s="11">
        <f>7.8828 * CHOOSE(CONTROL!$C$32, $C$9, 100%, $E$9)</f>
        <v>7.8827999999999996</v>
      </c>
      <c r="L164" s="11">
        <f>4.7776 * CHOOSE(CONTROL!$C$32, $C$9, 100%, $E$9)</f>
        <v>4.7775999999999996</v>
      </c>
      <c r="M164" s="11">
        <f>4.7818 * CHOOSE(CONTROL!$C$32, $C$9, 100%, $E$9)</f>
        <v>4.7817999999999996</v>
      </c>
      <c r="N164" s="11">
        <f>4.7776 * CHOOSE(CONTROL!$C$32, $C$9, 100%, $E$9)</f>
        <v>4.7775999999999996</v>
      </c>
      <c r="O164" s="11">
        <f>4.7818 * CHOOSE(CONTROL!$C$32, $C$9, 100%, $E$9)</f>
        <v>4.7817999999999996</v>
      </c>
      <c r="P164" s="14"/>
      <c r="Q164" s="14"/>
      <c r="R164" s="14"/>
    </row>
    <row r="165" spans="1:18" ht="15" x14ac:dyDescent="0.2">
      <c r="A165" s="13">
        <v>45870</v>
      </c>
      <c r="B165" s="9">
        <f>3.7607 * CHOOSE(CONTROL!$C$32, $C$9, 100%, $E$9)</f>
        <v>3.7606999999999999</v>
      </c>
      <c r="C165" s="9">
        <f>3.7607 * CHOOSE(CONTROL!$C$32, $C$9, 100%, $E$9)</f>
        <v>3.7606999999999999</v>
      </c>
      <c r="D165" s="9">
        <f>3.762 * CHOOSE(CONTROL!$C$32, $C$9, 100%, $E$9)</f>
        <v>3.762</v>
      </c>
      <c r="E165" s="11">
        <f>4.782 * CHOOSE(CONTROL!$C$32, $C$9, 100%, $E$9)</f>
        <v>4.782</v>
      </c>
      <c r="F165" s="11">
        <f>4.782 * CHOOSE(CONTROL!$C$32, $C$9, 100%, $E$9)</f>
        <v>4.782</v>
      </c>
      <c r="G165" s="11">
        <f>4.7862 * CHOOSE(CONTROL!$C$32, $C$9, 100%, $E$9)</f>
        <v>4.7862</v>
      </c>
      <c r="H165" s="11">
        <f>7.895 * CHOOSE(CONTROL!$C$32, $C$9, 100%, $E$9)</f>
        <v>7.8949999999999996</v>
      </c>
      <c r="I165" s="11">
        <f>7.8992 * CHOOSE(CONTROL!$C$32, $C$9, 100%, $E$9)</f>
        <v>7.8992000000000004</v>
      </c>
      <c r="J165" s="11">
        <f>7.895 * CHOOSE(CONTROL!$C$32, $C$9, 100%, $E$9)</f>
        <v>7.8949999999999996</v>
      </c>
      <c r="K165" s="11">
        <f>7.8992 * CHOOSE(CONTROL!$C$32, $C$9, 100%, $E$9)</f>
        <v>7.8992000000000004</v>
      </c>
      <c r="L165" s="11">
        <f>4.782 * CHOOSE(CONTROL!$C$32, $C$9, 100%, $E$9)</f>
        <v>4.782</v>
      </c>
      <c r="M165" s="11">
        <f>4.7862 * CHOOSE(CONTROL!$C$32, $C$9, 100%, $E$9)</f>
        <v>4.7862</v>
      </c>
      <c r="N165" s="11">
        <f>4.782 * CHOOSE(CONTROL!$C$32, $C$9, 100%, $E$9)</f>
        <v>4.782</v>
      </c>
      <c r="O165" s="11">
        <f>4.7862 * CHOOSE(CONTROL!$C$32, $C$9, 100%, $E$9)</f>
        <v>4.7862</v>
      </c>
      <c r="P165" s="14"/>
      <c r="Q165" s="14"/>
      <c r="R165" s="14"/>
    </row>
    <row r="166" spans="1:18" ht="15" x14ac:dyDescent="0.2">
      <c r="A166" s="13">
        <v>45901</v>
      </c>
      <c r="B166" s="9">
        <f>3.7577 * CHOOSE(CONTROL!$C$32, $C$9, 100%, $E$9)</f>
        <v>3.7576999999999998</v>
      </c>
      <c r="C166" s="9">
        <f>3.7577 * CHOOSE(CONTROL!$C$32, $C$9, 100%, $E$9)</f>
        <v>3.7576999999999998</v>
      </c>
      <c r="D166" s="9">
        <f>3.7589 * CHOOSE(CONTROL!$C$32, $C$9, 100%, $E$9)</f>
        <v>3.7589000000000001</v>
      </c>
      <c r="E166" s="11">
        <f>4.78 * CHOOSE(CONTROL!$C$32, $C$9, 100%, $E$9)</f>
        <v>4.78</v>
      </c>
      <c r="F166" s="11">
        <f>4.78 * CHOOSE(CONTROL!$C$32, $C$9, 100%, $E$9)</f>
        <v>4.78</v>
      </c>
      <c r="G166" s="11">
        <f>4.7842 * CHOOSE(CONTROL!$C$32, $C$9, 100%, $E$9)</f>
        <v>4.7842000000000002</v>
      </c>
      <c r="H166" s="11">
        <f>7.9114 * CHOOSE(CONTROL!$C$32, $C$9, 100%, $E$9)</f>
        <v>7.9114000000000004</v>
      </c>
      <c r="I166" s="11">
        <f>7.9156 * CHOOSE(CONTROL!$C$32, $C$9, 100%, $E$9)</f>
        <v>7.9156000000000004</v>
      </c>
      <c r="J166" s="11">
        <f>7.9114 * CHOOSE(CONTROL!$C$32, $C$9, 100%, $E$9)</f>
        <v>7.9114000000000004</v>
      </c>
      <c r="K166" s="11">
        <f>7.9156 * CHOOSE(CONTROL!$C$32, $C$9, 100%, $E$9)</f>
        <v>7.9156000000000004</v>
      </c>
      <c r="L166" s="11">
        <f>4.78 * CHOOSE(CONTROL!$C$32, $C$9, 100%, $E$9)</f>
        <v>4.78</v>
      </c>
      <c r="M166" s="11">
        <f>4.7842 * CHOOSE(CONTROL!$C$32, $C$9, 100%, $E$9)</f>
        <v>4.7842000000000002</v>
      </c>
      <c r="N166" s="11">
        <f>4.78 * CHOOSE(CONTROL!$C$32, $C$9, 100%, $E$9)</f>
        <v>4.78</v>
      </c>
      <c r="O166" s="11">
        <f>4.7842 * CHOOSE(CONTROL!$C$32, $C$9, 100%, $E$9)</f>
        <v>4.7842000000000002</v>
      </c>
      <c r="P166" s="14"/>
      <c r="Q166" s="14"/>
      <c r="R166" s="14"/>
    </row>
    <row r="167" spans="1:18" ht="15" x14ac:dyDescent="0.2">
      <c r="A167" s="13">
        <v>45931</v>
      </c>
      <c r="B167" s="9">
        <f>3.7519 * CHOOSE(CONTROL!$C$32, $C$9, 100%, $E$9)</f>
        <v>3.7519</v>
      </c>
      <c r="C167" s="9">
        <f>3.7519 * CHOOSE(CONTROL!$C$32, $C$9, 100%, $E$9)</f>
        <v>3.7519</v>
      </c>
      <c r="D167" s="9">
        <f>3.7529 * CHOOSE(CONTROL!$C$32, $C$9, 100%, $E$9)</f>
        <v>3.7528999999999999</v>
      </c>
      <c r="E167" s="11">
        <f>4.7743 * CHOOSE(CONTROL!$C$32, $C$9, 100%, $E$9)</f>
        <v>4.7743000000000002</v>
      </c>
      <c r="F167" s="11">
        <f>4.7743 * CHOOSE(CONTROL!$C$32, $C$9, 100%, $E$9)</f>
        <v>4.7743000000000002</v>
      </c>
      <c r="G167" s="11">
        <f>4.7775 * CHOOSE(CONTROL!$C$32, $C$9, 100%, $E$9)</f>
        <v>4.7774999999999999</v>
      </c>
      <c r="H167" s="11">
        <f>7.9279 * CHOOSE(CONTROL!$C$32, $C$9, 100%, $E$9)</f>
        <v>7.9279000000000002</v>
      </c>
      <c r="I167" s="11">
        <f>7.9311 * CHOOSE(CONTROL!$C$32, $C$9, 100%, $E$9)</f>
        <v>7.9310999999999998</v>
      </c>
      <c r="J167" s="11">
        <f>7.9279 * CHOOSE(CONTROL!$C$32, $C$9, 100%, $E$9)</f>
        <v>7.9279000000000002</v>
      </c>
      <c r="K167" s="11">
        <f>7.9311 * CHOOSE(CONTROL!$C$32, $C$9, 100%, $E$9)</f>
        <v>7.9310999999999998</v>
      </c>
      <c r="L167" s="11">
        <f>4.7743 * CHOOSE(CONTROL!$C$32, $C$9, 100%, $E$9)</f>
        <v>4.7743000000000002</v>
      </c>
      <c r="M167" s="11">
        <f>4.7775 * CHOOSE(CONTROL!$C$32, $C$9, 100%, $E$9)</f>
        <v>4.7774999999999999</v>
      </c>
      <c r="N167" s="11">
        <f>4.7743 * CHOOSE(CONTROL!$C$32, $C$9, 100%, $E$9)</f>
        <v>4.7743000000000002</v>
      </c>
      <c r="O167" s="11">
        <f>4.7775 * CHOOSE(CONTROL!$C$32, $C$9, 100%, $E$9)</f>
        <v>4.7774999999999999</v>
      </c>
      <c r="P167" s="14"/>
      <c r="Q167" s="14"/>
      <c r="R167" s="14"/>
    </row>
    <row r="168" spans="1:18" ht="15" x14ac:dyDescent="0.2">
      <c r="A168" s="13">
        <v>45962</v>
      </c>
      <c r="B168" s="9">
        <f>3.755 * CHOOSE(CONTROL!$C$32, $C$9, 100%, $E$9)</f>
        <v>3.7549999999999999</v>
      </c>
      <c r="C168" s="9">
        <f>3.755 * CHOOSE(CONTROL!$C$32, $C$9, 100%, $E$9)</f>
        <v>3.7549999999999999</v>
      </c>
      <c r="D168" s="9">
        <f>3.7559 * CHOOSE(CONTROL!$C$32, $C$9, 100%, $E$9)</f>
        <v>3.7559</v>
      </c>
      <c r="E168" s="11">
        <f>4.7763 * CHOOSE(CONTROL!$C$32, $C$9, 100%, $E$9)</f>
        <v>4.7763</v>
      </c>
      <c r="F168" s="11">
        <f>4.7763 * CHOOSE(CONTROL!$C$32, $C$9, 100%, $E$9)</f>
        <v>4.7763</v>
      </c>
      <c r="G168" s="11">
        <f>4.7795 * CHOOSE(CONTROL!$C$32, $C$9, 100%, $E$9)</f>
        <v>4.7794999999999996</v>
      </c>
      <c r="H168" s="11">
        <f>7.9444 * CHOOSE(CONTROL!$C$32, $C$9, 100%, $E$9)</f>
        <v>7.9443999999999999</v>
      </c>
      <c r="I168" s="11">
        <f>7.9476 * CHOOSE(CONTROL!$C$32, $C$9, 100%, $E$9)</f>
        <v>7.9476000000000004</v>
      </c>
      <c r="J168" s="11">
        <f>7.9444 * CHOOSE(CONTROL!$C$32, $C$9, 100%, $E$9)</f>
        <v>7.9443999999999999</v>
      </c>
      <c r="K168" s="11">
        <f>7.9476 * CHOOSE(CONTROL!$C$32, $C$9, 100%, $E$9)</f>
        <v>7.9476000000000004</v>
      </c>
      <c r="L168" s="11">
        <f>4.7763 * CHOOSE(CONTROL!$C$32, $C$9, 100%, $E$9)</f>
        <v>4.7763</v>
      </c>
      <c r="M168" s="11">
        <f>4.7795 * CHOOSE(CONTROL!$C$32, $C$9, 100%, $E$9)</f>
        <v>4.7794999999999996</v>
      </c>
      <c r="N168" s="11">
        <f>4.7763 * CHOOSE(CONTROL!$C$32, $C$9, 100%, $E$9)</f>
        <v>4.7763</v>
      </c>
      <c r="O168" s="11">
        <f>4.7795 * CHOOSE(CONTROL!$C$32, $C$9, 100%, $E$9)</f>
        <v>4.7794999999999996</v>
      </c>
    </row>
    <row r="169" spans="1:18" ht="15" x14ac:dyDescent="0.2">
      <c r="A169" s="13">
        <v>45992</v>
      </c>
      <c r="B169" s="9">
        <f>3.755 * CHOOSE(CONTROL!$C$32, $C$9, 100%, $E$9)</f>
        <v>3.7549999999999999</v>
      </c>
      <c r="C169" s="9">
        <f>3.755 * CHOOSE(CONTROL!$C$32, $C$9, 100%, $E$9)</f>
        <v>3.7549999999999999</v>
      </c>
      <c r="D169" s="9">
        <f>3.7559 * CHOOSE(CONTROL!$C$32, $C$9, 100%, $E$9)</f>
        <v>3.7559</v>
      </c>
      <c r="E169" s="11">
        <f>4.7763 * CHOOSE(CONTROL!$C$32, $C$9, 100%, $E$9)</f>
        <v>4.7763</v>
      </c>
      <c r="F169" s="11">
        <f>4.7763 * CHOOSE(CONTROL!$C$32, $C$9, 100%, $E$9)</f>
        <v>4.7763</v>
      </c>
      <c r="G169" s="11">
        <f>4.7795 * CHOOSE(CONTROL!$C$32, $C$9, 100%, $E$9)</f>
        <v>4.7794999999999996</v>
      </c>
      <c r="H169" s="11">
        <f>7.961 * CHOOSE(CONTROL!$C$32, $C$9, 100%, $E$9)</f>
        <v>7.9610000000000003</v>
      </c>
      <c r="I169" s="11">
        <f>7.9642 * CHOOSE(CONTROL!$C$32, $C$9, 100%, $E$9)</f>
        <v>7.9641999999999999</v>
      </c>
      <c r="J169" s="11">
        <f>7.961 * CHOOSE(CONTROL!$C$32, $C$9, 100%, $E$9)</f>
        <v>7.9610000000000003</v>
      </c>
      <c r="K169" s="11">
        <f>7.9642 * CHOOSE(CONTROL!$C$32, $C$9, 100%, $E$9)</f>
        <v>7.9641999999999999</v>
      </c>
      <c r="L169" s="11">
        <f>4.7763 * CHOOSE(CONTROL!$C$32, $C$9, 100%, $E$9)</f>
        <v>4.7763</v>
      </c>
      <c r="M169" s="11">
        <f>4.7795 * CHOOSE(CONTROL!$C$32, $C$9, 100%, $E$9)</f>
        <v>4.7794999999999996</v>
      </c>
      <c r="N169" s="11">
        <f>4.7763 * CHOOSE(CONTROL!$C$32, $C$9, 100%, $E$9)</f>
        <v>4.7763</v>
      </c>
      <c r="O169" s="11">
        <f>4.7795 * CHOOSE(CONTROL!$C$32, $C$9, 100%, $E$9)</f>
        <v>4.7794999999999996</v>
      </c>
    </row>
    <row r="170" spans="1:18" ht="15" x14ac:dyDescent="0.2">
      <c r="A170" s="13">
        <v>46023</v>
      </c>
      <c r="B170" s="9">
        <f>3.7892 * CHOOSE(CONTROL!$C$32, $C$9, 100%, $E$9)</f>
        <v>3.7892000000000001</v>
      </c>
      <c r="C170" s="9">
        <f>3.7892 * CHOOSE(CONTROL!$C$32, $C$9, 100%, $E$9)</f>
        <v>3.7892000000000001</v>
      </c>
      <c r="D170" s="9">
        <f>3.7901 * CHOOSE(CONTROL!$C$32, $C$9, 100%, $E$9)</f>
        <v>3.7900999999999998</v>
      </c>
      <c r="E170" s="11">
        <f>4.8185 * CHOOSE(CONTROL!$C$32, $C$9, 100%, $E$9)</f>
        <v>4.8185000000000002</v>
      </c>
      <c r="F170" s="11">
        <f>4.8185 * CHOOSE(CONTROL!$C$32, $C$9, 100%, $E$9)</f>
        <v>4.8185000000000002</v>
      </c>
      <c r="G170" s="11">
        <f>4.8217 * CHOOSE(CONTROL!$C$32, $C$9, 100%, $E$9)</f>
        <v>4.8216999999999999</v>
      </c>
      <c r="H170" s="11">
        <f>7.9776 * CHOOSE(CONTROL!$C$32, $C$9, 100%, $E$9)</f>
        <v>7.9775999999999998</v>
      </c>
      <c r="I170" s="11">
        <f>7.9808 * CHOOSE(CONTROL!$C$32, $C$9, 100%, $E$9)</f>
        <v>7.9808000000000003</v>
      </c>
      <c r="J170" s="11">
        <f>7.9776 * CHOOSE(CONTROL!$C$32, $C$9, 100%, $E$9)</f>
        <v>7.9775999999999998</v>
      </c>
      <c r="K170" s="11">
        <f>7.9808 * CHOOSE(CONTROL!$C$32, $C$9, 100%, $E$9)</f>
        <v>7.9808000000000003</v>
      </c>
      <c r="L170" s="11">
        <f>4.8185 * CHOOSE(CONTROL!$C$32, $C$9, 100%, $E$9)</f>
        <v>4.8185000000000002</v>
      </c>
      <c r="M170" s="11">
        <f>4.8217 * CHOOSE(CONTROL!$C$32, $C$9, 100%, $E$9)</f>
        <v>4.8216999999999999</v>
      </c>
      <c r="N170" s="11">
        <f>4.8185 * CHOOSE(CONTROL!$C$32, $C$9, 100%, $E$9)</f>
        <v>4.8185000000000002</v>
      </c>
      <c r="O170" s="11">
        <f>4.8217 * CHOOSE(CONTROL!$C$32, $C$9, 100%, $E$9)</f>
        <v>4.8216999999999999</v>
      </c>
    </row>
    <row r="171" spans="1:18" ht="15" x14ac:dyDescent="0.2">
      <c r="A171" s="13">
        <v>46054</v>
      </c>
      <c r="B171" s="9">
        <f>3.7861 * CHOOSE(CONTROL!$C$32, $C$9, 100%, $E$9)</f>
        <v>3.7860999999999998</v>
      </c>
      <c r="C171" s="9">
        <f>3.7861 * CHOOSE(CONTROL!$C$32, $C$9, 100%, $E$9)</f>
        <v>3.7860999999999998</v>
      </c>
      <c r="D171" s="9">
        <f>3.7871 * CHOOSE(CONTROL!$C$32, $C$9, 100%, $E$9)</f>
        <v>3.7871000000000001</v>
      </c>
      <c r="E171" s="11">
        <f>4.8165 * CHOOSE(CONTROL!$C$32, $C$9, 100%, $E$9)</f>
        <v>4.8164999999999996</v>
      </c>
      <c r="F171" s="11">
        <f>4.8165 * CHOOSE(CONTROL!$C$32, $C$9, 100%, $E$9)</f>
        <v>4.8164999999999996</v>
      </c>
      <c r="G171" s="11">
        <f>4.8197 * CHOOSE(CONTROL!$C$32, $C$9, 100%, $E$9)</f>
        <v>4.8197000000000001</v>
      </c>
      <c r="H171" s="11">
        <f>7.9942 * CHOOSE(CONTROL!$C$32, $C$9, 100%, $E$9)</f>
        <v>7.9942000000000002</v>
      </c>
      <c r="I171" s="11">
        <f>7.9974 * CHOOSE(CONTROL!$C$32, $C$9, 100%, $E$9)</f>
        <v>7.9973999999999998</v>
      </c>
      <c r="J171" s="11">
        <f>7.9942 * CHOOSE(CONTROL!$C$32, $C$9, 100%, $E$9)</f>
        <v>7.9942000000000002</v>
      </c>
      <c r="K171" s="11">
        <f>7.9974 * CHOOSE(CONTROL!$C$32, $C$9, 100%, $E$9)</f>
        <v>7.9973999999999998</v>
      </c>
      <c r="L171" s="11">
        <f>4.8165 * CHOOSE(CONTROL!$C$32, $C$9, 100%, $E$9)</f>
        <v>4.8164999999999996</v>
      </c>
      <c r="M171" s="11">
        <f>4.8197 * CHOOSE(CONTROL!$C$32, $C$9, 100%, $E$9)</f>
        <v>4.8197000000000001</v>
      </c>
      <c r="N171" s="11">
        <f>4.8165 * CHOOSE(CONTROL!$C$32, $C$9, 100%, $E$9)</f>
        <v>4.8164999999999996</v>
      </c>
      <c r="O171" s="11">
        <f>4.8197 * CHOOSE(CONTROL!$C$32, $C$9, 100%, $E$9)</f>
        <v>4.8197000000000001</v>
      </c>
    </row>
    <row r="172" spans="1:18" ht="15" x14ac:dyDescent="0.2">
      <c r="A172" s="13">
        <v>46082</v>
      </c>
      <c r="B172" s="9">
        <f>3.7831 * CHOOSE(CONTROL!$C$32, $C$9, 100%, $E$9)</f>
        <v>3.7831000000000001</v>
      </c>
      <c r="C172" s="9">
        <f>3.7831 * CHOOSE(CONTROL!$C$32, $C$9, 100%, $E$9)</f>
        <v>3.7831000000000001</v>
      </c>
      <c r="D172" s="9">
        <f>3.784 * CHOOSE(CONTROL!$C$32, $C$9, 100%, $E$9)</f>
        <v>3.7839999999999998</v>
      </c>
      <c r="E172" s="11">
        <f>4.8145 * CHOOSE(CONTROL!$C$32, $C$9, 100%, $E$9)</f>
        <v>4.8144999999999998</v>
      </c>
      <c r="F172" s="11">
        <f>4.8145 * CHOOSE(CONTROL!$C$32, $C$9, 100%, $E$9)</f>
        <v>4.8144999999999998</v>
      </c>
      <c r="G172" s="11">
        <f>4.8177 * CHOOSE(CONTROL!$C$32, $C$9, 100%, $E$9)</f>
        <v>4.8177000000000003</v>
      </c>
      <c r="H172" s="11">
        <f>8.0108 * CHOOSE(CONTROL!$C$32, $C$9, 100%, $E$9)</f>
        <v>8.0107999999999997</v>
      </c>
      <c r="I172" s="11">
        <f>8.0141 * CHOOSE(CONTROL!$C$32, $C$9, 100%, $E$9)</f>
        <v>8.0140999999999991</v>
      </c>
      <c r="J172" s="11">
        <f>8.0108 * CHOOSE(CONTROL!$C$32, $C$9, 100%, $E$9)</f>
        <v>8.0107999999999997</v>
      </c>
      <c r="K172" s="11">
        <f>8.0141 * CHOOSE(CONTROL!$C$32, $C$9, 100%, $E$9)</f>
        <v>8.0140999999999991</v>
      </c>
      <c r="L172" s="11">
        <f>4.8145 * CHOOSE(CONTROL!$C$32, $C$9, 100%, $E$9)</f>
        <v>4.8144999999999998</v>
      </c>
      <c r="M172" s="11">
        <f>4.8177 * CHOOSE(CONTROL!$C$32, $C$9, 100%, $E$9)</f>
        <v>4.8177000000000003</v>
      </c>
      <c r="N172" s="11">
        <f>4.8145 * CHOOSE(CONTROL!$C$32, $C$9, 100%, $E$9)</f>
        <v>4.8144999999999998</v>
      </c>
      <c r="O172" s="11">
        <f>4.8177 * CHOOSE(CONTROL!$C$32, $C$9, 100%, $E$9)</f>
        <v>4.8177000000000003</v>
      </c>
    </row>
    <row r="173" spans="1:18" ht="15" x14ac:dyDescent="0.2">
      <c r="A173" s="13">
        <v>46113</v>
      </c>
      <c r="B173" s="9">
        <f>3.7805 * CHOOSE(CONTROL!$C$32, $C$9, 100%, $E$9)</f>
        <v>3.7805</v>
      </c>
      <c r="C173" s="9">
        <f>3.7805 * CHOOSE(CONTROL!$C$32, $C$9, 100%, $E$9)</f>
        <v>3.7805</v>
      </c>
      <c r="D173" s="9">
        <f>3.7815 * CHOOSE(CONTROL!$C$32, $C$9, 100%, $E$9)</f>
        <v>3.7814999999999999</v>
      </c>
      <c r="E173" s="11">
        <f>4.8123 * CHOOSE(CONTROL!$C$32, $C$9, 100%, $E$9)</f>
        <v>4.8122999999999996</v>
      </c>
      <c r="F173" s="11">
        <f>4.8123 * CHOOSE(CONTROL!$C$32, $C$9, 100%, $E$9)</f>
        <v>4.8122999999999996</v>
      </c>
      <c r="G173" s="11">
        <f>4.8156 * CHOOSE(CONTROL!$C$32, $C$9, 100%, $E$9)</f>
        <v>4.8155999999999999</v>
      </c>
      <c r="H173" s="11">
        <f>8.0275 * CHOOSE(CONTROL!$C$32, $C$9, 100%, $E$9)</f>
        <v>8.0274999999999999</v>
      </c>
      <c r="I173" s="11">
        <f>8.0307 * CHOOSE(CONTROL!$C$32, $C$9, 100%, $E$9)</f>
        <v>8.0306999999999995</v>
      </c>
      <c r="J173" s="11">
        <f>8.0275 * CHOOSE(CONTROL!$C$32, $C$9, 100%, $E$9)</f>
        <v>8.0274999999999999</v>
      </c>
      <c r="K173" s="11">
        <f>8.0307 * CHOOSE(CONTROL!$C$32, $C$9, 100%, $E$9)</f>
        <v>8.0306999999999995</v>
      </c>
      <c r="L173" s="11">
        <f>4.8123 * CHOOSE(CONTROL!$C$32, $C$9, 100%, $E$9)</f>
        <v>4.8122999999999996</v>
      </c>
      <c r="M173" s="11">
        <f>4.8156 * CHOOSE(CONTROL!$C$32, $C$9, 100%, $E$9)</f>
        <v>4.8155999999999999</v>
      </c>
      <c r="N173" s="11">
        <f>4.8123 * CHOOSE(CONTROL!$C$32, $C$9, 100%, $E$9)</f>
        <v>4.8122999999999996</v>
      </c>
      <c r="O173" s="11">
        <f>4.8156 * CHOOSE(CONTROL!$C$32, $C$9, 100%, $E$9)</f>
        <v>4.8155999999999999</v>
      </c>
    </row>
    <row r="174" spans="1:18" ht="15" x14ac:dyDescent="0.2">
      <c r="A174" s="13">
        <v>46143</v>
      </c>
      <c r="B174" s="9">
        <f>3.7805 * CHOOSE(CONTROL!$C$32, $C$9, 100%, $E$9)</f>
        <v>3.7805</v>
      </c>
      <c r="C174" s="9">
        <f>3.7805 * CHOOSE(CONTROL!$C$32, $C$9, 100%, $E$9)</f>
        <v>3.7805</v>
      </c>
      <c r="D174" s="9">
        <f>3.7818 * CHOOSE(CONTROL!$C$32, $C$9, 100%, $E$9)</f>
        <v>3.7818000000000001</v>
      </c>
      <c r="E174" s="11">
        <f>4.8123 * CHOOSE(CONTROL!$C$32, $C$9, 100%, $E$9)</f>
        <v>4.8122999999999996</v>
      </c>
      <c r="F174" s="11">
        <f>4.8123 * CHOOSE(CONTROL!$C$32, $C$9, 100%, $E$9)</f>
        <v>4.8122999999999996</v>
      </c>
      <c r="G174" s="11">
        <f>4.8165 * CHOOSE(CONTROL!$C$32, $C$9, 100%, $E$9)</f>
        <v>4.8164999999999996</v>
      </c>
      <c r="H174" s="11">
        <f>8.0442 * CHOOSE(CONTROL!$C$32, $C$9, 100%, $E$9)</f>
        <v>8.0442</v>
      </c>
      <c r="I174" s="11">
        <f>8.0484 * CHOOSE(CONTROL!$C$32, $C$9, 100%, $E$9)</f>
        <v>8.0484000000000009</v>
      </c>
      <c r="J174" s="11">
        <f>8.0442 * CHOOSE(CONTROL!$C$32, $C$9, 100%, $E$9)</f>
        <v>8.0442</v>
      </c>
      <c r="K174" s="11">
        <f>8.0484 * CHOOSE(CONTROL!$C$32, $C$9, 100%, $E$9)</f>
        <v>8.0484000000000009</v>
      </c>
      <c r="L174" s="11">
        <f>4.8123 * CHOOSE(CONTROL!$C$32, $C$9, 100%, $E$9)</f>
        <v>4.8122999999999996</v>
      </c>
      <c r="M174" s="11">
        <f>4.8165 * CHOOSE(CONTROL!$C$32, $C$9, 100%, $E$9)</f>
        <v>4.8164999999999996</v>
      </c>
      <c r="N174" s="11">
        <f>4.8123 * CHOOSE(CONTROL!$C$32, $C$9, 100%, $E$9)</f>
        <v>4.8122999999999996</v>
      </c>
      <c r="O174" s="11">
        <f>4.8165 * CHOOSE(CONTROL!$C$32, $C$9, 100%, $E$9)</f>
        <v>4.8164999999999996</v>
      </c>
    </row>
    <row r="175" spans="1:18" ht="15" x14ac:dyDescent="0.2">
      <c r="A175" s="13">
        <v>46174</v>
      </c>
      <c r="B175" s="9">
        <f>3.7866 * CHOOSE(CONTROL!$C$32, $C$9, 100%, $E$9)</f>
        <v>3.7866</v>
      </c>
      <c r="C175" s="9">
        <f>3.7866 * CHOOSE(CONTROL!$C$32, $C$9, 100%, $E$9)</f>
        <v>3.7866</v>
      </c>
      <c r="D175" s="9">
        <f>3.7879 * CHOOSE(CONTROL!$C$32, $C$9, 100%, $E$9)</f>
        <v>3.7879</v>
      </c>
      <c r="E175" s="11">
        <f>4.8163 * CHOOSE(CONTROL!$C$32, $C$9, 100%, $E$9)</f>
        <v>4.8163</v>
      </c>
      <c r="F175" s="11">
        <f>4.8163 * CHOOSE(CONTROL!$C$32, $C$9, 100%, $E$9)</f>
        <v>4.8163</v>
      </c>
      <c r="G175" s="11">
        <f>4.8205 * CHOOSE(CONTROL!$C$32, $C$9, 100%, $E$9)</f>
        <v>4.8205</v>
      </c>
      <c r="H175" s="11">
        <f>8.061 * CHOOSE(CONTROL!$C$32, $C$9, 100%, $E$9)</f>
        <v>8.0609999999999999</v>
      </c>
      <c r="I175" s="11">
        <f>8.0652 * CHOOSE(CONTROL!$C$32, $C$9, 100%, $E$9)</f>
        <v>8.0652000000000008</v>
      </c>
      <c r="J175" s="11">
        <f>8.061 * CHOOSE(CONTROL!$C$32, $C$9, 100%, $E$9)</f>
        <v>8.0609999999999999</v>
      </c>
      <c r="K175" s="11">
        <f>8.0652 * CHOOSE(CONTROL!$C$32, $C$9, 100%, $E$9)</f>
        <v>8.0652000000000008</v>
      </c>
      <c r="L175" s="11">
        <f>4.8163 * CHOOSE(CONTROL!$C$32, $C$9, 100%, $E$9)</f>
        <v>4.8163</v>
      </c>
      <c r="M175" s="11">
        <f>4.8205 * CHOOSE(CONTROL!$C$32, $C$9, 100%, $E$9)</f>
        <v>4.8205</v>
      </c>
      <c r="N175" s="11">
        <f>4.8163 * CHOOSE(CONTROL!$C$32, $C$9, 100%, $E$9)</f>
        <v>4.8163</v>
      </c>
      <c r="O175" s="11">
        <f>4.8205 * CHOOSE(CONTROL!$C$32, $C$9, 100%, $E$9)</f>
        <v>4.8205</v>
      </c>
    </row>
    <row r="176" spans="1:18" ht="15" x14ac:dyDescent="0.2">
      <c r="A176" s="13">
        <v>46204</v>
      </c>
      <c r="B176" s="9">
        <f>3.8506 * CHOOSE(CONTROL!$C$32, $C$9, 100%, $E$9)</f>
        <v>3.8506</v>
      </c>
      <c r="C176" s="9">
        <f>3.8506 * CHOOSE(CONTROL!$C$32, $C$9, 100%, $E$9)</f>
        <v>3.8506</v>
      </c>
      <c r="D176" s="9">
        <f>3.8519 * CHOOSE(CONTROL!$C$32, $C$9, 100%, $E$9)</f>
        <v>3.8519000000000001</v>
      </c>
      <c r="E176" s="11">
        <f>4.9098 * CHOOSE(CONTROL!$C$32, $C$9, 100%, $E$9)</f>
        <v>4.9097999999999997</v>
      </c>
      <c r="F176" s="11">
        <f>4.9098 * CHOOSE(CONTROL!$C$32, $C$9, 100%, $E$9)</f>
        <v>4.9097999999999997</v>
      </c>
      <c r="G176" s="11">
        <f>4.914 * CHOOSE(CONTROL!$C$32, $C$9, 100%, $E$9)</f>
        <v>4.9139999999999997</v>
      </c>
      <c r="H176" s="11">
        <f>8.0778 * CHOOSE(CONTROL!$C$32, $C$9, 100%, $E$9)</f>
        <v>8.0777999999999999</v>
      </c>
      <c r="I176" s="11">
        <f>8.082 * CHOOSE(CONTROL!$C$32, $C$9, 100%, $E$9)</f>
        <v>8.0820000000000007</v>
      </c>
      <c r="J176" s="11">
        <f>8.0778 * CHOOSE(CONTROL!$C$32, $C$9, 100%, $E$9)</f>
        <v>8.0777999999999999</v>
      </c>
      <c r="K176" s="11">
        <f>8.082 * CHOOSE(CONTROL!$C$32, $C$9, 100%, $E$9)</f>
        <v>8.0820000000000007</v>
      </c>
      <c r="L176" s="11">
        <f>4.9098 * CHOOSE(CONTROL!$C$32, $C$9, 100%, $E$9)</f>
        <v>4.9097999999999997</v>
      </c>
      <c r="M176" s="11">
        <f>4.914 * CHOOSE(CONTROL!$C$32, $C$9, 100%, $E$9)</f>
        <v>4.9139999999999997</v>
      </c>
      <c r="N176" s="11">
        <f>4.9098 * CHOOSE(CONTROL!$C$32, $C$9, 100%, $E$9)</f>
        <v>4.9097999999999997</v>
      </c>
      <c r="O176" s="11">
        <f>4.914 * CHOOSE(CONTROL!$C$32, $C$9, 100%, $E$9)</f>
        <v>4.9139999999999997</v>
      </c>
    </row>
    <row r="177" spans="1:15" ht="15" x14ac:dyDescent="0.2">
      <c r="A177" s="13">
        <v>46235</v>
      </c>
      <c r="B177" s="9">
        <f>3.8573 * CHOOSE(CONTROL!$C$32, $C$9, 100%, $E$9)</f>
        <v>3.8573</v>
      </c>
      <c r="C177" s="9">
        <f>3.8573 * CHOOSE(CONTROL!$C$32, $C$9, 100%, $E$9)</f>
        <v>3.8573</v>
      </c>
      <c r="D177" s="9">
        <f>3.8586 * CHOOSE(CONTROL!$C$32, $C$9, 100%, $E$9)</f>
        <v>3.8586</v>
      </c>
      <c r="E177" s="11">
        <f>4.9142 * CHOOSE(CONTROL!$C$32, $C$9, 100%, $E$9)</f>
        <v>4.9142000000000001</v>
      </c>
      <c r="F177" s="11">
        <f>4.9142 * CHOOSE(CONTROL!$C$32, $C$9, 100%, $E$9)</f>
        <v>4.9142000000000001</v>
      </c>
      <c r="G177" s="11">
        <f>4.9184 * CHOOSE(CONTROL!$C$32, $C$9, 100%, $E$9)</f>
        <v>4.9184000000000001</v>
      </c>
      <c r="H177" s="11">
        <f>8.0946 * CHOOSE(CONTROL!$C$32, $C$9, 100%, $E$9)</f>
        <v>8.0945999999999998</v>
      </c>
      <c r="I177" s="11">
        <f>8.0988 * CHOOSE(CONTROL!$C$32, $C$9, 100%, $E$9)</f>
        <v>8.0988000000000007</v>
      </c>
      <c r="J177" s="11">
        <f>8.0946 * CHOOSE(CONTROL!$C$32, $C$9, 100%, $E$9)</f>
        <v>8.0945999999999998</v>
      </c>
      <c r="K177" s="11">
        <f>8.0988 * CHOOSE(CONTROL!$C$32, $C$9, 100%, $E$9)</f>
        <v>8.0988000000000007</v>
      </c>
      <c r="L177" s="11">
        <f>4.9142 * CHOOSE(CONTROL!$C$32, $C$9, 100%, $E$9)</f>
        <v>4.9142000000000001</v>
      </c>
      <c r="M177" s="11">
        <f>4.9184 * CHOOSE(CONTROL!$C$32, $C$9, 100%, $E$9)</f>
        <v>4.9184000000000001</v>
      </c>
      <c r="N177" s="11">
        <f>4.9142 * CHOOSE(CONTROL!$C$32, $C$9, 100%, $E$9)</f>
        <v>4.9142000000000001</v>
      </c>
      <c r="O177" s="11">
        <f>4.9184 * CHOOSE(CONTROL!$C$32, $C$9, 100%, $E$9)</f>
        <v>4.9184000000000001</v>
      </c>
    </row>
    <row r="178" spans="1:15" ht="15" x14ac:dyDescent="0.2">
      <c r="A178" s="13">
        <v>46266</v>
      </c>
      <c r="B178" s="9">
        <f>3.8543 * CHOOSE(CONTROL!$C$32, $C$9, 100%, $E$9)</f>
        <v>3.8542999999999998</v>
      </c>
      <c r="C178" s="9">
        <f>3.8543 * CHOOSE(CONTROL!$C$32, $C$9, 100%, $E$9)</f>
        <v>3.8542999999999998</v>
      </c>
      <c r="D178" s="9">
        <f>3.8555 * CHOOSE(CONTROL!$C$32, $C$9, 100%, $E$9)</f>
        <v>3.8555000000000001</v>
      </c>
      <c r="E178" s="11">
        <f>4.9122 * CHOOSE(CONTROL!$C$32, $C$9, 100%, $E$9)</f>
        <v>4.9122000000000003</v>
      </c>
      <c r="F178" s="11">
        <f>4.9122 * CHOOSE(CONTROL!$C$32, $C$9, 100%, $E$9)</f>
        <v>4.9122000000000003</v>
      </c>
      <c r="G178" s="11">
        <f>4.9164 * CHOOSE(CONTROL!$C$32, $C$9, 100%, $E$9)</f>
        <v>4.9164000000000003</v>
      </c>
      <c r="H178" s="11">
        <f>8.1115 * CHOOSE(CONTROL!$C$32, $C$9, 100%, $E$9)</f>
        <v>8.1114999999999995</v>
      </c>
      <c r="I178" s="11">
        <f>8.1157 * CHOOSE(CONTROL!$C$32, $C$9, 100%, $E$9)</f>
        <v>8.1157000000000004</v>
      </c>
      <c r="J178" s="11">
        <f>8.1115 * CHOOSE(CONTROL!$C$32, $C$9, 100%, $E$9)</f>
        <v>8.1114999999999995</v>
      </c>
      <c r="K178" s="11">
        <f>8.1157 * CHOOSE(CONTROL!$C$32, $C$9, 100%, $E$9)</f>
        <v>8.1157000000000004</v>
      </c>
      <c r="L178" s="11">
        <f>4.9122 * CHOOSE(CONTROL!$C$32, $C$9, 100%, $E$9)</f>
        <v>4.9122000000000003</v>
      </c>
      <c r="M178" s="11">
        <f>4.9164 * CHOOSE(CONTROL!$C$32, $C$9, 100%, $E$9)</f>
        <v>4.9164000000000003</v>
      </c>
      <c r="N178" s="11">
        <f>4.9122 * CHOOSE(CONTROL!$C$32, $C$9, 100%, $E$9)</f>
        <v>4.9122000000000003</v>
      </c>
      <c r="O178" s="11">
        <f>4.9164 * CHOOSE(CONTROL!$C$32, $C$9, 100%, $E$9)</f>
        <v>4.9164000000000003</v>
      </c>
    </row>
    <row r="179" spans="1:15" ht="15" x14ac:dyDescent="0.2">
      <c r="A179" s="13">
        <v>46296</v>
      </c>
      <c r="B179" s="9">
        <f>3.8489 * CHOOSE(CONTROL!$C$32, $C$9, 100%, $E$9)</f>
        <v>3.8489</v>
      </c>
      <c r="C179" s="9">
        <f>3.8489 * CHOOSE(CONTROL!$C$32, $C$9, 100%, $E$9)</f>
        <v>3.8489</v>
      </c>
      <c r="D179" s="9">
        <f>3.8498 * CHOOSE(CONTROL!$C$32, $C$9, 100%, $E$9)</f>
        <v>3.8498000000000001</v>
      </c>
      <c r="E179" s="11">
        <f>4.9067 * CHOOSE(CONTROL!$C$32, $C$9, 100%, $E$9)</f>
        <v>4.9066999999999998</v>
      </c>
      <c r="F179" s="11">
        <f>4.9067 * CHOOSE(CONTROL!$C$32, $C$9, 100%, $E$9)</f>
        <v>4.9066999999999998</v>
      </c>
      <c r="G179" s="11">
        <f>4.9099 * CHOOSE(CONTROL!$C$32, $C$9, 100%, $E$9)</f>
        <v>4.9099000000000004</v>
      </c>
      <c r="H179" s="11">
        <f>8.1284 * CHOOSE(CONTROL!$C$32, $C$9, 100%, $E$9)</f>
        <v>8.1283999999999992</v>
      </c>
      <c r="I179" s="11">
        <f>8.1316 * CHOOSE(CONTROL!$C$32, $C$9, 100%, $E$9)</f>
        <v>8.1316000000000006</v>
      </c>
      <c r="J179" s="11">
        <f>8.1284 * CHOOSE(CONTROL!$C$32, $C$9, 100%, $E$9)</f>
        <v>8.1283999999999992</v>
      </c>
      <c r="K179" s="11">
        <f>8.1316 * CHOOSE(CONTROL!$C$32, $C$9, 100%, $E$9)</f>
        <v>8.1316000000000006</v>
      </c>
      <c r="L179" s="11">
        <f>4.9067 * CHOOSE(CONTROL!$C$32, $C$9, 100%, $E$9)</f>
        <v>4.9066999999999998</v>
      </c>
      <c r="M179" s="11">
        <f>4.9099 * CHOOSE(CONTROL!$C$32, $C$9, 100%, $E$9)</f>
        <v>4.9099000000000004</v>
      </c>
      <c r="N179" s="11">
        <f>4.9067 * CHOOSE(CONTROL!$C$32, $C$9, 100%, $E$9)</f>
        <v>4.9066999999999998</v>
      </c>
      <c r="O179" s="11">
        <f>4.9099 * CHOOSE(CONTROL!$C$32, $C$9, 100%, $E$9)</f>
        <v>4.9099000000000004</v>
      </c>
    </row>
    <row r="180" spans="1:15" ht="15" x14ac:dyDescent="0.2">
      <c r="A180" s="13">
        <v>46327</v>
      </c>
      <c r="B180" s="9">
        <f>3.8519 * CHOOSE(CONTROL!$C$32, $C$9, 100%, $E$9)</f>
        <v>3.8519000000000001</v>
      </c>
      <c r="C180" s="9">
        <f>3.8519 * CHOOSE(CONTROL!$C$32, $C$9, 100%, $E$9)</f>
        <v>3.8519000000000001</v>
      </c>
      <c r="D180" s="9">
        <f>3.8529 * CHOOSE(CONTROL!$C$32, $C$9, 100%, $E$9)</f>
        <v>3.8529</v>
      </c>
      <c r="E180" s="11">
        <f>4.9087 * CHOOSE(CONTROL!$C$32, $C$9, 100%, $E$9)</f>
        <v>4.9086999999999996</v>
      </c>
      <c r="F180" s="11">
        <f>4.9087 * CHOOSE(CONTROL!$C$32, $C$9, 100%, $E$9)</f>
        <v>4.9086999999999996</v>
      </c>
      <c r="G180" s="11">
        <f>4.9119 * CHOOSE(CONTROL!$C$32, $C$9, 100%, $E$9)</f>
        <v>4.9119000000000002</v>
      </c>
      <c r="H180" s="11">
        <f>8.1453 * CHOOSE(CONTROL!$C$32, $C$9, 100%, $E$9)</f>
        <v>8.1453000000000007</v>
      </c>
      <c r="I180" s="11">
        <f>8.1485 * CHOOSE(CONTROL!$C$32, $C$9, 100%, $E$9)</f>
        <v>8.1485000000000003</v>
      </c>
      <c r="J180" s="11">
        <f>8.1453 * CHOOSE(CONTROL!$C$32, $C$9, 100%, $E$9)</f>
        <v>8.1453000000000007</v>
      </c>
      <c r="K180" s="11">
        <f>8.1485 * CHOOSE(CONTROL!$C$32, $C$9, 100%, $E$9)</f>
        <v>8.1485000000000003</v>
      </c>
      <c r="L180" s="11">
        <f>4.9087 * CHOOSE(CONTROL!$C$32, $C$9, 100%, $E$9)</f>
        <v>4.9086999999999996</v>
      </c>
      <c r="M180" s="11">
        <f>4.9119 * CHOOSE(CONTROL!$C$32, $C$9, 100%, $E$9)</f>
        <v>4.9119000000000002</v>
      </c>
      <c r="N180" s="11">
        <f>4.9087 * CHOOSE(CONTROL!$C$32, $C$9, 100%, $E$9)</f>
        <v>4.9086999999999996</v>
      </c>
      <c r="O180" s="11">
        <f>4.9119 * CHOOSE(CONTROL!$C$32, $C$9, 100%, $E$9)</f>
        <v>4.9119000000000002</v>
      </c>
    </row>
    <row r="181" spans="1:15" ht="15" x14ac:dyDescent="0.2">
      <c r="A181" s="13">
        <v>46357</v>
      </c>
      <c r="B181" s="9">
        <f>3.8519 * CHOOSE(CONTROL!$C$32, $C$9, 100%, $E$9)</f>
        <v>3.8519000000000001</v>
      </c>
      <c r="C181" s="9">
        <f>3.8519 * CHOOSE(CONTROL!$C$32, $C$9, 100%, $E$9)</f>
        <v>3.8519000000000001</v>
      </c>
      <c r="D181" s="9">
        <f>3.8529 * CHOOSE(CONTROL!$C$32, $C$9, 100%, $E$9)</f>
        <v>3.8529</v>
      </c>
      <c r="E181" s="11">
        <f>4.9087 * CHOOSE(CONTROL!$C$32, $C$9, 100%, $E$9)</f>
        <v>4.9086999999999996</v>
      </c>
      <c r="F181" s="11">
        <f>4.9087 * CHOOSE(CONTROL!$C$32, $C$9, 100%, $E$9)</f>
        <v>4.9086999999999996</v>
      </c>
      <c r="G181" s="11">
        <f>4.9119 * CHOOSE(CONTROL!$C$32, $C$9, 100%, $E$9)</f>
        <v>4.9119000000000002</v>
      </c>
      <c r="H181" s="11">
        <f>8.1623 * CHOOSE(CONTROL!$C$32, $C$9, 100%, $E$9)</f>
        <v>8.1623000000000001</v>
      </c>
      <c r="I181" s="11">
        <f>8.1655 * CHOOSE(CONTROL!$C$32, $C$9, 100%, $E$9)</f>
        <v>8.1654999999999998</v>
      </c>
      <c r="J181" s="11">
        <f>8.1623 * CHOOSE(CONTROL!$C$32, $C$9, 100%, $E$9)</f>
        <v>8.1623000000000001</v>
      </c>
      <c r="K181" s="11">
        <f>8.1655 * CHOOSE(CONTROL!$C$32, $C$9, 100%, $E$9)</f>
        <v>8.1654999999999998</v>
      </c>
      <c r="L181" s="11">
        <f>4.9087 * CHOOSE(CONTROL!$C$32, $C$9, 100%, $E$9)</f>
        <v>4.9086999999999996</v>
      </c>
      <c r="M181" s="11">
        <f>4.9119 * CHOOSE(CONTROL!$C$32, $C$9, 100%, $E$9)</f>
        <v>4.9119000000000002</v>
      </c>
      <c r="N181" s="11">
        <f>4.9087 * CHOOSE(CONTROL!$C$32, $C$9, 100%, $E$9)</f>
        <v>4.9086999999999996</v>
      </c>
      <c r="O181" s="11">
        <f>4.9119 * CHOOSE(CONTROL!$C$32, $C$9, 100%, $E$9)</f>
        <v>4.9119000000000002</v>
      </c>
    </row>
    <row r="182" spans="1:15" ht="15" x14ac:dyDescent="0.2">
      <c r="A182" s="13">
        <v>46388</v>
      </c>
      <c r="B182" s="9">
        <f>3.8871 * CHOOSE(CONTROL!$C$32, $C$9, 100%, $E$9)</f>
        <v>3.8871000000000002</v>
      </c>
      <c r="C182" s="9">
        <f>3.8871 * CHOOSE(CONTROL!$C$32, $C$9, 100%, $E$9)</f>
        <v>3.8871000000000002</v>
      </c>
      <c r="D182" s="9">
        <f>3.888 * CHOOSE(CONTROL!$C$32, $C$9, 100%, $E$9)</f>
        <v>3.8879999999999999</v>
      </c>
      <c r="E182" s="11">
        <f>4.9479 * CHOOSE(CONTROL!$C$32, $C$9, 100%, $E$9)</f>
        <v>4.9478999999999997</v>
      </c>
      <c r="F182" s="11">
        <f>4.9479 * CHOOSE(CONTROL!$C$32, $C$9, 100%, $E$9)</f>
        <v>4.9478999999999997</v>
      </c>
      <c r="G182" s="11">
        <f>4.9511 * CHOOSE(CONTROL!$C$32, $C$9, 100%, $E$9)</f>
        <v>4.9511000000000003</v>
      </c>
      <c r="H182" s="11">
        <f>8.1793 * CHOOSE(CONTROL!$C$32, $C$9, 100%, $E$9)</f>
        <v>8.1792999999999996</v>
      </c>
      <c r="I182" s="11">
        <f>8.1825 * CHOOSE(CONTROL!$C$32, $C$9, 100%, $E$9)</f>
        <v>8.1824999999999992</v>
      </c>
      <c r="J182" s="11">
        <f>8.1793 * CHOOSE(CONTROL!$C$32, $C$9, 100%, $E$9)</f>
        <v>8.1792999999999996</v>
      </c>
      <c r="K182" s="11">
        <f>8.1825 * CHOOSE(CONTROL!$C$32, $C$9, 100%, $E$9)</f>
        <v>8.1824999999999992</v>
      </c>
      <c r="L182" s="11">
        <f>4.9479 * CHOOSE(CONTROL!$C$32, $C$9, 100%, $E$9)</f>
        <v>4.9478999999999997</v>
      </c>
      <c r="M182" s="11">
        <f>4.9511 * CHOOSE(CONTROL!$C$32, $C$9, 100%, $E$9)</f>
        <v>4.9511000000000003</v>
      </c>
      <c r="N182" s="11">
        <f>4.9479 * CHOOSE(CONTROL!$C$32, $C$9, 100%, $E$9)</f>
        <v>4.9478999999999997</v>
      </c>
      <c r="O182" s="11">
        <f>4.9511 * CHOOSE(CONTROL!$C$32, $C$9, 100%, $E$9)</f>
        <v>4.9511000000000003</v>
      </c>
    </row>
    <row r="183" spans="1:15" ht="15" x14ac:dyDescent="0.2">
      <c r="A183" s="13">
        <v>46419</v>
      </c>
      <c r="B183" s="9">
        <f>3.884 * CHOOSE(CONTROL!$C$32, $C$9, 100%, $E$9)</f>
        <v>3.8839999999999999</v>
      </c>
      <c r="C183" s="9">
        <f>3.884 * CHOOSE(CONTROL!$C$32, $C$9, 100%, $E$9)</f>
        <v>3.8839999999999999</v>
      </c>
      <c r="D183" s="9">
        <f>3.885 * CHOOSE(CONTROL!$C$32, $C$9, 100%, $E$9)</f>
        <v>3.8849999999999998</v>
      </c>
      <c r="E183" s="11">
        <f>4.9459 * CHOOSE(CONTROL!$C$32, $C$9, 100%, $E$9)</f>
        <v>4.9459</v>
      </c>
      <c r="F183" s="11">
        <f>4.9459 * CHOOSE(CONTROL!$C$32, $C$9, 100%, $E$9)</f>
        <v>4.9459</v>
      </c>
      <c r="G183" s="11">
        <f>4.9491 * CHOOSE(CONTROL!$C$32, $C$9, 100%, $E$9)</f>
        <v>4.9490999999999996</v>
      </c>
      <c r="H183" s="11">
        <f>8.1963 * CHOOSE(CONTROL!$C$32, $C$9, 100%, $E$9)</f>
        <v>8.1963000000000008</v>
      </c>
      <c r="I183" s="11">
        <f>8.1996 * CHOOSE(CONTROL!$C$32, $C$9, 100%, $E$9)</f>
        <v>8.1996000000000002</v>
      </c>
      <c r="J183" s="11">
        <f>8.1963 * CHOOSE(CONTROL!$C$32, $C$9, 100%, $E$9)</f>
        <v>8.1963000000000008</v>
      </c>
      <c r="K183" s="11">
        <f>8.1996 * CHOOSE(CONTROL!$C$32, $C$9, 100%, $E$9)</f>
        <v>8.1996000000000002</v>
      </c>
      <c r="L183" s="11">
        <f>4.9459 * CHOOSE(CONTROL!$C$32, $C$9, 100%, $E$9)</f>
        <v>4.9459</v>
      </c>
      <c r="M183" s="11">
        <f>4.9491 * CHOOSE(CONTROL!$C$32, $C$9, 100%, $E$9)</f>
        <v>4.9490999999999996</v>
      </c>
      <c r="N183" s="11">
        <f>4.9459 * CHOOSE(CONTROL!$C$32, $C$9, 100%, $E$9)</f>
        <v>4.9459</v>
      </c>
      <c r="O183" s="11">
        <f>4.9491 * CHOOSE(CONTROL!$C$32, $C$9, 100%, $E$9)</f>
        <v>4.9490999999999996</v>
      </c>
    </row>
    <row r="184" spans="1:15" ht="15" x14ac:dyDescent="0.2">
      <c r="A184" s="13">
        <v>46447</v>
      </c>
      <c r="B184" s="9">
        <f>3.881 * CHOOSE(CONTROL!$C$32, $C$9, 100%, $E$9)</f>
        <v>3.8809999999999998</v>
      </c>
      <c r="C184" s="9">
        <f>3.881 * CHOOSE(CONTROL!$C$32, $C$9, 100%, $E$9)</f>
        <v>3.8809999999999998</v>
      </c>
      <c r="D184" s="9">
        <f>3.882 * CHOOSE(CONTROL!$C$32, $C$9, 100%, $E$9)</f>
        <v>3.8820000000000001</v>
      </c>
      <c r="E184" s="11">
        <f>4.9439 * CHOOSE(CONTROL!$C$32, $C$9, 100%, $E$9)</f>
        <v>4.9439000000000002</v>
      </c>
      <c r="F184" s="11">
        <f>4.9439 * CHOOSE(CONTROL!$C$32, $C$9, 100%, $E$9)</f>
        <v>4.9439000000000002</v>
      </c>
      <c r="G184" s="11">
        <f>4.9471 * CHOOSE(CONTROL!$C$32, $C$9, 100%, $E$9)</f>
        <v>4.9470999999999998</v>
      </c>
      <c r="H184" s="11">
        <f>8.2134 * CHOOSE(CONTROL!$C$32, $C$9, 100%, $E$9)</f>
        <v>8.2134</v>
      </c>
      <c r="I184" s="11">
        <f>8.2166 * CHOOSE(CONTROL!$C$32, $C$9, 100%, $E$9)</f>
        <v>8.2165999999999997</v>
      </c>
      <c r="J184" s="11">
        <f>8.2134 * CHOOSE(CONTROL!$C$32, $C$9, 100%, $E$9)</f>
        <v>8.2134</v>
      </c>
      <c r="K184" s="11">
        <f>8.2166 * CHOOSE(CONTROL!$C$32, $C$9, 100%, $E$9)</f>
        <v>8.2165999999999997</v>
      </c>
      <c r="L184" s="11">
        <f>4.9439 * CHOOSE(CONTROL!$C$32, $C$9, 100%, $E$9)</f>
        <v>4.9439000000000002</v>
      </c>
      <c r="M184" s="11">
        <f>4.9471 * CHOOSE(CONTROL!$C$32, $C$9, 100%, $E$9)</f>
        <v>4.9470999999999998</v>
      </c>
      <c r="N184" s="11">
        <f>4.9439 * CHOOSE(CONTROL!$C$32, $C$9, 100%, $E$9)</f>
        <v>4.9439000000000002</v>
      </c>
      <c r="O184" s="11">
        <f>4.9471 * CHOOSE(CONTROL!$C$32, $C$9, 100%, $E$9)</f>
        <v>4.9470999999999998</v>
      </c>
    </row>
    <row r="185" spans="1:15" ht="15" x14ac:dyDescent="0.2">
      <c r="A185" s="13">
        <v>46478</v>
      </c>
      <c r="B185" s="9">
        <f>3.8786 * CHOOSE(CONTROL!$C$32, $C$9, 100%, $E$9)</f>
        <v>3.8786</v>
      </c>
      <c r="C185" s="9">
        <f>3.8786 * CHOOSE(CONTROL!$C$32, $C$9, 100%, $E$9)</f>
        <v>3.8786</v>
      </c>
      <c r="D185" s="9">
        <f>3.8795 * CHOOSE(CONTROL!$C$32, $C$9, 100%, $E$9)</f>
        <v>3.8795000000000002</v>
      </c>
      <c r="E185" s="11">
        <f>4.9418 * CHOOSE(CONTROL!$C$32, $C$9, 100%, $E$9)</f>
        <v>4.9417999999999997</v>
      </c>
      <c r="F185" s="11">
        <f>4.9418 * CHOOSE(CONTROL!$C$32, $C$9, 100%, $E$9)</f>
        <v>4.9417999999999997</v>
      </c>
      <c r="G185" s="11">
        <f>4.945 * CHOOSE(CONTROL!$C$32, $C$9, 100%, $E$9)</f>
        <v>4.9450000000000003</v>
      </c>
      <c r="H185" s="11">
        <f>8.2305 * CHOOSE(CONTROL!$C$32, $C$9, 100%, $E$9)</f>
        <v>8.2304999999999993</v>
      </c>
      <c r="I185" s="11">
        <f>8.2337 * CHOOSE(CONTROL!$C$32, $C$9, 100%, $E$9)</f>
        <v>8.2337000000000007</v>
      </c>
      <c r="J185" s="11">
        <f>8.2305 * CHOOSE(CONTROL!$C$32, $C$9, 100%, $E$9)</f>
        <v>8.2304999999999993</v>
      </c>
      <c r="K185" s="11">
        <f>8.2337 * CHOOSE(CONTROL!$C$32, $C$9, 100%, $E$9)</f>
        <v>8.2337000000000007</v>
      </c>
      <c r="L185" s="11">
        <f>4.9418 * CHOOSE(CONTROL!$C$32, $C$9, 100%, $E$9)</f>
        <v>4.9417999999999997</v>
      </c>
      <c r="M185" s="11">
        <f>4.945 * CHOOSE(CONTROL!$C$32, $C$9, 100%, $E$9)</f>
        <v>4.9450000000000003</v>
      </c>
      <c r="N185" s="11">
        <f>4.9418 * CHOOSE(CONTROL!$C$32, $C$9, 100%, $E$9)</f>
        <v>4.9417999999999997</v>
      </c>
      <c r="O185" s="11">
        <f>4.945 * CHOOSE(CONTROL!$C$32, $C$9, 100%, $E$9)</f>
        <v>4.9450000000000003</v>
      </c>
    </row>
    <row r="186" spans="1:15" ht="15" x14ac:dyDescent="0.2">
      <c r="A186" s="13">
        <v>46508</v>
      </c>
      <c r="B186" s="9">
        <f>3.8786 * CHOOSE(CONTROL!$C$32, $C$9, 100%, $E$9)</f>
        <v>3.8786</v>
      </c>
      <c r="C186" s="9">
        <f>3.8786 * CHOOSE(CONTROL!$C$32, $C$9, 100%, $E$9)</f>
        <v>3.8786</v>
      </c>
      <c r="D186" s="9">
        <f>3.8798 * CHOOSE(CONTROL!$C$32, $C$9, 100%, $E$9)</f>
        <v>3.8797999999999999</v>
      </c>
      <c r="E186" s="11">
        <f>4.9418 * CHOOSE(CONTROL!$C$32, $C$9, 100%, $E$9)</f>
        <v>4.9417999999999997</v>
      </c>
      <c r="F186" s="11">
        <f>4.9418 * CHOOSE(CONTROL!$C$32, $C$9, 100%, $E$9)</f>
        <v>4.9417999999999997</v>
      </c>
      <c r="G186" s="11">
        <f>4.946 * CHOOSE(CONTROL!$C$32, $C$9, 100%, $E$9)</f>
        <v>4.9459999999999997</v>
      </c>
      <c r="H186" s="11">
        <f>8.2477 * CHOOSE(CONTROL!$C$32, $C$9, 100%, $E$9)</f>
        <v>8.2477</v>
      </c>
      <c r="I186" s="11">
        <f>8.2519 * CHOOSE(CONTROL!$C$32, $C$9, 100%, $E$9)</f>
        <v>8.2518999999999991</v>
      </c>
      <c r="J186" s="11">
        <f>8.2477 * CHOOSE(CONTROL!$C$32, $C$9, 100%, $E$9)</f>
        <v>8.2477</v>
      </c>
      <c r="K186" s="11">
        <f>8.2519 * CHOOSE(CONTROL!$C$32, $C$9, 100%, $E$9)</f>
        <v>8.2518999999999991</v>
      </c>
      <c r="L186" s="11">
        <f>4.9418 * CHOOSE(CONTROL!$C$32, $C$9, 100%, $E$9)</f>
        <v>4.9417999999999997</v>
      </c>
      <c r="M186" s="11">
        <f>4.946 * CHOOSE(CONTROL!$C$32, $C$9, 100%, $E$9)</f>
        <v>4.9459999999999997</v>
      </c>
      <c r="N186" s="11">
        <f>4.9418 * CHOOSE(CONTROL!$C$32, $C$9, 100%, $E$9)</f>
        <v>4.9417999999999997</v>
      </c>
      <c r="O186" s="11">
        <f>4.946 * CHOOSE(CONTROL!$C$32, $C$9, 100%, $E$9)</f>
        <v>4.9459999999999997</v>
      </c>
    </row>
    <row r="187" spans="1:15" ht="15" x14ac:dyDescent="0.2">
      <c r="A187" s="13">
        <v>46539</v>
      </c>
      <c r="B187" s="9">
        <f>3.8846 * CHOOSE(CONTROL!$C$32, $C$9, 100%, $E$9)</f>
        <v>3.8845999999999998</v>
      </c>
      <c r="C187" s="9">
        <f>3.8846 * CHOOSE(CONTROL!$C$32, $C$9, 100%, $E$9)</f>
        <v>3.8845999999999998</v>
      </c>
      <c r="D187" s="9">
        <f>3.8859 * CHOOSE(CONTROL!$C$32, $C$9, 100%, $E$9)</f>
        <v>3.8858999999999999</v>
      </c>
      <c r="E187" s="11">
        <f>4.9458 * CHOOSE(CONTROL!$C$32, $C$9, 100%, $E$9)</f>
        <v>4.9458000000000002</v>
      </c>
      <c r="F187" s="11">
        <f>4.9458 * CHOOSE(CONTROL!$C$32, $C$9, 100%, $E$9)</f>
        <v>4.9458000000000002</v>
      </c>
      <c r="G187" s="11">
        <f>4.95 * CHOOSE(CONTROL!$C$32, $C$9, 100%, $E$9)</f>
        <v>4.95</v>
      </c>
      <c r="H187" s="11">
        <f>8.2649 * CHOOSE(CONTROL!$C$32, $C$9, 100%, $E$9)</f>
        <v>8.2649000000000008</v>
      </c>
      <c r="I187" s="11">
        <f>8.2691 * CHOOSE(CONTROL!$C$32, $C$9, 100%, $E$9)</f>
        <v>8.2690999999999999</v>
      </c>
      <c r="J187" s="11">
        <f>8.2649 * CHOOSE(CONTROL!$C$32, $C$9, 100%, $E$9)</f>
        <v>8.2649000000000008</v>
      </c>
      <c r="K187" s="11">
        <f>8.2691 * CHOOSE(CONTROL!$C$32, $C$9, 100%, $E$9)</f>
        <v>8.2690999999999999</v>
      </c>
      <c r="L187" s="11">
        <f>4.9458 * CHOOSE(CONTROL!$C$32, $C$9, 100%, $E$9)</f>
        <v>4.9458000000000002</v>
      </c>
      <c r="M187" s="11">
        <f>4.95 * CHOOSE(CONTROL!$C$32, $C$9, 100%, $E$9)</f>
        <v>4.95</v>
      </c>
      <c r="N187" s="11">
        <f>4.9458 * CHOOSE(CONTROL!$C$32, $C$9, 100%, $E$9)</f>
        <v>4.9458000000000002</v>
      </c>
      <c r="O187" s="11">
        <f>4.95 * CHOOSE(CONTROL!$C$32, $C$9, 100%, $E$9)</f>
        <v>4.95</v>
      </c>
    </row>
    <row r="188" spans="1:15" ht="15" x14ac:dyDescent="0.2">
      <c r="A188" s="13">
        <v>46569</v>
      </c>
      <c r="B188" s="9">
        <f>3.951 * CHOOSE(CONTROL!$C$32, $C$9, 100%, $E$9)</f>
        <v>3.9510000000000001</v>
      </c>
      <c r="C188" s="9">
        <f>3.951 * CHOOSE(CONTROL!$C$32, $C$9, 100%, $E$9)</f>
        <v>3.9510000000000001</v>
      </c>
      <c r="D188" s="9">
        <f>3.9522 * CHOOSE(CONTROL!$C$32, $C$9, 100%, $E$9)</f>
        <v>3.9521999999999999</v>
      </c>
      <c r="E188" s="11">
        <f>5.0318 * CHOOSE(CONTROL!$C$32, $C$9, 100%, $E$9)</f>
        <v>5.0317999999999996</v>
      </c>
      <c r="F188" s="11">
        <f>5.0318 * CHOOSE(CONTROL!$C$32, $C$9, 100%, $E$9)</f>
        <v>5.0317999999999996</v>
      </c>
      <c r="G188" s="11">
        <f>5.036 * CHOOSE(CONTROL!$C$32, $C$9, 100%, $E$9)</f>
        <v>5.0359999999999996</v>
      </c>
      <c r="H188" s="11">
        <f>8.2821 * CHOOSE(CONTROL!$C$32, $C$9, 100%, $E$9)</f>
        <v>8.2820999999999998</v>
      </c>
      <c r="I188" s="11">
        <f>8.2863 * CHOOSE(CONTROL!$C$32, $C$9, 100%, $E$9)</f>
        <v>8.2863000000000007</v>
      </c>
      <c r="J188" s="11">
        <f>8.2821 * CHOOSE(CONTROL!$C$32, $C$9, 100%, $E$9)</f>
        <v>8.2820999999999998</v>
      </c>
      <c r="K188" s="11">
        <f>8.2863 * CHOOSE(CONTROL!$C$32, $C$9, 100%, $E$9)</f>
        <v>8.2863000000000007</v>
      </c>
      <c r="L188" s="11">
        <f>5.0318 * CHOOSE(CONTROL!$C$32, $C$9, 100%, $E$9)</f>
        <v>5.0317999999999996</v>
      </c>
      <c r="M188" s="11">
        <f>5.036 * CHOOSE(CONTROL!$C$32, $C$9, 100%, $E$9)</f>
        <v>5.0359999999999996</v>
      </c>
      <c r="N188" s="11">
        <f>5.0318 * CHOOSE(CONTROL!$C$32, $C$9, 100%, $E$9)</f>
        <v>5.0317999999999996</v>
      </c>
      <c r="O188" s="11">
        <f>5.036 * CHOOSE(CONTROL!$C$32, $C$9, 100%, $E$9)</f>
        <v>5.0359999999999996</v>
      </c>
    </row>
    <row r="189" spans="1:15" ht="15" x14ac:dyDescent="0.2">
      <c r="A189" s="13">
        <v>46600</v>
      </c>
      <c r="B189" s="9">
        <f>3.9577 * CHOOSE(CONTROL!$C$32, $C$9, 100%, $E$9)</f>
        <v>3.9577</v>
      </c>
      <c r="C189" s="9">
        <f>3.9577 * CHOOSE(CONTROL!$C$32, $C$9, 100%, $E$9)</f>
        <v>3.9577</v>
      </c>
      <c r="D189" s="9">
        <f>3.9589 * CHOOSE(CONTROL!$C$32, $C$9, 100%, $E$9)</f>
        <v>3.9588999999999999</v>
      </c>
      <c r="E189" s="11">
        <f>5.0362 * CHOOSE(CONTROL!$C$32, $C$9, 100%, $E$9)</f>
        <v>5.0362</v>
      </c>
      <c r="F189" s="11">
        <f>5.0362 * CHOOSE(CONTROL!$C$32, $C$9, 100%, $E$9)</f>
        <v>5.0362</v>
      </c>
      <c r="G189" s="11">
        <f>5.0404 * CHOOSE(CONTROL!$C$32, $C$9, 100%, $E$9)</f>
        <v>5.0404</v>
      </c>
      <c r="H189" s="11">
        <f>8.2993 * CHOOSE(CONTROL!$C$32, $C$9, 100%, $E$9)</f>
        <v>8.2993000000000006</v>
      </c>
      <c r="I189" s="11">
        <f>8.3035 * CHOOSE(CONTROL!$C$32, $C$9, 100%, $E$9)</f>
        <v>8.3034999999999997</v>
      </c>
      <c r="J189" s="11">
        <f>8.2993 * CHOOSE(CONTROL!$C$32, $C$9, 100%, $E$9)</f>
        <v>8.2993000000000006</v>
      </c>
      <c r="K189" s="11">
        <f>8.3035 * CHOOSE(CONTROL!$C$32, $C$9, 100%, $E$9)</f>
        <v>8.3034999999999997</v>
      </c>
      <c r="L189" s="11">
        <f>5.0362 * CHOOSE(CONTROL!$C$32, $C$9, 100%, $E$9)</f>
        <v>5.0362</v>
      </c>
      <c r="M189" s="11">
        <f>5.0404 * CHOOSE(CONTROL!$C$32, $C$9, 100%, $E$9)</f>
        <v>5.0404</v>
      </c>
      <c r="N189" s="11">
        <f>5.0362 * CHOOSE(CONTROL!$C$32, $C$9, 100%, $E$9)</f>
        <v>5.0362</v>
      </c>
      <c r="O189" s="11">
        <f>5.0404 * CHOOSE(CONTROL!$C$32, $C$9, 100%, $E$9)</f>
        <v>5.0404</v>
      </c>
    </row>
    <row r="190" spans="1:15" ht="15" x14ac:dyDescent="0.2">
      <c r="A190" s="13">
        <v>46631</v>
      </c>
      <c r="B190" s="9">
        <f>3.9546 * CHOOSE(CONTROL!$C$32, $C$9, 100%, $E$9)</f>
        <v>3.9546000000000001</v>
      </c>
      <c r="C190" s="9">
        <f>3.9546 * CHOOSE(CONTROL!$C$32, $C$9, 100%, $E$9)</f>
        <v>3.9546000000000001</v>
      </c>
      <c r="D190" s="9">
        <f>3.9559 * CHOOSE(CONTROL!$C$32, $C$9, 100%, $E$9)</f>
        <v>3.9559000000000002</v>
      </c>
      <c r="E190" s="11">
        <f>5.0342 * CHOOSE(CONTROL!$C$32, $C$9, 100%, $E$9)</f>
        <v>5.0342000000000002</v>
      </c>
      <c r="F190" s="11">
        <f>5.0342 * CHOOSE(CONTROL!$C$32, $C$9, 100%, $E$9)</f>
        <v>5.0342000000000002</v>
      </c>
      <c r="G190" s="11">
        <f>5.0384 * CHOOSE(CONTROL!$C$32, $C$9, 100%, $E$9)</f>
        <v>5.0384000000000002</v>
      </c>
      <c r="H190" s="11">
        <f>8.3166 * CHOOSE(CONTROL!$C$32, $C$9, 100%, $E$9)</f>
        <v>8.3165999999999993</v>
      </c>
      <c r="I190" s="11">
        <f>8.3208 * CHOOSE(CONTROL!$C$32, $C$9, 100%, $E$9)</f>
        <v>8.3208000000000002</v>
      </c>
      <c r="J190" s="11">
        <f>8.3166 * CHOOSE(CONTROL!$C$32, $C$9, 100%, $E$9)</f>
        <v>8.3165999999999993</v>
      </c>
      <c r="K190" s="11">
        <f>8.3208 * CHOOSE(CONTROL!$C$32, $C$9, 100%, $E$9)</f>
        <v>8.3208000000000002</v>
      </c>
      <c r="L190" s="11">
        <f>5.0342 * CHOOSE(CONTROL!$C$32, $C$9, 100%, $E$9)</f>
        <v>5.0342000000000002</v>
      </c>
      <c r="M190" s="11">
        <f>5.0384 * CHOOSE(CONTROL!$C$32, $C$9, 100%, $E$9)</f>
        <v>5.0384000000000002</v>
      </c>
      <c r="N190" s="11">
        <f>5.0342 * CHOOSE(CONTROL!$C$32, $C$9, 100%, $E$9)</f>
        <v>5.0342000000000002</v>
      </c>
      <c r="O190" s="11">
        <f>5.0384 * CHOOSE(CONTROL!$C$32, $C$9, 100%, $E$9)</f>
        <v>5.0384000000000002</v>
      </c>
    </row>
    <row r="191" spans="1:15" ht="15" x14ac:dyDescent="0.2">
      <c r="A191" s="13">
        <v>46661</v>
      </c>
      <c r="B191" s="9">
        <f>3.9496 * CHOOSE(CONTROL!$C$32, $C$9, 100%, $E$9)</f>
        <v>3.9496000000000002</v>
      </c>
      <c r="C191" s="9">
        <f>3.9496 * CHOOSE(CONTROL!$C$32, $C$9, 100%, $E$9)</f>
        <v>3.9496000000000002</v>
      </c>
      <c r="D191" s="9">
        <f>3.9505 * CHOOSE(CONTROL!$C$32, $C$9, 100%, $E$9)</f>
        <v>3.9504999999999999</v>
      </c>
      <c r="E191" s="11">
        <f>5.0288 * CHOOSE(CONTROL!$C$32, $C$9, 100%, $E$9)</f>
        <v>5.0288000000000004</v>
      </c>
      <c r="F191" s="11">
        <f>5.0288 * CHOOSE(CONTROL!$C$32, $C$9, 100%, $E$9)</f>
        <v>5.0288000000000004</v>
      </c>
      <c r="G191" s="11">
        <f>5.0321 * CHOOSE(CONTROL!$C$32, $C$9, 100%, $E$9)</f>
        <v>5.0320999999999998</v>
      </c>
      <c r="H191" s="11">
        <f>8.3339 * CHOOSE(CONTROL!$C$32, $C$9, 100%, $E$9)</f>
        <v>8.3338999999999999</v>
      </c>
      <c r="I191" s="11">
        <f>8.3372 * CHOOSE(CONTROL!$C$32, $C$9, 100%, $E$9)</f>
        <v>8.3371999999999993</v>
      </c>
      <c r="J191" s="11">
        <f>8.3339 * CHOOSE(CONTROL!$C$32, $C$9, 100%, $E$9)</f>
        <v>8.3338999999999999</v>
      </c>
      <c r="K191" s="11">
        <f>8.3372 * CHOOSE(CONTROL!$C$32, $C$9, 100%, $E$9)</f>
        <v>8.3371999999999993</v>
      </c>
      <c r="L191" s="11">
        <f>5.0288 * CHOOSE(CONTROL!$C$32, $C$9, 100%, $E$9)</f>
        <v>5.0288000000000004</v>
      </c>
      <c r="M191" s="11">
        <f>5.0321 * CHOOSE(CONTROL!$C$32, $C$9, 100%, $E$9)</f>
        <v>5.0320999999999998</v>
      </c>
      <c r="N191" s="11">
        <f>5.0288 * CHOOSE(CONTROL!$C$32, $C$9, 100%, $E$9)</f>
        <v>5.0288000000000004</v>
      </c>
      <c r="O191" s="11">
        <f>5.0321 * CHOOSE(CONTROL!$C$32, $C$9, 100%, $E$9)</f>
        <v>5.0320999999999998</v>
      </c>
    </row>
    <row r="192" spans="1:15" ht="15" x14ac:dyDescent="0.2">
      <c r="A192" s="13">
        <v>46692</v>
      </c>
      <c r="B192" s="9">
        <f>3.9526 * CHOOSE(CONTROL!$C$32, $C$9, 100%, $E$9)</f>
        <v>3.9525999999999999</v>
      </c>
      <c r="C192" s="9">
        <f>3.9526 * CHOOSE(CONTROL!$C$32, $C$9, 100%, $E$9)</f>
        <v>3.9525999999999999</v>
      </c>
      <c r="D192" s="9">
        <f>3.9535 * CHOOSE(CONTROL!$C$32, $C$9, 100%, $E$9)</f>
        <v>3.9535</v>
      </c>
      <c r="E192" s="11">
        <f>5.0308 * CHOOSE(CONTROL!$C$32, $C$9, 100%, $E$9)</f>
        <v>5.0308000000000002</v>
      </c>
      <c r="F192" s="11">
        <f>5.0308 * CHOOSE(CONTROL!$C$32, $C$9, 100%, $E$9)</f>
        <v>5.0308000000000002</v>
      </c>
      <c r="G192" s="11">
        <f>5.0341 * CHOOSE(CONTROL!$C$32, $C$9, 100%, $E$9)</f>
        <v>5.0340999999999996</v>
      </c>
      <c r="H192" s="11">
        <f>8.3513 * CHOOSE(CONTROL!$C$32, $C$9, 100%, $E$9)</f>
        <v>8.3513000000000002</v>
      </c>
      <c r="I192" s="11">
        <f>8.3545 * CHOOSE(CONTROL!$C$32, $C$9, 100%, $E$9)</f>
        <v>8.3544999999999998</v>
      </c>
      <c r="J192" s="11">
        <f>8.3513 * CHOOSE(CONTROL!$C$32, $C$9, 100%, $E$9)</f>
        <v>8.3513000000000002</v>
      </c>
      <c r="K192" s="11">
        <f>8.3545 * CHOOSE(CONTROL!$C$32, $C$9, 100%, $E$9)</f>
        <v>8.3544999999999998</v>
      </c>
      <c r="L192" s="11">
        <f>5.0308 * CHOOSE(CONTROL!$C$32, $C$9, 100%, $E$9)</f>
        <v>5.0308000000000002</v>
      </c>
      <c r="M192" s="11">
        <f>5.0341 * CHOOSE(CONTROL!$C$32, $C$9, 100%, $E$9)</f>
        <v>5.0340999999999996</v>
      </c>
      <c r="N192" s="11">
        <f>5.0308 * CHOOSE(CONTROL!$C$32, $C$9, 100%, $E$9)</f>
        <v>5.0308000000000002</v>
      </c>
      <c r="O192" s="11">
        <f>5.0341 * CHOOSE(CONTROL!$C$32, $C$9, 100%, $E$9)</f>
        <v>5.0340999999999996</v>
      </c>
    </row>
    <row r="193" spans="1:15" ht="15" x14ac:dyDescent="0.2">
      <c r="A193" s="13">
        <v>46722</v>
      </c>
      <c r="B193" s="9">
        <f>3.9526 * CHOOSE(CONTROL!$C$32, $C$9, 100%, $E$9)</f>
        <v>3.9525999999999999</v>
      </c>
      <c r="C193" s="9">
        <f>3.9526 * CHOOSE(CONTROL!$C$32, $C$9, 100%, $E$9)</f>
        <v>3.9525999999999999</v>
      </c>
      <c r="D193" s="9">
        <f>3.9535 * CHOOSE(CONTROL!$C$32, $C$9, 100%, $E$9)</f>
        <v>3.9535</v>
      </c>
      <c r="E193" s="11">
        <f>5.0308 * CHOOSE(CONTROL!$C$32, $C$9, 100%, $E$9)</f>
        <v>5.0308000000000002</v>
      </c>
      <c r="F193" s="11">
        <f>5.0308 * CHOOSE(CONTROL!$C$32, $C$9, 100%, $E$9)</f>
        <v>5.0308000000000002</v>
      </c>
      <c r="G193" s="11">
        <f>5.0341 * CHOOSE(CONTROL!$C$32, $C$9, 100%, $E$9)</f>
        <v>5.0340999999999996</v>
      </c>
      <c r="H193" s="11">
        <f>8.3687 * CHOOSE(CONTROL!$C$32, $C$9, 100%, $E$9)</f>
        <v>8.3687000000000005</v>
      </c>
      <c r="I193" s="11">
        <f>8.3719 * CHOOSE(CONTROL!$C$32, $C$9, 100%, $E$9)</f>
        <v>8.3719000000000001</v>
      </c>
      <c r="J193" s="11">
        <f>8.3687 * CHOOSE(CONTROL!$C$32, $C$9, 100%, $E$9)</f>
        <v>8.3687000000000005</v>
      </c>
      <c r="K193" s="11">
        <f>8.3719 * CHOOSE(CONTROL!$C$32, $C$9, 100%, $E$9)</f>
        <v>8.3719000000000001</v>
      </c>
      <c r="L193" s="11">
        <f>5.0308 * CHOOSE(CONTROL!$C$32, $C$9, 100%, $E$9)</f>
        <v>5.0308000000000002</v>
      </c>
      <c r="M193" s="11">
        <f>5.0341 * CHOOSE(CONTROL!$C$32, $C$9, 100%, $E$9)</f>
        <v>5.0340999999999996</v>
      </c>
      <c r="N193" s="11">
        <f>5.0308 * CHOOSE(CONTROL!$C$32, $C$9, 100%, $E$9)</f>
        <v>5.0308000000000002</v>
      </c>
      <c r="O193" s="11">
        <f>5.0341 * CHOOSE(CONTROL!$C$32, $C$9, 100%, $E$9)</f>
        <v>5.0340999999999996</v>
      </c>
    </row>
    <row r="194" spans="1:15" ht="15" x14ac:dyDescent="0.2">
      <c r="A194" s="13">
        <v>46753</v>
      </c>
      <c r="B194" s="9">
        <f>3.9901 * CHOOSE(CONTROL!$C$32, $C$9, 100%, $E$9)</f>
        <v>3.9901</v>
      </c>
      <c r="C194" s="9">
        <f>3.9901 * CHOOSE(CONTROL!$C$32, $C$9, 100%, $E$9)</f>
        <v>3.9901</v>
      </c>
      <c r="D194" s="9">
        <f>3.9911 * CHOOSE(CONTROL!$C$32, $C$9, 100%, $E$9)</f>
        <v>3.9910999999999999</v>
      </c>
      <c r="E194" s="11">
        <f>5.0753 * CHOOSE(CONTROL!$C$32, $C$9, 100%, $E$9)</f>
        <v>5.0753000000000004</v>
      </c>
      <c r="F194" s="11">
        <f>5.0753 * CHOOSE(CONTROL!$C$32, $C$9, 100%, $E$9)</f>
        <v>5.0753000000000004</v>
      </c>
      <c r="G194" s="11">
        <f>5.0785 * CHOOSE(CONTROL!$C$32, $C$9, 100%, $E$9)</f>
        <v>5.0785</v>
      </c>
      <c r="H194" s="11">
        <f>8.3861 * CHOOSE(CONTROL!$C$32, $C$9, 100%, $E$9)</f>
        <v>8.3861000000000008</v>
      </c>
      <c r="I194" s="11">
        <f>8.3894 * CHOOSE(CONTROL!$C$32, $C$9, 100%, $E$9)</f>
        <v>8.3894000000000002</v>
      </c>
      <c r="J194" s="11">
        <f>8.3861 * CHOOSE(CONTROL!$C$32, $C$9, 100%, $E$9)</f>
        <v>8.3861000000000008</v>
      </c>
      <c r="K194" s="11">
        <f>8.3894 * CHOOSE(CONTROL!$C$32, $C$9, 100%, $E$9)</f>
        <v>8.3894000000000002</v>
      </c>
      <c r="L194" s="11">
        <f>5.0753 * CHOOSE(CONTROL!$C$32, $C$9, 100%, $E$9)</f>
        <v>5.0753000000000004</v>
      </c>
      <c r="M194" s="11">
        <f>5.0785 * CHOOSE(CONTROL!$C$32, $C$9, 100%, $E$9)</f>
        <v>5.0785</v>
      </c>
      <c r="N194" s="11">
        <f>5.0753 * CHOOSE(CONTROL!$C$32, $C$9, 100%, $E$9)</f>
        <v>5.0753000000000004</v>
      </c>
      <c r="O194" s="11">
        <f>5.0785 * CHOOSE(CONTROL!$C$32, $C$9, 100%, $E$9)</f>
        <v>5.0785</v>
      </c>
    </row>
    <row r="195" spans="1:15" ht="15" x14ac:dyDescent="0.2">
      <c r="A195" s="13">
        <v>46784</v>
      </c>
      <c r="B195" s="9">
        <f>3.9871 * CHOOSE(CONTROL!$C$32, $C$9, 100%, $E$9)</f>
        <v>3.9870999999999999</v>
      </c>
      <c r="C195" s="9">
        <f>3.9871 * CHOOSE(CONTROL!$C$32, $C$9, 100%, $E$9)</f>
        <v>3.9870999999999999</v>
      </c>
      <c r="D195" s="9">
        <f>3.988 * CHOOSE(CONTROL!$C$32, $C$9, 100%, $E$9)</f>
        <v>3.988</v>
      </c>
      <c r="E195" s="11">
        <f>5.0733 * CHOOSE(CONTROL!$C$32, $C$9, 100%, $E$9)</f>
        <v>5.0732999999999997</v>
      </c>
      <c r="F195" s="11">
        <f>5.0733 * CHOOSE(CONTROL!$C$32, $C$9, 100%, $E$9)</f>
        <v>5.0732999999999997</v>
      </c>
      <c r="G195" s="11">
        <f>5.0765 * CHOOSE(CONTROL!$C$32, $C$9, 100%, $E$9)</f>
        <v>5.0765000000000002</v>
      </c>
      <c r="H195" s="11">
        <f>8.4036 * CHOOSE(CONTROL!$C$32, $C$9, 100%, $E$9)</f>
        <v>8.4036000000000008</v>
      </c>
      <c r="I195" s="11">
        <f>8.4068 * CHOOSE(CONTROL!$C$32, $C$9, 100%, $E$9)</f>
        <v>8.4068000000000005</v>
      </c>
      <c r="J195" s="11">
        <f>8.4036 * CHOOSE(CONTROL!$C$32, $C$9, 100%, $E$9)</f>
        <v>8.4036000000000008</v>
      </c>
      <c r="K195" s="11">
        <f>8.4068 * CHOOSE(CONTROL!$C$32, $C$9, 100%, $E$9)</f>
        <v>8.4068000000000005</v>
      </c>
      <c r="L195" s="11">
        <f>5.0733 * CHOOSE(CONTROL!$C$32, $C$9, 100%, $E$9)</f>
        <v>5.0732999999999997</v>
      </c>
      <c r="M195" s="11">
        <f>5.0765 * CHOOSE(CONTROL!$C$32, $C$9, 100%, $E$9)</f>
        <v>5.0765000000000002</v>
      </c>
      <c r="N195" s="11">
        <f>5.0733 * CHOOSE(CONTROL!$C$32, $C$9, 100%, $E$9)</f>
        <v>5.0732999999999997</v>
      </c>
      <c r="O195" s="11">
        <f>5.0765 * CHOOSE(CONTROL!$C$32, $C$9, 100%, $E$9)</f>
        <v>5.0765000000000002</v>
      </c>
    </row>
    <row r="196" spans="1:15" ht="15" x14ac:dyDescent="0.2">
      <c r="A196" s="13">
        <v>46813</v>
      </c>
      <c r="B196" s="9">
        <f>3.984 * CHOOSE(CONTROL!$C$32, $C$9, 100%, $E$9)</f>
        <v>3.984</v>
      </c>
      <c r="C196" s="9">
        <f>3.984 * CHOOSE(CONTROL!$C$32, $C$9, 100%, $E$9)</f>
        <v>3.984</v>
      </c>
      <c r="D196" s="9">
        <f>3.985 * CHOOSE(CONTROL!$C$32, $C$9, 100%, $E$9)</f>
        <v>3.9849999999999999</v>
      </c>
      <c r="E196" s="11">
        <f>5.0713 * CHOOSE(CONTROL!$C$32, $C$9, 100%, $E$9)</f>
        <v>5.0712999999999999</v>
      </c>
      <c r="F196" s="11">
        <f>5.0713 * CHOOSE(CONTROL!$C$32, $C$9, 100%, $E$9)</f>
        <v>5.0712999999999999</v>
      </c>
      <c r="G196" s="11">
        <f>5.0745 * CHOOSE(CONTROL!$C$32, $C$9, 100%, $E$9)</f>
        <v>5.0744999999999996</v>
      </c>
      <c r="H196" s="11">
        <f>8.4211 * CHOOSE(CONTROL!$C$32, $C$9, 100%, $E$9)</f>
        <v>8.4210999999999991</v>
      </c>
      <c r="I196" s="11">
        <f>8.4243 * CHOOSE(CONTROL!$C$32, $C$9, 100%, $E$9)</f>
        <v>8.4243000000000006</v>
      </c>
      <c r="J196" s="11">
        <f>8.4211 * CHOOSE(CONTROL!$C$32, $C$9, 100%, $E$9)</f>
        <v>8.4210999999999991</v>
      </c>
      <c r="K196" s="11">
        <f>8.4243 * CHOOSE(CONTROL!$C$32, $C$9, 100%, $E$9)</f>
        <v>8.4243000000000006</v>
      </c>
      <c r="L196" s="11">
        <f>5.0713 * CHOOSE(CONTROL!$C$32, $C$9, 100%, $E$9)</f>
        <v>5.0712999999999999</v>
      </c>
      <c r="M196" s="11">
        <f>5.0745 * CHOOSE(CONTROL!$C$32, $C$9, 100%, $E$9)</f>
        <v>5.0744999999999996</v>
      </c>
      <c r="N196" s="11">
        <f>5.0713 * CHOOSE(CONTROL!$C$32, $C$9, 100%, $E$9)</f>
        <v>5.0712999999999999</v>
      </c>
      <c r="O196" s="11">
        <f>5.0745 * CHOOSE(CONTROL!$C$32, $C$9, 100%, $E$9)</f>
        <v>5.0744999999999996</v>
      </c>
    </row>
    <row r="197" spans="1:15" ht="15" x14ac:dyDescent="0.2">
      <c r="A197" s="13">
        <v>46844</v>
      </c>
      <c r="B197" s="9">
        <f>3.9817 * CHOOSE(CONTROL!$C$32, $C$9, 100%, $E$9)</f>
        <v>3.9817</v>
      </c>
      <c r="C197" s="9">
        <f>3.9817 * CHOOSE(CONTROL!$C$32, $C$9, 100%, $E$9)</f>
        <v>3.9817</v>
      </c>
      <c r="D197" s="9">
        <f>3.9826 * CHOOSE(CONTROL!$C$32, $C$9, 100%, $E$9)</f>
        <v>3.9826000000000001</v>
      </c>
      <c r="E197" s="11">
        <f>5.0692 * CHOOSE(CONTROL!$C$32, $C$9, 100%, $E$9)</f>
        <v>5.0692000000000004</v>
      </c>
      <c r="F197" s="11">
        <f>5.0692 * CHOOSE(CONTROL!$C$32, $C$9, 100%, $E$9)</f>
        <v>5.0692000000000004</v>
      </c>
      <c r="G197" s="11">
        <f>5.0724 * CHOOSE(CONTROL!$C$32, $C$9, 100%, $E$9)</f>
        <v>5.0724</v>
      </c>
      <c r="H197" s="11">
        <f>8.4387 * CHOOSE(CONTROL!$C$32, $C$9, 100%, $E$9)</f>
        <v>8.4387000000000008</v>
      </c>
      <c r="I197" s="11">
        <f>8.4419 * CHOOSE(CONTROL!$C$32, $C$9, 100%, $E$9)</f>
        <v>8.4419000000000004</v>
      </c>
      <c r="J197" s="11">
        <f>8.4387 * CHOOSE(CONTROL!$C$32, $C$9, 100%, $E$9)</f>
        <v>8.4387000000000008</v>
      </c>
      <c r="K197" s="11">
        <f>8.4419 * CHOOSE(CONTROL!$C$32, $C$9, 100%, $E$9)</f>
        <v>8.4419000000000004</v>
      </c>
      <c r="L197" s="11">
        <f>5.0692 * CHOOSE(CONTROL!$C$32, $C$9, 100%, $E$9)</f>
        <v>5.0692000000000004</v>
      </c>
      <c r="M197" s="11">
        <f>5.0724 * CHOOSE(CONTROL!$C$32, $C$9, 100%, $E$9)</f>
        <v>5.0724</v>
      </c>
      <c r="N197" s="11">
        <f>5.0692 * CHOOSE(CONTROL!$C$32, $C$9, 100%, $E$9)</f>
        <v>5.0692000000000004</v>
      </c>
      <c r="O197" s="11">
        <f>5.0724 * CHOOSE(CONTROL!$C$32, $C$9, 100%, $E$9)</f>
        <v>5.0724</v>
      </c>
    </row>
    <row r="198" spans="1:15" ht="15" x14ac:dyDescent="0.2">
      <c r="A198" s="13">
        <v>46874</v>
      </c>
      <c r="B198" s="9">
        <f>3.9817 * CHOOSE(CONTROL!$C$32, $C$9, 100%, $E$9)</f>
        <v>3.9817</v>
      </c>
      <c r="C198" s="9">
        <f>3.9817 * CHOOSE(CONTROL!$C$32, $C$9, 100%, $E$9)</f>
        <v>3.9817</v>
      </c>
      <c r="D198" s="9">
        <f>3.9829 * CHOOSE(CONTROL!$C$32, $C$9, 100%, $E$9)</f>
        <v>3.9828999999999999</v>
      </c>
      <c r="E198" s="11">
        <f>5.0692 * CHOOSE(CONTROL!$C$32, $C$9, 100%, $E$9)</f>
        <v>5.0692000000000004</v>
      </c>
      <c r="F198" s="11">
        <f>5.0692 * CHOOSE(CONTROL!$C$32, $C$9, 100%, $E$9)</f>
        <v>5.0692000000000004</v>
      </c>
      <c r="G198" s="11">
        <f>5.0734 * CHOOSE(CONTROL!$C$32, $C$9, 100%, $E$9)</f>
        <v>5.0734000000000004</v>
      </c>
      <c r="H198" s="11">
        <f>8.4562 * CHOOSE(CONTROL!$C$32, $C$9, 100%, $E$9)</f>
        <v>8.4562000000000008</v>
      </c>
      <c r="I198" s="11">
        <f>8.4604 * CHOOSE(CONTROL!$C$32, $C$9, 100%, $E$9)</f>
        <v>8.4603999999999999</v>
      </c>
      <c r="J198" s="11">
        <f>8.4562 * CHOOSE(CONTROL!$C$32, $C$9, 100%, $E$9)</f>
        <v>8.4562000000000008</v>
      </c>
      <c r="K198" s="11">
        <f>8.4604 * CHOOSE(CONTROL!$C$32, $C$9, 100%, $E$9)</f>
        <v>8.4603999999999999</v>
      </c>
      <c r="L198" s="11">
        <f>5.0692 * CHOOSE(CONTROL!$C$32, $C$9, 100%, $E$9)</f>
        <v>5.0692000000000004</v>
      </c>
      <c r="M198" s="11">
        <f>5.0734 * CHOOSE(CONTROL!$C$32, $C$9, 100%, $E$9)</f>
        <v>5.0734000000000004</v>
      </c>
      <c r="N198" s="11">
        <f>5.0692 * CHOOSE(CONTROL!$C$32, $C$9, 100%, $E$9)</f>
        <v>5.0692000000000004</v>
      </c>
      <c r="O198" s="11">
        <f>5.0734 * CHOOSE(CONTROL!$C$32, $C$9, 100%, $E$9)</f>
        <v>5.0734000000000004</v>
      </c>
    </row>
    <row r="199" spans="1:15" ht="15" x14ac:dyDescent="0.2">
      <c r="A199" s="13">
        <v>46905</v>
      </c>
      <c r="B199" s="9">
        <f>3.9878 * CHOOSE(CONTROL!$C$32, $C$9, 100%, $E$9)</f>
        <v>3.9878</v>
      </c>
      <c r="C199" s="9">
        <f>3.9878 * CHOOSE(CONTROL!$C$32, $C$9, 100%, $E$9)</f>
        <v>3.9878</v>
      </c>
      <c r="D199" s="9">
        <f>3.989 * CHOOSE(CONTROL!$C$32, $C$9, 100%, $E$9)</f>
        <v>3.9889999999999999</v>
      </c>
      <c r="E199" s="11">
        <f>5.0732 * CHOOSE(CONTROL!$C$32, $C$9, 100%, $E$9)</f>
        <v>5.0731999999999999</v>
      </c>
      <c r="F199" s="11">
        <f>5.0732 * CHOOSE(CONTROL!$C$32, $C$9, 100%, $E$9)</f>
        <v>5.0731999999999999</v>
      </c>
      <c r="G199" s="11">
        <f>5.0774 * CHOOSE(CONTROL!$C$32, $C$9, 100%, $E$9)</f>
        <v>5.0773999999999999</v>
      </c>
      <c r="H199" s="11">
        <f>8.4739 * CHOOSE(CONTROL!$C$32, $C$9, 100%, $E$9)</f>
        <v>8.4739000000000004</v>
      </c>
      <c r="I199" s="11">
        <f>8.4781 * CHOOSE(CONTROL!$C$32, $C$9, 100%, $E$9)</f>
        <v>8.4780999999999995</v>
      </c>
      <c r="J199" s="11">
        <f>8.4739 * CHOOSE(CONTROL!$C$32, $C$9, 100%, $E$9)</f>
        <v>8.4739000000000004</v>
      </c>
      <c r="K199" s="11">
        <f>8.4781 * CHOOSE(CONTROL!$C$32, $C$9, 100%, $E$9)</f>
        <v>8.4780999999999995</v>
      </c>
      <c r="L199" s="11">
        <f>5.0732 * CHOOSE(CONTROL!$C$32, $C$9, 100%, $E$9)</f>
        <v>5.0731999999999999</v>
      </c>
      <c r="M199" s="11">
        <f>5.0774 * CHOOSE(CONTROL!$C$32, $C$9, 100%, $E$9)</f>
        <v>5.0773999999999999</v>
      </c>
      <c r="N199" s="11">
        <f>5.0732 * CHOOSE(CONTROL!$C$32, $C$9, 100%, $E$9)</f>
        <v>5.0731999999999999</v>
      </c>
      <c r="O199" s="11">
        <f>5.0774 * CHOOSE(CONTROL!$C$32, $C$9, 100%, $E$9)</f>
        <v>5.0773999999999999</v>
      </c>
    </row>
    <row r="200" spans="1:15" ht="15" x14ac:dyDescent="0.2">
      <c r="A200" s="13">
        <v>46935</v>
      </c>
      <c r="B200" s="9">
        <f>4.0588 * CHOOSE(CONTROL!$C$32, $C$9, 100%, $E$9)</f>
        <v>4.0587999999999997</v>
      </c>
      <c r="C200" s="9">
        <f>4.0588 * CHOOSE(CONTROL!$C$32, $C$9, 100%, $E$9)</f>
        <v>4.0587999999999997</v>
      </c>
      <c r="D200" s="9">
        <f>4.06 * CHOOSE(CONTROL!$C$32, $C$9, 100%, $E$9)</f>
        <v>4.0599999999999996</v>
      </c>
      <c r="E200" s="11">
        <f>5.1714 * CHOOSE(CONTROL!$C$32, $C$9, 100%, $E$9)</f>
        <v>5.1714000000000002</v>
      </c>
      <c r="F200" s="11">
        <f>5.1714 * CHOOSE(CONTROL!$C$32, $C$9, 100%, $E$9)</f>
        <v>5.1714000000000002</v>
      </c>
      <c r="G200" s="11">
        <f>5.1756 * CHOOSE(CONTROL!$C$32, $C$9, 100%, $E$9)</f>
        <v>5.1756000000000002</v>
      </c>
      <c r="H200" s="11">
        <f>8.4915 * CHOOSE(CONTROL!$C$32, $C$9, 100%, $E$9)</f>
        <v>8.4915000000000003</v>
      </c>
      <c r="I200" s="11">
        <f>8.4957 * CHOOSE(CONTROL!$C$32, $C$9, 100%, $E$9)</f>
        <v>8.4956999999999994</v>
      </c>
      <c r="J200" s="11">
        <f>8.4915 * CHOOSE(CONTROL!$C$32, $C$9, 100%, $E$9)</f>
        <v>8.4915000000000003</v>
      </c>
      <c r="K200" s="11">
        <f>8.4957 * CHOOSE(CONTROL!$C$32, $C$9, 100%, $E$9)</f>
        <v>8.4956999999999994</v>
      </c>
      <c r="L200" s="11">
        <f>5.1714 * CHOOSE(CONTROL!$C$32, $C$9, 100%, $E$9)</f>
        <v>5.1714000000000002</v>
      </c>
      <c r="M200" s="11">
        <f>5.1756 * CHOOSE(CONTROL!$C$32, $C$9, 100%, $E$9)</f>
        <v>5.1756000000000002</v>
      </c>
      <c r="N200" s="11">
        <f>5.1714 * CHOOSE(CONTROL!$C$32, $C$9, 100%, $E$9)</f>
        <v>5.1714000000000002</v>
      </c>
      <c r="O200" s="11">
        <f>5.1756 * CHOOSE(CONTROL!$C$32, $C$9, 100%, $E$9)</f>
        <v>5.1756000000000002</v>
      </c>
    </row>
    <row r="201" spans="1:15" ht="15" x14ac:dyDescent="0.2">
      <c r="A201" s="13">
        <v>46966</v>
      </c>
      <c r="B201" s="9">
        <f>4.0654 * CHOOSE(CONTROL!$C$32, $C$9, 100%, $E$9)</f>
        <v>4.0654000000000003</v>
      </c>
      <c r="C201" s="9">
        <f>4.0654 * CHOOSE(CONTROL!$C$32, $C$9, 100%, $E$9)</f>
        <v>4.0654000000000003</v>
      </c>
      <c r="D201" s="9">
        <f>4.0667 * CHOOSE(CONTROL!$C$32, $C$9, 100%, $E$9)</f>
        <v>4.0667</v>
      </c>
      <c r="E201" s="11">
        <f>5.1758 * CHOOSE(CONTROL!$C$32, $C$9, 100%, $E$9)</f>
        <v>5.1757999999999997</v>
      </c>
      <c r="F201" s="11">
        <f>5.1758 * CHOOSE(CONTROL!$C$32, $C$9, 100%, $E$9)</f>
        <v>5.1757999999999997</v>
      </c>
      <c r="G201" s="11">
        <f>5.18 * CHOOSE(CONTROL!$C$32, $C$9, 100%, $E$9)</f>
        <v>5.18</v>
      </c>
      <c r="H201" s="11">
        <f>8.5092 * CHOOSE(CONTROL!$C$32, $C$9, 100%, $E$9)</f>
        <v>8.5091999999999999</v>
      </c>
      <c r="I201" s="11">
        <f>8.5134 * CHOOSE(CONTROL!$C$32, $C$9, 100%, $E$9)</f>
        <v>8.5134000000000007</v>
      </c>
      <c r="J201" s="11">
        <f>8.5092 * CHOOSE(CONTROL!$C$32, $C$9, 100%, $E$9)</f>
        <v>8.5091999999999999</v>
      </c>
      <c r="K201" s="11">
        <f>8.5134 * CHOOSE(CONTROL!$C$32, $C$9, 100%, $E$9)</f>
        <v>8.5134000000000007</v>
      </c>
      <c r="L201" s="11">
        <f>5.1758 * CHOOSE(CONTROL!$C$32, $C$9, 100%, $E$9)</f>
        <v>5.1757999999999997</v>
      </c>
      <c r="M201" s="11">
        <f>5.18 * CHOOSE(CONTROL!$C$32, $C$9, 100%, $E$9)</f>
        <v>5.18</v>
      </c>
      <c r="N201" s="11">
        <f>5.1758 * CHOOSE(CONTROL!$C$32, $C$9, 100%, $E$9)</f>
        <v>5.1757999999999997</v>
      </c>
      <c r="O201" s="11">
        <f>5.18 * CHOOSE(CONTROL!$C$32, $C$9, 100%, $E$9)</f>
        <v>5.18</v>
      </c>
    </row>
    <row r="202" spans="1:15" ht="15" x14ac:dyDescent="0.2">
      <c r="A202" s="13">
        <v>46997</v>
      </c>
      <c r="B202" s="9">
        <f>4.0624 * CHOOSE(CONTROL!$C$32, $C$9, 100%, $E$9)</f>
        <v>4.0624000000000002</v>
      </c>
      <c r="C202" s="9">
        <f>4.0624 * CHOOSE(CONTROL!$C$32, $C$9, 100%, $E$9)</f>
        <v>4.0624000000000002</v>
      </c>
      <c r="D202" s="9">
        <f>4.0637 * CHOOSE(CONTROL!$C$32, $C$9, 100%, $E$9)</f>
        <v>4.0636999999999999</v>
      </c>
      <c r="E202" s="11">
        <f>5.1738 * CHOOSE(CONTROL!$C$32, $C$9, 100%, $E$9)</f>
        <v>5.1738</v>
      </c>
      <c r="F202" s="11">
        <f>5.1738 * CHOOSE(CONTROL!$C$32, $C$9, 100%, $E$9)</f>
        <v>5.1738</v>
      </c>
      <c r="G202" s="11">
        <f>5.178 * CHOOSE(CONTROL!$C$32, $C$9, 100%, $E$9)</f>
        <v>5.1779999999999999</v>
      </c>
      <c r="H202" s="11">
        <f>8.5269 * CHOOSE(CONTROL!$C$32, $C$9, 100%, $E$9)</f>
        <v>8.5268999999999995</v>
      </c>
      <c r="I202" s="11">
        <f>8.5311 * CHOOSE(CONTROL!$C$32, $C$9, 100%, $E$9)</f>
        <v>8.5311000000000003</v>
      </c>
      <c r="J202" s="11">
        <f>8.5269 * CHOOSE(CONTROL!$C$32, $C$9, 100%, $E$9)</f>
        <v>8.5268999999999995</v>
      </c>
      <c r="K202" s="11">
        <f>8.5311 * CHOOSE(CONTROL!$C$32, $C$9, 100%, $E$9)</f>
        <v>8.5311000000000003</v>
      </c>
      <c r="L202" s="11">
        <f>5.1738 * CHOOSE(CONTROL!$C$32, $C$9, 100%, $E$9)</f>
        <v>5.1738</v>
      </c>
      <c r="M202" s="11">
        <f>5.178 * CHOOSE(CONTROL!$C$32, $C$9, 100%, $E$9)</f>
        <v>5.1779999999999999</v>
      </c>
      <c r="N202" s="11">
        <f>5.1738 * CHOOSE(CONTROL!$C$32, $C$9, 100%, $E$9)</f>
        <v>5.1738</v>
      </c>
      <c r="O202" s="11">
        <f>5.178 * CHOOSE(CONTROL!$C$32, $C$9, 100%, $E$9)</f>
        <v>5.1779999999999999</v>
      </c>
    </row>
    <row r="203" spans="1:15" ht="15" x14ac:dyDescent="0.2">
      <c r="A203" s="13">
        <v>47027</v>
      </c>
      <c r="B203" s="9">
        <f>4.0577 * CHOOSE(CONTROL!$C$32, $C$9, 100%, $E$9)</f>
        <v>4.0576999999999996</v>
      </c>
      <c r="C203" s="9">
        <f>4.0577 * CHOOSE(CONTROL!$C$32, $C$9, 100%, $E$9)</f>
        <v>4.0576999999999996</v>
      </c>
      <c r="D203" s="9">
        <f>4.0587 * CHOOSE(CONTROL!$C$32, $C$9, 100%, $E$9)</f>
        <v>4.0587</v>
      </c>
      <c r="E203" s="11">
        <f>5.1686 * CHOOSE(CONTROL!$C$32, $C$9, 100%, $E$9)</f>
        <v>5.1685999999999996</v>
      </c>
      <c r="F203" s="11">
        <f>5.1686 * CHOOSE(CONTROL!$C$32, $C$9, 100%, $E$9)</f>
        <v>5.1685999999999996</v>
      </c>
      <c r="G203" s="11">
        <f>5.1718 * CHOOSE(CONTROL!$C$32, $C$9, 100%, $E$9)</f>
        <v>5.1718000000000002</v>
      </c>
      <c r="H203" s="11">
        <f>8.5447 * CHOOSE(CONTROL!$C$32, $C$9, 100%, $E$9)</f>
        <v>8.5447000000000006</v>
      </c>
      <c r="I203" s="11">
        <f>8.5479 * CHOOSE(CONTROL!$C$32, $C$9, 100%, $E$9)</f>
        <v>8.5479000000000003</v>
      </c>
      <c r="J203" s="11">
        <f>8.5447 * CHOOSE(CONTROL!$C$32, $C$9, 100%, $E$9)</f>
        <v>8.5447000000000006</v>
      </c>
      <c r="K203" s="11">
        <f>8.5479 * CHOOSE(CONTROL!$C$32, $C$9, 100%, $E$9)</f>
        <v>8.5479000000000003</v>
      </c>
      <c r="L203" s="11">
        <f>5.1686 * CHOOSE(CONTROL!$C$32, $C$9, 100%, $E$9)</f>
        <v>5.1685999999999996</v>
      </c>
      <c r="M203" s="11">
        <f>5.1718 * CHOOSE(CONTROL!$C$32, $C$9, 100%, $E$9)</f>
        <v>5.1718000000000002</v>
      </c>
      <c r="N203" s="11">
        <f>5.1686 * CHOOSE(CONTROL!$C$32, $C$9, 100%, $E$9)</f>
        <v>5.1685999999999996</v>
      </c>
      <c r="O203" s="11">
        <f>5.1718 * CHOOSE(CONTROL!$C$32, $C$9, 100%, $E$9)</f>
        <v>5.1718000000000002</v>
      </c>
    </row>
    <row r="204" spans="1:15" ht="15" x14ac:dyDescent="0.2">
      <c r="A204" s="13">
        <v>47058</v>
      </c>
      <c r="B204" s="9">
        <f>4.0607 * CHOOSE(CONTROL!$C$32, $C$9, 100%, $E$9)</f>
        <v>4.0606999999999998</v>
      </c>
      <c r="C204" s="9">
        <f>4.0607 * CHOOSE(CONTROL!$C$32, $C$9, 100%, $E$9)</f>
        <v>4.0606999999999998</v>
      </c>
      <c r="D204" s="9">
        <f>4.0617 * CHOOSE(CONTROL!$C$32, $C$9, 100%, $E$9)</f>
        <v>4.0617000000000001</v>
      </c>
      <c r="E204" s="11">
        <f>5.1706 * CHOOSE(CONTROL!$C$32, $C$9, 100%, $E$9)</f>
        <v>5.1706000000000003</v>
      </c>
      <c r="F204" s="11">
        <f>5.1706 * CHOOSE(CONTROL!$C$32, $C$9, 100%, $E$9)</f>
        <v>5.1706000000000003</v>
      </c>
      <c r="G204" s="11">
        <f>5.1738 * CHOOSE(CONTROL!$C$32, $C$9, 100%, $E$9)</f>
        <v>5.1738</v>
      </c>
      <c r="H204" s="11">
        <f>8.5625 * CHOOSE(CONTROL!$C$32, $C$9, 100%, $E$9)</f>
        <v>8.5625</v>
      </c>
      <c r="I204" s="11">
        <f>8.5657 * CHOOSE(CONTROL!$C$32, $C$9, 100%, $E$9)</f>
        <v>8.5656999999999996</v>
      </c>
      <c r="J204" s="11">
        <f>8.5625 * CHOOSE(CONTROL!$C$32, $C$9, 100%, $E$9)</f>
        <v>8.5625</v>
      </c>
      <c r="K204" s="11">
        <f>8.5657 * CHOOSE(CONTROL!$C$32, $C$9, 100%, $E$9)</f>
        <v>8.5656999999999996</v>
      </c>
      <c r="L204" s="11">
        <f>5.1706 * CHOOSE(CONTROL!$C$32, $C$9, 100%, $E$9)</f>
        <v>5.1706000000000003</v>
      </c>
      <c r="M204" s="11">
        <f>5.1738 * CHOOSE(CONTROL!$C$32, $C$9, 100%, $E$9)</f>
        <v>5.1738</v>
      </c>
      <c r="N204" s="11">
        <f>5.1706 * CHOOSE(CONTROL!$C$32, $C$9, 100%, $E$9)</f>
        <v>5.1706000000000003</v>
      </c>
      <c r="O204" s="11">
        <f>5.1738 * CHOOSE(CONTROL!$C$32, $C$9, 100%, $E$9)</f>
        <v>5.1738</v>
      </c>
    </row>
    <row r="205" spans="1:15" ht="15" x14ac:dyDescent="0.2">
      <c r="A205" s="13">
        <v>47088</v>
      </c>
      <c r="B205" s="9">
        <f>4.0607 * CHOOSE(CONTROL!$C$32, $C$9, 100%, $E$9)</f>
        <v>4.0606999999999998</v>
      </c>
      <c r="C205" s="9">
        <f>4.0607 * CHOOSE(CONTROL!$C$32, $C$9, 100%, $E$9)</f>
        <v>4.0606999999999998</v>
      </c>
      <c r="D205" s="9">
        <f>4.0617 * CHOOSE(CONTROL!$C$32, $C$9, 100%, $E$9)</f>
        <v>4.0617000000000001</v>
      </c>
      <c r="E205" s="11">
        <f>5.1706 * CHOOSE(CONTROL!$C$32, $C$9, 100%, $E$9)</f>
        <v>5.1706000000000003</v>
      </c>
      <c r="F205" s="11">
        <f>5.1706 * CHOOSE(CONTROL!$C$32, $C$9, 100%, $E$9)</f>
        <v>5.1706000000000003</v>
      </c>
      <c r="G205" s="11">
        <f>5.1738 * CHOOSE(CONTROL!$C$32, $C$9, 100%, $E$9)</f>
        <v>5.1738</v>
      </c>
      <c r="H205" s="11">
        <f>8.5803 * CHOOSE(CONTROL!$C$32, $C$9, 100%, $E$9)</f>
        <v>8.5802999999999994</v>
      </c>
      <c r="I205" s="11">
        <f>8.5836 * CHOOSE(CONTROL!$C$32, $C$9, 100%, $E$9)</f>
        <v>8.5836000000000006</v>
      </c>
      <c r="J205" s="11">
        <f>8.5803 * CHOOSE(CONTROL!$C$32, $C$9, 100%, $E$9)</f>
        <v>8.5802999999999994</v>
      </c>
      <c r="K205" s="11">
        <f>8.5836 * CHOOSE(CONTROL!$C$32, $C$9, 100%, $E$9)</f>
        <v>8.5836000000000006</v>
      </c>
      <c r="L205" s="11">
        <f>5.1706 * CHOOSE(CONTROL!$C$32, $C$9, 100%, $E$9)</f>
        <v>5.1706000000000003</v>
      </c>
      <c r="M205" s="11">
        <f>5.1738 * CHOOSE(CONTROL!$C$32, $C$9, 100%, $E$9)</f>
        <v>5.1738</v>
      </c>
      <c r="N205" s="11">
        <f>5.1706 * CHOOSE(CONTROL!$C$32, $C$9, 100%, $E$9)</f>
        <v>5.1706000000000003</v>
      </c>
      <c r="O205" s="11">
        <f>5.1738 * CHOOSE(CONTROL!$C$32, $C$9, 100%, $E$9)</f>
        <v>5.1738</v>
      </c>
    </row>
    <row r="206" spans="1:15" ht="15" x14ac:dyDescent="0.2">
      <c r="A206" s="13">
        <v>47119</v>
      </c>
      <c r="B206" s="9">
        <f>4.0932 * CHOOSE(CONTROL!$C$32, $C$9, 100%, $E$9)</f>
        <v>4.0932000000000004</v>
      </c>
      <c r="C206" s="9">
        <f>4.0932 * CHOOSE(CONTROL!$C$32, $C$9, 100%, $E$9)</f>
        <v>4.0932000000000004</v>
      </c>
      <c r="D206" s="9">
        <f>4.0942 * CHOOSE(CONTROL!$C$32, $C$9, 100%, $E$9)</f>
        <v>4.0941999999999998</v>
      </c>
      <c r="E206" s="11">
        <f>5.2103 * CHOOSE(CONTROL!$C$32, $C$9, 100%, $E$9)</f>
        <v>5.2103000000000002</v>
      </c>
      <c r="F206" s="11">
        <f>5.2103 * CHOOSE(CONTROL!$C$32, $C$9, 100%, $E$9)</f>
        <v>5.2103000000000002</v>
      </c>
      <c r="G206" s="11">
        <f>5.2135 * CHOOSE(CONTROL!$C$32, $C$9, 100%, $E$9)</f>
        <v>5.2134999999999998</v>
      </c>
      <c r="H206" s="11">
        <f>8.5982 * CHOOSE(CONTROL!$C$32, $C$9, 100%, $E$9)</f>
        <v>8.5982000000000003</v>
      </c>
      <c r="I206" s="11">
        <f>8.6014 * CHOOSE(CONTROL!$C$32, $C$9, 100%, $E$9)</f>
        <v>8.6013999999999999</v>
      </c>
      <c r="J206" s="11">
        <f>8.5982 * CHOOSE(CONTROL!$C$32, $C$9, 100%, $E$9)</f>
        <v>8.5982000000000003</v>
      </c>
      <c r="K206" s="11">
        <f>8.6014 * CHOOSE(CONTROL!$C$32, $C$9, 100%, $E$9)</f>
        <v>8.6013999999999999</v>
      </c>
      <c r="L206" s="11">
        <f>5.2103 * CHOOSE(CONTROL!$C$32, $C$9, 100%, $E$9)</f>
        <v>5.2103000000000002</v>
      </c>
      <c r="M206" s="11">
        <f>5.2135 * CHOOSE(CONTROL!$C$32, $C$9, 100%, $E$9)</f>
        <v>5.2134999999999998</v>
      </c>
      <c r="N206" s="11">
        <f>5.2103 * CHOOSE(CONTROL!$C$32, $C$9, 100%, $E$9)</f>
        <v>5.2103000000000002</v>
      </c>
      <c r="O206" s="11">
        <f>5.2135 * CHOOSE(CONTROL!$C$32, $C$9, 100%, $E$9)</f>
        <v>5.2134999999999998</v>
      </c>
    </row>
    <row r="207" spans="1:15" ht="15" x14ac:dyDescent="0.2">
      <c r="A207" s="13">
        <v>47150</v>
      </c>
      <c r="B207" s="9">
        <f>4.0902 * CHOOSE(CONTROL!$C$32, $C$9, 100%, $E$9)</f>
        <v>4.0902000000000003</v>
      </c>
      <c r="C207" s="9">
        <f>4.0902 * CHOOSE(CONTROL!$C$32, $C$9, 100%, $E$9)</f>
        <v>4.0902000000000003</v>
      </c>
      <c r="D207" s="9">
        <f>4.0911 * CHOOSE(CONTROL!$C$32, $C$9, 100%, $E$9)</f>
        <v>4.0911</v>
      </c>
      <c r="E207" s="11">
        <f>5.2083 * CHOOSE(CONTROL!$C$32, $C$9, 100%, $E$9)</f>
        <v>5.2083000000000004</v>
      </c>
      <c r="F207" s="11">
        <f>5.2083 * CHOOSE(CONTROL!$C$32, $C$9, 100%, $E$9)</f>
        <v>5.2083000000000004</v>
      </c>
      <c r="G207" s="11">
        <f>5.2115 * CHOOSE(CONTROL!$C$32, $C$9, 100%, $E$9)</f>
        <v>5.2115</v>
      </c>
      <c r="H207" s="11">
        <f>8.6161 * CHOOSE(CONTROL!$C$32, $C$9, 100%, $E$9)</f>
        <v>8.6160999999999994</v>
      </c>
      <c r="I207" s="11">
        <f>8.6193 * CHOOSE(CONTROL!$C$32, $C$9, 100%, $E$9)</f>
        <v>8.6193000000000008</v>
      </c>
      <c r="J207" s="11">
        <f>8.6161 * CHOOSE(CONTROL!$C$32, $C$9, 100%, $E$9)</f>
        <v>8.6160999999999994</v>
      </c>
      <c r="K207" s="11">
        <f>8.6193 * CHOOSE(CONTROL!$C$32, $C$9, 100%, $E$9)</f>
        <v>8.6193000000000008</v>
      </c>
      <c r="L207" s="11">
        <f>5.2083 * CHOOSE(CONTROL!$C$32, $C$9, 100%, $E$9)</f>
        <v>5.2083000000000004</v>
      </c>
      <c r="M207" s="11">
        <f>5.2115 * CHOOSE(CONTROL!$C$32, $C$9, 100%, $E$9)</f>
        <v>5.2115</v>
      </c>
      <c r="N207" s="11">
        <f>5.2083 * CHOOSE(CONTROL!$C$32, $C$9, 100%, $E$9)</f>
        <v>5.2083000000000004</v>
      </c>
      <c r="O207" s="11">
        <f>5.2115 * CHOOSE(CONTROL!$C$32, $C$9, 100%, $E$9)</f>
        <v>5.2115</v>
      </c>
    </row>
    <row r="208" spans="1:15" ht="15" x14ac:dyDescent="0.2">
      <c r="A208" s="13">
        <v>47178</v>
      </c>
      <c r="B208" s="9">
        <f>4.0872 * CHOOSE(CONTROL!$C$32, $C$9, 100%, $E$9)</f>
        <v>4.0872000000000002</v>
      </c>
      <c r="C208" s="9">
        <f>4.0872 * CHOOSE(CONTROL!$C$32, $C$9, 100%, $E$9)</f>
        <v>4.0872000000000002</v>
      </c>
      <c r="D208" s="9">
        <f>4.0881 * CHOOSE(CONTROL!$C$32, $C$9, 100%, $E$9)</f>
        <v>4.0880999999999998</v>
      </c>
      <c r="E208" s="11">
        <f>5.2063 * CHOOSE(CONTROL!$C$32, $C$9, 100%, $E$9)</f>
        <v>5.2062999999999997</v>
      </c>
      <c r="F208" s="11">
        <f>5.2063 * CHOOSE(CONTROL!$C$32, $C$9, 100%, $E$9)</f>
        <v>5.2062999999999997</v>
      </c>
      <c r="G208" s="11">
        <f>5.2095 * CHOOSE(CONTROL!$C$32, $C$9, 100%, $E$9)</f>
        <v>5.2095000000000002</v>
      </c>
      <c r="H208" s="11">
        <f>8.6341 * CHOOSE(CONTROL!$C$32, $C$9, 100%, $E$9)</f>
        <v>8.6341000000000001</v>
      </c>
      <c r="I208" s="11">
        <f>8.6373 * CHOOSE(CONTROL!$C$32, $C$9, 100%, $E$9)</f>
        <v>8.6372999999999998</v>
      </c>
      <c r="J208" s="11">
        <f>8.6341 * CHOOSE(CONTROL!$C$32, $C$9, 100%, $E$9)</f>
        <v>8.6341000000000001</v>
      </c>
      <c r="K208" s="11">
        <f>8.6373 * CHOOSE(CONTROL!$C$32, $C$9, 100%, $E$9)</f>
        <v>8.6372999999999998</v>
      </c>
      <c r="L208" s="11">
        <f>5.2063 * CHOOSE(CONTROL!$C$32, $C$9, 100%, $E$9)</f>
        <v>5.2062999999999997</v>
      </c>
      <c r="M208" s="11">
        <f>5.2095 * CHOOSE(CONTROL!$C$32, $C$9, 100%, $E$9)</f>
        <v>5.2095000000000002</v>
      </c>
      <c r="N208" s="11">
        <f>5.2063 * CHOOSE(CONTROL!$C$32, $C$9, 100%, $E$9)</f>
        <v>5.2062999999999997</v>
      </c>
      <c r="O208" s="11">
        <f>5.2095 * CHOOSE(CONTROL!$C$32, $C$9, 100%, $E$9)</f>
        <v>5.2095000000000002</v>
      </c>
    </row>
    <row r="209" spans="1:15" ht="15" x14ac:dyDescent="0.2">
      <c r="A209" s="13">
        <v>47209</v>
      </c>
      <c r="B209" s="9">
        <f>4.0849 * CHOOSE(CONTROL!$C$32, $C$9, 100%, $E$9)</f>
        <v>4.0849000000000002</v>
      </c>
      <c r="C209" s="9">
        <f>4.0849 * CHOOSE(CONTROL!$C$32, $C$9, 100%, $E$9)</f>
        <v>4.0849000000000002</v>
      </c>
      <c r="D209" s="9">
        <f>4.0858 * CHOOSE(CONTROL!$C$32, $C$9, 100%, $E$9)</f>
        <v>4.0857999999999999</v>
      </c>
      <c r="E209" s="11">
        <f>5.2043 * CHOOSE(CONTROL!$C$32, $C$9, 100%, $E$9)</f>
        <v>5.2042999999999999</v>
      </c>
      <c r="F209" s="11">
        <f>5.2043 * CHOOSE(CONTROL!$C$32, $C$9, 100%, $E$9)</f>
        <v>5.2042999999999999</v>
      </c>
      <c r="G209" s="11">
        <f>5.2075 * CHOOSE(CONTROL!$C$32, $C$9, 100%, $E$9)</f>
        <v>5.2074999999999996</v>
      </c>
      <c r="H209" s="11">
        <f>8.6521 * CHOOSE(CONTROL!$C$32, $C$9, 100%, $E$9)</f>
        <v>8.6521000000000008</v>
      </c>
      <c r="I209" s="11">
        <f>8.6553 * CHOOSE(CONTROL!$C$32, $C$9, 100%, $E$9)</f>
        <v>8.6553000000000004</v>
      </c>
      <c r="J209" s="11">
        <f>8.6521 * CHOOSE(CONTROL!$C$32, $C$9, 100%, $E$9)</f>
        <v>8.6521000000000008</v>
      </c>
      <c r="K209" s="11">
        <f>8.6553 * CHOOSE(CONTROL!$C$32, $C$9, 100%, $E$9)</f>
        <v>8.6553000000000004</v>
      </c>
      <c r="L209" s="11">
        <f>5.2043 * CHOOSE(CONTROL!$C$32, $C$9, 100%, $E$9)</f>
        <v>5.2042999999999999</v>
      </c>
      <c r="M209" s="11">
        <f>5.2075 * CHOOSE(CONTROL!$C$32, $C$9, 100%, $E$9)</f>
        <v>5.2074999999999996</v>
      </c>
      <c r="N209" s="11">
        <f>5.2043 * CHOOSE(CONTROL!$C$32, $C$9, 100%, $E$9)</f>
        <v>5.2042999999999999</v>
      </c>
      <c r="O209" s="11">
        <f>5.2075 * CHOOSE(CONTROL!$C$32, $C$9, 100%, $E$9)</f>
        <v>5.2074999999999996</v>
      </c>
    </row>
    <row r="210" spans="1:15" ht="15" x14ac:dyDescent="0.2">
      <c r="A210" s="13">
        <v>47239</v>
      </c>
      <c r="B210" s="9">
        <f>4.0849 * CHOOSE(CONTROL!$C$32, $C$9, 100%, $E$9)</f>
        <v>4.0849000000000002</v>
      </c>
      <c r="C210" s="9">
        <f>4.0849 * CHOOSE(CONTROL!$C$32, $C$9, 100%, $E$9)</f>
        <v>4.0849000000000002</v>
      </c>
      <c r="D210" s="9">
        <f>4.0861 * CHOOSE(CONTROL!$C$32, $C$9, 100%, $E$9)</f>
        <v>4.0861000000000001</v>
      </c>
      <c r="E210" s="11">
        <f>5.2043 * CHOOSE(CONTROL!$C$32, $C$9, 100%, $E$9)</f>
        <v>5.2042999999999999</v>
      </c>
      <c r="F210" s="11">
        <f>5.2043 * CHOOSE(CONTROL!$C$32, $C$9, 100%, $E$9)</f>
        <v>5.2042999999999999</v>
      </c>
      <c r="G210" s="11">
        <f>5.2085 * CHOOSE(CONTROL!$C$32, $C$9, 100%, $E$9)</f>
        <v>5.2084999999999999</v>
      </c>
      <c r="H210" s="11">
        <f>8.6701 * CHOOSE(CONTROL!$C$32, $C$9, 100%, $E$9)</f>
        <v>8.6700999999999997</v>
      </c>
      <c r="I210" s="11">
        <f>8.6743 * CHOOSE(CONTROL!$C$32, $C$9, 100%, $E$9)</f>
        <v>8.6743000000000006</v>
      </c>
      <c r="J210" s="11">
        <f>8.6701 * CHOOSE(CONTROL!$C$32, $C$9, 100%, $E$9)</f>
        <v>8.6700999999999997</v>
      </c>
      <c r="K210" s="11">
        <f>8.6743 * CHOOSE(CONTROL!$C$32, $C$9, 100%, $E$9)</f>
        <v>8.6743000000000006</v>
      </c>
      <c r="L210" s="11">
        <f>5.2043 * CHOOSE(CONTROL!$C$32, $C$9, 100%, $E$9)</f>
        <v>5.2042999999999999</v>
      </c>
      <c r="M210" s="11">
        <f>5.2085 * CHOOSE(CONTROL!$C$32, $C$9, 100%, $E$9)</f>
        <v>5.2084999999999999</v>
      </c>
      <c r="N210" s="11">
        <f>5.2043 * CHOOSE(CONTROL!$C$32, $C$9, 100%, $E$9)</f>
        <v>5.2042999999999999</v>
      </c>
      <c r="O210" s="11">
        <f>5.2085 * CHOOSE(CONTROL!$C$32, $C$9, 100%, $E$9)</f>
        <v>5.2084999999999999</v>
      </c>
    </row>
    <row r="211" spans="1:15" ht="15" x14ac:dyDescent="0.2">
      <c r="A211" s="13">
        <v>47270</v>
      </c>
      <c r="B211" s="9">
        <f>4.091 * CHOOSE(CONTROL!$C$32, $C$9, 100%, $E$9)</f>
        <v>4.0910000000000002</v>
      </c>
      <c r="C211" s="9">
        <f>4.091 * CHOOSE(CONTROL!$C$32, $C$9, 100%, $E$9)</f>
        <v>4.0910000000000002</v>
      </c>
      <c r="D211" s="9">
        <f>4.0922 * CHOOSE(CONTROL!$C$32, $C$9, 100%, $E$9)</f>
        <v>4.0922000000000001</v>
      </c>
      <c r="E211" s="11">
        <f>5.2083 * CHOOSE(CONTROL!$C$32, $C$9, 100%, $E$9)</f>
        <v>5.2083000000000004</v>
      </c>
      <c r="F211" s="11">
        <f>5.2083 * CHOOSE(CONTROL!$C$32, $C$9, 100%, $E$9)</f>
        <v>5.2083000000000004</v>
      </c>
      <c r="G211" s="11">
        <f>5.2125 * CHOOSE(CONTROL!$C$32, $C$9, 100%, $E$9)</f>
        <v>5.2125000000000004</v>
      </c>
      <c r="H211" s="11">
        <f>8.6881 * CHOOSE(CONTROL!$C$32, $C$9, 100%, $E$9)</f>
        <v>8.6881000000000004</v>
      </c>
      <c r="I211" s="11">
        <f>8.6923 * CHOOSE(CONTROL!$C$32, $C$9, 100%, $E$9)</f>
        <v>8.6922999999999995</v>
      </c>
      <c r="J211" s="11">
        <f>8.6881 * CHOOSE(CONTROL!$C$32, $C$9, 100%, $E$9)</f>
        <v>8.6881000000000004</v>
      </c>
      <c r="K211" s="11">
        <f>8.6923 * CHOOSE(CONTROL!$C$32, $C$9, 100%, $E$9)</f>
        <v>8.6922999999999995</v>
      </c>
      <c r="L211" s="11">
        <f>5.2083 * CHOOSE(CONTROL!$C$32, $C$9, 100%, $E$9)</f>
        <v>5.2083000000000004</v>
      </c>
      <c r="M211" s="11">
        <f>5.2125 * CHOOSE(CONTROL!$C$32, $C$9, 100%, $E$9)</f>
        <v>5.2125000000000004</v>
      </c>
      <c r="N211" s="11">
        <f>5.2083 * CHOOSE(CONTROL!$C$32, $C$9, 100%, $E$9)</f>
        <v>5.2083000000000004</v>
      </c>
      <c r="O211" s="11">
        <f>5.2125 * CHOOSE(CONTROL!$C$32, $C$9, 100%, $E$9)</f>
        <v>5.2125000000000004</v>
      </c>
    </row>
    <row r="212" spans="1:15" ht="15" x14ac:dyDescent="0.2">
      <c r="A212" s="13">
        <v>47300</v>
      </c>
      <c r="B212" s="9">
        <f>4.1496 * CHOOSE(CONTROL!$C$32, $C$9, 100%, $E$9)</f>
        <v>4.1496000000000004</v>
      </c>
      <c r="C212" s="9">
        <f>4.1496 * CHOOSE(CONTROL!$C$32, $C$9, 100%, $E$9)</f>
        <v>4.1496000000000004</v>
      </c>
      <c r="D212" s="9">
        <f>4.1509 * CHOOSE(CONTROL!$C$32, $C$9, 100%, $E$9)</f>
        <v>4.1509</v>
      </c>
      <c r="E212" s="11">
        <f>5.2949 * CHOOSE(CONTROL!$C$32, $C$9, 100%, $E$9)</f>
        <v>5.2949000000000002</v>
      </c>
      <c r="F212" s="11">
        <f>5.2949 * CHOOSE(CONTROL!$C$32, $C$9, 100%, $E$9)</f>
        <v>5.2949000000000002</v>
      </c>
      <c r="G212" s="11">
        <f>5.2991 * CHOOSE(CONTROL!$C$32, $C$9, 100%, $E$9)</f>
        <v>5.2991000000000001</v>
      </c>
      <c r="H212" s="11">
        <f>8.7062 * CHOOSE(CONTROL!$C$32, $C$9, 100%, $E$9)</f>
        <v>8.7062000000000008</v>
      </c>
      <c r="I212" s="11">
        <f>8.7104 * CHOOSE(CONTROL!$C$32, $C$9, 100%, $E$9)</f>
        <v>8.7103999999999999</v>
      </c>
      <c r="J212" s="11">
        <f>8.7062 * CHOOSE(CONTROL!$C$32, $C$9, 100%, $E$9)</f>
        <v>8.7062000000000008</v>
      </c>
      <c r="K212" s="11">
        <f>8.7104 * CHOOSE(CONTROL!$C$32, $C$9, 100%, $E$9)</f>
        <v>8.7103999999999999</v>
      </c>
      <c r="L212" s="11">
        <f>5.2949 * CHOOSE(CONTROL!$C$32, $C$9, 100%, $E$9)</f>
        <v>5.2949000000000002</v>
      </c>
      <c r="M212" s="11">
        <f>5.2991 * CHOOSE(CONTROL!$C$32, $C$9, 100%, $E$9)</f>
        <v>5.2991000000000001</v>
      </c>
      <c r="N212" s="11">
        <f>5.2949 * CHOOSE(CONTROL!$C$32, $C$9, 100%, $E$9)</f>
        <v>5.2949000000000002</v>
      </c>
      <c r="O212" s="11">
        <f>5.2991 * CHOOSE(CONTROL!$C$32, $C$9, 100%, $E$9)</f>
        <v>5.2991000000000001</v>
      </c>
    </row>
    <row r="213" spans="1:15" ht="15" x14ac:dyDescent="0.2">
      <c r="A213" s="13">
        <v>47331</v>
      </c>
      <c r="B213" s="9">
        <f>4.1563 * CHOOSE(CONTROL!$C$32, $C$9, 100%, $E$9)</f>
        <v>4.1562999999999999</v>
      </c>
      <c r="C213" s="9">
        <f>4.1563 * CHOOSE(CONTROL!$C$32, $C$9, 100%, $E$9)</f>
        <v>4.1562999999999999</v>
      </c>
      <c r="D213" s="9">
        <f>4.1576 * CHOOSE(CONTROL!$C$32, $C$9, 100%, $E$9)</f>
        <v>4.1576000000000004</v>
      </c>
      <c r="E213" s="11">
        <f>5.2993 * CHOOSE(CONTROL!$C$32, $C$9, 100%, $E$9)</f>
        <v>5.2992999999999997</v>
      </c>
      <c r="F213" s="11">
        <f>5.2993 * CHOOSE(CONTROL!$C$32, $C$9, 100%, $E$9)</f>
        <v>5.2992999999999997</v>
      </c>
      <c r="G213" s="11">
        <f>5.3035 * CHOOSE(CONTROL!$C$32, $C$9, 100%, $E$9)</f>
        <v>5.3034999999999997</v>
      </c>
      <c r="H213" s="11">
        <f>8.7244 * CHOOSE(CONTROL!$C$32, $C$9, 100%, $E$9)</f>
        <v>8.7243999999999993</v>
      </c>
      <c r="I213" s="11">
        <f>8.7286 * CHOOSE(CONTROL!$C$32, $C$9, 100%, $E$9)</f>
        <v>8.7286000000000001</v>
      </c>
      <c r="J213" s="11">
        <f>8.7244 * CHOOSE(CONTROL!$C$32, $C$9, 100%, $E$9)</f>
        <v>8.7243999999999993</v>
      </c>
      <c r="K213" s="11">
        <f>8.7286 * CHOOSE(CONTROL!$C$32, $C$9, 100%, $E$9)</f>
        <v>8.7286000000000001</v>
      </c>
      <c r="L213" s="11">
        <f>5.2993 * CHOOSE(CONTROL!$C$32, $C$9, 100%, $E$9)</f>
        <v>5.2992999999999997</v>
      </c>
      <c r="M213" s="11">
        <f>5.3035 * CHOOSE(CONTROL!$C$32, $C$9, 100%, $E$9)</f>
        <v>5.3034999999999997</v>
      </c>
      <c r="N213" s="11">
        <f>5.2993 * CHOOSE(CONTROL!$C$32, $C$9, 100%, $E$9)</f>
        <v>5.2992999999999997</v>
      </c>
      <c r="O213" s="11">
        <f>5.3035 * CHOOSE(CONTROL!$C$32, $C$9, 100%, $E$9)</f>
        <v>5.3034999999999997</v>
      </c>
    </row>
    <row r="214" spans="1:15" ht="15" x14ac:dyDescent="0.2">
      <c r="A214" s="13">
        <v>47362</v>
      </c>
      <c r="B214" s="9">
        <f>4.1533 * CHOOSE(CONTROL!$C$32, $C$9, 100%, $E$9)</f>
        <v>4.1532999999999998</v>
      </c>
      <c r="C214" s="9">
        <f>4.1533 * CHOOSE(CONTROL!$C$32, $C$9, 100%, $E$9)</f>
        <v>4.1532999999999998</v>
      </c>
      <c r="D214" s="9">
        <f>4.1545 * CHOOSE(CONTROL!$C$32, $C$9, 100%, $E$9)</f>
        <v>4.1544999999999996</v>
      </c>
      <c r="E214" s="11">
        <f>5.2973 * CHOOSE(CONTROL!$C$32, $C$9, 100%, $E$9)</f>
        <v>5.2972999999999999</v>
      </c>
      <c r="F214" s="11">
        <f>5.2973 * CHOOSE(CONTROL!$C$32, $C$9, 100%, $E$9)</f>
        <v>5.2972999999999999</v>
      </c>
      <c r="G214" s="11">
        <f>5.3015 * CHOOSE(CONTROL!$C$32, $C$9, 100%, $E$9)</f>
        <v>5.3014999999999999</v>
      </c>
      <c r="H214" s="11">
        <f>8.7426 * CHOOSE(CONTROL!$C$32, $C$9, 100%, $E$9)</f>
        <v>8.7425999999999995</v>
      </c>
      <c r="I214" s="11">
        <f>8.7468 * CHOOSE(CONTROL!$C$32, $C$9, 100%, $E$9)</f>
        <v>8.7468000000000004</v>
      </c>
      <c r="J214" s="11">
        <f>8.7426 * CHOOSE(CONTROL!$C$32, $C$9, 100%, $E$9)</f>
        <v>8.7425999999999995</v>
      </c>
      <c r="K214" s="11">
        <f>8.7468 * CHOOSE(CONTROL!$C$32, $C$9, 100%, $E$9)</f>
        <v>8.7468000000000004</v>
      </c>
      <c r="L214" s="11">
        <f>5.2973 * CHOOSE(CONTROL!$C$32, $C$9, 100%, $E$9)</f>
        <v>5.2972999999999999</v>
      </c>
      <c r="M214" s="11">
        <f>5.3015 * CHOOSE(CONTROL!$C$32, $C$9, 100%, $E$9)</f>
        <v>5.3014999999999999</v>
      </c>
      <c r="N214" s="11">
        <f>5.2973 * CHOOSE(CONTROL!$C$32, $C$9, 100%, $E$9)</f>
        <v>5.2972999999999999</v>
      </c>
      <c r="O214" s="11">
        <f>5.3015 * CHOOSE(CONTROL!$C$32, $C$9, 100%, $E$9)</f>
        <v>5.3014999999999999</v>
      </c>
    </row>
    <row r="215" spans="1:15" ht="15" x14ac:dyDescent="0.2">
      <c r="A215" s="13">
        <v>47392</v>
      </c>
      <c r="B215" s="9">
        <f>4.1489 * CHOOSE(CONTROL!$C$32, $C$9, 100%, $E$9)</f>
        <v>4.1489000000000003</v>
      </c>
      <c r="C215" s="9">
        <f>4.1489 * CHOOSE(CONTROL!$C$32, $C$9, 100%, $E$9)</f>
        <v>4.1489000000000003</v>
      </c>
      <c r="D215" s="9">
        <f>4.1499 * CHOOSE(CONTROL!$C$32, $C$9, 100%, $E$9)</f>
        <v>4.1498999999999997</v>
      </c>
      <c r="E215" s="11">
        <f>5.2923 * CHOOSE(CONTROL!$C$32, $C$9, 100%, $E$9)</f>
        <v>5.2923</v>
      </c>
      <c r="F215" s="11">
        <f>5.2923 * CHOOSE(CONTROL!$C$32, $C$9, 100%, $E$9)</f>
        <v>5.2923</v>
      </c>
      <c r="G215" s="11">
        <f>5.2955 * CHOOSE(CONTROL!$C$32, $C$9, 100%, $E$9)</f>
        <v>5.2954999999999997</v>
      </c>
      <c r="H215" s="11">
        <f>8.7608 * CHOOSE(CONTROL!$C$32, $C$9, 100%, $E$9)</f>
        <v>8.7607999999999997</v>
      </c>
      <c r="I215" s="11">
        <f>8.764 * CHOOSE(CONTROL!$C$32, $C$9, 100%, $E$9)</f>
        <v>8.7639999999999993</v>
      </c>
      <c r="J215" s="11">
        <f>8.7608 * CHOOSE(CONTROL!$C$32, $C$9, 100%, $E$9)</f>
        <v>8.7607999999999997</v>
      </c>
      <c r="K215" s="11">
        <f>8.764 * CHOOSE(CONTROL!$C$32, $C$9, 100%, $E$9)</f>
        <v>8.7639999999999993</v>
      </c>
      <c r="L215" s="11">
        <f>5.2923 * CHOOSE(CONTROL!$C$32, $C$9, 100%, $E$9)</f>
        <v>5.2923</v>
      </c>
      <c r="M215" s="11">
        <f>5.2955 * CHOOSE(CONTROL!$C$32, $C$9, 100%, $E$9)</f>
        <v>5.2954999999999997</v>
      </c>
      <c r="N215" s="11">
        <f>5.2923 * CHOOSE(CONTROL!$C$32, $C$9, 100%, $E$9)</f>
        <v>5.2923</v>
      </c>
      <c r="O215" s="11">
        <f>5.2955 * CHOOSE(CONTROL!$C$32, $C$9, 100%, $E$9)</f>
        <v>5.2954999999999997</v>
      </c>
    </row>
    <row r="216" spans="1:15" ht="15" x14ac:dyDescent="0.2">
      <c r="A216" s="13">
        <v>47423</v>
      </c>
      <c r="B216" s="9">
        <f>4.152 * CHOOSE(CONTROL!$C$32, $C$9, 100%, $E$9)</f>
        <v>4.1520000000000001</v>
      </c>
      <c r="C216" s="9">
        <f>4.152 * CHOOSE(CONTROL!$C$32, $C$9, 100%, $E$9)</f>
        <v>4.1520000000000001</v>
      </c>
      <c r="D216" s="9">
        <f>4.1529 * CHOOSE(CONTROL!$C$32, $C$9, 100%, $E$9)</f>
        <v>4.1528999999999998</v>
      </c>
      <c r="E216" s="11">
        <f>5.2943 * CHOOSE(CONTROL!$C$32, $C$9, 100%, $E$9)</f>
        <v>5.2942999999999998</v>
      </c>
      <c r="F216" s="11">
        <f>5.2943 * CHOOSE(CONTROL!$C$32, $C$9, 100%, $E$9)</f>
        <v>5.2942999999999998</v>
      </c>
      <c r="G216" s="11">
        <f>5.2975 * CHOOSE(CONTROL!$C$32, $C$9, 100%, $E$9)</f>
        <v>5.2975000000000003</v>
      </c>
      <c r="H216" s="11">
        <f>8.779 * CHOOSE(CONTROL!$C$32, $C$9, 100%, $E$9)</f>
        <v>8.7789999999999999</v>
      </c>
      <c r="I216" s="11">
        <f>8.7823 * CHOOSE(CONTROL!$C$32, $C$9, 100%, $E$9)</f>
        <v>8.7822999999999993</v>
      </c>
      <c r="J216" s="11">
        <f>8.779 * CHOOSE(CONTROL!$C$32, $C$9, 100%, $E$9)</f>
        <v>8.7789999999999999</v>
      </c>
      <c r="K216" s="11">
        <f>8.7823 * CHOOSE(CONTROL!$C$32, $C$9, 100%, $E$9)</f>
        <v>8.7822999999999993</v>
      </c>
      <c r="L216" s="11">
        <f>5.2943 * CHOOSE(CONTROL!$C$32, $C$9, 100%, $E$9)</f>
        <v>5.2942999999999998</v>
      </c>
      <c r="M216" s="11">
        <f>5.2975 * CHOOSE(CONTROL!$C$32, $C$9, 100%, $E$9)</f>
        <v>5.2975000000000003</v>
      </c>
      <c r="N216" s="11">
        <f>5.2943 * CHOOSE(CONTROL!$C$32, $C$9, 100%, $E$9)</f>
        <v>5.2942999999999998</v>
      </c>
      <c r="O216" s="11">
        <f>5.2975 * CHOOSE(CONTROL!$C$32, $C$9, 100%, $E$9)</f>
        <v>5.2975000000000003</v>
      </c>
    </row>
    <row r="217" spans="1:15" ht="15" x14ac:dyDescent="0.2">
      <c r="A217" s="13">
        <v>47453</v>
      </c>
      <c r="B217" s="9">
        <f>4.152 * CHOOSE(CONTROL!$C$32, $C$9, 100%, $E$9)</f>
        <v>4.1520000000000001</v>
      </c>
      <c r="C217" s="9">
        <f>4.152 * CHOOSE(CONTROL!$C$32, $C$9, 100%, $E$9)</f>
        <v>4.1520000000000001</v>
      </c>
      <c r="D217" s="9">
        <f>4.1529 * CHOOSE(CONTROL!$C$32, $C$9, 100%, $E$9)</f>
        <v>4.1528999999999998</v>
      </c>
      <c r="E217" s="11">
        <f>5.2943 * CHOOSE(CONTROL!$C$32, $C$9, 100%, $E$9)</f>
        <v>5.2942999999999998</v>
      </c>
      <c r="F217" s="11">
        <f>5.2943 * CHOOSE(CONTROL!$C$32, $C$9, 100%, $E$9)</f>
        <v>5.2942999999999998</v>
      </c>
      <c r="G217" s="11">
        <f>5.2975 * CHOOSE(CONTROL!$C$32, $C$9, 100%, $E$9)</f>
        <v>5.2975000000000003</v>
      </c>
      <c r="H217" s="11">
        <f>8.7973 * CHOOSE(CONTROL!$C$32, $C$9, 100%, $E$9)</f>
        <v>8.7972999999999999</v>
      </c>
      <c r="I217" s="11">
        <f>8.8005 * CHOOSE(CONTROL!$C$32, $C$9, 100%, $E$9)</f>
        <v>8.8004999999999995</v>
      </c>
      <c r="J217" s="11">
        <f>8.7973 * CHOOSE(CONTROL!$C$32, $C$9, 100%, $E$9)</f>
        <v>8.7972999999999999</v>
      </c>
      <c r="K217" s="11">
        <f>8.8005 * CHOOSE(CONTROL!$C$32, $C$9, 100%, $E$9)</f>
        <v>8.8004999999999995</v>
      </c>
      <c r="L217" s="11">
        <f>5.2943 * CHOOSE(CONTROL!$C$32, $C$9, 100%, $E$9)</f>
        <v>5.2942999999999998</v>
      </c>
      <c r="M217" s="11">
        <f>5.2975 * CHOOSE(CONTROL!$C$32, $C$9, 100%, $E$9)</f>
        <v>5.2975000000000003</v>
      </c>
      <c r="N217" s="11">
        <f>5.2943 * CHOOSE(CONTROL!$C$32, $C$9, 100%, $E$9)</f>
        <v>5.2942999999999998</v>
      </c>
      <c r="O217" s="11">
        <f>5.2975 * CHOOSE(CONTROL!$C$32, $C$9, 100%, $E$9)</f>
        <v>5.2975000000000003</v>
      </c>
    </row>
    <row r="218" spans="1:15" ht="15" x14ac:dyDescent="0.2">
      <c r="A218" s="13">
        <v>47484</v>
      </c>
      <c r="B218" s="9">
        <f>4.1883 * CHOOSE(CONTROL!$C$32, $C$9, 100%, $E$9)</f>
        <v>4.1882999999999999</v>
      </c>
      <c r="C218" s="9">
        <f>4.1883 * CHOOSE(CONTROL!$C$32, $C$9, 100%, $E$9)</f>
        <v>4.1882999999999999</v>
      </c>
      <c r="D218" s="9">
        <f>4.1892 * CHOOSE(CONTROL!$C$32, $C$9, 100%, $E$9)</f>
        <v>4.1891999999999996</v>
      </c>
      <c r="E218" s="11">
        <f>5.3388 * CHOOSE(CONTROL!$C$32, $C$9, 100%, $E$9)</f>
        <v>5.3388</v>
      </c>
      <c r="F218" s="11">
        <f>5.3388 * CHOOSE(CONTROL!$C$32, $C$9, 100%, $E$9)</f>
        <v>5.3388</v>
      </c>
      <c r="G218" s="11">
        <f>5.342 * CHOOSE(CONTROL!$C$32, $C$9, 100%, $E$9)</f>
        <v>5.3419999999999996</v>
      </c>
      <c r="H218" s="11">
        <f>8.8156 * CHOOSE(CONTROL!$C$32, $C$9, 100%, $E$9)</f>
        <v>8.8155999999999999</v>
      </c>
      <c r="I218" s="11">
        <f>8.8189 * CHOOSE(CONTROL!$C$32, $C$9, 100%, $E$9)</f>
        <v>8.8188999999999993</v>
      </c>
      <c r="J218" s="11">
        <f>8.8156 * CHOOSE(CONTROL!$C$32, $C$9, 100%, $E$9)</f>
        <v>8.8155999999999999</v>
      </c>
      <c r="K218" s="11">
        <f>8.8189 * CHOOSE(CONTROL!$C$32, $C$9, 100%, $E$9)</f>
        <v>8.8188999999999993</v>
      </c>
      <c r="L218" s="11">
        <f>5.3388 * CHOOSE(CONTROL!$C$32, $C$9, 100%, $E$9)</f>
        <v>5.3388</v>
      </c>
      <c r="M218" s="11">
        <f>5.342 * CHOOSE(CONTROL!$C$32, $C$9, 100%, $E$9)</f>
        <v>5.3419999999999996</v>
      </c>
      <c r="N218" s="11">
        <f>5.3388 * CHOOSE(CONTROL!$C$32, $C$9, 100%, $E$9)</f>
        <v>5.3388</v>
      </c>
      <c r="O218" s="11">
        <f>5.342 * CHOOSE(CONTROL!$C$32, $C$9, 100%, $E$9)</f>
        <v>5.3419999999999996</v>
      </c>
    </row>
    <row r="219" spans="1:15" ht="15" x14ac:dyDescent="0.2">
      <c r="A219" s="13">
        <v>47515</v>
      </c>
      <c r="B219" s="9">
        <f>4.1852 * CHOOSE(CONTROL!$C$32, $C$9, 100%, $E$9)</f>
        <v>4.1852</v>
      </c>
      <c r="C219" s="9">
        <f>4.1852 * CHOOSE(CONTROL!$C$32, $C$9, 100%, $E$9)</f>
        <v>4.1852</v>
      </c>
      <c r="D219" s="9">
        <f>4.1862 * CHOOSE(CONTROL!$C$32, $C$9, 100%, $E$9)</f>
        <v>4.1862000000000004</v>
      </c>
      <c r="E219" s="11">
        <f>5.3368 * CHOOSE(CONTROL!$C$32, $C$9, 100%, $E$9)</f>
        <v>5.3368000000000002</v>
      </c>
      <c r="F219" s="11">
        <f>5.3368 * CHOOSE(CONTROL!$C$32, $C$9, 100%, $E$9)</f>
        <v>5.3368000000000002</v>
      </c>
      <c r="G219" s="11">
        <f>5.34 * CHOOSE(CONTROL!$C$32, $C$9, 100%, $E$9)</f>
        <v>5.34</v>
      </c>
      <c r="H219" s="11">
        <f>8.834 * CHOOSE(CONTROL!$C$32, $C$9, 100%, $E$9)</f>
        <v>8.8339999999999996</v>
      </c>
      <c r="I219" s="11">
        <f>8.8372 * CHOOSE(CONTROL!$C$32, $C$9, 100%, $E$9)</f>
        <v>8.8371999999999993</v>
      </c>
      <c r="J219" s="11">
        <f>8.834 * CHOOSE(CONTROL!$C$32, $C$9, 100%, $E$9)</f>
        <v>8.8339999999999996</v>
      </c>
      <c r="K219" s="11">
        <f>8.8372 * CHOOSE(CONTROL!$C$32, $C$9, 100%, $E$9)</f>
        <v>8.8371999999999993</v>
      </c>
      <c r="L219" s="11">
        <f>5.3368 * CHOOSE(CONTROL!$C$32, $C$9, 100%, $E$9)</f>
        <v>5.3368000000000002</v>
      </c>
      <c r="M219" s="11">
        <f>5.34 * CHOOSE(CONTROL!$C$32, $C$9, 100%, $E$9)</f>
        <v>5.34</v>
      </c>
      <c r="N219" s="11">
        <f>5.3368 * CHOOSE(CONTROL!$C$32, $C$9, 100%, $E$9)</f>
        <v>5.3368000000000002</v>
      </c>
      <c r="O219" s="11">
        <f>5.34 * CHOOSE(CONTROL!$C$32, $C$9, 100%, $E$9)</f>
        <v>5.34</v>
      </c>
    </row>
    <row r="220" spans="1:15" ht="15" x14ac:dyDescent="0.2">
      <c r="A220" s="13">
        <v>47543</v>
      </c>
      <c r="B220" s="9">
        <f>4.1822 * CHOOSE(CONTROL!$C$32, $C$9, 100%, $E$9)</f>
        <v>4.1821999999999999</v>
      </c>
      <c r="C220" s="9">
        <f>4.1822 * CHOOSE(CONTROL!$C$32, $C$9, 100%, $E$9)</f>
        <v>4.1821999999999999</v>
      </c>
      <c r="D220" s="9">
        <f>4.1831 * CHOOSE(CONTROL!$C$32, $C$9, 100%, $E$9)</f>
        <v>4.1830999999999996</v>
      </c>
      <c r="E220" s="11">
        <f>5.3348 * CHOOSE(CONTROL!$C$32, $C$9, 100%, $E$9)</f>
        <v>5.3348000000000004</v>
      </c>
      <c r="F220" s="11">
        <f>5.3348 * CHOOSE(CONTROL!$C$32, $C$9, 100%, $E$9)</f>
        <v>5.3348000000000004</v>
      </c>
      <c r="G220" s="11">
        <f>5.338 * CHOOSE(CONTROL!$C$32, $C$9, 100%, $E$9)</f>
        <v>5.3380000000000001</v>
      </c>
      <c r="H220" s="11">
        <f>8.8524 * CHOOSE(CONTROL!$C$32, $C$9, 100%, $E$9)</f>
        <v>8.8523999999999994</v>
      </c>
      <c r="I220" s="11">
        <f>8.8556 * CHOOSE(CONTROL!$C$32, $C$9, 100%, $E$9)</f>
        <v>8.8556000000000008</v>
      </c>
      <c r="J220" s="11">
        <f>8.8524 * CHOOSE(CONTROL!$C$32, $C$9, 100%, $E$9)</f>
        <v>8.8523999999999994</v>
      </c>
      <c r="K220" s="11">
        <f>8.8556 * CHOOSE(CONTROL!$C$32, $C$9, 100%, $E$9)</f>
        <v>8.8556000000000008</v>
      </c>
      <c r="L220" s="11">
        <f>5.3348 * CHOOSE(CONTROL!$C$32, $C$9, 100%, $E$9)</f>
        <v>5.3348000000000004</v>
      </c>
      <c r="M220" s="11">
        <f>5.338 * CHOOSE(CONTROL!$C$32, $C$9, 100%, $E$9)</f>
        <v>5.3380000000000001</v>
      </c>
      <c r="N220" s="11">
        <f>5.3348 * CHOOSE(CONTROL!$C$32, $C$9, 100%, $E$9)</f>
        <v>5.3348000000000004</v>
      </c>
      <c r="O220" s="11">
        <f>5.338 * CHOOSE(CONTROL!$C$32, $C$9, 100%, $E$9)</f>
        <v>5.3380000000000001</v>
      </c>
    </row>
    <row r="221" spans="1:15" ht="15" x14ac:dyDescent="0.2">
      <c r="A221" s="13">
        <v>47574</v>
      </c>
      <c r="B221" s="9">
        <f>4.18 * CHOOSE(CONTROL!$C$32, $C$9, 100%, $E$9)</f>
        <v>4.18</v>
      </c>
      <c r="C221" s="9">
        <f>4.18 * CHOOSE(CONTROL!$C$32, $C$9, 100%, $E$9)</f>
        <v>4.18</v>
      </c>
      <c r="D221" s="9">
        <f>4.181 * CHOOSE(CONTROL!$C$32, $C$9, 100%, $E$9)</f>
        <v>4.181</v>
      </c>
      <c r="E221" s="11">
        <f>5.3328 * CHOOSE(CONTROL!$C$32, $C$9, 100%, $E$9)</f>
        <v>5.3327999999999998</v>
      </c>
      <c r="F221" s="11">
        <f>5.3328 * CHOOSE(CONTROL!$C$32, $C$9, 100%, $E$9)</f>
        <v>5.3327999999999998</v>
      </c>
      <c r="G221" s="11">
        <f>5.336 * CHOOSE(CONTROL!$C$32, $C$9, 100%, $E$9)</f>
        <v>5.3360000000000003</v>
      </c>
      <c r="H221" s="11">
        <f>8.8709 * CHOOSE(CONTROL!$C$32, $C$9, 100%, $E$9)</f>
        <v>8.8709000000000007</v>
      </c>
      <c r="I221" s="11">
        <f>8.8741 * CHOOSE(CONTROL!$C$32, $C$9, 100%, $E$9)</f>
        <v>8.8741000000000003</v>
      </c>
      <c r="J221" s="11">
        <f>8.8709 * CHOOSE(CONTROL!$C$32, $C$9, 100%, $E$9)</f>
        <v>8.8709000000000007</v>
      </c>
      <c r="K221" s="11">
        <f>8.8741 * CHOOSE(CONTROL!$C$32, $C$9, 100%, $E$9)</f>
        <v>8.8741000000000003</v>
      </c>
      <c r="L221" s="11">
        <f>5.3328 * CHOOSE(CONTROL!$C$32, $C$9, 100%, $E$9)</f>
        <v>5.3327999999999998</v>
      </c>
      <c r="M221" s="11">
        <f>5.336 * CHOOSE(CONTROL!$C$32, $C$9, 100%, $E$9)</f>
        <v>5.3360000000000003</v>
      </c>
      <c r="N221" s="11">
        <f>5.3328 * CHOOSE(CONTROL!$C$32, $C$9, 100%, $E$9)</f>
        <v>5.3327999999999998</v>
      </c>
      <c r="O221" s="11">
        <f>5.336 * CHOOSE(CONTROL!$C$32, $C$9, 100%, $E$9)</f>
        <v>5.3360000000000003</v>
      </c>
    </row>
    <row r="222" spans="1:15" ht="15" x14ac:dyDescent="0.2">
      <c r="A222" s="13">
        <v>47604</v>
      </c>
      <c r="B222" s="9">
        <f>4.18 * CHOOSE(CONTROL!$C$32, $C$9, 100%, $E$9)</f>
        <v>4.18</v>
      </c>
      <c r="C222" s="9">
        <f>4.18 * CHOOSE(CONTROL!$C$32, $C$9, 100%, $E$9)</f>
        <v>4.18</v>
      </c>
      <c r="D222" s="9">
        <f>4.1813 * CHOOSE(CONTROL!$C$32, $C$9, 100%, $E$9)</f>
        <v>4.1813000000000002</v>
      </c>
      <c r="E222" s="11">
        <f>5.3328 * CHOOSE(CONTROL!$C$32, $C$9, 100%, $E$9)</f>
        <v>5.3327999999999998</v>
      </c>
      <c r="F222" s="11">
        <f>5.3328 * CHOOSE(CONTROL!$C$32, $C$9, 100%, $E$9)</f>
        <v>5.3327999999999998</v>
      </c>
      <c r="G222" s="11">
        <f>5.337 * CHOOSE(CONTROL!$C$32, $C$9, 100%, $E$9)</f>
        <v>5.3369999999999997</v>
      </c>
      <c r="H222" s="11">
        <f>8.8893 * CHOOSE(CONTROL!$C$32, $C$9, 100%, $E$9)</f>
        <v>8.8893000000000004</v>
      </c>
      <c r="I222" s="11">
        <f>8.8935 * CHOOSE(CONTROL!$C$32, $C$9, 100%, $E$9)</f>
        <v>8.8934999999999995</v>
      </c>
      <c r="J222" s="11">
        <f>8.8893 * CHOOSE(CONTROL!$C$32, $C$9, 100%, $E$9)</f>
        <v>8.8893000000000004</v>
      </c>
      <c r="K222" s="11">
        <f>8.8935 * CHOOSE(CONTROL!$C$32, $C$9, 100%, $E$9)</f>
        <v>8.8934999999999995</v>
      </c>
      <c r="L222" s="11">
        <f>5.3328 * CHOOSE(CONTROL!$C$32, $C$9, 100%, $E$9)</f>
        <v>5.3327999999999998</v>
      </c>
      <c r="M222" s="11">
        <f>5.337 * CHOOSE(CONTROL!$C$32, $C$9, 100%, $E$9)</f>
        <v>5.3369999999999997</v>
      </c>
      <c r="N222" s="11">
        <f>5.3328 * CHOOSE(CONTROL!$C$32, $C$9, 100%, $E$9)</f>
        <v>5.3327999999999998</v>
      </c>
      <c r="O222" s="11">
        <f>5.337 * CHOOSE(CONTROL!$C$32, $C$9, 100%, $E$9)</f>
        <v>5.3369999999999997</v>
      </c>
    </row>
    <row r="223" spans="1:15" ht="15" x14ac:dyDescent="0.2">
      <c r="A223" s="13">
        <v>47635</v>
      </c>
      <c r="B223" s="9">
        <f>4.1861 * CHOOSE(CONTROL!$C$32, $C$9, 100%, $E$9)</f>
        <v>4.1860999999999997</v>
      </c>
      <c r="C223" s="9">
        <f>4.1861 * CHOOSE(CONTROL!$C$32, $C$9, 100%, $E$9)</f>
        <v>4.1860999999999997</v>
      </c>
      <c r="D223" s="9">
        <f>4.1873 * CHOOSE(CONTROL!$C$32, $C$9, 100%, $E$9)</f>
        <v>4.1872999999999996</v>
      </c>
      <c r="E223" s="11">
        <f>5.3368 * CHOOSE(CONTROL!$C$32, $C$9, 100%, $E$9)</f>
        <v>5.3368000000000002</v>
      </c>
      <c r="F223" s="11">
        <f>5.3368 * CHOOSE(CONTROL!$C$32, $C$9, 100%, $E$9)</f>
        <v>5.3368000000000002</v>
      </c>
      <c r="G223" s="11">
        <f>5.341 * CHOOSE(CONTROL!$C$32, $C$9, 100%, $E$9)</f>
        <v>5.3410000000000002</v>
      </c>
      <c r="H223" s="11">
        <f>8.9079 * CHOOSE(CONTROL!$C$32, $C$9, 100%, $E$9)</f>
        <v>8.9078999999999997</v>
      </c>
      <c r="I223" s="11">
        <f>8.9121 * CHOOSE(CONTROL!$C$32, $C$9, 100%, $E$9)</f>
        <v>8.9121000000000006</v>
      </c>
      <c r="J223" s="11">
        <f>8.9079 * CHOOSE(CONTROL!$C$32, $C$9, 100%, $E$9)</f>
        <v>8.9078999999999997</v>
      </c>
      <c r="K223" s="11">
        <f>8.9121 * CHOOSE(CONTROL!$C$32, $C$9, 100%, $E$9)</f>
        <v>8.9121000000000006</v>
      </c>
      <c r="L223" s="11">
        <f>5.3368 * CHOOSE(CONTROL!$C$32, $C$9, 100%, $E$9)</f>
        <v>5.3368000000000002</v>
      </c>
      <c r="M223" s="11">
        <f>5.341 * CHOOSE(CONTROL!$C$32, $C$9, 100%, $E$9)</f>
        <v>5.3410000000000002</v>
      </c>
      <c r="N223" s="11">
        <f>5.3368 * CHOOSE(CONTROL!$C$32, $C$9, 100%, $E$9)</f>
        <v>5.3368000000000002</v>
      </c>
      <c r="O223" s="11">
        <f>5.341 * CHOOSE(CONTROL!$C$32, $C$9, 100%, $E$9)</f>
        <v>5.3410000000000002</v>
      </c>
    </row>
    <row r="224" spans="1:15" ht="15" x14ac:dyDescent="0.2">
      <c r="A224" s="13">
        <v>47665</v>
      </c>
      <c r="B224" s="9">
        <f>4.2533 * CHOOSE(CONTROL!$C$32, $C$9, 100%, $E$9)</f>
        <v>4.2533000000000003</v>
      </c>
      <c r="C224" s="9">
        <f>4.2533 * CHOOSE(CONTROL!$C$32, $C$9, 100%, $E$9)</f>
        <v>4.2533000000000003</v>
      </c>
      <c r="D224" s="9">
        <f>4.2545 * CHOOSE(CONTROL!$C$32, $C$9, 100%, $E$9)</f>
        <v>4.2545000000000002</v>
      </c>
      <c r="E224" s="11">
        <f>5.4347 * CHOOSE(CONTROL!$C$32, $C$9, 100%, $E$9)</f>
        <v>5.4347000000000003</v>
      </c>
      <c r="F224" s="11">
        <f>5.4347 * CHOOSE(CONTROL!$C$32, $C$9, 100%, $E$9)</f>
        <v>5.4347000000000003</v>
      </c>
      <c r="G224" s="11">
        <f>5.4389 * CHOOSE(CONTROL!$C$32, $C$9, 100%, $E$9)</f>
        <v>5.4389000000000003</v>
      </c>
      <c r="H224" s="11">
        <f>8.9264 * CHOOSE(CONTROL!$C$32, $C$9, 100%, $E$9)</f>
        <v>8.9263999999999992</v>
      </c>
      <c r="I224" s="11">
        <f>8.9306 * CHOOSE(CONTROL!$C$32, $C$9, 100%, $E$9)</f>
        <v>8.9306000000000001</v>
      </c>
      <c r="J224" s="11">
        <f>8.9264 * CHOOSE(CONTROL!$C$32, $C$9, 100%, $E$9)</f>
        <v>8.9263999999999992</v>
      </c>
      <c r="K224" s="11">
        <f>8.9306 * CHOOSE(CONTROL!$C$32, $C$9, 100%, $E$9)</f>
        <v>8.9306000000000001</v>
      </c>
      <c r="L224" s="11">
        <f>5.4347 * CHOOSE(CONTROL!$C$32, $C$9, 100%, $E$9)</f>
        <v>5.4347000000000003</v>
      </c>
      <c r="M224" s="11">
        <f>5.4389 * CHOOSE(CONTROL!$C$32, $C$9, 100%, $E$9)</f>
        <v>5.4389000000000003</v>
      </c>
      <c r="N224" s="11">
        <f>5.4347 * CHOOSE(CONTROL!$C$32, $C$9, 100%, $E$9)</f>
        <v>5.4347000000000003</v>
      </c>
      <c r="O224" s="11">
        <f>5.4389 * CHOOSE(CONTROL!$C$32, $C$9, 100%, $E$9)</f>
        <v>5.4389000000000003</v>
      </c>
    </row>
    <row r="225" spans="1:15" ht="15" x14ac:dyDescent="0.2">
      <c r="A225" s="13">
        <v>47696</v>
      </c>
      <c r="B225" s="9">
        <f>4.26 * CHOOSE(CONTROL!$C$32, $C$9, 100%, $E$9)</f>
        <v>4.26</v>
      </c>
      <c r="C225" s="9">
        <f>4.26 * CHOOSE(CONTROL!$C$32, $C$9, 100%, $E$9)</f>
        <v>4.26</v>
      </c>
      <c r="D225" s="9">
        <f>4.2612 * CHOOSE(CONTROL!$C$32, $C$9, 100%, $E$9)</f>
        <v>4.2611999999999997</v>
      </c>
      <c r="E225" s="11">
        <f>5.4391 * CHOOSE(CONTROL!$C$32, $C$9, 100%, $E$9)</f>
        <v>5.4390999999999998</v>
      </c>
      <c r="F225" s="11">
        <f>5.4391 * CHOOSE(CONTROL!$C$32, $C$9, 100%, $E$9)</f>
        <v>5.4390999999999998</v>
      </c>
      <c r="G225" s="11">
        <f>5.4433 * CHOOSE(CONTROL!$C$32, $C$9, 100%, $E$9)</f>
        <v>5.4432999999999998</v>
      </c>
      <c r="H225" s="11">
        <f>8.945 * CHOOSE(CONTROL!$C$32, $C$9, 100%, $E$9)</f>
        <v>8.9450000000000003</v>
      </c>
      <c r="I225" s="11">
        <f>8.9492 * CHOOSE(CONTROL!$C$32, $C$9, 100%, $E$9)</f>
        <v>8.9491999999999994</v>
      </c>
      <c r="J225" s="11">
        <f>8.945 * CHOOSE(CONTROL!$C$32, $C$9, 100%, $E$9)</f>
        <v>8.9450000000000003</v>
      </c>
      <c r="K225" s="11">
        <f>8.9492 * CHOOSE(CONTROL!$C$32, $C$9, 100%, $E$9)</f>
        <v>8.9491999999999994</v>
      </c>
      <c r="L225" s="11">
        <f>5.4391 * CHOOSE(CONTROL!$C$32, $C$9, 100%, $E$9)</f>
        <v>5.4390999999999998</v>
      </c>
      <c r="M225" s="11">
        <f>5.4433 * CHOOSE(CONTROL!$C$32, $C$9, 100%, $E$9)</f>
        <v>5.4432999999999998</v>
      </c>
      <c r="N225" s="11">
        <f>5.4391 * CHOOSE(CONTROL!$C$32, $C$9, 100%, $E$9)</f>
        <v>5.4390999999999998</v>
      </c>
      <c r="O225" s="11">
        <f>5.4433 * CHOOSE(CONTROL!$C$32, $C$9, 100%, $E$9)</f>
        <v>5.4432999999999998</v>
      </c>
    </row>
    <row r="226" spans="1:15" ht="15" x14ac:dyDescent="0.2">
      <c r="A226" s="13">
        <v>47727</v>
      </c>
      <c r="B226" s="9">
        <f>4.2569 * CHOOSE(CONTROL!$C$32, $C$9, 100%, $E$9)</f>
        <v>4.2568999999999999</v>
      </c>
      <c r="C226" s="9">
        <f>4.2569 * CHOOSE(CONTROL!$C$32, $C$9, 100%, $E$9)</f>
        <v>4.2568999999999999</v>
      </c>
      <c r="D226" s="9">
        <f>4.2582 * CHOOSE(CONTROL!$C$32, $C$9, 100%, $E$9)</f>
        <v>4.2582000000000004</v>
      </c>
      <c r="E226" s="11">
        <f>5.4371 * CHOOSE(CONTROL!$C$32, $C$9, 100%, $E$9)</f>
        <v>5.4371</v>
      </c>
      <c r="F226" s="11">
        <f>5.4371 * CHOOSE(CONTROL!$C$32, $C$9, 100%, $E$9)</f>
        <v>5.4371</v>
      </c>
      <c r="G226" s="11">
        <f>5.4413 * CHOOSE(CONTROL!$C$32, $C$9, 100%, $E$9)</f>
        <v>5.4413</v>
      </c>
      <c r="H226" s="11">
        <f>8.9636 * CHOOSE(CONTROL!$C$32, $C$9, 100%, $E$9)</f>
        <v>8.9635999999999996</v>
      </c>
      <c r="I226" s="11">
        <f>8.9678 * CHOOSE(CONTROL!$C$32, $C$9, 100%, $E$9)</f>
        <v>8.9678000000000004</v>
      </c>
      <c r="J226" s="11">
        <f>8.9636 * CHOOSE(CONTROL!$C$32, $C$9, 100%, $E$9)</f>
        <v>8.9635999999999996</v>
      </c>
      <c r="K226" s="11">
        <f>8.9678 * CHOOSE(CONTROL!$C$32, $C$9, 100%, $E$9)</f>
        <v>8.9678000000000004</v>
      </c>
      <c r="L226" s="11">
        <f>5.4371 * CHOOSE(CONTROL!$C$32, $C$9, 100%, $E$9)</f>
        <v>5.4371</v>
      </c>
      <c r="M226" s="11">
        <f>5.4413 * CHOOSE(CONTROL!$C$32, $C$9, 100%, $E$9)</f>
        <v>5.4413</v>
      </c>
      <c r="N226" s="11">
        <f>5.4371 * CHOOSE(CONTROL!$C$32, $C$9, 100%, $E$9)</f>
        <v>5.4371</v>
      </c>
      <c r="O226" s="11">
        <f>5.4413 * CHOOSE(CONTROL!$C$32, $C$9, 100%, $E$9)</f>
        <v>5.4413</v>
      </c>
    </row>
    <row r="227" spans="1:15" ht="15" x14ac:dyDescent="0.2">
      <c r="A227" s="13">
        <v>47757</v>
      </c>
      <c r="B227" s="9">
        <f>4.253 * CHOOSE(CONTROL!$C$32, $C$9, 100%, $E$9)</f>
        <v>4.2530000000000001</v>
      </c>
      <c r="C227" s="9">
        <f>4.253 * CHOOSE(CONTROL!$C$32, $C$9, 100%, $E$9)</f>
        <v>4.2530000000000001</v>
      </c>
      <c r="D227" s="9">
        <f>4.2539 * CHOOSE(CONTROL!$C$32, $C$9, 100%, $E$9)</f>
        <v>4.2538999999999998</v>
      </c>
      <c r="E227" s="11">
        <f>5.4323 * CHOOSE(CONTROL!$C$32, $C$9, 100%, $E$9)</f>
        <v>5.4322999999999997</v>
      </c>
      <c r="F227" s="11">
        <f>5.4323 * CHOOSE(CONTROL!$C$32, $C$9, 100%, $E$9)</f>
        <v>5.4322999999999997</v>
      </c>
      <c r="G227" s="11">
        <f>5.4356 * CHOOSE(CONTROL!$C$32, $C$9, 100%, $E$9)</f>
        <v>5.4356</v>
      </c>
      <c r="H227" s="11">
        <f>8.9823 * CHOOSE(CONTROL!$C$32, $C$9, 100%, $E$9)</f>
        <v>8.9823000000000004</v>
      </c>
      <c r="I227" s="11">
        <f>8.9855 * CHOOSE(CONTROL!$C$32, $C$9, 100%, $E$9)</f>
        <v>8.9855</v>
      </c>
      <c r="J227" s="11">
        <f>8.9823 * CHOOSE(CONTROL!$C$32, $C$9, 100%, $E$9)</f>
        <v>8.9823000000000004</v>
      </c>
      <c r="K227" s="11">
        <f>8.9855 * CHOOSE(CONTROL!$C$32, $C$9, 100%, $E$9)</f>
        <v>8.9855</v>
      </c>
      <c r="L227" s="11">
        <f>5.4323 * CHOOSE(CONTROL!$C$32, $C$9, 100%, $E$9)</f>
        <v>5.4322999999999997</v>
      </c>
      <c r="M227" s="11">
        <f>5.4356 * CHOOSE(CONTROL!$C$32, $C$9, 100%, $E$9)</f>
        <v>5.4356</v>
      </c>
      <c r="N227" s="11">
        <f>5.4323 * CHOOSE(CONTROL!$C$32, $C$9, 100%, $E$9)</f>
        <v>5.4322999999999997</v>
      </c>
      <c r="O227" s="11">
        <f>5.4356 * CHOOSE(CONTROL!$C$32, $C$9, 100%, $E$9)</f>
        <v>5.4356</v>
      </c>
    </row>
    <row r="228" spans="1:15" ht="15" x14ac:dyDescent="0.2">
      <c r="A228" s="13">
        <v>47788</v>
      </c>
      <c r="B228" s="9">
        <f>4.256 * CHOOSE(CONTROL!$C$32, $C$9, 100%, $E$9)</f>
        <v>4.2560000000000002</v>
      </c>
      <c r="C228" s="9">
        <f>4.256 * CHOOSE(CONTROL!$C$32, $C$9, 100%, $E$9)</f>
        <v>4.2560000000000002</v>
      </c>
      <c r="D228" s="9">
        <f>4.257 * CHOOSE(CONTROL!$C$32, $C$9, 100%, $E$9)</f>
        <v>4.2569999999999997</v>
      </c>
      <c r="E228" s="11">
        <f>5.4343 * CHOOSE(CONTROL!$C$32, $C$9, 100%, $E$9)</f>
        <v>5.4343000000000004</v>
      </c>
      <c r="F228" s="11">
        <f>5.4343 * CHOOSE(CONTROL!$C$32, $C$9, 100%, $E$9)</f>
        <v>5.4343000000000004</v>
      </c>
      <c r="G228" s="11">
        <f>5.4376 * CHOOSE(CONTROL!$C$32, $C$9, 100%, $E$9)</f>
        <v>5.4375999999999998</v>
      </c>
      <c r="H228" s="11">
        <f>9.001 * CHOOSE(CONTROL!$C$32, $C$9, 100%, $E$9)</f>
        <v>9.0009999999999994</v>
      </c>
      <c r="I228" s="11">
        <f>9.0043 * CHOOSE(CONTROL!$C$32, $C$9, 100%, $E$9)</f>
        <v>9.0043000000000006</v>
      </c>
      <c r="J228" s="11">
        <f>9.001 * CHOOSE(CONTROL!$C$32, $C$9, 100%, $E$9)</f>
        <v>9.0009999999999994</v>
      </c>
      <c r="K228" s="11">
        <f>9.0043 * CHOOSE(CONTROL!$C$32, $C$9, 100%, $E$9)</f>
        <v>9.0043000000000006</v>
      </c>
      <c r="L228" s="11">
        <f>5.4343 * CHOOSE(CONTROL!$C$32, $C$9, 100%, $E$9)</f>
        <v>5.4343000000000004</v>
      </c>
      <c r="M228" s="11">
        <f>5.4376 * CHOOSE(CONTROL!$C$32, $C$9, 100%, $E$9)</f>
        <v>5.4375999999999998</v>
      </c>
      <c r="N228" s="11">
        <f>5.4343 * CHOOSE(CONTROL!$C$32, $C$9, 100%, $E$9)</f>
        <v>5.4343000000000004</v>
      </c>
      <c r="O228" s="11">
        <f>5.4376 * CHOOSE(CONTROL!$C$32, $C$9, 100%, $E$9)</f>
        <v>5.4375999999999998</v>
      </c>
    </row>
    <row r="229" spans="1:15" ht="15" x14ac:dyDescent="0.2">
      <c r="A229" s="13">
        <v>47818</v>
      </c>
      <c r="B229" s="9">
        <f>4.256 * CHOOSE(CONTROL!$C$32, $C$9, 100%, $E$9)</f>
        <v>4.2560000000000002</v>
      </c>
      <c r="C229" s="9">
        <f>4.256 * CHOOSE(CONTROL!$C$32, $C$9, 100%, $E$9)</f>
        <v>4.2560000000000002</v>
      </c>
      <c r="D229" s="9">
        <f>4.257 * CHOOSE(CONTROL!$C$32, $C$9, 100%, $E$9)</f>
        <v>4.2569999999999997</v>
      </c>
      <c r="E229" s="11">
        <f>5.4343 * CHOOSE(CONTROL!$C$32, $C$9, 100%, $E$9)</f>
        <v>5.4343000000000004</v>
      </c>
      <c r="F229" s="11">
        <f>5.4343 * CHOOSE(CONTROL!$C$32, $C$9, 100%, $E$9)</f>
        <v>5.4343000000000004</v>
      </c>
      <c r="G229" s="11">
        <f>5.4376 * CHOOSE(CONTROL!$C$32, $C$9, 100%, $E$9)</f>
        <v>5.4375999999999998</v>
      </c>
      <c r="H229" s="11">
        <f>9.0198 * CHOOSE(CONTROL!$C$32, $C$9, 100%, $E$9)</f>
        <v>9.0198</v>
      </c>
      <c r="I229" s="11">
        <f>9.023 * CHOOSE(CONTROL!$C$32, $C$9, 100%, $E$9)</f>
        <v>9.0229999999999997</v>
      </c>
      <c r="J229" s="11">
        <f>9.0198 * CHOOSE(CONTROL!$C$32, $C$9, 100%, $E$9)</f>
        <v>9.0198</v>
      </c>
      <c r="K229" s="11">
        <f>9.023 * CHOOSE(CONTROL!$C$32, $C$9, 100%, $E$9)</f>
        <v>9.0229999999999997</v>
      </c>
      <c r="L229" s="11">
        <f>5.4343 * CHOOSE(CONTROL!$C$32, $C$9, 100%, $E$9)</f>
        <v>5.4343000000000004</v>
      </c>
      <c r="M229" s="11">
        <f>5.4376 * CHOOSE(CONTROL!$C$32, $C$9, 100%, $E$9)</f>
        <v>5.4375999999999998</v>
      </c>
      <c r="N229" s="11">
        <f>5.4343 * CHOOSE(CONTROL!$C$32, $C$9, 100%, $E$9)</f>
        <v>5.4343000000000004</v>
      </c>
      <c r="O229" s="11">
        <f>5.4376 * CHOOSE(CONTROL!$C$32, $C$9, 100%, $E$9)</f>
        <v>5.4375999999999998</v>
      </c>
    </row>
    <row r="230" spans="1:15" ht="15" x14ac:dyDescent="0.2">
      <c r="A230" s="13">
        <v>47849</v>
      </c>
      <c r="B230" s="9">
        <f>4.2906 * CHOOSE(CONTROL!$C$32, $C$9, 100%, $E$9)</f>
        <v>4.2906000000000004</v>
      </c>
      <c r="C230" s="9">
        <f>4.2906 * CHOOSE(CONTROL!$C$32, $C$9, 100%, $E$9)</f>
        <v>4.2906000000000004</v>
      </c>
      <c r="D230" s="9">
        <f>4.2915 * CHOOSE(CONTROL!$C$32, $C$9, 100%, $E$9)</f>
        <v>4.2915000000000001</v>
      </c>
      <c r="E230" s="11">
        <f>5.4769 * CHOOSE(CONTROL!$C$32, $C$9, 100%, $E$9)</f>
        <v>5.4768999999999997</v>
      </c>
      <c r="F230" s="11">
        <f>5.4769 * CHOOSE(CONTROL!$C$32, $C$9, 100%, $E$9)</f>
        <v>5.4768999999999997</v>
      </c>
      <c r="G230" s="11">
        <f>5.4802 * CHOOSE(CONTROL!$C$32, $C$9, 100%, $E$9)</f>
        <v>5.4802</v>
      </c>
      <c r="H230" s="11">
        <f>9.0386 * CHOOSE(CONTROL!$C$32, $C$9, 100%, $E$9)</f>
        <v>9.0386000000000006</v>
      </c>
      <c r="I230" s="11">
        <f>9.0418 * CHOOSE(CONTROL!$C$32, $C$9, 100%, $E$9)</f>
        <v>9.0418000000000003</v>
      </c>
      <c r="J230" s="11">
        <f>9.0386 * CHOOSE(CONTROL!$C$32, $C$9, 100%, $E$9)</f>
        <v>9.0386000000000006</v>
      </c>
      <c r="K230" s="11">
        <f>9.0418 * CHOOSE(CONTROL!$C$32, $C$9, 100%, $E$9)</f>
        <v>9.0418000000000003</v>
      </c>
      <c r="L230" s="11">
        <f>5.4769 * CHOOSE(CONTROL!$C$32, $C$9, 100%, $E$9)</f>
        <v>5.4768999999999997</v>
      </c>
      <c r="M230" s="11">
        <f>5.4802 * CHOOSE(CONTROL!$C$32, $C$9, 100%, $E$9)</f>
        <v>5.4802</v>
      </c>
      <c r="N230" s="11">
        <f>5.4769 * CHOOSE(CONTROL!$C$32, $C$9, 100%, $E$9)</f>
        <v>5.4768999999999997</v>
      </c>
      <c r="O230" s="11">
        <f>5.4802 * CHOOSE(CONTROL!$C$32, $C$9, 100%, $E$9)</f>
        <v>5.4802</v>
      </c>
    </row>
    <row r="231" spans="1:15" ht="15" x14ac:dyDescent="0.2">
      <c r="A231" s="13">
        <v>47880</v>
      </c>
      <c r="B231" s="9">
        <f>4.2875 * CHOOSE(CONTROL!$C$32, $C$9, 100%, $E$9)</f>
        <v>4.2874999999999996</v>
      </c>
      <c r="C231" s="9">
        <f>4.2875 * CHOOSE(CONTROL!$C$32, $C$9, 100%, $E$9)</f>
        <v>4.2874999999999996</v>
      </c>
      <c r="D231" s="9">
        <f>4.2885 * CHOOSE(CONTROL!$C$32, $C$9, 100%, $E$9)</f>
        <v>4.2885</v>
      </c>
      <c r="E231" s="11">
        <f>5.4749 * CHOOSE(CONTROL!$C$32, $C$9, 100%, $E$9)</f>
        <v>5.4748999999999999</v>
      </c>
      <c r="F231" s="11">
        <f>5.4749 * CHOOSE(CONTROL!$C$32, $C$9, 100%, $E$9)</f>
        <v>5.4748999999999999</v>
      </c>
      <c r="G231" s="11">
        <f>5.4782 * CHOOSE(CONTROL!$C$32, $C$9, 100%, $E$9)</f>
        <v>5.4782000000000002</v>
      </c>
      <c r="H231" s="11">
        <f>9.0574 * CHOOSE(CONTROL!$C$32, $C$9, 100%, $E$9)</f>
        <v>9.0573999999999995</v>
      </c>
      <c r="I231" s="11">
        <f>9.0606 * CHOOSE(CONTROL!$C$32, $C$9, 100%, $E$9)</f>
        <v>9.0606000000000009</v>
      </c>
      <c r="J231" s="11">
        <f>9.0574 * CHOOSE(CONTROL!$C$32, $C$9, 100%, $E$9)</f>
        <v>9.0573999999999995</v>
      </c>
      <c r="K231" s="11">
        <f>9.0606 * CHOOSE(CONTROL!$C$32, $C$9, 100%, $E$9)</f>
        <v>9.0606000000000009</v>
      </c>
      <c r="L231" s="11">
        <f>5.4749 * CHOOSE(CONTROL!$C$32, $C$9, 100%, $E$9)</f>
        <v>5.4748999999999999</v>
      </c>
      <c r="M231" s="11">
        <f>5.4782 * CHOOSE(CONTROL!$C$32, $C$9, 100%, $E$9)</f>
        <v>5.4782000000000002</v>
      </c>
      <c r="N231" s="11">
        <f>5.4749 * CHOOSE(CONTROL!$C$32, $C$9, 100%, $E$9)</f>
        <v>5.4748999999999999</v>
      </c>
      <c r="O231" s="11">
        <f>5.4782 * CHOOSE(CONTROL!$C$32, $C$9, 100%, $E$9)</f>
        <v>5.4782000000000002</v>
      </c>
    </row>
    <row r="232" spans="1:15" ht="15" x14ac:dyDescent="0.2">
      <c r="A232" s="13">
        <v>47908</v>
      </c>
      <c r="B232" s="9">
        <f>4.2845 * CHOOSE(CONTROL!$C$32, $C$9, 100%, $E$9)</f>
        <v>4.2845000000000004</v>
      </c>
      <c r="C232" s="9">
        <f>4.2845 * CHOOSE(CONTROL!$C$32, $C$9, 100%, $E$9)</f>
        <v>4.2845000000000004</v>
      </c>
      <c r="D232" s="9">
        <f>4.2855 * CHOOSE(CONTROL!$C$32, $C$9, 100%, $E$9)</f>
        <v>4.2854999999999999</v>
      </c>
      <c r="E232" s="11">
        <f>5.4729 * CHOOSE(CONTROL!$C$32, $C$9, 100%, $E$9)</f>
        <v>5.4729000000000001</v>
      </c>
      <c r="F232" s="11">
        <f>5.4729 * CHOOSE(CONTROL!$C$32, $C$9, 100%, $E$9)</f>
        <v>5.4729000000000001</v>
      </c>
      <c r="G232" s="11">
        <f>5.4762 * CHOOSE(CONTROL!$C$32, $C$9, 100%, $E$9)</f>
        <v>5.4762000000000004</v>
      </c>
      <c r="H232" s="11">
        <f>9.0763 * CHOOSE(CONTROL!$C$32, $C$9, 100%, $E$9)</f>
        <v>9.0762999999999998</v>
      </c>
      <c r="I232" s="11">
        <f>9.0795 * CHOOSE(CONTROL!$C$32, $C$9, 100%, $E$9)</f>
        <v>9.0794999999999995</v>
      </c>
      <c r="J232" s="11">
        <f>9.0763 * CHOOSE(CONTROL!$C$32, $C$9, 100%, $E$9)</f>
        <v>9.0762999999999998</v>
      </c>
      <c r="K232" s="11">
        <f>9.0795 * CHOOSE(CONTROL!$C$32, $C$9, 100%, $E$9)</f>
        <v>9.0794999999999995</v>
      </c>
      <c r="L232" s="11">
        <f>5.4729 * CHOOSE(CONTROL!$C$32, $C$9, 100%, $E$9)</f>
        <v>5.4729000000000001</v>
      </c>
      <c r="M232" s="11">
        <f>5.4762 * CHOOSE(CONTROL!$C$32, $C$9, 100%, $E$9)</f>
        <v>5.4762000000000004</v>
      </c>
      <c r="N232" s="11">
        <f>5.4729 * CHOOSE(CONTROL!$C$32, $C$9, 100%, $E$9)</f>
        <v>5.4729000000000001</v>
      </c>
      <c r="O232" s="11">
        <f>5.4762 * CHOOSE(CONTROL!$C$32, $C$9, 100%, $E$9)</f>
        <v>5.4762000000000004</v>
      </c>
    </row>
    <row r="233" spans="1:15" ht="15" x14ac:dyDescent="0.2">
      <c r="A233" s="13">
        <v>47939</v>
      </c>
      <c r="B233" s="9">
        <f>4.2824 * CHOOSE(CONTROL!$C$32, $C$9, 100%, $E$9)</f>
        <v>4.2824</v>
      </c>
      <c r="C233" s="9">
        <f>4.2824 * CHOOSE(CONTROL!$C$32, $C$9, 100%, $E$9)</f>
        <v>4.2824</v>
      </c>
      <c r="D233" s="9">
        <f>4.2834 * CHOOSE(CONTROL!$C$32, $C$9, 100%, $E$9)</f>
        <v>4.2834000000000003</v>
      </c>
      <c r="E233" s="11">
        <f>5.471 * CHOOSE(CONTROL!$C$32, $C$9, 100%, $E$9)</f>
        <v>5.4710000000000001</v>
      </c>
      <c r="F233" s="11">
        <f>5.471 * CHOOSE(CONTROL!$C$32, $C$9, 100%, $E$9)</f>
        <v>5.4710000000000001</v>
      </c>
      <c r="G233" s="11">
        <f>5.4742 * CHOOSE(CONTROL!$C$32, $C$9, 100%, $E$9)</f>
        <v>5.4741999999999997</v>
      </c>
      <c r="H233" s="11">
        <f>9.0952 * CHOOSE(CONTROL!$C$32, $C$9, 100%, $E$9)</f>
        <v>9.0952000000000002</v>
      </c>
      <c r="I233" s="11">
        <f>9.0984 * CHOOSE(CONTROL!$C$32, $C$9, 100%, $E$9)</f>
        <v>9.0983999999999998</v>
      </c>
      <c r="J233" s="11">
        <f>9.0952 * CHOOSE(CONTROL!$C$32, $C$9, 100%, $E$9)</f>
        <v>9.0952000000000002</v>
      </c>
      <c r="K233" s="11">
        <f>9.0984 * CHOOSE(CONTROL!$C$32, $C$9, 100%, $E$9)</f>
        <v>9.0983999999999998</v>
      </c>
      <c r="L233" s="11">
        <f>5.471 * CHOOSE(CONTROL!$C$32, $C$9, 100%, $E$9)</f>
        <v>5.4710000000000001</v>
      </c>
      <c r="M233" s="11">
        <f>5.4742 * CHOOSE(CONTROL!$C$32, $C$9, 100%, $E$9)</f>
        <v>5.4741999999999997</v>
      </c>
      <c r="N233" s="11">
        <f>5.471 * CHOOSE(CONTROL!$C$32, $C$9, 100%, $E$9)</f>
        <v>5.4710000000000001</v>
      </c>
      <c r="O233" s="11">
        <f>5.4742 * CHOOSE(CONTROL!$C$32, $C$9, 100%, $E$9)</f>
        <v>5.4741999999999997</v>
      </c>
    </row>
    <row r="234" spans="1:15" ht="15" x14ac:dyDescent="0.2">
      <c r="A234" s="13">
        <v>47969</v>
      </c>
      <c r="B234" s="9">
        <f>4.2824 * CHOOSE(CONTROL!$C$32, $C$9, 100%, $E$9)</f>
        <v>4.2824</v>
      </c>
      <c r="C234" s="9">
        <f>4.2824 * CHOOSE(CONTROL!$C$32, $C$9, 100%, $E$9)</f>
        <v>4.2824</v>
      </c>
      <c r="D234" s="9">
        <f>4.2837 * CHOOSE(CONTROL!$C$32, $C$9, 100%, $E$9)</f>
        <v>4.2836999999999996</v>
      </c>
      <c r="E234" s="11">
        <f>5.471 * CHOOSE(CONTROL!$C$32, $C$9, 100%, $E$9)</f>
        <v>5.4710000000000001</v>
      </c>
      <c r="F234" s="11">
        <f>5.471 * CHOOSE(CONTROL!$C$32, $C$9, 100%, $E$9)</f>
        <v>5.4710000000000001</v>
      </c>
      <c r="G234" s="11">
        <f>5.4752 * CHOOSE(CONTROL!$C$32, $C$9, 100%, $E$9)</f>
        <v>5.4752000000000001</v>
      </c>
      <c r="H234" s="11">
        <f>9.1141 * CHOOSE(CONTROL!$C$32, $C$9, 100%, $E$9)</f>
        <v>9.1141000000000005</v>
      </c>
      <c r="I234" s="11">
        <f>9.1183 * CHOOSE(CONTROL!$C$32, $C$9, 100%, $E$9)</f>
        <v>9.1182999999999996</v>
      </c>
      <c r="J234" s="11">
        <f>9.1141 * CHOOSE(CONTROL!$C$32, $C$9, 100%, $E$9)</f>
        <v>9.1141000000000005</v>
      </c>
      <c r="K234" s="11">
        <f>9.1183 * CHOOSE(CONTROL!$C$32, $C$9, 100%, $E$9)</f>
        <v>9.1182999999999996</v>
      </c>
      <c r="L234" s="11">
        <f>5.471 * CHOOSE(CONTROL!$C$32, $C$9, 100%, $E$9)</f>
        <v>5.4710000000000001</v>
      </c>
      <c r="M234" s="11">
        <f>5.4752 * CHOOSE(CONTROL!$C$32, $C$9, 100%, $E$9)</f>
        <v>5.4752000000000001</v>
      </c>
      <c r="N234" s="11">
        <f>5.471 * CHOOSE(CONTROL!$C$32, $C$9, 100%, $E$9)</f>
        <v>5.4710000000000001</v>
      </c>
      <c r="O234" s="11">
        <f>5.4752 * CHOOSE(CONTROL!$C$32, $C$9, 100%, $E$9)</f>
        <v>5.4752000000000001</v>
      </c>
    </row>
    <row r="235" spans="1:15" ht="15" x14ac:dyDescent="0.2">
      <c r="A235" s="13">
        <v>48000</v>
      </c>
      <c r="B235" s="9">
        <f>4.2885 * CHOOSE(CONTROL!$C$32, $C$9, 100%, $E$9)</f>
        <v>4.2885</v>
      </c>
      <c r="C235" s="9">
        <f>4.2885 * CHOOSE(CONTROL!$C$32, $C$9, 100%, $E$9)</f>
        <v>4.2885</v>
      </c>
      <c r="D235" s="9">
        <f>4.2898 * CHOOSE(CONTROL!$C$32, $C$9, 100%, $E$9)</f>
        <v>4.2897999999999996</v>
      </c>
      <c r="E235" s="11">
        <f>5.475 * CHOOSE(CONTROL!$C$32, $C$9, 100%, $E$9)</f>
        <v>5.4749999999999996</v>
      </c>
      <c r="F235" s="11">
        <f>5.475 * CHOOSE(CONTROL!$C$32, $C$9, 100%, $E$9)</f>
        <v>5.4749999999999996</v>
      </c>
      <c r="G235" s="11">
        <f>5.4792 * CHOOSE(CONTROL!$C$32, $C$9, 100%, $E$9)</f>
        <v>5.4791999999999996</v>
      </c>
      <c r="H235" s="11">
        <f>9.1331 * CHOOSE(CONTROL!$C$32, $C$9, 100%, $E$9)</f>
        <v>9.1331000000000007</v>
      </c>
      <c r="I235" s="11">
        <f>9.1373 * CHOOSE(CONTROL!$C$32, $C$9, 100%, $E$9)</f>
        <v>9.1372999999999998</v>
      </c>
      <c r="J235" s="11">
        <f>9.1331 * CHOOSE(CONTROL!$C$32, $C$9, 100%, $E$9)</f>
        <v>9.1331000000000007</v>
      </c>
      <c r="K235" s="11">
        <f>9.1373 * CHOOSE(CONTROL!$C$32, $C$9, 100%, $E$9)</f>
        <v>9.1372999999999998</v>
      </c>
      <c r="L235" s="11">
        <f>5.475 * CHOOSE(CONTROL!$C$32, $C$9, 100%, $E$9)</f>
        <v>5.4749999999999996</v>
      </c>
      <c r="M235" s="11">
        <f>5.4792 * CHOOSE(CONTROL!$C$32, $C$9, 100%, $E$9)</f>
        <v>5.4791999999999996</v>
      </c>
      <c r="N235" s="11">
        <f>5.475 * CHOOSE(CONTROL!$C$32, $C$9, 100%, $E$9)</f>
        <v>5.4749999999999996</v>
      </c>
      <c r="O235" s="11">
        <f>5.4792 * CHOOSE(CONTROL!$C$32, $C$9, 100%, $E$9)</f>
        <v>5.4791999999999996</v>
      </c>
    </row>
    <row r="236" spans="1:15" ht="15" x14ac:dyDescent="0.2">
      <c r="A236" s="13">
        <v>48030</v>
      </c>
      <c r="B236" s="9">
        <f>4.3512 * CHOOSE(CONTROL!$C$32, $C$9, 100%, $E$9)</f>
        <v>4.3512000000000004</v>
      </c>
      <c r="C236" s="9">
        <f>4.3512 * CHOOSE(CONTROL!$C$32, $C$9, 100%, $E$9)</f>
        <v>4.3512000000000004</v>
      </c>
      <c r="D236" s="9">
        <f>4.3525 * CHOOSE(CONTROL!$C$32, $C$9, 100%, $E$9)</f>
        <v>4.3525</v>
      </c>
      <c r="E236" s="11">
        <f>5.5682 * CHOOSE(CONTROL!$C$32, $C$9, 100%, $E$9)</f>
        <v>5.5682</v>
      </c>
      <c r="F236" s="11">
        <f>5.5682 * CHOOSE(CONTROL!$C$32, $C$9, 100%, $E$9)</f>
        <v>5.5682</v>
      </c>
      <c r="G236" s="11">
        <f>5.5724 * CHOOSE(CONTROL!$C$32, $C$9, 100%, $E$9)</f>
        <v>5.5724</v>
      </c>
      <c r="H236" s="11">
        <f>9.1522 * CHOOSE(CONTROL!$C$32, $C$9, 100%, $E$9)</f>
        <v>9.1522000000000006</v>
      </c>
      <c r="I236" s="11">
        <f>9.1564 * CHOOSE(CONTROL!$C$32, $C$9, 100%, $E$9)</f>
        <v>9.1563999999999997</v>
      </c>
      <c r="J236" s="11">
        <f>9.1522 * CHOOSE(CONTROL!$C$32, $C$9, 100%, $E$9)</f>
        <v>9.1522000000000006</v>
      </c>
      <c r="K236" s="11">
        <f>9.1564 * CHOOSE(CONTROL!$C$32, $C$9, 100%, $E$9)</f>
        <v>9.1563999999999997</v>
      </c>
      <c r="L236" s="11">
        <f>5.5682 * CHOOSE(CONTROL!$C$32, $C$9, 100%, $E$9)</f>
        <v>5.5682</v>
      </c>
      <c r="M236" s="11">
        <f>5.5724 * CHOOSE(CONTROL!$C$32, $C$9, 100%, $E$9)</f>
        <v>5.5724</v>
      </c>
      <c r="N236" s="11">
        <f>5.5682 * CHOOSE(CONTROL!$C$32, $C$9, 100%, $E$9)</f>
        <v>5.5682</v>
      </c>
      <c r="O236" s="11">
        <f>5.5724 * CHOOSE(CONTROL!$C$32, $C$9, 100%, $E$9)</f>
        <v>5.5724</v>
      </c>
    </row>
    <row r="237" spans="1:15" ht="15" x14ac:dyDescent="0.2">
      <c r="A237" s="13">
        <v>48061</v>
      </c>
      <c r="B237" s="9">
        <f>4.3579 * CHOOSE(CONTROL!$C$32, $C$9, 100%, $E$9)</f>
        <v>4.3578999999999999</v>
      </c>
      <c r="C237" s="9">
        <f>4.3579 * CHOOSE(CONTROL!$C$32, $C$9, 100%, $E$9)</f>
        <v>4.3578999999999999</v>
      </c>
      <c r="D237" s="9">
        <f>4.3592 * CHOOSE(CONTROL!$C$32, $C$9, 100%, $E$9)</f>
        <v>4.3592000000000004</v>
      </c>
      <c r="E237" s="11">
        <f>5.5726 * CHOOSE(CONTROL!$C$32, $C$9, 100%, $E$9)</f>
        <v>5.5726000000000004</v>
      </c>
      <c r="F237" s="11">
        <f>5.5726 * CHOOSE(CONTROL!$C$32, $C$9, 100%, $E$9)</f>
        <v>5.5726000000000004</v>
      </c>
      <c r="G237" s="11">
        <f>5.5768 * CHOOSE(CONTROL!$C$32, $C$9, 100%, $E$9)</f>
        <v>5.5768000000000004</v>
      </c>
      <c r="H237" s="11">
        <f>9.1712 * CHOOSE(CONTROL!$C$32, $C$9, 100%, $E$9)</f>
        <v>9.1712000000000007</v>
      </c>
      <c r="I237" s="11">
        <f>9.1754 * CHOOSE(CONTROL!$C$32, $C$9, 100%, $E$9)</f>
        <v>9.1753999999999998</v>
      </c>
      <c r="J237" s="11">
        <f>9.1712 * CHOOSE(CONTROL!$C$32, $C$9, 100%, $E$9)</f>
        <v>9.1712000000000007</v>
      </c>
      <c r="K237" s="11">
        <f>9.1754 * CHOOSE(CONTROL!$C$32, $C$9, 100%, $E$9)</f>
        <v>9.1753999999999998</v>
      </c>
      <c r="L237" s="11">
        <f>5.5726 * CHOOSE(CONTROL!$C$32, $C$9, 100%, $E$9)</f>
        <v>5.5726000000000004</v>
      </c>
      <c r="M237" s="11">
        <f>5.5768 * CHOOSE(CONTROL!$C$32, $C$9, 100%, $E$9)</f>
        <v>5.5768000000000004</v>
      </c>
      <c r="N237" s="11">
        <f>5.5726 * CHOOSE(CONTROL!$C$32, $C$9, 100%, $E$9)</f>
        <v>5.5726000000000004</v>
      </c>
      <c r="O237" s="11">
        <f>5.5768 * CHOOSE(CONTROL!$C$32, $C$9, 100%, $E$9)</f>
        <v>5.5768000000000004</v>
      </c>
    </row>
    <row r="238" spans="1:15" ht="15" x14ac:dyDescent="0.2">
      <c r="A238" s="13">
        <v>48092</v>
      </c>
      <c r="B238" s="9">
        <f>4.3549 * CHOOSE(CONTROL!$C$32, $C$9, 100%, $E$9)</f>
        <v>4.3548999999999998</v>
      </c>
      <c r="C238" s="9">
        <f>4.3549 * CHOOSE(CONTROL!$C$32, $C$9, 100%, $E$9)</f>
        <v>4.3548999999999998</v>
      </c>
      <c r="D238" s="9">
        <f>4.3561 * CHOOSE(CONTROL!$C$32, $C$9, 100%, $E$9)</f>
        <v>4.3560999999999996</v>
      </c>
      <c r="E238" s="11">
        <f>5.5706 * CHOOSE(CONTROL!$C$32, $C$9, 100%, $E$9)</f>
        <v>5.5705999999999998</v>
      </c>
      <c r="F238" s="11">
        <f>5.5706 * CHOOSE(CONTROL!$C$32, $C$9, 100%, $E$9)</f>
        <v>5.5705999999999998</v>
      </c>
      <c r="G238" s="11">
        <f>5.5748 * CHOOSE(CONTROL!$C$32, $C$9, 100%, $E$9)</f>
        <v>5.5747999999999998</v>
      </c>
      <c r="H238" s="11">
        <f>9.1903 * CHOOSE(CONTROL!$C$32, $C$9, 100%, $E$9)</f>
        <v>9.1903000000000006</v>
      </c>
      <c r="I238" s="11">
        <f>9.1945 * CHOOSE(CONTROL!$C$32, $C$9, 100%, $E$9)</f>
        <v>9.1944999999999997</v>
      </c>
      <c r="J238" s="11">
        <f>9.1903 * CHOOSE(CONTROL!$C$32, $C$9, 100%, $E$9)</f>
        <v>9.1903000000000006</v>
      </c>
      <c r="K238" s="11">
        <f>9.1945 * CHOOSE(CONTROL!$C$32, $C$9, 100%, $E$9)</f>
        <v>9.1944999999999997</v>
      </c>
      <c r="L238" s="11">
        <f>5.5706 * CHOOSE(CONTROL!$C$32, $C$9, 100%, $E$9)</f>
        <v>5.5705999999999998</v>
      </c>
      <c r="M238" s="11">
        <f>5.5748 * CHOOSE(CONTROL!$C$32, $C$9, 100%, $E$9)</f>
        <v>5.5747999999999998</v>
      </c>
      <c r="N238" s="11">
        <f>5.5706 * CHOOSE(CONTROL!$C$32, $C$9, 100%, $E$9)</f>
        <v>5.5705999999999998</v>
      </c>
      <c r="O238" s="11">
        <f>5.5748 * CHOOSE(CONTROL!$C$32, $C$9, 100%, $E$9)</f>
        <v>5.5747999999999998</v>
      </c>
    </row>
    <row r="239" spans="1:15" ht="15" x14ac:dyDescent="0.2">
      <c r="A239" s="13">
        <v>48122</v>
      </c>
      <c r="B239" s="9">
        <f>4.3513 * CHOOSE(CONTROL!$C$32, $C$9, 100%, $E$9)</f>
        <v>4.3513000000000002</v>
      </c>
      <c r="C239" s="9">
        <f>4.3513 * CHOOSE(CONTROL!$C$32, $C$9, 100%, $E$9)</f>
        <v>4.3513000000000002</v>
      </c>
      <c r="D239" s="9">
        <f>4.3522 * CHOOSE(CONTROL!$C$32, $C$9, 100%, $E$9)</f>
        <v>4.3521999999999998</v>
      </c>
      <c r="E239" s="11">
        <f>5.566 * CHOOSE(CONTROL!$C$32, $C$9, 100%, $E$9)</f>
        <v>5.5659999999999998</v>
      </c>
      <c r="F239" s="11">
        <f>5.566 * CHOOSE(CONTROL!$C$32, $C$9, 100%, $E$9)</f>
        <v>5.5659999999999998</v>
      </c>
      <c r="G239" s="11">
        <f>5.5692 * CHOOSE(CONTROL!$C$32, $C$9, 100%, $E$9)</f>
        <v>5.5692000000000004</v>
      </c>
      <c r="H239" s="11">
        <f>9.2095 * CHOOSE(CONTROL!$C$32, $C$9, 100%, $E$9)</f>
        <v>9.2095000000000002</v>
      </c>
      <c r="I239" s="11">
        <f>9.2127 * CHOOSE(CONTROL!$C$32, $C$9, 100%, $E$9)</f>
        <v>9.2126999999999999</v>
      </c>
      <c r="J239" s="11">
        <f>9.2095 * CHOOSE(CONTROL!$C$32, $C$9, 100%, $E$9)</f>
        <v>9.2095000000000002</v>
      </c>
      <c r="K239" s="11">
        <f>9.2127 * CHOOSE(CONTROL!$C$32, $C$9, 100%, $E$9)</f>
        <v>9.2126999999999999</v>
      </c>
      <c r="L239" s="11">
        <f>5.566 * CHOOSE(CONTROL!$C$32, $C$9, 100%, $E$9)</f>
        <v>5.5659999999999998</v>
      </c>
      <c r="M239" s="11">
        <f>5.5692 * CHOOSE(CONTROL!$C$32, $C$9, 100%, $E$9)</f>
        <v>5.5692000000000004</v>
      </c>
      <c r="N239" s="11">
        <f>5.566 * CHOOSE(CONTROL!$C$32, $C$9, 100%, $E$9)</f>
        <v>5.5659999999999998</v>
      </c>
      <c r="O239" s="11">
        <f>5.5692 * CHOOSE(CONTROL!$C$32, $C$9, 100%, $E$9)</f>
        <v>5.5692000000000004</v>
      </c>
    </row>
    <row r="240" spans="1:15" ht="15" x14ac:dyDescent="0.2">
      <c r="A240" s="13">
        <v>48153</v>
      </c>
      <c r="B240" s="9">
        <f>4.3543 * CHOOSE(CONTROL!$C$32, $C$9, 100%, $E$9)</f>
        <v>4.3543000000000003</v>
      </c>
      <c r="C240" s="9">
        <f>4.3543 * CHOOSE(CONTROL!$C$32, $C$9, 100%, $E$9)</f>
        <v>4.3543000000000003</v>
      </c>
      <c r="D240" s="9">
        <f>4.3553 * CHOOSE(CONTROL!$C$32, $C$9, 100%, $E$9)</f>
        <v>4.3552999999999997</v>
      </c>
      <c r="E240" s="11">
        <f>5.568 * CHOOSE(CONTROL!$C$32, $C$9, 100%, $E$9)</f>
        <v>5.5679999999999996</v>
      </c>
      <c r="F240" s="11">
        <f>5.568 * CHOOSE(CONTROL!$C$32, $C$9, 100%, $E$9)</f>
        <v>5.5679999999999996</v>
      </c>
      <c r="G240" s="11">
        <f>5.5712 * CHOOSE(CONTROL!$C$32, $C$9, 100%, $E$9)</f>
        <v>5.5712000000000002</v>
      </c>
      <c r="H240" s="11">
        <f>9.2287 * CHOOSE(CONTROL!$C$32, $C$9, 100%, $E$9)</f>
        <v>9.2286999999999999</v>
      </c>
      <c r="I240" s="11">
        <f>9.2319 * CHOOSE(CONTROL!$C$32, $C$9, 100%, $E$9)</f>
        <v>9.2318999999999996</v>
      </c>
      <c r="J240" s="11">
        <f>9.2287 * CHOOSE(CONTROL!$C$32, $C$9, 100%, $E$9)</f>
        <v>9.2286999999999999</v>
      </c>
      <c r="K240" s="11">
        <f>9.2319 * CHOOSE(CONTROL!$C$32, $C$9, 100%, $E$9)</f>
        <v>9.2318999999999996</v>
      </c>
      <c r="L240" s="11">
        <f>5.568 * CHOOSE(CONTROL!$C$32, $C$9, 100%, $E$9)</f>
        <v>5.5679999999999996</v>
      </c>
      <c r="M240" s="11">
        <f>5.5712 * CHOOSE(CONTROL!$C$32, $C$9, 100%, $E$9)</f>
        <v>5.5712000000000002</v>
      </c>
      <c r="N240" s="11">
        <f>5.568 * CHOOSE(CONTROL!$C$32, $C$9, 100%, $E$9)</f>
        <v>5.5679999999999996</v>
      </c>
      <c r="O240" s="11">
        <f>5.5712 * CHOOSE(CONTROL!$C$32, $C$9, 100%, $E$9)</f>
        <v>5.5712000000000002</v>
      </c>
    </row>
    <row r="241" spans="1:15" ht="15" x14ac:dyDescent="0.2">
      <c r="A241" s="13">
        <v>48183</v>
      </c>
      <c r="B241" s="9">
        <f>4.3543 * CHOOSE(CONTROL!$C$32, $C$9, 100%, $E$9)</f>
        <v>4.3543000000000003</v>
      </c>
      <c r="C241" s="9">
        <f>4.3543 * CHOOSE(CONTROL!$C$32, $C$9, 100%, $E$9)</f>
        <v>4.3543000000000003</v>
      </c>
      <c r="D241" s="9">
        <f>4.3553 * CHOOSE(CONTROL!$C$32, $C$9, 100%, $E$9)</f>
        <v>4.3552999999999997</v>
      </c>
      <c r="E241" s="11">
        <f>5.568 * CHOOSE(CONTROL!$C$32, $C$9, 100%, $E$9)</f>
        <v>5.5679999999999996</v>
      </c>
      <c r="F241" s="11">
        <f>5.568 * CHOOSE(CONTROL!$C$32, $C$9, 100%, $E$9)</f>
        <v>5.5679999999999996</v>
      </c>
      <c r="G241" s="11">
        <f>5.5712 * CHOOSE(CONTROL!$C$32, $C$9, 100%, $E$9)</f>
        <v>5.5712000000000002</v>
      </c>
      <c r="H241" s="11">
        <f>9.2479 * CHOOSE(CONTROL!$C$32, $C$9, 100%, $E$9)</f>
        <v>9.2478999999999996</v>
      </c>
      <c r="I241" s="11">
        <f>9.2511 * CHOOSE(CONTROL!$C$32, $C$9, 100%, $E$9)</f>
        <v>9.2510999999999992</v>
      </c>
      <c r="J241" s="11">
        <f>9.2479 * CHOOSE(CONTROL!$C$32, $C$9, 100%, $E$9)</f>
        <v>9.2478999999999996</v>
      </c>
      <c r="K241" s="11">
        <f>9.2511 * CHOOSE(CONTROL!$C$32, $C$9, 100%, $E$9)</f>
        <v>9.2510999999999992</v>
      </c>
      <c r="L241" s="11">
        <f>5.568 * CHOOSE(CONTROL!$C$32, $C$9, 100%, $E$9)</f>
        <v>5.5679999999999996</v>
      </c>
      <c r="M241" s="11">
        <f>5.5712 * CHOOSE(CONTROL!$C$32, $C$9, 100%, $E$9)</f>
        <v>5.5712000000000002</v>
      </c>
      <c r="N241" s="11">
        <f>5.568 * CHOOSE(CONTROL!$C$32, $C$9, 100%, $E$9)</f>
        <v>5.5679999999999996</v>
      </c>
      <c r="O241" s="11">
        <f>5.5712 * CHOOSE(CONTROL!$C$32, $C$9, 100%, $E$9)</f>
        <v>5.5712000000000002</v>
      </c>
    </row>
    <row r="242" spans="1:15" ht="15" x14ac:dyDescent="0.2">
      <c r="A242" s="13">
        <v>48214</v>
      </c>
      <c r="B242" s="9">
        <f>4.3913 * CHOOSE(CONTROL!$C$32, $C$9, 100%, $E$9)</f>
        <v>4.3913000000000002</v>
      </c>
      <c r="C242" s="9">
        <f>4.3913 * CHOOSE(CONTROL!$C$32, $C$9, 100%, $E$9)</f>
        <v>4.3913000000000002</v>
      </c>
      <c r="D242" s="9">
        <f>4.3922 * CHOOSE(CONTROL!$C$32, $C$9, 100%, $E$9)</f>
        <v>4.3921999999999999</v>
      </c>
      <c r="E242" s="11">
        <f>5.6146 * CHOOSE(CONTROL!$C$32, $C$9, 100%, $E$9)</f>
        <v>5.6146000000000003</v>
      </c>
      <c r="F242" s="11">
        <f>5.6146 * CHOOSE(CONTROL!$C$32, $C$9, 100%, $E$9)</f>
        <v>5.6146000000000003</v>
      </c>
      <c r="G242" s="11">
        <f>5.6178 * CHOOSE(CONTROL!$C$32, $C$9, 100%, $E$9)</f>
        <v>5.6177999999999999</v>
      </c>
      <c r="H242" s="11">
        <f>9.2671 * CHOOSE(CONTROL!$C$32, $C$9, 100%, $E$9)</f>
        <v>9.2670999999999992</v>
      </c>
      <c r="I242" s="11">
        <f>9.2704 * CHOOSE(CONTROL!$C$32, $C$9, 100%, $E$9)</f>
        <v>9.2704000000000004</v>
      </c>
      <c r="J242" s="11">
        <f>9.2671 * CHOOSE(CONTROL!$C$32, $C$9, 100%, $E$9)</f>
        <v>9.2670999999999992</v>
      </c>
      <c r="K242" s="11">
        <f>9.2704 * CHOOSE(CONTROL!$C$32, $C$9, 100%, $E$9)</f>
        <v>9.2704000000000004</v>
      </c>
      <c r="L242" s="11">
        <f>5.6146 * CHOOSE(CONTROL!$C$32, $C$9, 100%, $E$9)</f>
        <v>5.6146000000000003</v>
      </c>
      <c r="M242" s="11">
        <f>5.6178 * CHOOSE(CONTROL!$C$32, $C$9, 100%, $E$9)</f>
        <v>5.6177999999999999</v>
      </c>
      <c r="N242" s="11">
        <f>5.6146 * CHOOSE(CONTROL!$C$32, $C$9, 100%, $E$9)</f>
        <v>5.6146000000000003</v>
      </c>
      <c r="O242" s="11">
        <f>5.6178 * CHOOSE(CONTROL!$C$32, $C$9, 100%, $E$9)</f>
        <v>5.6177999999999999</v>
      </c>
    </row>
    <row r="243" spans="1:15" ht="15" x14ac:dyDescent="0.2">
      <c r="A243" s="13">
        <v>48245</v>
      </c>
      <c r="B243" s="9">
        <f>4.3882 * CHOOSE(CONTROL!$C$32, $C$9, 100%, $E$9)</f>
        <v>4.3882000000000003</v>
      </c>
      <c r="C243" s="9">
        <f>4.3882 * CHOOSE(CONTROL!$C$32, $C$9, 100%, $E$9)</f>
        <v>4.3882000000000003</v>
      </c>
      <c r="D243" s="9">
        <f>4.3892 * CHOOSE(CONTROL!$C$32, $C$9, 100%, $E$9)</f>
        <v>4.3891999999999998</v>
      </c>
      <c r="E243" s="11">
        <f>5.6126 * CHOOSE(CONTROL!$C$32, $C$9, 100%, $E$9)</f>
        <v>5.6125999999999996</v>
      </c>
      <c r="F243" s="11">
        <f>5.6126 * CHOOSE(CONTROL!$C$32, $C$9, 100%, $E$9)</f>
        <v>5.6125999999999996</v>
      </c>
      <c r="G243" s="11">
        <f>5.6158 * CHOOSE(CONTROL!$C$32, $C$9, 100%, $E$9)</f>
        <v>5.6158000000000001</v>
      </c>
      <c r="H243" s="11">
        <f>9.2865 * CHOOSE(CONTROL!$C$32, $C$9, 100%, $E$9)</f>
        <v>9.2865000000000002</v>
      </c>
      <c r="I243" s="11">
        <f>9.2897 * CHOOSE(CONTROL!$C$32, $C$9, 100%, $E$9)</f>
        <v>9.2896999999999998</v>
      </c>
      <c r="J243" s="11">
        <f>9.2865 * CHOOSE(CONTROL!$C$32, $C$9, 100%, $E$9)</f>
        <v>9.2865000000000002</v>
      </c>
      <c r="K243" s="11">
        <f>9.2897 * CHOOSE(CONTROL!$C$32, $C$9, 100%, $E$9)</f>
        <v>9.2896999999999998</v>
      </c>
      <c r="L243" s="11">
        <f>5.6126 * CHOOSE(CONTROL!$C$32, $C$9, 100%, $E$9)</f>
        <v>5.6125999999999996</v>
      </c>
      <c r="M243" s="11">
        <f>5.6158 * CHOOSE(CONTROL!$C$32, $C$9, 100%, $E$9)</f>
        <v>5.6158000000000001</v>
      </c>
      <c r="N243" s="11">
        <f>5.6126 * CHOOSE(CONTROL!$C$32, $C$9, 100%, $E$9)</f>
        <v>5.6125999999999996</v>
      </c>
      <c r="O243" s="11">
        <f>5.6158 * CHOOSE(CONTROL!$C$32, $C$9, 100%, $E$9)</f>
        <v>5.6158000000000001</v>
      </c>
    </row>
    <row r="244" spans="1:15" ht="15" x14ac:dyDescent="0.2">
      <c r="A244" s="13">
        <v>48274</v>
      </c>
      <c r="B244" s="9">
        <f>4.3852 * CHOOSE(CONTROL!$C$32, $C$9, 100%, $E$9)</f>
        <v>4.3852000000000002</v>
      </c>
      <c r="C244" s="9">
        <f>4.3852 * CHOOSE(CONTROL!$C$32, $C$9, 100%, $E$9)</f>
        <v>4.3852000000000002</v>
      </c>
      <c r="D244" s="9">
        <f>4.3861 * CHOOSE(CONTROL!$C$32, $C$9, 100%, $E$9)</f>
        <v>4.3860999999999999</v>
      </c>
      <c r="E244" s="11">
        <f>5.6106 * CHOOSE(CONTROL!$C$32, $C$9, 100%, $E$9)</f>
        <v>5.6105999999999998</v>
      </c>
      <c r="F244" s="11">
        <f>5.6106 * CHOOSE(CONTROL!$C$32, $C$9, 100%, $E$9)</f>
        <v>5.6105999999999998</v>
      </c>
      <c r="G244" s="11">
        <f>5.6138 * CHOOSE(CONTROL!$C$32, $C$9, 100%, $E$9)</f>
        <v>5.6138000000000003</v>
      </c>
      <c r="H244" s="11">
        <f>9.3058 * CHOOSE(CONTROL!$C$32, $C$9, 100%, $E$9)</f>
        <v>9.3057999999999996</v>
      </c>
      <c r="I244" s="11">
        <f>9.309 * CHOOSE(CONTROL!$C$32, $C$9, 100%, $E$9)</f>
        <v>9.3089999999999993</v>
      </c>
      <c r="J244" s="11">
        <f>9.3058 * CHOOSE(CONTROL!$C$32, $C$9, 100%, $E$9)</f>
        <v>9.3057999999999996</v>
      </c>
      <c r="K244" s="11">
        <f>9.309 * CHOOSE(CONTROL!$C$32, $C$9, 100%, $E$9)</f>
        <v>9.3089999999999993</v>
      </c>
      <c r="L244" s="11">
        <f>5.6106 * CHOOSE(CONTROL!$C$32, $C$9, 100%, $E$9)</f>
        <v>5.6105999999999998</v>
      </c>
      <c r="M244" s="11">
        <f>5.6138 * CHOOSE(CONTROL!$C$32, $C$9, 100%, $E$9)</f>
        <v>5.6138000000000003</v>
      </c>
      <c r="N244" s="11">
        <f>5.6106 * CHOOSE(CONTROL!$C$32, $C$9, 100%, $E$9)</f>
        <v>5.6105999999999998</v>
      </c>
      <c r="O244" s="11">
        <f>5.6138 * CHOOSE(CONTROL!$C$32, $C$9, 100%, $E$9)</f>
        <v>5.6138000000000003</v>
      </c>
    </row>
    <row r="245" spans="1:15" ht="15" x14ac:dyDescent="0.2">
      <c r="A245" s="13">
        <v>48305</v>
      </c>
      <c r="B245" s="9">
        <f>4.3832 * CHOOSE(CONTROL!$C$32, $C$9, 100%, $E$9)</f>
        <v>4.3832000000000004</v>
      </c>
      <c r="C245" s="9">
        <f>4.3832 * CHOOSE(CONTROL!$C$32, $C$9, 100%, $E$9)</f>
        <v>4.3832000000000004</v>
      </c>
      <c r="D245" s="9">
        <f>4.3842 * CHOOSE(CONTROL!$C$32, $C$9, 100%, $E$9)</f>
        <v>4.3841999999999999</v>
      </c>
      <c r="E245" s="11">
        <f>5.6087 * CHOOSE(CONTROL!$C$32, $C$9, 100%, $E$9)</f>
        <v>5.6086999999999998</v>
      </c>
      <c r="F245" s="11">
        <f>5.6087 * CHOOSE(CONTROL!$C$32, $C$9, 100%, $E$9)</f>
        <v>5.6086999999999998</v>
      </c>
      <c r="G245" s="11">
        <f>5.6119 * CHOOSE(CONTROL!$C$32, $C$9, 100%, $E$9)</f>
        <v>5.6119000000000003</v>
      </c>
      <c r="H245" s="11">
        <f>9.3252 * CHOOSE(CONTROL!$C$32, $C$9, 100%, $E$9)</f>
        <v>9.3252000000000006</v>
      </c>
      <c r="I245" s="11">
        <f>9.3284 * CHOOSE(CONTROL!$C$32, $C$9, 100%, $E$9)</f>
        <v>9.3284000000000002</v>
      </c>
      <c r="J245" s="11">
        <f>9.3252 * CHOOSE(CONTROL!$C$32, $C$9, 100%, $E$9)</f>
        <v>9.3252000000000006</v>
      </c>
      <c r="K245" s="11">
        <f>9.3284 * CHOOSE(CONTROL!$C$32, $C$9, 100%, $E$9)</f>
        <v>9.3284000000000002</v>
      </c>
      <c r="L245" s="11">
        <f>5.6087 * CHOOSE(CONTROL!$C$32, $C$9, 100%, $E$9)</f>
        <v>5.6086999999999998</v>
      </c>
      <c r="M245" s="11">
        <f>5.6119 * CHOOSE(CONTROL!$C$32, $C$9, 100%, $E$9)</f>
        <v>5.6119000000000003</v>
      </c>
      <c r="N245" s="11">
        <f>5.6087 * CHOOSE(CONTROL!$C$32, $C$9, 100%, $E$9)</f>
        <v>5.6086999999999998</v>
      </c>
      <c r="O245" s="11">
        <f>5.6119 * CHOOSE(CONTROL!$C$32, $C$9, 100%, $E$9)</f>
        <v>5.6119000000000003</v>
      </c>
    </row>
    <row r="246" spans="1:15" ht="15" x14ac:dyDescent="0.2">
      <c r="A246" s="13">
        <v>48335</v>
      </c>
      <c r="B246" s="9">
        <f>4.3832 * CHOOSE(CONTROL!$C$32, $C$9, 100%, $E$9)</f>
        <v>4.3832000000000004</v>
      </c>
      <c r="C246" s="9">
        <f>4.3832 * CHOOSE(CONTROL!$C$32, $C$9, 100%, $E$9)</f>
        <v>4.3832000000000004</v>
      </c>
      <c r="D246" s="9">
        <f>4.3845 * CHOOSE(CONTROL!$C$32, $C$9, 100%, $E$9)</f>
        <v>4.3845000000000001</v>
      </c>
      <c r="E246" s="11">
        <f>5.6087 * CHOOSE(CONTROL!$C$32, $C$9, 100%, $E$9)</f>
        <v>5.6086999999999998</v>
      </c>
      <c r="F246" s="11">
        <f>5.6087 * CHOOSE(CONTROL!$C$32, $C$9, 100%, $E$9)</f>
        <v>5.6086999999999998</v>
      </c>
      <c r="G246" s="11">
        <f>5.6129 * CHOOSE(CONTROL!$C$32, $C$9, 100%, $E$9)</f>
        <v>5.6128999999999998</v>
      </c>
      <c r="H246" s="11">
        <f>9.3446 * CHOOSE(CONTROL!$C$32, $C$9, 100%, $E$9)</f>
        <v>9.3445999999999998</v>
      </c>
      <c r="I246" s="11">
        <f>9.3488 * CHOOSE(CONTROL!$C$32, $C$9, 100%, $E$9)</f>
        <v>9.3488000000000007</v>
      </c>
      <c r="J246" s="11">
        <f>9.3446 * CHOOSE(CONTROL!$C$32, $C$9, 100%, $E$9)</f>
        <v>9.3445999999999998</v>
      </c>
      <c r="K246" s="11">
        <f>9.3488 * CHOOSE(CONTROL!$C$32, $C$9, 100%, $E$9)</f>
        <v>9.3488000000000007</v>
      </c>
      <c r="L246" s="11">
        <f>5.6087 * CHOOSE(CONTROL!$C$32, $C$9, 100%, $E$9)</f>
        <v>5.6086999999999998</v>
      </c>
      <c r="M246" s="11">
        <f>5.6129 * CHOOSE(CONTROL!$C$32, $C$9, 100%, $E$9)</f>
        <v>5.6128999999999998</v>
      </c>
      <c r="N246" s="11">
        <f>5.6087 * CHOOSE(CONTROL!$C$32, $C$9, 100%, $E$9)</f>
        <v>5.6086999999999998</v>
      </c>
      <c r="O246" s="11">
        <f>5.6129 * CHOOSE(CONTROL!$C$32, $C$9, 100%, $E$9)</f>
        <v>5.6128999999999998</v>
      </c>
    </row>
    <row r="247" spans="1:15" ht="15" x14ac:dyDescent="0.2">
      <c r="A247" s="13">
        <v>48366</v>
      </c>
      <c r="B247" s="9">
        <f>4.3893 * CHOOSE(CONTROL!$C$32, $C$9, 100%, $E$9)</f>
        <v>4.3893000000000004</v>
      </c>
      <c r="C247" s="9">
        <f>4.3893 * CHOOSE(CONTROL!$C$32, $C$9, 100%, $E$9)</f>
        <v>4.3893000000000004</v>
      </c>
      <c r="D247" s="9">
        <f>4.3905 * CHOOSE(CONTROL!$C$32, $C$9, 100%, $E$9)</f>
        <v>4.3905000000000003</v>
      </c>
      <c r="E247" s="11">
        <f>5.6127 * CHOOSE(CONTROL!$C$32, $C$9, 100%, $E$9)</f>
        <v>5.6127000000000002</v>
      </c>
      <c r="F247" s="11">
        <f>5.6127 * CHOOSE(CONTROL!$C$32, $C$9, 100%, $E$9)</f>
        <v>5.6127000000000002</v>
      </c>
      <c r="G247" s="11">
        <f>5.6169 * CHOOSE(CONTROL!$C$32, $C$9, 100%, $E$9)</f>
        <v>5.6169000000000002</v>
      </c>
      <c r="H247" s="11">
        <f>9.3641 * CHOOSE(CONTROL!$C$32, $C$9, 100%, $E$9)</f>
        <v>9.3641000000000005</v>
      </c>
      <c r="I247" s="11">
        <f>9.3683 * CHOOSE(CONTROL!$C$32, $C$9, 100%, $E$9)</f>
        <v>9.3682999999999996</v>
      </c>
      <c r="J247" s="11">
        <f>9.3641 * CHOOSE(CONTROL!$C$32, $C$9, 100%, $E$9)</f>
        <v>9.3641000000000005</v>
      </c>
      <c r="K247" s="11">
        <f>9.3683 * CHOOSE(CONTROL!$C$32, $C$9, 100%, $E$9)</f>
        <v>9.3682999999999996</v>
      </c>
      <c r="L247" s="11">
        <f>5.6127 * CHOOSE(CONTROL!$C$32, $C$9, 100%, $E$9)</f>
        <v>5.6127000000000002</v>
      </c>
      <c r="M247" s="11">
        <f>5.6169 * CHOOSE(CONTROL!$C$32, $C$9, 100%, $E$9)</f>
        <v>5.6169000000000002</v>
      </c>
      <c r="N247" s="11">
        <f>5.6127 * CHOOSE(CONTROL!$C$32, $C$9, 100%, $E$9)</f>
        <v>5.6127000000000002</v>
      </c>
      <c r="O247" s="11">
        <f>5.6169 * CHOOSE(CONTROL!$C$32, $C$9, 100%, $E$9)</f>
        <v>5.6169000000000002</v>
      </c>
    </row>
    <row r="248" spans="1:15" ht="15" x14ac:dyDescent="0.2">
      <c r="A248" s="13">
        <v>48396</v>
      </c>
      <c r="B248" s="9">
        <f>4.4571 * CHOOSE(CONTROL!$C$32, $C$9, 100%, $E$9)</f>
        <v>4.4570999999999996</v>
      </c>
      <c r="C248" s="9">
        <f>4.4571 * CHOOSE(CONTROL!$C$32, $C$9, 100%, $E$9)</f>
        <v>4.4570999999999996</v>
      </c>
      <c r="D248" s="9">
        <f>4.4583 * CHOOSE(CONTROL!$C$32, $C$9, 100%, $E$9)</f>
        <v>4.4583000000000004</v>
      </c>
      <c r="E248" s="11">
        <f>5.7152 * CHOOSE(CONTROL!$C$32, $C$9, 100%, $E$9)</f>
        <v>5.7152000000000003</v>
      </c>
      <c r="F248" s="11">
        <f>5.7152 * CHOOSE(CONTROL!$C$32, $C$9, 100%, $E$9)</f>
        <v>5.7152000000000003</v>
      </c>
      <c r="G248" s="11">
        <f>5.7194 * CHOOSE(CONTROL!$C$32, $C$9, 100%, $E$9)</f>
        <v>5.7194000000000003</v>
      </c>
      <c r="H248" s="11">
        <f>9.3836 * CHOOSE(CONTROL!$C$32, $C$9, 100%, $E$9)</f>
        <v>9.3835999999999995</v>
      </c>
      <c r="I248" s="11">
        <f>9.3878 * CHOOSE(CONTROL!$C$32, $C$9, 100%, $E$9)</f>
        <v>9.3878000000000004</v>
      </c>
      <c r="J248" s="11">
        <f>9.3836 * CHOOSE(CONTROL!$C$32, $C$9, 100%, $E$9)</f>
        <v>9.3835999999999995</v>
      </c>
      <c r="K248" s="11">
        <f>9.3878 * CHOOSE(CONTROL!$C$32, $C$9, 100%, $E$9)</f>
        <v>9.3878000000000004</v>
      </c>
      <c r="L248" s="11">
        <f>5.7152 * CHOOSE(CONTROL!$C$32, $C$9, 100%, $E$9)</f>
        <v>5.7152000000000003</v>
      </c>
      <c r="M248" s="11">
        <f>5.7194 * CHOOSE(CONTROL!$C$32, $C$9, 100%, $E$9)</f>
        <v>5.7194000000000003</v>
      </c>
      <c r="N248" s="11">
        <f>5.7152 * CHOOSE(CONTROL!$C$32, $C$9, 100%, $E$9)</f>
        <v>5.7152000000000003</v>
      </c>
      <c r="O248" s="11">
        <f>5.7194 * CHOOSE(CONTROL!$C$32, $C$9, 100%, $E$9)</f>
        <v>5.7194000000000003</v>
      </c>
    </row>
    <row r="249" spans="1:15" ht="15" x14ac:dyDescent="0.2">
      <c r="A249" s="13">
        <v>48427</v>
      </c>
      <c r="B249" s="9">
        <f>4.4637 * CHOOSE(CONTROL!$C$32, $C$9, 100%, $E$9)</f>
        <v>4.4637000000000002</v>
      </c>
      <c r="C249" s="9">
        <f>4.4637 * CHOOSE(CONTROL!$C$32, $C$9, 100%, $E$9)</f>
        <v>4.4637000000000002</v>
      </c>
      <c r="D249" s="9">
        <f>4.465 * CHOOSE(CONTROL!$C$32, $C$9, 100%, $E$9)</f>
        <v>4.4649999999999999</v>
      </c>
      <c r="E249" s="11">
        <f>5.7196 * CHOOSE(CONTROL!$C$32, $C$9, 100%, $E$9)</f>
        <v>5.7195999999999998</v>
      </c>
      <c r="F249" s="11">
        <f>5.7196 * CHOOSE(CONTROL!$C$32, $C$9, 100%, $E$9)</f>
        <v>5.7195999999999998</v>
      </c>
      <c r="G249" s="11">
        <f>5.7238 * CHOOSE(CONTROL!$C$32, $C$9, 100%, $E$9)</f>
        <v>5.7237999999999998</v>
      </c>
      <c r="H249" s="11">
        <f>9.4031 * CHOOSE(CONTROL!$C$32, $C$9, 100%, $E$9)</f>
        <v>9.4031000000000002</v>
      </c>
      <c r="I249" s="11">
        <f>9.4073 * CHOOSE(CONTROL!$C$32, $C$9, 100%, $E$9)</f>
        <v>9.4072999999999993</v>
      </c>
      <c r="J249" s="11">
        <f>9.4031 * CHOOSE(CONTROL!$C$32, $C$9, 100%, $E$9)</f>
        <v>9.4031000000000002</v>
      </c>
      <c r="K249" s="11">
        <f>9.4073 * CHOOSE(CONTROL!$C$32, $C$9, 100%, $E$9)</f>
        <v>9.4072999999999993</v>
      </c>
      <c r="L249" s="11">
        <f>5.7196 * CHOOSE(CONTROL!$C$32, $C$9, 100%, $E$9)</f>
        <v>5.7195999999999998</v>
      </c>
      <c r="M249" s="11">
        <f>5.7238 * CHOOSE(CONTROL!$C$32, $C$9, 100%, $E$9)</f>
        <v>5.7237999999999998</v>
      </c>
      <c r="N249" s="11">
        <f>5.7196 * CHOOSE(CONTROL!$C$32, $C$9, 100%, $E$9)</f>
        <v>5.7195999999999998</v>
      </c>
      <c r="O249" s="11">
        <f>5.7238 * CHOOSE(CONTROL!$C$32, $C$9, 100%, $E$9)</f>
        <v>5.7237999999999998</v>
      </c>
    </row>
    <row r="250" spans="1:15" ht="15" x14ac:dyDescent="0.2">
      <c r="A250" s="13">
        <v>48458</v>
      </c>
      <c r="B250" s="9">
        <f>4.4607 * CHOOSE(CONTROL!$C$32, $C$9, 100%, $E$9)</f>
        <v>4.4607000000000001</v>
      </c>
      <c r="C250" s="9">
        <f>4.4607 * CHOOSE(CONTROL!$C$32, $C$9, 100%, $E$9)</f>
        <v>4.4607000000000001</v>
      </c>
      <c r="D250" s="9">
        <f>4.4619 * CHOOSE(CONTROL!$C$32, $C$9, 100%, $E$9)</f>
        <v>4.4619</v>
      </c>
      <c r="E250" s="11">
        <f>5.7176 * CHOOSE(CONTROL!$C$32, $C$9, 100%, $E$9)</f>
        <v>5.7176</v>
      </c>
      <c r="F250" s="11">
        <f>5.7176 * CHOOSE(CONTROL!$C$32, $C$9, 100%, $E$9)</f>
        <v>5.7176</v>
      </c>
      <c r="G250" s="11">
        <f>5.7218 * CHOOSE(CONTROL!$C$32, $C$9, 100%, $E$9)</f>
        <v>5.7218</v>
      </c>
      <c r="H250" s="11">
        <f>9.4227 * CHOOSE(CONTROL!$C$32, $C$9, 100%, $E$9)</f>
        <v>9.4227000000000007</v>
      </c>
      <c r="I250" s="11">
        <f>9.4269 * CHOOSE(CONTROL!$C$32, $C$9, 100%, $E$9)</f>
        <v>9.4268999999999998</v>
      </c>
      <c r="J250" s="11">
        <f>9.4227 * CHOOSE(CONTROL!$C$32, $C$9, 100%, $E$9)</f>
        <v>9.4227000000000007</v>
      </c>
      <c r="K250" s="11">
        <f>9.4269 * CHOOSE(CONTROL!$C$32, $C$9, 100%, $E$9)</f>
        <v>9.4268999999999998</v>
      </c>
      <c r="L250" s="11">
        <f>5.7176 * CHOOSE(CONTROL!$C$32, $C$9, 100%, $E$9)</f>
        <v>5.7176</v>
      </c>
      <c r="M250" s="11">
        <f>5.7218 * CHOOSE(CONTROL!$C$32, $C$9, 100%, $E$9)</f>
        <v>5.7218</v>
      </c>
      <c r="N250" s="11">
        <f>5.7176 * CHOOSE(CONTROL!$C$32, $C$9, 100%, $E$9)</f>
        <v>5.7176</v>
      </c>
      <c r="O250" s="11">
        <f>5.7218 * CHOOSE(CONTROL!$C$32, $C$9, 100%, $E$9)</f>
        <v>5.7218</v>
      </c>
    </row>
    <row r="251" spans="1:15" ht="15" x14ac:dyDescent="0.2">
      <c r="A251" s="13">
        <v>48488</v>
      </c>
      <c r="B251" s="9">
        <f>4.4575 * CHOOSE(CONTROL!$C$32, $C$9, 100%, $E$9)</f>
        <v>4.4574999999999996</v>
      </c>
      <c r="C251" s="9">
        <f>4.4575 * CHOOSE(CONTROL!$C$32, $C$9, 100%, $E$9)</f>
        <v>4.4574999999999996</v>
      </c>
      <c r="D251" s="9">
        <f>4.4584 * CHOOSE(CONTROL!$C$32, $C$9, 100%, $E$9)</f>
        <v>4.4584000000000001</v>
      </c>
      <c r="E251" s="11">
        <f>5.7132 * CHOOSE(CONTROL!$C$32, $C$9, 100%, $E$9)</f>
        <v>5.7131999999999996</v>
      </c>
      <c r="F251" s="11">
        <f>5.7132 * CHOOSE(CONTROL!$C$32, $C$9, 100%, $E$9)</f>
        <v>5.7131999999999996</v>
      </c>
      <c r="G251" s="11">
        <f>5.7165 * CHOOSE(CONTROL!$C$32, $C$9, 100%, $E$9)</f>
        <v>5.7164999999999999</v>
      </c>
      <c r="H251" s="11">
        <f>9.4424 * CHOOSE(CONTROL!$C$32, $C$9, 100%, $E$9)</f>
        <v>9.4423999999999992</v>
      </c>
      <c r="I251" s="11">
        <f>9.4456 * CHOOSE(CONTROL!$C$32, $C$9, 100%, $E$9)</f>
        <v>9.4456000000000007</v>
      </c>
      <c r="J251" s="11">
        <f>9.4424 * CHOOSE(CONTROL!$C$32, $C$9, 100%, $E$9)</f>
        <v>9.4423999999999992</v>
      </c>
      <c r="K251" s="11">
        <f>9.4456 * CHOOSE(CONTROL!$C$32, $C$9, 100%, $E$9)</f>
        <v>9.4456000000000007</v>
      </c>
      <c r="L251" s="11">
        <f>5.7132 * CHOOSE(CONTROL!$C$32, $C$9, 100%, $E$9)</f>
        <v>5.7131999999999996</v>
      </c>
      <c r="M251" s="11">
        <f>5.7165 * CHOOSE(CONTROL!$C$32, $C$9, 100%, $E$9)</f>
        <v>5.7164999999999999</v>
      </c>
      <c r="N251" s="11">
        <f>5.7132 * CHOOSE(CONTROL!$C$32, $C$9, 100%, $E$9)</f>
        <v>5.7131999999999996</v>
      </c>
      <c r="O251" s="11">
        <f>5.7165 * CHOOSE(CONTROL!$C$32, $C$9, 100%, $E$9)</f>
        <v>5.7164999999999999</v>
      </c>
    </row>
    <row r="252" spans="1:15" ht="15" x14ac:dyDescent="0.2">
      <c r="A252" s="13">
        <v>48519</v>
      </c>
      <c r="B252" s="9">
        <f>4.4605 * CHOOSE(CONTROL!$C$32, $C$9, 100%, $E$9)</f>
        <v>4.4604999999999997</v>
      </c>
      <c r="C252" s="9">
        <f>4.4605 * CHOOSE(CONTROL!$C$32, $C$9, 100%, $E$9)</f>
        <v>4.4604999999999997</v>
      </c>
      <c r="D252" s="9">
        <f>4.4615 * CHOOSE(CONTROL!$C$32, $C$9, 100%, $E$9)</f>
        <v>4.4615</v>
      </c>
      <c r="E252" s="11">
        <f>5.7152 * CHOOSE(CONTROL!$C$32, $C$9, 100%, $E$9)</f>
        <v>5.7152000000000003</v>
      </c>
      <c r="F252" s="11">
        <f>5.7152 * CHOOSE(CONTROL!$C$32, $C$9, 100%, $E$9)</f>
        <v>5.7152000000000003</v>
      </c>
      <c r="G252" s="11">
        <f>5.7185 * CHOOSE(CONTROL!$C$32, $C$9, 100%, $E$9)</f>
        <v>5.7184999999999997</v>
      </c>
      <c r="H252" s="11">
        <f>9.462 * CHOOSE(CONTROL!$C$32, $C$9, 100%, $E$9)</f>
        <v>9.4619999999999997</v>
      </c>
      <c r="I252" s="11">
        <f>9.4653 * CHOOSE(CONTROL!$C$32, $C$9, 100%, $E$9)</f>
        <v>9.4652999999999992</v>
      </c>
      <c r="J252" s="11">
        <f>9.462 * CHOOSE(CONTROL!$C$32, $C$9, 100%, $E$9)</f>
        <v>9.4619999999999997</v>
      </c>
      <c r="K252" s="11">
        <f>9.4653 * CHOOSE(CONTROL!$C$32, $C$9, 100%, $E$9)</f>
        <v>9.4652999999999992</v>
      </c>
      <c r="L252" s="11">
        <f>5.7152 * CHOOSE(CONTROL!$C$32, $C$9, 100%, $E$9)</f>
        <v>5.7152000000000003</v>
      </c>
      <c r="M252" s="11">
        <f>5.7185 * CHOOSE(CONTROL!$C$32, $C$9, 100%, $E$9)</f>
        <v>5.7184999999999997</v>
      </c>
      <c r="N252" s="11">
        <f>5.7152 * CHOOSE(CONTROL!$C$32, $C$9, 100%, $E$9)</f>
        <v>5.7152000000000003</v>
      </c>
      <c r="O252" s="11">
        <f>5.7185 * CHOOSE(CONTROL!$C$32, $C$9, 100%, $E$9)</f>
        <v>5.7184999999999997</v>
      </c>
    </row>
    <row r="253" spans="1:15" ht="15" x14ac:dyDescent="0.2">
      <c r="A253" s="13">
        <v>48549</v>
      </c>
      <c r="B253" s="9">
        <f>4.4605 * CHOOSE(CONTROL!$C$32, $C$9, 100%, $E$9)</f>
        <v>4.4604999999999997</v>
      </c>
      <c r="C253" s="9">
        <f>4.4605 * CHOOSE(CONTROL!$C$32, $C$9, 100%, $E$9)</f>
        <v>4.4604999999999997</v>
      </c>
      <c r="D253" s="9">
        <f>4.4615 * CHOOSE(CONTROL!$C$32, $C$9, 100%, $E$9)</f>
        <v>4.4615</v>
      </c>
      <c r="E253" s="11">
        <f>5.7152 * CHOOSE(CONTROL!$C$32, $C$9, 100%, $E$9)</f>
        <v>5.7152000000000003</v>
      </c>
      <c r="F253" s="11">
        <f>5.7152 * CHOOSE(CONTROL!$C$32, $C$9, 100%, $E$9)</f>
        <v>5.7152000000000003</v>
      </c>
      <c r="G253" s="11">
        <f>5.7185 * CHOOSE(CONTROL!$C$32, $C$9, 100%, $E$9)</f>
        <v>5.7184999999999997</v>
      </c>
      <c r="H253" s="11">
        <f>9.4817 * CHOOSE(CONTROL!$C$32, $C$9, 100%, $E$9)</f>
        <v>9.4817</v>
      </c>
      <c r="I253" s="11">
        <f>9.485 * CHOOSE(CONTROL!$C$32, $C$9, 100%, $E$9)</f>
        <v>9.4849999999999994</v>
      </c>
      <c r="J253" s="11">
        <f>9.4817 * CHOOSE(CONTROL!$C$32, $C$9, 100%, $E$9)</f>
        <v>9.4817</v>
      </c>
      <c r="K253" s="11">
        <f>9.485 * CHOOSE(CONTROL!$C$32, $C$9, 100%, $E$9)</f>
        <v>9.4849999999999994</v>
      </c>
      <c r="L253" s="11">
        <f>5.7152 * CHOOSE(CONTROL!$C$32, $C$9, 100%, $E$9)</f>
        <v>5.7152000000000003</v>
      </c>
      <c r="M253" s="11">
        <f>5.7185 * CHOOSE(CONTROL!$C$32, $C$9, 100%, $E$9)</f>
        <v>5.7184999999999997</v>
      </c>
      <c r="N253" s="11">
        <f>5.7152 * CHOOSE(CONTROL!$C$32, $C$9, 100%, $E$9)</f>
        <v>5.7152000000000003</v>
      </c>
      <c r="O253" s="11">
        <f>5.7185 * CHOOSE(CONTROL!$C$32, $C$9, 100%, $E$9)</f>
        <v>5.7184999999999997</v>
      </c>
    </row>
    <row r="254" spans="1:15" ht="15" x14ac:dyDescent="0.2">
      <c r="A254" s="13">
        <v>48580</v>
      </c>
      <c r="B254" s="9">
        <f>4.4966 * CHOOSE(CONTROL!$C$32, $C$9, 100%, $E$9)</f>
        <v>4.4965999999999999</v>
      </c>
      <c r="C254" s="9">
        <f>4.4966 * CHOOSE(CONTROL!$C$32, $C$9, 100%, $E$9)</f>
        <v>4.4965999999999999</v>
      </c>
      <c r="D254" s="9">
        <f>4.4976 * CHOOSE(CONTROL!$C$32, $C$9, 100%, $E$9)</f>
        <v>4.4976000000000003</v>
      </c>
      <c r="E254" s="11">
        <f>5.7608 * CHOOSE(CONTROL!$C$32, $C$9, 100%, $E$9)</f>
        <v>5.7607999999999997</v>
      </c>
      <c r="F254" s="11">
        <f>5.7608 * CHOOSE(CONTROL!$C$32, $C$9, 100%, $E$9)</f>
        <v>5.7607999999999997</v>
      </c>
      <c r="G254" s="11">
        <f>5.764 * CHOOSE(CONTROL!$C$32, $C$9, 100%, $E$9)</f>
        <v>5.7640000000000002</v>
      </c>
      <c r="H254" s="11">
        <f>9.5015 * CHOOSE(CONTROL!$C$32, $C$9, 100%, $E$9)</f>
        <v>9.5015000000000001</v>
      </c>
      <c r="I254" s="11">
        <f>9.5047 * CHOOSE(CONTROL!$C$32, $C$9, 100%, $E$9)</f>
        <v>9.5046999999999997</v>
      </c>
      <c r="J254" s="11">
        <f>9.5015 * CHOOSE(CONTROL!$C$32, $C$9, 100%, $E$9)</f>
        <v>9.5015000000000001</v>
      </c>
      <c r="K254" s="11">
        <f>9.5047 * CHOOSE(CONTROL!$C$32, $C$9, 100%, $E$9)</f>
        <v>9.5046999999999997</v>
      </c>
      <c r="L254" s="11">
        <f>5.7608 * CHOOSE(CONTROL!$C$32, $C$9, 100%, $E$9)</f>
        <v>5.7607999999999997</v>
      </c>
      <c r="M254" s="11">
        <f>5.764 * CHOOSE(CONTROL!$C$32, $C$9, 100%, $E$9)</f>
        <v>5.7640000000000002</v>
      </c>
      <c r="N254" s="11">
        <f>5.7608 * CHOOSE(CONTROL!$C$32, $C$9, 100%, $E$9)</f>
        <v>5.7607999999999997</v>
      </c>
      <c r="O254" s="11">
        <f>5.764 * CHOOSE(CONTROL!$C$32, $C$9, 100%, $E$9)</f>
        <v>5.7640000000000002</v>
      </c>
    </row>
    <row r="255" spans="1:15" ht="15" x14ac:dyDescent="0.2">
      <c r="A255" s="13">
        <v>48611</v>
      </c>
      <c r="B255" s="9">
        <f>4.4936 * CHOOSE(CONTROL!$C$32, $C$9, 100%, $E$9)</f>
        <v>4.4935999999999998</v>
      </c>
      <c r="C255" s="9">
        <f>4.4936 * CHOOSE(CONTROL!$C$32, $C$9, 100%, $E$9)</f>
        <v>4.4935999999999998</v>
      </c>
      <c r="D255" s="9">
        <f>4.4945 * CHOOSE(CONTROL!$C$32, $C$9, 100%, $E$9)</f>
        <v>4.4945000000000004</v>
      </c>
      <c r="E255" s="11">
        <f>5.7588 * CHOOSE(CONTROL!$C$32, $C$9, 100%, $E$9)</f>
        <v>5.7587999999999999</v>
      </c>
      <c r="F255" s="11">
        <f>5.7588 * CHOOSE(CONTROL!$C$32, $C$9, 100%, $E$9)</f>
        <v>5.7587999999999999</v>
      </c>
      <c r="G255" s="11">
        <f>5.762 * CHOOSE(CONTROL!$C$32, $C$9, 100%, $E$9)</f>
        <v>5.7619999999999996</v>
      </c>
      <c r="H255" s="11">
        <f>9.5213 * CHOOSE(CONTROL!$C$32, $C$9, 100%, $E$9)</f>
        <v>9.5213000000000001</v>
      </c>
      <c r="I255" s="11">
        <f>9.5245 * CHOOSE(CONTROL!$C$32, $C$9, 100%, $E$9)</f>
        <v>9.5244999999999997</v>
      </c>
      <c r="J255" s="11">
        <f>9.5213 * CHOOSE(CONTROL!$C$32, $C$9, 100%, $E$9)</f>
        <v>9.5213000000000001</v>
      </c>
      <c r="K255" s="11">
        <f>9.5245 * CHOOSE(CONTROL!$C$32, $C$9, 100%, $E$9)</f>
        <v>9.5244999999999997</v>
      </c>
      <c r="L255" s="11">
        <f>5.7588 * CHOOSE(CONTROL!$C$32, $C$9, 100%, $E$9)</f>
        <v>5.7587999999999999</v>
      </c>
      <c r="M255" s="11">
        <f>5.762 * CHOOSE(CONTROL!$C$32, $C$9, 100%, $E$9)</f>
        <v>5.7619999999999996</v>
      </c>
      <c r="N255" s="11">
        <f>5.7588 * CHOOSE(CONTROL!$C$32, $C$9, 100%, $E$9)</f>
        <v>5.7587999999999999</v>
      </c>
      <c r="O255" s="11">
        <f>5.762 * CHOOSE(CONTROL!$C$32, $C$9, 100%, $E$9)</f>
        <v>5.7619999999999996</v>
      </c>
    </row>
    <row r="256" spans="1:15" ht="15" x14ac:dyDescent="0.2">
      <c r="A256" s="13">
        <v>48639</v>
      </c>
      <c r="B256" s="9">
        <f>4.4905 * CHOOSE(CONTROL!$C$32, $C$9, 100%, $E$9)</f>
        <v>4.4904999999999999</v>
      </c>
      <c r="C256" s="9">
        <f>4.4905 * CHOOSE(CONTROL!$C$32, $C$9, 100%, $E$9)</f>
        <v>4.4904999999999999</v>
      </c>
      <c r="D256" s="9">
        <f>4.4915 * CHOOSE(CONTROL!$C$32, $C$9, 100%, $E$9)</f>
        <v>4.4915000000000003</v>
      </c>
      <c r="E256" s="11">
        <f>5.7568 * CHOOSE(CONTROL!$C$32, $C$9, 100%, $E$9)</f>
        <v>5.7568000000000001</v>
      </c>
      <c r="F256" s="11">
        <f>5.7568 * CHOOSE(CONTROL!$C$32, $C$9, 100%, $E$9)</f>
        <v>5.7568000000000001</v>
      </c>
      <c r="G256" s="11">
        <f>5.76 * CHOOSE(CONTROL!$C$32, $C$9, 100%, $E$9)</f>
        <v>5.76</v>
      </c>
      <c r="H256" s="11">
        <f>9.5411 * CHOOSE(CONTROL!$C$32, $C$9, 100%, $E$9)</f>
        <v>9.5411000000000001</v>
      </c>
      <c r="I256" s="11">
        <f>9.5444 * CHOOSE(CONTROL!$C$32, $C$9, 100%, $E$9)</f>
        <v>9.5443999999999996</v>
      </c>
      <c r="J256" s="11">
        <f>9.5411 * CHOOSE(CONTROL!$C$32, $C$9, 100%, $E$9)</f>
        <v>9.5411000000000001</v>
      </c>
      <c r="K256" s="11">
        <f>9.5444 * CHOOSE(CONTROL!$C$32, $C$9, 100%, $E$9)</f>
        <v>9.5443999999999996</v>
      </c>
      <c r="L256" s="11">
        <f>5.7568 * CHOOSE(CONTROL!$C$32, $C$9, 100%, $E$9)</f>
        <v>5.7568000000000001</v>
      </c>
      <c r="M256" s="11">
        <f>5.76 * CHOOSE(CONTROL!$C$32, $C$9, 100%, $E$9)</f>
        <v>5.76</v>
      </c>
      <c r="N256" s="11">
        <f>5.7568 * CHOOSE(CONTROL!$C$32, $C$9, 100%, $E$9)</f>
        <v>5.7568000000000001</v>
      </c>
      <c r="O256" s="11">
        <f>5.76 * CHOOSE(CONTROL!$C$32, $C$9, 100%, $E$9)</f>
        <v>5.76</v>
      </c>
    </row>
    <row r="257" spans="1:15" ht="15" x14ac:dyDescent="0.2">
      <c r="A257" s="13">
        <v>48670</v>
      </c>
      <c r="B257" s="9">
        <f>4.4887 * CHOOSE(CONTROL!$C$32, $C$9, 100%, $E$9)</f>
        <v>4.4886999999999997</v>
      </c>
      <c r="C257" s="9">
        <f>4.4887 * CHOOSE(CONTROL!$C$32, $C$9, 100%, $E$9)</f>
        <v>4.4886999999999997</v>
      </c>
      <c r="D257" s="9">
        <f>4.4896 * CHOOSE(CONTROL!$C$32, $C$9, 100%, $E$9)</f>
        <v>4.4896000000000003</v>
      </c>
      <c r="E257" s="11">
        <f>5.755 * CHOOSE(CONTROL!$C$32, $C$9, 100%, $E$9)</f>
        <v>5.7549999999999999</v>
      </c>
      <c r="F257" s="11">
        <f>5.755 * CHOOSE(CONTROL!$C$32, $C$9, 100%, $E$9)</f>
        <v>5.7549999999999999</v>
      </c>
      <c r="G257" s="11">
        <f>5.7582 * CHOOSE(CONTROL!$C$32, $C$9, 100%, $E$9)</f>
        <v>5.7582000000000004</v>
      </c>
      <c r="H257" s="11">
        <f>9.561 * CHOOSE(CONTROL!$C$32, $C$9, 100%, $E$9)</f>
        <v>9.5609999999999999</v>
      </c>
      <c r="I257" s="11">
        <f>9.5642 * CHOOSE(CONTROL!$C$32, $C$9, 100%, $E$9)</f>
        <v>9.5641999999999996</v>
      </c>
      <c r="J257" s="11">
        <f>9.561 * CHOOSE(CONTROL!$C$32, $C$9, 100%, $E$9)</f>
        <v>9.5609999999999999</v>
      </c>
      <c r="K257" s="11">
        <f>9.5642 * CHOOSE(CONTROL!$C$32, $C$9, 100%, $E$9)</f>
        <v>9.5641999999999996</v>
      </c>
      <c r="L257" s="11">
        <f>5.755 * CHOOSE(CONTROL!$C$32, $C$9, 100%, $E$9)</f>
        <v>5.7549999999999999</v>
      </c>
      <c r="M257" s="11">
        <f>5.7582 * CHOOSE(CONTROL!$C$32, $C$9, 100%, $E$9)</f>
        <v>5.7582000000000004</v>
      </c>
      <c r="N257" s="11">
        <f>5.755 * CHOOSE(CONTROL!$C$32, $C$9, 100%, $E$9)</f>
        <v>5.7549999999999999</v>
      </c>
      <c r="O257" s="11">
        <f>5.7582 * CHOOSE(CONTROL!$C$32, $C$9, 100%, $E$9)</f>
        <v>5.7582000000000004</v>
      </c>
    </row>
    <row r="258" spans="1:15" ht="15" x14ac:dyDescent="0.2">
      <c r="A258" s="13">
        <v>48700</v>
      </c>
      <c r="B258" s="9">
        <f>4.4887 * CHOOSE(CONTROL!$C$32, $C$9, 100%, $E$9)</f>
        <v>4.4886999999999997</v>
      </c>
      <c r="C258" s="9">
        <f>4.4887 * CHOOSE(CONTROL!$C$32, $C$9, 100%, $E$9)</f>
        <v>4.4886999999999997</v>
      </c>
      <c r="D258" s="9">
        <f>4.4899 * CHOOSE(CONTROL!$C$32, $C$9, 100%, $E$9)</f>
        <v>4.4898999999999996</v>
      </c>
      <c r="E258" s="11">
        <f>5.755 * CHOOSE(CONTROL!$C$32, $C$9, 100%, $E$9)</f>
        <v>5.7549999999999999</v>
      </c>
      <c r="F258" s="11">
        <f>5.755 * CHOOSE(CONTROL!$C$32, $C$9, 100%, $E$9)</f>
        <v>5.7549999999999999</v>
      </c>
      <c r="G258" s="11">
        <f>5.7592 * CHOOSE(CONTROL!$C$32, $C$9, 100%, $E$9)</f>
        <v>5.7591999999999999</v>
      </c>
      <c r="H258" s="11">
        <f>9.5809 * CHOOSE(CONTROL!$C$32, $C$9, 100%, $E$9)</f>
        <v>9.5808999999999997</v>
      </c>
      <c r="I258" s="11">
        <f>9.5851 * CHOOSE(CONTROL!$C$32, $C$9, 100%, $E$9)</f>
        <v>9.5851000000000006</v>
      </c>
      <c r="J258" s="11">
        <f>9.5809 * CHOOSE(CONTROL!$C$32, $C$9, 100%, $E$9)</f>
        <v>9.5808999999999997</v>
      </c>
      <c r="K258" s="11">
        <f>9.5851 * CHOOSE(CONTROL!$C$32, $C$9, 100%, $E$9)</f>
        <v>9.5851000000000006</v>
      </c>
      <c r="L258" s="11">
        <f>5.755 * CHOOSE(CONTROL!$C$32, $C$9, 100%, $E$9)</f>
        <v>5.7549999999999999</v>
      </c>
      <c r="M258" s="11">
        <f>5.7592 * CHOOSE(CONTROL!$C$32, $C$9, 100%, $E$9)</f>
        <v>5.7591999999999999</v>
      </c>
      <c r="N258" s="11">
        <f>5.755 * CHOOSE(CONTROL!$C$32, $C$9, 100%, $E$9)</f>
        <v>5.7549999999999999</v>
      </c>
      <c r="O258" s="11">
        <f>5.7592 * CHOOSE(CONTROL!$C$32, $C$9, 100%, $E$9)</f>
        <v>5.7591999999999999</v>
      </c>
    </row>
    <row r="259" spans="1:15" ht="15" x14ac:dyDescent="0.2">
      <c r="A259" s="13">
        <v>48731</v>
      </c>
      <c r="B259" s="9">
        <f>4.4947 * CHOOSE(CONTROL!$C$32, $C$9, 100%, $E$9)</f>
        <v>4.4946999999999999</v>
      </c>
      <c r="C259" s="9">
        <f>4.4947 * CHOOSE(CONTROL!$C$32, $C$9, 100%, $E$9)</f>
        <v>4.4946999999999999</v>
      </c>
      <c r="D259" s="9">
        <f>4.496 * CHOOSE(CONTROL!$C$32, $C$9, 100%, $E$9)</f>
        <v>4.4960000000000004</v>
      </c>
      <c r="E259" s="11">
        <f>5.759 * CHOOSE(CONTROL!$C$32, $C$9, 100%, $E$9)</f>
        <v>5.7590000000000003</v>
      </c>
      <c r="F259" s="11">
        <f>5.759 * CHOOSE(CONTROL!$C$32, $C$9, 100%, $E$9)</f>
        <v>5.7590000000000003</v>
      </c>
      <c r="G259" s="11">
        <f>5.7632 * CHOOSE(CONTROL!$C$32, $C$9, 100%, $E$9)</f>
        <v>5.7632000000000003</v>
      </c>
      <c r="H259" s="11">
        <f>9.6009 * CHOOSE(CONTROL!$C$32, $C$9, 100%, $E$9)</f>
        <v>9.6008999999999993</v>
      </c>
      <c r="I259" s="11">
        <f>9.6051 * CHOOSE(CONTROL!$C$32, $C$9, 100%, $E$9)</f>
        <v>9.6051000000000002</v>
      </c>
      <c r="J259" s="11">
        <f>9.6009 * CHOOSE(CONTROL!$C$32, $C$9, 100%, $E$9)</f>
        <v>9.6008999999999993</v>
      </c>
      <c r="K259" s="11">
        <f>9.6051 * CHOOSE(CONTROL!$C$32, $C$9, 100%, $E$9)</f>
        <v>9.6051000000000002</v>
      </c>
      <c r="L259" s="11">
        <f>5.759 * CHOOSE(CONTROL!$C$32, $C$9, 100%, $E$9)</f>
        <v>5.7590000000000003</v>
      </c>
      <c r="M259" s="11">
        <f>5.7632 * CHOOSE(CONTROL!$C$32, $C$9, 100%, $E$9)</f>
        <v>5.7632000000000003</v>
      </c>
      <c r="N259" s="11">
        <f>5.759 * CHOOSE(CONTROL!$C$32, $C$9, 100%, $E$9)</f>
        <v>5.7590000000000003</v>
      </c>
      <c r="O259" s="11">
        <f>5.7632 * CHOOSE(CONTROL!$C$32, $C$9, 100%, $E$9)</f>
        <v>5.7632000000000003</v>
      </c>
    </row>
    <row r="260" spans="1:15" ht="15" x14ac:dyDescent="0.2">
      <c r="A260" s="13">
        <v>48761</v>
      </c>
      <c r="B260" s="9">
        <f>4.5602 * CHOOSE(CONTROL!$C$32, $C$9, 100%, $E$9)</f>
        <v>4.5602</v>
      </c>
      <c r="C260" s="9">
        <f>4.5602 * CHOOSE(CONTROL!$C$32, $C$9, 100%, $E$9)</f>
        <v>4.5602</v>
      </c>
      <c r="D260" s="9">
        <f>4.5614 * CHOOSE(CONTROL!$C$32, $C$9, 100%, $E$9)</f>
        <v>4.5613999999999999</v>
      </c>
      <c r="E260" s="11">
        <f>5.8589 * CHOOSE(CONTROL!$C$32, $C$9, 100%, $E$9)</f>
        <v>5.8589000000000002</v>
      </c>
      <c r="F260" s="11">
        <f>5.8589 * CHOOSE(CONTROL!$C$32, $C$9, 100%, $E$9)</f>
        <v>5.8589000000000002</v>
      </c>
      <c r="G260" s="11">
        <f>5.8631 * CHOOSE(CONTROL!$C$32, $C$9, 100%, $E$9)</f>
        <v>5.8631000000000002</v>
      </c>
      <c r="H260" s="11">
        <f>9.6209 * CHOOSE(CONTROL!$C$32, $C$9, 100%, $E$9)</f>
        <v>9.6209000000000007</v>
      </c>
      <c r="I260" s="11">
        <f>9.6251 * CHOOSE(CONTROL!$C$32, $C$9, 100%, $E$9)</f>
        <v>9.6250999999999998</v>
      </c>
      <c r="J260" s="11">
        <f>9.6209 * CHOOSE(CONTROL!$C$32, $C$9, 100%, $E$9)</f>
        <v>9.6209000000000007</v>
      </c>
      <c r="K260" s="11">
        <f>9.6251 * CHOOSE(CONTROL!$C$32, $C$9, 100%, $E$9)</f>
        <v>9.6250999999999998</v>
      </c>
      <c r="L260" s="11">
        <f>5.8589 * CHOOSE(CONTROL!$C$32, $C$9, 100%, $E$9)</f>
        <v>5.8589000000000002</v>
      </c>
      <c r="M260" s="11">
        <f>5.8631 * CHOOSE(CONTROL!$C$32, $C$9, 100%, $E$9)</f>
        <v>5.8631000000000002</v>
      </c>
      <c r="N260" s="11">
        <f>5.8589 * CHOOSE(CONTROL!$C$32, $C$9, 100%, $E$9)</f>
        <v>5.8589000000000002</v>
      </c>
      <c r="O260" s="11">
        <f>5.8631 * CHOOSE(CONTROL!$C$32, $C$9, 100%, $E$9)</f>
        <v>5.8631000000000002</v>
      </c>
    </row>
    <row r="261" spans="1:15" ht="15" x14ac:dyDescent="0.2">
      <c r="A261" s="13">
        <v>48792</v>
      </c>
      <c r="B261" s="9">
        <f>4.5669 * CHOOSE(CONTROL!$C$32, $C$9, 100%, $E$9)</f>
        <v>4.5669000000000004</v>
      </c>
      <c r="C261" s="9">
        <f>4.5669 * CHOOSE(CONTROL!$C$32, $C$9, 100%, $E$9)</f>
        <v>4.5669000000000004</v>
      </c>
      <c r="D261" s="9">
        <f>4.5681 * CHOOSE(CONTROL!$C$32, $C$9, 100%, $E$9)</f>
        <v>4.5681000000000003</v>
      </c>
      <c r="E261" s="11">
        <f>5.8633 * CHOOSE(CONTROL!$C$32, $C$9, 100%, $E$9)</f>
        <v>5.8632999999999997</v>
      </c>
      <c r="F261" s="11">
        <f>5.8633 * CHOOSE(CONTROL!$C$32, $C$9, 100%, $E$9)</f>
        <v>5.8632999999999997</v>
      </c>
      <c r="G261" s="11">
        <f>5.8675 * CHOOSE(CONTROL!$C$32, $C$9, 100%, $E$9)</f>
        <v>5.8674999999999997</v>
      </c>
      <c r="H261" s="11">
        <f>9.6409 * CHOOSE(CONTROL!$C$32, $C$9, 100%, $E$9)</f>
        <v>9.6409000000000002</v>
      </c>
      <c r="I261" s="11">
        <f>9.6451 * CHOOSE(CONTROL!$C$32, $C$9, 100%, $E$9)</f>
        <v>9.6450999999999993</v>
      </c>
      <c r="J261" s="11">
        <f>9.6409 * CHOOSE(CONTROL!$C$32, $C$9, 100%, $E$9)</f>
        <v>9.6409000000000002</v>
      </c>
      <c r="K261" s="11">
        <f>9.6451 * CHOOSE(CONTROL!$C$32, $C$9, 100%, $E$9)</f>
        <v>9.6450999999999993</v>
      </c>
      <c r="L261" s="11">
        <f>5.8633 * CHOOSE(CONTROL!$C$32, $C$9, 100%, $E$9)</f>
        <v>5.8632999999999997</v>
      </c>
      <c r="M261" s="11">
        <f>5.8675 * CHOOSE(CONTROL!$C$32, $C$9, 100%, $E$9)</f>
        <v>5.8674999999999997</v>
      </c>
      <c r="N261" s="11">
        <f>5.8633 * CHOOSE(CONTROL!$C$32, $C$9, 100%, $E$9)</f>
        <v>5.8632999999999997</v>
      </c>
      <c r="O261" s="11">
        <f>5.8675 * CHOOSE(CONTROL!$C$32, $C$9, 100%, $E$9)</f>
        <v>5.8674999999999997</v>
      </c>
    </row>
    <row r="262" spans="1:15" ht="15" x14ac:dyDescent="0.2">
      <c r="A262" s="13">
        <v>48823</v>
      </c>
      <c r="B262" s="9">
        <f>4.5638 * CHOOSE(CONTROL!$C$32, $C$9, 100%, $E$9)</f>
        <v>4.5637999999999996</v>
      </c>
      <c r="C262" s="9">
        <f>4.5638 * CHOOSE(CONTROL!$C$32, $C$9, 100%, $E$9)</f>
        <v>4.5637999999999996</v>
      </c>
      <c r="D262" s="9">
        <f>4.5651 * CHOOSE(CONTROL!$C$32, $C$9, 100%, $E$9)</f>
        <v>4.5651000000000002</v>
      </c>
      <c r="E262" s="11">
        <f>5.8613 * CHOOSE(CONTROL!$C$32, $C$9, 100%, $E$9)</f>
        <v>5.8613</v>
      </c>
      <c r="F262" s="11">
        <f>5.8613 * CHOOSE(CONTROL!$C$32, $C$9, 100%, $E$9)</f>
        <v>5.8613</v>
      </c>
      <c r="G262" s="11">
        <f>5.8655 * CHOOSE(CONTROL!$C$32, $C$9, 100%, $E$9)</f>
        <v>5.8654999999999999</v>
      </c>
      <c r="H262" s="11">
        <f>9.661 * CHOOSE(CONTROL!$C$32, $C$9, 100%, $E$9)</f>
        <v>9.6609999999999996</v>
      </c>
      <c r="I262" s="11">
        <f>9.6652 * CHOOSE(CONTROL!$C$32, $C$9, 100%, $E$9)</f>
        <v>9.6652000000000005</v>
      </c>
      <c r="J262" s="11">
        <f>9.661 * CHOOSE(CONTROL!$C$32, $C$9, 100%, $E$9)</f>
        <v>9.6609999999999996</v>
      </c>
      <c r="K262" s="11">
        <f>9.6652 * CHOOSE(CONTROL!$C$32, $C$9, 100%, $E$9)</f>
        <v>9.6652000000000005</v>
      </c>
      <c r="L262" s="11">
        <f>5.8613 * CHOOSE(CONTROL!$C$32, $C$9, 100%, $E$9)</f>
        <v>5.8613</v>
      </c>
      <c r="M262" s="11">
        <f>5.8655 * CHOOSE(CONTROL!$C$32, $C$9, 100%, $E$9)</f>
        <v>5.8654999999999999</v>
      </c>
      <c r="N262" s="11">
        <f>5.8613 * CHOOSE(CONTROL!$C$32, $C$9, 100%, $E$9)</f>
        <v>5.8613</v>
      </c>
      <c r="O262" s="11">
        <f>5.8655 * CHOOSE(CONTROL!$C$32, $C$9, 100%, $E$9)</f>
        <v>5.8654999999999999</v>
      </c>
    </row>
    <row r="263" spans="1:15" ht="15" x14ac:dyDescent="0.2">
      <c r="A263" s="13">
        <v>48853</v>
      </c>
      <c r="B263" s="9">
        <f>4.561 * CHOOSE(CONTROL!$C$32, $C$9, 100%, $E$9)</f>
        <v>4.5609999999999999</v>
      </c>
      <c r="C263" s="9">
        <f>4.561 * CHOOSE(CONTROL!$C$32, $C$9, 100%, $E$9)</f>
        <v>4.5609999999999999</v>
      </c>
      <c r="D263" s="9">
        <f>4.562 * CHOOSE(CONTROL!$C$32, $C$9, 100%, $E$9)</f>
        <v>4.5620000000000003</v>
      </c>
      <c r="E263" s="11">
        <f>5.8571 * CHOOSE(CONTROL!$C$32, $C$9, 100%, $E$9)</f>
        <v>5.8571</v>
      </c>
      <c r="F263" s="11">
        <f>5.8571 * CHOOSE(CONTROL!$C$32, $C$9, 100%, $E$9)</f>
        <v>5.8571</v>
      </c>
      <c r="G263" s="11">
        <f>5.8603 * CHOOSE(CONTROL!$C$32, $C$9, 100%, $E$9)</f>
        <v>5.8602999999999996</v>
      </c>
      <c r="H263" s="11">
        <f>9.6811 * CHOOSE(CONTROL!$C$32, $C$9, 100%, $E$9)</f>
        <v>9.6811000000000007</v>
      </c>
      <c r="I263" s="11">
        <f>9.6844 * CHOOSE(CONTROL!$C$32, $C$9, 100%, $E$9)</f>
        <v>9.6844000000000001</v>
      </c>
      <c r="J263" s="11">
        <f>9.6811 * CHOOSE(CONTROL!$C$32, $C$9, 100%, $E$9)</f>
        <v>9.6811000000000007</v>
      </c>
      <c r="K263" s="11">
        <f>9.6844 * CHOOSE(CONTROL!$C$32, $C$9, 100%, $E$9)</f>
        <v>9.6844000000000001</v>
      </c>
      <c r="L263" s="11">
        <f>5.8571 * CHOOSE(CONTROL!$C$32, $C$9, 100%, $E$9)</f>
        <v>5.8571</v>
      </c>
      <c r="M263" s="11">
        <f>5.8603 * CHOOSE(CONTROL!$C$32, $C$9, 100%, $E$9)</f>
        <v>5.8602999999999996</v>
      </c>
      <c r="N263" s="11">
        <f>5.8571 * CHOOSE(CONTROL!$C$32, $C$9, 100%, $E$9)</f>
        <v>5.8571</v>
      </c>
      <c r="O263" s="11">
        <f>5.8603 * CHOOSE(CONTROL!$C$32, $C$9, 100%, $E$9)</f>
        <v>5.8602999999999996</v>
      </c>
    </row>
    <row r="264" spans="1:15" ht="15" x14ac:dyDescent="0.2">
      <c r="A264" s="13">
        <v>48884</v>
      </c>
      <c r="B264" s="9">
        <f>4.564 * CHOOSE(CONTROL!$C$32, $C$9, 100%, $E$9)</f>
        <v>4.5640000000000001</v>
      </c>
      <c r="C264" s="9">
        <f>4.564 * CHOOSE(CONTROL!$C$32, $C$9, 100%, $E$9)</f>
        <v>4.5640000000000001</v>
      </c>
      <c r="D264" s="9">
        <f>4.565 * CHOOSE(CONTROL!$C$32, $C$9, 100%, $E$9)</f>
        <v>4.5650000000000004</v>
      </c>
      <c r="E264" s="11">
        <f>5.8591 * CHOOSE(CONTROL!$C$32, $C$9, 100%, $E$9)</f>
        <v>5.8590999999999998</v>
      </c>
      <c r="F264" s="11">
        <f>5.8591 * CHOOSE(CONTROL!$C$32, $C$9, 100%, $E$9)</f>
        <v>5.8590999999999998</v>
      </c>
      <c r="G264" s="11">
        <f>5.8623 * CHOOSE(CONTROL!$C$32, $C$9, 100%, $E$9)</f>
        <v>5.8623000000000003</v>
      </c>
      <c r="H264" s="11">
        <f>9.7013 * CHOOSE(CONTROL!$C$32, $C$9, 100%, $E$9)</f>
        <v>9.7012999999999998</v>
      </c>
      <c r="I264" s="11">
        <f>9.7045 * CHOOSE(CONTROL!$C$32, $C$9, 100%, $E$9)</f>
        <v>9.7044999999999995</v>
      </c>
      <c r="J264" s="11">
        <f>9.7013 * CHOOSE(CONTROL!$C$32, $C$9, 100%, $E$9)</f>
        <v>9.7012999999999998</v>
      </c>
      <c r="K264" s="11">
        <f>9.7045 * CHOOSE(CONTROL!$C$32, $C$9, 100%, $E$9)</f>
        <v>9.7044999999999995</v>
      </c>
      <c r="L264" s="11">
        <f>5.8591 * CHOOSE(CONTROL!$C$32, $C$9, 100%, $E$9)</f>
        <v>5.8590999999999998</v>
      </c>
      <c r="M264" s="11">
        <f>5.8623 * CHOOSE(CONTROL!$C$32, $C$9, 100%, $E$9)</f>
        <v>5.8623000000000003</v>
      </c>
      <c r="N264" s="11">
        <f>5.8591 * CHOOSE(CONTROL!$C$32, $C$9, 100%, $E$9)</f>
        <v>5.8590999999999998</v>
      </c>
      <c r="O264" s="11">
        <f>5.8623 * CHOOSE(CONTROL!$C$32, $C$9, 100%, $E$9)</f>
        <v>5.8623000000000003</v>
      </c>
    </row>
    <row r="265" spans="1:15" ht="15" x14ac:dyDescent="0.2">
      <c r="A265" s="13">
        <v>48914</v>
      </c>
      <c r="B265" s="9">
        <f>4.564 * CHOOSE(CONTROL!$C$32, $C$9, 100%, $E$9)</f>
        <v>4.5640000000000001</v>
      </c>
      <c r="C265" s="9">
        <f>4.564 * CHOOSE(CONTROL!$C$32, $C$9, 100%, $E$9)</f>
        <v>4.5640000000000001</v>
      </c>
      <c r="D265" s="9">
        <f>4.565 * CHOOSE(CONTROL!$C$32, $C$9, 100%, $E$9)</f>
        <v>4.5650000000000004</v>
      </c>
      <c r="E265" s="11">
        <f>5.8591 * CHOOSE(CONTROL!$C$32, $C$9, 100%, $E$9)</f>
        <v>5.8590999999999998</v>
      </c>
      <c r="F265" s="11">
        <f>5.8591 * CHOOSE(CONTROL!$C$32, $C$9, 100%, $E$9)</f>
        <v>5.8590999999999998</v>
      </c>
      <c r="G265" s="11">
        <f>5.8623 * CHOOSE(CONTROL!$C$32, $C$9, 100%, $E$9)</f>
        <v>5.8623000000000003</v>
      </c>
      <c r="H265" s="11">
        <f>9.7215 * CHOOSE(CONTROL!$C$32, $C$9, 100%, $E$9)</f>
        <v>9.7215000000000007</v>
      </c>
      <c r="I265" s="11">
        <f>9.7248 * CHOOSE(CONTROL!$C$32, $C$9, 100%, $E$9)</f>
        <v>9.7248000000000001</v>
      </c>
      <c r="J265" s="11">
        <f>9.7215 * CHOOSE(CONTROL!$C$32, $C$9, 100%, $E$9)</f>
        <v>9.7215000000000007</v>
      </c>
      <c r="K265" s="11">
        <f>9.7248 * CHOOSE(CONTROL!$C$32, $C$9, 100%, $E$9)</f>
        <v>9.7248000000000001</v>
      </c>
      <c r="L265" s="11">
        <f>5.8591 * CHOOSE(CONTROL!$C$32, $C$9, 100%, $E$9)</f>
        <v>5.8590999999999998</v>
      </c>
      <c r="M265" s="11">
        <f>5.8623 * CHOOSE(CONTROL!$C$32, $C$9, 100%, $E$9)</f>
        <v>5.8623000000000003</v>
      </c>
      <c r="N265" s="11">
        <f>5.8591 * CHOOSE(CONTROL!$C$32, $C$9, 100%, $E$9)</f>
        <v>5.8590999999999998</v>
      </c>
      <c r="O265" s="11">
        <f>5.8623 * CHOOSE(CONTROL!$C$32, $C$9, 100%, $E$9)</f>
        <v>5.8623000000000003</v>
      </c>
    </row>
    <row r="266" spans="1:15" ht="15" x14ac:dyDescent="0.2">
      <c r="A266" s="13">
        <v>48945</v>
      </c>
      <c r="B266" s="9">
        <f>4.6027 * CHOOSE(CONTROL!$C$32, $C$9, 100%, $E$9)</f>
        <v>4.6026999999999996</v>
      </c>
      <c r="C266" s="9">
        <f>4.6027 * CHOOSE(CONTROL!$C$32, $C$9, 100%, $E$9)</f>
        <v>4.6026999999999996</v>
      </c>
      <c r="D266" s="9">
        <f>4.6036 * CHOOSE(CONTROL!$C$32, $C$9, 100%, $E$9)</f>
        <v>4.6036000000000001</v>
      </c>
      <c r="E266" s="11">
        <f>5.9092 * CHOOSE(CONTROL!$C$32, $C$9, 100%, $E$9)</f>
        <v>5.9092000000000002</v>
      </c>
      <c r="F266" s="11">
        <f>5.9092 * CHOOSE(CONTROL!$C$32, $C$9, 100%, $E$9)</f>
        <v>5.9092000000000002</v>
      </c>
      <c r="G266" s="11">
        <f>5.9125 * CHOOSE(CONTROL!$C$32, $C$9, 100%, $E$9)</f>
        <v>5.9124999999999996</v>
      </c>
      <c r="H266" s="11">
        <f>9.7418 * CHOOSE(CONTROL!$C$32, $C$9, 100%, $E$9)</f>
        <v>9.7417999999999996</v>
      </c>
      <c r="I266" s="11">
        <f>9.745 * CHOOSE(CONTROL!$C$32, $C$9, 100%, $E$9)</f>
        <v>9.7449999999999992</v>
      </c>
      <c r="J266" s="11">
        <f>9.7418 * CHOOSE(CONTROL!$C$32, $C$9, 100%, $E$9)</f>
        <v>9.7417999999999996</v>
      </c>
      <c r="K266" s="11">
        <f>9.745 * CHOOSE(CONTROL!$C$32, $C$9, 100%, $E$9)</f>
        <v>9.7449999999999992</v>
      </c>
      <c r="L266" s="11">
        <f>5.9092 * CHOOSE(CONTROL!$C$32, $C$9, 100%, $E$9)</f>
        <v>5.9092000000000002</v>
      </c>
      <c r="M266" s="11">
        <f>5.9125 * CHOOSE(CONTROL!$C$32, $C$9, 100%, $E$9)</f>
        <v>5.9124999999999996</v>
      </c>
      <c r="N266" s="11">
        <f>5.9092 * CHOOSE(CONTROL!$C$32, $C$9, 100%, $E$9)</f>
        <v>5.9092000000000002</v>
      </c>
      <c r="O266" s="11">
        <f>5.9125 * CHOOSE(CONTROL!$C$32, $C$9, 100%, $E$9)</f>
        <v>5.9124999999999996</v>
      </c>
    </row>
    <row r="267" spans="1:15" ht="15" x14ac:dyDescent="0.2">
      <c r="A267" s="13">
        <v>48976</v>
      </c>
      <c r="B267" s="9">
        <f>4.5996 * CHOOSE(CONTROL!$C$32, $C$9, 100%, $E$9)</f>
        <v>4.5995999999999997</v>
      </c>
      <c r="C267" s="9">
        <f>4.5996 * CHOOSE(CONTROL!$C$32, $C$9, 100%, $E$9)</f>
        <v>4.5995999999999997</v>
      </c>
      <c r="D267" s="9">
        <f>4.6006 * CHOOSE(CONTROL!$C$32, $C$9, 100%, $E$9)</f>
        <v>4.6006</v>
      </c>
      <c r="E267" s="11">
        <f>5.9072 * CHOOSE(CONTROL!$C$32, $C$9, 100%, $E$9)</f>
        <v>5.9071999999999996</v>
      </c>
      <c r="F267" s="11">
        <f>5.9072 * CHOOSE(CONTROL!$C$32, $C$9, 100%, $E$9)</f>
        <v>5.9071999999999996</v>
      </c>
      <c r="G267" s="11">
        <f>5.9105 * CHOOSE(CONTROL!$C$32, $C$9, 100%, $E$9)</f>
        <v>5.9104999999999999</v>
      </c>
      <c r="H267" s="11">
        <f>9.7621 * CHOOSE(CONTROL!$C$32, $C$9, 100%, $E$9)</f>
        <v>9.7621000000000002</v>
      </c>
      <c r="I267" s="11">
        <f>9.7653 * CHOOSE(CONTROL!$C$32, $C$9, 100%, $E$9)</f>
        <v>9.7652999999999999</v>
      </c>
      <c r="J267" s="11">
        <f>9.7621 * CHOOSE(CONTROL!$C$32, $C$9, 100%, $E$9)</f>
        <v>9.7621000000000002</v>
      </c>
      <c r="K267" s="11">
        <f>9.7653 * CHOOSE(CONTROL!$C$32, $C$9, 100%, $E$9)</f>
        <v>9.7652999999999999</v>
      </c>
      <c r="L267" s="11">
        <f>5.9072 * CHOOSE(CONTROL!$C$32, $C$9, 100%, $E$9)</f>
        <v>5.9071999999999996</v>
      </c>
      <c r="M267" s="11">
        <f>5.9105 * CHOOSE(CONTROL!$C$32, $C$9, 100%, $E$9)</f>
        <v>5.9104999999999999</v>
      </c>
      <c r="N267" s="11">
        <f>5.9072 * CHOOSE(CONTROL!$C$32, $C$9, 100%, $E$9)</f>
        <v>5.9071999999999996</v>
      </c>
      <c r="O267" s="11">
        <f>5.9105 * CHOOSE(CONTROL!$C$32, $C$9, 100%, $E$9)</f>
        <v>5.9104999999999999</v>
      </c>
    </row>
    <row r="268" spans="1:15" ht="15" x14ac:dyDescent="0.2">
      <c r="A268" s="13">
        <v>49004</v>
      </c>
      <c r="B268" s="9">
        <f>4.5966 * CHOOSE(CONTROL!$C$32, $C$9, 100%, $E$9)</f>
        <v>4.5965999999999996</v>
      </c>
      <c r="C268" s="9">
        <f>4.5966 * CHOOSE(CONTROL!$C$32, $C$9, 100%, $E$9)</f>
        <v>4.5965999999999996</v>
      </c>
      <c r="D268" s="9">
        <f>4.5975 * CHOOSE(CONTROL!$C$32, $C$9, 100%, $E$9)</f>
        <v>4.5975000000000001</v>
      </c>
      <c r="E268" s="11">
        <f>5.9052 * CHOOSE(CONTROL!$C$32, $C$9, 100%, $E$9)</f>
        <v>5.9051999999999998</v>
      </c>
      <c r="F268" s="11">
        <f>5.9052 * CHOOSE(CONTROL!$C$32, $C$9, 100%, $E$9)</f>
        <v>5.9051999999999998</v>
      </c>
      <c r="G268" s="11">
        <f>5.9085 * CHOOSE(CONTROL!$C$32, $C$9, 100%, $E$9)</f>
        <v>5.9085000000000001</v>
      </c>
      <c r="H268" s="11">
        <f>9.7824 * CHOOSE(CONTROL!$C$32, $C$9, 100%, $E$9)</f>
        <v>9.7824000000000009</v>
      </c>
      <c r="I268" s="11">
        <f>9.7856 * CHOOSE(CONTROL!$C$32, $C$9, 100%, $E$9)</f>
        <v>9.7856000000000005</v>
      </c>
      <c r="J268" s="11">
        <f>9.7824 * CHOOSE(CONTROL!$C$32, $C$9, 100%, $E$9)</f>
        <v>9.7824000000000009</v>
      </c>
      <c r="K268" s="11">
        <f>9.7856 * CHOOSE(CONTROL!$C$32, $C$9, 100%, $E$9)</f>
        <v>9.7856000000000005</v>
      </c>
      <c r="L268" s="11">
        <f>5.9052 * CHOOSE(CONTROL!$C$32, $C$9, 100%, $E$9)</f>
        <v>5.9051999999999998</v>
      </c>
      <c r="M268" s="11">
        <f>5.9085 * CHOOSE(CONTROL!$C$32, $C$9, 100%, $E$9)</f>
        <v>5.9085000000000001</v>
      </c>
      <c r="N268" s="11">
        <f>5.9052 * CHOOSE(CONTROL!$C$32, $C$9, 100%, $E$9)</f>
        <v>5.9051999999999998</v>
      </c>
      <c r="O268" s="11">
        <f>5.9085 * CHOOSE(CONTROL!$C$32, $C$9, 100%, $E$9)</f>
        <v>5.9085000000000001</v>
      </c>
    </row>
    <row r="269" spans="1:15" ht="15" x14ac:dyDescent="0.2">
      <c r="A269" s="13">
        <v>49035</v>
      </c>
      <c r="B269" s="9">
        <f>4.5948 * CHOOSE(CONTROL!$C$32, $C$9, 100%, $E$9)</f>
        <v>4.5948000000000002</v>
      </c>
      <c r="C269" s="9">
        <f>4.5948 * CHOOSE(CONTROL!$C$32, $C$9, 100%, $E$9)</f>
        <v>4.5948000000000002</v>
      </c>
      <c r="D269" s="9">
        <f>4.5958 * CHOOSE(CONTROL!$C$32, $C$9, 100%, $E$9)</f>
        <v>4.5957999999999997</v>
      </c>
      <c r="E269" s="11">
        <f>5.9035 * CHOOSE(CONTROL!$C$32, $C$9, 100%, $E$9)</f>
        <v>5.9035000000000002</v>
      </c>
      <c r="F269" s="11">
        <f>5.9035 * CHOOSE(CONTROL!$C$32, $C$9, 100%, $E$9)</f>
        <v>5.9035000000000002</v>
      </c>
      <c r="G269" s="11">
        <f>5.9067 * CHOOSE(CONTROL!$C$32, $C$9, 100%, $E$9)</f>
        <v>5.9066999999999998</v>
      </c>
      <c r="H269" s="11">
        <f>9.8028 * CHOOSE(CONTROL!$C$32, $C$9, 100%, $E$9)</f>
        <v>9.8027999999999995</v>
      </c>
      <c r="I269" s="11">
        <f>9.806 * CHOOSE(CONTROL!$C$32, $C$9, 100%, $E$9)</f>
        <v>9.8059999999999992</v>
      </c>
      <c r="J269" s="11">
        <f>9.8028 * CHOOSE(CONTROL!$C$32, $C$9, 100%, $E$9)</f>
        <v>9.8027999999999995</v>
      </c>
      <c r="K269" s="11">
        <f>9.806 * CHOOSE(CONTROL!$C$32, $C$9, 100%, $E$9)</f>
        <v>9.8059999999999992</v>
      </c>
      <c r="L269" s="11">
        <f>5.9035 * CHOOSE(CONTROL!$C$32, $C$9, 100%, $E$9)</f>
        <v>5.9035000000000002</v>
      </c>
      <c r="M269" s="11">
        <f>5.9067 * CHOOSE(CONTROL!$C$32, $C$9, 100%, $E$9)</f>
        <v>5.9066999999999998</v>
      </c>
      <c r="N269" s="11">
        <f>5.9035 * CHOOSE(CONTROL!$C$32, $C$9, 100%, $E$9)</f>
        <v>5.9035000000000002</v>
      </c>
      <c r="O269" s="11">
        <f>5.9067 * CHOOSE(CONTROL!$C$32, $C$9, 100%, $E$9)</f>
        <v>5.9066999999999998</v>
      </c>
    </row>
    <row r="270" spans="1:15" ht="15" x14ac:dyDescent="0.2">
      <c r="A270" s="13">
        <v>49065</v>
      </c>
      <c r="B270" s="9">
        <f>4.5948 * CHOOSE(CONTROL!$C$32, $C$9, 100%, $E$9)</f>
        <v>4.5948000000000002</v>
      </c>
      <c r="C270" s="9">
        <f>4.5948 * CHOOSE(CONTROL!$C$32, $C$9, 100%, $E$9)</f>
        <v>4.5948000000000002</v>
      </c>
      <c r="D270" s="9">
        <f>4.5961 * CHOOSE(CONTROL!$C$32, $C$9, 100%, $E$9)</f>
        <v>4.5960999999999999</v>
      </c>
      <c r="E270" s="11">
        <f>5.9035 * CHOOSE(CONTROL!$C$32, $C$9, 100%, $E$9)</f>
        <v>5.9035000000000002</v>
      </c>
      <c r="F270" s="11">
        <f>5.9035 * CHOOSE(CONTROL!$C$32, $C$9, 100%, $E$9)</f>
        <v>5.9035000000000002</v>
      </c>
      <c r="G270" s="11">
        <f>5.9077 * CHOOSE(CONTROL!$C$32, $C$9, 100%, $E$9)</f>
        <v>5.9077000000000002</v>
      </c>
      <c r="H270" s="11">
        <f>9.8232 * CHOOSE(CONTROL!$C$32, $C$9, 100%, $E$9)</f>
        <v>9.8231999999999999</v>
      </c>
      <c r="I270" s="11">
        <f>9.8274 * CHOOSE(CONTROL!$C$32, $C$9, 100%, $E$9)</f>
        <v>9.8274000000000008</v>
      </c>
      <c r="J270" s="11">
        <f>9.8232 * CHOOSE(CONTROL!$C$32, $C$9, 100%, $E$9)</f>
        <v>9.8231999999999999</v>
      </c>
      <c r="K270" s="11">
        <f>9.8274 * CHOOSE(CONTROL!$C$32, $C$9, 100%, $E$9)</f>
        <v>9.8274000000000008</v>
      </c>
      <c r="L270" s="11">
        <f>5.9035 * CHOOSE(CONTROL!$C$32, $C$9, 100%, $E$9)</f>
        <v>5.9035000000000002</v>
      </c>
      <c r="M270" s="11">
        <f>5.9077 * CHOOSE(CONTROL!$C$32, $C$9, 100%, $E$9)</f>
        <v>5.9077000000000002</v>
      </c>
      <c r="N270" s="11">
        <f>5.9035 * CHOOSE(CONTROL!$C$32, $C$9, 100%, $E$9)</f>
        <v>5.9035000000000002</v>
      </c>
      <c r="O270" s="11">
        <f>5.9077 * CHOOSE(CONTROL!$C$32, $C$9, 100%, $E$9)</f>
        <v>5.9077000000000002</v>
      </c>
    </row>
    <row r="271" spans="1:15" ht="15" x14ac:dyDescent="0.2">
      <c r="A271" s="13">
        <v>49096</v>
      </c>
      <c r="B271" s="9">
        <f>4.6009 * CHOOSE(CONTROL!$C$32, $C$9, 100%, $E$9)</f>
        <v>4.6009000000000002</v>
      </c>
      <c r="C271" s="9">
        <f>4.6009 * CHOOSE(CONTROL!$C$32, $C$9, 100%, $E$9)</f>
        <v>4.6009000000000002</v>
      </c>
      <c r="D271" s="9">
        <f>4.6021 * CHOOSE(CONTROL!$C$32, $C$9, 100%, $E$9)</f>
        <v>4.6021000000000001</v>
      </c>
      <c r="E271" s="11">
        <f>5.9075 * CHOOSE(CONTROL!$C$32, $C$9, 100%, $E$9)</f>
        <v>5.9074999999999998</v>
      </c>
      <c r="F271" s="11">
        <f>5.9075 * CHOOSE(CONTROL!$C$32, $C$9, 100%, $E$9)</f>
        <v>5.9074999999999998</v>
      </c>
      <c r="G271" s="11">
        <f>5.9117 * CHOOSE(CONTROL!$C$32, $C$9, 100%, $E$9)</f>
        <v>5.9116999999999997</v>
      </c>
      <c r="H271" s="11">
        <f>9.8437 * CHOOSE(CONTROL!$C$32, $C$9, 100%, $E$9)</f>
        <v>9.8437000000000001</v>
      </c>
      <c r="I271" s="11">
        <f>9.8479 * CHOOSE(CONTROL!$C$32, $C$9, 100%, $E$9)</f>
        <v>9.8478999999999992</v>
      </c>
      <c r="J271" s="11">
        <f>9.8437 * CHOOSE(CONTROL!$C$32, $C$9, 100%, $E$9)</f>
        <v>9.8437000000000001</v>
      </c>
      <c r="K271" s="11">
        <f>9.8479 * CHOOSE(CONTROL!$C$32, $C$9, 100%, $E$9)</f>
        <v>9.8478999999999992</v>
      </c>
      <c r="L271" s="11">
        <f>5.9075 * CHOOSE(CONTROL!$C$32, $C$9, 100%, $E$9)</f>
        <v>5.9074999999999998</v>
      </c>
      <c r="M271" s="11">
        <f>5.9117 * CHOOSE(CONTROL!$C$32, $C$9, 100%, $E$9)</f>
        <v>5.9116999999999997</v>
      </c>
      <c r="N271" s="11">
        <f>5.9075 * CHOOSE(CONTROL!$C$32, $C$9, 100%, $E$9)</f>
        <v>5.9074999999999998</v>
      </c>
      <c r="O271" s="11">
        <f>5.9117 * CHOOSE(CONTROL!$C$32, $C$9, 100%, $E$9)</f>
        <v>5.9116999999999997</v>
      </c>
    </row>
    <row r="272" spans="1:15" ht="15" x14ac:dyDescent="0.2">
      <c r="A272" s="13">
        <v>49126</v>
      </c>
      <c r="B272" s="9">
        <f>4.6716 * CHOOSE(CONTROL!$C$32, $C$9, 100%, $E$9)</f>
        <v>4.6715999999999998</v>
      </c>
      <c r="C272" s="9">
        <f>4.6716 * CHOOSE(CONTROL!$C$32, $C$9, 100%, $E$9)</f>
        <v>4.6715999999999998</v>
      </c>
      <c r="D272" s="9">
        <f>4.6728 * CHOOSE(CONTROL!$C$32, $C$9, 100%, $E$9)</f>
        <v>4.6727999999999996</v>
      </c>
      <c r="E272" s="11">
        <f>6.0182 * CHOOSE(CONTROL!$C$32, $C$9, 100%, $E$9)</f>
        <v>6.0182000000000002</v>
      </c>
      <c r="F272" s="11">
        <f>6.0182 * CHOOSE(CONTROL!$C$32, $C$9, 100%, $E$9)</f>
        <v>6.0182000000000002</v>
      </c>
      <c r="G272" s="11">
        <f>6.0224 * CHOOSE(CONTROL!$C$32, $C$9, 100%, $E$9)</f>
        <v>6.0224000000000002</v>
      </c>
      <c r="H272" s="11">
        <f>9.8642 * CHOOSE(CONTROL!$C$32, $C$9, 100%, $E$9)</f>
        <v>9.8642000000000003</v>
      </c>
      <c r="I272" s="11">
        <f>9.8684 * CHOOSE(CONTROL!$C$32, $C$9, 100%, $E$9)</f>
        <v>9.8683999999999994</v>
      </c>
      <c r="J272" s="11">
        <f>9.8642 * CHOOSE(CONTROL!$C$32, $C$9, 100%, $E$9)</f>
        <v>9.8642000000000003</v>
      </c>
      <c r="K272" s="11">
        <f>9.8684 * CHOOSE(CONTROL!$C$32, $C$9, 100%, $E$9)</f>
        <v>9.8683999999999994</v>
      </c>
      <c r="L272" s="11">
        <f>6.0182 * CHOOSE(CONTROL!$C$32, $C$9, 100%, $E$9)</f>
        <v>6.0182000000000002</v>
      </c>
      <c r="M272" s="11">
        <f>6.0224 * CHOOSE(CONTROL!$C$32, $C$9, 100%, $E$9)</f>
        <v>6.0224000000000002</v>
      </c>
      <c r="N272" s="11">
        <f>6.0182 * CHOOSE(CONTROL!$C$32, $C$9, 100%, $E$9)</f>
        <v>6.0182000000000002</v>
      </c>
      <c r="O272" s="11">
        <f>6.0224 * CHOOSE(CONTROL!$C$32, $C$9, 100%, $E$9)</f>
        <v>6.0224000000000002</v>
      </c>
    </row>
    <row r="273" spans="1:15" ht="15" x14ac:dyDescent="0.2">
      <c r="A273" s="13">
        <v>49157</v>
      </c>
      <c r="B273" s="9">
        <f>4.6783 * CHOOSE(CONTROL!$C$32, $C$9, 100%, $E$9)</f>
        <v>4.6783000000000001</v>
      </c>
      <c r="C273" s="9">
        <f>4.6783 * CHOOSE(CONTROL!$C$32, $C$9, 100%, $E$9)</f>
        <v>4.6783000000000001</v>
      </c>
      <c r="D273" s="9">
        <f>4.6795 * CHOOSE(CONTROL!$C$32, $C$9, 100%, $E$9)</f>
        <v>4.6795</v>
      </c>
      <c r="E273" s="11">
        <f>6.0226 * CHOOSE(CONTROL!$C$32, $C$9, 100%, $E$9)</f>
        <v>6.0225999999999997</v>
      </c>
      <c r="F273" s="11">
        <f>6.0226 * CHOOSE(CONTROL!$C$32, $C$9, 100%, $E$9)</f>
        <v>6.0225999999999997</v>
      </c>
      <c r="G273" s="11">
        <f>6.0268 * CHOOSE(CONTROL!$C$32, $C$9, 100%, $E$9)</f>
        <v>6.0267999999999997</v>
      </c>
      <c r="H273" s="11">
        <f>9.8847 * CHOOSE(CONTROL!$C$32, $C$9, 100%, $E$9)</f>
        <v>9.8847000000000005</v>
      </c>
      <c r="I273" s="11">
        <f>9.8889 * CHOOSE(CONTROL!$C$32, $C$9, 100%, $E$9)</f>
        <v>9.8888999999999996</v>
      </c>
      <c r="J273" s="11">
        <f>9.8847 * CHOOSE(CONTROL!$C$32, $C$9, 100%, $E$9)</f>
        <v>9.8847000000000005</v>
      </c>
      <c r="K273" s="11">
        <f>9.8889 * CHOOSE(CONTROL!$C$32, $C$9, 100%, $E$9)</f>
        <v>9.8888999999999996</v>
      </c>
      <c r="L273" s="11">
        <f>6.0226 * CHOOSE(CONTROL!$C$32, $C$9, 100%, $E$9)</f>
        <v>6.0225999999999997</v>
      </c>
      <c r="M273" s="11">
        <f>6.0268 * CHOOSE(CONTROL!$C$32, $C$9, 100%, $E$9)</f>
        <v>6.0267999999999997</v>
      </c>
      <c r="N273" s="11">
        <f>6.0226 * CHOOSE(CONTROL!$C$32, $C$9, 100%, $E$9)</f>
        <v>6.0225999999999997</v>
      </c>
      <c r="O273" s="11">
        <f>6.0268 * CHOOSE(CONTROL!$C$32, $C$9, 100%, $E$9)</f>
        <v>6.0267999999999997</v>
      </c>
    </row>
    <row r="274" spans="1:15" ht="15" x14ac:dyDescent="0.2">
      <c r="A274" s="13">
        <v>49188</v>
      </c>
      <c r="B274" s="9">
        <f>4.6752 * CHOOSE(CONTROL!$C$32, $C$9, 100%, $E$9)</f>
        <v>4.6752000000000002</v>
      </c>
      <c r="C274" s="9">
        <f>4.6752 * CHOOSE(CONTROL!$C$32, $C$9, 100%, $E$9)</f>
        <v>4.6752000000000002</v>
      </c>
      <c r="D274" s="9">
        <f>4.6765 * CHOOSE(CONTROL!$C$32, $C$9, 100%, $E$9)</f>
        <v>4.6764999999999999</v>
      </c>
      <c r="E274" s="11">
        <f>6.0206 * CHOOSE(CONTROL!$C$32, $C$9, 100%, $E$9)</f>
        <v>6.0206</v>
      </c>
      <c r="F274" s="11">
        <f>6.0206 * CHOOSE(CONTROL!$C$32, $C$9, 100%, $E$9)</f>
        <v>6.0206</v>
      </c>
      <c r="G274" s="11">
        <f>6.0248 * CHOOSE(CONTROL!$C$32, $C$9, 100%, $E$9)</f>
        <v>6.0247999999999999</v>
      </c>
      <c r="H274" s="11">
        <f>9.9053 * CHOOSE(CONTROL!$C$32, $C$9, 100%, $E$9)</f>
        <v>9.9053000000000004</v>
      </c>
      <c r="I274" s="11">
        <f>9.9095 * CHOOSE(CONTROL!$C$32, $C$9, 100%, $E$9)</f>
        <v>9.9094999999999995</v>
      </c>
      <c r="J274" s="11">
        <f>9.9053 * CHOOSE(CONTROL!$C$32, $C$9, 100%, $E$9)</f>
        <v>9.9053000000000004</v>
      </c>
      <c r="K274" s="11">
        <f>9.9095 * CHOOSE(CONTROL!$C$32, $C$9, 100%, $E$9)</f>
        <v>9.9094999999999995</v>
      </c>
      <c r="L274" s="11">
        <f>6.0206 * CHOOSE(CONTROL!$C$32, $C$9, 100%, $E$9)</f>
        <v>6.0206</v>
      </c>
      <c r="M274" s="11">
        <f>6.0248 * CHOOSE(CONTROL!$C$32, $C$9, 100%, $E$9)</f>
        <v>6.0247999999999999</v>
      </c>
      <c r="N274" s="11">
        <f>6.0206 * CHOOSE(CONTROL!$C$32, $C$9, 100%, $E$9)</f>
        <v>6.0206</v>
      </c>
      <c r="O274" s="11">
        <f>6.0248 * CHOOSE(CONTROL!$C$32, $C$9, 100%, $E$9)</f>
        <v>6.0247999999999999</v>
      </c>
    </row>
    <row r="275" spans="1:15" ht="15" x14ac:dyDescent="0.2">
      <c r="A275" s="13">
        <v>49218</v>
      </c>
      <c r="B275" s="9">
        <f>4.6728 * CHOOSE(CONTROL!$C$32, $C$9, 100%, $E$9)</f>
        <v>4.6727999999999996</v>
      </c>
      <c r="C275" s="9">
        <f>4.6728 * CHOOSE(CONTROL!$C$32, $C$9, 100%, $E$9)</f>
        <v>4.6727999999999996</v>
      </c>
      <c r="D275" s="9">
        <f>4.6737 * CHOOSE(CONTROL!$C$32, $C$9, 100%, $E$9)</f>
        <v>4.6737000000000002</v>
      </c>
      <c r="E275" s="11">
        <f>6.0166 * CHOOSE(CONTROL!$C$32, $C$9, 100%, $E$9)</f>
        <v>6.0166000000000004</v>
      </c>
      <c r="F275" s="11">
        <f>6.0166 * CHOOSE(CONTROL!$C$32, $C$9, 100%, $E$9)</f>
        <v>6.0166000000000004</v>
      </c>
      <c r="G275" s="11">
        <f>6.0198 * CHOOSE(CONTROL!$C$32, $C$9, 100%, $E$9)</f>
        <v>6.0198</v>
      </c>
      <c r="H275" s="11">
        <f>9.926 * CHOOSE(CONTROL!$C$32, $C$9, 100%, $E$9)</f>
        <v>9.9260000000000002</v>
      </c>
      <c r="I275" s="11">
        <f>9.9292 * CHOOSE(CONTROL!$C$32, $C$9, 100%, $E$9)</f>
        <v>9.9291999999999998</v>
      </c>
      <c r="J275" s="11">
        <f>9.926 * CHOOSE(CONTROL!$C$32, $C$9, 100%, $E$9)</f>
        <v>9.9260000000000002</v>
      </c>
      <c r="K275" s="11">
        <f>9.9292 * CHOOSE(CONTROL!$C$32, $C$9, 100%, $E$9)</f>
        <v>9.9291999999999998</v>
      </c>
      <c r="L275" s="11">
        <f>6.0166 * CHOOSE(CONTROL!$C$32, $C$9, 100%, $E$9)</f>
        <v>6.0166000000000004</v>
      </c>
      <c r="M275" s="11">
        <f>6.0198 * CHOOSE(CONTROL!$C$32, $C$9, 100%, $E$9)</f>
        <v>6.0198</v>
      </c>
      <c r="N275" s="11">
        <f>6.0166 * CHOOSE(CONTROL!$C$32, $C$9, 100%, $E$9)</f>
        <v>6.0166000000000004</v>
      </c>
      <c r="O275" s="11">
        <f>6.0198 * CHOOSE(CONTROL!$C$32, $C$9, 100%, $E$9)</f>
        <v>6.0198</v>
      </c>
    </row>
    <row r="276" spans="1:15" ht="15" x14ac:dyDescent="0.2">
      <c r="A276" s="13">
        <v>49249</v>
      </c>
      <c r="B276" s="9">
        <f>4.6758 * CHOOSE(CONTROL!$C$32, $C$9, 100%, $E$9)</f>
        <v>4.6757999999999997</v>
      </c>
      <c r="C276" s="9">
        <f>4.6758 * CHOOSE(CONTROL!$C$32, $C$9, 100%, $E$9)</f>
        <v>4.6757999999999997</v>
      </c>
      <c r="D276" s="9">
        <f>4.6768 * CHOOSE(CONTROL!$C$32, $C$9, 100%, $E$9)</f>
        <v>4.6768000000000001</v>
      </c>
      <c r="E276" s="11">
        <f>6.0186 * CHOOSE(CONTROL!$C$32, $C$9, 100%, $E$9)</f>
        <v>6.0186000000000002</v>
      </c>
      <c r="F276" s="11">
        <f>6.0186 * CHOOSE(CONTROL!$C$32, $C$9, 100%, $E$9)</f>
        <v>6.0186000000000002</v>
      </c>
      <c r="G276" s="11">
        <f>6.0218 * CHOOSE(CONTROL!$C$32, $C$9, 100%, $E$9)</f>
        <v>6.0217999999999998</v>
      </c>
      <c r="H276" s="11">
        <f>9.9466 * CHOOSE(CONTROL!$C$32, $C$9, 100%, $E$9)</f>
        <v>9.9466000000000001</v>
      </c>
      <c r="I276" s="11">
        <f>9.9499 * CHOOSE(CONTROL!$C$32, $C$9, 100%, $E$9)</f>
        <v>9.9498999999999995</v>
      </c>
      <c r="J276" s="11">
        <f>9.9466 * CHOOSE(CONTROL!$C$32, $C$9, 100%, $E$9)</f>
        <v>9.9466000000000001</v>
      </c>
      <c r="K276" s="11">
        <f>9.9499 * CHOOSE(CONTROL!$C$32, $C$9, 100%, $E$9)</f>
        <v>9.9498999999999995</v>
      </c>
      <c r="L276" s="11">
        <f>6.0186 * CHOOSE(CONTROL!$C$32, $C$9, 100%, $E$9)</f>
        <v>6.0186000000000002</v>
      </c>
      <c r="M276" s="11">
        <f>6.0218 * CHOOSE(CONTROL!$C$32, $C$9, 100%, $E$9)</f>
        <v>6.0217999999999998</v>
      </c>
      <c r="N276" s="11">
        <f>6.0186 * CHOOSE(CONTROL!$C$32, $C$9, 100%, $E$9)</f>
        <v>6.0186000000000002</v>
      </c>
      <c r="O276" s="11">
        <f>6.0218 * CHOOSE(CONTROL!$C$32, $C$9, 100%, $E$9)</f>
        <v>6.0217999999999998</v>
      </c>
    </row>
    <row r="277" spans="1:15" ht="15" x14ac:dyDescent="0.2">
      <c r="A277" s="13">
        <v>49279</v>
      </c>
      <c r="B277" s="9">
        <f>4.6758 * CHOOSE(CONTROL!$C$32, $C$9, 100%, $E$9)</f>
        <v>4.6757999999999997</v>
      </c>
      <c r="C277" s="9">
        <f>4.6758 * CHOOSE(CONTROL!$C$32, $C$9, 100%, $E$9)</f>
        <v>4.6757999999999997</v>
      </c>
      <c r="D277" s="9">
        <f>4.6768 * CHOOSE(CONTROL!$C$32, $C$9, 100%, $E$9)</f>
        <v>4.6768000000000001</v>
      </c>
      <c r="E277" s="11">
        <f>6.0186 * CHOOSE(CONTROL!$C$32, $C$9, 100%, $E$9)</f>
        <v>6.0186000000000002</v>
      </c>
      <c r="F277" s="11">
        <f>6.0186 * CHOOSE(CONTROL!$C$32, $C$9, 100%, $E$9)</f>
        <v>6.0186000000000002</v>
      </c>
      <c r="G277" s="11">
        <f>6.0218 * CHOOSE(CONTROL!$C$32, $C$9, 100%, $E$9)</f>
        <v>6.0217999999999998</v>
      </c>
      <c r="H277" s="11">
        <f>9.9674 * CHOOSE(CONTROL!$C$32, $C$9, 100%, $E$9)</f>
        <v>9.9673999999999996</v>
      </c>
      <c r="I277" s="11">
        <f>9.9706 * CHOOSE(CONTROL!$C$32, $C$9, 100%, $E$9)</f>
        <v>9.9705999999999992</v>
      </c>
      <c r="J277" s="11">
        <f>9.9674 * CHOOSE(CONTROL!$C$32, $C$9, 100%, $E$9)</f>
        <v>9.9673999999999996</v>
      </c>
      <c r="K277" s="11">
        <f>9.9706 * CHOOSE(CONTROL!$C$32, $C$9, 100%, $E$9)</f>
        <v>9.9705999999999992</v>
      </c>
      <c r="L277" s="11">
        <f>6.0186 * CHOOSE(CONTROL!$C$32, $C$9, 100%, $E$9)</f>
        <v>6.0186000000000002</v>
      </c>
      <c r="M277" s="11">
        <f>6.0218 * CHOOSE(CONTROL!$C$32, $C$9, 100%, $E$9)</f>
        <v>6.0217999999999998</v>
      </c>
      <c r="N277" s="11">
        <f>6.0186 * CHOOSE(CONTROL!$C$32, $C$9, 100%, $E$9)</f>
        <v>6.0186000000000002</v>
      </c>
      <c r="O277" s="11">
        <f>6.0218 * CHOOSE(CONTROL!$C$32, $C$9, 100%, $E$9)</f>
        <v>6.0217999999999998</v>
      </c>
    </row>
    <row r="278" spans="1:15" ht="15" x14ac:dyDescent="0.2">
      <c r="A278" s="13">
        <v>49310</v>
      </c>
      <c r="B278" s="9">
        <f>4.713 * CHOOSE(CONTROL!$C$32, $C$9, 100%, $E$9)</f>
        <v>4.7130000000000001</v>
      </c>
      <c r="C278" s="9">
        <f>4.713 * CHOOSE(CONTROL!$C$32, $C$9, 100%, $E$9)</f>
        <v>4.7130000000000001</v>
      </c>
      <c r="D278" s="9">
        <f>4.7139 * CHOOSE(CONTROL!$C$32, $C$9, 100%, $E$9)</f>
        <v>4.7138999999999998</v>
      </c>
      <c r="E278" s="11">
        <f>6.0663 * CHOOSE(CONTROL!$C$32, $C$9, 100%, $E$9)</f>
        <v>6.0663</v>
      </c>
      <c r="F278" s="11">
        <f>6.0663 * CHOOSE(CONTROL!$C$32, $C$9, 100%, $E$9)</f>
        <v>6.0663</v>
      </c>
      <c r="G278" s="11">
        <f>6.0695 * CHOOSE(CONTROL!$C$32, $C$9, 100%, $E$9)</f>
        <v>6.0694999999999997</v>
      </c>
      <c r="H278" s="11">
        <f>9.9881 * CHOOSE(CONTROL!$C$32, $C$9, 100%, $E$9)</f>
        <v>9.9880999999999993</v>
      </c>
      <c r="I278" s="11">
        <f>9.9914 * CHOOSE(CONTROL!$C$32, $C$9, 100%, $E$9)</f>
        <v>9.9914000000000005</v>
      </c>
      <c r="J278" s="11">
        <f>9.9881 * CHOOSE(CONTROL!$C$32, $C$9, 100%, $E$9)</f>
        <v>9.9880999999999993</v>
      </c>
      <c r="K278" s="11">
        <f>9.9914 * CHOOSE(CONTROL!$C$32, $C$9, 100%, $E$9)</f>
        <v>9.9914000000000005</v>
      </c>
      <c r="L278" s="11">
        <f>6.0663 * CHOOSE(CONTROL!$C$32, $C$9, 100%, $E$9)</f>
        <v>6.0663</v>
      </c>
      <c r="M278" s="11">
        <f>6.0695 * CHOOSE(CONTROL!$C$32, $C$9, 100%, $E$9)</f>
        <v>6.0694999999999997</v>
      </c>
      <c r="N278" s="11">
        <f>6.0663 * CHOOSE(CONTROL!$C$32, $C$9, 100%, $E$9)</f>
        <v>6.0663</v>
      </c>
      <c r="O278" s="11">
        <f>6.0695 * CHOOSE(CONTROL!$C$32, $C$9, 100%, $E$9)</f>
        <v>6.0694999999999997</v>
      </c>
    </row>
    <row r="279" spans="1:15" ht="15" x14ac:dyDescent="0.2">
      <c r="A279" s="13">
        <v>49341</v>
      </c>
      <c r="B279" s="9">
        <f>4.71 * CHOOSE(CONTROL!$C$32, $C$9, 100%, $E$9)</f>
        <v>4.71</v>
      </c>
      <c r="C279" s="9">
        <f>4.71 * CHOOSE(CONTROL!$C$32, $C$9, 100%, $E$9)</f>
        <v>4.71</v>
      </c>
      <c r="D279" s="9">
        <f>4.7109 * CHOOSE(CONTROL!$C$32, $C$9, 100%, $E$9)</f>
        <v>4.7108999999999996</v>
      </c>
      <c r="E279" s="11">
        <f>6.3757 * CHOOSE(CONTROL!$C$32, $C$9, 100%, $E$9)</f>
        <v>6.3757000000000001</v>
      </c>
      <c r="F279" s="11">
        <f>6.3757 * CHOOSE(CONTROL!$C$32, $C$9, 100%, $E$9)</f>
        <v>6.3757000000000001</v>
      </c>
      <c r="G279" s="11">
        <f>6.3789 * CHOOSE(CONTROL!$C$32, $C$9, 100%, $E$9)</f>
        <v>6.3788999999999998</v>
      </c>
      <c r="H279" s="11">
        <f>10.0089 * CHOOSE(CONTROL!$C$32, $C$9, 100%, $E$9)</f>
        <v>10.008900000000001</v>
      </c>
      <c r="I279" s="11">
        <f>10.0122 * CHOOSE(CONTROL!$C$32, $C$9, 100%, $E$9)</f>
        <v>10.0122</v>
      </c>
      <c r="J279" s="11">
        <f>10.0089 * CHOOSE(CONTROL!$C$32, $C$9, 100%, $E$9)</f>
        <v>10.008900000000001</v>
      </c>
      <c r="K279" s="11">
        <f>10.0122 * CHOOSE(CONTROL!$C$32, $C$9, 100%, $E$9)</f>
        <v>10.0122</v>
      </c>
      <c r="L279" s="11">
        <f>6.3757 * CHOOSE(CONTROL!$C$32, $C$9, 100%, $E$9)</f>
        <v>6.3757000000000001</v>
      </c>
      <c r="M279" s="11">
        <f>6.3789 * CHOOSE(CONTROL!$C$32, $C$9, 100%, $E$9)</f>
        <v>6.3788999999999998</v>
      </c>
      <c r="N279" s="11">
        <f>6.3757 * CHOOSE(CONTROL!$C$32, $C$9, 100%, $E$9)</f>
        <v>6.3757000000000001</v>
      </c>
      <c r="O279" s="11">
        <f>6.3789 * CHOOSE(CONTROL!$C$32, $C$9, 100%, $E$9)</f>
        <v>6.3788999999999998</v>
      </c>
    </row>
    <row r="280" spans="1:15" ht="15" x14ac:dyDescent="0.2">
      <c r="A280" s="13">
        <v>49369</v>
      </c>
      <c r="B280" s="9">
        <f>4.7069 * CHOOSE(CONTROL!$C$32, $C$9, 100%, $E$9)</f>
        <v>4.7069000000000001</v>
      </c>
      <c r="C280" s="9">
        <f>4.7069 * CHOOSE(CONTROL!$C$32, $C$9, 100%, $E$9)</f>
        <v>4.7069000000000001</v>
      </c>
      <c r="D280" s="9">
        <f>4.7079 * CHOOSE(CONTROL!$C$32, $C$9, 100%, $E$9)</f>
        <v>4.7079000000000004</v>
      </c>
      <c r="E280" s="11">
        <f>6.0623 * CHOOSE(CONTROL!$C$32, $C$9, 100%, $E$9)</f>
        <v>6.0622999999999996</v>
      </c>
      <c r="F280" s="11">
        <f>6.0623 * CHOOSE(CONTROL!$C$32, $C$9, 100%, $E$9)</f>
        <v>6.0622999999999996</v>
      </c>
      <c r="G280" s="11">
        <f>6.0655 * CHOOSE(CONTROL!$C$32, $C$9, 100%, $E$9)</f>
        <v>6.0655000000000001</v>
      </c>
      <c r="H280" s="11">
        <f>10.0298 * CHOOSE(CONTROL!$C$32, $C$9, 100%, $E$9)</f>
        <v>10.0298</v>
      </c>
      <c r="I280" s="11">
        <f>10.033 * CHOOSE(CONTROL!$C$32, $C$9, 100%, $E$9)</f>
        <v>10.032999999999999</v>
      </c>
      <c r="J280" s="11">
        <f>10.0298 * CHOOSE(CONTROL!$C$32, $C$9, 100%, $E$9)</f>
        <v>10.0298</v>
      </c>
      <c r="K280" s="11">
        <f>10.033 * CHOOSE(CONTROL!$C$32, $C$9, 100%, $E$9)</f>
        <v>10.032999999999999</v>
      </c>
      <c r="L280" s="11">
        <f>6.0623 * CHOOSE(CONTROL!$C$32, $C$9, 100%, $E$9)</f>
        <v>6.0622999999999996</v>
      </c>
      <c r="M280" s="11">
        <f>6.0655 * CHOOSE(CONTROL!$C$32, $C$9, 100%, $E$9)</f>
        <v>6.0655000000000001</v>
      </c>
      <c r="N280" s="11">
        <f>6.0623 * CHOOSE(CONTROL!$C$32, $C$9, 100%, $E$9)</f>
        <v>6.0622999999999996</v>
      </c>
      <c r="O280" s="11">
        <f>6.0655 * CHOOSE(CONTROL!$C$32, $C$9, 100%, $E$9)</f>
        <v>6.0655000000000001</v>
      </c>
    </row>
    <row r="281" spans="1:15" ht="15" x14ac:dyDescent="0.2">
      <c r="A281" s="13">
        <v>49400</v>
      </c>
      <c r="B281" s="9">
        <f>4.7052 * CHOOSE(CONTROL!$C$32, $C$9, 100%, $E$9)</f>
        <v>4.7051999999999996</v>
      </c>
      <c r="C281" s="9">
        <f>4.7052 * CHOOSE(CONTROL!$C$32, $C$9, 100%, $E$9)</f>
        <v>4.7051999999999996</v>
      </c>
      <c r="D281" s="9">
        <f>4.7062 * CHOOSE(CONTROL!$C$32, $C$9, 100%, $E$9)</f>
        <v>4.7061999999999999</v>
      </c>
      <c r="E281" s="11">
        <f>6.0605 * CHOOSE(CONTROL!$C$32, $C$9, 100%, $E$9)</f>
        <v>6.0605000000000002</v>
      </c>
      <c r="F281" s="11">
        <f>6.0605 * CHOOSE(CONTROL!$C$32, $C$9, 100%, $E$9)</f>
        <v>6.0605000000000002</v>
      </c>
      <c r="G281" s="11">
        <f>6.0638 * CHOOSE(CONTROL!$C$32, $C$9, 100%, $E$9)</f>
        <v>6.0637999999999996</v>
      </c>
      <c r="H281" s="11">
        <f>10.0507 * CHOOSE(CONTROL!$C$32, $C$9, 100%, $E$9)</f>
        <v>10.050700000000001</v>
      </c>
      <c r="I281" s="11">
        <f>10.0539 * CHOOSE(CONTROL!$C$32, $C$9, 100%, $E$9)</f>
        <v>10.053900000000001</v>
      </c>
      <c r="J281" s="11">
        <f>10.0507 * CHOOSE(CONTROL!$C$32, $C$9, 100%, $E$9)</f>
        <v>10.050700000000001</v>
      </c>
      <c r="K281" s="11">
        <f>10.0539 * CHOOSE(CONTROL!$C$32, $C$9, 100%, $E$9)</f>
        <v>10.053900000000001</v>
      </c>
      <c r="L281" s="11">
        <f>6.0605 * CHOOSE(CONTROL!$C$32, $C$9, 100%, $E$9)</f>
        <v>6.0605000000000002</v>
      </c>
      <c r="M281" s="11">
        <f>6.0638 * CHOOSE(CONTROL!$C$32, $C$9, 100%, $E$9)</f>
        <v>6.0637999999999996</v>
      </c>
      <c r="N281" s="11">
        <f>6.0605 * CHOOSE(CONTROL!$C$32, $C$9, 100%, $E$9)</f>
        <v>6.0605000000000002</v>
      </c>
      <c r="O281" s="11">
        <f>6.0638 * CHOOSE(CONTROL!$C$32, $C$9, 100%, $E$9)</f>
        <v>6.0637999999999996</v>
      </c>
    </row>
    <row r="282" spans="1:15" ht="15" x14ac:dyDescent="0.2">
      <c r="A282" s="13">
        <v>49430</v>
      </c>
      <c r="B282" s="9">
        <f>4.7052 * CHOOSE(CONTROL!$C$32, $C$9, 100%, $E$9)</f>
        <v>4.7051999999999996</v>
      </c>
      <c r="C282" s="9">
        <f>4.7052 * CHOOSE(CONTROL!$C$32, $C$9, 100%, $E$9)</f>
        <v>4.7051999999999996</v>
      </c>
      <c r="D282" s="9">
        <f>4.7065 * CHOOSE(CONTROL!$C$32, $C$9, 100%, $E$9)</f>
        <v>4.7065000000000001</v>
      </c>
      <c r="E282" s="11">
        <f>6.0605 * CHOOSE(CONTROL!$C$32, $C$9, 100%, $E$9)</f>
        <v>6.0605000000000002</v>
      </c>
      <c r="F282" s="11">
        <f>6.0605 * CHOOSE(CONTROL!$C$32, $C$9, 100%, $E$9)</f>
        <v>6.0605000000000002</v>
      </c>
      <c r="G282" s="11">
        <f>6.0647 * CHOOSE(CONTROL!$C$32, $C$9, 100%, $E$9)</f>
        <v>6.0647000000000002</v>
      </c>
      <c r="H282" s="11">
        <f>10.0716 * CHOOSE(CONTROL!$C$32, $C$9, 100%, $E$9)</f>
        <v>10.0716</v>
      </c>
      <c r="I282" s="11">
        <f>10.0758 * CHOOSE(CONTROL!$C$32, $C$9, 100%, $E$9)</f>
        <v>10.075799999999999</v>
      </c>
      <c r="J282" s="11">
        <f>10.0716 * CHOOSE(CONTROL!$C$32, $C$9, 100%, $E$9)</f>
        <v>10.0716</v>
      </c>
      <c r="K282" s="11">
        <f>10.0758 * CHOOSE(CONTROL!$C$32, $C$9, 100%, $E$9)</f>
        <v>10.075799999999999</v>
      </c>
      <c r="L282" s="11">
        <f>6.0605 * CHOOSE(CONTROL!$C$32, $C$9, 100%, $E$9)</f>
        <v>6.0605000000000002</v>
      </c>
      <c r="M282" s="11">
        <f>6.0647 * CHOOSE(CONTROL!$C$32, $C$9, 100%, $E$9)</f>
        <v>6.0647000000000002</v>
      </c>
      <c r="N282" s="11">
        <f>6.0605 * CHOOSE(CONTROL!$C$32, $C$9, 100%, $E$9)</f>
        <v>6.0605000000000002</v>
      </c>
      <c r="O282" s="11">
        <f>6.0647 * CHOOSE(CONTROL!$C$32, $C$9, 100%, $E$9)</f>
        <v>6.0647000000000002</v>
      </c>
    </row>
    <row r="283" spans="1:15" ht="15" x14ac:dyDescent="0.2">
      <c r="A283" s="13">
        <v>49461</v>
      </c>
      <c r="B283" s="9">
        <f>4.7113 * CHOOSE(CONTROL!$C$32, $C$9, 100%, $E$9)</f>
        <v>4.7112999999999996</v>
      </c>
      <c r="C283" s="9">
        <f>4.7113 * CHOOSE(CONTROL!$C$32, $C$9, 100%, $E$9)</f>
        <v>4.7112999999999996</v>
      </c>
      <c r="D283" s="9">
        <f>4.7126 * CHOOSE(CONTROL!$C$32, $C$9, 100%, $E$9)</f>
        <v>4.7126000000000001</v>
      </c>
      <c r="E283" s="11">
        <f>6.0645 * CHOOSE(CONTROL!$C$32, $C$9, 100%, $E$9)</f>
        <v>6.0644999999999998</v>
      </c>
      <c r="F283" s="11">
        <f>6.0645 * CHOOSE(CONTROL!$C$32, $C$9, 100%, $E$9)</f>
        <v>6.0644999999999998</v>
      </c>
      <c r="G283" s="11">
        <f>6.0687 * CHOOSE(CONTROL!$C$32, $C$9, 100%, $E$9)</f>
        <v>6.0686999999999998</v>
      </c>
      <c r="H283" s="11">
        <f>10.0926 * CHOOSE(CONTROL!$C$32, $C$9, 100%, $E$9)</f>
        <v>10.092599999999999</v>
      </c>
      <c r="I283" s="11">
        <f>10.0968 * CHOOSE(CONTROL!$C$32, $C$9, 100%, $E$9)</f>
        <v>10.0968</v>
      </c>
      <c r="J283" s="11">
        <f>10.0926 * CHOOSE(CONTROL!$C$32, $C$9, 100%, $E$9)</f>
        <v>10.092599999999999</v>
      </c>
      <c r="K283" s="11">
        <f>10.0968 * CHOOSE(CONTROL!$C$32, $C$9, 100%, $E$9)</f>
        <v>10.0968</v>
      </c>
      <c r="L283" s="11">
        <f>6.0645 * CHOOSE(CONTROL!$C$32, $C$9, 100%, $E$9)</f>
        <v>6.0644999999999998</v>
      </c>
      <c r="M283" s="11">
        <f>6.0687 * CHOOSE(CONTROL!$C$32, $C$9, 100%, $E$9)</f>
        <v>6.0686999999999998</v>
      </c>
      <c r="N283" s="11">
        <f>6.0645 * CHOOSE(CONTROL!$C$32, $C$9, 100%, $E$9)</f>
        <v>6.0644999999999998</v>
      </c>
      <c r="O283" s="11">
        <f>6.0687 * CHOOSE(CONTROL!$C$32, $C$9, 100%, $E$9)</f>
        <v>6.0686999999999998</v>
      </c>
    </row>
    <row r="284" spans="1:15" ht="15" x14ac:dyDescent="0.2">
      <c r="A284" s="13">
        <v>49491</v>
      </c>
      <c r="B284" s="9">
        <f>4.7784 * CHOOSE(CONTROL!$C$32, $C$9, 100%, $E$9)</f>
        <v>4.7784000000000004</v>
      </c>
      <c r="C284" s="9">
        <f>4.7784 * CHOOSE(CONTROL!$C$32, $C$9, 100%, $E$9)</f>
        <v>4.7784000000000004</v>
      </c>
      <c r="D284" s="9">
        <f>4.7796 * CHOOSE(CONTROL!$C$32, $C$9, 100%, $E$9)</f>
        <v>4.7796000000000003</v>
      </c>
      <c r="E284" s="11">
        <f>6.1692 * CHOOSE(CONTROL!$C$32, $C$9, 100%, $E$9)</f>
        <v>6.1692</v>
      </c>
      <c r="F284" s="11">
        <f>6.1692 * CHOOSE(CONTROL!$C$32, $C$9, 100%, $E$9)</f>
        <v>6.1692</v>
      </c>
      <c r="G284" s="11">
        <f>6.1734 * CHOOSE(CONTROL!$C$32, $C$9, 100%, $E$9)</f>
        <v>6.1734</v>
      </c>
      <c r="H284" s="11">
        <f>10.1136 * CHOOSE(CONTROL!$C$32, $C$9, 100%, $E$9)</f>
        <v>10.1136</v>
      </c>
      <c r="I284" s="11">
        <f>10.1178 * CHOOSE(CONTROL!$C$32, $C$9, 100%, $E$9)</f>
        <v>10.117800000000001</v>
      </c>
      <c r="J284" s="11">
        <f>10.1136 * CHOOSE(CONTROL!$C$32, $C$9, 100%, $E$9)</f>
        <v>10.1136</v>
      </c>
      <c r="K284" s="11">
        <f>10.1178 * CHOOSE(CONTROL!$C$32, $C$9, 100%, $E$9)</f>
        <v>10.117800000000001</v>
      </c>
      <c r="L284" s="11">
        <f>6.1692 * CHOOSE(CONTROL!$C$32, $C$9, 100%, $E$9)</f>
        <v>6.1692</v>
      </c>
      <c r="M284" s="11">
        <f>6.1734 * CHOOSE(CONTROL!$C$32, $C$9, 100%, $E$9)</f>
        <v>6.1734</v>
      </c>
      <c r="N284" s="11">
        <f>6.1692 * CHOOSE(CONTROL!$C$32, $C$9, 100%, $E$9)</f>
        <v>6.1692</v>
      </c>
      <c r="O284" s="11">
        <f>6.1734 * CHOOSE(CONTROL!$C$32, $C$9, 100%, $E$9)</f>
        <v>6.1734</v>
      </c>
    </row>
    <row r="285" spans="1:15" ht="15" x14ac:dyDescent="0.2">
      <c r="A285" s="13">
        <v>49522</v>
      </c>
      <c r="B285" s="9">
        <f>4.785 * CHOOSE(CONTROL!$C$32, $C$9, 100%, $E$9)</f>
        <v>4.7850000000000001</v>
      </c>
      <c r="C285" s="9">
        <f>4.785 * CHOOSE(CONTROL!$C$32, $C$9, 100%, $E$9)</f>
        <v>4.7850000000000001</v>
      </c>
      <c r="D285" s="9">
        <f>4.7863 * CHOOSE(CONTROL!$C$32, $C$9, 100%, $E$9)</f>
        <v>4.7862999999999998</v>
      </c>
      <c r="E285" s="11">
        <f>6.523 * CHOOSE(CONTROL!$C$32, $C$9, 100%, $E$9)</f>
        <v>6.5229999999999997</v>
      </c>
      <c r="F285" s="11">
        <f>6.523 * CHOOSE(CONTROL!$C$32, $C$9, 100%, $E$9)</f>
        <v>6.5229999999999997</v>
      </c>
      <c r="G285" s="11">
        <f>6.5272 * CHOOSE(CONTROL!$C$32, $C$9, 100%, $E$9)</f>
        <v>6.5271999999999997</v>
      </c>
      <c r="H285" s="11">
        <f>10.1347 * CHOOSE(CONTROL!$C$32, $C$9, 100%, $E$9)</f>
        <v>10.1347</v>
      </c>
      <c r="I285" s="11">
        <f>10.1389 * CHOOSE(CONTROL!$C$32, $C$9, 100%, $E$9)</f>
        <v>10.1389</v>
      </c>
      <c r="J285" s="11">
        <f>10.1347 * CHOOSE(CONTROL!$C$32, $C$9, 100%, $E$9)</f>
        <v>10.1347</v>
      </c>
      <c r="K285" s="11">
        <f>10.1389 * CHOOSE(CONTROL!$C$32, $C$9, 100%, $E$9)</f>
        <v>10.1389</v>
      </c>
      <c r="L285" s="11">
        <f>6.523 * CHOOSE(CONTROL!$C$32, $C$9, 100%, $E$9)</f>
        <v>6.5229999999999997</v>
      </c>
      <c r="M285" s="11">
        <f>6.5272 * CHOOSE(CONTROL!$C$32, $C$9, 100%, $E$9)</f>
        <v>6.5271999999999997</v>
      </c>
      <c r="N285" s="11">
        <f>6.523 * CHOOSE(CONTROL!$C$32, $C$9, 100%, $E$9)</f>
        <v>6.5229999999999997</v>
      </c>
      <c r="O285" s="11">
        <f>6.5272 * CHOOSE(CONTROL!$C$32, $C$9, 100%, $E$9)</f>
        <v>6.5271999999999997</v>
      </c>
    </row>
    <row r="286" spans="1:15" ht="15" x14ac:dyDescent="0.2">
      <c r="A286" s="13">
        <v>49553</v>
      </c>
      <c r="B286" s="9">
        <f>4.782 * CHOOSE(CONTROL!$C$32, $C$9, 100%, $E$9)</f>
        <v>4.782</v>
      </c>
      <c r="C286" s="9">
        <f>4.782 * CHOOSE(CONTROL!$C$32, $C$9, 100%, $E$9)</f>
        <v>4.782</v>
      </c>
      <c r="D286" s="9">
        <f>4.7833 * CHOOSE(CONTROL!$C$32, $C$9, 100%, $E$9)</f>
        <v>4.7832999999999997</v>
      </c>
      <c r="E286" s="11">
        <f>6.5105 * CHOOSE(CONTROL!$C$32, $C$9, 100%, $E$9)</f>
        <v>6.5105000000000004</v>
      </c>
      <c r="F286" s="11">
        <f>6.5105 * CHOOSE(CONTROL!$C$32, $C$9, 100%, $E$9)</f>
        <v>6.5105000000000004</v>
      </c>
      <c r="G286" s="11">
        <f>6.5147 * CHOOSE(CONTROL!$C$32, $C$9, 100%, $E$9)</f>
        <v>6.5147000000000004</v>
      </c>
      <c r="H286" s="11">
        <f>10.1558 * CHOOSE(CONTROL!$C$32, $C$9, 100%, $E$9)</f>
        <v>10.155799999999999</v>
      </c>
      <c r="I286" s="11">
        <f>10.16 * CHOOSE(CONTROL!$C$32, $C$9, 100%, $E$9)</f>
        <v>10.16</v>
      </c>
      <c r="J286" s="11">
        <f>10.1558 * CHOOSE(CONTROL!$C$32, $C$9, 100%, $E$9)</f>
        <v>10.155799999999999</v>
      </c>
      <c r="K286" s="11">
        <f>10.16 * CHOOSE(CONTROL!$C$32, $C$9, 100%, $E$9)</f>
        <v>10.16</v>
      </c>
      <c r="L286" s="11">
        <f>6.5105 * CHOOSE(CONTROL!$C$32, $C$9, 100%, $E$9)</f>
        <v>6.5105000000000004</v>
      </c>
      <c r="M286" s="11">
        <f>6.5147 * CHOOSE(CONTROL!$C$32, $C$9, 100%, $E$9)</f>
        <v>6.5147000000000004</v>
      </c>
      <c r="N286" s="11">
        <f>6.5105 * CHOOSE(CONTROL!$C$32, $C$9, 100%, $E$9)</f>
        <v>6.5105000000000004</v>
      </c>
      <c r="O286" s="11">
        <f>6.5147 * CHOOSE(CONTROL!$C$32, $C$9, 100%, $E$9)</f>
        <v>6.5147000000000004</v>
      </c>
    </row>
    <row r="287" spans="1:15" ht="15" x14ac:dyDescent="0.2">
      <c r="A287" s="13">
        <v>49583</v>
      </c>
      <c r="B287" s="9">
        <f>4.78 * CHOOSE(CONTROL!$C$32, $C$9, 100%, $E$9)</f>
        <v>4.78</v>
      </c>
      <c r="C287" s="9">
        <f>4.78 * CHOOSE(CONTROL!$C$32, $C$9, 100%, $E$9)</f>
        <v>4.78</v>
      </c>
      <c r="D287" s="9">
        <f>4.7809 * CHOOSE(CONTROL!$C$32, $C$9, 100%, $E$9)</f>
        <v>4.7808999999999999</v>
      </c>
      <c r="E287" s="11">
        <f>6.1678 * CHOOSE(CONTROL!$C$32, $C$9, 100%, $E$9)</f>
        <v>6.1677999999999997</v>
      </c>
      <c r="F287" s="11">
        <f>6.1678 * CHOOSE(CONTROL!$C$32, $C$9, 100%, $E$9)</f>
        <v>6.1677999999999997</v>
      </c>
      <c r="G287" s="11">
        <f>6.171 * CHOOSE(CONTROL!$C$32, $C$9, 100%, $E$9)</f>
        <v>6.1710000000000003</v>
      </c>
      <c r="H287" s="11">
        <f>10.177 * CHOOSE(CONTROL!$C$32, $C$9, 100%, $E$9)</f>
        <v>10.177</v>
      </c>
      <c r="I287" s="11">
        <f>10.1802 * CHOOSE(CONTROL!$C$32, $C$9, 100%, $E$9)</f>
        <v>10.180199999999999</v>
      </c>
      <c r="J287" s="11">
        <f>10.177 * CHOOSE(CONTROL!$C$32, $C$9, 100%, $E$9)</f>
        <v>10.177</v>
      </c>
      <c r="K287" s="11">
        <f>10.1802 * CHOOSE(CONTROL!$C$32, $C$9, 100%, $E$9)</f>
        <v>10.180199999999999</v>
      </c>
      <c r="L287" s="11">
        <f>6.1678 * CHOOSE(CONTROL!$C$32, $C$9, 100%, $E$9)</f>
        <v>6.1677999999999997</v>
      </c>
      <c r="M287" s="11">
        <f>6.171 * CHOOSE(CONTROL!$C$32, $C$9, 100%, $E$9)</f>
        <v>6.1710000000000003</v>
      </c>
      <c r="N287" s="11">
        <f>6.1678 * CHOOSE(CONTROL!$C$32, $C$9, 100%, $E$9)</f>
        <v>6.1677999999999997</v>
      </c>
      <c r="O287" s="11">
        <f>6.171 * CHOOSE(CONTROL!$C$32, $C$9, 100%, $E$9)</f>
        <v>6.1710000000000003</v>
      </c>
    </row>
    <row r="288" spans="1:15" ht="15" x14ac:dyDescent="0.2">
      <c r="A288" s="13">
        <v>49614</v>
      </c>
      <c r="B288" s="9">
        <f>4.783 * CHOOSE(CONTROL!$C$32, $C$9, 100%, $E$9)</f>
        <v>4.7830000000000004</v>
      </c>
      <c r="C288" s="9">
        <f>4.783 * CHOOSE(CONTROL!$C$32, $C$9, 100%, $E$9)</f>
        <v>4.7830000000000004</v>
      </c>
      <c r="D288" s="9">
        <f>4.784 * CHOOSE(CONTROL!$C$32, $C$9, 100%, $E$9)</f>
        <v>4.7839999999999998</v>
      </c>
      <c r="E288" s="11">
        <f>6.1698 * CHOOSE(CONTROL!$C$32, $C$9, 100%, $E$9)</f>
        <v>6.1698000000000004</v>
      </c>
      <c r="F288" s="11">
        <f>6.1698 * CHOOSE(CONTROL!$C$32, $C$9, 100%, $E$9)</f>
        <v>6.1698000000000004</v>
      </c>
      <c r="G288" s="11">
        <f>6.173 * CHOOSE(CONTROL!$C$32, $C$9, 100%, $E$9)</f>
        <v>6.173</v>
      </c>
      <c r="H288" s="11">
        <f>10.1982 * CHOOSE(CONTROL!$C$32, $C$9, 100%, $E$9)</f>
        <v>10.1982</v>
      </c>
      <c r="I288" s="11">
        <f>10.2014 * CHOOSE(CONTROL!$C$32, $C$9, 100%, $E$9)</f>
        <v>10.2014</v>
      </c>
      <c r="J288" s="11">
        <f>10.1982 * CHOOSE(CONTROL!$C$32, $C$9, 100%, $E$9)</f>
        <v>10.1982</v>
      </c>
      <c r="K288" s="11">
        <f>10.2014 * CHOOSE(CONTROL!$C$32, $C$9, 100%, $E$9)</f>
        <v>10.2014</v>
      </c>
      <c r="L288" s="11">
        <f>6.1698 * CHOOSE(CONTROL!$C$32, $C$9, 100%, $E$9)</f>
        <v>6.1698000000000004</v>
      </c>
      <c r="M288" s="11">
        <f>6.173 * CHOOSE(CONTROL!$C$32, $C$9, 100%, $E$9)</f>
        <v>6.173</v>
      </c>
      <c r="N288" s="11">
        <f>6.1698 * CHOOSE(CONTROL!$C$32, $C$9, 100%, $E$9)</f>
        <v>6.1698000000000004</v>
      </c>
      <c r="O288" s="11">
        <f>6.173 * CHOOSE(CONTROL!$C$32, $C$9, 100%, $E$9)</f>
        <v>6.173</v>
      </c>
    </row>
    <row r="289" spans="1:15" ht="15" x14ac:dyDescent="0.2">
      <c r="A289" s="13">
        <v>49644</v>
      </c>
      <c r="B289" s="9">
        <f>4.783 * CHOOSE(CONTROL!$C$32, $C$9, 100%, $E$9)</f>
        <v>4.7830000000000004</v>
      </c>
      <c r="C289" s="9">
        <f>4.783 * CHOOSE(CONTROL!$C$32, $C$9, 100%, $E$9)</f>
        <v>4.7830000000000004</v>
      </c>
      <c r="D289" s="9">
        <f>4.784 * CHOOSE(CONTROL!$C$32, $C$9, 100%, $E$9)</f>
        <v>4.7839999999999998</v>
      </c>
      <c r="E289" s="11">
        <f>6.5096 * CHOOSE(CONTROL!$C$32, $C$9, 100%, $E$9)</f>
        <v>6.5095999999999998</v>
      </c>
      <c r="F289" s="11">
        <f>6.5096 * CHOOSE(CONTROL!$C$32, $C$9, 100%, $E$9)</f>
        <v>6.5095999999999998</v>
      </c>
      <c r="G289" s="11">
        <f>6.5128 * CHOOSE(CONTROL!$C$32, $C$9, 100%, $E$9)</f>
        <v>6.5128000000000004</v>
      </c>
      <c r="H289" s="11">
        <f>10.2194 * CHOOSE(CONTROL!$C$32, $C$9, 100%, $E$9)</f>
        <v>10.2194</v>
      </c>
      <c r="I289" s="11">
        <f>10.2227 * CHOOSE(CONTROL!$C$32, $C$9, 100%, $E$9)</f>
        <v>10.2227</v>
      </c>
      <c r="J289" s="11">
        <f>10.2194 * CHOOSE(CONTROL!$C$32, $C$9, 100%, $E$9)</f>
        <v>10.2194</v>
      </c>
      <c r="K289" s="11">
        <f>10.2227 * CHOOSE(CONTROL!$C$32, $C$9, 100%, $E$9)</f>
        <v>10.2227</v>
      </c>
      <c r="L289" s="11">
        <f>6.5096 * CHOOSE(CONTROL!$C$32, $C$9, 100%, $E$9)</f>
        <v>6.5095999999999998</v>
      </c>
      <c r="M289" s="11">
        <f>6.5128 * CHOOSE(CONTROL!$C$32, $C$9, 100%, $E$9)</f>
        <v>6.5128000000000004</v>
      </c>
      <c r="N289" s="11">
        <f>6.5096 * CHOOSE(CONTROL!$C$32, $C$9, 100%, $E$9)</f>
        <v>6.5095999999999998</v>
      </c>
      <c r="O289" s="11">
        <f>6.5128 * CHOOSE(CONTROL!$C$32, $C$9, 100%, $E$9)</f>
        <v>6.5128000000000004</v>
      </c>
    </row>
    <row r="290" spans="1:15" ht="15" x14ac:dyDescent="0.2">
      <c r="A290" s="13">
        <v>49675</v>
      </c>
      <c r="B290" s="9">
        <f>4.8216 * CHOOSE(CONTROL!$C$32, $C$9, 100%, $E$9)</f>
        <v>4.8216000000000001</v>
      </c>
      <c r="C290" s="9">
        <f>4.8216 * CHOOSE(CONTROL!$C$32, $C$9, 100%, $E$9)</f>
        <v>4.8216000000000001</v>
      </c>
      <c r="D290" s="9">
        <f>4.8225 * CHOOSE(CONTROL!$C$32, $C$9, 100%, $E$9)</f>
        <v>4.8224999999999998</v>
      </c>
      <c r="E290" s="11">
        <f>6.5301 * CHOOSE(CONTROL!$C$32, $C$9, 100%, $E$9)</f>
        <v>6.5301</v>
      </c>
      <c r="F290" s="11">
        <f>6.5301 * CHOOSE(CONTROL!$C$32, $C$9, 100%, $E$9)</f>
        <v>6.5301</v>
      </c>
      <c r="G290" s="11">
        <f>6.5333 * CHOOSE(CONTROL!$C$32, $C$9, 100%, $E$9)</f>
        <v>6.5332999999999997</v>
      </c>
      <c r="H290" s="11">
        <f>10.2407 * CHOOSE(CONTROL!$C$32, $C$9, 100%, $E$9)</f>
        <v>10.2407</v>
      </c>
      <c r="I290" s="11">
        <f>10.2439 * CHOOSE(CONTROL!$C$32, $C$9, 100%, $E$9)</f>
        <v>10.2439</v>
      </c>
      <c r="J290" s="11">
        <f>10.2407 * CHOOSE(CONTROL!$C$32, $C$9, 100%, $E$9)</f>
        <v>10.2407</v>
      </c>
      <c r="K290" s="11">
        <f>10.2439 * CHOOSE(CONTROL!$C$32, $C$9, 100%, $E$9)</f>
        <v>10.2439</v>
      </c>
      <c r="L290" s="11">
        <f>6.5301 * CHOOSE(CONTROL!$C$32, $C$9, 100%, $E$9)</f>
        <v>6.5301</v>
      </c>
      <c r="M290" s="11">
        <f>6.5333 * CHOOSE(CONTROL!$C$32, $C$9, 100%, $E$9)</f>
        <v>6.5332999999999997</v>
      </c>
      <c r="N290" s="11">
        <f>6.5301 * CHOOSE(CONTROL!$C$32, $C$9, 100%, $E$9)</f>
        <v>6.5301</v>
      </c>
      <c r="O290" s="11">
        <f>6.5333 * CHOOSE(CONTROL!$C$32, $C$9, 100%, $E$9)</f>
        <v>6.5332999999999997</v>
      </c>
    </row>
    <row r="291" spans="1:15" ht="15" x14ac:dyDescent="0.2">
      <c r="A291" s="13">
        <v>49706</v>
      </c>
      <c r="B291" s="9">
        <f>4.8186 * CHOOSE(CONTROL!$C$32, $C$9, 100%, $E$9)</f>
        <v>4.8186</v>
      </c>
      <c r="C291" s="9">
        <f>4.8186 * CHOOSE(CONTROL!$C$32, $C$9, 100%, $E$9)</f>
        <v>4.8186</v>
      </c>
      <c r="D291" s="9">
        <f>4.8195 * CHOOSE(CONTROL!$C$32, $C$9, 100%, $E$9)</f>
        <v>4.8194999999999997</v>
      </c>
      <c r="E291" s="11">
        <f>6.4268 * CHOOSE(CONTROL!$C$32, $C$9, 100%, $E$9)</f>
        <v>6.4268000000000001</v>
      </c>
      <c r="F291" s="11">
        <f>6.4268 * CHOOSE(CONTROL!$C$32, $C$9, 100%, $E$9)</f>
        <v>6.4268000000000001</v>
      </c>
      <c r="G291" s="11">
        <f>6.43 * CHOOSE(CONTROL!$C$32, $C$9, 100%, $E$9)</f>
        <v>6.43</v>
      </c>
      <c r="H291" s="11">
        <f>10.2621 * CHOOSE(CONTROL!$C$32, $C$9, 100%, $E$9)</f>
        <v>10.2621</v>
      </c>
      <c r="I291" s="11">
        <f>10.2653 * CHOOSE(CONTROL!$C$32, $C$9, 100%, $E$9)</f>
        <v>10.2653</v>
      </c>
      <c r="J291" s="11">
        <f>10.2621 * CHOOSE(CONTROL!$C$32, $C$9, 100%, $E$9)</f>
        <v>10.2621</v>
      </c>
      <c r="K291" s="11">
        <f>10.2653 * CHOOSE(CONTROL!$C$32, $C$9, 100%, $E$9)</f>
        <v>10.2653</v>
      </c>
      <c r="L291" s="11">
        <f>6.4268 * CHOOSE(CONTROL!$C$32, $C$9, 100%, $E$9)</f>
        <v>6.4268000000000001</v>
      </c>
      <c r="M291" s="11">
        <f>6.43 * CHOOSE(CONTROL!$C$32, $C$9, 100%, $E$9)</f>
        <v>6.43</v>
      </c>
      <c r="N291" s="11">
        <f>6.4268 * CHOOSE(CONTROL!$C$32, $C$9, 100%, $E$9)</f>
        <v>6.4268000000000001</v>
      </c>
      <c r="O291" s="11">
        <f>6.43 * CHOOSE(CONTROL!$C$32, $C$9, 100%, $E$9)</f>
        <v>6.43</v>
      </c>
    </row>
    <row r="292" spans="1:15" ht="15" x14ac:dyDescent="0.2">
      <c r="A292" s="13">
        <v>49735</v>
      </c>
      <c r="B292" s="9">
        <f>4.8155 * CHOOSE(CONTROL!$C$32, $C$9, 100%, $E$9)</f>
        <v>4.8155000000000001</v>
      </c>
      <c r="C292" s="9">
        <f>4.8155 * CHOOSE(CONTROL!$C$32, $C$9, 100%, $E$9)</f>
        <v>4.8155000000000001</v>
      </c>
      <c r="D292" s="9">
        <f>4.8165 * CHOOSE(CONTROL!$C$32, $C$9, 100%, $E$9)</f>
        <v>4.8164999999999996</v>
      </c>
      <c r="E292" s="11">
        <f>6.5044 * CHOOSE(CONTROL!$C$32, $C$9, 100%, $E$9)</f>
        <v>6.5044000000000004</v>
      </c>
      <c r="F292" s="11">
        <f>6.5044 * CHOOSE(CONTROL!$C$32, $C$9, 100%, $E$9)</f>
        <v>6.5044000000000004</v>
      </c>
      <c r="G292" s="11">
        <f>6.5077 * CHOOSE(CONTROL!$C$32, $C$9, 100%, $E$9)</f>
        <v>6.5076999999999998</v>
      </c>
      <c r="H292" s="11">
        <f>10.2834 * CHOOSE(CONTROL!$C$32, $C$9, 100%, $E$9)</f>
        <v>10.2834</v>
      </c>
      <c r="I292" s="11">
        <f>10.2867 * CHOOSE(CONTROL!$C$32, $C$9, 100%, $E$9)</f>
        <v>10.2867</v>
      </c>
      <c r="J292" s="11">
        <f>10.2834 * CHOOSE(CONTROL!$C$32, $C$9, 100%, $E$9)</f>
        <v>10.2834</v>
      </c>
      <c r="K292" s="11">
        <f>10.2867 * CHOOSE(CONTROL!$C$32, $C$9, 100%, $E$9)</f>
        <v>10.2867</v>
      </c>
      <c r="L292" s="11">
        <f>6.5044 * CHOOSE(CONTROL!$C$32, $C$9, 100%, $E$9)</f>
        <v>6.5044000000000004</v>
      </c>
      <c r="M292" s="11">
        <f>6.5077 * CHOOSE(CONTROL!$C$32, $C$9, 100%, $E$9)</f>
        <v>6.5076999999999998</v>
      </c>
      <c r="N292" s="11">
        <f>6.5044 * CHOOSE(CONTROL!$C$32, $C$9, 100%, $E$9)</f>
        <v>6.5044000000000004</v>
      </c>
      <c r="O292" s="11">
        <f>6.5077 * CHOOSE(CONTROL!$C$32, $C$9, 100%, $E$9)</f>
        <v>6.5076999999999998</v>
      </c>
    </row>
    <row r="293" spans="1:15" ht="15" x14ac:dyDescent="0.2">
      <c r="A293" s="13">
        <v>49766</v>
      </c>
      <c r="B293" s="9">
        <f>4.814 * CHOOSE(CONTROL!$C$32, $C$9, 100%, $E$9)</f>
        <v>4.8140000000000001</v>
      </c>
      <c r="C293" s="9">
        <f>4.814 * CHOOSE(CONTROL!$C$32, $C$9, 100%, $E$9)</f>
        <v>4.8140000000000001</v>
      </c>
      <c r="D293" s="9">
        <f>4.8149 * CHOOSE(CONTROL!$C$32, $C$9, 100%, $E$9)</f>
        <v>4.8148999999999997</v>
      </c>
      <c r="E293" s="11">
        <f>6.5859 * CHOOSE(CONTROL!$C$32, $C$9, 100%, $E$9)</f>
        <v>6.5858999999999996</v>
      </c>
      <c r="F293" s="11">
        <f>6.5859 * CHOOSE(CONTROL!$C$32, $C$9, 100%, $E$9)</f>
        <v>6.5858999999999996</v>
      </c>
      <c r="G293" s="11">
        <f>6.5891 * CHOOSE(CONTROL!$C$32, $C$9, 100%, $E$9)</f>
        <v>6.5891000000000002</v>
      </c>
      <c r="H293" s="11">
        <f>10.3049 * CHOOSE(CONTROL!$C$32, $C$9, 100%, $E$9)</f>
        <v>10.3049</v>
      </c>
      <c r="I293" s="11">
        <f>10.3081 * CHOOSE(CONTROL!$C$32, $C$9, 100%, $E$9)</f>
        <v>10.3081</v>
      </c>
      <c r="J293" s="11">
        <f>10.3049 * CHOOSE(CONTROL!$C$32, $C$9, 100%, $E$9)</f>
        <v>10.3049</v>
      </c>
      <c r="K293" s="11">
        <f>10.3081 * CHOOSE(CONTROL!$C$32, $C$9, 100%, $E$9)</f>
        <v>10.3081</v>
      </c>
      <c r="L293" s="11">
        <f>6.5859 * CHOOSE(CONTROL!$C$32, $C$9, 100%, $E$9)</f>
        <v>6.5858999999999996</v>
      </c>
      <c r="M293" s="11">
        <f>6.5891 * CHOOSE(CONTROL!$C$32, $C$9, 100%, $E$9)</f>
        <v>6.5891000000000002</v>
      </c>
      <c r="N293" s="11">
        <f>6.5859 * CHOOSE(CONTROL!$C$32, $C$9, 100%, $E$9)</f>
        <v>6.5858999999999996</v>
      </c>
      <c r="O293" s="11">
        <f>6.5891 * CHOOSE(CONTROL!$C$32, $C$9, 100%, $E$9)</f>
        <v>6.5891000000000002</v>
      </c>
    </row>
    <row r="294" spans="1:15" ht="15" x14ac:dyDescent="0.2">
      <c r="A294" s="13">
        <v>49796</v>
      </c>
      <c r="B294" s="9">
        <f>4.814 * CHOOSE(CONTROL!$C$32, $C$9, 100%, $E$9)</f>
        <v>4.8140000000000001</v>
      </c>
      <c r="C294" s="9">
        <f>4.814 * CHOOSE(CONTROL!$C$32, $C$9, 100%, $E$9)</f>
        <v>4.8140000000000001</v>
      </c>
      <c r="D294" s="9">
        <f>4.8152 * CHOOSE(CONTROL!$C$32, $C$9, 100%, $E$9)</f>
        <v>4.8151999999999999</v>
      </c>
      <c r="E294" s="11">
        <f>6.2171 * CHOOSE(CONTROL!$C$32, $C$9, 100%, $E$9)</f>
        <v>6.2171000000000003</v>
      </c>
      <c r="F294" s="11">
        <f>6.2171 * CHOOSE(CONTROL!$C$32, $C$9, 100%, $E$9)</f>
        <v>6.2171000000000003</v>
      </c>
      <c r="G294" s="11">
        <f>6.2213 * CHOOSE(CONTROL!$C$32, $C$9, 100%, $E$9)</f>
        <v>6.2213000000000003</v>
      </c>
      <c r="H294" s="11">
        <f>10.3263 * CHOOSE(CONTROL!$C$32, $C$9, 100%, $E$9)</f>
        <v>10.3263</v>
      </c>
      <c r="I294" s="11">
        <f>10.3305 * CHOOSE(CONTROL!$C$32, $C$9, 100%, $E$9)</f>
        <v>10.330500000000001</v>
      </c>
      <c r="J294" s="11">
        <f>10.3263 * CHOOSE(CONTROL!$C$32, $C$9, 100%, $E$9)</f>
        <v>10.3263</v>
      </c>
      <c r="K294" s="11">
        <f>10.3305 * CHOOSE(CONTROL!$C$32, $C$9, 100%, $E$9)</f>
        <v>10.330500000000001</v>
      </c>
      <c r="L294" s="11">
        <f>6.2171 * CHOOSE(CONTROL!$C$32, $C$9, 100%, $E$9)</f>
        <v>6.2171000000000003</v>
      </c>
      <c r="M294" s="11">
        <f>6.2213 * CHOOSE(CONTROL!$C$32, $C$9, 100%, $E$9)</f>
        <v>6.2213000000000003</v>
      </c>
      <c r="N294" s="11">
        <f>6.2171 * CHOOSE(CONTROL!$C$32, $C$9, 100%, $E$9)</f>
        <v>6.2171000000000003</v>
      </c>
      <c r="O294" s="11">
        <f>6.2213 * CHOOSE(CONTROL!$C$32, $C$9, 100%, $E$9)</f>
        <v>6.2213000000000003</v>
      </c>
    </row>
    <row r="295" spans="1:15" ht="15" x14ac:dyDescent="0.2">
      <c r="A295" s="13">
        <v>49827</v>
      </c>
      <c r="B295" s="9">
        <f>4.82 * CHOOSE(CONTROL!$C$32, $C$9, 100%, $E$9)</f>
        <v>4.82</v>
      </c>
      <c r="C295" s="9">
        <f>4.82 * CHOOSE(CONTROL!$C$32, $C$9, 100%, $E$9)</f>
        <v>4.82</v>
      </c>
      <c r="D295" s="9">
        <f>4.8213 * CHOOSE(CONTROL!$C$32, $C$9, 100%, $E$9)</f>
        <v>4.8212999999999999</v>
      </c>
      <c r="E295" s="11">
        <f>6.5901 * CHOOSE(CONTROL!$C$32, $C$9, 100%, $E$9)</f>
        <v>6.5900999999999996</v>
      </c>
      <c r="F295" s="11">
        <f>6.5901 * CHOOSE(CONTROL!$C$32, $C$9, 100%, $E$9)</f>
        <v>6.5900999999999996</v>
      </c>
      <c r="G295" s="11">
        <f>6.5943 * CHOOSE(CONTROL!$C$32, $C$9, 100%, $E$9)</f>
        <v>6.5942999999999996</v>
      </c>
      <c r="H295" s="11">
        <f>10.3478 * CHOOSE(CONTROL!$C$32, $C$9, 100%, $E$9)</f>
        <v>10.347799999999999</v>
      </c>
      <c r="I295" s="11">
        <f>10.352 * CHOOSE(CONTROL!$C$32, $C$9, 100%, $E$9)</f>
        <v>10.352</v>
      </c>
      <c r="J295" s="11">
        <f>10.3478 * CHOOSE(CONTROL!$C$32, $C$9, 100%, $E$9)</f>
        <v>10.347799999999999</v>
      </c>
      <c r="K295" s="11">
        <f>10.352 * CHOOSE(CONTROL!$C$32, $C$9, 100%, $E$9)</f>
        <v>10.352</v>
      </c>
      <c r="L295" s="11">
        <f>6.5901 * CHOOSE(CONTROL!$C$32, $C$9, 100%, $E$9)</f>
        <v>6.5900999999999996</v>
      </c>
      <c r="M295" s="11">
        <f>6.5943 * CHOOSE(CONTROL!$C$32, $C$9, 100%, $E$9)</f>
        <v>6.5942999999999996</v>
      </c>
      <c r="N295" s="11">
        <f>6.5901 * CHOOSE(CONTROL!$C$32, $C$9, 100%, $E$9)</f>
        <v>6.5900999999999996</v>
      </c>
      <c r="O295" s="11">
        <f>6.5943 * CHOOSE(CONTROL!$C$32, $C$9, 100%, $E$9)</f>
        <v>6.5942999999999996</v>
      </c>
    </row>
    <row r="296" spans="1:15" ht="15" x14ac:dyDescent="0.2">
      <c r="A296" s="13">
        <v>49857</v>
      </c>
      <c r="B296" s="9">
        <f>4.8896 * CHOOSE(CONTROL!$C$32, $C$9, 100%, $E$9)</f>
        <v>4.8895999999999997</v>
      </c>
      <c r="C296" s="9">
        <f>4.8896 * CHOOSE(CONTROL!$C$32, $C$9, 100%, $E$9)</f>
        <v>4.8895999999999997</v>
      </c>
      <c r="D296" s="9">
        <f>4.8908 * CHOOSE(CONTROL!$C$32, $C$9, 100%, $E$9)</f>
        <v>4.8907999999999996</v>
      </c>
      <c r="E296" s="11">
        <f>6.5201 * CHOOSE(CONTROL!$C$32, $C$9, 100%, $E$9)</f>
        <v>6.5201000000000002</v>
      </c>
      <c r="F296" s="11">
        <f>6.5201 * CHOOSE(CONTROL!$C$32, $C$9, 100%, $E$9)</f>
        <v>6.5201000000000002</v>
      </c>
      <c r="G296" s="11">
        <f>6.5243 * CHOOSE(CONTROL!$C$32, $C$9, 100%, $E$9)</f>
        <v>6.5243000000000002</v>
      </c>
      <c r="H296" s="11">
        <f>10.3694 * CHOOSE(CONTROL!$C$32, $C$9, 100%, $E$9)</f>
        <v>10.369400000000001</v>
      </c>
      <c r="I296" s="11">
        <f>10.3736 * CHOOSE(CONTROL!$C$32, $C$9, 100%, $E$9)</f>
        <v>10.3736</v>
      </c>
      <c r="J296" s="11">
        <f>10.3694 * CHOOSE(CONTROL!$C$32, $C$9, 100%, $E$9)</f>
        <v>10.369400000000001</v>
      </c>
      <c r="K296" s="11">
        <f>10.3736 * CHOOSE(CONTROL!$C$32, $C$9, 100%, $E$9)</f>
        <v>10.3736</v>
      </c>
      <c r="L296" s="11">
        <f>6.5201 * CHOOSE(CONTROL!$C$32, $C$9, 100%, $E$9)</f>
        <v>6.5201000000000002</v>
      </c>
      <c r="M296" s="11">
        <f>6.5243 * CHOOSE(CONTROL!$C$32, $C$9, 100%, $E$9)</f>
        <v>6.5243000000000002</v>
      </c>
      <c r="N296" s="11">
        <f>6.5201 * CHOOSE(CONTROL!$C$32, $C$9, 100%, $E$9)</f>
        <v>6.5201000000000002</v>
      </c>
      <c r="O296" s="11">
        <f>6.5243 * CHOOSE(CONTROL!$C$32, $C$9, 100%, $E$9)</f>
        <v>6.5243000000000002</v>
      </c>
    </row>
    <row r="297" spans="1:15" ht="15" x14ac:dyDescent="0.2">
      <c r="A297" s="13">
        <v>49888</v>
      </c>
      <c r="B297" s="9">
        <f>4.8962 * CHOOSE(CONTROL!$C$32, $C$9, 100%, $E$9)</f>
        <v>4.8962000000000003</v>
      </c>
      <c r="C297" s="9">
        <f>4.8962 * CHOOSE(CONTROL!$C$32, $C$9, 100%, $E$9)</f>
        <v>4.8962000000000003</v>
      </c>
      <c r="D297" s="9">
        <f>4.8975 * CHOOSE(CONTROL!$C$32, $C$9, 100%, $E$9)</f>
        <v>4.8975</v>
      </c>
      <c r="E297" s="11">
        <f>6.4284 * CHOOSE(CONTROL!$C$32, $C$9, 100%, $E$9)</f>
        <v>6.4283999999999999</v>
      </c>
      <c r="F297" s="11">
        <f>6.4284 * CHOOSE(CONTROL!$C$32, $C$9, 100%, $E$9)</f>
        <v>6.4283999999999999</v>
      </c>
      <c r="G297" s="11">
        <f>6.4326 * CHOOSE(CONTROL!$C$32, $C$9, 100%, $E$9)</f>
        <v>6.4325999999999999</v>
      </c>
      <c r="H297" s="11">
        <f>10.391 * CHOOSE(CONTROL!$C$32, $C$9, 100%, $E$9)</f>
        <v>10.391</v>
      </c>
      <c r="I297" s="11">
        <f>10.3952 * CHOOSE(CONTROL!$C$32, $C$9, 100%, $E$9)</f>
        <v>10.395200000000001</v>
      </c>
      <c r="J297" s="11">
        <f>10.391 * CHOOSE(CONTROL!$C$32, $C$9, 100%, $E$9)</f>
        <v>10.391</v>
      </c>
      <c r="K297" s="11">
        <f>10.3952 * CHOOSE(CONTROL!$C$32, $C$9, 100%, $E$9)</f>
        <v>10.395200000000001</v>
      </c>
      <c r="L297" s="11">
        <f>6.4284 * CHOOSE(CONTROL!$C$32, $C$9, 100%, $E$9)</f>
        <v>6.4283999999999999</v>
      </c>
      <c r="M297" s="11">
        <f>6.4326 * CHOOSE(CONTROL!$C$32, $C$9, 100%, $E$9)</f>
        <v>6.4325999999999999</v>
      </c>
      <c r="N297" s="11">
        <f>6.4284 * CHOOSE(CONTROL!$C$32, $C$9, 100%, $E$9)</f>
        <v>6.4283999999999999</v>
      </c>
      <c r="O297" s="11">
        <f>6.4326 * CHOOSE(CONTROL!$C$32, $C$9, 100%, $E$9)</f>
        <v>6.4325999999999999</v>
      </c>
    </row>
    <row r="298" spans="1:15" ht="15" x14ac:dyDescent="0.2">
      <c r="A298" s="13">
        <v>49919</v>
      </c>
      <c r="B298" s="9">
        <f>4.8932 * CHOOSE(CONTROL!$C$32, $C$9, 100%, $E$9)</f>
        <v>4.8932000000000002</v>
      </c>
      <c r="C298" s="9">
        <f>4.8932 * CHOOSE(CONTROL!$C$32, $C$9, 100%, $E$9)</f>
        <v>4.8932000000000002</v>
      </c>
      <c r="D298" s="9">
        <f>4.8945 * CHOOSE(CONTROL!$C$32, $C$9, 100%, $E$9)</f>
        <v>4.8944999999999999</v>
      </c>
      <c r="E298" s="11">
        <f>6.4155 * CHOOSE(CONTROL!$C$32, $C$9, 100%, $E$9)</f>
        <v>6.4154999999999998</v>
      </c>
      <c r="F298" s="11">
        <f>6.4155 * CHOOSE(CONTROL!$C$32, $C$9, 100%, $E$9)</f>
        <v>6.4154999999999998</v>
      </c>
      <c r="G298" s="11">
        <f>6.4197 * CHOOSE(CONTROL!$C$32, $C$9, 100%, $E$9)</f>
        <v>6.4196999999999997</v>
      </c>
      <c r="H298" s="11">
        <f>10.4126 * CHOOSE(CONTROL!$C$32, $C$9, 100%, $E$9)</f>
        <v>10.412599999999999</v>
      </c>
      <c r="I298" s="11">
        <f>10.4168 * CHOOSE(CONTROL!$C$32, $C$9, 100%, $E$9)</f>
        <v>10.4168</v>
      </c>
      <c r="J298" s="11">
        <f>10.4126 * CHOOSE(CONTROL!$C$32, $C$9, 100%, $E$9)</f>
        <v>10.412599999999999</v>
      </c>
      <c r="K298" s="11">
        <f>10.4168 * CHOOSE(CONTROL!$C$32, $C$9, 100%, $E$9)</f>
        <v>10.4168</v>
      </c>
      <c r="L298" s="11">
        <f>6.4155 * CHOOSE(CONTROL!$C$32, $C$9, 100%, $E$9)</f>
        <v>6.4154999999999998</v>
      </c>
      <c r="M298" s="11">
        <f>6.4197 * CHOOSE(CONTROL!$C$32, $C$9, 100%, $E$9)</f>
        <v>6.4196999999999997</v>
      </c>
      <c r="N298" s="11">
        <f>6.4155 * CHOOSE(CONTROL!$C$32, $C$9, 100%, $E$9)</f>
        <v>6.4154999999999998</v>
      </c>
      <c r="O298" s="11">
        <f>6.4197 * CHOOSE(CONTROL!$C$32, $C$9, 100%, $E$9)</f>
        <v>6.4196999999999997</v>
      </c>
    </row>
    <row r="299" spans="1:15" ht="15" x14ac:dyDescent="0.2">
      <c r="A299" s="13">
        <v>49949</v>
      </c>
      <c r="B299" s="9">
        <f>4.8916 * CHOOSE(CONTROL!$C$32, $C$9, 100%, $E$9)</f>
        <v>4.8916000000000004</v>
      </c>
      <c r="C299" s="9">
        <f>4.8916 * CHOOSE(CONTROL!$C$32, $C$9, 100%, $E$9)</f>
        <v>4.8916000000000004</v>
      </c>
      <c r="D299" s="9">
        <f>4.8925 * CHOOSE(CONTROL!$C$32, $C$9, 100%, $E$9)</f>
        <v>4.8925000000000001</v>
      </c>
      <c r="E299" s="11">
        <f>6.4449 * CHOOSE(CONTROL!$C$32, $C$9, 100%, $E$9)</f>
        <v>6.4448999999999996</v>
      </c>
      <c r="F299" s="11">
        <f>6.4449 * CHOOSE(CONTROL!$C$32, $C$9, 100%, $E$9)</f>
        <v>6.4448999999999996</v>
      </c>
      <c r="G299" s="11">
        <f>6.4482 * CHOOSE(CONTROL!$C$32, $C$9, 100%, $E$9)</f>
        <v>6.4481999999999999</v>
      </c>
      <c r="H299" s="11">
        <f>10.4343 * CHOOSE(CONTROL!$C$32, $C$9, 100%, $E$9)</f>
        <v>10.4343</v>
      </c>
      <c r="I299" s="11">
        <f>10.4376 * CHOOSE(CONTROL!$C$32, $C$9, 100%, $E$9)</f>
        <v>10.4376</v>
      </c>
      <c r="J299" s="11">
        <f>10.4343 * CHOOSE(CONTROL!$C$32, $C$9, 100%, $E$9)</f>
        <v>10.4343</v>
      </c>
      <c r="K299" s="11">
        <f>10.4376 * CHOOSE(CONTROL!$C$32, $C$9, 100%, $E$9)</f>
        <v>10.4376</v>
      </c>
      <c r="L299" s="11">
        <f>6.4449 * CHOOSE(CONTROL!$C$32, $C$9, 100%, $E$9)</f>
        <v>6.4448999999999996</v>
      </c>
      <c r="M299" s="11">
        <f>6.4482 * CHOOSE(CONTROL!$C$32, $C$9, 100%, $E$9)</f>
        <v>6.4481999999999999</v>
      </c>
      <c r="N299" s="11">
        <f>6.4449 * CHOOSE(CONTROL!$C$32, $C$9, 100%, $E$9)</f>
        <v>6.4448999999999996</v>
      </c>
      <c r="O299" s="11">
        <f>6.4482 * CHOOSE(CONTROL!$C$32, $C$9, 100%, $E$9)</f>
        <v>6.4481999999999999</v>
      </c>
    </row>
    <row r="300" spans="1:15" ht="15" x14ac:dyDescent="0.2">
      <c r="A300" s="13">
        <v>49980</v>
      </c>
      <c r="B300" s="9">
        <f>4.8946 * CHOOSE(CONTROL!$C$32, $C$9, 100%, $E$9)</f>
        <v>4.8945999999999996</v>
      </c>
      <c r="C300" s="9">
        <f>4.8946 * CHOOSE(CONTROL!$C$32, $C$9, 100%, $E$9)</f>
        <v>4.8945999999999996</v>
      </c>
      <c r="D300" s="9">
        <f>4.8956 * CHOOSE(CONTROL!$C$32, $C$9, 100%, $E$9)</f>
        <v>4.8956</v>
      </c>
      <c r="E300" s="11">
        <f>6.4685 * CHOOSE(CONTROL!$C$32, $C$9, 100%, $E$9)</f>
        <v>6.4684999999999997</v>
      </c>
      <c r="F300" s="11">
        <f>6.4685 * CHOOSE(CONTROL!$C$32, $C$9, 100%, $E$9)</f>
        <v>6.4684999999999997</v>
      </c>
      <c r="G300" s="11">
        <f>6.4717 * CHOOSE(CONTROL!$C$32, $C$9, 100%, $E$9)</f>
        <v>6.4717000000000002</v>
      </c>
      <c r="H300" s="11">
        <f>10.4561 * CHOOSE(CONTROL!$C$32, $C$9, 100%, $E$9)</f>
        <v>10.456099999999999</v>
      </c>
      <c r="I300" s="11">
        <f>10.4593 * CHOOSE(CONTROL!$C$32, $C$9, 100%, $E$9)</f>
        <v>10.459300000000001</v>
      </c>
      <c r="J300" s="11">
        <f>10.4561 * CHOOSE(CONTROL!$C$32, $C$9, 100%, $E$9)</f>
        <v>10.456099999999999</v>
      </c>
      <c r="K300" s="11">
        <f>10.4593 * CHOOSE(CONTROL!$C$32, $C$9, 100%, $E$9)</f>
        <v>10.459300000000001</v>
      </c>
      <c r="L300" s="11">
        <f>6.4685 * CHOOSE(CONTROL!$C$32, $C$9, 100%, $E$9)</f>
        <v>6.4684999999999997</v>
      </c>
      <c r="M300" s="11">
        <f>6.4717 * CHOOSE(CONTROL!$C$32, $C$9, 100%, $E$9)</f>
        <v>6.4717000000000002</v>
      </c>
      <c r="N300" s="11">
        <f>6.4685 * CHOOSE(CONTROL!$C$32, $C$9, 100%, $E$9)</f>
        <v>6.4684999999999997</v>
      </c>
      <c r="O300" s="11">
        <f>6.4717 * CHOOSE(CONTROL!$C$32, $C$9, 100%, $E$9)</f>
        <v>6.4717000000000002</v>
      </c>
    </row>
    <row r="301" spans="1:15" ht="15" x14ac:dyDescent="0.2">
      <c r="A301" s="13">
        <v>50010</v>
      </c>
      <c r="B301" s="9">
        <f>4.8946 * CHOOSE(CONTROL!$C$32, $C$9, 100%, $E$9)</f>
        <v>4.8945999999999996</v>
      </c>
      <c r="C301" s="9">
        <f>4.8946 * CHOOSE(CONTROL!$C$32, $C$9, 100%, $E$9)</f>
        <v>4.8945999999999996</v>
      </c>
      <c r="D301" s="9">
        <f>4.8956 * CHOOSE(CONTROL!$C$32, $C$9, 100%, $E$9)</f>
        <v>4.8956</v>
      </c>
      <c r="E301" s="11">
        <f>6.4149 * CHOOSE(CONTROL!$C$32, $C$9, 100%, $E$9)</f>
        <v>6.4149000000000003</v>
      </c>
      <c r="F301" s="11">
        <f>6.4149 * CHOOSE(CONTROL!$C$32, $C$9, 100%, $E$9)</f>
        <v>6.4149000000000003</v>
      </c>
      <c r="G301" s="11">
        <f>6.4182 * CHOOSE(CONTROL!$C$32, $C$9, 100%, $E$9)</f>
        <v>6.4181999999999997</v>
      </c>
      <c r="H301" s="11">
        <f>10.4779 * CHOOSE(CONTROL!$C$32, $C$9, 100%, $E$9)</f>
        <v>10.4779</v>
      </c>
      <c r="I301" s="11">
        <f>10.4811 * CHOOSE(CONTROL!$C$32, $C$9, 100%, $E$9)</f>
        <v>10.4811</v>
      </c>
      <c r="J301" s="11">
        <f>10.4779 * CHOOSE(CONTROL!$C$32, $C$9, 100%, $E$9)</f>
        <v>10.4779</v>
      </c>
      <c r="K301" s="11">
        <f>10.4811 * CHOOSE(CONTROL!$C$32, $C$9, 100%, $E$9)</f>
        <v>10.4811</v>
      </c>
      <c r="L301" s="11">
        <f>6.4149 * CHOOSE(CONTROL!$C$32, $C$9, 100%, $E$9)</f>
        <v>6.4149000000000003</v>
      </c>
      <c r="M301" s="11">
        <f>6.4182 * CHOOSE(CONTROL!$C$32, $C$9, 100%, $E$9)</f>
        <v>6.4181999999999997</v>
      </c>
      <c r="N301" s="11">
        <f>6.4149 * CHOOSE(CONTROL!$C$32, $C$9, 100%, $E$9)</f>
        <v>6.4149000000000003</v>
      </c>
      <c r="O301" s="11">
        <f>6.4182 * CHOOSE(CONTROL!$C$32, $C$9, 100%, $E$9)</f>
        <v>6.4181999999999997</v>
      </c>
    </row>
    <row r="302" spans="1:15" ht="15" x14ac:dyDescent="0.2">
      <c r="A302" s="13">
        <v>50041</v>
      </c>
      <c r="B302" s="9">
        <f>4.9322 * CHOOSE(CONTROL!$C$32, $C$9, 100%, $E$9)</f>
        <v>4.9321999999999999</v>
      </c>
      <c r="C302" s="9">
        <f>4.9322 * CHOOSE(CONTROL!$C$32, $C$9, 100%, $E$9)</f>
        <v>4.9321999999999999</v>
      </c>
      <c r="D302" s="9">
        <f>4.9331 * CHOOSE(CONTROL!$C$32, $C$9, 100%, $E$9)</f>
        <v>4.9330999999999996</v>
      </c>
      <c r="E302" s="11">
        <f>6.4909 * CHOOSE(CONTROL!$C$32, $C$9, 100%, $E$9)</f>
        <v>6.4908999999999999</v>
      </c>
      <c r="F302" s="11">
        <f>6.4909 * CHOOSE(CONTROL!$C$32, $C$9, 100%, $E$9)</f>
        <v>6.4908999999999999</v>
      </c>
      <c r="G302" s="11">
        <f>6.4941 * CHOOSE(CONTROL!$C$32, $C$9, 100%, $E$9)</f>
        <v>6.4941000000000004</v>
      </c>
      <c r="H302" s="11">
        <f>10.4997 * CHOOSE(CONTROL!$C$32, $C$9, 100%, $E$9)</f>
        <v>10.499700000000001</v>
      </c>
      <c r="I302" s="11">
        <f>10.5029 * CHOOSE(CONTROL!$C$32, $C$9, 100%, $E$9)</f>
        <v>10.5029</v>
      </c>
      <c r="J302" s="11">
        <f>10.4997 * CHOOSE(CONTROL!$C$32, $C$9, 100%, $E$9)</f>
        <v>10.499700000000001</v>
      </c>
      <c r="K302" s="11">
        <f>10.5029 * CHOOSE(CONTROL!$C$32, $C$9, 100%, $E$9)</f>
        <v>10.5029</v>
      </c>
      <c r="L302" s="11">
        <f>6.4909 * CHOOSE(CONTROL!$C$32, $C$9, 100%, $E$9)</f>
        <v>6.4908999999999999</v>
      </c>
      <c r="M302" s="11">
        <f>6.4941 * CHOOSE(CONTROL!$C$32, $C$9, 100%, $E$9)</f>
        <v>6.4941000000000004</v>
      </c>
      <c r="N302" s="11">
        <f>6.4909 * CHOOSE(CONTROL!$C$32, $C$9, 100%, $E$9)</f>
        <v>6.4908999999999999</v>
      </c>
      <c r="O302" s="11">
        <f>6.4941 * CHOOSE(CONTROL!$C$32, $C$9, 100%, $E$9)</f>
        <v>6.4941000000000004</v>
      </c>
    </row>
    <row r="303" spans="1:15" ht="15" x14ac:dyDescent="0.2">
      <c r="A303" s="13">
        <v>50072</v>
      </c>
      <c r="B303" s="9">
        <f>4.9291 * CHOOSE(CONTROL!$C$32, $C$9, 100%, $E$9)</f>
        <v>4.9291</v>
      </c>
      <c r="C303" s="9">
        <f>4.9291 * CHOOSE(CONTROL!$C$32, $C$9, 100%, $E$9)</f>
        <v>4.9291</v>
      </c>
      <c r="D303" s="9">
        <f>4.9301 * CHOOSE(CONTROL!$C$32, $C$9, 100%, $E$9)</f>
        <v>4.9301000000000004</v>
      </c>
      <c r="E303" s="11">
        <f>6.3843 * CHOOSE(CONTROL!$C$32, $C$9, 100%, $E$9)</f>
        <v>6.3842999999999996</v>
      </c>
      <c r="F303" s="11">
        <f>6.3843 * CHOOSE(CONTROL!$C$32, $C$9, 100%, $E$9)</f>
        <v>6.3842999999999996</v>
      </c>
      <c r="G303" s="11">
        <f>6.3875 * CHOOSE(CONTROL!$C$32, $C$9, 100%, $E$9)</f>
        <v>6.3875000000000002</v>
      </c>
      <c r="H303" s="11">
        <f>10.5216 * CHOOSE(CONTROL!$C$32, $C$9, 100%, $E$9)</f>
        <v>10.521599999999999</v>
      </c>
      <c r="I303" s="11">
        <f>10.5248 * CHOOSE(CONTROL!$C$32, $C$9, 100%, $E$9)</f>
        <v>10.524800000000001</v>
      </c>
      <c r="J303" s="11">
        <f>10.5216 * CHOOSE(CONTROL!$C$32, $C$9, 100%, $E$9)</f>
        <v>10.521599999999999</v>
      </c>
      <c r="K303" s="11">
        <f>10.5248 * CHOOSE(CONTROL!$C$32, $C$9, 100%, $E$9)</f>
        <v>10.524800000000001</v>
      </c>
      <c r="L303" s="11">
        <f>6.3843 * CHOOSE(CONTROL!$C$32, $C$9, 100%, $E$9)</f>
        <v>6.3842999999999996</v>
      </c>
      <c r="M303" s="11">
        <f>6.3875 * CHOOSE(CONTROL!$C$32, $C$9, 100%, $E$9)</f>
        <v>6.3875000000000002</v>
      </c>
      <c r="N303" s="11">
        <f>6.3843 * CHOOSE(CONTROL!$C$32, $C$9, 100%, $E$9)</f>
        <v>6.3842999999999996</v>
      </c>
      <c r="O303" s="11">
        <f>6.3875 * CHOOSE(CONTROL!$C$32, $C$9, 100%, $E$9)</f>
        <v>6.3875000000000002</v>
      </c>
    </row>
    <row r="304" spans="1:15" ht="15" x14ac:dyDescent="0.2">
      <c r="A304" s="13">
        <v>50100</v>
      </c>
      <c r="B304" s="9">
        <f>4.9261 * CHOOSE(CONTROL!$C$32, $C$9, 100%, $E$9)</f>
        <v>4.9260999999999999</v>
      </c>
      <c r="C304" s="9">
        <f>4.9261 * CHOOSE(CONTROL!$C$32, $C$9, 100%, $E$9)</f>
        <v>4.9260999999999999</v>
      </c>
      <c r="D304" s="9">
        <f>4.9271 * CHOOSE(CONTROL!$C$32, $C$9, 100%, $E$9)</f>
        <v>4.9271000000000003</v>
      </c>
      <c r="E304" s="11">
        <f>6.4645 * CHOOSE(CONTROL!$C$32, $C$9, 100%, $E$9)</f>
        <v>6.4645000000000001</v>
      </c>
      <c r="F304" s="11">
        <f>6.4645 * CHOOSE(CONTROL!$C$32, $C$9, 100%, $E$9)</f>
        <v>6.4645000000000001</v>
      </c>
      <c r="G304" s="11">
        <f>6.4677 * CHOOSE(CONTROL!$C$32, $C$9, 100%, $E$9)</f>
        <v>6.4676999999999998</v>
      </c>
      <c r="H304" s="11">
        <f>10.5435 * CHOOSE(CONTROL!$C$32, $C$9, 100%, $E$9)</f>
        <v>10.5435</v>
      </c>
      <c r="I304" s="11">
        <f>10.5467 * CHOOSE(CONTROL!$C$32, $C$9, 100%, $E$9)</f>
        <v>10.5467</v>
      </c>
      <c r="J304" s="11">
        <f>10.5435 * CHOOSE(CONTROL!$C$32, $C$9, 100%, $E$9)</f>
        <v>10.5435</v>
      </c>
      <c r="K304" s="11">
        <f>10.5467 * CHOOSE(CONTROL!$C$32, $C$9, 100%, $E$9)</f>
        <v>10.5467</v>
      </c>
      <c r="L304" s="11">
        <f>6.4645 * CHOOSE(CONTROL!$C$32, $C$9, 100%, $E$9)</f>
        <v>6.4645000000000001</v>
      </c>
      <c r="M304" s="11">
        <f>6.4677 * CHOOSE(CONTROL!$C$32, $C$9, 100%, $E$9)</f>
        <v>6.4676999999999998</v>
      </c>
      <c r="N304" s="11">
        <f>6.4645 * CHOOSE(CONTROL!$C$32, $C$9, 100%, $E$9)</f>
        <v>6.4645000000000001</v>
      </c>
      <c r="O304" s="11">
        <f>6.4677 * CHOOSE(CONTROL!$C$32, $C$9, 100%, $E$9)</f>
        <v>6.4676999999999998</v>
      </c>
    </row>
    <row r="305" spans="1:15" ht="15" x14ac:dyDescent="0.2">
      <c r="A305" s="13">
        <v>50131</v>
      </c>
      <c r="B305" s="9">
        <f>4.9246 * CHOOSE(CONTROL!$C$32, $C$9, 100%, $E$9)</f>
        <v>4.9245999999999999</v>
      </c>
      <c r="C305" s="9">
        <f>4.9246 * CHOOSE(CONTROL!$C$32, $C$9, 100%, $E$9)</f>
        <v>4.9245999999999999</v>
      </c>
      <c r="D305" s="9">
        <f>4.9256 * CHOOSE(CONTROL!$C$32, $C$9, 100%, $E$9)</f>
        <v>4.9256000000000002</v>
      </c>
      <c r="E305" s="11">
        <f>6.5488 * CHOOSE(CONTROL!$C$32, $C$9, 100%, $E$9)</f>
        <v>6.5488</v>
      </c>
      <c r="F305" s="11">
        <f>6.5488 * CHOOSE(CONTROL!$C$32, $C$9, 100%, $E$9)</f>
        <v>6.5488</v>
      </c>
      <c r="G305" s="11">
        <f>6.552 * CHOOSE(CONTROL!$C$32, $C$9, 100%, $E$9)</f>
        <v>6.5519999999999996</v>
      </c>
      <c r="H305" s="11">
        <f>10.5655 * CHOOSE(CONTROL!$C$32, $C$9, 100%, $E$9)</f>
        <v>10.5655</v>
      </c>
      <c r="I305" s="11">
        <f>10.5687 * CHOOSE(CONTROL!$C$32, $C$9, 100%, $E$9)</f>
        <v>10.5687</v>
      </c>
      <c r="J305" s="11">
        <f>10.5655 * CHOOSE(CONTROL!$C$32, $C$9, 100%, $E$9)</f>
        <v>10.5655</v>
      </c>
      <c r="K305" s="11">
        <f>10.5687 * CHOOSE(CONTROL!$C$32, $C$9, 100%, $E$9)</f>
        <v>10.5687</v>
      </c>
      <c r="L305" s="11">
        <f>6.5488 * CHOOSE(CONTROL!$C$32, $C$9, 100%, $E$9)</f>
        <v>6.5488</v>
      </c>
      <c r="M305" s="11">
        <f>6.552 * CHOOSE(CONTROL!$C$32, $C$9, 100%, $E$9)</f>
        <v>6.5519999999999996</v>
      </c>
      <c r="N305" s="11">
        <f>6.5488 * CHOOSE(CONTROL!$C$32, $C$9, 100%, $E$9)</f>
        <v>6.5488</v>
      </c>
      <c r="O305" s="11">
        <f>6.552 * CHOOSE(CONTROL!$C$32, $C$9, 100%, $E$9)</f>
        <v>6.5519999999999996</v>
      </c>
    </row>
    <row r="306" spans="1:15" ht="15" x14ac:dyDescent="0.2">
      <c r="A306" s="13">
        <v>50161</v>
      </c>
      <c r="B306" s="9">
        <f>4.9246 * CHOOSE(CONTROL!$C$32, $C$9, 100%, $E$9)</f>
        <v>4.9245999999999999</v>
      </c>
      <c r="C306" s="9">
        <f>4.9246 * CHOOSE(CONTROL!$C$32, $C$9, 100%, $E$9)</f>
        <v>4.9245999999999999</v>
      </c>
      <c r="D306" s="9">
        <f>4.9259 * CHOOSE(CONTROL!$C$32, $C$9, 100%, $E$9)</f>
        <v>4.9259000000000004</v>
      </c>
      <c r="E306" s="11">
        <f>6.5819 * CHOOSE(CONTROL!$C$32, $C$9, 100%, $E$9)</f>
        <v>6.5819000000000001</v>
      </c>
      <c r="F306" s="11">
        <f>6.5819 * CHOOSE(CONTROL!$C$32, $C$9, 100%, $E$9)</f>
        <v>6.5819000000000001</v>
      </c>
      <c r="G306" s="11">
        <f>6.5861 * CHOOSE(CONTROL!$C$32, $C$9, 100%, $E$9)</f>
        <v>6.5861000000000001</v>
      </c>
      <c r="H306" s="11">
        <f>10.5875 * CHOOSE(CONTROL!$C$32, $C$9, 100%, $E$9)</f>
        <v>10.5875</v>
      </c>
      <c r="I306" s="11">
        <f>10.5917 * CHOOSE(CONTROL!$C$32, $C$9, 100%, $E$9)</f>
        <v>10.591699999999999</v>
      </c>
      <c r="J306" s="11">
        <f>10.5875 * CHOOSE(CONTROL!$C$32, $C$9, 100%, $E$9)</f>
        <v>10.5875</v>
      </c>
      <c r="K306" s="11">
        <f>10.5917 * CHOOSE(CONTROL!$C$32, $C$9, 100%, $E$9)</f>
        <v>10.591699999999999</v>
      </c>
      <c r="L306" s="11">
        <f>6.5819 * CHOOSE(CONTROL!$C$32, $C$9, 100%, $E$9)</f>
        <v>6.5819000000000001</v>
      </c>
      <c r="M306" s="11">
        <f>6.5861 * CHOOSE(CONTROL!$C$32, $C$9, 100%, $E$9)</f>
        <v>6.5861000000000001</v>
      </c>
      <c r="N306" s="11">
        <f>6.5819 * CHOOSE(CONTROL!$C$32, $C$9, 100%, $E$9)</f>
        <v>6.5819000000000001</v>
      </c>
      <c r="O306" s="11">
        <f>6.5861 * CHOOSE(CONTROL!$C$32, $C$9, 100%, $E$9)</f>
        <v>6.5861000000000001</v>
      </c>
    </row>
    <row r="307" spans="1:15" ht="15" x14ac:dyDescent="0.2">
      <c r="A307" s="13">
        <v>50192</v>
      </c>
      <c r="B307" s="9">
        <f>4.9307 * CHOOSE(CONTROL!$C$32, $C$9, 100%, $E$9)</f>
        <v>4.9306999999999999</v>
      </c>
      <c r="C307" s="9">
        <f>4.9307 * CHOOSE(CONTROL!$C$32, $C$9, 100%, $E$9)</f>
        <v>4.9306999999999999</v>
      </c>
      <c r="D307" s="9">
        <f>4.932 * CHOOSE(CONTROL!$C$32, $C$9, 100%, $E$9)</f>
        <v>4.9320000000000004</v>
      </c>
      <c r="E307" s="11">
        <f>6.553 * CHOOSE(CONTROL!$C$32, $C$9, 100%, $E$9)</f>
        <v>6.5529999999999999</v>
      </c>
      <c r="F307" s="11">
        <f>6.553 * CHOOSE(CONTROL!$C$32, $C$9, 100%, $E$9)</f>
        <v>6.5529999999999999</v>
      </c>
      <c r="G307" s="11">
        <f>6.5572 * CHOOSE(CONTROL!$C$32, $C$9, 100%, $E$9)</f>
        <v>6.5571999999999999</v>
      </c>
      <c r="H307" s="11">
        <f>10.6095 * CHOOSE(CONTROL!$C$32, $C$9, 100%, $E$9)</f>
        <v>10.609500000000001</v>
      </c>
      <c r="I307" s="11">
        <f>10.6137 * CHOOSE(CONTROL!$C$32, $C$9, 100%, $E$9)</f>
        <v>10.6137</v>
      </c>
      <c r="J307" s="11">
        <f>10.6095 * CHOOSE(CONTROL!$C$32, $C$9, 100%, $E$9)</f>
        <v>10.609500000000001</v>
      </c>
      <c r="K307" s="11">
        <f>10.6137 * CHOOSE(CONTROL!$C$32, $C$9, 100%, $E$9)</f>
        <v>10.6137</v>
      </c>
      <c r="L307" s="11">
        <f>6.553 * CHOOSE(CONTROL!$C$32, $C$9, 100%, $E$9)</f>
        <v>6.5529999999999999</v>
      </c>
      <c r="M307" s="11">
        <f>6.5572 * CHOOSE(CONTROL!$C$32, $C$9, 100%, $E$9)</f>
        <v>6.5571999999999999</v>
      </c>
      <c r="N307" s="11">
        <f>6.553 * CHOOSE(CONTROL!$C$32, $C$9, 100%, $E$9)</f>
        <v>6.5529999999999999</v>
      </c>
      <c r="O307" s="11">
        <f>6.5572 * CHOOSE(CONTROL!$C$32, $C$9, 100%, $E$9)</f>
        <v>6.5571999999999999</v>
      </c>
    </row>
    <row r="308" spans="1:15" ht="15" x14ac:dyDescent="0.2">
      <c r="A308" s="13">
        <v>50222</v>
      </c>
      <c r="B308" s="9">
        <f>4.9977 * CHOOSE(CONTROL!$C$32, $C$9, 100%, $E$9)</f>
        <v>4.9977</v>
      </c>
      <c r="C308" s="9">
        <f>4.9977 * CHOOSE(CONTROL!$C$32, $C$9, 100%, $E$9)</f>
        <v>4.9977</v>
      </c>
      <c r="D308" s="9">
        <f>4.999 * CHOOSE(CONTROL!$C$32, $C$9, 100%, $E$9)</f>
        <v>4.9989999999999997</v>
      </c>
      <c r="E308" s="11">
        <f>6.6146 * CHOOSE(CONTROL!$C$32, $C$9, 100%, $E$9)</f>
        <v>6.6146000000000003</v>
      </c>
      <c r="F308" s="11">
        <f>6.6146 * CHOOSE(CONTROL!$C$32, $C$9, 100%, $E$9)</f>
        <v>6.6146000000000003</v>
      </c>
      <c r="G308" s="11">
        <f>6.6188 * CHOOSE(CONTROL!$C$32, $C$9, 100%, $E$9)</f>
        <v>6.6188000000000002</v>
      </c>
      <c r="H308" s="11">
        <f>10.6316 * CHOOSE(CONTROL!$C$32, $C$9, 100%, $E$9)</f>
        <v>10.631600000000001</v>
      </c>
      <c r="I308" s="11">
        <f>10.6358 * CHOOSE(CONTROL!$C$32, $C$9, 100%, $E$9)</f>
        <v>10.6358</v>
      </c>
      <c r="J308" s="11">
        <f>10.6316 * CHOOSE(CONTROL!$C$32, $C$9, 100%, $E$9)</f>
        <v>10.631600000000001</v>
      </c>
      <c r="K308" s="11">
        <f>10.6358 * CHOOSE(CONTROL!$C$32, $C$9, 100%, $E$9)</f>
        <v>10.6358</v>
      </c>
      <c r="L308" s="11">
        <f>6.6146 * CHOOSE(CONTROL!$C$32, $C$9, 100%, $E$9)</f>
        <v>6.6146000000000003</v>
      </c>
      <c r="M308" s="11">
        <f>6.6188 * CHOOSE(CONTROL!$C$32, $C$9, 100%, $E$9)</f>
        <v>6.6188000000000002</v>
      </c>
      <c r="N308" s="11">
        <f>6.6146 * CHOOSE(CONTROL!$C$32, $C$9, 100%, $E$9)</f>
        <v>6.6146000000000003</v>
      </c>
      <c r="O308" s="11">
        <f>6.6188 * CHOOSE(CONTROL!$C$32, $C$9, 100%, $E$9)</f>
        <v>6.6188000000000002</v>
      </c>
    </row>
    <row r="309" spans="1:15" ht="15" x14ac:dyDescent="0.2">
      <c r="A309" s="13">
        <v>50253</v>
      </c>
      <c r="B309" s="9">
        <f>5.0044 * CHOOSE(CONTROL!$C$32, $C$9, 100%, $E$9)</f>
        <v>5.0044000000000004</v>
      </c>
      <c r="C309" s="9">
        <f>5.0044 * CHOOSE(CONTROL!$C$32, $C$9, 100%, $E$9)</f>
        <v>5.0044000000000004</v>
      </c>
      <c r="D309" s="9">
        <f>5.0057 * CHOOSE(CONTROL!$C$32, $C$9, 100%, $E$9)</f>
        <v>5.0057</v>
      </c>
      <c r="E309" s="11">
        <f>6.5198 * CHOOSE(CONTROL!$C$32, $C$9, 100%, $E$9)</f>
        <v>6.5198</v>
      </c>
      <c r="F309" s="11">
        <f>6.5198 * CHOOSE(CONTROL!$C$32, $C$9, 100%, $E$9)</f>
        <v>6.5198</v>
      </c>
      <c r="G309" s="11">
        <f>6.524 * CHOOSE(CONTROL!$C$32, $C$9, 100%, $E$9)</f>
        <v>6.524</v>
      </c>
      <c r="H309" s="11">
        <f>10.6538 * CHOOSE(CONTROL!$C$32, $C$9, 100%, $E$9)</f>
        <v>10.6538</v>
      </c>
      <c r="I309" s="11">
        <f>10.658 * CHOOSE(CONTROL!$C$32, $C$9, 100%, $E$9)</f>
        <v>10.657999999999999</v>
      </c>
      <c r="J309" s="11">
        <f>10.6538 * CHOOSE(CONTROL!$C$32, $C$9, 100%, $E$9)</f>
        <v>10.6538</v>
      </c>
      <c r="K309" s="11">
        <f>10.658 * CHOOSE(CONTROL!$C$32, $C$9, 100%, $E$9)</f>
        <v>10.657999999999999</v>
      </c>
      <c r="L309" s="11">
        <f>6.5198 * CHOOSE(CONTROL!$C$32, $C$9, 100%, $E$9)</f>
        <v>6.5198</v>
      </c>
      <c r="M309" s="11">
        <f>6.524 * CHOOSE(CONTROL!$C$32, $C$9, 100%, $E$9)</f>
        <v>6.524</v>
      </c>
      <c r="N309" s="11">
        <f>6.5198 * CHOOSE(CONTROL!$C$32, $C$9, 100%, $E$9)</f>
        <v>6.5198</v>
      </c>
      <c r="O309" s="11">
        <f>6.524 * CHOOSE(CONTROL!$C$32, $C$9, 100%, $E$9)</f>
        <v>6.524</v>
      </c>
    </row>
    <row r="310" spans="1:15" ht="15" x14ac:dyDescent="0.2">
      <c r="A310" s="13">
        <v>50284</v>
      </c>
      <c r="B310" s="9">
        <f>5.0014 * CHOOSE(CONTROL!$C$32, $C$9, 100%, $E$9)</f>
        <v>5.0014000000000003</v>
      </c>
      <c r="C310" s="9">
        <f>5.0014 * CHOOSE(CONTROL!$C$32, $C$9, 100%, $E$9)</f>
        <v>5.0014000000000003</v>
      </c>
      <c r="D310" s="9">
        <f>5.0026 * CHOOSE(CONTROL!$C$32, $C$9, 100%, $E$9)</f>
        <v>5.0026000000000002</v>
      </c>
      <c r="E310" s="11">
        <f>6.5066 * CHOOSE(CONTROL!$C$32, $C$9, 100%, $E$9)</f>
        <v>6.5065999999999997</v>
      </c>
      <c r="F310" s="11">
        <f>6.5066 * CHOOSE(CONTROL!$C$32, $C$9, 100%, $E$9)</f>
        <v>6.5065999999999997</v>
      </c>
      <c r="G310" s="11">
        <f>6.5108 * CHOOSE(CONTROL!$C$32, $C$9, 100%, $E$9)</f>
        <v>6.5107999999999997</v>
      </c>
      <c r="H310" s="11">
        <f>10.676 * CHOOSE(CONTROL!$C$32, $C$9, 100%, $E$9)</f>
        <v>10.676</v>
      </c>
      <c r="I310" s="11">
        <f>10.6802 * CHOOSE(CONTROL!$C$32, $C$9, 100%, $E$9)</f>
        <v>10.680199999999999</v>
      </c>
      <c r="J310" s="11">
        <f>10.676 * CHOOSE(CONTROL!$C$32, $C$9, 100%, $E$9)</f>
        <v>10.676</v>
      </c>
      <c r="K310" s="11">
        <f>10.6802 * CHOOSE(CONTROL!$C$32, $C$9, 100%, $E$9)</f>
        <v>10.680199999999999</v>
      </c>
      <c r="L310" s="11">
        <f>6.5066 * CHOOSE(CONTROL!$C$32, $C$9, 100%, $E$9)</f>
        <v>6.5065999999999997</v>
      </c>
      <c r="M310" s="11">
        <f>6.5108 * CHOOSE(CONTROL!$C$32, $C$9, 100%, $E$9)</f>
        <v>6.5107999999999997</v>
      </c>
      <c r="N310" s="11">
        <f>6.5066 * CHOOSE(CONTROL!$C$32, $C$9, 100%, $E$9)</f>
        <v>6.5065999999999997</v>
      </c>
      <c r="O310" s="11">
        <f>6.5108 * CHOOSE(CONTROL!$C$32, $C$9, 100%, $E$9)</f>
        <v>6.5107999999999997</v>
      </c>
    </row>
    <row r="311" spans="1:15" ht="15" x14ac:dyDescent="0.2">
      <c r="A311" s="13">
        <v>50314</v>
      </c>
      <c r="B311" s="9">
        <f>5.0002 * CHOOSE(CONTROL!$C$32, $C$9, 100%, $E$9)</f>
        <v>5.0002000000000004</v>
      </c>
      <c r="C311" s="9">
        <f>5.0002 * CHOOSE(CONTROL!$C$32, $C$9, 100%, $E$9)</f>
        <v>5.0002000000000004</v>
      </c>
      <c r="D311" s="9">
        <f>5.0011 * CHOOSE(CONTROL!$C$32, $C$9, 100%, $E$9)</f>
        <v>5.0011000000000001</v>
      </c>
      <c r="E311" s="11">
        <f>6.5374 * CHOOSE(CONTROL!$C$32, $C$9, 100%, $E$9)</f>
        <v>6.5373999999999999</v>
      </c>
      <c r="F311" s="11">
        <f>6.5374 * CHOOSE(CONTROL!$C$32, $C$9, 100%, $E$9)</f>
        <v>6.5373999999999999</v>
      </c>
      <c r="G311" s="11">
        <f>6.5406 * CHOOSE(CONTROL!$C$32, $C$9, 100%, $E$9)</f>
        <v>6.5406000000000004</v>
      </c>
      <c r="H311" s="11">
        <f>10.6982 * CHOOSE(CONTROL!$C$32, $C$9, 100%, $E$9)</f>
        <v>10.6982</v>
      </c>
      <c r="I311" s="11">
        <f>10.7014 * CHOOSE(CONTROL!$C$32, $C$9, 100%, $E$9)</f>
        <v>10.7014</v>
      </c>
      <c r="J311" s="11">
        <f>10.6982 * CHOOSE(CONTROL!$C$32, $C$9, 100%, $E$9)</f>
        <v>10.6982</v>
      </c>
      <c r="K311" s="11">
        <f>10.7014 * CHOOSE(CONTROL!$C$32, $C$9, 100%, $E$9)</f>
        <v>10.7014</v>
      </c>
      <c r="L311" s="11">
        <f>6.5374 * CHOOSE(CONTROL!$C$32, $C$9, 100%, $E$9)</f>
        <v>6.5373999999999999</v>
      </c>
      <c r="M311" s="11">
        <f>6.5406 * CHOOSE(CONTROL!$C$32, $C$9, 100%, $E$9)</f>
        <v>6.5406000000000004</v>
      </c>
      <c r="N311" s="11">
        <f>6.5374 * CHOOSE(CONTROL!$C$32, $C$9, 100%, $E$9)</f>
        <v>6.5373999999999999</v>
      </c>
      <c r="O311" s="11">
        <f>6.5406 * CHOOSE(CONTROL!$C$32, $C$9, 100%, $E$9)</f>
        <v>6.5406000000000004</v>
      </c>
    </row>
    <row r="312" spans="1:15" ht="15" x14ac:dyDescent="0.2">
      <c r="A312" s="13">
        <v>50345</v>
      </c>
      <c r="B312" s="9">
        <f>5.0032 * CHOOSE(CONTROL!$C$32, $C$9, 100%, $E$9)</f>
        <v>5.0031999999999996</v>
      </c>
      <c r="C312" s="9">
        <f>5.0032 * CHOOSE(CONTROL!$C$32, $C$9, 100%, $E$9)</f>
        <v>5.0031999999999996</v>
      </c>
      <c r="D312" s="9">
        <f>5.0042 * CHOOSE(CONTROL!$C$32, $C$9, 100%, $E$9)</f>
        <v>5.0042</v>
      </c>
      <c r="E312" s="11">
        <f>6.5616 * CHOOSE(CONTROL!$C$32, $C$9, 100%, $E$9)</f>
        <v>6.5616000000000003</v>
      </c>
      <c r="F312" s="11">
        <f>6.5616 * CHOOSE(CONTROL!$C$32, $C$9, 100%, $E$9)</f>
        <v>6.5616000000000003</v>
      </c>
      <c r="G312" s="11">
        <f>6.5649 * CHOOSE(CONTROL!$C$32, $C$9, 100%, $E$9)</f>
        <v>6.5648999999999997</v>
      </c>
      <c r="H312" s="11">
        <f>10.7205 * CHOOSE(CONTROL!$C$32, $C$9, 100%, $E$9)</f>
        <v>10.720499999999999</v>
      </c>
      <c r="I312" s="11">
        <f>10.7237 * CHOOSE(CONTROL!$C$32, $C$9, 100%, $E$9)</f>
        <v>10.723699999999999</v>
      </c>
      <c r="J312" s="11">
        <f>10.7205 * CHOOSE(CONTROL!$C$32, $C$9, 100%, $E$9)</f>
        <v>10.720499999999999</v>
      </c>
      <c r="K312" s="11">
        <f>10.7237 * CHOOSE(CONTROL!$C$32, $C$9, 100%, $E$9)</f>
        <v>10.723699999999999</v>
      </c>
      <c r="L312" s="11">
        <f>6.5616 * CHOOSE(CONTROL!$C$32, $C$9, 100%, $E$9)</f>
        <v>6.5616000000000003</v>
      </c>
      <c r="M312" s="11">
        <f>6.5649 * CHOOSE(CONTROL!$C$32, $C$9, 100%, $E$9)</f>
        <v>6.5648999999999997</v>
      </c>
      <c r="N312" s="11">
        <f>6.5616 * CHOOSE(CONTROL!$C$32, $C$9, 100%, $E$9)</f>
        <v>6.5616000000000003</v>
      </c>
      <c r="O312" s="11">
        <f>6.5649 * CHOOSE(CONTROL!$C$32, $C$9, 100%, $E$9)</f>
        <v>6.5648999999999997</v>
      </c>
    </row>
    <row r="313" spans="1:15" ht="15" x14ac:dyDescent="0.2">
      <c r="A313" s="13">
        <v>50375</v>
      </c>
      <c r="B313" s="9">
        <f>5.0032 * CHOOSE(CONTROL!$C$32, $C$9, 100%, $E$9)</f>
        <v>5.0031999999999996</v>
      </c>
      <c r="C313" s="9">
        <f>5.0032 * CHOOSE(CONTROL!$C$32, $C$9, 100%, $E$9)</f>
        <v>5.0031999999999996</v>
      </c>
      <c r="D313" s="9">
        <f>5.0042 * CHOOSE(CONTROL!$C$32, $C$9, 100%, $E$9)</f>
        <v>5.0042</v>
      </c>
      <c r="E313" s="11">
        <f>6.5063 * CHOOSE(CONTROL!$C$32, $C$9, 100%, $E$9)</f>
        <v>6.5063000000000004</v>
      </c>
      <c r="F313" s="11">
        <f>6.5063 * CHOOSE(CONTROL!$C$32, $C$9, 100%, $E$9)</f>
        <v>6.5063000000000004</v>
      </c>
      <c r="G313" s="11">
        <f>6.5096 * CHOOSE(CONTROL!$C$32, $C$9, 100%, $E$9)</f>
        <v>6.5095999999999998</v>
      </c>
      <c r="H313" s="11">
        <f>10.7428 * CHOOSE(CONTROL!$C$32, $C$9, 100%, $E$9)</f>
        <v>10.742800000000001</v>
      </c>
      <c r="I313" s="11">
        <f>10.7461 * CHOOSE(CONTROL!$C$32, $C$9, 100%, $E$9)</f>
        <v>10.7461</v>
      </c>
      <c r="J313" s="11">
        <f>10.7428 * CHOOSE(CONTROL!$C$32, $C$9, 100%, $E$9)</f>
        <v>10.742800000000001</v>
      </c>
      <c r="K313" s="11">
        <f>10.7461 * CHOOSE(CONTROL!$C$32, $C$9, 100%, $E$9)</f>
        <v>10.7461</v>
      </c>
      <c r="L313" s="11">
        <f>6.5063 * CHOOSE(CONTROL!$C$32, $C$9, 100%, $E$9)</f>
        <v>6.5063000000000004</v>
      </c>
      <c r="M313" s="11">
        <f>6.5096 * CHOOSE(CONTROL!$C$32, $C$9, 100%, $E$9)</f>
        <v>6.5095999999999998</v>
      </c>
      <c r="N313" s="11">
        <f>6.5063 * CHOOSE(CONTROL!$C$32, $C$9, 100%, $E$9)</f>
        <v>6.5063000000000004</v>
      </c>
      <c r="O313" s="11">
        <f>6.5096 * CHOOSE(CONTROL!$C$32, $C$9, 100%, $E$9)</f>
        <v>6.5095999999999998</v>
      </c>
    </row>
    <row r="314" spans="1:15" ht="15" x14ac:dyDescent="0.2">
      <c r="A314" s="13">
        <v>50406</v>
      </c>
      <c r="B314" s="9">
        <f>5.043 * CHOOSE(CONTROL!$C$32, $C$9, 100%, $E$9)</f>
        <v>5.0430000000000001</v>
      </c>
      <c r="C314" s="9">
        <f>5.043 * CHOOSE(CONTROL!$C$32, $C$9, 100%, $E$9)</f>
        <v>5.0430000000000001</v>
      </c>
      <c r="D314" s="9">
        <f>5.0439 * CHOOSE(CONTROL!$C$32, $C$9, 100%, $E$9)</f>
        <v>5.0438999999999998</v>
      </c>
      <c r="E314" s="11">
        <f>6.5545 * CHOOSE(CONTROL!$C$32, $C$9, 100%, $E$9)</f>
        <v>6.5545</v>
      </c>
      <c r="F314" s="11">
        <f>6.5545 * CHOOSE(CONTROL!$C$32, $C$9, 100%, $E$9)</f>
        <v>6.5545</v>
      </c>
      <c r="G314" s="11">
        <f>6.5578 * CHOOSE(CONTROL!$C$32, $C$9, 100%, $E$9)</f>
        <v>6.5578000000000003</v>
      </c>
      <c r="H314" s="11">
        <f>10.7652 * CHOOSE(CONTROL!$C$32, $C$9, 100%, $E$9)</f>
        <v>10.7652</v>
      </c>
      <c r="I314" s="11">
        <f>10.7684 * CHOOSE(CONTROL!$C$32, $C$9, 100%, $E$9)</f>
        <v>10.7684</v>
      </c>
      <c r="J314" s="11">
        <f>10.7652 * CHOOSE(CONTROL!$C$32, $C$9, 100%, $E$9)</f>
        <v>10.7652</v>
      </c>
      <c r="K314" s="11">
        <f>10.7684 * CHOOSE(CONTROL!$C$32, $C$9, 100%, $E$9)</f>
        <v>10.7684</v>
      </c>
      <c r="L314" s="11">
        <f>6.5545 * CHOOSE(CONTROL!$C$32, $C$9, 100%, $E$9)</f>
        <v>6.5545</v>
      </c>
      <c r="M314" s="11">
        <f>6.5578 * CHOOSE(CONTROL!$C$32, $C$9, 100%, $E$9)</f>
        <v>6.5578000000000003</v>
      </c>
      <c r="N314" s="11">
        <f>6.5545 * CHOOSE(CONTROL!$C$32, $C$9, 100%, $E$9)</f>
        <v>6.5545</v>
      </c>
      <c r="O314" s="11">
        <f>6.5578 * CHOOSE(CONTROL!$C$32, $C$9, 100%, $E$9)</f>
        <v>6.5578000000000003</v>
      </c>
    </row>
    <row r="315" spans="1:15" ht="15" x14ac:dyDescent="0.2">
      <c r="A315" s="13">
        <v>50437</v>
      </c>
      <c r="B315" s="9">
        <f>5.0399 * CHOOSE(CONTROL!$C$32, $C$9, 100%, $E$9)</f>
        <v>5.0399000000000003</v>
      </c>
      <c r="C315" s="9">
        <f>5.0399 * CHOOSE(CONTROL!$C$32, $C$9, 100%, $E$9)</f>
        <v>5.0399000000000003</v>
      </c>
      <c r="D315" s="9">
        <f>5.0409 * CHOOSE(CONTROL!$C$32, $C$9, 100%, $E$9)</f>
        <v>5.0408999999999997</v>
      </c>
      <c r="E315" s="11">
        <f>6.4445 * CHOOSE(CONTROL!$C$32, $C$9, 100%, $E$9)</f>
        <v>6.4444999999999997</v>
      </c>
      <c r="F315" s="11">
        <f>6.4445 * CHOOSE(CONTROL!$C$32, $C$9, 100%, $E$9)</f>
        <v>6.4444999999999997</v>
      </c>
      <c r="G315" s="11">
        <f>6.4478 * CHOOSE(CONTROL!$C$32, $C$9, 100%, $E$9)</f>
        <v>6.4478</v>
      </c>
      <c r="H315" s="11">
        <f>10.7876 * CHOOSE(CONTROL!$C$32, $C$9, 100%, $E$9)</f>
        <v>10.787599999999999</v>
      </c>
      <c r="I315" s="11">
        <f>10.7909 * CHOOSE(CONTROL!$C$32, $C$9, 100%, $E$9)</f>
        <v>10.790900000000001</v>
      </c>
      <c r="J315" s="11">
        <f>10.7876 * CHOOSE(CONTROL!$C$32, $C$9, 100%, $E$9)</f>
        <v>10.787599999999999</v>
      </c>
      <c r="K315" s="11">
        <f>10.7909 * CHOOSE(CONTROL!$C$32, $C$9, 100%, $E$9)</f>
        <v>10.790900000000001</v>
      </c>
      <c r="L315" s="11">
        <f>6.4445 * CHOOSE(CONTROL!$C$32, $C$9, 100%, $E$9)</f>
        <v>6.4444999999999997</v>
      </c>
      <c r="M315" s="11">
        <f>6.4478 * CHOOSE(CONTROL!$C$32, $C$9, 100%, $E$9)</f>
        <v>6.4478</v>
      </c>
      <c r="N315" s="11">
        <f>6.4445 * CHOOSE(CONTROL!$C$32, $C$9, 100%, $E$9)</f>
        <v>6.4444999999999997</v>
      </c>
      <c r="O315" s="11">
        <f>6.4478 * CHOOSE(CONTROL!$C$32, $C$9, 100%, $E$9)</f>
        <v>6.4478</v>
      </c>
    </row>
    <row r="316" spans="1:15" ht="15" x14ac:dyDescent="0.2">
      <c r="A316" s="13">
        <v>50465</v>
      </c>
      <c r="B316" s="9">
        <f>5.0369 * CHOOSE(CONTROL!$C$32, $C$9, 100%, $E$9)</f>
        <v>5.0369000000000002</v>
      </c>
      <c r="C316" s="9">
        <f>5.0369 * CHOOSE(CONTROL!$C$32, $C$9, 100%, $E$9)</f>
        <v>5.0369000000000002</v>
      </c>
      <c r="D316" s="9">
        <f>5.0379 * CHOOSE(CONTROL!$C$32, $C$9, 100%, $E$9)</f>
        <v>5.0378999999999996</v>
      </c>
      <c r="E316" s="11">
        <f>6.5275 * CHOOSE(CONTROL!$C$32, $C$9, 100%, $E$9)</f>
        <v>6.5274999999999999</v>
      </c>
      <c r="F316" s="11">
        <f>6.5275 * CHOOSE(CONTROL!$C$32, $C$9, 100%, $E$9)</f>
        <v>6.5274999999999999</v>
      </c>
      <c r="G316" s="11">
        <f>6.5307 * CHOOSE(CONTROL!$C$32, $C$9, 100%, $E$9)</f>
        <v>6.5307000000000004</v>
      </c>
      <c r="H316" s="11">
        <f>10.8101 * CHOOSE(CONTROL!$C$32, $C$9, 100%, $E$9)</f>
        <v>10.8101</v>
      </c>
      <c r="I316" s="11">
        <f>10.8133 * CHOOSE(CONTROL!$C$32, $C$9, 100%, $E$9)</f>
        <v>10.8133</v>
      </c>
      <c r="J316" s="11">
        <f>10.8101 * CHOOSE(CONTROL!$C$32, $C$9, 100%, $E$9)</f>
        <v>10.8101</v>
      </c>
      <c r="K316" s="11">
        <f>10.8133 * CHOOSE(CONTROL!$C$32, $C$9, 100%, $E$9)</f>
        <v>10.8133</v>
      </c>
      <c r="L316" s="11">
        <f>6.5275 * CHOOSE(CONTROL!$C$32, $C$9, 100%, $E$9)</f>
        <v>6.5274999999999999</v>
      </c>
      <c r="M316" s="11">
        <f>6.5307 * CHOOSE(CONTROL!$C$32, $C$9, 100%, $E$9)</f>
        <v>6.5307000000000004</v>
      </c>
      <c r="N316" s="11">
        <f>6.5275 * CHOOSE(CONTROL!$C$32, $C$9, 100%, $E$9)</f>
        <v>6.5274999999999999</v>
      </c>
      <c r="O316" s="11">
        <f>6.5307 * CHOOSE(CONTROL!$C$32, $C$9, 100%, $E$9)</f>
        <v>6.5307000000000004</v>
      </c>
    </row>
    <row r="317" spans="1:15" ht="15" x14ac:dyDescent="0.2">
      <c r="A317" s="13">
        <v>50496</v>
      </c>
      <c r="B317" s="9">
        <f>5.0356 * CHOOSE(CONTROL!$C$32, $C$9, 100%, $E$9)</f>
        <v>5.0355999999999996</v>
      </c>
      <c r="C317" s="9">
        <f>5.0356 * CHOOSE(CONTROL!$C$32, $C$9, 100%, $E$9)</f>
        <v>5.0355999999999996</v>
      </c>
      <c r="D317" s="9">
        <f>5.0365 * CHOOSE(CONTROL!$C$32, $C$9, 100%, $E$9)</f>
        <v>5.0365000000000002</v>
      </c>
      <c r="E317" s="11">
        <f>6.6146 * CHOOSE(CONTROL!$C$32, $C$9, 100%, $E$9)</f>
        <v>6.6146000000000003</v>
      </c>
      <c r="F317" s="11">
        <f>6.6146 * CHOOSE(CONTROL!$C$32, $C$9, 100%, $E$9)</f>
        <v>6.6146000000000003</v>
      </c>
      <c r="G317" s="11">
        <f>6.6178 * CHOOSE(CONTROL!$C$32, $C$9, 100%, $E$9)</f>
        <v>6.6177999999999999</v>
      </c>
      <c r="H317" s="11">
        <f>10.8326 * CHOOSE(CONTROL!$C$32, $C$9, 100%, $E$9)</f>
        <v>10.832599999999999</v>
      </c>
      <c r="I317" s="11">
        <f>10.8359 * CHOOSE(CONTROL!$C$32, $C$9, 100%, $E$9)</f>
        <v>10.835900000000001</v>
      </c>
      <c r="J317" s="11">
        <f>10.8326 * CHOOSE(CONTROL!$C$32, $C$9, 100%, $E$9)</f>
        <v>10.832599999999999</v>
      </c>
      <c r="K317" s="11">
        <f>10.8359 * CHOOSE(CONTROL!$C$32, $C$9, 100%, $E$9)</f>
        <v>10.835900000000001</v>
      </c>
      <c r="L317" s="11">
        <f>6.6146 * CHOOSE(CONTROL!$C$32, $C$9, 100%, $E$9)</f>
        <v>6.6146000000000003</v>
      </c>
      <c r="M317" s="11">
        <f>6.6178 * CHOOSE(CONTROL!$C$32, $C$9, 100%, $E$9)</f>
        <v>6.6177999999999999</v>
      </c>
      <c r="N317" s="11">
        <f>6.6146 * CHOOSE(CONTROL!$C$32, $C$9, 100%, $E$9)</f>
        <v>6.6146000000000003</v>
      </c>
      <c r="O317" s="11">
        <f>6.6178 * CHOOSE(CONTROL!$C$32, $C$9, 100%, $E$9)</f>
        <v>6.6177999999999999</v>
      </c>
    </row>
    <row r="318" spans="1:15" ht="15" x14ac:dyDescent="0.2">
      <c r="A318" s="13">
        <v>50526</v>
      </c>
      <c r="B318" s="9">
        <f>5.0356 * CHOOSE(CONTROL!$C$32, $C$9, 100%, $E$9)</f>
        <v>5.0355999999999996</v>
      </c>
      <c r="C318" s="9">
        <f>5.0356 * CHOOSE(CONTROL!$C$32, $C$9, 100%, $E$9)</f>
        <v>5.0355999999999996</v>
      </c>
      <c r="D318" s="9">
        <f>5.0368 * CHOOSE(CONTROL!$C$32, $C$9, 100%, $E$9)</f>
        <v>5.0368000000000004</v>
      </c>
      <c r="E318" s="11">
        <f>6.6488 * CHOOSE(CONTROL!$C$32, $C$9, 100%, $E$9)</f>
        <v>6.6487999999999996</v>
      </c>
      <c r="F318" s="11">
        <f>6.6488 * CHOOSE(CONTROL!$C$32, $C$9, 100%, $E$9)</f>
        <v>6.6487999999999996</v>
      </c>
      <c r="G318" s="11">
        <f>6.653 * CHOOSE(CONTROL!$C$32, $C$9, 100%, $E$9)</f>
        <v>6.6529999999999996</v>
      </c>
      <c r="H318" s="11">
        <f>10.8552 * CHOOSE(CONTROL!$C$32, $C$9, 100%, $E$9)</f>
        <v>10.8552</v>
      </c>
      <c r="I318" s="11">
        <f>10.8594 * CHOOSE(CONTROL!$C$32, $C$9, 100%, $E$9)</f>
        <v>10.859400000000001</v>
      </c>
      <c r="J318" s="11">
        <f>10.8552 * CHOOSE(CONTROL!$C$32, $C$9, 100%, $E$9)</f>
        <v>10.8552</v>
      </c>
      <c r="K318" s="11">
        <f>10.8594 * CHOOSE(CONTROL!$C$32, $C$9, 100%, $E$9)</f>
        <v>10.859400000000001</v>
      </c>
      <c r="L318" s="11">
        <f>6.6488 * CHOOSE(CONTROL!$C$32, $C$9, 100%, $E$9)</f>
        <v>6.6487999999999996</v>
      </c>
      <c r="M318" s="11">
        <f>6.653 * CHOOSE(CONTROL!$C$32, $C$9, 100%, $E$9)</f>
        <v>6.6529999999999996</v>
      </c>
      <c r="N318" s="11">
        <f>6.6488 * CHOOSE(CONTROL!$C$32, $C$9, 100%, $E$9)</f>
        <v>6.6487999999999996</v>
      </c>
      <c r="O318" s="11">
        <f>6.653 * CHOOSE(CONTROL!$C$32, $C$9, 100%, $E$9)</f>
        <v>6.6529999999999996</v>
      </c>
    </row>
    <row r="319" spans="1:15" ht="15" x14ac:dyDescent="0.2">
      <c r="A319" s="13">
        <v>50557</v>
      </c>
      <c r="B319" s="9">
        <f>5.0416 * CHOOSE(CONTROL!$C$32, $C$9, 100%, $E$9)</f>
        <v>5.0415999999999999</v>
      </c>
      <c r="C319" s="9">
        <f>5.0416 * CHOOSE(CONTROL!$C$32, $C$9, 100%, $E$9)</f>
        <v>5.0415999999999999</v>
      </c>
      <c r="D319" s="9">
        <f>5.0429 * CHOOSE(CONTROL!$C$32, $C$9, 100%, $E$9)</f>
        <v>5.0429000000000004</v>
      </c>
      <c r="E319" s="11">
        <f>6.6188 * CHOOSE(CONTROL!$C$32, $C$9, 100%, $E$9)</f>
        <v>6.6188000000000002</v>
      </c>
      <c r="F319" s="11">
        <f>6.6188 * CHOOSE(CONTROL!$C$32, $C$9, 100%, $E$9)</f>
        <v>6.6188000000000002</v>
      </c>
      <c r="G319" s="11">
        <f>6.623 * CHOOSE(CONTROL!$C$32, $C$9, 100%, $E$9)</f>
        <v>6.6230000000000002</v>
      </c>
      <c r="H319" s="11">
        <f>10.8778 * CHOOSE(CONTROL!$C$32, $C$9, 100%, $E$9)</f>
        <v>10.877800000000001</v>
      </c>
      <c r="I319" s="11">
        <f>10.882 * CHOOSE(CONTROL!$C$32, $C$9, 100%, $E$9)</f>
        <v>10.882</v>
      </c>
      <c r="J319" s="11">
        <f>10.8778 * CHOOSE(CONTROL!$C$32, $C$9, 100%, $E$9)</f>
        <v>10.877800000000001</v>
      </c>
      <c r="K319" s="11">
        <f>10.882 * CHOOSE(CONTROL!$C$32, $C$9, 100%, $E$9)</f>
        <v>10.882</v>
      </c>
      <c r="L319" s="11">
        <f>6.6188 * CHOOSE(CONTROL!$C$32, $C$9, 100%, $E$9)</f>
        <v>6.6188000000000002</v>
      </c>
      <c r="M319" s="11">
        <f>6.623 * CHOOSE(CONTROL!$C$32, $C$9, 100%, $E$9)</f>
        <v>6.6230000000000002</v>
      </c>
      <c r="N319" s="11">
        <f>6.6188 * CHOOSE(CONTROL!$C$32, $C$9, 100%, $E$9)</f>
        <v>6.6188000000000002</v>
      </c>
      <c r="O319" s="11">
        <f>6.623 * CHOOSE(CONTROL!$C$32, $C$9, 100%, $E$9)</f>
        <v>6.6230000000000002</v>
      </c>
    </row>
    <row r="320" spans="1:15" ht="15" x14ac:dyDescent="0.2">
      <c r="A320" s="13">
        <v>50587</v>
      </c>
      <c r="B320" s="9">
        <f>5.1131 * CHOOSE(CONTROL!$C$32, $C$9, 100%, $E$9)</f>
        <v>5.1131000000000002</v>
      </c>
      <c r="C320" s="9">
        <f>5.1131 * CHOOSE(CONTROL!$C$32, $C$9, 100%, $E$9)</f>
        <v>5.1131000000000002</v>
      </c>
      <c r="D320" s="9">
        <f>5.1143 * CHOOSE(CONTROL!$C$32, $C$9, 100%, $E$9)</f>
        <v>5.1143000000000001</v>
      </c>
      <c r="E320" s="11">
        <f>6.6086 * CHOOSE(CONTROL!$C$32, $C$9, 100%, $E$9)</f>
        <v>6.6086</v>
      </c>
      <c r="F320" s="11">
        <f>6.6086 * CHOOSE(CONTROL!$C$32, $C$9, 100%, $E$9)</f>
        <v>6.6086</v>
      </c>
      <c r="G320" s="11">
        <f>6.6128 * CHOOSE(CONTROL!$C$32, $C$9, 100%, $E$9)</f>
        <v>6.6128</v>
      </c>
      <c r="H320" s="11">
        <f>10.9005 * CHOOSE(CONTROL!$C$32, $C$9, 100%, $E$9)</f>
        <v>10.900499999999999</v>
      </c>
      <c r="I320" s="11">
        <f>10.9047 * CHOOSE(CONTROL!$C$32, $C$9, 100%, $E$9)</f>
        <v>10.9047</v>
      </c>
      <c r="J320" s="11">
        <f>10.9005 * CHOOSE(CONTROL!$C$32, $C$9, 100%, $E$9)</f>
        <v>10.900499999999999</v>
      </c>
      <c r="K320" s="11">
        <f>10.9047 * CHOOSE(CONTROL!$C$32, $C$9, 100%, $E$9)</f>
        <v>10.9047</v>
      </c>
      <c r="L320" s="11">
        <f>6.6086 * CHOOSE(CONTROL!$C$32, $C$9, 100%, $E$9)</f>
        <v>6.6086</v>
      </c>
      <c r="M320" s="11">
        <f>6.6128 * CHOOSE(CONTROL!$C$32, $C$9, 100%, $E$9)</f>
        <v>6.6128</v>
      </c>
      <c r="N320" s="11">
        <f>6.6086 * CHOOSE(CONTROL!$C$32, $C$9, 100%, $E$9)</f>
        <v>6.6086</v>
      </c>
      <c r="O320" s="11">
        <f>6.6128 * CHOOSE(CONTROL!$C$32, $C$9, 100%, $E$9)</f>
        <v>6.6128</v>
      </c>
    </row>
    <row r="321" spans="1:15" ht="15" x14ac:dyDescent="0.2">
      <c r="A321" s="13">
        <v>50618</v>
      </c>
      <c r="B321" s="9">
        <f>5.1198 * CHOOSE(CONTROL!$C$32, $C$9, 100%, $E$9)</f>
        <v>5.1197999999999997</v>
      </c>
      <c r="C321" s="9">
        <f>5.1198 * CHOOSE(CONTROL!$C$32, $C$9, 100%, $E$9)</f>
        <v>5.1197999999999997</v>
      </c>
      <c r="D321" s="9">
        <f>5.121 * CHOOSE(CONTROL!$C$32, $C$9, 100%, $E$9)</f>
        <v>5.1210000000000004</v>
      </c>
      <c r="E321" s="11">
        <f>6.5105 * CHOOSE(CONTROL!$C$32, $C$9, 100%, $E$9)</f>
        <v>6.5105000000000004</v>
      </c>
      <c r="F321" s="11">
        <f>6.5105 * CHOOSE(CONTROL!$C$32, $C$9, 100%, $E$9)</f>
        <v>6.5105000000000004</v>
      </c>
      <c r="G321" s="11">
        <f>6.5147 * CHOOSE(CONTROL!$C$32, $C$9, 100%, $E$9)</f>
        <v>6.5147000000000004</v>
      </c>
      <c r="H321" s="11">
        <f>10.9232 * CHOOSE(CONTROL!$C$32, $C$9, 100%, $E$9)</f>
        <v>10.9232</v>
      </c>
      <c r="I321" s="11">
        <f>10.9274 * CHOOSE(CONTROL!$C$32, $C$9, 100%, $E$9)</f>
        <v>10.9274</v>
      </c>
      <c r="J321" s="11">
        <f>10.9232 * CHOOSE(CONTROL!$C$32, $C$9, 100%, $E$9)</f>
        <v>10.9232</v>
      </c>
      <c r="K321" s="11">
        <f>10.9274 * CHOOSE(CONTROL!$C$32, $C$9, 100%, $E$9)</f>
        <v>10.9274</v>
      </c>
      <c r="L321" s="11">
        <f>6.5105 * CHOOSE(CONTROL!$C$32, $C$9, 100%, $E$9)</f>
        <v>6.5105000000000004</v>
      </c>
      <c r="M321" s="11">
        <f>6.5147 * CHOOSE(CONTROL!$C$32, $C$9, 100%, $E$9)</f>
        <v>6.5147000000000004</v>
      </c>
      <c r="N321" s="11">
        <f>6.5105 * CHOOSE(CONTROL!$C$32, $C$9, 100%, $E$9)</f>
        <v>6.5105000000000004</v>
      </c>
      <c r="O321" s="11">
        <f>6.5147 * CHOOSE(CONTROL!$C$32, $C$9, 100%, $E$9)</f>
        <v>6.5147000000000004</v>
      </c>
    </row>
    <row r="322" spans="1:15" ht="15" x14ac:dyDescent="0.2">
      <c r="A322" s="13">
        <v>50649</v>
      </c>
      <c r="B322" s="9">
        <f>5.1167 * CHOOSE(CONTROL!$C$32, $C$9, 100%, $E$9)</f>
        <v>5.1166999999999998</v>
      </c>
      <c r="C322" s="9">
        <f>5.1167 * CHOOSE(CONTROL!$C$32, $C$9, 100%, $E$9)</f>
        <v>5.1166999999999998</v>
      </c>
      <c r="D322" s="9">
        <f>5.118 * CHOOSE(CONTROL!$C$32, $C$9, 100%, $E$9)</f>
        <v>5.1180000000000003</v>
      </c>
      <c r="E322" s="11">
        <f>6.4969 * CHOOSE(CONTROL!$C$32, $C$9, 100%, $E$9)</f>
        <v>6.4969000000000001</v>
      </c>
      <c r="F322" s="11">
        <f>6.4969 * CHOOSE(CONTROL!$C$32, $C$9, 100%, $E$9)</f>
        <v>6.4969000000000001</v>
      </c>
      <c r="G322" s="11">
        <f>6.5011 * CHOOSE(CONTROL!$C$32, $C$9, 100%, $E$9)</f>
        <v>6.5011000000000001</v>
      </c>
      <c r="H322" s="11">
        <f>10.9459 * CHOOSE(CONTROL!$C$32, $C$9, 100%, $E$9)</f>
        <v>10.9459</v>
      </c>
      <c r="I322" s="11">
        <f>10.9501 * CHOOSE(CONTROL!$C$32, $C$9, 100%, $E$9)</f>
        <v>10.950100000000001</v>
      </c>
      <c r="J322" s="11">
        <f>10.9459 * CHOOSE(CONTROL!$C$32, $C$9, 100%, $E$9)</f>
        <v>10.9459</v>
      </c>
      <c r="K322" s="11">
        <f>10.9501 * CHOOSE(CONTROL!$C$32, $C$9, 100%, $E$9)</f>
        <v>10.950100000000001</v>
      </c>
      <c r="L322" s="11">
        <f>6.4969 * CHOOSE(CONTROL!$C$32, $C$9, 100%, $E$9)</f>
        <v>6.4969000000000001</v>
      </c>
      <c r="M322" s="11">
        <f>6.5011 * CHOOSE(CONTROL!$C$32, $C$9, 100%, $E$9)</f>
        <v>6.5011000000000001</v>
      </c>
      <c r="N322" s="11">
        <f>6.4969 * CHOOSE(CONTROL!$C$32, $C$9, 100%, $E$9)</f>
        <v>6.4969000000000001</v>
      </c>
      <c r="O322" s="11">
        <f>6.5011 * CHOOSE(CONTROL!$C$32, $C$9, 100%, $E$9)</f>
        <v>6.5011000000000001</v>
      </c>
    </row>
    <row r="323" spans="1:15" ht="15" x14ac:dyDescent="0.2">
      <c r="A323" s="13">
        <v>50679</v>
      </c>
      <c r="B323" s="9">
        <f>5.1159 * CHOOSE(CONTROL!$C$32, $C$9, 100%, $E$9)</f>
        <v>5.1158999999999999</v>
      </c>
      <c r="C323" s="9">
        <f>5.1159 * CHOOSE(CONTROL!$C$32, $C$9, 100%, $E$9)</f>
        <v>5.1158999999999999</v>
      </c>
      <c r="D323" s="9">
        <f>5.1169 * CHOOSE(CONTROL!$C$32, $C$9, 100%, $E$9)</f>
        <v>5.1169000000000002</v>
      </c>
      <c r="E323" s="11">
        <f>6.5292 * CHOOSE(CONTROL!$C$32, $C$9, 100%, $E$9)</f>
        <v>6.5292000000000003</v>
      </c>
      <c r="F323" s="11">
        <f>6.5292 * CHOOSE(CONTROL!$C$32, $C$9, 100%, $E$9)</f>
        <v>6.5292000000000003</v>
      </c>
      <c r="G323" s="11">
        <f>6.5324 * CHOOSE(CONTROL!$C$32, $C$9, 100%, $E$9)</f>
        <v>6.5324</v>
      </c>
      <c r="H323" s="11">
        <f>10.9687 * CHOOSE(CONTROL!$C$32, $C$9, 100%, $E$9)</f>
        <v>10.9687</v>
      </c>
      <c r="I323" s="11">
        <f>10.972 * CHOOSE(CONTROL!$C$32, $C$9, 100%, $E$9)</f>
        <v>10.972</v>
      </c>
      <c r="J323" s="11">
        <f>10.9687 * CHOOSE(CONTROL!$C$32, $C$9, 100%, $E$9)</f>
        <v>10.9687</v>
      </c>
      <c r="K323" s="11">
        <f>10.972 * CHOOSE(CONTROL!$C$32, $C$9, 100%, $E$9)</f>
        <v>10.972</v>
      </c>
      <c r="L323" s="11">
        <f>6.5292 * CHOOSE(CONTROL!$C$32, $C$9, 100%, $E$9)</f>
        <v>6.5292000000000003</v>
      </c>
      <c r="M323" s="11">
        <f>6.5324 * CHOOSE(CONTROL!$C$32, $C$9, 100%, $E$9)</f>
        <v>6.5324</v>
      </c>
      <c r="N323" s="11">
        <f>6.5292 * CHOOSE(CONTROL!$C$32, $C$9, 100%, $E$9)</f>
        <v>6.5292000000000003</v>
      </c>
      <c r="O323" s="11">
        <f>6.5324 * CHOOSE(CONTROL!$C$32, $C$9, 100%, $E$9)</f>
        <v>6.5324</v>
      </c>
    </row>
    <row r="324" spans="1:15" ht="15" x14ac:dyDescent="0.2">
      <c r="A324" s="13">
        <v>50710</v>
      </c>
      <c r="B324" s="9">
        <f>5.119 * CHOOSE(CONTROL!$C$32, $C$9, 100%, $E$9)</f>
        <v>5.1189999999999998</v>
      </c>
      <c r="C324" s="9">
        <f>5.119 * CHOOSE(CONTROL!$C$32, $C$9, 100%, $E$9)</f>
        <v>5.1189999999999998</v>
      </c>
      <c r="D324" s="9">
        <f>5.1199 * CHOOSE(CONTROL!$C$32, $C$9, 100%, $E$9)</f>
        <v>5.1199000000000003</v>
      </c>
      <c r="E324" s="11">
        <f>6.5541 * CHOOSE(CONTROL!$C$32, $C$9, 100%, $E$9)</f>
        <v>6.5541</v>
      </c>
      <c r="F324" s="11">
        <f>6.5541 * CHOOSE(CONTROL!$C$32, $C$9, 100%, $E$9)</f>
        <v>6.5541</v>
      </c>
      <c r="G324" s="11">
        <f>6.5574 * CHOOSE(CONTROL!$C$32, $C$9, 100%, $E$9)</f>
        <v>6.5574000000000003</v>
      </c>
      <c r="H324" s="11">
        <f>10.9916 * CHOOSE(CONTROL!$C$32, $C$9, 100%, $E$9)</f>
        <v>10.9916</v>
      </c>
      <c r="I324" s="11">
        <f>10.9948 * CHOOSE(CONTROL!$C$32, $C$9, 100%, $E$9)</f>
        <v>10.9948</v>
      </c>
      <c r="J324" s="11">
        <f>10.9916 * CHOOSE(CONTROL!$C$32, $C$9, 100%, $E$9)</f>
        <v>10.9916</v>
      </c>
      <c r="K324" s="11">
        <f>10.9948 * CHOOSE(CONTROL!$C$32, $C$9, 100%, $E$9)</f>
        <v>10.9948</v>
      </c>
      <c r="L324" s="11">
        <f>6.5541 * CHOOSE(CONTROL!$C$32, $C$9, 100%, $E$9)</f>
        <v>6.5541</v>
      </c>
      <c r="M324" s="11">
        <f>6.5574 * CHOOSE(CONTROL!$C$32, $C$9, 100%, $E$9)</f>
        <v>6.5574000000000003</v>
      </c>
      <c r="N324" s="11">
        <f>6.5541 * CHOOSE(CONTROL!$C$32, $C$9, 100%, $E$9)</f>
        <v>6.5541</v>
      </c>
      <c r="O324" s="11">
        <f>6.5574 * CHOOSE(CONTROL!$C$32, $C$9, 100%, $E$9)</f>
        <v>6.5574000000000003</v>
      </c>
    </row>
    <row r="325" spans="1:15" ht="15" x14ac:dyDescent="0.2">
      <c r="A325" s="13">
        <v>50740</v>
      </c>
      <c r="B325" s="9">
        <f>5.119 * CHOOSE(CONTROL!$C$32, $C$9, 100%, $E$9)</f>
        <v>5.1189999999999998</v>
      </c>
      <c r="C325" s="9">
        <f>5.119 * CHOOSE(CONTROL!$C$32, $C$9, 100%, $E$9)</f>
        <v>5.1189999999999998</v>
      </c>
      <c r="D325" s="9">
        <f>5.1199 * CHOOSE(CONTROL!$C$32, $C$9, 100%, $E$9)</f>
        <v>5.1199000000000003</v>
      </c>
      <c r="E325" s="11">
        <f>6.533 * CHOOSE(CONTROL!$C$32, $C$9, 100%, $E$9)</f>
        <v>6.5330000000000004</v>
      </c>
      <c r="F325" s="11">
        <f>6.533 * CHOOSE(CONTROL!$C$32, $C$9, 100%, $E$9)</f>
        <v>6.5330000000000004</v>
      </c>
      <c r="G325" s="11">
        <f>6.5363 * CHOOSE(CONTROL!$C$32, $C$9, 100%, $E$9)</f>
        <v>6.5362999999999998</v>
      </c>
      <c r="H325" s="11">
        <f>11.0145 * CHOOSE(CONTROL!$C$32, $C$9, 100%, $E$9)</f>
        <v>11.0145</v>
      </c>
      <c r="I325" s="11">
        <f>11.0177 * CHOOSE(CONTROL!$C$32, $C$9, 100%, $E$9)</f>
        <v>11.0177</v>
      </c>
      <c r="J325" s="11">
        <f>11.0145 * CHOOSE(CONTROL!$C$32, $C$9, 100%, $E$9)</f>
        <v>11.0145</v>
      </c>
      <c r="K325" s="11">
        <f>11.0177 * CHOOSE(CONTROL!$C$32, $C$9, 100%, $E$9)</f>
        <v>11.0177</v>
      </c>
      <c r="L325" s="11">
        <f>6.533 * CHOOSE(CONTROL!$C$32, $C$9, 100%, $E$9)</f>
        <v>6.5330000000000004</v>
      </c>
      <c r="M325" s="11">
        <f>6.5363 * CHOOSE(CONTROL!$C$32, $C$9, 100%, $E$9)</f>
        <v>6.5362999999999998</v>
      </c>
      <c r="N325" s="11">
        <f>6.533 * CHOOSE(CONTROL!$C$32, $C$9, 100%, $E$9)</f>
        <v>6.5330000000000004</v>
      </c>
      <c r="O325" s="11">
        <f>6.5363 * CHOOSE(CONTROL!$C$32, $C$9, 100%, $E$9)</f>
        <v>6.5362999999999998</v>
      </c>
    </row>
    <row r="326" spans="1:15" ht="15" x14ac:dyDescent="0.2">
      <c r="A326" s="13">
        <v>50771</v>
      </c>
      <c r="B326" s="9">
        <f>5.1575 * CHOOSE(CONTROL!$C$32, $C$9, 100%, $E$9)</f>
        <v>5.1574999999999998</v>
      </c>
      <c r="C326" s="9">
        <f>5.1575 * CHOOSE(CONTROL!$C$32, $C$9, 100%, $E$9)</f>
        <v>5.1574999999999998</v>
      </c>
      <c r="D326" s="9">
        <f>5.1584 * CHOOSE(CONTROL!$C$32, $C$9, 100%, $E$9)</f>
        <v>5.1584000000000003</v>
      </c>
      <c r="E326" s="11">
        <f>6.5634 * CHOOSE(CONTROL!$C$32, $C$9, 100%, $E$9)</f>
        <v>6.5633999999999997</v>
      </c>
      <c r="F326" s="11">
        <f>6.5634 * CHOOSE(CONTROL!$C$32, $C$9, 100%, $E$9)</f>
        <v>6.5633999999999997</v>
      </c>
      <c r="G326" s="11">
        <f>6.5666 * CHOOSE(CONTROL!$C$32, $C$9, 100%, $E$9)</f>
        <v>6.5666000000000002</v>
      </c>
      <c r="H326" s="11">
        <f>11.0374 * CHOOSE(CONTROL!$C$32, $C$9, 100%, $E$9)</f>
        <v>11.0374</v>
      </c>
      <c r="I326" s="11">
        <f>11.0407 * CHOOSE(CONTROL!$C$32, $C$9, 100%, $E$9)</f>
        <v>11.040699999999999</v>
      </c>
      <c r="J326" s="11">
        <f>11.0374 * CHOOSE(CONTROL!$C$32, $C$9, 100%, $E$9)</f>
        <v>11.0374</v>
      </c>
      <c r="K326" s="11">
        <f>11.0407 * CHOOSE(CONTROL!$C$32, $C$9, 100%, $E$9)</f>
        <v>11.040699999999999</v>
      </c>
      <c r="L326" s="11">
        <f>6.5634 * CHOOSE(CONTROL!$C$32, $C$9, 100%, $E$9)</f>
        <v>6.5633999999999997</v>
      </c>
      <c r="M326" s="11">
        <f>6.5666 * CHOOSE(CONTROL!$C$32, $C$9, 100%, $E$9)</f>
        <v>6.5666000000000002</v>
      </c>
      <c r="N326" s="11">
        <f>6.5634 * CHOOSE(CONTROL!$C$32, $C$9, 100%, $E$9)</f>
        <v>6.5633999999999997</v>
      </c>
      <c r="O326" s="11">
        <f>6.5666 * CHOOSE(CONTROL!$C$32, $C$9, 100%, $E$9)</f>
        <v>6.5666000000000002</v>
      </c>
    </row>
    <row r="327" spans="1:15" ht="15" x14ac:dyDescent="0.2">
      <c r="A327" s="13">
        <v>50802</v>
      </c>
      <c r="B327" s="9">
        <f>5.1544 * CHOOSE(CONTROL!$C$32, $C$9, 100%, $E$9)</f>
        <v>5.1543999999999999</v>
      </c>
      <c r="C327" s="9">
        <f>5.1544 * CHOOSE(CONTROL!$C$32, $C$9, 100%, $E$9)</f>
        <v>5.1543999999999999</v>
      </c>
      <c r="D327" s="9">
        <f>5.1554 * CHOOSE(CONTROL!$C$32, $C$9, 100%, $E$9)</f>
        <v>5.1554000000000002</v>
      </c>
      <c r="E327" s="11">
        <f>6.4498 * CHOOSE(CONTROL!$C$32, $C$9, 100%, $E$9)</f>
        <v>6.4497999999999998</v>
      </c>
      <c r="F327" s="11">
        <f>6.4498 * CHOOSE(CONTROL!$C$32, $C$9, 100%, $E$9)</f>
        <v>6.4497999999999998</v>
      </c>
      <c r="G327" s="11">
        <f>6.4531 * CHOOSE(CONTROL!$C$32, $C$9, 100%, $E$9)</f>
        <v>6.4531000000000001</v>
      </c>
      <c r="H327" s="11">
        <f>11.0604 * CHOOSE(CONTROL!$C$32, $C$9, 100%, $E$9)</f>
        <v>11.0604</v>
      </c>
      <c r="I327" s="11">
        <f>11.0637 * CHOOSE(CONTROL!$C$32, $C$9, 100%, $E$9)</f>
        <v>11.063700000000001</v>
      </c>
      <c r="J327" s="11">
        <f>11.0604 * CHOOSE(CONTROL!$C$32, $C$9, 100%, $E$9)</f>
        <v>11.0604</v>
      </c>
      <c r="K327" s="11">
        <f>11.0637 * CHOOSE(CONTROL!$C$32, $C$9, 100%, $E$9)</f>
        <v>11.063700000000001</v>
      </c>
      <c r="L327" s="11">
        <f>6.4498 * CHOOSE(CONTROL!$C$32, $C$9, 100%, $E$9)</f>
        <v>6.4497999999999998</v>
      </c>
      <c r="M327" s="11">
        <f>6.4531 * CHOOSE(CONTROL!$C$32, $C$9, 100%, $E$9)</f>
        <v>6.4531000000000001</v>
      </c>
      <c r="N327" s="11">
        <f>6.4498 * CHOOSE(CONTROL!$C$32, $C$9, 100%, $E$9)</f>
        <v>6.4497999999999998</v>
      </c>
      <c r="O327" s="11">
        <f>6.4531 * CHOOSE(CONTROL!$C$32, $C$9, 100%, $E$9)</f>
        <v>6.4531000000000001</v>
      </c>
    </row>
    <row r="328" spans="1:15" ht="15" x14ac:dyDescent="0.2">
      <c r="A328" s="13">
        <v>50830</v>
      </c>
      <c r="B328" s="9">
        <f>5.1514 * CHOOSE(CONTROL!$C$32, $C$9, 100%, $E$9)</f>
        <v>5.1513999999999998</v>
      </c>
      <c r="C328" s="9">
        <f>5.1514 * CHOOSE(CONTROL!$C$32, $C$9, 100%, $E$9)</f>
        <v>5.1513999999999998</v>
      </c>
      <c r="D328" s="9">
        <f>5.1524 * CHOOSE(CONTROL!$C$32, $C$9, 100%, $E$9)</f>
        <v>5.1524000000000001</v>
      </c>
      <c r="E328" s="11">
        <f>6.5356 * CHOOSE(CONTROL!$C$32, $C$9, 100%, $E$9)</f>
        <v>6.5355999999999996</v>
      </c>
      <c r="F328" s="11">
        <f>6.5356 * CHOOSE(CONTROL!$C$32, $C$9, 100%, $E$9)</f>
        <v>6.5355999999999996</v>
      </c>
      <c r="G328" s="11">
        <f>6.5388 * CHOOSE(CONTROL!$C$32, $C$9, 100%, $E$9)</f>
        <v>6.5388000000000002</v>
      </c>
      <c r="H328" s="11">
        <f>11.0835 * CHOOSE(CONTROL!$C$32, $C$9, 100%, $E$9)</f>
        <v>11.083500000000001</v>
      </c>
      <c r="I328" s="11">
        <f>11.0867 * CHOOSE(CONTROL!$C$32, $C$9, 100%, $E$9)</f>
        <v>11.0867</v>
      </c>
      <c r="J328" s="11">
        <f>11.0835 * CHOOSE(CONTROL!$C$32, $C$9, 100%, $E$9)</f>
        <v>11.083500000000001</v>
      </c>
      <c r="K328" s="11">
        <f>11.0867 * CHOOSE(CONTROL!$C$32, $C$9, 100%, $E$9)</f>
        <v>11.0867</v>
      </c>
      <c r="L328" s="11">
        <f>6.5356 * CHOOSE(CONTROL!$C$32, $C$9, 100%, $E$9)</f>
        <v>6.5355999999999996</v>
      </c>
      <c r="M328" s="11">
        <f>6.5388 * CHOOSE(CONTROL!$C$32, $C$9, 100%, $E$9)</f>
        <v>6.5388000000000002</v>
      </c>
      <c r="N328" s="11">
        <f>6.5356 * CHOOSE(CONTROL!$C$32, $C$9, 100%, $E$9)</f>
        <v>6.5355999999999996</v>
      </c>
      <c r="O328" s="11">
        <f>6.5388 * CHOOSE(CONTROL!$C$32, $C$9, 100%, $E$9)</f>
        <v>6.5388000000000002</v>
      </c>
    </row>
    <row r="329" spans="1:15" ht="15" x14ac:dyDescent="0.2">
      <c r="A329" s="13">
        <v>50861</v>
      </c>
      <c r="B329" s="9">
        <f>5.1502 * CHOOSE(CONTROL!$C$32, $C$9, 100%, $E$9)</f>
        <v>5.1501999999999999</v>
      </c>
      <c r="C329" s="9">
        <f>5.1502 * CHOOSE(CONTROL!$C$32, $C$9, 100%, $E$9)</f>
        <v>5.1501999999999999</v>
      </c>
      <c r="D329" s="9">
        <f>5.1511 * CHOOSE(CONTROL!$C$32, $C$9, 100%, $E$9)</f>
        <v>5.1510999999999996</v>
      </c>
      <c r="E329" s="11">
        <f>6.6256 * CHOOSE(CONTROL!$C$32, $C$9, 100%, $E$9)</f>
        <v>6.6256000000000004</v>
      </c>
      <c r="F329" s="11">
        <f>6.6256 * CHOOSE(CONTROL!$C$32, $C$9, 100%, $E$9)</f>
        <v>6.6256000000000004</v>
      </c>
      <c r="G329" s="11">
        <f>6.6289 * CHOOSE(CONTROL!$C$32, $C$9, 100%, $E$9)</f>
        <v>6.6288999999999998</v>
      </c>
      <c r="H329" s="11">
        <f>11.1066 * CHOOSE(CONTROL!$C$32, $C$9, 100%, $E$9)</f>
        <v>11.1066</v>
      </c>
      <c r="I329" s="11">
        <f>11.1098 * CHOOSE(CONTROL!$C$32, $C$9, 100%, $E$9)</f>
        <v>11.1098</v>
      </c>
      <c r="J329" s="11">
        <f>11.1066 * CHOOSE(CONTROL!$C$32, $C$9, 100%, $E$9)</f>
        <v>11.1066</v>
      </c>
      <c r="K329" s="11">
        <f>11.1098 * CHOOSE(CONTROL!$C$32, $C$9, 100%, $E$9)</f>
        <v>11.1098</v>
      </c>
      <c r="L329" s="11">
        <f>6.6256 * CHOOSE(CONTROL!$C$32, $C$9, 100%, $E$9)</f>
        <v>6.6256000000000004</v>
      </c>
      <c r="M329" s="11">
        <f>6.6289 * CHOOSE(CONTROL!$C$32, $C$9, 100%, $E$9)</f>
        <v>6.6288999999999998</v>
      </c>
      <c r="N329" s="11">
        <f>6.6256 * CHOOSE(CONTROL!$C$32, $C$9, 100%, $E$9)</f>
        <v>6.6256000000000004</v>
      </c>
      <c r="O329" s="11">
        <f>6.6289 * CHOOSE(CONTROL!$C$32, $C$9, 100%, $E$9)</f>
        <v>6.6288999999999998</v>
      </c>
    </row>
    <row r="330" spans="1:15" ht="15" x14ac:dyDescent="0.2">
      <c r="A330" s="13">
        <v>50891</v>
      </c>
      <c r="B330" s="9">
        <f>5.1502 * CHOOSE(CONTROL!$C$32, $C$9, 100%, $E$9)</f>
        <v>5.1501999999999999</v>
      </c>
      <c r="C330" s="9">
        <f>5.1502 * CHOOSE(CONTROL!$C$32, $C$9, 100%, $E$9)</f>
        <v>5.1501999999999999</v>
      </c>
      <c r="D330" s="9">
        <f>5.1514 * CHOOSE(CONTROL!$C$32, $C$9, 100%, $E$9)</f>
        <v>5.1513999999999998</v>
      </c>
      <c r="E330" s="11">
        <f>6.661 * CHOOSE(CONTROL!$C$32, $C$9, 100%, $E$9)</f>
        <v>6.6609999999999996</v>
      </c>
      <c r="F330" s="11">
        <f>6.661 * CHOOSE(CONTROL!$C$32, $C$9, 100%, $E$9)</f>
        <v>6.6609999999999996</v>
      </c>
      <c r="G330" s="11">
        <f>6.6652 * CHOOSE(CONTROL!$C$32, $C$9, 100%, $E$9)</f>
        <v>6.6651999999999996</v>
      </c>
      <c r="H330" s="11">
        <f>11.1297 * CHOOSE(CONTROL!$C$32, $C$9, 100%, $E$9)</f>
        <v>11.1297</v>
      </c>
      <c r="I330" s="11">
        <f>11.1339 * CHOOSE(CONTROL!$C$32, $C$9, 100%, $E$9)</f>
        <v>11.133900000000001</v>
      </c>
      <c r="J330" s="11">
        <f>11.1297 * CHOOSE(CONTROL!$C$32, $C$9, 100%, $E$9)</f>
        <v>11.1297</v>
      </c>
      <c r="K330" s="11">
        <f>11.1339 * CHOOSE(CONTROL!$C$32, $C$9, 100%, $E$9)</f>
        <v>11.133900000000001</v>
      </c>
      <c r="L330" s="11">
        <f>6.661 * CHOOSE(CONTROL!$C$32, $C$9, 100%, $E$9)</f>
        <v>6.6609999999999996</v>
      </c>
      <c r="M330" s="11">
        <f>6.6652 * CHOOSE(CONTROL!$C$32, $C$9, 100%, $E$9)</f>
        <v>6.6651999999999996</v>
      </c>
      <c r="N330" s="11">
        <f>6.661 * CHOOSE(CONTROL!$C$32, $C$9, 100%, $E$9)</f>
        <v>6.6609999999999996</v>
      </c>
      <c r="O330" s="11">
        <f>6.6652 * CHOOSE(CONTROL!$C$32, $C$9, 100%, $E$9)</f>
        <v>6.6651999999999996</v>
      </c>
    </row>
    <row r="331" spans="1:15" ht="15" x14ac:dyDescent="0.2">
      <c r="A331" s="13">
        <v>50922</v>
      </c>
      <c r="B331" s="9">
        <f>5.1562 * CHOOSE(CONTROL!$C$32, $C$9, 100%, $E$9)</f>
        <v>5.1562000000000001</v>
      </c>
      <c r="C331" s="9">
        <f>5.1562 * CHOOSE(CONTROL!$C$32, $C$9, 100%, $E$9)</f>
        <v>5.1562000000000001</v>
      </c>
      <c r="D331" s="9">
        <f>5.1575 * CHOOSE(CONTROL!$C$32, $C$9, 100%, $E$9)</f>
        <v>5.1574999999999998</v>
      </c>
      <c r="E331" s="11">
        <f>6.6299 * CHOOSE(CONTROL!$C$32, $C$9, 100%, $E$9)</f>
        <v>6.6299000000000001</v>
      </c>
      <c r="F331" s="11">
        <f>6.6299 * CHOOSE(CONTROL!$C$32, $C$9, 100%, $E$9)</f>
        <v>6.6299000000000001</v>
      </c>
      <c r="G331" s="11">
        <f>6.6341 * CHOOSE(CONTROL!$C$32, $C$9, 100%, $E$9)</f>
        <v>6.6341000000000001</v>
      </c>
      <c r="H331" s="11">
        <f>11.1529 * CHOOSE(CONTROL!$C$32, $C$9, 100%, $E$9)</f>
        <v>11.152900000000001</v>
      </c>
      <c r="I331" s="11">
        <f>11.1571 * CHOOSE(CONTROL!$C$32, $C$9, 100%, $E$9)</f>
        <v>11.1571</v>
      </c>
      <c r="J331" s="11">
        <f>11.1529 * CHOOSE(CONTROL!$C$32, $C$9, 100%, $E$9)</f>
        <v>11.152900000000001</v>
      </c>
      <c r="K331" s="11">
        <f>11.1571 * CHOOSE(CONTROL!$C$32, $C$9, 100%, $E$9)</f>
        <v>11.1571</v>
      </c>
      <c r="L331" s="11">
        <f>6.6299 * CHOOSE(CONTROL!$C$32, $C$9, 100%, $E$9)</f>
        <v>6.6299000000000001</v>
      </c>
      <c r="M331" s="11">
        <f>6.6341 * CHOOSE(CONTROL!$C$32, $C$9, 100%, $E$9)</f>
        <v>6.6341000000000001</v>
      </c>
      <c r="N331" s="11">
        <f>6.6299 * CHOOSE(CONTROL!$C$32, $C$9, 100%, $E$9)</f>
        <v>6.6299000000000001</v>
      </c>
      <c r="O331" s="11">
        <f>6.6341 * CHOOSE(CONTROL!$C$32, $C$9, 100%, $E$9)</f>
        <v>6.6341000000000001</v>
      </c>
    </row>
    <row r="332" spans="1:15" ht="15" x14ac:dyDescent="0.2">
      <c r="A332" s="13">
        <v>50952</v>
      </c>
      <c r="B332" s="9">
        <f>5.2245 * CHOOSE(CONTROL!$C$32, $C$9, 100%, $E$9)</f>
        <v>5.2244999999999999</v>
      </c>
      <c r="C332" s="9">
        <f>5.2245 * CHOOSE(CONTROL!$C$32, $C$9, 100%, $E$9)</f>
        <v>5.2244999999999999</v>
      </c>
      <c r="D332" s="9">
        <f>5.2257 * CHOOSE(CONTROL!$C$32, $C$9, 100%, $E$9)</f>
        <v>5.2256999999999998</v>
      </c>
      <c r="E332" s="11">
        <f>6.6597 * CHOOSE(CONTROL!$C$32, $C$9, 100%, $E$9)</f>
        <v>6.6597</v>
      </c>
      <c r="F332" s="11">
        <f>6.6597 * CHOOSE(CONTROL!$C$32, $C$9, 100%, $E$9)</f>
        <v>6.6597</v>
      </c>
      <c r="G332" s="11">
        <f>6.6639 * CHOOSE(CONTROL!$C$32, $C$9, 100%, $E$9)</f>
        <v>6.6638999999999999</v>
      </c>
      <c r="H332" s="11">
        <f>11.1761 * CHOOSE(CONTROL!$C$32, $C$9, 100%, $E$9)</f>
        <v>11.1761</v>
      </c>
      <c r="I332" s="11">
        <f>11.1803 * CHOOSE(CONTROL!$C$32, $C$9, 100%, $E$9)</f>
        <v>11.180300000000001</v>
      </c>
      <c r="J332" s="11">
        <f>11.1761 * CHOOSE(CONTROL!$C$32, $C$9, 100%, $E$9)</f>
        <v>11.1761</v>
      </c>
      <c r="K332" s="11">
        <f>11.1803 * CHOOSE(CONTROL!$C$32, $C$9, 100%, $E$9)</f>
        <v>11.180300000000001</v>
      </c>
      <c r="L332" s="11">
        <f>6.6597 * CHOOSE(CONTROL!$C$32, $C$9, 100%, $E$9)</f>
        <v>6.6597</v>
      </c>
      <c r="M332" s="11">
        <f>6.6639 * CHOOSE(CONTROL!$C$32, $C$9, 100%, $E$9)</f>
        <v>6.6638999999999999</v>
      </c>
      <c r="N332" s="11">
        <f>6.6597 * CHOOSE(CONTROL!$C$32, $C$9, 100%, $E$9)</f>
        <v>6.6597</v>
      </c>
      <c r="O332" s="11">
        <f>6.6639 * CHOOSE(CONTROL!$C$32, $C$9, 100%, $E$9)</f>
        <v>6.6638999999999999</v>
      </c>
    </row>
    <row r="333" spans="1:15" ht="15" x14ac:dyDescent="0.2">
      <c r="A333" s="13">
        <v>50983</v>
      </c>
      <c r="B333" s="9">
        <f>5.2312 * CHOOSE(CONTROL!$C$32, $C$9, 100%, $E$9)</f>
        <v>5.2312000000000003</v>
      </c>
      <c r="C333" s="9">
        <f>5.2312 * CHOOSE(CONTROL!$C$32, $C$9, 100%, $E$9)</f>
        <v>5.2312000000000003</v>
      </c>
      <c r="D333" s="9">
        <f>5.2324 * CHOOSE(CONTROL!$C$32, $C$9, 100%, $E$9)</f>
        <v>5.2324000000000002</v>
      </c>
      <c r="E333" s="11">
        <f>6.5583 * CHOOSE(CONTROL!$C$32, $C$9, 100%, $E$9)</f>
        <v>6.5583</v>
      </c>
      <c r="F333" s="11">
        <f>6.5583 * CHOOSE(CONTROL!$C$32, $C$9, 100%, $E$9)</f>
        <v>6.5583</v>
      </c>
      <c r="G333" s="11">
        <f>6.5625 * CHOOSE(CONTROL!$C$32, $C$9, 100%, $E$9)</f>
        <v>6.5625</v>
      </c>
      <c r="H333" s="11">
        <f>11.1994 * CHOOSE(CONTROL!$C$32, $C$9, 100%, $E$9)</f>
        <v>11.199400000000001</v>
      </c>
      <c r="I333" s="11">
        <f>11.2036 * CHOOSE(CONTROL!$C$32, $C$9, 100%, $E$9)</f>
        <v>11.2036</v>
      </c>
      <c r="J333" s="11">
        <f>11.1994 * CHOOSE(CONTROL!$C$32, $C$9, 100%, $E$9)</f>
        <v>11.199400000000001</v>
      </c>
      <c r="K333" s="11">
        <f>11.2036 * CHOOSE(CONTROL!$C$32, $C$9, 100%, $E$9)</f>
        <v>11.2036</v>
      </c>
      <c r="L333" s="11">
        <f>6.5583 * CHOOSE(CONTROL!$C$32, $C$9, 100%, $E$9)</f>
        <v>6.5583</v>
      </c>
      <c r="M333" s="11">
        <f>6.5625 * CHOOSE(CONTROL!$C$32, $C$9, 100%, $E$9)</f>
        <v>6.5625</v>
      </c>
      <c r="N333" s="11">
        <f>6.5583 * CHOOSE(CONTROL!$C$32, $C$9, 100%, $E$9)</f>
        <v>6.5583</v>
      </c>
      <c r="O333" s="11">
        <f>6.5625 * CHOOSE(CONTROL!$C$32, $C$9, 100%, $E$9)</f>
        <v>6.5625</v>
      </c>
    </row>
    <row r="334" spans="1:15" ht="15" x14ac:dyDescent="0.2">
      <c r="A334" s="13">
        <v>51014</v>
      </c>
      <c r="B334" s="9">
        <f>5.2281 * CHOOSE(CONTROL!$C$32, $C$9, 100%, $E$9)</f>
        <v>5.2281000000000004</v>
      </c>
      <c r="C334" s="9">
        <f>5.2281 * CHOOSE(CONTROL!$C$32, $C$9, 100%, $E$9)</f>
        <v>5.2281000000000004</v>
      </c>
      <c r="D334" s="9">
        <f>5.2294 * CHOOSE(CONTROL!$C$32, $C$9, 100%, $E$9)</f>
        <v>5.2294</v>
      </c>
      <c r="E334" s="11">
        <f>6.5443 * CHOOSE(CONTROL!$C$32, $C$9, 100%, $E$9)</f>
        <v>6.5442999999999998</v>
      </c>
      <c r="F334" s="11">
        <f>6.5443 * CHOOSE(CONTROL!$C$32, $C$9, 100%, $E$9)</f>
        <v>6.5442999999999998</v>
      </c>
      <c r="G334" s="11">
        <f>6.5485 * CHOOSE(CONTROL!$C$32, $C$9, 100%, $E$9)</f>
        <v>6.5484999999999998</v>
      </c>
      <c r="H334" s="11">
        <f>11.2228 * CHOOSE(CONTROL!$C$32, $C$9, 100%, $E$9)</f>
        <v>11.222799999999999</v>
      </c>
      <c r="I334" s="11">
        <f>11.227 * CHOOSE(CONTROL!$C$32, $C$9, 100%, $E$9)</f>
        <v>11.227</v>
      </c>
      <c r="J334" s="11">
        <f>11.2228 * CHOOSE(CONTROL!$C$32, $C$9, 100%, $E$9)</f>
        <v>11.222799999999999</v>
      </c>
      <c r="K334" s="11">
        <f>11.227 * CHOOSE(CONTROL!$C$32, $C$9, 100%, $E$9)</f>
        <v>11.227</v>
      </c>
      <c r="L334" s="11">
        <f>6.5443 * CHOOSE(CONTROL!$C$32, $C$9, 100%, $E$9)</f>
        <v>6.5442999999999998</v>
      </c>
      <c r="M334" s="11">
        <f>6.5485 * CHOOSE(CONTROL!$C$32, $C$9, 100%, $E$9)</f>
        <v>6.5484999999999998</v>
      </c>
      <c r="N334" s="11">
        <f>6.5443 * CHOOSE(CONTROL!$C$32, $C$9, 100%, $E$9)</f>
        <v>6.5442999999999998</v>
      </c>
      <c r="O334" s="11">
        <f>6.5485 * CHOOSE(CONTROL!$C$32, $C$9, 100%, $E$9)</f>
        <v>6.5484999999999998</v>
      </c>
    </row>
    <row r="335" spans="1:15" ht="15" x14ac:dyDescent="0.2">
      <c r="A335" s="13">
        <v>51044</v>
      </c>
      <c r="B335" s="9">
        <f>5.2277 * CHOOSE(CONTROL!$C$32, $C$9, 100%, $E$9)</f>
        <v>5.2276999999999996</v>
      </c>
      <c r="C335" s="9">
        <f>5.2277 * CHOOSE(CONTROL!$C$32, $C$9, 100%, $E$9)</f>
        <v>5.2276999999999996</v>
      </c>
      <c r="D335" s="9">
        <f>5.2287 * CHOOSE(CONTROL!$C$32, $C$9, 100%, $E$9)</f>
        <v>5.2286999999999999</v>
      </c>
      <c r="E335" s="11">
        <f>6.5781 * CHOOSE(CONTROL!$C$32, $C$9, 100%, $E$9)</f>
        <v>6.5781000000000001</v>
      </c>
      <c r="F335" s="11">
        <f>6.5781 * CHOOSE(CONTROL!$C$32, $C$9, 100%, $E$9)</f>
        <v>6.5781000000000001</v>
      </c>
      <c r="G335" s="11">
        <f>6.5813 * CHOOSE(CONTROL!$C$32, $C$9, 100%, $E$9)</f>
        <v>6.5812999999999997</v>
      </c>
      <c r="H335" s="11">
        <f>11.2461 * CHOOSE(CONTROL!$C$32, $C$9, 100%, $E$9)</f>
        <v>11.2461</v>
      </c>
      <c r="I335" s="11">
        <f>11.2494 * CHOOSE(CONTROL!$C$32, $C$9, 100%, $E$9)</f>
        <v>11.2494</v>
      </c>
      <c r="J335" s="11">
        <f>11.2461 * CHOOSE(CONTROL!$C$32, $C$9, 100%, $E$9)</f>
        <v>11.2461</v>
      </c>
      <c r="K335" s="11">
        <f>11.2494 * CHOOSE(CONTROL!$C$32, $C$9, 100%, $E$9)</f>
        <v>11.2494</v>
      </c>
      <c r="L335" s="11">
        <f>6.5781 * CHOOSE(CONTROL!$C$32, $C$9, 100%, $E$9)</f>
        <v>6.5781000000000001</v>
      </c>
      <c r="M335" s="11">
        <f>6.5813 * CHOOSE(CONTROL!$C$32, $C$9, 100%, $E$9)</f>
        <v>6.5812999999999997</v>
      </c>
      <c r="N335" s="11">
        <f>6.5781 * CHOOSE(CONTROL!$C$32, $C$9, 100%, $E$9)</f>
        <v>6.5781000000000001</v>
      </c>
      <c r="O335" s="11">
        <f>6.5813 * CHOOSE(CONTROL!$C$32, $C$9, 100%, $E$9)</f>
        <v>6.5812999999999997</v>
      </c>
    </row>
    <row r="336" spans="1:15" ht="15" x14ac:dyDescent="0.2">
      <c r="A336" s="13">
        <v>51075</v>
      </c>
      <c r="B336" s="9">
        <f>5.2308 * CHOOSE(CONTROL!$C$32, $C$9, 100%, $E$9)</f>
        <v>5.2308000000000003</v>
      </c>
      <c r="C336" s="9">
        <f>5.2308 * CHOOSE(CONTROL!$C$32, $C$9, 100%, $E$9)</f>
        <v>5.2308000000000003</v>
      </c>
      <c r="D336" s="9">
        <f>5.2317 * CHOOSE(CONTROL!$C$32, $C$9, 100%, $E$9)</f>
        <v>5.2317</v>
      </c>
      <c r="E336" s="11">
        <f>6.6038 * CHOOSE(CONTROL!$C$32, $C$9, 100%, $E$9)</f>
        <v>6.6037999999999997</v>
      </c>
      <c r="F336" s="11">
        <f>6.6038 * CHOOSE(CONTROL!$C$32, $C$9, 100%, $E$9)</f>
        <v>6.6037999999999997</v>
      </c>
      <c r="G336" s="11">
        <f>6.607 * CHOOSE(CONTROL!$C$32, $C$9, 100%, $E$9)</f>
        <v>6.6070000000000002</v>
      </c>
      <c r="H336" s="11">
        <f>11.2696 * CHOOSE(CONTROL!$C$32, $C$9, 100%, $E$9)</f>
        <v>11.269600000000001</v>
      </c>
      <c r="I336" s="11">
        <f>11.2728 * CHOOSE(CONTROL!$C$32, $C$9, 100%, $E$9)</f>
        <v>11.2728</v>
      </c>
      <c r="J336" s="11">
        <f>11.2696 * CHOOSE(CONTROL!$C$32, $C$9, 100%, $E$9)</f>
        <v>11.269600000000001</v>
      </c>
      <c r="K336" s="11">
        <f>11.2728 * CHOOSE(CONTROL!$C$32, $C$9, 100%, $E$9)</f>
        <v>11.2728</v>
      </c>
      <c r="L336" s="11">
        <f>6.6038 * CHOOSE(CONTROL!$C$32, $C$9, 100%, $E$9)</f>
        <v>6.6037999999999997</v>
      </c>
      <c r="M336" s="11">
        <f>6.607 * CHOOSE(CONTROL!$C$32, $C$9, 100%, $E$9)</f>
        <v>6.6070000000000002</v>
      </c>
      <c r="N336" s="11">
        <f>6.6038 * CHOOSE(CONTROL!$C$32, $C$9, 100%, $E$9)</f>
        <v>6.6037999999999997</v>
      </c>
      <c r="O336" s="11">
        <f>6.607 * CHOOSE(CONTROL!$C$32, $C$9, 100%, $E$9)</f>
        <v>6.6070000000000002</v>
      </c>
    </row>
    <row r="337" spans="1:15" ht="15" x14ac:dyDescent="0.2">
      <c r="A337" s="13">
        <v>51105</v>
      </c>
      <c r="B337" s="9">
        <f>5.2308 * CHOOSE(CONTROL!$C$32, $C$9, 100%, $E$9)</f>
        <v>5.2308000000000003</v>
      </c>
      <c r="C337" s="9">
        <f>5.2308 * CHOOSE(CONTROL!$C$32, $C$9, 100%, $E$9)</f>
        <v>5.2308000000000003</v>
      </c>
      <c r="D337" s="9">
        <f>5.2317 * CHOOSE(CONTROL!$C$32, $C$9, 100%, $E$9)</f>
        <v>5.2317</v>
      </c>
      <c r="E337" s="11">
        <f>6.5448 * CHOOSE(CONTROL!$C$32, $C$9, 100%, $E$9)</f>
        <v>6.5448000000000004</v>
      </c>
      <c r="F337" s="11">
        <f>6.5448 * CHOOSE(CONTROL!$C$32, $C$9, 100%, $E$9)</f>
        <v>6.5448000000000004</v>
      </c>
      <c r="G337" s="11">
        <f>6.5481 * CHOOSE(CONTROL!$C$32, $C$9, 100%, $E$9)</f>
        <v>6.5480999999999998</v>
      </c>
      <c r="H337" s="11">
        <f>11.293 * CHOOSE(CONTROL!$C$32, $C$9, 100%, $E$9)</f>
        <v>11.292999999999999</v>
      </c>
      <c r="I337" s="11">
        <f>11.2963 * CHOOSE(CONTROL!$C$32, $C$9, 100%, $E$9)</f>
        <v>11.2963</v>
      </c>
      <c r="J337" s="11">
        <f>11.293 * CHOOSE(CONTROL!$C$32, $C$9, 100%, $E$9)</f>
        <v>11.292999999999999</v>
      </c>
      <c r="K337" s="11">
        <f>11.2963 * CHOOSE(CONTROL!$C$32, $C$9, 100%, $E$9)</f>
        <v>11.2963</v>
      </c>
      <c r="L337" s="11">
        <f>6.5448 * CHOOSE(CONTROL!$C$32, $C$9, 100%, $E$9)</f>
        <v>6.5448000000000004</v>
      </c>
      <c r="M337" s="11">
        <f>6.5481 * CHOOSE(CONTROL!$C$32, $C$9, 100%, $E$9)</f>
        <v>6.5480999999999998</v>
      </c>
      <c r="N337" s="11">
        <f>6.5448 * CHOOSE(CONTROL!$C$32, $C$9, 100%, $E$9)</f>
        <v>6.5448000000000004</v>
      </c>
      <c r="O337" s="11">
        <f>6.5481 * CHOOSE(CONTROL!$C$32, $C$9, 100%, $E$9)</f>
        <v>6.5480999999999998</v>
      </c>
    </row>
    <row r="338" spans="1:15" ht="15" x14ac:dyDescent="0.2">
      <c r="A338" s="13">
        <v>51136</v>
      </c>
      <c r="B338" s="9">
        <f>5.2721 * CHOOSE(CONTROL!$C$32, $C$9, 100%, $E$9)</f>
        <v>5.2721</v>
      </c>
      <c r="C338" s="9">
        <f>5.2721 * CHOOSE(CONTROL!$C$32, $C$9, 100%, $E$9)</f>
        <v>5.2721</v>
      </c>
      <c r="D338" s="9">
        <f>5.2731 * CHOOSE(CONTROL!$C$32, $C$9, 100%, $E$9)</f>
        <v>5.2731000000000003</v>
      </c>
      <c r="E338" s="11">
        <f>6.6042 * CHOOSE(CONTROL!$C$32, $C$9, 100%, $E$9)</f>
        <v>6.6041999999999996</v>
      </c>
      <c r="F338" s="11">
        <f>6.6042 * CHOOSE(CONTROL!$C$32, $C$9, 100%, $E$9)</f>
        <v>6.6041999999999996</v>
      </c>
      <c r="G338" s="11">
        <f>6.6074 * CHOOSE(CONTROL!$C$32, $C$9, 100%, $E$9)</f>
        <v>6.6074000000000002</v>
      </c>
      <c r="H338" s="11">
        <f>11.3166 * CHOOSE(CONTROL!$C$32, $C$9, 100%, $E$9)</f>
        <v>11.316599999999999</v>
      </c>
      <c r="I338" s="11">
        <f>11.3198 * CHOOSE(CONTROL!$C$32, $C$9, 100%, $E$9)</f>
        <v>11.319800000000001</v>
      </c>
      <c r="J338" s="11">
        <f>11.3166 * CHOOSE(CONTROL!$C$32, $C$9, 100%, $E$9)</f>
        <v>11.316599999999999</v>
      </c>
      <c r="K338" s="11">
        <f>11.3198 * CHOOSE(CONTROL!$C$32, $C$9, 100%, $E$9)</f>
        <v>11.319800000000001</v>
      </c>
      <c r="L338" s="11">
        <f>6.6042 * CHOOSE(CONTROL!$C$32, $C$9, 100%, $E$9)</f>
        <v>6.6041999999999996</v>
      </c>
      <c r="M338" s="11">
        <f>6.6074 * CHOOSE(CONTROL!$C$32, $C$9, 100%, $E$9)</f>
        <v>6.6074000000000002</v>
      </c>
      <c r="N338" s="11">
        <f>6.6042 * CHOOSE(CONTROL!$C$32, $C$9, 100%, $E$9)</f>
        <v>6.6041999999999996</v>
      </c>
      <c r="O338" s="11">
        <f>6.6074 * CHOOSE(CONTROL!$C$32, $C$9, 100%, $E$9)</f>
        <v>6.6074000000000002</v>
      </c>
    </row>
    <row r="339" spans="1:15" ht="15" x14ac:dyDescent="0.2">
      <c r="A339" s="13">
        <v>51167</v>
      </c>
      <c r="B339" s="9">
        <f>5.2691 * CHOOSE(CONTROL!$C$32, $C$9, 100%, $E$9)</f>
        <v>5.2690999999999999</v>
      </c>
      <c r="C339" s="9">
        <f>5.2691 * CHOOSE(CONTROL!$C$32, $C$9, 100%, $E$9)</f>
        <v>5.2690999999999999</v>
      </c>
      <c r="D339" s="9">
        <f>5.27 * CHOOSE(CONTROL!$C$32, $C$9, 100%, $E$9)</f>
        <v>5.27</v>
      </c>
      <c r="E339" s="11">
        <f>6.487 * CHOOSE(CONTROL!$C$32, $C$9, 100%, $E$9)</f>
        <v>6.4870000000000001</v>
      </c>
      <c r="F339" s="11">
        <f>6.487 * CHOOSE(CONTROL!$C$32, $C$9, 100%, $E$9)</f>
        <v>6.4870000000000001</v>
      </c>
      <c r="G339" s="11">
        <f>6.4902 * CHOOSE(CONTROL!$C$32, $C$9, 100%, $E$9)</f>
        <v>6.4901999999999997</v>
      </c>
      <c r="H339" s="11">
        <f>11.3401 * CHOOSE(CONTROL!$C$32, $C$9, 100%, $E$9)</f>
        <v>11.3401</v>
      </c>
      <c r="I339" s="11">
        <f>11.3434 * CHOOSE(CONTROL!$C$32, $C$9, 100%, $E$9)</f>
        <v>11.343400000000001</v>
      </c>
      <c r="J339" s="11">
        <f>11.3401 * CHOOSE(CONTROL!$C$32, $C$9, 100%, $E$9)</f>
        <v>11.3401</v>
      </c>
      <c r="K339" s="11">
        <f>11.3434 * CHOOSE(CONTROL!$C$32, $C$9, 100%, $E$9)</f>
        <v>11.343400000000001</v>
      </c>
      <c r="L339" s="11">
        <f>6.487 * CHOOSE(CONTROL!$C$32, $C$9, 100%, $E$9)</f>
        <v>6.4870000000000001</v>
      </c>
      <c r="M339" s="11">
        <f>6.4902 * CHOOSE(CONTROL!$C$32, $C$9, 100%, $E$9)</f>
        <v>6.4901999999999997</v>
      </c>
      <c r="N339" s="11">
        <f>6.487 * CHOOSE(CONTROL!$C$32, $C$9, 100%, $E$9)</f>
        <v>6.4870000000000001</v>
      </c>
      <c r="O339" s="11">
        <f>6.4902 * CHOOSE(CONTROL!$C$32, $C$9, 100%, $E$9)</f>
        <v>6.4901999999999997</v>
      </c>
    </row>
    <row r="340" spans="1:15" ht="15" x14ac:dyDescent="0.2">
      <c r="A340" s="13">
        <v>51196</v>
      </c>
      <c r="B340" s="9">
        <f>5.266 * CHOOSE(CONTROL!$C$32, $C$9, 100%, $E$9)</f>
        <v>5.266</v>
      </c>
      <c r="C340" s="9">
        <f>5.266 * CHOOSE(CONTROL!$C$32, $C$9, 100%, $E$9)</f>
        <v>5.266</v>
      </c>
      <c r="D340" s="9">
        <f>5.267 * CHOOSE(CONTROL!$C$32, $C$9, 100%, $E$9)</f>
        <v>5.2670000000000003</v>
      </c>
      <c r="E340" s="11">
        <f>6.5756 * CHOOSE(CONTROL!$C$32, $C$9, 100%, $E$9)</f>
        <v>6.5755999999999997</v>
      </c>
      <c r="F340" s="11">
        <f>6.5756 * CHOOSE(CONTROL!$C$32, $C$9, 100%, $E$9)</f>
        <v>6.5755999999999997</v>
      </c>
      <c r="G340" s="11">
        <f>6.5788 * CHOOSE(CONTROL!$C$32, $C$9, 100%, $E$9)</f>
        <v>6.5788000000000002</v>
      </c>
      <c r="H340" s="11">
        <f>11.3638 * CHOOSE(CONTROL!$C$32, $C$9, 100%, $E$9)</f>
        <v>11.363799999999999</v>
      </c>
      <c r="I340" s="11">
        <f>11.367 * CHOOSE(CONTROL!$C$32, $C$9, 100%, $E$9)</f>
        <v>11.367000000000001</v>
      </c>
      <c r="J340" s="11">
        <f>11.3638 * CHOOSE(CONTROL!$C$32, $C$9, 100%, $E$9)</f>
        <v>11.363799999999999</v>
      </c>
      <c r="K340" s="11">
        <f>11.367 * CHOOSE(CONTROL!$C$32, $C$9, 100%, $E$9)</f>
        <v>11.367000000000001</v>
      </c>
      <c r="L340" s="11">
        <f>6.5756 * CHOOSE(CONTROL!$C$32, $C$9, 100%, $E$9)</f>
        <v>6.5755999999999997</v>
      </c>
      <c r="M340" s="11">
        <f>6.5788 * CHOOSE(CONTROL!$C$32, $C$9, 100%, $E$9)</f>
        <v>6.5788000000000002</v>
      </c>
      <c r="N340" s="11">
        <f>6.5756 * CHOOSE(CONTROL!$C$32, $C$9, 100%, $E$9)</f>
        <v>6.5755999999999997</v>
      </c>
      <c r="O340" s="11">
        <f>6.5788 * CHOOSE(CONTROL!$C$32, $C$9, 100%, $E$9)</f>
        <v>6.5788000000000002</v>
      </c>
    </row>
    <row r="341" spans="1:15" ht="15" x14ac:dyDescent="0.2">
      <c r="A341" s="13">
        <v>51227</v>
      </c>
      <c r="B341" s="9">
        <f>5.2649 * CHOOSE(CONTROL!$C$32, $C$9, 100%, $E$9)</f>
        <v>5.2648999999999999</v>
      </c>
      <c r="C341" s="9">
        <f>5.2649 * CHOOSE(CONTROL!$C$32, $C$9, 100%, $E$9)</f>
        <v>5.2648999999999999</v>
      </c>
      <c r="D341" s="9">
        <f>5.2659 * CHOOSE(CONTROL!$C$32, $C$9, 100%, $E$9)</f>
        <v>5.2659000000000002</v>
      </c>
      <c r="E341" s="11">
        <f>6.6687 * CHOOSE(CONTROL!$C$32, $C$9, 100%, $E$9)</f>
        <v>6.6687000000000003</v>
      </c>
      <c r="F341" s="11">
        <f>6.6687 * CHOOSE(CONTROL!$C$32, $C$9, 100%, $E$9)</f>
        <v>6.6687000000000003</v>
      </c>
      <c r="G341" s="11">
        <f>6.6719 * CHOOSE(CONTROL!$C$32, $C$9, 100%, $E$9)</f>
        <v>6.6718999999999999</v>
      </c>
      <c r="H341" s="11">
        <f>11.3874 * CHOOSE(CONTROL!$C$32, $C$9, 100%, $E$9)</f>
        <v>11.3874</v>
      </c>
      <c r="I341" s="11">
        <f>11.3907 * CHOOSE(CONTROL!$C$32, $C$9, 100%, $E$9)</f>
        <v>11.390700000000001</v>
      </c>
      <c r="J341" s="11">
        <f>11.3874 * CHOOSE(CONTROL!$C$32, $C$9, 100%, $E$9)</f>
        <v>11.3874</v>
      </c>
      <c r="K341" s="11">
        <f>11.3907 * CHOOSE(CONTROL!$C$32, $C$9, 100%, $E$9)</f>
        <v>11.390700000000001</v>
      </c>
      <c r="L341" s="11">
        <f>6.6687 * CHOOSE(CONTROL!$C$32, $C$9, 100%, $E$9)</f>
        <v>6.6687000000000003</v>
      </c>
      <c r="M341" s="11">
        <f>6.6719 * CHOOSE(CONTROL!$C$32, $C$9, 100%, $E$9)</f>
        <v>6.6718999999999999</v>
      </c>
      <c r="N341" s="11">
        <f>6.6687 * CHOOSE(CONTROL!$C$32, $C$9, 100%, $E$9)</f>
        <v>6.6687000000000003</v>
      </c>
      <c r="O341" s="11">
        <f>6.6719 * CHOOSE(CONTROL!$C$32, $C$9, 100%, $E$9)</f>
        <v>6.6718999999999999</v>
      </c>
    </row>
    <row r="342" spans="1:15" ht="15" x14ac:dyDescent="0.2">
      <c r="A342" s="13">
        <v>51257</v>
      </c>
      <c r="B342" s="9">
        <f>5.2649 * CHOOSE(CONTROL!$C$32, $C$9, 100%, $E$9)</f>
        <v>5.2648999999999999</v>
      </c>
      <c r="C342" s="9">
        <f>5.2649 * CHOOSE(CONTROL!$C$32, $C$9, 100%, $E$9)</f>
        <v>5.2648999999999999</v>
      </c>
      <c r="D342" s="9">
        <f>5.2662 * CHOOSE(CONTROL!$C$32, $C$9, 100%, $E$9)</f>
        <v>5.2662000000000004</v>
      </c>
      <c r="E342" s="11">
        <f>6.7052 * CHOOSE(CONTROL!$C$32, $C$9, 100%, $E$9)</f>
        <v>6.7051999999999996</v>
      </c>
      <c r="F342" s="11">
        <f>6.7052 * CHOOSE(CONTROL!$C$32, $C$9, 100%, $E$9)</f>
        <v>6.7051999999999996</v>
      </c>
      <c r="G342" s="11">
        <f>6.7094 * CHOOSE(CONTROL!$C$32, $C$9, 100%, $E$9)</f>
        <v>6.7093999999999996</v>
      </c>
      <c r="H342" s="11">
        <f>11.4112 * CHOOSE(CONTROL!$C$32, $C$9, 100%, $E$9)</f>
        <v>11.411199999999999</v>
      </c>
      <c r="I342" s="11">
        <f>11.4154 * CHOOSE(CONTROL!$C$32, $C$9, 100%, $E$9)</f>
        <v>11.4154</v>
      </c>
      <c r="J342" s="11">
        <f>11.4112 * CHOOSE(CONTROL!$C$32, $C$9, 100%, $E$9)</f>
        <v>11.411199999999999</v>
      </c>
      <c r="K342" s="11">
        <f>11.4154 * CHOOSE(CONTROL!$C$32, $C$9, 100%, $E$9)</f>
        <v>11.4154</v>
      </c>
      <c r="L342" s="11">
        <f>6.7052 * CHOOSE(CONTROL!$C$32, $C$9, 100%, $E$9)</f>
        <v>6.7051999999999996</v>
      </c>
      <c r="M342" s="11">
        <f>6.7094 * CHOOSE(CONTROL!$C$32, $C$9, 100%, $E$9)</f>
        <v>6.7093999999999996</v>
      </c>
      <c r="N342" s="11">
        <f>6.7052 * CHOOSE(CONTROL!$C$32, $C$9, 100%, $E$9)</f>
        <v>6.7051999999999996</v>
      </c>
      <c r="O342" s="11">
        <f>6.7094 * CHOOSE(CONTROL!$C$32, $C$9, 100%, $E$9)</f>
        <v>6.7093999999999996</v>
      </c>
    </row>
    <row r="343" spans="1:15" ht="15" x14ac:dyDescent="0.2">
      <c r="A343" s="13">
        <v>51288</v>
      </c>
      <c r="B343" s="9">
        <f>5.271 * CHOOSE(CONTROL!$C$32, $C$9, 100%, $E$9)</f>
        <v>5.2709999999999999</v>
      </c>
      <c r="C343" s="9">
        <f>5.271 * CHOOSE(CONTROL!$C$32, $C$9, 100%, $E$9)</f>
        <v>5.2709999999999999</v>
      </c>
      <c r="D343" s="9">
        <f>5.2722 * CHOOSE(CONTROL!$C$32, $C$9, 100%, $E$9)</f>
        <v>5.2721999999999998</v>
      </c>
      <c r="E343" s="11">
        <f>6.673 * CHOOSE(CONTROL!$C$32, $C$9, 100%, $E$9)</f>
        <v>6.673</v>
      </c>
      <c r="F343" s="11">
        <f>6.673 * CHOOSE(CONTROL!$C$32, $C$9, 100%, $E$9)</f>
        <v>6.673</v>
      </c>
      <c r="G343" s="11">
        <f>6.6772 * CHOOSE(CONTROL!$C$32, $C$9, 100%, $E$9)</f>
        <v>6.6772</v>
      </c>
      <c r="H343" s="11">
        <f>11.4349 * CHOOSE(CONTROL!$C$32, $C$9, 100%, $E$9)</f>
        <v>11.434900000000001</v>
      </c>
      <c r="I343" s="11">
        <f>11.4391 * CHOOSE(CONTROL!$C$32, $C$9, 100%, $E$9)</f>
        <v>11.4391</v>
      </c>
      <c r="J343" s="11">
        <f>11.4349 * CHOOSE(CONTROL!$C$32, $C$9, 100%, $E$9)</f>
        <v>11.434900000000001</v>
      </c>
      <c r="K343" s="11">
        <f>11.4391 * CHOOSE(CONTROL!$C$32, $C$9, 100%, $E$9)</f>
        <v>11.4391</v>
      </c>
      <c r="L343" s="11">
        <f>6.673 * CHOOSE(CONTROL!$C$32, $C$9, 100%, $E$9)</f>
        <v>6.673</v>
      </c>
      <c r="M343" s="11">
        <f>6.6772 * CHOOSE(CONTROL!$C$32, $C$9, 100%, $E$9)</f>
        <v>6.6772</v>
      </c>
      <c r="N343" s="11">
        <f>6.673 * CHOOSE(CONTROL!$C$32, $C$9, 100%, $E$9)</f>
        <v>6.673</v>
      </c>
      <c r="O343" s="11">
        <f>6.6772 * CHOOSE(CONTROL!$C$32, $C$9, 100%, $E$9)</f>
        <v>6.6772</v>
      </c>
    </row>
    <row r="344" spans="1:15" ht="15" x14ac:dyDescent="0.2">
      <c r="A344" s="13">
        <v>51318</v>
      </c>
      <c r="B344" s="9">
        <f>5.345 * CHOOSE(CONTROL!$C$32, $C$9, 100%, $E$9)</f>
        <v>5.3449999999999998</v>
      </c>
      <c r="C344" s="9">
        <f>5.345 * CHOOSE(CONTROL!$C$32, $C$9, 100%, $E$9)</f>
        <v>5.3449999999999998</v>
      </c>
      <c r="D344" s="9">
        <f>5.3463 * CHOOSE(CONTROL!$C$32, $C$9, 100%, $E$9)</f>
        <v>5.3463000000000003</v>
      </c>
      <c r="E344" s="11">
        <f>6.6813 * CHOOSE(CONTROL!$C$32, $C$9, 100%, $E$9)</f>
        <v>6.6813000000000002</v>
      </c>
      <c r="F344" s="11">
        <f>6.6813 * CHOOSE(CONTROL!$C$32, $C$9, 100%, $E$9)</f>
        <v>6.6813000000000002</v>
      </c>
      <c r="G344" s="11">
        <f>6.6855 * CHOOSE(CONTROL!$C$32, $C$9, 100%, $E$9)</f>
        <v>6.6855000000000002</v>
      </c>
      <c r="H344" s="11">
        <f>11.4588 * CHOOSE(CONTROL!$C$32, $C$9, 100%, $E$9)</f>
        <v>11.4588</v>
      </c>
      <c r="I344" s="11">
        <f>11.463 * CHOOSE(CONTROL!$C$32, $C$9, 100%, $E$9)</f>
        <v>11.462999999999999</v>
      </c>
      <c r="J344" s="11">
        <f>11.4588 * CHOOSE(CONTROL!$C$32, $C$9, 100%, $E$9)</f>
        <v>11.4588</v>
      </c>
      <c r="K344" s="11">
        <f>11.463 * CHOOSE(CONTROL!$C$32, $C$9, 100%, $E$9)</f>
        <v>11.462999999999999</v>
      </c>
      <c r="L344" s="11">
        <f>6.6813 * CHOOSE(CONTROL!$C$32, $C$9, 100%, $E$9)</f>
        <v>6.6813000000000002</v>
      </c>
      <c r="M344" s="11">
        <f>6.6855 * CHOOSE(CONTROL!$C$32, $C$9, 100%, $E$9)</f>
        <v>6.6855000000000002</v>
      </c>
      <c r="N344" s="11">
        <f>6.6813 * CHOOSE(CONTROL!$C$32, $C$9, 100%, $E$9)</f>
        <v>6.6813000000000002</v>
      </c>
      <c r="O344" s="11">
        <f>6.6855 * CHOOSE(CONTROL!$C$32, $C$9, 100%, $E$9)</f>
        <v>6.6855000000000002</v>
      </c>
    </row>
    <row r="345" spans="1:15" ht="15" x14ac:dyDescent="0.2">
      <c r="A345" s="13">
        <v>51349</v>
      </c>
      <c r="B345" s="9">
        <f>5.3517 * CHOOSE(CONTROL!$C$32, $C$9, 100%, $E$9)</f>
        <v>5.3517000000000001</v>
      </c>
      <c r="C345" s="9">
        <f>5.3517 * CHOOSE(CONTROL!$C$32, $C$9, 100%, $E$9)</f>
        <v>5.3517000000000001</v>
      </c>
      <c r="D345" s="9">
        <f>5.3529 * CHOOSE(CONTROL!$C$32, $C$9, 100%, $E$9)</f>
        <v>5.3529</v>
      </c>
      <c r="E345" s="11">
        <f>6.5764 * CHOOSE(CONTROL!$C$32, $C$9, 100%, $E$9)</f>
        <v>6.5763999999999996</v>
      </c>
      <c r="F345" s="11">
        <f>6.5764 * CHOOSE(CONTROL!$C$32, $C$9, 100%, $E$9)</f>
        <v>6.5763999999999996</v>
      </c>
      <c r="G345" s="11">
        <f>6.5806 * CHOOSE(CONTROL!$C$32, $C$9, 100%, $E$9)</f>
        <v>6.5805999999999996</v>
      </c>
      <c r="H345" s="11">
        <f>11.4826 * CHOOSE(CONTROL!$C$32, $C$9, 100%, $E$9)</f>
        <v>11.4826</v>
      </c>
      <c r="I345" s="11">
        <f>11.4868 * CHOOSE(CONTROL!$C$32, $C$9, 100%, $E$9)</f>
        <v>11.486800000000001</v>
      </c>
      <c r="J345" s="11">
        <f>11.4826 * CHOOSE(CONTROL!$C$32, $C$9, 100%, $E$9)</f>
        <v>11.4826</v>
      </c>
      <c r="K345" s="11">
        <f>11.4868 * CHOOSE(CONTROL!$C$32, $C$9, 100%, $E$9)</f>
        <v>11.486800000000001</v>
      </c>
      <c r="L345" s="11">
        <f>6.5764 * CHOOSE(CONTROL!$C$32, $C$9, 100%, $E$9)</f>
        <v>6.5763999999999996</v>
      </c>
      <c r="M345" s="11">
        <f>6.5806 * CHOOSE(CONTROL!$C$32, $C$9, 100%, $E$9)</f>
        <v>6.5805999999999996</v>
      </c>
      <c r="N345" s="11">
        <f>6.5764 * CHOOSE(CONTROL!$C$32, $C$9, 100%, $E$9)</f>
        <v>6.5763999999999996</v>
      </c>
      <c r="O345" s="11">
        <f>6.5806 * CHOOSE(CONTROL!$C$32, $C$9, 100%, $E$9)</f>
        <v>6.5805999999999996</v>
      </c>
    </row>
    <row r="346" spans="1:15" ht="15" x14ac:dyDescent="0.2">
      <c r="A346" s="13">
        <v>51380</v>
      </c>
      <c r="B346" s="9">
        <f>5.3487 * CHOOSE(CONTROL!$C$32, $C$9, 100%, $E$9)</f>
        <v>5.3487</v>
      </c>
      <c r="C346" s="9">
        <f>5.3487 * CHOOSE(CONTROL!$C$32, $C$9, 100%, $E$9)</f>
        <v>5.3487</v>
      </c>
      <c r="D346" s="9">
        <f>5.3499 * CHOOSE(CONTROL!$C$32, $C$9, 100%, $E$9)</f>
        <v>5.3498999999999999</v>
      </c>
      <c r="E346" s="11">
        <f>6.5621 * CHOOSE(CONTROL!$C$32, $C$9, 100%, $E$9)</f>
        <v>6.5621</v>
      </c>
      <c r="F346" s="11">
        <f>6.5621 * CHOOSE(CONTROL!$C$32, $C$9, 100%, $E$9)</f>
        <v>6.5621</v>
      </c>
      <c r="G346" s="11">
        <f>6.5663 * CHOOSE(CONTROL!$C$32, $C$9, 100%, $E$9)</f>
        <v>6.5663</v>
      </c>
      <c r="H346" s="11">
        <f>11.5066 * CHOOSE(CONTROL!$C$32, $C$9, 100%, $E$9)</f>
        <v>11.506600000000001</v>
      </c>
      <c r="I346" s="11">
        <f>11.5108 * CHOOSE(CONTROL!$C$32, $C$9, 100%, $E$9)</f>
        <v>11.5108</v>
      </c>
      <c r="J346" s="11">
        <f>11.5066 * CHOOSE(CONTROL!$C$32, $C$9, 100%, $E$9)</f>
        <v>11.506600000000001</v>
      </c>
      <c r="K346" s="11">
        <f>11.5108 * CHOOSE(CONTROL!$C$32, $C$9, 100%, $E$9)</f>
        <v>11.5108</v>
      </c>
      <c r="L346" s="11">
        <f>6.5621 * CHOOSE(CONTROL!$C$32, $C$9, 100%, $E$9)</f>
        <v>6.5621</v>
      </c>
      <c r="M346" s="11">
        <f>6.5663 * CHOOSE(CONTROL!$C$32, $C$9, 100%, $E$9)</f>
        <v>6.5663</v>
      </c>
      <c r="N346" s="11">
        <f>6.5621 * CHOOSE(CONTROL!$C$32, $C$9, 100%, $E$9)</f>
        <v>6.5621</v>
      </c>
      <c r="O346" s="11">
        <f>6.5663 * CHOOSE(CONTROL!$C$32, $C$9, 100%, $E$9)</f>
        <v>6.5663</v>
      </c>
    </row>
    <row r="347" spans="1:15" ht="15" x14ac:dyDescent="0.2">
      <c r="A347" s="13">
        <v>51410</v>
      </c>
      <c r="B347" s="9">
        <f>5.3487 * CHOOSE(CONTROL!$C$32, $C$9, 100%, $E$9)</f>
        <v>5.3487</v>
      </c>
      <c r="C347" s="9">
        <f>5.3487 * CHOOSE(CONTROL!$C$32, $C$9, 100%, $E$9)</f>
        <v>5.3487</v>
      </c>
      <c r="D347" s="9">
        <f>5.3497 * CHOOSE(CONTROL!$C$32, $C$9, 100%, $E$9)</f>
        <v>5.3497000000000003</v>
      </c>
      <c r="E347" s="11">
        <f>6.5974 * CHOOSE(CONTROL!$C$32, $C$9, 100%, $E$9)</f>
        <v>6.5974000000000004</v>
      </c>
      <c r="F347" s="11">
        <f>6.5974 * CHOOSE(CONTROL!$C$32, $C$9, 100%, $E$9)</f>
        <v>6.5974000000000004</v>
      </c>
      <c r="G347" s="11">
        <f>6.6006 * CHOOSE(CONTROL!$C$32, $C$9, 100%, $E$9)</f>
        <v>6.6006</v>
      </c>
      <c r="H347" s="11">
        <f>11.5305 * CHOOSE(CONTROL!$C$32, $C$9, 100%, $E$9)</f>
        <v>11.5305</v>
      </c>
      <c r="I347" s="11">
        <f>11.5338 * CHOOSE(CONTROL!$C$32, $C$9, 100%, $E$9)</f>
        <v>11.533799999999999</v>
      </c>
      <c r="J347" s="11">
        <f>11.5305 * CHOOSE(CONTROL!$C$32, $C$9, 100%, $E$9)</f>
        <v>11.5305</v>
      </c>
      <c r="K347" s="11">
        <f>11.5338 * CHOOSE(CONTROL!$C$32, $C$9, 100%, $E$9)</f>
        <v>11.533799999999999</v>
      </c>
      <c r="L347" s="11">
        <f>6.5974 * CHOOSE(CONTROL!$C$32, $C$9, 100%, $E$9)</f>
        <v>6.5974000000000004</v>
      </c>
      <c r="M347" s="11">
        <f>6.6006 * CHOOSE(CONTROL!$C$32, $C$9, 100%, $E$9)</f>
        <v>6.6006</v>
      </c>
      <c r="N347" s="11">
        <f>6.5974 * CHOOSE(CONTROL!$C$32, $C$9, 100%, $E$9)</f>
        <v>6.5974000000000004</v>
      </c>
      <c r="O347" s="11">
        <f>6.6006 * CHOOSE(CONTROL!$C$32, $C$9, 100%, $E$9)</f>
        <v>6.6006</v>
      </c>
    </row>
    <row r="348" spans="1:15" ht="15" x14ac:dyDescent="0.2">
      <c r="A348" s="13">
        <v>51441</v>
      </c>
      <c r="B348" s="9">
        <f>5.3518 * CHOOSE(CONTROL!$C$32, $C$9, 100%, $E$9)</f>
        <v>5.3517999999999999</v>
      </c>
      <c r="C348" s="9">
        <f>5.3518 * CHOOSE(CONTROL!$C$32, $C$9, 100%, $E$9)</f>
        <v>5.3517999999999999</v>
      </c>
      <c r="D348" s="9">
        <f>5.3527 * CHOOSE(CONTROL!$C$32, $C$9, 100%, $E$9)</f>
        <v>5.3526999999999996</v>
      </c>
      <c r="E348" s="11">
        <f>6.6239 * CHOOSE(CONTROL!$C$32, $C$9, 100%, $E$9)</f>
        <v>6.6238999999999999</v>
      </c>
      <c r="F348" s="11">
        <f>6.6239 * CHOOSE(CONTROL!$C$32, $C$9, 100%, $E$9)</f>
        <v>6.6238999999999999</v>
      </c>
      <c r="G348" s="11">
        <f>6.6271 * CHOOSE(CONTROL!$C$32, $C$9, 100%, $E$9)</f>
        <v>6.6271000000000004</v>
      </c>
      <c r="H348" s="11">
        <f>11.5546 * CHOOSE(CONTROL!$C$32, $C$9, 100%, $E$9)</f>
        <v>11.554600000000001</v>
      </c>
      <c r="I348" s="11">
        <f>11.5578 * CHOOSE(CONTROL!$C$32, $C$9, 100%, $E$9)</f>
        <v>11.5578</v>
      </c>
      <c r="J348" s="11">
        <f>11.5546 * CHOOSE(CONTROL!$C$32, $C$9, 100%, $E$9)</f>
        <v>11.554600000000001</v>
      </c>
      <c r="K348" s="11">
        <f>11.5578 * CHOOSE(CONTROL!$C$32, $C$9, 100%, $E$9)</f>
        <v>11.5578</v>
      </c>
      <c r="L348" s="11">
        <f>6.6239 * CHOOSE(CONTROL!$C$32, $C$9, 100%, $E$9)</f>
        <v>6.6238999999999999</v>
      </c>
      <c r="M348" s="11">
        <f>6.6271 * CHOOSE(CONTROL!$C$32, $C$9, 100%, $E$9)</f>
        <v>6.6271000000000004</v>
      </c>
      <c r="N348" s="11">
        <f>6.6239 * CHOOSE(CONTROL!$C$32, $C$9, 100%, $E$9)</f>
        <v>6.6238999999999999</v>
      </c>
      <c r="O348" s="11">
        <f>6.6271 * CHOOSE(CONTROL!$C$32, $C$9, 100%, $E$9)</f>
        <v>6.6271000000000004</v>
      </c>
    </row>
    <row r="349" spans="1:15" ht="15" x14ac:dyDescent="0.2">
      <c r="A349" s="13">
        <v>51471</v>
      </c>
      <c r="B349" s="9">
        <f>5.3518 * CHOOSE(CONTROL!$C$32, $C$9, 100%, $E$9)</f>
        <v>5.3517999999999999</v>
      </c>
      <c r="C349" s="9">
        <f>5.3518 * CHOOSE(CONTROL!$C$32, $C$9, 100%, $E$9)</f>
        <v>5.3517999999999999</v>
      </c>
      <c r="D349" s="9">
        <f>5.3527 * CHOOSE(CONTROL!$C$32, $C$9, 100%, $E$9)</f>
        <v>5.3526999999999996</v>
      </c>
      <c r="E349" s="11">
        <f>6.563 * CHOOSE(CONTROL!$C$32, $C$9, 100%, $E$9)</f>
        <v>6.5629999999999997</v>
      </c>
      <c r="F349" s="11">
        <f>6.563 * CHOOSE(CONTROL!$C$32, $C$9, 100%, $E$9)</f>
        <v>6.5629999999999997</v>
      </c>
      <c r="G349" s="11">
        <f>6.5662 * CHOOSE(CONTROL!$C$32, $C$9, 100%, $E$9)</f>
        <v>6.5662000000000003</v>
      </c>
      <c r="H349" s="11">
        <f>11.5786 * CHOOSE(CONTROL!$C$32, $C$9, 100%, $E$9)</f>
        <v>11.5786</v>
      </c>
      <c r="I349" s="11">
        <f>11.5819 * CHOOSE(CONTROL!$C$32, $C$9, 100%, $E$9)</f>
        <v>11.581899999999999</v>
      </c>
      <c r="J349" s="11">
        <f>11.5786 * CHOOSE(CONTROL!$C$32, $C$9, 100%, $E$9)</f>
        <v>11.5786</v>
      </c>
      <c r="K349" s="11">
        <f>11.5819 * CHOOSE(CONTROL!$C$32, $C$9, 100%, $E$9)</f>
        <v>11.581899999999999</v>
      </c>
      <c r="L349" s="11">
        <f>6.563 * CHOOSE(CONTROL!$C$32, $C$9, 100%, $E$9)</f>
        <v>6.5629999999999997</v>
      </c>
      <c r="M349" s="11">
        <f>6.5662 * CHOOSE(CONTROL!$C$32, $C$9, 100%, $E$9)</f>
        <v>6.5662000000000003</v>
      </c>
      <c r="N349" s="11">
        <f>6.563 * CHOOSE(CONTROL!$C$32, $C$9, 100%, $E$9)</f>
        <v>6.5629999999999997</v>
      </c>
      <c r="O349" s="11">
        <f>6.5662 * CHOOSE(CONTROL!$C$32, $C$9, 100%, $E$9)</f>
        <v>6.5662000000000003</v>
      </c>
    </row>
    <row r="350" spans="1:15" ht="15" x14ac:dyDescent="0.2">
      <c r="A350" s="13">
        <v>51502</v>
      </c>
      <c r="B350" s="9">
        <f>5.3929 * CHOOSE(CONTROL!$C$32, $C$9, 100%, $E$9)</f>
        <v>5.3929</v>
      </c>
      <c r="C350" s="9">
        <f>5.3929 * CHOOSE(CONTROL!$C$32, $C$9, 100%, $E$9)</f>
        <v>5.3929</v>
      </c>
      <c r="D350" s="9">
        <f>5.3938 * CHOOSE(CONTROL!$C$32, $C$9, 100%, $E$9)</f>
        <v>5.3937999999999997</v>
      </c>
      <c r="E350" s="11">
        <f>6.6295 * CHOOSE(CONTROL!$C$32, $C$9, 100%, $E$9)</f>
        <v>6.6295000000000002</v>
      </c>
      <c r="F350" s="11">
        <f>6.6295 * CHOOSE(CONTROL!$C$32, $C$9, 100%, $E$9)</f>
        <v>6.6295000000000002</v>
      </c>
      <c r="G350" s="11">
        <f>6.6327 * CHOOSE(CONTROL!$C$32, $C$9, 100%, $E$9)</f>
        <v>6.6326999999999998</v>
      </c>
      <c r="H350" s="11">
        <f>11.6027 * CHOOSE(CONTROL!$C$32, $C$9, 100%, $E$9)</f>
        <v>11.6027</v>
      </c>
      <c r="I350" s="11">
        <f>11.606 * CHOOSE(CONTROL!$C$32, $C$9, 100%, $E$9)</f>
        <v>11.606</v>
      </c>
      <c r="J350" s="11">
        <f>11.6027 * CHOOSE(CONTROL!$C$32, $C$9, 100%, $E$9)</f>
        <v>11.6027</v>
      </c>
      <c r="K350" s="11">
        <f>11.606 * CHOOSE(CONTROL!$C$32, $C$9, 100%, $E$9)</f>
        <v>11.606</v>
      </c>
      <c r="L350" s="11">
        <f>6.6295 * CHOOSE(CONTROL!$C$32, $C$9, 100%, $E$9)</f>
        <v>6.6295000000000002</v>
      </c>
      <c r="M350" s="11">
        <f>6.6327 * CHOOSE(CONTROL!$C$32, $C$9, 100%, $E$9)</f>
        <v>6.6326999999999998</v>
      </c>
      <c r="N350" s="11">
        <f>6.6295 * CHOOSE(CONTROL!$C$32, $C$9, 100%, $E$9)</f>
        <v>6.6295000000000002</v>
      </c>
      <c r="O350" s="11">
        <f>6.6327 * CHOOSE(CONTROL!$C$32, $C$9, 100%, $E$9)</f>
        <v>6.6326999999999998</v>
      </c>
    </row>
    <row r="351" spans="1:15" ht="15" x14ac:dyDescent="0.2">
      <c r="A351" s="13">
        <v>51533</v>
      </c>
      <c r="B351" s="9">
        <f>5.3898 * CHOOSE(CONTROL!$C$32, $C$9, 100%, $E$9)</f>
        <v>5.3898000000000001</v>
      </c>
      <c r="C351" s="9">
        <f>5.3898 * CHOOSE(CONTROL!$C$32, $C$9, 100%, $E$9)</f>
        <v>5.3898000000000001</v>
      </c>
      <c r="D351" s="9">
        <f>5.3908 * CHOOSE(CONTROL!$C$32, $C$9, 100%, $E$9)</f>
        <v>5.3907999999999996</v>
      </c>
      <c r="E351" s="11">
        <f>6.5086 * CHOOSE(CONTROL!$C$32, $C$9, 100%, $E$9)</f>
        <v>6.5086000000000004</v>
      </c>
      <c r="F351" s="11">
        <f>6.5086 * CHOOSE(CONTROL!$C$32, $C$9, 100%, $E$9)</f>
        <v>6.5086000000000004</v>
      </c>
      <c r="G351" s="11">
        <f>6.5118 * CHOOSE(CONTROL!$C$32, $C$9, 100%, $E$9)</f>
        <v>6.5118</v>
      </c>
      <c r="H351" s="11">
        <f>11.6269 * CHOOSE(CONTROL!$C$32, $C$9, 100%, $E$9)</f>
        <v>11.626899999999999</v>
      </c>
      <c r="I351" s="11">
        <f>11.6301 * CHOOSE(CONTROL!$C$32, $C$9, 100%, $E$9)</f>
        <v>11.630100000000001</v>
      </c>
      <c r="J351" s="11">
        <f>11.6269 * CHOOSE(CONTROL!$C$32, $C$9, 100%, $E$9)</f>
        <v>11.626899999999999</v>
      </c>
      <c r="K351" s="11">
        <f>11.6301 * CHOOSE(CONTROL!$C$32, $C$9, 100%, $E$9)</f>
        <v>11.630100000000001</v>
      </c>
      <c r="L351" s="11">
        <f>6.5086 * CHOOSE(CONTROL!$C$32, $C$9, 100%, $E$9)</f>
        <v>6.5086000000000004</v>
      </c>
      <c r="M351" s="11">
        <f>6.5118 * CHOOSE(CONTROL!$C$32, $C$9, 100%, $E$9)</f>
        <v>6.5118</v>
      </c>
      <c r="N351" s="11">
        <f>6.5086 * CHOOSE(CONTROL!$C$32, $C$9, 100%, $E$9)</f>
        <v>6.5086000000000004</v>
      </c>
      <c r="O351" s="11">
        <f>6.5118 * CHOOSE(CONTROL!$C$32, $C$9, 100%, $E$9)</f>
        <v>6.5118</v>
      </c>
    </row>
    <row r="352" spans="1:15" ht="15" x14ac:dyDescent="0.2">
      <c r="A352" s="13">
        <v>51561</v>
      </c>
      <c r="B352" s="9">
        <f>5.3868 * CHOOSE(CONTROL!$C$32, $C$9, 100%, $E$9)</f>
        <v>5.3868</v>
      </c>
      <c r="C352" s="9">
        <f>5.3868 * CHOOSE(CONTROL!$C$32, $C$9, 100%, $E$9)</f>
        <v>5.3868</v>
      </c>
      <c r="D352" s="9">
        <f>5.3877 * CHOOSE(CONTROL!$C$32, $C$9, 100%, $E$9)</f>
        <v>5.3876999999999997</v>
      </c>
      <c r="E352" s="11">
        <f>6.6001 * CHOOSE(CONTROL!$C$32, $C$9, 100%, $E$9)</f>
        <v>6.6001000000000003</v>
      </c>
      <c r="F352" s="11">
        <f>6.6001 * CHOOSE(CONTROL!$C$32, $C$9, 100%, $E$9)</f>
        <v>6.6001000000000003</v>
      </c>
      <c r="G352" s="11">
        <f>6.6033 * CHOOSE(CONTROL!$C$32, $C$9, 100%, $E$9)</f>
        <v>6.6032999999999999</v>
      </c>
      <c r="H352" s="11">
        <f>11.6511 * CHOOSE(CONTROL!$C$32, $C$9, 100%, $E$9)</f>
        <v>11.6511</v>
      </c>
      <c r="I352" s="11">
        <f>11.6544 * CHOOSE(CONTROL!$C$32, $C$9, 100%, $E$9)</f>
        <v>11.654400000000001</v>
      </c>
      <c r="J352" s="11">
        <f>11.6511 * CHOOSE(CONTROL!$C$32, $C$9, 100%, $E$9)</f>
        <v>11.6511</v>
      </c>
      <c r="K352" s="11">
        <f>11.6544 * CHOOSE(CONTROL!$C$32, $C$9, 100%, $E$9)</f>
        <v>11.654400000000001</v>
      </c>
      <c r="L352" s="11">
        <f>6.6001 * CHOOSE(CONTROL!$C$32, $C$9, 100%, $E$9)</f>
        <v>6.6001000000000003</v>
      </c>
      <c r="M352" s="11">
        <f>6.6033 * CHOOSE(CONTROL!$C$32, $C$9, 100%, $E$9)</f>
        <v>6.6032999999999999</v>
      </c>
      <c r="N352" s="11">
        <f>6.6001 * CHOOSE(CONTROL!$C$32, $C$9, 100%, $E$9)</f>
        <v>6.6001000000000003</v>
      </c>
      <c r="O352" s="11">
        <f>6.6033 * CHOOSE(CONTROL!$C$32, $C$9, 100%, $E$9)</f>
        <v>6.6032999999999999</v>
      </c>
    </row>
    <row r="353" spans="1:15" ht="15" x14ac:dyDescent="0.2">
      <c r="A353" s="13">
        <v>51592</v>
      </c>
      <c r="B353" s="9">
        <f>5.3858 * CHOOSE(CONTROL!$C$32, $C$9, 100%, $E$9)</f>
        <v>5.3857999999999997</v>
      </c>
      <c r="C353" s="9">
        <f>5.3858 * CHOOSE(CONTROL!$C$32, $C$9, 100%, $E$9)</f>
        <v>5.3857999999999997</v>
      </c>
      <c r="D353" s="9">
        <f>5.3867 * CHOOSE(CONTROL!$C$32, $C$9, 100%, $E$9)</f>
        <v>5.3867000000000003</v>
      </c>
      <c r="E353" s="11">
        <f>6.6964 * CHOOSE(CONTROL!$C$32, $C$9, 100%, $E$9)</f>
        <v>6.6963999999999997</v>
      </c>
      <c r="F353" s="11">
        <f>6.6964 * CHOOSE(CONTROL!$C$32, $C$9, 100%, $E$9)</f>
        <v>6.6963999999999997</v>
      </c>
      <c r="G353" s="11">
        <f>6.6996 * CHOOSE(CONTROL!$C$32, $C$9, 100%, $E$9)</f>
        <v>6.6996000000000002</v>
      </c>
      <c r="H353" s="11">
        <f>11.6754 * CHOOSE(CONTROL!$C$32, $C$9, 100%, $E$9)</f>
        <v>11.6754</v>
      </c>
      <c r="I353" s="11">
        <f>11.6786 * CHOOSE(CONTROL!$C$32, $C$9, 100%, $E$9)</f>
        <v>11.678599999999999</v>
      </c>
      <c r="J353" s="11">
        <f>11.6754 * CHOOSE(CONTROL!$C$32, $C$9, 100%, $E$9)</f>
        <v>11.6754</v>
      </c>
      <c r="K353" s="11">
        <f>11.6786 * CHOOSE(CONTROL!$C$32, $C$9, 100%, $E$9)</f>
        <v>11.678599999999999</v>
      </c>
      <c r="L353" s="11">
        <f>6.6964 * CHOOSE(CONTROL!$C$32, $C$9, 100%, $E$9)</f>
        <v>6.6963999999999997</v>
      </c>
      <c r="M353" s="11">
        <f>6.6996 * CHOOSE(CONTROL!$C$32, $C$9, 100%, $E$9)</f>
        <v>6.6996000000000002</v>
      </c>
      <c r="N353" s="11">
        <f>6.6964 * CHOOSE(CONTROL!$C$32, $C$9, 100%, $E$9)</f>
        <v>6.6963999999999997</v>
      </c>
      <c r="O353" s="11">
        <f>6.6996 * CHOOSE(CONTROL!$C$32, $C$9, 100%, $E$9)</f>
        <v>6.6996000000000002</v>
      </c>
    </row>
    <row r="354" spans="1:15" ht="15" x14ac:dyDescent="0.2">
      <c r="A354" s="13">
        <v>51622</v>
      </c>
      <c r="B354" s="9">
        <f>5.3858 * CHOOSE(CONTROL!$C$32, $C$9, 100%, $E$9)</f>
        <v>5.3857999999999997</v>
      </c>
      <c r="C354" s="9">
        <f>5.3858 * CHOOSE(CONTROL!$C$32, $C$9, 100%, $E$9)</f>
        <v>5.3857999999999997</v>
      </c>
      <c r="D354" s="9">
        <f>5.387 * CHOOSE(CONTROL!$C$32, $C$9, 100%, $E$9)</f>
        <v>5.3869999999999996</v>
      </c>
      <c r="E354" s="11">
        <f>6.7341 * CHOOSE(CONTROL!$C$32, $C$9, 100%, $E$9)</f>
        <v>6.7340999999999998</v>
      </c>
      <c r="F354" s="11">
        <f>6.7341 * CHOOSE(CONTROL!$C$32, $C$9, 100%, $E$9)</f>
        <v>6.7340999999999998</v>
      </c>
      <c r="G354" s="11">
        <f>6.7383 * CHOOSE(CONTROL!$C$32, $C$9, 100%, $E$9)</f>
        <v>6.7382999999999997</v>
      </c>
      <c r="H354" s="11">
        <f>11.6997 * CHOOSE(CONTROL!$C$32, $C$9, 100%, $E$9)</f>
        <v>11.6997</v>
      </c>
      <c r="I354" s="11">
        <f>11.7039 * CHOOSE(CONTROL!$C$32, $C$9, 100%, $E$9)</f>
        <v>11.703900000000001</v>
      </c>
      <c r="J354" s="11">
        <f>11.6997 * CHOOSE(CONTROL!$C$32, $C$9, 100%, $E$9)</f>
        <v>11.6997</v>
      </c>
      <c r="K354" s="11">
        <f>11.7039 * CHOOSE(CONTROL!$C$32, $C$9, 100%, $E$9)</f>
        <v>11.703900000000001</v>
      </c>
      <c r="L354" s="11">
        <f>6.7341 * CHOOSE(CONTROL!$C$32, $C$9, 100%, $E$9)</f>
        <v>6.7340999999999998</v>
      </c>
      <c r="M354" s="11">
        <f>6.7383 * CHOOSE(CONTROL!$C$32, $C$9, 100%, $E$9)</f>
        <v>6.7382999999999997</v>
      </c>
      <c r="N354" s="11">
        <f>6.7341 * CHOOSE(CONTROL!$C$32, $C$9, 100%, $E$9)</f>
        <v>6.7340999999999998</v>
      </c>
      <c r="O354" s="11">
        <f>6.7383 * CHOOSE(CONTROL!$C$32, $C$9, 100%, $E$9)</f>
        <v>6.7382999999999997</v>
      </c>
    </row>
    <row r="355" spans="1:15" ht="15" x14ac:dyDescent="0.2">
      <c r="A355" s="13">
        <v>51653</v>
      </c>
      <c r="B355" s="9">
        <f>5.3918 * CHOOSE(CONTROL!$C$32, $C$9, 100%, $E$9)</f>
        <v>5.3917999999999999</v>
      </c>
      <c r="C355" s="9">
        <f>5.3918 * CHOOSE(CONTROL!$C$32, $C$9, 100%, $E$9)</f>
        <v>5.3917999999999999</v>
      </c>
      <c r="D355" s="9">
        <f>5.3931 * CHOOSE(CONTROL!$C$32, $C$9, 100%, $E$9)</f>
        <v>5.3930999999999996</v>
      </c>
      <c r="E355" s="11">
        <f>6.7007 * CHOOSE(CONTROL!$C$32, $C$9, 100%, $E$9)</f>
        <v>6.7007000000000003</v>
      </c>
      <c r="F355" s="11">
        <f>6.7007 * CHOOSE(CONTROL!$C$32, $C$9, 100%, $E$9)</f>
        <v>6.7007000000000003</v>
      </c>
      <c r="G355" s="11">
        <f>6.7049 * CHOOSE(CONTROL!$C$32, $C$9, 100%, $E$9)</f>
        <v>6.7049000000000003</v>
      </c>
      <c r="H355" s="11">
        <f>11.7241 * CHOOSE(CONTROL!$C$32, $C$9, 100%, $E$9)</f>
        <v>11.7241</v>
      </c>
      <c r="I355" s="11">
        <f>11.7283 * CHOOSE(CONTROL!$C$32, $C$9, 100%, $E$9)</f>
        <v>11.728300000000001</v>
      </c>
      <c r="J355" s="11">
        <f>11.7241 * CHOOSE(CONTROL!$C$32, $C$9, 100%, $E$9)</f>
        <v>11.7241</v>
      </c>
      <c r="K355" s="11">
        <f>11.7283 * CHOOSE(CONTROL!$C$32, $C$9, 100%, $E$9)</f>
        <v>11.728300000000001</v>
      </c>
      <c r="L355" s="11">
        <f>6.7007 * CHOOSE(CONTROL!$C$32, $C$9, 100%, $E$9)</f>
        <v>6.7007000000000003</v>
      </c>
      <c r="M355" s="11">
        <f>6.7049 * CHOOSE(CONTROL!$C$32, $C$9, 100%, $E$9)</f>
        <v>6.7049000000000003</v>
      </c>
      <c r="N355" s="11">
        <f>6.7007 * CHOOSE(CONTROL!$C$32, $C$9, 100%, $E$9)</f>
        <v>6.7007000000000003</v>
      </c>
      <c r="O355" s="11">
        <f>6.7049 * CHOOSE(CONTROL!$C$32, $C$9, 100%, $E$9)</f>
        <v>6.7049000000000003</v>
      </c>
    </row>
    <row r="356" spans="1:15" ht="15" x14ac:dyDescent="0.2">
      <c r="A356" s="13">
        <v>51683</v>
      </c>
      <c r="B356" s="9">
        <f>5.4648 * CHOOSE(CONTROL!$C$32, $C$9, 100%, $E$9)</f>
        <v>5.4648000000000003</v>
      </c>
      <c r="C356" s="9">
        <f>5.4648 * CHOOSE(CONTROL!$C$32, $C$9, 100%, $E$9)</f>
        <v>5.4648000000000003</v>
      </c>
      <c r="D356" s="9">
        <f>5.4661 * CHOOSE(CONTROL!$C$32, $C$9, 100%, $E$9)</f>
        <v>5.4661</v>
      </c>
      <c r="E356" s="11">
        <f>6.722 * CHOOSE(CONTROL!$C$32, $C$9, 100%, $E$9)</f>
        <v>6.7220000000000004</v>
      </c>
      <c r="F356" s="11">
        <f>6.722 * CHOOSE(CONTROL!$C$32, $C$9, 100%, $E$9)</f>
        <v>6.7220000000000004</v>
      </c>
      <c r="G356" s="11">
        <f>6.7262 * CHOOSE(CONTROL!$C$32, $C$9, 100%, $E$9)</f>
        <v>6.7262000000000004</v>
      </c>
      <c r="H356" s="11">
        <f>11.7485 * CHOOSE(CONTROL!$C$32, $C$9, 100%, $E$9)</f>
        <v>11.7485</v>
      </c>
      <c r="I356" s="11">
        <f>11.7527 * CHOOSE(CONTROL!$C$32, $C$9, 100%, $E$9)</f>
        <v>11.752700000000001</v>
      </c>
      <c r="J356" s="11">
        <f>11.7485 * CHOOSE(CONTROL!$C$32, $C$9, 100%, $E$9)</f>
        <v>11.7485</v>
      </c>
      <c r="K356" s="11">
        <f>11.7527 * CHOOSE(CONTROL!$C$32, $C$9, 100%, $E$9)</f>
        <v>11.752700000000001</v>
      </c>
      <c r="L356" s="11">
        <f>6.722 * CHOOSE(CONTROL!$C$32, $C$9, 100%, $E$9)</f>
        <v>6.7220000000000004</v>
      </c>
      <c r="M356" s="11">
        <f>6.7262 * CHOOSE(CONTROL!$C$32, $C$9, 100%, $E$9)</f>
        <v>6.7262000000000004</v>
      </c>
      <c r="N356" s="11">
        <f>6.722 * CHOOSE(CONTROL!$C$32, $C$9, 100%, $E$9)</f>
        <v>6.7220000000000004</v>
      </c>
      <c r="O356" s="11">
        <f>6.7262 * CHOOSE(CONTROL!$C$32, $C$9, 100%, $E$9)</f>
        <v>6.7262000000000004</v>
      </c>
    </row>
    <row r="357" spans="1:15" ht="15" x14ac:dyDescent="0.2">
      <c r="A357" s="13">
        <v>51714</v>
      </c>
      <c r="B357" s="9">
        <f>5.4715 * CHOOSE(CONTROL!$C$32, $C$9, 100%, $E$9)</f>
        <v>5.4714999999999998</v>
      </c>
      <c r="C357" s="9">
        <f>5.4715 * CHOOSE(CONTROL!$C$32, $C$9, 100%, $E$9)</f>
        <v>5.4714999999999998</v>
      </c>
      <c r="D357" s="9">
        <f>5.4727 * CHOOSE(CONTROL!$C$32, $C$9, 100%, $E$9)</f>
        <v>5.4726999999999997</v>
      </c>
      <c r="E357" s="11">
        <f>6.6136 * CHOOSE(CONTROL!$C$32, $C$9, 100%, $E$9)</f>
        <v>6.6135999999999999</v>
      </c>
      <c r="F357" s="11">
        <f>6.6136 * CHOOSE(CONTROL!$C$32, $C$9, 100%, $E$9)</f>
        <v>6.6135999999999999</v>
      </c>
      <c r="G357" s="11">
        <f>6.6178 * CHOOSE(CONTROL!$C$32, $C$9, 100%, $E$9)</f>
        <v>6.6177999999999999</v>
      </c>
      <c r="H357" s="11">
        <f>11.773 * CHOOSE(CONTROL!$C$32, $C$9, 100%, $E$9)</f>
        <v>11.773</v>
      </c>
      <c r="I357" s="11">
        <f>11.7772 * CHOOSE(CONTROL!$C$32, $C$9, 100%, $E$9)</f>
        <v>11.777200000000001</v>
      </c>
      <c r="J357" s="11">
        <f>11.773 * CHOOSE(CONTROL!$C$32, $C$9, 100%, $E$9)</f>
        <v>11.773</v>
      </c>
      <c r="K357" s="11">
        <f>11.7772 * CHOOSE(CONTROL!$C$32, $C$9, 100%, $E$9)</f>
        <v>11.777200000000001</v>
      </c>
      <c r="L357" s="11">
        <f>6.6136 * CHOOSE(CONTROL!$C$32, $C$9, 100%, $E$9)</f>
        <v>6.6135999999999999</v>
      </c>
      <c r="M357" s="11">
        <f>6.6178 * CHOOSE(CONTROL!$C$32, $C$9, 100%, $E$9)</f>
        <v>6.6177999999999999</v>
      </c>
      <c r="N357" s="11">
        <f>6.6136 * CHOOSE(CONTROL!$C$32, $C$9, 100%, $E$9)</f>
        <v>6.6135999999999999</v>
      </c>
      <c r="O357" s="11">
        <f>6.6178 * CHOOSE(CONTROL!$C$32, $C$9, 100%, $E$9)</f>
        <v>6.6177999999999999</v>
      </c>
    </row>
    <row r="358" spans="1:15" ht="15" x14ac:dyDescent="0.2">
      <c r="A358" s="13">
        <v>51745</v>
      </c>
      <c r="B358" s="9">
        <f>5.4685 * CHOOSE(CONTROL!$C$32, $C$9, 100%, $E$9)</f>
        <v>5.4684999999999997</v>
      </c>
      <c r="C358" s="9">
        <f>5.4685 * CHOOSE(CONTROL!$C$32, $C$9, 100%, $E$9)</f>
        <v>5.4684999999999997</v>
      </c>
      <c r="D358" s="9">
        <f>5.4697 * CHOOSE(CONTROL!$C$32, $C$9, 100%, $E$9)</f>
        <v>5.4696999999999996</v>
      </c>
      <c r="E358" s="11">
        <f>6.5989 * CHOOSE(CONTROL!$C$32, $C$9, 100%, $E$9)</f>
        <v>6.5989000000000004</v>
      </c>
      <c r="F358" s="11">
        <f>6.5989 * CHOOSE(CONTROL!$C$32, $C$9, 100%, $E$9)</f>
        <v>6.5989000000000004</v>
      </c>
      <c r="G358" s="11">
        <f>6.6031 * CHOOSE(CONTROL!$C$32, $C$9, 100%, $E$9)</f>
        <v>6.6031000000000004</v>
      </c>
      <c r="H358" s="11">
        <f>11.7975 * CHOOSE(CONTROL!$C$32, $C$9, 100%, $E$9)</f>
        <v>11.797499999999999</v>
      </c>
      <c r="I358" s="11">
        <f>11.8017 * CHOOSE(CONTROL!$C$32, $C$9, 100%, $E$9)</f>
        <v>11.8017</v>
      </c>
      <c r="J358" s="11">
        <f>11.7975 * CHOOSE(CONTROL!$C$32, $C$9, 100%, $E$9)</f>
        <v>11.797499999999999</v>
      </c>
      <c r="K358" s="11">
        <f>11.8017 * CHOOSE(CONTROL!$C$32, $C$9, 100%, $E$9)</f>
        <v>11.8017</v>
      </c>
      <c r="L358" s="11">
        <f>6.5989 * CHOOSE(CONTROL!$C$32, $C$9, 100%, $E$9)</f>
        <v>6.5989000000000004</v>
      </c>
      <c r="M358" s="11">
        <f>6.6031 * CHOOSE(CONTROL!$C$32, $C$9, 100%, $E$9)</f>
        <v>6.6031000000000004</v>
      </c>
      <c r="N358" s="11">
        <f>6.5989 * CHOOSE(CONTROL!$C$32, $C$9, 100%, $E$9)</f>
        <v>6.5989000000000004</v>
      </c>
      <c r="O358" s="11">
        <f>6.6031 * CHOOSE(CONTROL!$C$32, $C$9, 100%, $E$9)</f>
        <v>6.6031000000000004</v>
      </c>
    </row>
    <row r="359" spans="1:15" ht="15" x14ac:dyDescent="0.2">
      <c r="A359" s="13">
        <v>51775</v>
      </c>
      <c r="B359" s="9">
        <f>5.469 * CHOOSE(CONTROL!$C$32, $C$9, 100%, $E$9)</f>
        <v>5.4690000000000003</v>
      </c>
      <c r="C359" s="9">
        <f>5.469 * CHOOSE(CONTROL!$C$32, $C$9, 100%, $E$9)</f>
        <v>5.4690000000000003</v>
      </c>
      <c r="D359" s="9">
        <f>5.4699 * CHOOSE(CONTROL!$C$32, $C$9, 100%, $E$9)</f>
        <v>5.4699</v>
      </c>
      <c r="E359" s="11">
        <f>6.6357 * CHOOSE(CONTROL!$C$32, $C$9, 100%, $E$9)</f>
        <v>6.6356999999999999</v>
      </c>
      <c r="F359" s="11">
        <f>6.6357 * CHOOSE(CONTROL!$C$32, $C$9, 100%, $E$9)</f>
        <v>6.6356999999999999</v>
      </c>
      <c r="G359" s="11">
        <f>6.639 * CHOOSE(CONTROL!$C$32, $C$9, 100%, $E$9)</f>
        <v>6.6390000000000002</v>
      </c>
      <c r="H359" s="11">
        <f>11.8221 * CHOOSE(CONTROL!$C$32, $C$9, 100%, $E$9)</f>
        <v>11.822100000000001</v>
      </c>
      <c r="I359" s="11">
        <f>11.8253 * CHOOSE(CONTROL!$C$32, $C$9, 100%, $E$9)</f>
        <v>11.8253</v>
      </c>
      <c r="J359" s="11">
        <f>11.8221 * CHOOSE(CONTROL!$C$32, $C$9, 100%, $E$9)</f>
        <v>11.822100000000001</v>
      </c>
      <c r="K359" s="11">
        <f>11.8253 * CHOOSE(CONTROL!$C$32, $C$9, 100%, $E$9)</f>
        <v>11.8253</v>
      </c>
      <c r="L359" s="11">
        <f>6.6357 * CHOOSE(CONTROL!$C$32, $C$9, 100%, $E$9)</f>
        <v>6.6356999999999999</v>
      </c>
      <c r="M359" s="11">
        <f>6.639 * CHOOSE(CONTROL!$C$32, $C$9, 100%, $E$9)</f>
        <v>6.6390000000000002</v>
      </c>
      <c r="N359" s="11">
        <f>6.6357 * CHOOSE(CONTROL!$C$32, $C$9, 100%, $E$9)</f>
        <v>6.6356999999999999</v>
      </c>
      <c r="O359" s="11">
        <f>6.639 * CHOOSE(CONTROL!$C$32, $C$9, 100%, $E$9)</f>
        <v>6.6390000000000002</v>
      </c>
    </row>
    <row r="360" spans="1:15" ht="15" x14ac:dyDescent="0.2">
      <c r="A360" s="13">
        <v>51806</v>
      </c>
      <c r="B360" s="9">
        <f>5.472 * CHOOSE(CONTROL!$C$32, $C$9, 100%, $E$9)</f>
        <v>5.4720000000000004</v>
      </c>
      <c r="C360" s="9">
        <f>5.472 * CHOOSE(CONTROL!$C$32, $C$9, 100%, $E$9)</f>
        <v>5.4720000000000004</v>
      </c>
      <c r="D360" s="9">
        <f>5.473 * CHOOSE(CONTROL!$C$32, $C$9, 100%, $E$9)</f>
        <v>5.4729999999999999</v>
      </c>
      <c r="E360" s="11">
        <f>6.663 * CHOOSE(CONTROL!$C$32, $C$9, 100%, $E$9)</f>
        <v>6.6630000000000003</v>
      </c>
      <c r="F360" s="11">
        <f>6.663 * CHOOSE(CONTROL!$C$32, $C$9, 100%, $E$9)</f>
        <v>6.6630000000000003</v>
      </c>
      <c r="G360" s="11">
        <f>6.6662 * CHOOSE(CONTROL!$C$32, $C$9, 100%, $E$9)</f>
        <v>6.6661999999999999</v>
      </c>
      <c r="H360" s="11">
        <f>11.8467 * CHOOSE(CONTROL!$C$32, $C$9, 100%, $E$9)</f>
        <v>11.8467</v>
      </c>
      <c r="I360" s="11">
        <f>11.85 * CHOOSE(CONTROL!$C$32, $C$9, 100%, $E$9)</f>
        <v>11.85</v>
      </c>
      <c r="J360" s="11">
        <f>11.8467 * CHOOSE(CONTROL!$C$32, $C$9, 100%, $E$9)</f>
        <v>11.8467</v>
      </c>
      <c r="K360" s="11">
        <f>11.85 * CHOOSE(CONTROL!$C$32, $C$9, 100%, $E$9)</f>
        <v>11.85</v>
      </c>
      <c r="L360" s="11">
        <f>6.663 * CHOOSE(CONTROL!$C$32, $C$9, 100%, $E$9)</f>
        <v>6.6630000000000003</v>
      </c>
      <c r="M360" s="11">
        <f>6.6662 * CHOOSE(CONTROL!$C$32, $C$9, 100%, $E$9)</f>
        <v>6.6661999999999999</v>
      </c>
      <c r="N360" s="11">
        <f>6.663 * CHOOSE(CONTROL!$C$32, $C$9, 100%, $E$9)</f>
        <v>6.6630000000000003</v>
      </c>
      <c r="O360" s="11">
        <f>6.6662 * CHOOSE(CONTROL!$C$32, $C$9, 100%, $E$9)</f>
        <v>6.6661999999999999</v>
      </c>
    </row>
    <row r="361" spans="1:15" ht="15" x14ac:dyDescent="0.2">
      <c r="A361" s="13">
        <v>51836</v>
      </c>
      <c r="B361" s="9">
        <f>5.472 * CHOOSE(CONTROL!$C$32, $C$9, 100%, $E$9)</f>
        <v>5.4720000000000004</v>
      </c>
      <c r="C361" s="9">
        <f>5.472 * CHOOSE(CONTROL!$C$32, $C$9, 100%, $E$9)</f>
        <v>5.4720000000000004</v>
      </c>
      <c r="D361" s="9">
        <f>5.473 * CHOOSE(CONTROL!$C$32, $C$9, 100%, $E$9)</f>
        <v>5.4729999999999999</v>
      </c>
      <c r="E361" s="11">
        <f>6.6002 * CHOOSE(CONTROL!$C$32, $C$9, 100%, $E$9)</f>
        <v>6.6002000000000001</v>
      </c>
      <c r="F361" s="11">
        <f>6.6002 * CHOOSE(CONTROL!$C$32, $C$9, 100%, $E$9)</f>
        <v>6.6002000000000001</v>
      </c>
      <c r="G361" s="11">
        <f>6.6034 * CHOOSE(CONTROL!$C$32, $C$9, 100%, $E$9)</f>
        <v>6.6033999999999997</v>
      </c>
      <c r="H361" s="11">
        <f>11.8714 * CHOOSE(CONTROL!$C$32, $C$9, 100%, $E$9)</f>
        <v>11.8714</v>
      </c>
      <c r="I361" s="11">
        <f>11.8747 * CHOOSE(CONTROL!$C$32, $C$9, 100%, $E$9)</f>
        <v>11.874700000000001</v>
      </c>
      <c r="J361" s="11">
        <f>11.8714 * CHOOSE(CONTROL!$C$32, $C$9, 100%, $E$9)</f>
        <v>11.8714</v>
      </c>
      <c r="K361" s="11">
        <f>11.8747 * CHOOSE(CONTROL!$C$32, $C$9, 100%, $E$9)</f>
        <v>11.874700000000001</v>
      </c>
      <c r="L361" s="11">
        <f>6.6002 * CHOOSE(CONTROL!$C$32, $C$9, 100%, $E$9)</f>
        <v>6.6002000000000001</v>
      </c>
      <c r="M361" s="11">
        <f>6.6034 * CHOOSE(CONTROL!$C$32, $C$9, 100%, $E$9)</f>
        <v>6.6033999999999997</v>
      </c>
      <c r="N361" s="11">
        <f>6.6002 * CHOOSE(CONTROL!$C$32, $C$9, 100%, $E$9)</f>
        <v>6.6002000000000001</v>
      </c>
      <c r="O361" s="11">
        <f>6.6034 * CHOOSE(CONTROL!$C$32, $C$9, 100%, $E$9)</f>
        <v>6.6033999999999997</v>
      </c>
    </row>
    <row r="362" spans="1:15" ht="15" x14ac:dyDescent="0.2">
      <c r="A362" s="13">
        <v>51867</v>
      </c>
      <c r="B362" s="9">
        <f>5.5145 * CHOOSE(CONTROL!$C$32, $C$9, 100%, $E$9)</f>
        <v>5.5145</v>
      </c>
      <c r="C362" s="9">
        <f>5.5145 * CHOOSE(CONTROL!$C$32, $C$9, 100%, $E$9)</f>
        <v>5.5145</v>
      </c>
      <c r="D362" s="9">
        <f>5.5154 * CHOOSE(CONTROL!$C$32, $C$9, 100%, $E$9)</f>
        <v>5.5153999999999996</v>
      </c>
      <c r="E362" s="11">
        <f>6.6661 * CHOOSE(CONTROL!$C$32, $C$9, 100%, $E$9)</f>
        <v>6.6661000000000001</v>
      </c>
      <c r="F362" s="11">
        <f>6.6661 * CHOOSE(CONTROL!$C$32, $C$9, 100%, $E$9)</f>
        <v>6.6661000000000001</v>
      </c>
      <c r="G362" s="11">
        <f>6.6693 * CHOOSE(CONTROL!$C$32, $C$9, 100%, $E$9)</f>
        <v>6.6692999999999998</v>
      </c>
      <c r="H362" s="11">
        <f>11.8962 * CHOOSE(CONTROL!$C$32, $C$9, 100%, $E$9)</f>
        <v>11.8962</v>
      </c>
      <c r="I362" s="11">
        <f>11.8994 * CHOOSE(CONTROL!$C$32, $C$9, 100%, $E$9)</f>
        <v>11.8994</v>
      </c>
      <c r="J362" s="11">
        <f>11.8962 * CHOOSE(CONTROL!$C$32, $C$9, 100%, $E$9)</f>
        <v>11.8962</v>
      </c>
      <c r="K362" s="11">
        <f>11.8994 * CHOOSE(CONTROL!$C$32, $C$9, 100%, $E$9)</f>
        <v>11.8994</v>
      </c>
      <c r="L362" s="11">
        <f>6.6661 * CHOOSE(CONTROL!$C$32, $C$9, 100%, $E$9)</f>
        <v>6.6661000000000001</v>
      </c>
      <c r="M362" s="11">
        <f>6.6693 * CHOOSE(CONTROL!$C$32, $C$9, 100%, $E$9)</f>
        <v>6.6692999999999998</v>
      </c>
      <c r="N362" s="11">
        <f>6.6661 * CHOOSE(CONTROL!$C$32, $C$9, 100%, $E$9)</f>
        <v>6.6661000000000001</v>
      </c>
      <c r="O362" s="11">
        <f>6.6693 * CHOOSE(CONTROL!$C$32, $C$9, 100%, $E$9)</f>
        <v>6.6692999999999998</v>
      </c>
    </row>
    <row r="363" spans="1:15" ht="15" x14ac:dyDescent="0.2">
      <c r="A363" s="13">
        <v>51898</v>
      </c>
      <c r="B363" s="9">
        <f>5.5115 * CHOOSE(CONTROL!$C$32, $C$9, 100%, $E$9)</f>
        <v>5.5114999999999998</v>
      </c>
      <c r="C363" s="9">
        <f>5.5115 * CHOOSE(CONTROL!$C$32, $C$9, 100%, $E$9)</f>
        <v>5.5114999999999998</v>
      </c>
      <c r="D363" s="9">
        <f>5.5124 * CHOOSE(CONTROL!$C$32, $C$9, 100%, $E$9)</f>
        <v>5.5124000000000004</v>
      </c>
      <c r="E363" s="11">
        <f>6.5414 * CHOOSE(CONTROL!$C$32, $C$9, 100%, $E$9)</f>
        <v>6.5414000000000003</v>
      </c>
      <c r="F363" s="11">
        <f>6.5414 * CHOOSE(CONTROL!$C$32, $C$9, 100%, $E$9)</f>
        <v>6.5414000000000003</v>
      </c>
      <c r="G363" s="11">
        <f>6.5446 * CHOOSE(CONTROL!$C$32, $C$9, 100%, $E$9)</f>
        <v>6.5446</v>
      </c>
      <c r="H363" s="11">
        <f>11.9209 * CHOOSE(CONTROL!$C$32, $C$9, 100%, $E$9)</f>
        <v>11.9209</v>
      </c>
      <c r="I363" s="11">
        <f>11.9242 * CHOOSE(CONTROL!$C$32, $C$9, 100%, $E$9)</f>
        <v>11.924200000000001</v>
      </c>
      <c r="J363" s="11">
        <f>11.9209 * CHOOSE(CONTROL!$C$32, $C$9, 100%, $E$9)</f>
        <v>11.9209</v>
      </c>
      <c r="K363" s="11">
        <f>11.9242 * CHOOSE(CONTROL!$C$32, $C$9, 100%, $E$9)</f>
        <v>11.924200000000001</v>
      </c>
      <c r="L363" s="11">
        <f>6.5414 * CHOOSE(CONTROL!$C$32, $C$9, 100%, $E$9)</f>
        <v>6.5414000000000003</v>
      </c>
      <c r="M363" s="11">
        <f>6.5446 * CHOOSE(CONTROL!$C$32, $C$9, 100%, $E$9)</f>
        <v>6.5446</v>
      </c>
      <c r="N363" s="11">
        <f>6.5414 * CHOOSE(CONTROL!$C$32, $C$9, 100%, $E$9)</f>
        <v>6.5414000000000003</v>
      </c>
      <c r="O363" s="11">
        <f>6.5446 * CHOOSE(CONTROL!$C$32, $C$9, 100%, $E$9)</f>
        <v>6.5446</v>
      </c>
    </row>
    <row r="364" spans="1:15" ht="15" x14ac:dyDescent="0.2">
      <c r="A364" s="13">
        <v>51926</v>
      </c>
      <c r="B364" s="9">
        <f>5.5084 * CHOOSE(CONTROL!$C$32, $C$9, 100%, $E$9)</f>
        <v>5.5084</v>
      </c>
      <c r="C364" s="9">
        <f>5.5084 * CHOOSE(CONTROL!$C$32, $C$9, 100%, $E$9)</f>
        <v>5.5084</v>
      </c>
      <c r="D364" s="9">
        <f>5.5094 * CHOOSE(CONTROL!$C$32, $C$9, 100%, $E$9)</f>
        <v>5.5094000000000003</v>
      </c>
      <c r="E364" s="11">
        <f>6.6359 * CHOOSE(CONTROL!$C$32, $C$9, 100%, $E$9)</f>
        <v>6.6359000000000004</v>
      </c>
      <c r="F364" s="11">
        <f>6.6359 * CHOOSE(CONTROL!$C$32, $C$9, 100%, $E$9)</f>
        <v>6.6359000000000004</v>
      </c>
      <c r="G364" s="11">
        <f>6.6391 * CHOOSE(CONTROL!$C$32, $C$9, 100%, $E$9)</f>
        <v>6.6391</v>
      </c>
      <c r="H364" s="11">
        <f>11.9458 * CHOOSE(CONTROL!$C$32, $C$9, 100%, $E$9)</f>
        <v>11.9458</v>
      </c>
      <c r="I364" s="11">
        <f>11.949 * CHOOSE(CONTROL!$C$32, $C$9, 100%, $E$9)</f>
        <v>11.949</v>
      </c>
      <c r="J364" s="11">
        <f>11.9458 * CHOOSE(CONTROL!$C$32, $C$9, 100%, $E$9)</f>
        <v>11.9458</v>
      </c>
      <c r="K364" s="11">
        <f>11.949 * CHOOSE(CONTROL!$C$32, $C$9, 100%, $E$9)</f>
        <v>11.949</v>
      </c>
      <c r="L364" s="11">
        <f>6.6359 * CHOOSE(CONTROL!$C$32, $C$9, 100%, $E$9)</f>
        <v>6.6359000000000004</v>
      </c>
      <c r="M364" s="11">
        <f>6.6391 * CHOOSE(CONTROL!$C$32, $C$9, 100%, $E$9)</f>
        <v>6.6391</v>
      </c>
      <c r="N364" s="11">
        <f>6.6359 * CHOOSE(CONTROL!$C$32, $C$9, 100%, $E$9)</f>
        <v>6.6359000000000004</v>
      </c>
      <c r="O364" s="11">
        <f>6.6391 * CHOOSE(CONTROL!$C$32, $C$9, 100%, $E$9)</f>
        <v>6.6391</v>
      </c>
    </row>
    <row r="365" spans="1:15" ht="15" x14ac:dyDescent="0.2">
      <c r="A365" s="13">
        <v>51957</v>
      </c>
      <c r="B365" s="9">
        <f>5.5075 * CHOOSE(CONTROL!$C$32, $C$9, 100%, $E$9)</f>
        <v>5.5075000000000003</v>
      </c>
      <c r="C365" s="9">
        <f>5.5075 * CHOOSE(CONTROL!$C$32, $C$9, 100%, $E$9)</f>
        <v>5.5075000000000003</v>
      </c>
      <c r="D365" s="9">
        <f>5.5085 * CHOOSE(CONTROL!$C$32, $C$9, 100%, $E$9)</f>
        <v>5.5084999999999997</v>
      </c>
      <c r="E365" s="11">
        <f>6.7355 * CHOOSE(CONTROL!$C$32, $C$9, 100%, $E$9)</f>
        <v>6.7355</v>
      </c>
      <c r="F365" s="11">
        <f>6.7355 * CHOOSE(CONTROL!$C$32, $C$9, 100%, $E$9)</f>
        <v>6.7355</v>
      </c>
      <c r="G365" s="11">
        <f>6.7387 * CHOOSE(CONTROL!$C$32, $C$9, 100%, $E$9)</f>
        <v>6.7386999999999997</v>
      </c>
      <c r="H365" s="11">
        <f>11.9707 * CHOOSE(CONTROL!$C$32, $C$9, 100%, $E$9)</f>
        <v>11.970700000000001</v>
      </c>
      <c r="I365" s="11">
        <f>11.9739 * CHOOSE(CONTROL!$C$32, $C$9, 100%, $E$9)</f>
        <v>11.9739</v>
      </c>
      <c r="J365" s="11">
        <f>11.9707 * CHOOSE(CONTROL!$C$32, $C$9, 100%, $E$9)</f>
        <v>11.970700000000001</v>
      </c>
      <c r="K365" s="11">
        <f>11.9739 * CHOOSE(CONTROL!$C$32, $C$9, 100%, $E$9)</f>
        <v>11.9739</v>
      </c>
      <c r="L365" s="11">
        <f>6.7355 * CHOOSE(CONTROL!$C$32, $C$9, 100%, $E$9)</f>
        <v>6.7355</v>
      </c>
      <c r="M365" s="11">
        <f>6.7387 * CHOOSE(CONTROL!$C$32, $C$9, 100%, $E$9)</f>
        <v>6.7386999999999997</v>
      </c>
      <c r="N365" s="11">
        <f>6.7355 * CHOOSE(CONTROL!$C$32, $C$9, 100%, $E$9)</f>
        <v>6.7355</v>
      </c>
      <c r="O365" s="11">
        <f>6.7387 * CHOOSE(CONTROL!$C$32, $C$9, 100%, $E$9)</f>
        <v>6.7386999999999997</v>
      </c>
    </row>
    <row r="366" spans="1:15" ht="15" x14ac:dyDescent="0.2">
      <c r="A366" s="13">
        <v>51987</v>
      </c>
      <c r="B366" s="9">
        <f>5.5075 * CHOOSE(CONTROL!$C$32, $C$9, 100%, $E$9)</f>
        <v>5.5075000000000003</v>
      </c>
      <c r="C366" s="9">
        <f>5.5075 * CHOOSE(CONTROL!$C$32, $C$9, 100%, $E$9)</f>
        <v>5.5075000000000003</v>
      </c>
      <c r="D366" s="9">
        <f>5.5088 * CHOOSE(CONTROL!$C$32, $C$9, 100%, $E$9)</f>
        <v>5.5087999999999999</v>
      </c>
      <c r="E366" s="11">
        <f>6.7744 * CHOOSE(CONTROL!$C$32, $C$9, 100%, $E$9)</f>
        <v>6.7744</v>
      </c>
      <c r="F366" s="11">
        <f>6.7744 * CHOOSE(CONTROL!$C$32, $C$9, 100%, $E$9)</f>
        <v>6.7744</v>
      </c>
      <c r="G366" s="11">
        <f>6.7786 * CHOOSE(CONTROL!$C$32, $C$9, 100%, $E$9)</f>
        <v>6.7786</v>
      </c>
      <c r="H366" s="11">
        <f>11.9956 * CHOOSE(CONTROL!$C$32, $C$9, 100%, $E$9)</f>
        <v>11.9956</v>
      </c>
      <c r="I366" s="11">
        <f>11.9998 * CHOOSE(CONTROL!$C$32, $C$9, 100%, $E$9)</f>
        <v>11.9998</v>
      </c>
      <c r="J366" s="11">
        <f>11.9956 * CHOOSE(CONTROL!$C$32, $C$9, 100%, $E$9)</f>
        <v>11.9956</v>
      </c>
      <c r="K366" s="11">
        <f>11.9998 * CHOOSE(CONTROL!$C$32, $C$9, 100%, $E$9)</f>
        <v>11.9998</v>
      </c>
      <c r="L366" s="11">
        <f>6.7744 * CHOOSE(CONTROL!$C$32, $C$9, 100%, $E$9)</f>
        <v>6.7744</v>
      </c>
      <c r="M366" s="11">
        <f>6.7786 * CHOOSE(CONTROL!$C$32, $C$9, 100%, $E$9)</f>
        <v>6.7786</v>
      </c>
      <c r="N366" s="11">
        <f>6.7744 * CHOOSE(CONTROL!$C$32, $C$9, 100%, $E$9)</f>
        <v>6.7744</v>
      </c>
      <c r="O366" s="11">
        <f>6.7786 * CHOOSE(CONTROL!$C$32, $C$9, 100%, $E$9)</f>
        <v>6.7786</v>
      </c>
    </row>
    <row r="367" spans="1:15" ht="15" x14ac:dyDescent="0.2">
      <c r="A367" s="13">
        <v>52018</v>
      </c>
      <c r="B367" s="9">
        <f>5.5136 * CHOOSE(CONTROL!$C$32, $C$9, 100%, $E$9)</f>
        <v>5.5136000000000003</v>
      </c>
      <c r="C367" s="9">
        <f>5.5136 * CHOOSE(CONTROL!$C$32, $C$9, 100%, $E$9)</f>
        <v>5.5136000000000003</v>
      </c>
      <c r="D367" s="9">
        <f>5.5149 * CHOOSE(CONTROL!$C$32, $C$9, 100%, $E$9)</f>
        <v>5.5148999999999999</v>
      </c>
      <c r="E367" s="11">
        <f>6.7397 * CHOOSE(CONTROL!$C$32, $C$9, 100%, $E$9)</f>
        <v>6.7397</v>
      </c>
      <c r="F367" s="11">
        <f>6.7397 * CHOOSE(CONTROL!$C$32, $C$9, 100%, $E$9)</f>
        <v>6.7397</v>
      </c>
      <c r="G367" s="11">
        <f>6.7439 * CHOOSE(CONTROL!$C$32, $C$9, 100%, $E$9)</f>
        <v>6.7439</v>
      </c>
      <c r="H367" s="11">
        <f>12.0206 * CHOOSE(CONTROL!$C$32, $C$9, 100%, $E$9)</f>
        <v>12.0206</v>
      </c>
      <c r="I367" s="11">
        <f>12.0248 * CHOOSE(CONTROL!$C$32, $C$9, 100%, $E$9)</f>
        <v>12.024800000000001</v>
      </c>
      <c r="J367" s="11">
        <f>12.0206 * CHOOSE(CONTROL!$C$32, $C$9, 100%, $E$9)</f>
        <v>12.0206</v>
      </c>
      <c r="K367" s="11">
        <f>12.0248 * CHOOSE(CONTROL!$C$32, $C$9, 100%, $E$9)</f>
        <v>12.024800000000001</v>
      </c>
      <c r="L367" s="11">
        <f>6.7397 * CHOOSE(CONTROL!$C$32, $C$9, 100%, $E$9)</f>
        <v>6.7397</v>
      </c>
      <c r="M367" s="11">
        <f>6.7439 * CHOOSE(CONTROL!$C$32, $C$9, 100%, $E$9)</f>
        <v>6.7439</v>
      </c>
      <c r="N367" s="11">
        <f>6.7397 * CHOOSE(CONTROL!$C$32, $C$9, 100%, $E$9)</f>
        <v>6.7397</v>
      </c>
      <c r="O367" s="11">
        <f>6.7439 * CHOOSE(CONTROL!$C$32, $C$9, 100%, $E$9)</f>
        <v>6.7439</v>
      </c>
    </row>
    <row r="368" spans="1:15" ht="15" x14ac:dyDescent="0.2">
      <c r="A368" s="13">
        <v>52048</v>
      </c>
      <c r="B368" s="9">
        <f>5.5892 * CHOOSE(CONTROL!$C$32, $C$9, 100%, $E$9)</f>
        <v>5.5891999999999999</v>
      </c>
      <c r="C368" s="9">
        <f>5.5892 * CHOOSE(CONTROL!$C$32, $C$9, 100%, $E$9)</f>
        <v>5.5891999999999999</v>
      </c>
      <c r="D368" s="9">
        <f>5.5904 * CHOOSE(CONTROL!$C$32, $C$9, 100%, $E$9)</f>
        <v>5.5903999999999998</v>
      </c>
      <c r="E368" s="11">
        <f>6.7552 * CHOOSE(CONTROL!$C$32, $C$9, 100%, $E$9)</f>
        <v>6.7552000000000003</v>
      </c>
      <c r="F368" s="11">
        <f>6.7552 * CHOOSE(CONTROL!$C$32, $C$9, 100%, $E$9)</f>
        <v>6.7552000000000003</v>
      </c>
      <c r="G368" s="11">
        <f>6.7594 * CHOOSE(CONTROL!$C$32, $C$9, 100%, $E$9)</f>
        <v>6.7594000000000003</v>
      </c>
      <c r="H368" s="11">
        <f>12.0456 * CHOOSE(CONTROL!$C$32, $C$9, 100%, $E$9)</f>
        <v>12.0456</v>
      </c>
      <c r="I368" s="11">
        <f>12.0498 * CHOOSE(CONTROL!$C$32, $C$9, 100%, $E$9)</f>
        <v>12.049799999999999</v>
      </c>
      <c r="J368" s="11">
        <f>12.0456 * CHOOSE(CONTROL!$C$32, $C$9, 100%, $E$9)</f>
        <v>12.0456</v>
      </c>
      <c r="K368" s="11">
        <f>12.0498 * CHOOSE(CONTROL!$C$32, $C$9, 100%, $E$9)</f>
        <v>12.049799999999999</v>
      </c>
      <c r="L368" s="11">
        <f>6.7552 * CHOOSE(CONTROL!$C$32, $C$9, 100%, $E$9)</f>
        <v>6.7552000000000003</v>
      </c>
      <c r="M368" s="11">
        <f>6.7594 * CHOOSE(CONTROL!$C$32, $C$9, 100%, $E$9)</f>
        <v>6.7594000000000003</v>
      </c>
      <c r="N368" s="11">
        <f>6.7552 * CHOOSE(CONTROL!$C$32, $C$9, 100%, $E$9)</f>
        <v>6.7552000000000003</v>
      </c>
      <c r="O368" s="11">
        <f>6.7594 * CHOOSE(CONTROL!$C$32, $C$9, 100%, $E$9)</f>
        <v>6.7594000000000003</v>
      </c>
    </row>
    <row r="369" spans="1:15" ht="15" x14ac:dyDescent="0.2">
      <c r="A369" s="13">
        <v>52079</v>
      </c>
      <c r="B369" s="9">
        <f>5.5958 * CHOOSE(CONTROL!$C$32, $C$9, 100%, $E$9)</f>
        <v>5.5957999999999997</v>
      </c>
      <c r="C369" s="9">
        <f>5.5958 * CHOOSE(CONTROL!$C$32, $C$9, 100%, $E$9)</f>
        <v>5.5957999999999997</v>
      </c>
      <c r="D369" s="9">
        <f>5.5971 * CHOOSE(CONTROL!$C$32, $C$9, 100%, $E$9)</f>
        <v>5.5971000000000002</v>
      </c>
      <c r="E369" s="11">
        <f>6.643 * CHOOSE(CONTROL!$C$32, $C$9, 100%, $E$9)</f>
        <v>6.6429999999999998</v>
      </c>
      <c r="F369" s="11">
        <f>6.643 * CHOOSE(CONTROL!$C$32, $C$9, 100%, $E$9)</f>
        <v>6.6429999999999998</v>
      </c>
      <c r="G369" s="11">
        <f>6.6473 * CHOOSE(CONTROL!$C$32, $C$9, 100%, $E$9)</f>
        <v>6.6473000000000004</v>
      </c>
      <c r="H369" s="11">
        <f>12.0707 * CHOOSE(CONTROL!$C$32, $C$9, 100%, $E$9)</f>
        <v>12.0707</v>
      </c>
      <c r="I369" s="11">
        <f>12.0749 * CHOOSE(CONTROL!$C$32, $C$9, 100%, $E$9)</f>
        <v>12.0749</v>
      </c>
      <c r="J369" s="11">
        <f>12.0707 * CHOOSE(CONTROL!$C$32, $C$9, 100%, $E$9)</f>
        <v>12.0707</v>
      </c>
      <c r="K369" s="11">
        <f>12.0749 * CHOOSE(CONTROL!$C$32, $C$9, 100%, $E$9)</f>
        <v>12.0749</v>
      </c>
      <c r="L369" s="11">
        <f>6.643 * CHOOSE(CONTROL!$C$32, $C$9, 100%, $E$9)</f>
        <v>6.6429999999999998</v>
      </c>
      <c r="M369" s="11">
        <f>6.6473 * CHOOSE(CONTROL!$C$32, $C$9, 100%, $E$9)</f>
        <v>6.6473000000000004</v>
      </c>
      <c r="N369" s="11">
        <f>6.643 * CHOOSE(CONTROL!$C$32, $C$9, 100%, $E$9)</f>
        <v>6.6429999999999998</v>
      </c>
      <c r="O369" s="11">
        <f>6.6473 * CHOOSE(CONTROL!$C$32, $C$9, 100%, $E$9)</f>
        <v>6.6473000000000004</v>
      </c>
    </row>
    <row r="370" spans="1:15" ht="15" x14ac:dyDescent="0.2">
      <c r="A370" s="13">
        <v>52110</v>
      </c>
      <c r="B370" s="9">
        <f>5.5928 * CHOOSE(CONTROL!$C$32, $C$9, 100%, $E$9)</f>
        <v>5.5928000000000004</v>
      </c>
      <c r="C370" s="9">
        <f>5.5928 * CHOOSE(CONTROL!$C$32, $C$9, 100%, $E$9)</f>
        <v>5.5928000000000004</v>
      </c>
      <c r="D370" s="9">
        <f>5.5941 * CHOOSE(CONTROL!$C$32, $C$9, 100%, $E$9)</f>
        <v>5.5941000000000001</v>
      </c>
      <c r="E370" s="11">
        <f>6.628 * CHOOSE(CONTROL!$C$32, $C$9, 100%, $E$9)</f>
        <v>6.6280000000000001</v>
      </c>
      <c r="F370" s="11">
        <f>6.628 * CHOOSE(CONTROL!$C$32, $C$9, 100%, $E$9)</f>
        <v>6.6280000000000001</v>
      </c>
      <c r="G370" s="11">
        <f>6.6322 * CHOOSE(CONTROL!$C$32, $C$9, 100%, $E$9)</f>
        <v>6.6322000000000001</v>
      </c>
      <c r="H370" s="11">
        <f>12.0959 * CHOOSE(CONTROL!$C$32, $C$9, 100%, $E$9)</f>
        <v>12.0959</v>
      </c>
      <c r="I370" s="11">
        <f>12.1001 * CHOOSE(CONTROL!$C$32, $C$9, 100%, $E$9)</f>
        <v>12.100099999999999</v>
      </c>
      <c r="J370" s="11">
        <f>12.0959 * CHOOSE(CONTROL!$C$32, $C$9, 100%, $E$9)</f>
        <v>12.0959</v>
      </c>
      <c r="K370" s="11">
        <f>12.1001 * CHOOSE(CONTROL!$C$32, $C$9, 100%, $E$9)</f>
        <v>12.100099999999999</v>
      </c>
      <c r="L370" s="11">
        <f>6.628 * CHOOSE(CONTROL!$C$32, $C$9, 100%, $E$9)</f>
        <v>6.6280000000000001</v>
      </c>
      <c r="M370" s="11">
        <f>6.6322 * CHOOSE(CONTROL!$C$32, $C$9, 100%, $E$9)</f>
        <v>6.6322000000000001</v>
      </c>
      <c r="N370" s="11">
        <f>6.628 * CHOOSE(CONTROL!$C$32, $C$9, 100%, $E$9)</f>
        <v>6.6280000000000001</v>
      </c>
      <c r="O370" s="11">
        <f>6.6322 * CHOOSE(CONTROL!$C$32, $C$9, 100%, $E$9)</f>
        <v>6.6322000000000001</v>
      </c>
    </row>
    <row r="371" spans="1:15" ht="15" x14ac:dyDescent="0.2">
      <c r="A371" s="13">
        <v>52140</v>
      </c>
      <c r="B371" s="9">
        <f>5.5938 * CHOOSE(CONTROL!$C$32, $C$9, 100%, $E$9)</f>
        <v>5.5937999999999999</v>
      </c>
      <c r="C371" s="9">
        <f>5.5938 * CHOOSE(CONTROL!$C$32, $C$9, 100%, $E$9)</f>
        <v>5.5937999999999999</v>
      </c>
      <c r="D371" s="9">
        <f>5.5947 * CHOOSE(CONTROL!$C$32, $C$9, 100%, $E$9)</f>
        <v>5.5946999999999996</v>
      </c>
      <c r="E371" s="11">
        <f>6.6664 * CHOOSE(CONTROL!$C$32, $C$9, 100%, $E$9)</f>
        <v>6.6664000000000003</v>
      </c>
      <c r="F371" s="11">
        <f>6.6664 * CHOOSE(CONTROL!$C$32, $C$9, 100%, $E$9)</f>
        <v>6.6664000000000003</v>
      </c>
      <c r="G371" s="11">
        <f>6.6697 * CHOOSE(CONTROL!$C$32, $C$9, 100%, $E$9)</f>
        <v>6.6696999999999997</v>
      </c>
      <c r="H371" s="11">
        <f>12.1211 * CHOOSE(CONTROL!$C$32, $C$9, 100%, $E$9)</f>
        <v>12.1211</v>
      </c>
      <c r="I371" s="11">
        <f>12.1243 * CHOOSE(CONTROL!$C$32, $C$9, 100%, $E$9)</f>
        <v>12.1243</v>
      </c>
      <c r="J371" s="11">
        <f>12.1211 * CHOOSE(CONTROL!$C$32, $C$9, 100%, $E$9)</f>
        <v>12.1211</v>
      </c>
      <c r="K371" s="11">
        <f>12.1243 * CHOOSE(CONTROL!$C$32, $C$9, 100%, $E$9)</f>
        <v>12.1243</v>
      </c>
      <c r="L371" s="11">
        <f>6.6664 * CHOOSE(CONTROL!$C$32, $C$9, 100%, $E$9)</f>
        <v>6.6664000000000003</v>
      </c>
      <c r="M371" s="11">
        <f>6.6697 * CHOOSE(CONTROL!$C$32, $C$9, 100%, $E$9)</f>
        <v>6.6696999999999997</v>
      </c>
      <c r="N371" s="11">
        <f>6.6664 * CHOOSE(CONTROL!$C$32, $C$9, 100%, $E$9)</f>
        <v>6.6664000000000003</v>
      </c>
      <c r="O371" s="11">
        <f>6.6697 * CHOOSE(CONTROL!$C$32, $C$9, 100%, $E$9)</f>
        <v>6.6696999999999997</v>
      </c>
    </row>
    <row r="372" spans="1:15" ht="15" x14ac:dyDescent="0.2">
      <c r="A372" s="13">
        <v>52171</v>
      </c>
      <c r="B372" s="9">
        <f>5.5968 * CHOOSE(CONTROL!$C$32, $C$9, 100%, $E$9)</f>
        <v>5.5968</v>
      </c>
      <c r="C372" s="9">
        <f>5.5968 * CHOOSE(CONTROL!$C$32, $C$9, 100%, $E$9)</f>
        <v>5.5968</v>
      </c>
      <c r="D372" s="9">
        <f>5.5978 * CHOOSE(CONTROL!$C$32, $C$9, 100%, $E$9)</f>
        <v>5.5978000000000003</v>
      </c>
      <c r="E372" s="11">
        <f>6.6945 * CHOOSE(CONTROL!$C$32, $C$9, 100%, $E$9)</f>
        <v>6.6944999999999997</v>
      </c>
      <c r="F372" s="11">
        <f>6.6945 * CHOOSE(CONTROL!$C$32, $C$9, 100%, $E$9)</f>
        <v>6.6944999999999997</v>
      </c>
      <c r="G372" s="11">
        <f>6.6977 * CHOOSE(CONTROL!$C$32, $C$9, 100%, $E$9)</f>
        <v>6.6977000000000002</v>
      </c>
      <c r="H372" s="11">
        <f>12.1463 * CHOOSE(CONTROL!$C$32, $C$9, 100%, $E$9)</f>
        <v>12.1463</v>
      </c>
      <c r="I372" s="11">
        <f>12.1496 * CHOOSE(CONTROL!$C$32, $C$9, 100%, $E$9)</f>
        <v>12.1496</v>
      </c>
      <c r="J372" s="11">
        <f>12.1463 * CHOOSE(CONTROL!$C$32, $C$9, 100%, $E$9)</f>
        <v>12.1463</v>
      </c>
      <c r="K372" s="11">
        <f>12.1496 * CHOOSE(CONTROL!$C$32, $C$9, 100%, $E$9)</f>
        <v>12.1496</v>
      </c>
      <c r="L372" s="11">
        <f>6.6945 * CHOOSE(CONTROL!$C$32, $C$9, 100%, $E$9)</f>
        <v>6.6944999999999997</v>
      </c>
      <c r="M372" s="11">
        <f>6.6977 * CHOOSE(CONTROL!$C$32, $C$9, 100%, $E$9)</f>
        <v>6.6977000000000002</v>
      </c>
      <c r="N372" s="11">
        <f>6.6945 * CHOOSE(CONTROL!$C$32, $C$9, 100%, $E$9)</f>
        <v>6.6944999999999997</v>
      </c>
      <c r="O372" s="11">
        <f>6.6977 * CHOOSE(CONTROL!$C$32, $C$9, 100%, $E$9)</f>
        <v>6.6977000000000002</v>
      </c>
    </row>
    <row r="373" spans="1:15" ht="15" x14ac:dyDescent="0.2">
      <c r="A373" s="13">
        <v>52201</v>
      </c>
      <c r="B373" s="9">
        <f>5.5968 * CHOOSE(CONTROL!$C$32, $C$9, 100%, $E$9)</f>
        <v>5.5968</v>
      </c>
      <c r="C373" s="9">
        <f>5.5968 * CHOOSE(CONTROL!$C$32, $C$9, 100%, $E$9)</f>
        <v>5.5968</v>
      </c>
      <c r="D373" s="9">
        <f>5.5978 * CHOOSE(CONTROL!$C$32, $C$9, 100%, $E$9)</f>
        <v>5.5978000000000003</v>
      </c>
      <c r="E373" s="11">
        <f>6.6296 * CHOOSE(CONTROL!$C$32, $C$9, 100%, $E$9)</f>
        <v>6.6295999999999999</v>
      </c>
      <c r="F373" s="11">
        <f>6.6296 * CHOOSE(CONTROL!$C$32, $C$9, 100%, $E$9)</f>
        <v>6.6295999999999999</v>
      </c>
      <c r="G373" s="11">
        <f>6.6329 * CHOOSE(CONTROL!$C$32, $C$9, 100%, $E$9)</f>
        <v>6.6329000000000002</v>
      </c>
      <c r="H373" s="11">
        <f>12.1716 * CHOOSE(CONTROL!$C$32, $C$9, 100%, $E$9)</f>
        <v>12.1716</v>
      </c>
      <c r="I373" s="11">
        <f>12.1749 * CHOOSE(CONTROL!$C$32, $C$9, 100%, $E$9)</f>
        <v>12.174899999999999</v>
      </c>
      <c r="J373" s="11">
        <f>12.1716 * CHOOSE(CONTROL!$C$32, $C$9, 100%, $E$9)</f>
        <v>12.1716</v>
      </c>
      <c r="K373" s="11">
        <f>12.1749 * CHOOSE(CONTROL!$C$32, $C$9, 100%, $E$9)</f>
        <v>12.174899999999999</v>
      </c>
      <c r="L373" s="11">
        <f>6.6296 * CHOOSE(CONTROL!$C$32, $C$9, 100%, $E$9)</f>
        <v>6.6295999999999999</v>
      </c>
      <c r="M373" s="11">
        <f>6.6329 * CHOOSE(CONTROL!$C$32, $C$9, 100%, $E$9)</f>
        <v>6.6329000000000002</v>
      </c>
      <c r="N373" s="11">
        <f>6.6296 * CHOOSE(CONTROL!$C$32, $C$9, 100%, $E$9)</f>
        <v>6.6295999999999999</v>
      </c>
      <c r="O373" s="11">
        <f>6.6329 * CHOOSE(CONTROL!$C$32, $C$9, 100%, $E$9)</f>
        <v>6.6329000000000002</v>
      </c>
    </row>
    <row r="374" spans="1:15" ht="15" x14ac:dyDescent="0.2">
      <c r="A374" s="13">
        <v>52232</v>
      </c>
      <c r="B374" s="9">
        <f>5.6399 * CHOOSE(CONTROL!$C$32, $C$9, 100%, $E$9)</f>
        <v>5.6398999999999999</v>
      </c>
      <c r="C374" s="9">
        <f>5.6399 * CHOOSE(CONTROL!$C$32, $C$9, 100%, $E$9)</f>
        <v>5.6398999999999999</v>
      </c>
      <c r="D374" s="9">
        <f>5.6408 * CHOOSE(CONTROL!$C$32, $C$9, 100%, $E$9)</f>
        <v>5.6407999999999996</v>
      </c>
      <c r="E374" s="11">
        <f>6.6994 * CHOOSE(CONTROL!$C$32, $C$9, 100%, $E$9)</f>
        <v>6.6993999999999998</v>
      </c>
      <c r="F374" s="11">
        <f>6.6994 * CHOOSE(CONTROL!$C$32, $C$9, 100%, $E$9)</f>
        <v>6.6993999999999998</v>
      </c>
      <c r="G374" s="11">
        <f>6.7026 * CHOOSE(CONTROL!$C$32, $C$9, 100%, $E$9)</f>
        <v>6.7026000000000003</v>
      </c>
      <c r="H374" s="11">
        <f>12.197 * CHOOSE(CONTROL!$C$32, $C$9, 100%, $E$9)</f>
        <v>12.196999999999999</v>
      </c>
      <c r="I374" s="11">
        <f>12.2002 * CHOOSE(CONTROL!$C$32, $C$9, 100%, $E$9)</f>
        <v>12.200200000000001</v>
      </c>
      <c r="J374" s="11">
        <f>12.197 * CHOOSE(CONTROL!$C$32, $C$9, 100%, $E$9)</f>
        <v>12.196999999999999</v>
      </c>
      <c r="K374" s="11">
        <f>12.2002 * CHOOSE(CONTROL!$C$32, $C$9, 100%, $E$9)</f>
        <v>12.200200000000001</v>
      </c>
      <c r="L374" s="11">
        <f>6.6994 * CHOOSE(CONTROL!$C$32, $C$9, 100%, $E$9)</f>
        <v>6.6993999999999998</v>
      </c>
      <c r="M374" s="11">
        <f>6.7026 * CHOOSE(CONTROL!$C$32, $C$9, 100%, $E$9)</f>
        <v>6.7026000000000003</v>
      </c>
      <c r="N374" s="11">
        <f>6.6994 * CHOOSE(CONTROL!$C$32, $C$9, 100%, $E$9)</f>
        <v>6.6993999999999998</v>
      </c>
      <c r="O374" s="11">
        <f>6.7026 * CHOOSE(CONTROL!$C$32, $C$9, 100%, $E$9)</f>
        <v>6.7026000000000003</v>
      </c>
    </row>
    <row r="375" spans="1:15" ht="15" x14ac:dyDescent="0.2">
      <c r="A375" s="13">
        <v>52263</v>
      </c>
      <c r="B375" s="9">
        <f>5.6368 * CHOOSE(CONTROL!$C$32, $C$9, 100%, $E$9)</f>
        <v>5.6368</v>
      </c>
      <c r="C375" s="9">
        <f>5.6368 * CHOOSE(CONTROL!$C$32, $C$9, 100%, $E$9)</f>
        <v>5.6368</v>
      </c>
      <c r="D375" s="9">
        <f>5.6378 * CHOOSE(CONTROL!$C$32, $C$9, 100%, $E$9)</f>
        <v>5.6378000000000004</v>
      </c>
      <c r="E375" s="11">
        <f>6.5707 * CHOOSE(CONTROL!$C$32, $C$9, 100%, $E$9)</f>
        <v>6.5707000000000004</v>
      </c>
      <c r="F375" s="11">
        <f>6.5707 * CHOOSE(CONTROL!$C$32, $C$9, 100%, $E$9)</f>
        <v>6.5707000000000004</v>
      </c>
      <c r="G375" s="11">
        <f>6.5739 * CHOOSE(CONTROL!$C$32, $C$9, 100%, $E$9)</f>
        <v>6.5739000000000001</v>
      </c>
      <c r="H375" s="11">
        <f>12.2224 * CHOOSE(CONTROL!$C$32, $C$9, 100%, $E$9)</f>
        <v>12.2224</v>
      </c>
      <c r="I375" s="11">
        <f>12.2256 * CHOOSE(CONTROL!$C$32, $C$9, 100%, $E$9)</f>
        <v>12.2256</v>
      </c>
      <c r="J375" s="11">
        <f>12.2224 * CHOOSE(CONTROL!$C$32, $C$9, 100%, $E$9)</f>
        <v>12.2224</v>
      </c>
      <c r="K375" s="11">
        <f>12.2256 * CHOOSE(CONTROL!$C$32, $C$9, 100%, $E$9)</f>
        <v>12.2256</v>
      </c>
      <c r="L375" s="11">
        <f>6.5707 * CHOOSE(CONTROL!$C$32, $C$9, 100%, $E$9)</f>
        <v>6.5707000000000004</v>
      </c>
      <c r="M375" s="11">
        <f>6.5739 * CHOOSE(CONTROL!$C$32, $C$9, 100%, $E$9)</f>
        <v>6.5739000000000001</v>
      </c>
      <c r="N375" s="11">
        <f>6.5707 * CHOOSE(CONTROL!$C$32, $C$9, 100%, $E$9)</f>
        <v>6.5707000000000004</v>
      </c>
      <c r="O375" s="11">
        <f>6.5739 * CHOOSE(CONTROL!$C$32, $C$9, 100%, $E$9)</f>
        <v>6.5739000000000001</v>
      </c>
    </row>
    <row r="376" spans="1:15" ht="15" x14ac:dyDescent="0.2">
      <c r="A376" s="13">
        <v>52291</v>
      </c>
      <c r="B376" s="9">
        <f>5.6338 * CHOOSE(CONTROL!$C$32, $C$9, 100%, $E$9)</f>
        <v>5.6337999999999999</v>
      </c>
      <c r="C376" s="9">
        <f>5.6338 * CHOOSE(CONTROL!$C$32, $C$9, 100%, $E$9)</f>
        <v>5.6337999999999999</v>
      </c>
      <c r="D376" s="9">
        <f>5.6347 * CHOOSE(CONTROL!$C$32, $C$9, 100%, $E$9)</f>
        <v>5.6346999999999996</v>
      </c>
      <c r="E376" s="11">
        <f>6.6684 * CHOOSE(CONTROL!$C$32, $C$9, 100%, $E$9)</f>
        <v>6.6684000000000001</v>
      </c>
      <c r="F376" s="11">
        <f>6.6684 * CHOOSE(CONTROL!$C$32, $C$9, 100%, $E$9)</f>
        <v>6.6684000000000001</v>
      </c>
      <c r="G376" s="11">
        <f>6.6716 * CHOOSE(CONTROL!$C$32, $C$9, 100%, $E$9)</f>
        <v>6.6715999999999998</v>
      </c>
      <c r="H376" s="11">
        <f>12.2479 * CHOOSE(CONTROL!$C$32, $C$9, 100%, $E$9)</f>
        <v>12.2479</v>
      </c>
      <c r="I376" s="11">
        <f>12.2511 * CHOOSE(CONTROL!$C$32, $C$9, 100%, $E$9)</f>
        <v>12.251099999999999</v>
      </c>
      <c r="J376" s="11">
        <f>12.2479 * CHOOSE(CONTROL!$C$32, $C$9, 100%, $E$9)</f>
        <v>12.2479</v>
      </c>
      <c r="K376" s="11">
        <f>12.2511 * CHOOSE(CONTROL!$C$32, $C$9, 100%, $E$9)</f>
        <v>12.251099999999999</v>
      </c>
      <c r="L376" s="11">
        <f>6.6684 * CHOOSE(CONTROL!$C$32, $C$9, 100%, $E$9)</f>
        <v>6.6684000000000001</v>
      </c>
      <c r="M376" s="11">
        <f>6.6716 * CHOOSE(CONTROL!$C$32, $C$9, 100%, $E$9)</f>
        <v>6.6715999999999998</v>
      </c>
      <c r="N376" s="11">
        <f>6.6684 * CHOOSE(CONTROL!$C$32, $C$9, 100%, $E$9)</f>
        <v>6.6684000000000001</v>
      </c>
      <c r="O376" s="11">
        <f>6.6716 * CHOOSE(CONTROL!$C$32, $C$9, 100%, $E$9)</f>
        <v>6.6715999999999998</v>
      </c>
    </row>
    <row r="377" spans="1:15" ht="15" x14ac:dyDescent="0.2">
      <c r="A377" s="13">
        <v>52322</v>
      </c>
      <c r="B377" s="9">
        <f>5.633 * CHOOSE(CONTROL!$C$32, $C$9, 100%, $E$9)</f>
        <v>5.633</v>
      </c>
      <c r="C377" s="9">
        <f>5.633 * CHOOSE(CONTROL!$C$32, $C$9, 100%, $E$9)</f>
        <v>5.633</v>
      </c>
      <c r="D377" s="9">
        <f>5.634 * CHOOSE(CONTROL!$C$32, $C$9, 100%, $E$9)</f>
        <v>5.6340000000000003</v>
      </c>
      <c r="E377" s="11">
        <f>6.7713 * CHOOSE(CONTROL!$C$32, $C$9, 100%, $E$9)</f>
        <v>6.7713000000000001</v>
      </c>
      <c r="F377" s="11">
        <f>6.7713 * CHOOSE(CONTROL!$C$32, $C$9, 100%, $E$9)</f>
        <v>6.7713000000000001</v>
      </c>
      <c r="G377" s="11">
        <f>6.7745 * CHOOSE(CONTROL!$C$32, $C$9, 100%, $E$9)</f>
        <v>6.7744999999999997</v>
      </c>
      <c r="H377" s="11">
        <f>12.2734 * CHOOSE(CONTROL!$C$32, $C$9, 100%, $E$9)</f>
        <v>12.273400000000001</v>
      </c>
      <c r="I377" s="11">
        <f>12.2766 * CHOOSE(CONTROL!$C$32, $C$9, 100%, $E$9)</f>
        <v>12.2766</v>
      </c>
      <c r="J377" s="11">
        <f>12.2734 * CHOOSE(CONTROL!$C$32, $C$9, 100%, $E$9)</f>
        <v>12.273400000000001</v>
      </c>
      <c r="K377" s="11">
        <f>12.2766 * CHOOSE(CONTROL!$C$32, $C$9, 100%, $E$9)</f>
        <v>12.2766</v>
      </c>
      <c r="L377" s="11">
        <f>6.7713 * CHOOSE(CONTROL!$C$32, $C$9, 100%, $E$9)</f>
        <v>6.7713000000000001</v>
      </c>
      <c r="M377" s="11">
        <f>6.7745 * CHOOSE(CONTROL!$C$32, $C$9, 100%, $E$9)</f>
        <v>6.7744999999999997</v>
      </c>
      <c r="N377" s="11">
        <f>6.7713 * CHOOSE(CONTROL!$C$32, $C$9, 100%, $E$9)</f>
        <v>6.7713000000000001</v>
      </c>
      <c r="O377" s="11">
        <f>6.7745 * CHOOSE(CONTROL!$C$32, $C$9, 100%, $E$9)</f>
        <v>6.7744999999999997</v>
      </c>
    </row>
    <row r="378" spans="1:15" ht="15" x14ac:dyDescent="0.2">
      <c r="A378" s="13">
        <v>52352</v>
      </c>
      <c r="B378" s="9">
        <f>5.633 * CHOOSE(CONTROL!$C$32, $C$9, 100%, $E$9)</f>
        <v>5.633</v>
      </c>
      <c r="C378" s="9">
        <f>5.633 * CHOOSE(CONTROL!$C$32, $C$9, 100%, $E$9)</f>
        <v>5.633</v>
      </c>
      <c r="D378" s="9">
        <f>5.6343 * CHOOSE(CONTROL!$C$32, $C$9, 100%, $E$9)</f>
        <v>5.6342999999999996</v>
      </c>
      <c r="E378" s="11">
        <f>6.8115 * CHOOSE(CONTROL!$C$32, $C$9, 100%, $E$9)</f>
        <v>6.8114999999999997</v>
      </c>
      <c r="F378" s="11">
        <f>6.8115 * CHOOSE(CONTROL!$C$32, $C$9, 100%, $E$9)</f>
        <v>6.8114999999999997</v>
      </c>
      <c r="G378" s="11">
        <f>6.8157 * CHOOSE(CONTROL!$C$32, $C$9, 100%, $E$9)</f>
        <v>6.8156999999999996</v>
      </c>
      <c r="H378" s="11">
        <f>12.299 * CHOOSE(CONTROL!$C$32, $C$9, 100%, $E$9)</f>
        <v>12.298999999999999</v>
      </c>
      <c r="I378" s="11">
        <f>12.3032 * CHOOSE(CONTROL!$C$32, $C$9, 100%, $E$9)</f>
        <v>12.3032</v>
      </c>
      <c r="J378" s="11">
        <f>12.299 * CHOOSE(CONTROL!$C$32, $C$9, 100%, $E$9)</f>
        <v>12.298999999999999</v>
      </c>
      <c r="K378" s="11">
        <f>12.3032 * CHOOSE(CONTROL!$C$32, $C$9, 100%, $E$9)</f>
        <v>12.3032</v>
      </c>
      <c r="L378" s="11">
        <f>6.8115 * CHOOSE(CONTROL!$C$32, $C$9, 100%, $E$9)</f>
        <v>6.8114999999999997</v>
      </c>
      <c r="M378" s="11">
        <f>6.8157 * CHOOSE(CONTROL!$C$32, $C$9, 100%, $E$9)</f>
        <v>6.8156999999999996</v>
      </c>
      <c r="N378" s="11">
        <f>6.8115 * CHOOSE(CONTROL!$C$32, $C$9, 100%, $E$9)</f>
        <v>6.8114999999999997</v>
      </c>
      <c r="O378" s="11">
        <f>6.8157 * CHOOSE(CONTROL!$C$32, $C$9, 100%, $E$9)</f>
        <v>6.8156999999999996</v>
      </c>
    </row>
    <row r="379" spans="1:15" ht="15" x14ac:dyDescent="0.2">
      <c r="A379" s="13">
        <v>52383</v>
      </c>
      <c r="B379" s="9">
        <f>5.6391 * CHOOSE(CONTROL!$C$32, $C$9, 100%, $E$9)</f>
        <v>5.6391</v>
      </c>
      <c r="C379" s="9">
        <f>5.6391 * CHOOSE(CONTROL!$C$32, $C$9, 100%, $E$9)</f>
        <v>5.6391</v>
      </c>
      <c r="D379" s="9">
        <f>5.6403 * CHOOSE(CONTROL!$C$32, $C$9, 100%, $E$9)</f>
        <v>5.6402999999999999</v>
      </c>
      <c r="E379" s="11">
        <f>6.7755 * CHOOSE(CONTROL!$C$32, $C$9, 100%, $E$9)</f>
        <v>6.7755000000000001</v>
      </c>
      <c r="F379" s="11">
        <f>6.7755 * CHOOSE(CONTROL!$C$32, $C$9, 100%, $E$9)</f>
        <v>6.7755000000000001</v>
      </c>
      <c r="G379" s="11">
        <f>6.7797 * CHOOSE(CONTROL!$C$32, $C$9, 100%, $E$9)</f>
        <v>6.7797000000000001</v>
      </c>
      <c r="H379" s="11">
        <f>12.3246 * CHOOSE(CONTROL!$C$32, $C$9, 100%, $E$9)</f>
        <v>12.3246</v>
      </c>
      <c r="I379" s="11">
        <f>12.3288 * CHOOSE(CONTROL!$C$32, $C$9, 100%, $E$9)</f>
        <v>12.328799999999999</v>
      </c>
      <c r="J379" s="11">
        <f>12.3246 * CHOOSE(CONTROL!$C$32, $C$9, 100%, $E$9)</f>
        <v>12.3246</v>
      </c>
      <c r="K379" s="11">
        <f>12.3288 * CHOOSE(CONTROL!$C$32, $C$9, 100%, $E$9)</f>
        <v>12.328799999999999</v>
      </c>
      <c r="L379" s="11">
        <f>6.7755 * CHOOSE(CONTROL!$C$32, $C$9, 100%, $E$9)</f>
        <v>6.7755000000000001</v>
      </c>
      <c r="M379" s="11">
        <f>6.7797 * CHOOSE(CONTROL!$C$32, $C$9, 100%, $E$9)</f>
        <v>6.7797000000000001</v>
      </c>
      <c r="N379" s="11">
        <f>6.7755 * CHOOSE(CONTROL!$C$32, $C$9, 100%, $E$9)</f>
        <v>6.7755000000000001</v>
      </c>
      <c r="O379" s="11">
        <f>6.7797 * CHOOSE(CONTROL!$C$32, $C$9, 100%, $E$9)</f>
        <v>6.7797000000000001</v>
      </c>
    </row>
    <row r="380" spans="1:15" ht="15" x14ac:dyDescent="0.2">
      <c r="A380" s="13">
        <v>52413</v>
      </c>
      <c r="B380" s="9">
        <f>5.7154 * CHOOSE(CONTROL!$C$32, $C$9, 100%, $E$9)</f>
        <v>5.7153999999999998</v>
      </c>
      <c r="C380" s="9">
        <f>5.7154 * CHOOSE(CONTROL!$C$32, $C$9, 100%, $E$9)</f>
        <v>5.7153999999999998</v>
      </c>
      <c r="D380" s="9">
        <f>5.7166 * CHOOSE(CONTROL!$C$32, $C$9, 100%, $E$9)</f>
        <v>5.7165999999999997</v>
      </c>
      <c r="E380" s="11">
        <f>6.7955 * CHOOSE(CONTROL!$C$32, $C$9, 100%, $E$9)</f>
        <v>6.7954999999999997</v>
      </c>
      <c r="F380" s="11">
        <f>6.7955 * CHOOSE(CONTROL!$C$32, $C$9, 100%, $E$9)</f>
        <v>6.7954999999999997</v>
      </c>
      <c r="G380" s="11">
        <f>6.7997 * CHOOSE(CONTROL!$C$32, $C$9, 100%, $E$9)</f>
        <v>6.7996999999999996</v>
      </c>
      <c r="H380" s="11">
        <f>12.3503 * CHOOSE(CONTROL!$C$32, $C$9, 100%, $E$9)</f>
        <v>12.350300000000001</v>
      </c>
      <c r="I380" s="11">
        <f>12.3545 * CHOOSE(CONTROL!$C$32, $C$9, 100%, $E$9)</f>
        <v>12.3545</v>
      </c>
      <c r="J380" s="11">
        <f>12.3503 * CHOOSE(CONTROL!$C$32, $C$9, 100%, $E$9)</f>
        <v>12.350300000000001</v>
      </c>
      <c r="K380" s="11">
        <f>12.3545 * CHOOSE(CONTROL!$C$32, $C$9, 100%, $E$9)</f>
        <v>12.3545</v>
      </c>
      <c r="L380" s="11">
        <f>6.7955 * CHOOSE(CONTROL!$C$32, $C$9, 100%, $E$9)</f>
        <v>6.7954999999999997</v>
      </c>
      <c r="M380" s="11">
        <f>6.7997 * CHOOSE(CONTROL!$C$32, $C$9, 100%, $E$9)</f>
        <v>6.7996999999999996</v>
      </c>
      <c r="N380" s="11">
        <f>6.7955 * CHOOSE(CONTROL!$C$32, $C$9, 100%, $E$9)</f>
        <v>6.7954999999999997</v>
      </c>
      <c r="O380" s="11">
        <f>6.7997 * CHOOSE(CONTROL!$C$32, $C$9, 100%, $E$9)</f>
        <v>6.7996999999999996</v>
      </c>
    </row>
    <row r="381" spans="1:15" ht="15" x14ac:dyDescent="0.2">
      <c r="A381" s="13">
        <v>52444</v>
      </c>
      <c r="B381" s="9">
        <f>5.7221 * CHOOSE(CONTROL!$C$32, $C$9, 100%, $E$9)</f>
        <v>5.7221000000000002</v>
      </c>
      <c r="C381" s="9">
        <f>5.7221 * CHOOSE(CONTROL!$C$32, $C$9, 100%, $E$9)</f>
        <v>5.7221000000000002</v>
      </c>
      <c r="D381" s="9">
        <f>5.7233 * CHOOSE(CONTROL!$C$32, $C$9, 100%, $E$9)</f>
        <v>5.7233000000000001</v>
      </c>
      <c r="E381" s="11">
        <f>6.6796 * CHOOSE(CONTROL!$C$32, $C$9, 100%, $E$9)</f>
        <v>6.6795999999999998</v>
      </c>
      <c r="F381" s="11">
        <f>6.6796 * CHOOSE(CONTROL!$C$32, $C$9, 100%, $E$9)</f>
        <v>6.6795999999999998</v>
      </c>
      <c r="G381" s="11">
        <f>6.6838 * CHOOSE(CONTROL!$C$32, $C$9, 100%, $E$9)</f>
        <v>6.6837999999999997</v>
      </c>
      <c r="H381" s="11">
        <f>12.376 * CHOOSE(CONTROL!$C$32, $C$9, 100%, $E$9)</f>
        <v>12.375999999999999</v>
      </c>
      <c r="I381" s="11">
        <f>12.3802 * CHOOSE(CONTROL!$C$32, $C$9, 100%, $E$9)</f>
        <v>12.3802</v>
      </c>
      <c r="J381" s="11">
        <f>12.376 * CHOOSE(CONTROL!$C$32, $C$9, 100%, $E$9)</f>
        <v>12.375999999999999</v>
      </c>
      <c r="K381" s="11">
        <f>12.3802 * CHOOSE(CONTROL!$C$32, $C$9, 100%, $E$9)</f>
        <v>12.3802</v>
      </c>
      <c r="L381" s="11">
        <f>6.6796 * CHOOSE(CONTROL!$C$32, $C$9, 100%, $E$9)</f>
        <v>6.6795999999999998</v>
      </c>
      <c r="M381" s="11">
        <f>6.6838 * CHOOSE(CONTROL!$C$32, $C$9, 100%, $E$9)</f>
        <v>6.6837999999999997</v>
      </c>
      <c r="N381" s="11">
        <f>6.6796 * CHOOSE(CONTROL!$C$32, $C$9, 100%, $E$9)</f>
        <v>6.6795999999999998</v>
      </c>
      <c r="O381" s="11">
        <f>6.6838 * CHOOSE(CONTROL!$C$32, $C$9, 100%, $E$9)</f>
        <v>6.6837999999999997</v>
      </c>
    </row>
    <row r="382" spans="1:15" ht="15" x14ac:dyDescent="0.2">
      <c r="A382" s="13">
        <v>52475</v>
      </c>
      <c r="B382" s="9">
        <f>5.719 * CHOOSE(CONTROL!$C$32, $C$9, 100%, $E$9)</f>
        <v>5.7190000000000003</v>
      </c>
      <c r="C382" s="9">
        <f>5.719 * CHOOSE(CONTROL!$C$32, $C$9, 100%, $E$9)</f>
        <v>5.7190000000000003</v>
      </c>
      <c r="D382" s="9">
        <f>5.7203 * CHOOSE(CONTROL!$C$32, $C$9, 100%, $E$9)</f>
        <v>5.7202999999999999</v>
      </c>
      <c r="E382" s="11">
        <f>6.6641 * CHOOSE(CONTROL!$C$32, $C$9, 100%, $E$9)</f>
        <v>6.6641000000000004</v>
      </c>
      <c r="F382" s="11">
        <f>6.6641 * CHOOSE(CONTROL!$C$32, $C$9, 100%, $E$9)</f>
        <v>6.6641000000000004</v>
      </c>
      <c r="G382" s="11">
        <f>6.6683 * CHOOSE(CONTROL!$C$32, $C$9, 100%, $E$9)</f>
        <v>6.6683000000000003</v>
      </c>
      <c r="H382" s="11">
        <f>12.4018 * CHOOSE(CONTROL!$C$32, $C$9, 100%, $E$9)</f>
        <v>12.4018</v>
      </c>
      <c r="I382" s="11">
        <f>12.406 * CHOOSE(CONTROL!$C$32, $C$9, 100%, $E$9)</f>
        <v>12.406000000000001</v>
      </c>
      <c r="J382" s="11">
        <f>12.4018 * CHOOSE(CONTROL!$C$32, $C$9, 100%, $E$9)</f>
        <v>12.4018</v>
      </c>
      <c r="K382" s="11">
        <f>12.406 * CHOOSE(CONTROL!$C$32, $C$9, 100%, $E$9)</f>
        <v>12.406000000000001</v>
      </c>
      <c r="L382" s="11">
        <f>6.6641 * CHOOSE(CONTROL!$C$32, $C$9, 100%, $E$9)</f>
        <v>6.6641000000000004</v>
      </c>
      <c r="M382" s="11">
        <f>6.6683 * CHOOSE(CONTROL!$C$32, $C$9, 100%, $E$9)</f>
        <v>6.6683000000000003</v>
      </c>
      <c r="N382" s="11">
        <f>6.6641 * CHOOSE(CONTROL!$C$32, $C$9, 100%, $E$9)</f>
        <v>6.6641000000000004</v>
      </c>
      <c r="O382" s="11">
        <f>6.6683 * CHOOSE(CONTROL!$C$32, $C$9, 100%, $E$9)</f>
        <v>6.6683000000000003</v>
      </c>
    </row>
    <row r="383" spans="1:15" ht="15" x14ac:dyDescent="0.2">
      <c r="A383" s="13">
        <v>52505</v>
      </c>
      <c r="B383" s="9">
        <f>5.7205 * CHOOSE(CONTROL!$C$32, $C$9, 100%, $E$9)</f>
        <v>5.7205000000000004</v>
      </c>
      <c r="C383" s="9">
        <f>5.7205 * CHOOSE(CONTROL!$C$32, $C$9, 100%, $E$9)</f>
        <v>5.7205000000000004</v>
      </c>
      <c r="D383" s="9">
        <f>5.7214 * CHOOSE(CONTROL!$C$32, $C$9, 100%, $E$9)</f>
        <v>5.7214</v>
      </c>
      <c r="E383" s="11">
        <f>6.7042 * CHOOSE(CONTROL!$C$32, $C$9, 100%, $E$9)</f>
        <v>6.7042000000000002</v>
      </c>
      <c r="F383" s="11">
        <f>6.7042 * CHOOSE(CONTROL!$C$32, $C$9, 100%, $E$9)</f>
        <v>6.7042000000000002</v>
      </c>
      <c r="G383" s="11">
        <f>6.7075 * CHOOSE(CONTROL!$C$32, $C$9, 100%, $E$9)</f>
        <v>6.7074999999999996</v>
      </c>
      <c r="H383" s="11">
        <f>12.4276 * CHOOSE(CONTROL!$C$32, $C$9, 100%, $E$9)</f>
        <v>12.4276</v>
      </c>
      <c r="I383" s="11">
        <f>12.4308 * CHOOSE(CONTROL!$C$32, $C$9, 100%, $E$9)</f>
        <v>12.4308</v>
      </c>
      <c r="J383" s="11">
        <f>12.4276 * CHOOSE(CONTROL!$C$32, $C$9, 100%, $E$9)</f>
        <v>12.4276</v>
      </c>
      <c r="K383" s="11">
        <f>12.4308 * CHOOSE(CONTROL!$C$32, $C$9, 100%, $E$9)</f>
        <v>12.4308</v>
      </c>
      <c r="L383" s="11">
        <f>6.7042 * CHOOSE(CONTROL!$C$32, $C$9, 100%, $E$9)</f>
        <v>6.7042000000000002</v>
      </c>
      <c r="M383" s="11">
        <f>6.7075 * CHOOSE(CONTROL!$C$32, $C$9, 100%, $E$9)</f>
        <v>6.7074999999999996</v>
      </c>
      <c r="N383" s="11">
        <f>6.7042 * CHOOSE(CONTROL!$C$32, $C$9, 100%, $E$9)</f>
        <v>6.7042000000000002</v>
      </c>
      <c r="O383" s="11">
        <f>6.7075 * CHOOSE(CONTROL!$C$32, $C$9, 100%, $E$9)</f>
        <v>6.7074999999999996</v>
      </c>
    </row>
    <row r="384" spans="1:15" ht="15" x14ac:dyDescent="0.2">
      <c r="A384" s="13">
        <v>52536</v>
      </c>
      <c r="B384" s="9">
        <f>5.7235 * CHOOSE(CONTROL!$C$32, $C$9, 100%, $E$9)</f>
        <v>5.7234999999999996</v>
      </c>
      <c r="C384" s="9">
        <f>5.7235 * CHOOSE(CONTROL!$C$32, $C$9, 100%, $E$9)</f>
        <v>5.7234999999999996</v>
      </c>
      <c r="D384" s="9">
        <f>5.7245 * CHOOSE(CONTROL!$C$32, $C$9, 100%, $E$9)</f>
        <v>5.7244999999999999</v>
      </c>
      <c r="E384" s="11">
        <f>6.7331 * CHOOSE(CONTROL!$C$32, $C$9, 100%, $E$9)</f>
        <v>6.7331000000000003</v>
      </c>
      <c r="F384" s="11">
        <f>6.7331 * CHOOSE(CONTROL!$C$32, $C$9, 100%, $E$9)</f>
        <v>6.7331000000000003</v>
      </c>
      <c r="G384" s="11">
        <f>6.7364 * CHOOSE(CONTROL!$C$32, $C$9, 100%, $E$9)</f>
        <v>6.7363999999999997</v>
      </c>
      <c r="H384" s="11">
        <f>12.4535 * CHOOSE(CONTROL!$C$32, $C$9, 100%, $E$9)</f>
        <v>12.4535</v>
      </c>
      <c r="I384" s="11">
        <f>12.4567 * CHOOSE(CONTROL!$C$32, $C$9, 100%, $E$9)</f>
        <v>12.4567</v>
      </c>
      <c r="J384" s="11">
        <f>12.4535 * CHOOSE(CONTROL!$C$32, $C$9, 100%, $E$9)</f>
        <v>12.4535</v>
      </c>
      <c r="K384" s="11">
        <f>12.4567 * CHOOSE(CONTROL!$C$32, $C$9, 100%, $E$9)</f>
        <v>12.4567</v>
      </c>
      <c r="L384" s="11">
        <f>6.7331 * CHOOSE(CONTROL!$C$32, $C$9, 100%, $E$9)</f>
        <v>6.7331000000000003</v>
      </c>
      <c r="M384" s="11">
        <f>6.7364 * CHOOSE(CONTROL!$C$32, $C$9, 100%, $E$9)</f>
        <v>6.7363999999999997</v>
      </c>
      <c r="N384" s="11">
        <f>6.7331 * CHOOSE(CONTROL!$C$32, $C$9, 100%, $E$9)</f>
        <v>6.7331000000000003</v>
      </c>
      <c r="O384" s="11">
        <f>6.7364 * CHOOSE(CONTROL!$C$32, $C$9, 100%, $E$9)</f>
        <v>6.7363999999999997</v>
      </c>
    </row>
    <row r="385" spans="1:15" ht="15" x14ac:dyDescent="0.2">
      <c r="A385" s="13">
        <v>52566</v>
      </c>
      <c r="B385" s="9">
        <f>5.7235 * CHOOSE(CONTROL!$C$32, $C$9, 100%, $E$9)</f>
        <v>5.7234999999999996</v>
      </c>
      <c r="C385" s="9">
        <f>5.7235 * CHOOSE(CONTROL!$C$32, $C$9, 100%, $E$9)</f>
        <v>5.7234999999999996</v>
      </c>
      <c r="D385" s="9">
        <f>5.7245 * CHOOSE(CONTROL!$C$32, $C$9, 100%, $E$9)</f>
        <v>5.7244999999999999</v>
      </c>
      <c r="E385" s="11">
        <f>6.6662 * CHOOSE(CONTROL!$C$32, $C$9, 100%, $E$9)</f>
        <v>6.6661999999999999</v>
      </c>
      <c r="F385" s="11">
        <f>6.6662 * CHOOSE(CONTROL!$C$32, $C$9, 100%, $E$9)</f>
        <v>6.6661999999999999</v>
      </c>
      <c r="G385" s="11">
        <f>6.6694 * CHOOSE(CONTROL!$C$32, $C$9, 100%, $E$9)</f>
        <v>6.6694000000000004</v>
      </c>
      <c r="H385" s="11">
        <f>12.4794 * CHOOSE(CONTROL!$C$32, $C$9, 100%, $E$9)</f>
        <v>12.4794</v>
      </c>
      <c r="I385" s="11">
        <f>12.4827 * CHOOSE(CONTROL!$C$32, $C$9, 100%, $E$9)</f>
        <v>12.482699999999999</v>
      </c>
      <c r="J385" s="11">
        <f>12.4794 * CHOOSE(CONTROL!$C$32, $C$9, 100%, $E$9)</f>
        <v>12.4794</v>
      </c>
      <c r="K385" s="11">
        <f>12.4827 * CHOOSE(CONTROL!$C$32, $C$9, 100%, $E$9)</f>
        <v>12.482699999999999</v>
      </c>
      <c r="L385" s="11">
        <f>6.6662 * CHOOSE(CONTROL!$C$32, $C$9, 100%, $E$9)</f>
        <v>6.6661999999999999</v>
      </c>
      <c r="M385" s="11">
        <f>6.6694 * CHOOSE(CONTROL!$C$32, $C$9, 100%, $E$9)</f>
        <v>6.6694000000000004</v>
      </c>
      <c r="N385" s="11">
        <f>6.6662 * CHOOSE(CONTROL!$C$32, $C$9, 100%, $E$9)</f>
        <v>6.6661999999999999</v>
      </c>
      <c r="O385" s="11">
        <f>6.6694 * CHOOSE(CONTROL!$C$32, $C$9, 100%, $E$9)</f>
        <v>6.6694000000000004</v>
      </c>
    </row>
    <row r="386" spans="1:15" ht="15" x14ac:dyDescent="0.2">
      <c r="A386" s="13">
        <v>52597</v>
      </c>
      <c r="B386" s="9">
        <f>5.7676 * CHOOSE(CONTROL!$C$32, $C$9, 100%, $E$9)</f>
        <v>5.7675999999999998</v>
      </c>
      <c r="C386" s="9">
        <f>5.7676 * CHOOSE(CONTROL!$C$32, $C$9, 100%, $E$9)</f>
        <v>5.7675999999999998</v>
      </c>
      <c r="D386" s="9">
        <f>5.7685 * CHOOSE(CONTROL!$C$32, $C$9, 100%, $E$9)</f>
        <v>5.7685000000000004</v>
      </c>
      <c r="E386" s="11">
        <f>6.7374 * CHOOSE(CONTROL!$C$32, $C$9, 100%, $E$9)</f>
        <v>6.7374000000000001</v>
      </c>
      <c r="F386" s="11">
        <f>6.7374 * CHOOSE(CONTROL!$C$32, $C$9, 100%, $E$9)</f>
        <v>6.7374000000000001</v>
      </c>
      <c r="G386" s="11">
        <f>6.7407 * CHOOSE(CONTROL!$C$32, $C$9, 100%, $E$9)</f>
        <v>6.7407000000000004</v>
      </c>
      <c r="H386" s="11">
        <f>12.5054 * CHOOSE(CONTROL!$C$32, $C$9, 100%, $E$9)</f>
        <v>12.5054</v>
      </c>
      <c r="I386" s="11">
        <f>12.5087 * CHOOSE(CONTROL!$C$32, $C$9, 100%, $E$9)</f>
        <v>12.508699999999999</v>
      </c>
      <c r="J386" s="11">
        <f>12.5054 * CHOOSE(CONTROL!$C$32, $C$9, 100%, $E$9)</f>
        <v>12.5054</v>
      </c>
      <c r="K386" s="11">
        <f>12.5087 * CHOOSE(CONTROL!$C$32, $C$9, 100%, $E$9)</f>
        <v>12.508699999999999</v>
      </c>
      <c r="L386" s="11">
        <f>6.7374 * CHOOSE(CONTROL!$C$32, $C$9, 100%, $E$9)</f>
        <v>6.7374000000000001</v>
      </c>
      <c r="M386" s="11">
        <f>6.7407 * CHOOSE(CONTROL!$C$32, $C$9, 100%, $E$9)</f>
        <v>6.7407000000000004</v>
      </c>
      <c r="N386" s="11">
        <f>6.7374 * CHOOSE(CONTROL!$C$32, $C$9, 100%, $E$9)</f>
        <v>6.7374000000000001</v>
      </c>
      <c r="O386" s="11">
        <f>6.7407 * CHOOSE(CONTROL!$C$32, $C$9, 100%, $E$9)</f>
        <v>6.7407000000000004</v>
      </c>
    </row>
    <row r="387" spans="1:15" ht="15" x14ac:dyDescent="0.2">
      <c r="A387" s="13">
        <v>52628</v>
      </c>
      <c r="B387" s="9">
        <f>5.7645 * CHOOSE(CONTROL!$C$32, $C$9, 100%, $E$9)</f>
        <v>5.7645</v>
      </c>
      <c r="C387" s="9">
        <f>5.7645 * CHOOSE(CONTROL!$C$32, $C$9, 100%, $E$9)</f>
        <v>5.7645</v>
      </c>
      <c r="D387" s="9">
        <f>5.7655 * CHOOSE(CONTROL!$C$32, $C$9, 100%, $E$9)</f>
        <v>5.7655000000000003</v>
      </c>
      <c r="E387" s="11">
        <f>6.6046 * CHOOSE(CONTROL!$C$32, $C$9, 100%, $E$9)</f>
        <v>6.6045999999999996</v>
      </c>
      <c r="F387" s="11">
        <f>6.6046 * CHOOSE(CONTROL!$C$32, $C$9, 100%, $E$9)</f>
        <v>6.6045999999999996</v>
      </c>
      <c r="G387" s="11">
        <f>6.6078 * CHOOSE(CONTROL!$C$32, $C$9, 100%, $E$9)</f>
        <v>6.6078000000000001</v>
      </c>
      <c r="H387" s="11">
        <f>12.5315 * CHOOSE(CONTROL!$C$32, $C$9, 100%, $E$9)</f>
        <v>12.531499999999999</v>
      </c>
      <c r="I387" s="11">
        <f>12.5347 * CHOOSE(CONTROL!$C$32, $C$9, 100%, $E$9)</f>
        <v>12.534700000000001</v>
      </c>
      <c r="J387" s="11">
        <f>12.5315 * CHOOSE(CONTROL!$C$32, $C$9, 100%, $E$9)</f>
        <v>12.531499999999999</v>
      </c>
      <c r="K387" s="11">
        <f>12.5347 * CHOOSE(CONTROL!$C$32, $C$9, 100%, $E$9)</f>
        <v>12.534700000000001</v>
      </c>
      <c r="L387" s="11">
        <f>6.6046 * CHOOSE(CONTROL!$C$32, $C$9, 100%, $E$9)</f>
        <v>6.6045999999999996</v>
      </c>
      <c r="M387" s="11">
        <f>6.6078 * CHOOSE(CONTROL!$C$32, $C$9, 100%, $E$9)</f>
        <v>6.6078000000000001</v>
      </c>
      <c r="N387" s="11">
        <f>6.6046 * CHOOSE(CONTROL!$C$32, $C$9, 100%, $E$9)</f>
        <v>6.6045999999999996</v>
      </c>
      <c r="O387" s="11">
        <f>6.6078 * CHOOSE(CONTROL!$C$32, $C$9, 100%, $E$9)</f>
        <v>6.6078000000000001</v>
      </c>
    </row>
    <row r="388" spans="1:15" ht="15" x14ac:dyDescent="0.2">
      <c r="A388" s="13">
        <v>52657</v>
      </c>
      <c r="B388" s="9">
        <f>5.7615 * CHOOSE(CONTROL!$C$32, $C$9, 100%, $E$9)</f>
        <v>5.7614999999999998</v>
      </c>
      <c r="C388" s="9">
        <f>5.7615 * CHOOSE(CONTROL!$C$32, $C$9, 100%, $E$9)</f>
        <v>5.7614999999999998</v>
      </c>
      <c r="D388" s="9">
        <f>5.7624 * CHOOSE(CONTROL!$C$32, $C$9, 100%, $E$9)</f>
        <v>5.7624000000000004</v>
      </c>
      <c r="E388" s="11">
        <f>6.7055 * CHOOSE(CONTROL!$C$32, $C$9, 100%, $E$9)</f>
        <v>6.7054999999999998</v>
      </c>
      <c r="F388" s="11">
        <f>6.7055 * CHOOSE(CONTROL!$C$32, $C$9, 100%, $E$9)</f>
        <v>6.7054999999999998</v>
      </c>
      <c r="G388" s="11">
        <f>6.7088 * CHOOSE(CONTROL!$C$32, $C$9, 100%, $E$9)</f>
        <v>6.7088000000000001</v>
      </c>
      <c r="H388" s="11">
        <f>12.5576 * CHOOSE(CONTROL!$C$32, $C$9, 100%, $E$9)</f>
        <v>12.557600000000001</v>
      </c>
      <c r="I388" s="11">
        <f>12.5608 * CHOOSE(CONTROL!$C$32, $C$9, 100%, $E$9)</f>
        <v>12.5608</v>
      </c>
      <c r="J388" s="11">
        <f>12.5576 * CHOOSE(CONTROL!$C$32, $C$9, 100%, $E$9)</f>
        <v>12.557600000000001</v>
      </c>
      <c r="K388" s="11">
        <f>12.5608 * CHOOSE(CONTROL!$C$32, $C$9, 100%, $E$9)</f>
        <v>12.5608</v>
      </c>
      <c r="L388" s="11">
        <f>6.7055 * CHOOSE(CONTROL!$C$32, $C$9, 100%, $E$9)</f>
        <v>6.7054999999999998</v>
      </c>
      <c r="M388" s="11">
        <f>6.7088 * CHOOSE(CONTROL!$C$32, $C$9, 100%, $E$9)</f>
        <v>6.7088000000000001</v>
      </c>
      <c r="N388" s="11">
        <f>6.7055 * CHOOSE(CONTROL!$C$32, $C$9, 100%, $E$9)</f>
        <v>6.7054999999999998</v>
      </c>
      <c r="O388" s="11">
        <f>6.7088 * CHOOSE(CONTROL!$C$32, $C$9, 100%, $E$9)</f>
        <v>6.7088000000000001</v>
      </c>
    </row>
    <row r="389" spans="1:15" ht="15" x14ac:dyDescent="0.2">
      <c r="A389" s="13">
        <v>52688</v>
      </c>
      <c r="B389" s="9">
        <f>5.7608 * CHOOSE(CONTROL!$C$32, $C$9, 100%, $E$9)</f>
        <v>5.7607999999999997</v>
      </c>
      <c r="C389" s="9">
        <f>5.7608 * CHOOSE(CONTROL!$C$32, $C$9, 100%, $E$9)</f>
        <v>5.7607999999999997</v>
      </c>
      <c r="D389" s="9">
        <f>5.7618 * CHOOSE(CONTROL!$C$32, $C$9, 100%, $E$9)</f>
        <v>5.7618</v>
      </c>
      <c r="E389" s="11">
        <f>6.812 * CHOOSE(CONTROL!$C$32, $C$9, 100%, $E$9)</f>
        <v>6.8120000000000003</v>
      </c>
      <c r="F389" s="11">
        <f>6.812 * CHOOSE(CONTROL!$C$32, $C$9, 100%, $E$9)</f>
        <v>6.8120000000000003</v>
      </c>
      <c r="G389" s="11">
        <f>6.8152 * CHOOSE(CONTROL!$C$32, $C$9, 100%, $E$9)</f>
        <v>6.8151999999999999</v>
      </c>
      <c r="H389" s="11">
        <f>12.5838 * CHOOSE(CONTROL!$C$32, $C$9, 100%, $E$9)</f>
        <v>12.5838</v>
      </c>
      <c r="I389" s="11">
        <f>12.587 * CHOOSE(CONTROL!$C$32, $C$9, 100%, $E$9)</f>
        <v>12.587</v>
      </c>
      <c r="J389" s="11">
        <f>12.5838 * CHOOSE(CONTROL!$C$32, $C$9, 100%, $E$9)</f>
        <v>12.5838</v>
      </c>
      <c r="K389" s="11">
        <f>12.587 * CHOOSE(CONTROL!$C$32, $C$9, 100%, $E$9)</f>
        <v>12.587</v>
      </c>
      <c r="L389" s="11">
        <f>6.812 * CHOOSE(CONTROL!$C$32, $C$9, 100%, $E$9)</f>
        <v>6.8120000000000003</v>
      </c>
      <c r="M389" s="11">
        <f>6.8152 * CHOOSE(CONTROL!$C$32, $C$9, 100%, $E$9)</f>
        <v>6.8151999999999999</v>
      </c>
      <c r="N389" s="11">
        <f>6.812 * CHOOSE(CONTROL!$C$32, $C$9, 100%, $E$9)</f>
        <v>6.8120000000000003</v>
      </c>
      <c r="O389" s="11">
        <f>6.8152 * CHOOSE(CONTROL!$C$32, $C$9, 100%, $E$9)</f>
        <v>6.8151999999999999</v>
      </c>
    </row>
    <row r="390" spans="1:15" ht="15" x14ac:dyDescent="0.2">
      <c r="A390" s="13">
        <v>52718</v>
      </c>
      <c r="B390" s="9">
        <f>5.7608 * CHOOSE(CONTROL!$C$32, $C$9, 100%, $E$9)</f>
        <v>5.7607999999999997</v>
      </c>
      <c r="C390" s="9">
        <f>5.7608 * CHOOSE(CONTROL!$C$32, $C$9, 100%, $E$9)</f>
        <v>5.7607999999999997</v>
      </c>
      <c r="D390" s="9">
        <f>5.7621 * CHOOSE(CONTROL!$C$32, $C$9, 100%, $E$9)</f>
        <v>5.7621000000000002</v>
      </c>
      <c r="E390" s="11">
        <f>6.8535 * CHOOSE(CONTROL!$C$32, $C$9, 100%, $E$9)</f>
        <v>6.8535000000000004</v>
      </c>
      <c r="F390" s="11">
        <f>6.8535 * CHOOSE(CONTROL!$C$32, $C$9, 100%, $E$9)</f>
        <v>6.8535000000000004</v>
      </c>
      <c r="G390" s="11">
        <f>6.8577 * CHOOSE(CONTROL!$C$32, $C$9, 100%, $E$9)</f>
        <v>6.8577000000000004</v>
      </c>
      <c r="H390" s="11">
        <f>12.61 * CHOOSE(CONTROL!$C$32, $C$9, 100%, $E$9)</f>
        <v>12.61</v>
      </c>
      <c r="I390" s="11">
        <f>12.6142 * CHOOSE(CONTROL!$C$32, $C$9, 100%, $E$9)</f>
        <v>12.6142</v>
      </c>
      <c r="J390" s="11">
        <f>12.61 * CHOOSE(CONTROL!$C$32, $C$9, 100%, $E$9)</f>
        <v>12.61</v>
      </c>
      <c r="K390" s="11">
        <f>12.6142 * CHOOSE(CONTROL!$C$32, $C$9, 100%, $E$9)</f>
        <v>12.6142</v>
      </c>
      <c r="L390" s="11">
        <f>6.8535 * CHOOSE(CONTROL!$C$32, $C$9, 100%, $E$9)</f>
        <v>6.8535000000000004</v>
      </c>
      <c r="M390" s="11">
        <f>6.8577 * CHOOSE(CONTROL!$C$32, $C$9, 100%, $E$9)</f>
        <v>6.8577000000000004</v>
      </c>
      <c r="N390" s="11">
        <f>6.8535 * CHOOSE(CONTROL!$C$32, $C$9, 100%, $E$9)</f>
        <v>6.8535000000000004</v>
      </c>
      <c r="O390" s="11">
        <f>6.8577 * CHOOSE(CONTROL!$C$32, $C$9, 100%, $E$9)</f>
        <v>6.8577000000000004</v>
      </c>
    </row>
    <row r="391" spans="1:15" ht="15" x14ac:dyDescent="0.2">
      <c r="A391" s="13">
        <v>52749</v>
      </c>
      <c r="B391" s="9">
        <f>5.7669 * CHOOSE(CONTROL!$C$32, $C$9, 100%, $E$9)</f>
        <v>5.7668999999999997</v>
      </c>
      <c r="C391" s="9">
        <f>5.7669 * CHOOSE(CONTROL!$C$32, $C$9, 100%, $E$9)</f>
        <v>5.7668999999999997</v>
      </c>
      <c r="D391" s="9">
        <f>5.7682 * CHOOSE(CONTROL!$C$32, $C$9, 100%, $E$9)</f>
        <v>5.7682000000000002</v>
      </c>
      <c r="E391" s="11">
        <f>6.8162 * CHOOSE(CONTROL!$C$32, $C$9, 100%, $E$9)</f>
        <v>6.8162000000000003</v>
      </c>
      <c r="F391" s="11">
        <f>6.8162 * CHOOSE(CONTROL!$C$32, $C$9, 100%, $E$9)</f>
        <v>6.8162000000000003</v>
      </c>
      <c r="G391" s="11">
        <f>6.8204 * CHOOSE(CONTROL!$C$32, $C$9, 100%, $E$9)</f>
        <v>6.8204000000000002</v>
      </c>
      <c r="H391" s="11">
        <f>12.6362 * CHOOSE(CONTROL!$C$32, $C$9, 100%, $E$9)</f>
        <v>12.636200000000001</v>
      </c>
      <c r="I391" s="11">
        <f>12.6405 * CHOOSE(CONTROL!$C$32, $C$9, 100%, $E$9)</f>
        <v>12.640499999999999</v>
      </c>
      <c r="J391" s="11">
        <f>12.6362 * CHOOSE(CONTROL!$C$32, $C$9, 100%, $E$9)</f>
        <v>12.636200000000001</v>
      </c>
      <c r="K391" s="11">
        <f>12.6405 * CHOOSE(CONTROL!$C$32, $C$9, 100%, $E$9)</f>
        <v>12.640499999999999</v>
      </c>
      <c r="L391" s="11">
        <f>6.8162 * CHOOSE(CONTROL!$C$32, $C$9, 100%, $E$9)</f>
        <v>6.8162000000000003</v>
      </c>
      <c r="M391" s="11">
        <f>6.8204 * CHOOSE(CONTROL!$C$32, $C$9, 100%, $E$9)</f>
        <v>6.8204000000000002</v>
      </c>
      <c r="N391" s="11">
        <f>6.8162 * CHOOSE(CONTROL!$C$32, $C$9, 100%, $E$9)</f>
        <v>6.8162000000000003</v>
      </c>
      <c r="O391" s="11">
        <f>6.8204 * CHOOSE(CONTROL!$C$32, $C$9, 100%, $E$9)</f>
        <v>6.8204000000000002</v>
      </c>
    </row>
    <row r="392" spans="1:15" ht="15" x14ac:dyDescent="0.2">
      <c r="A392" s="13">
        <v>52779</v>
      </c>
      <c r="B392" s="9">
        <f>5.845 * CHOOSE(CONTROL!$C$32, $C$9, 100%, $E$9)</f>
        <v>5.8449999999999998</v>
      </c>
      <c r="C392" s="9">
        <f>5.845 * CHOOSE(CONTROL!$C$32, $C$9, 100%, $E$9)</f>
        <v>5.8449999999999998</v>
      </c>
      <c r="D392" s="9">
        <f>5.8462 * CHOOSE(CONTROL!$C$32, $C$9, 100%, $E$9)</f>
        <v>5.8461999999999996</v>
      </c>
      <c r="E392" s="11">
        <f>6.8349 * CHOOSE(CONTROL!$C$32, $C$9, 100%, $E$9)</f>
        <v>6.8349000000000002</v>
      </c>
      <c r="F392" s="11">
        <f>6.8349 * CHOOSE(CONTROL!$C$32, $C$9, 100%, $E$9)</f>
        <v>6.8349000000000002</v>
      </c>
      <c r="G392" s="11">
        <f>6.8391 * CHOOSE(CONTROL!$C$32, $C$9, 100%, $E$9)</f>
        <v>6.8391000000000002</v>
      </c>
      <c r="H392" s="11">
        <f>12.6626 * CHOOSE(CONTROL!$C$32, $C$9, 100%, $E$9)</f>
        <v>12.662599999999999</v>
      </c>
      <c r="I392" s="11">
        <f>12.6668 * CHOOSE(CONTROL!$C$32, $C$9, 100%, $E$9)</f>
        <v>12.6668</v>
      </c>
      <c r="J392" s="11">
        <f>12.6626 * CHOOSE(CONTROL!$C$32, $C$9, 100%, $E$9)</f>
        <v>12.662599999999999</v>
      </c>
      <c r="K392" s="11">
        <f>12.6668 * CHOOSE(CONTROL!$C$32, $C$9, 100%, $E$9)</f>
        <v>12.6668</v>
      </c>
      <c r="L392" s="11">
        <f>6.8349 * CHOOSE(CONTROL!$C$32, $C$9, 100%, $E$9)</f>
        <v>6.8349000000000002</v>
      </c>
      <c r="M392" s="11">
        <f>6.8391 * CHOOSE(CONTROL!$C$32, $C$9, 100%, $E$9)</f>
        <v>6.8391000000000002</v>
      </c>
      <c r="N392" s="11">
        <f>6.8349 * CHOOSE(CONTROL!$C$32, $C$9, 100%, $E$9)</f>
        <v>6.8349000000000002</v>
      </c>
      <c r="O392" s="11">
        <f>6.8391 * CHOOSE(CONTROL!$C$32, $C$9, 100%, $E$9)</f>
        <v>6.8391000000000002</v>
      </c>
    </row>
    <row r="393" spans="1:15" ht="15" x14ac:dyDescent="0.2">
      <c r="A393" s="13">
        <v>52810</v>
      </c>
      <c r="B393" s="9">
        <f>5.8516 * CHOOSE(CONTROL!$C$32, $C$9, 100%, $E$9)</f>
        <v>5.8516000000000004</v>
      </c>
      <c r="C393" s="9">
        <f>5.8516 * CHOOSE(CONTROL!$C$32, $C$9, 100%, $E$9)</f>
        <v>5.8516000000000004</v>
      </c>
      <c r="D393" s="9">
        <f>5.8529 * CHOOSE(CONTROL!$C$32, $C$9, 100%, $E$9)</f>
        <v>5.8529</v>
      </c>
      <c r="E393" s="11">
        <f>6.7151 * CHOOSE(CONTROL!$C$32, $C$9, 100%, $E$9)</f>
        <v>6.7150999999999996</v>
      </c>
      <c r="F393" s="11">
        <f>6.7151 * CHOOSE(CONTROL!$C$32, $C$9, 100%, $E$9)</f>
        <v>6.7150999999999996</v>
      </c>
      <c r="G393" s="11">
        <f>6.7193 * CHOOSE(CONTROL!$C$32, $C$9, 100%, $E$9)</f>
        <v>6.7192999999999996</v>
      </c>
      <c r="H393" s="11">
        <f>12.689 * CHOOSE(CONTROL!$C$32, $C$9, 100%, $E$9)</f>
        <v>12.689</v>
      </c>
      <c r="I393" s="11">
        <f>12.6932 * CHOOSE(CONTROL!$C$32, $C$9, 100%, $E$9)</f>
        <v>12.693199999999999</v>
      </c>
      <c r="J393" s="11">
        <f>12.689 * CHOOSE(CONTROL!$C$32, $C$9, 100%, $E$9)</f>
        <v>12.689</v>
      </c>
      <c r="K393" s="11">
        <f>12.6932 * CHOOSE(CONTROL!$C$32, $C$9, 100%, $E$9)</f>
        <v>12.693199999999999</v>
      </c>
      <c r="L393" s="11">
        <f>6.7151 * CHOOSE(CONTROL!$C$32, $C$9, 100%, $E$9)</f>
        <v>6.7150999999999996</v>
      </c>
      <c r="M393" s="11">
        <f>6.7193 * CHOOSE(CONTROL!$C$32, $C$9, 100%, $E$9)</f>
        <v>6.7192999999999996</v>
      </c>
      <c r="N393" s="11">
        <f>6.7151 * CHOOSE(CONTROL!$C$32, $C$9, 100%, $E$9)</f>
        <v>6.7150999999999996</v>
      </c>
      <c r="O393" s="11">
        <f>6.7193 * CHOOSE(CONTROL!$C$32, $C$9, 100%, $E$9)</f>
        <v>6.7192999999999996</v>
      </c>
    </row>
    <row r="394" spans="1:15" ht="15" x14ac:dyDescent="0.2">
      <c r="A394" s="13">
        <v>52841</v>
      </c>
      <c r="B394" s="9">
        <f>5.8486 * CHOOSE(CONTROL!$C$32, $C$9, 100%, $E$9)</f>
        <v>5.8486000000000002</v>
      </c>
      <c r="C394" s="9">
        <f>5.8486 * CHOOSE(CONTROL!$C$32, $C$9, 100%, $E$9)</f>
        <v>5.8486000000000002</v>
      </c>
      <c r="D394" s="9">
        <f>5.8498 * CHOOSE(CONTROL!$C$32, $C$9, 100%, $E$9)</f>
        <v>5.8498000000000001</v>
      </c>
      <c r="E394" s="11">
        <f>6.6991 * CHOOSE(CONTROL!$C$32, $C$9, 100%, $E$9)</f>
        <v>6.6990999999999996</v>
      </c>
      <c r="F394" s="11">
        <f>6.6991 * CHOOSE(CONTROL!$C$32, $C$9, 100%, $E$9)</f>
        <v>6.6990999999999996</v>
      </c>
      <c r="G394" s="11">
        <f>6.7033 * CHOOSE(CONTROL!$C$32, $C$9, 100%, $E$9)</f>
        <v>6.7032999999999996</v>
      </c>
      <c r="H394" s="11">
        <f>12.7154 * CHOOSE(CONTROL!$C$32, $C$9, 100%, $E$9)</f>
        <v>12.715400000000001</v>
      </c>
      <c r="I394" s="11">
        <f>12.7196 * CHOOSE(CONTROL!$C$32, $C$9, 100%, $E$9)</f>
        <v>12.7196</v>
      </c>
      <c r="J394" s="11">
        <f>12.7154 * CHOOSE(CONTROL!$C$32, $C$9, 100%, $E$9)</f>
        <v>12.715400000000001</v>
      </c>
      <c r="K394" s="11">
        <f>12.7196 * CHOOSE(CONTROL!$C$32, $C$9, 100%, $E$9)</f>
        <v>12.7196</v>
      </c>
      <c r="L394" s="11">
        <f>6.6991 * CHOOSE(CONTROL!$C$32, $C$9, 100%, $E$9)</f>
        <v>6.6990999999999996</v>
      </c>
      <c r="M394" s="11">
        <f>6.7033 * CHOOSE(CONTROL!$C$32, $C$9, 100%, $E$9)</f>
        <v>6.7032999999999996</v>
      </c>
      <c r="N394" s="11">
        <f>6.6991 * CHOOSE(CONTROL!$C$32, $C$9, 100%, $E$9)</f>
        <v>6.6990999999999996</v>
      </c>
      <c r="O394" s="11">
        <f>6.7033 * CHOOSE(CONTROL!$C$32, $C$9, 100%, $E$9)</f>
        <v>6.7032999999999996</v>
      </c>
    </row>
    <row r="395" spans="1:15" ht="15" x14ac:dyDescent="0.2">
      <c r="A395" s="13">
        <v>52871</v>
      </c>
      <c r="B395" s="9">
        <f>5.8505 * CHOOSE(CONTROL!$C$32, $C$9, 100%, $E$9)</f>
        <v>5.8505000000000003</v>
      </c>
      <c r="C395" s="9">
        <f>5.8505 * CHOOSE(CONTROL!$C$32, $C$9, 100%, $E$9)</f>
        <v>5.8505000000000003</v>
      </c>
      <c r="D395" s="9">
        <f>5.8515 * CHOOSE(CONTROL!$C$32, $C$9, 100%, $E$9)</f>
        <v>5.8514999999999997</v>
      </c>
      <c r="E395" s="11">
        <f>6.7411 * CHOOSE(CONTROL!$C$32, $C$9, 100%, $E$9)</f>
        <v>6.7411000000000003</v>
      </c>
      <c r="F395" s="11">
        <f>6.7411 * CHOOSE(CONTROL!$C$32, $C$9, 100%, $E$9)</f>
        <v>6.7411000000000003</v>
      </c>
      <c r="G395" s="11">
        <f>6.7443 * CHOOSE(CONTROL!$C$32, $C$9, 100%, $E$9)</f>
        <v>6.7443</v>
      </c>
      <c r="H395" s="11">
        <f>12.7419 * CHOOSE(CONTROL!$C$32, $C$9, 100%, $E$9)</f>
        <v>12.741899999999999</v>
      </c>
      <c r="I395" s="11">
        <f>12.7451 * CHOOSE(CONTROL!$C$32, $C$9, 100%, $E$9)</f>
        <v>12.745100000000001</v>
      </c>
      <c r="J395" s="11">
        <f>12.7419 * CHOOSE(CONTROL!$C$32, $C$9, 100%, $E$9)</f>
        <v>12.741899999999999</v>
      </c>
      <c r="K395" s="11">
        <f>12.7451 * CHOOSE(CONTROL!$C$32, $C$9, 100%, $E$9)</f>
        <v>12.745100000000001</v>
      </c>
      <c r="L395" s="11">
        <f>6.7411 * CHOOSE(CONTROL!$C$32, $C$9, 100%, $E$9)</f>
        <v>6.7411000000000003</v>
      </c>
      <c r="M395" s="11">
        <f>6.7443 * CHOOSE(CONTROL!$C$32, $C$9, 100%, $E$9)</f>
        <v>6.7443</v>
      </c>
      <c r="N395" s="11">
        <f>6.7411 * CHOOSE(CONTROL!$C$32, $C$9, 100%, $E$9)</f>
        <v>6.7411000000000003</v>
      </c>
      <c r="O395" s="11">
        <f>6.7443 * CHOOSE(CONTROL!$C$32, $C$9, 100%, $E$9)</f>
        <v>6.7443</v>
      </c>
    </row>
    <row r="396" spans="1:15" ht="15" x14ac:dyDescent="0.2">
      <c r="A396" s="13">
        <v>52902</v>
      </c>
      <c r="B396" s="9">
        <f>5.8536 * CHOOSE(CONTROL!$C$32, $C$9, 100%, $E$9)</f>
        <v>5.8536000000000001</v>
      </c>
      <c r="C396" s="9">
        <f>5.8536 * CHOOSE(CONTROL!$C$32, $C$9, 100%, $E$9)</f>
        <v>5.8536000000000001</v>
      </c>
      <c r="D396" s="9">
        <f>5.8545 * CHOOSE(CONTROL!$C$32, $C$9, 100%, $E$9)</f>
        <v>5.8544999999999998</v>
      </c>
      <c r="E396" s="11">
        <f>6.7709 * CHOOSE(CONTROL!$C$32, $C$9, 100%, $E$9)</f>
        <v>6.7709000000000001</v>
      </c>
      <c r="F396" s="11">
        <f>6.7709 * CHOOSE(CONTROL!$C$32, $C$9, 100%, $E$9)</f>
        <v>6.7709000000000001</v>
      </c>
      <c r="G396" s="11">
        <f>6.7741 * CHOOSE(CONTROL!$C$32, $C$9, 100%, $E$9)</f>
        <v>6.7740999999999998</v>
      </c>
      <c r="H396" s="11">
        <f>12.7684 * CHOOSE(CONTROL!$C$32, $C$9, 100%, $E$9)</f>
        <v>12.7684</v>
      </c>
      <c r="I396" s="11">
        <f>12.7717 * CHOOSE(CONTROL!$C$32, $C$9, 100%, $E$9)</f>
        <v>12.771699999999999</v>
      </c>
      <c r="J396" s="11">
        <f>12.7684 * CHOOSE(CONTROL!$C$32, $C$9, 100%, $E$9)</f>
        <v>12.7684</v>
      </c>
      <c r="K396" s="11">
        <f>12.7717 * CHOOSE(CONTROL!$C$32, $C$9, 100%, $E$9)</f>
        <v>12.771699999999999</v>
      </c>
      <c r="L396" s="11">
        <f>6.7709 * CHOOSE(CONTROL!$C$32, $C$9, 100%, $E$9)</f>
        <v>6.7709000000000001</v>
      </c>
      <c r="M396" s="11">
        <f>6.7741 * CHOOSE(CONTROL!$C$32, $C$9, 100%, $E$9)</f>
        <v>6.7740999999999998</v>
      </c>
      <c r="N396" s="11">
        <f>6.7709 * CHOOSE(CONTROL!$C$32, $C$9, 100%, $E$9)</f>
        <v>6.7709000000000001</v>
      </c>
      <c r="O396" s="11">
        <f>6.7741 * CHOOSE(CONTROL!$C$32, $C$9, 100%, $E$9)</f>
        <v>6.7740999999999998</v>
      </c>
    </row>
    <row r="397" spans="1:15" ht="15" x14ac:dyDescent="0.2">
      <c r="A397" s="13">
        <v>52932</v>
      </c>
      <c r="B397" s="9">
        <f>5.8536 * CHOOSE(CONTROL!$C$32, $C$9, 100%, $E$9)</f>
        <v>5.8536000000000001</v>
      </c>
      <c r="C397" s="9">
        <f>5.8536 * CHOOSE(CONTROL!$C$32, $C$9, 100%, $E$9)</f>
        <v>5.8536000000000001</v>
      </c>
      <c r="D397" s="9">
        <f>5.8545 * CHOOSE(CONTROL!$C$32, $C$9, 100%, $E$9)</f>
        <v>5.8544999999999998</v>
      </c>
      <c r="E397" s="11">
        <f>6.7017 * CHOOSE(CONTROL!$C$32, $C$9, 100%, $E$9)</f>
        <v>6.7016999999999998</v>
      </c>
      <c r="F397" s="11">
        <f>6.7017 * CHOOSE(CONTROL!$C$32, $C$9, 100%, $E$9)</f>
        <v>6.7016999999999998</v>
      </c>
      <c r="G397" s="11">
        <f>6.7049 * CHOOSE(CONTROL!$C$32, $C$9, 100%, $E$9)</f>
        <v>6.7049000000000003</v>
      </c>
      <c r="H397" s="11">
        <f>12.795 * CHOOSE(CONTROL!$C$32, $C$9, 100%, $E$9)</f>
        <v>12.795</v>
      </c>
      <c r="I397" s="11">
        <f>12.7983 * CHOOSE(CONTROL!$C$32, $C$9, 100%, $E$9)</f>
        <v>12.798299999999999</v>
      </c>
      <c r="J397" s="11">
        <f>12.795 * CHOOSE(CONTROL!$C$32, $C$9, 100%, $E$9)</f>
        <v>12.795</v>
      </c>
      <c r="K397" s="11">
        <f>12.7983 * CHOOSE(CONTROL!$C$32, $C$9, 100%, $E$9)</f>
        <v>12.798299999999999</v>
      </c>
      <c r="L397" s="11">
        <f>6.7017 * CHOOSE(CONTROL!$C$32, $C$9, 100%, $E$9)</f>
        <v>6.7016999999999998</v>
      </c>
      <c r="M397" s="11">
        <f>6.7049 * CHOOSE(CONTROL!$C$32, $C$9, 100%, $E$9)</f>
        <v>6.7049000000000003</v>
      </c>
      <c r="N397" s="11">
        <f>6.7017 * CHOOSE(CONTROL!$C$32, $C$9, 100%, $E$9)</f>
        <v>6.7016999999999998</v>
      </c>
      <c r="O397" s="11">
        <f>6.7049 * CHOOSE(CONTROL!$C$32, $C$9, 100%, $E$9)</f>
        <v>6.7049000000000003</v>
      </c>
    </row>
    <row r="398" spans="1:15" ht="15" x14ac:dyDescent="0.2">
      <c r="A398" s="13">
        <v>52963</v>
      </c>
      <c r="B398" s="9">
        <f>5.8984 * CHOOSE(CONTROL!$C$32, $C$9, 100%, $E$9)</f>
        <v>5.8983999999999996</v>
      </c>
      <c r="C398" s="9">
        <f>5.8984 * CHOOSE(CONTROL!$C$32, $C$9, 100%, $E$9)</f>
        <v>5.8983999999999996</v>
      </c>
      <c r="D398" s="9">
        <f>5.8994 * CHOOSE(CONTROL!$C$32, $C$9, 100%, $E$9)</f>
        <v>5.8994</v>
      </c>
      <c r="E398" s="11">
        <f>6.7759 * CHOOSE(CONTROL!$C$32, $C$9, 100%, $E$9)</f>
        <v>6.7759</v>
      </c>
      <c r="F398" s="11">
        <f>6.7759 * CHOOSE(CONTROL!$C$32, $C$9, 100%, $E$9)</f>
        <v>6.7759</v>
      </c>
      <c r="G398" s="11">
        <f>6.7791 * CHOOSE(CONTROL!$C$32, $C$9, 100%, $E$9)</f>
        <v>6.7790999999999997</v>
      </c>
      <c r="H398" s="11">
        <f>12.8217 * CHOOSE(CONTROL!$C$32, $C$9, 100%, $E$9)</f>
        <v>12.8217</v>
      </c>
      <c r="I398" s="11">
        <f>12.8249 * CHOOSE(CONTROL!$C$32, $C$9, 100%, $E$9)</f>
        <v>12.8249</v>
      </c>
      <c r="J398" s="11">
        <f>12.8217 * CHOOSE(CONTROL!$C$32, $C$9, 100%, $E$9)</f>
        <v>12.8217</v>
      </c>
      <c r="K398" s="11">
        <f>12.8249 * CHOOSE(CONTROL!$C$32, $C$9, 100%, $E$9)</f>
        <v>12.8249</v>
      </c>
      <c r="L398" s="11">
        <f>6.7759 * CHOOSE(CONTROL!$C$32, $C$9, 100%, $E$9)</f>
        <v>6.7759</v>
      </c>
      <c r="M398" s="11">
        <f>6.7791 * CHOOSE(CONTROL!$C$32, $C$9, 100%, $E$9)</f>
        <v>6.7790999999999997</v>
      </c>
      <c r="N398" s="11">
        <f>6.7759 * CHOOSE(CONTROL!$C$32, $C$9, 100%, $E$9)</f>
        <v>6.7759</v>
      </c>
      <c r="O398" s="11">
        <f>6.7791 * CHOOSE(CONTROL!$C$32, $C$9, 100%, $E$9)</f>
        <v>6.7790999999999997</v>
      </c>
    </row>
    <row r="399" spans="1:15" ht="15" x14ac:dyDescent="0.2">
      <c r="A399" s="13">
        <v>52994</v>
      </c>
      <c r="B399" s="9">
        <f>5.8954 * CHOOSE(CONTROL!$C$32, $C$9, 100%, $E$9)</f>
        <v>5.8954000000000004</v>
      </c>
      <c r="C399" s="9">
        <f>5.8954 * CHOOSE(CONTROL!$C$32, $C$9, 100%, $E$9)</f>
        <v>5.8954000000000004</v>
      </c>
      <c r="D399" s="9">
        <f>5.8964 * CHOOSE(CONTROL!$C$32, $C$9, 100%, $E$9)</f>
        <v>5.8963999999999999</v>
      </c>
      <c r="E399" s="11">
        <f>6.6388 * CHOOSE(CONTROL!$C$32, $C$9, 100%, $E$9)</f>
        <v>6.6387999999999998</v>
      </c>
      <c r="F399" s="11">
        <f>6.6388 * CHOOSE(CONTROL!$C$32, $C$9, 100%, $E$9)</f>
        <v>6.6387999999999998</v>
      </c>
      <c r="G399" s="11">
        <f>6.642 * CHOOSE(CONTROL!$C$32, $C$9, 100%, $E$9)</f>
        <v>6.6420000000000003</v>
      </c>
      <c r="H399" s="11">
        <f>12.8484 * CHOOSE(CONTROL!$C$32, $C$9, 100%, $E$9)</f>
        <v>12.8484</v>
      </c>
      <c r="I399" s="11">
        <f>12.8516 * CHOOSE(CONTROL!$C$32, $C$9, 100%, $E$9)</f>
        <v>12.851599999999999</v>
      </c>
      <c r="J399" s="11">
        <f>12.8484 * CHOOSE(CONTROL!$C$32, $C$9, 100%, $E$9)</f>
        <v>12.8484</v>
      </c>
      <c r="K399" s="11">
        <f>12.8516 * CHOOSE(CONTROL!$C$32, $C$9, 100%, $E$9)</f>
        <v>12.851599999999999</v>
      </c>
      <c r="L399" s="11">
        <f>6.6388 * CHOOSE(CONTROL!$C$32, $C$9, 100%, $E$9)</f>
        <v>6.6387999999999998</v>
      </c>
      <c r="M399" s="11">
        <f>6.642 * CHOOSE(CONTROL!$C$32, $C$9, 100%, $E$9)</f>
        <v>6.6420000000000003</v>
      </c>
      <c r="N399" s="11">
        <f>6.6388 * CHOOSE(CONTROL!$C$32, $C$9, 100%, $E$9)</f>
        <v>6.6387999999999998</v>
      </c>
      <c r="O399" s="11">
        <f>6.642 * CHOOSE(CONTROL!$C$32, $C$9, 100%, $E$9)</f>
        <v>6.6420000000000003</v>
      </c>
    </row>
    <row r="400" spans="1:15" ht="15" x14ac:dyDescent="0.2">
      <c r="A400" s="13">
        <v>53022</v>
      </c>
      <c r="B400" s="9">
        <f>5.8924 * CHOOSE(CONTROL!$C$32, $C$9, 100%, $E$9)</f>
        <v>5.8924000000000003</v>
      </c>
      <c r="C400" s="9">
        <f>5.8924 * CHOOSE(CONTROL!$C$32, $C$9, 100%, $E$9)</f>
        <v>5.8924000000000003</v>
      </c>
      <c r="D400" s="9">
        <f>5.8933 * CHOOSE(CONTROL!$C$32, $C$9, 100%, $E$9)</f>
        <v>5.8933</v>
      </c>
      <c r="E400" s="11">
        <f>6.743 * CHOOSE(CONTROL!$C$32, $C$9, 100%, $E$9)</f>
        <v>6.7430000000000003</v>
      </c>
      <c r="F400" s="11">
        <f>6.743 * CHOOSE(CONTROL!$C$32, $C$9, 100%, $E$9)</f>
        <v>6.7430000000000003</v>
      </c>
      <c r="G400" s="11">
        <f>6.7463 * CHOOSE(CONTROL!$C$32, $C$9, 100%, $E$9)</f>
        <v>6.7462999999999997</v>
      </c>
      <c r="H400" s="11">
        <f>12.8752 * CHOOSE(CONTROL!$C$32, $C$9, 100%, $E$9)</f>
        <v>12.8752</v>
      </c>
      <c r="I400" s="11">
        <f>12.8784 * CHOOSE(CONTROL!$C$32, $C$9, 100%, $E$9)</f>
        <v>12.878399999999999</v>
      </c>
      <c r="J400" s="11">
        <f>12.8752 * CHOOSE(CONTROL!$C$32, $C$9, 100%, $E$9)</f>
        <v>12.8752</v>
      </c>
      <c r="K400" s="11">
        <f>12.8784 * CHOOSE(CONTROL!$C$32, $C$9, 100%, $E$9)</f>
        <v>12.878399999999999</v>
      </c>
      <c r="L400" s="11">
        <f>6.743 * CHOOSE(CONTROL!$C$32, $C$9, 100%, $E$9)</f>
        <v>6.7430000000000003</v>
      </c>
      <c r="M400" s="11">
        <f>6.7463 * CHOOSE(CONTROL!$C$32, $C$9, 100%, $E$9)</f>
        <v>6.7462999999999997</v>
      </c>
      <c r="N400" s="11">
        <f>6.743 * CHOOSE(CONTROL!$C$32, $C$9, 100%, $E$9)</f>
        <v>6.7430000000000003</v>
      </c>
      <c r="O400" s="11">
        <f>6.7463 * CHOOSE(CONTROL!$C$32, $C$9, 100%, $E$9)</f>
        <v>6.7462999999999997</v>
      </c>
    </row>
    <row r="401" spans="1:15" ht="15" x14ac:dyDescent="0.2">
      <c r="A401" s="13">
        <v>53053</v>
      </c>
      <c r="B401" s="9">
        <f>5.8918 * CHOOSE(CONTROL!$C$32, $C$9, 100%, $E$9)</f>
        <v>5.8917999999999999</v>
      </c>
      <c r="C401" s="9">
        <f>5.8918 * CHOOSE(CONTROL!$C$32, $C$9, 100%, $E$9)</f>
        <v>5.8917999999999999</v>
      </c>
      <c r="D401" s="9">
        <f>5.8928 * CHOOSE(CONTROL!$C$32, $C$9, 100%, $E$9)</f>
        <v>5.8928000000000003</v>
      </c>
      <c r="E401" s="11">
        <f>6.8531 * CHOOSE(CONTROL!$C$32, $C$9, 100%, $E$9)</f>
        <v>6.8531000000000004</v>
      </c>
      <c r="F401" s="11">
        <f>6.8531 * CHOOSE(CONTROL!$C$32, $C$9, 100%, $E$9)</f>
        <v>6.8531000000000004</v>
      </c>
      <c r="G401" s="11">
        <f>6.8563 * CHOOSE(CONTROL!$C$32, $C$9, 100%, $E$9)</f>
        <v>6.8563000000000001</v>
      </c>
      <c r="H401" s="11">
        <f>12.902 * CHOOSE(CONTROL!$C$32, $C$9, 100%, $E$9)</f>
        <v>12.901999999999999</v>
      </c>
      <c r="I401" s="11">
        <f>12.9052 * CHOOSE(CONTROL!$C$32, $C$9, 100%, $E$9)</f>
        <v>12.905200000000001</v>
      </c>
      <c r="J401" s="11">
        <f>12.902 * CHOOSE(CONTROL!$C$32, $C$9, 100%, $E$9)</f>
        <v>12.901999999999999</v>
      </c>
      <c r="K401" s="11">
        <f>12.9052 * CHOOSE(CONTROL!$C$32, $C$9, 100%, $E$9)</f>
        <v>12.905200000000001</v>
      </c>
      <c r="L401" s="11">
        <f>6.8531 * CHOOSE(CONTROL!$C$32, $C$9, 100%, $E$9)</f>
        <v>6.8531000000000004</v>
      </c>
      <c r="M401" s="11">
        <f>6.8563 * CHOOSE(CONTROL!$C$32, $C$9, 100%, $E$9)</f>
        <v>6.8563000000000001</v>
      </c>
      <c r="N401" s="11">
        <f>6.8531 * CHOOSE(CONTROL!$C$32, $C$9, 100%, $E$9)</f>
        <v>6.8531000000000004</v>
      </c>
      <c r="O401" s="11">
        <f>6.8563 * CHOOSE(CONTROL!$C$32, $C$9, 100%, $E$9)</f>
        <v>6.8563000000000001</v>
      </c>
    </row>
    <row r="402" spans="1:15" ht="15" x14ac:dyDescent="0.2">
      <c r="A402" s="13">
        <v>53083</v>
      </c>
      <c r="B402" s="9">
        <f>5.8918 * CHOOSE(CONTROL!$C$32, $C$9, 100%, $E$9)</f>
        <v>5.8917999999999999</v>
      </c>
      <c r="C402" s="9">
        <f>5.8918 * CHOOSE(CONTROL!$C$32, $C$9, 100%, $E$9)</f>
        <v>5.8917999999999999</v>
      </c>
      <c r="D402" s="9">
        <f>5.8931 * CHOOSE(CONTROL!$C$32, $C$9, 100%, $E$9)</f>
        <v>5.8930999999999996</v>
      </c>
      <c r="E402" s="11">
        <f>6.8959 * CHOOSE(CONTROL!$C$32, $C$9, 100%, $E$9)</f>
        <v>6.8959000000000001</v>
      </c>
      <c r="F402" s="11">
        <f>6.8959 * CHOOSE(CONTROL!$C$32, $C$9, 100%, $E$9)</f>
        <v>6.8959000000000001</v>
      </c>
      <c r="G402" s="11">
        <f>6.9001 * CHOOSE(CONTROL!$C$32, $C$9, 100%, $E$9)</f>
        <v>6.9001000000000001</v>
      </c>
      <c r="H402" s="11">
        <f>12.9289 * CHOOSE(CONTROL!$C$32, $C$9, 100%, $E$9)</f>
        <v>12.928900000000001</v>
      </c>
      <c r="I402" s="11">
        <f>12.9331 * CHOOSE(CONTROL!$C$32, $C$9, 100%, $E$9)</f>
        <v>12.9331</v>
      </c>
      <c r="J402" s="11">
        <f>12.9289 * CHOOSE(CONTROL!$C$32, $C$9, 100%, $E$9)</f>
        <v>12.928900000000001</v>
      </c>
      <c r="K402" s="11">
        <f>12.9331 * CHOOSE(CONTROL!$C$32, $C$9, 100%, $E$9)</f>
        <v>12.9331</v>
      </c>
      <c r="L402" s="11">
        <f>6.8959 * CHOOSE(CONTROL!$C$32, $C$9, 100%, $E$9)</f>
        <v>6.8959000000000001</v>
      </c>
      <c r="M402" s="11">
        <f>6.9001 * CHOOSE(CONTROL!$C$32, $C$9, 100%, $E$9)</f>
        <v>6.9001000000000001</v>
      </c>
      <c r="N402" s="11">
        <f>6.8959 * CHOOSE(CONTROL!$C$32, $C$9, 100%, $E$9)</f>
        <v>6.8959000000000001</v>
      </c>
      <c r="O402" s="11">
        <f>6.9001 * CHOOSE(CONTROL!$C$32, $C$9, 100%, $E$9)</f>
        <v>6.9001000000000001</v>
      </c>
    </row>
    <row r="403" spans="1:15" ht="15" x14ac:dyDescent="0.2">
      <c r="A403" s="13">
        <v>53114</v>
      </c>
      <c r="B403" s="9">
        <f>5.8979 * CHOOSE(CONTROL!$C$32, $C$9, 100%, $E$9)</f>
        <v>5.8978999999999999</v>
      </c>
      <c r="C403" s="9">
        <f>5.8979 * CHOOSE(CONTROL!$C$32, $C$9, 100%, $E$9)</f>
        <v>5.8978999999999999</v>
      </c>
      <c r="D403" s="9">
        <f>5.8992 * CHOOSE(CONTROL!$C$32, $C$9, 100%, $E$9)</f>
        <v>5.8992000000000004</v>
      </c>
      <c r="E403" s="11">
        <f>6.8573 * CHOOSE(CONTROL!$C$32, $C$9, 100%, $E$9)</f>
        <v>6.8573000000000004</v>
      </c>
      <c r="F403" s="11">
        <f>6.8573 * CHOOSE(CONTROL!$C$32, $C$9, 100%, $E$9)</f>
        <v>6.8573000000000004</v>
      </c>
      <c r="G403" s="11">
        <f>6.8615 * CHOOSE(CONTROL!$C$32, $C$9, 100%, $E$9)</f>
        <v>6.8615000000000004</v>
      </c>
      <c r="H403" s="11">
        <f>12.9558 * CHOOSE(CONTROL!$C$32, $C$9, 100%, $E$9)</f>
        <v>12.9558</v>
      </c>
      <c r="I403" s="11">
        <f>12.96 * CHOOSE(CONTROL!$C$32, $C$9, 100%, $E$9)</f>
        <v>12.96</v>
      </c>
      <c r="J403" s="11">
        <f>12.9558 * CHOOSE(CONTROL!$C$32, $C$9, 100%, $E$9)</f>
        <v>12.9558</v>
      </c>
      <c r="K403" s="11">
        <f>12.96 * CHOOSE(CONTROL!$C$32, $C$9, 100%, $E$9)</f>
        <v>12.96</v>
      </c>
      <c r="L403" s="11">
        <f>6.8573 * CHOOSE(CONTROL!$C$32, $C$9, 100%, $E$9)</f>
        <v>6.8573000000000004</v>
      </c>
      <c r="M403" s="11">
        <f>6.8615 * CHOOSE(CONTROL!$C$32, $C$9, 100%, $E$9)</f>
        <v>6.8615000000000004</v>
      </c>
      <c r="N403" s="11">
        <f>6.8573 * CHOOSE(CONTROL!$C$32, $C$9, 100%, $E$9)</f>
        <v>6.8573000000000004</v>
      </c>
      <c r="O403" s="11">
        <f>6.8615 * CHOOSE(CONTROL!$C$32, $C$9, 100%, $E$9)</f>
        <v>6.8615000000000004</v>
      </c>
    </row>
    <row r="404" spans="1:15" ht="15" x14ac:dyDescent="0.2">
      <c r="A404" s="13">
        <v>53144</v>
      </c>
      <c r="B404" s="9">
        <f>5.9772 * CHOOSE(CONTROL!$C$32, $C$9, 100%, $E$9)</f>
        <v>5.9771999999999998</v>
      </c>
      <c r="C404" s="9">
        <f>5.9772 * CHOOSE(CONTROL!$C$32, $C$9, 100%, $E$9)</f>
        <v>5.9771999999999998</v>
      </c>
      <c r="D404" s="9">
        <f>5.9785 * CHOOSE(CONTROL!$C$32, $C$9, 100%, $E$9)</f>
        <v>5.9785000000000004</v>
      </c>
      <c r="E404" s="11">
        <f>6.878 * CHOOSE(CONTROL!$C$32, $C$9, 100%, $E$9)</f>
        <v>6.8780000000000001</v>
      </c>
      <c r="F404" s="11">
        <f>6.878 * CHOOSE(CONTROL!$C$32, $C$9, 100%, $E$9)</f>
        <v>6.8780000000000001</v>
      </c>
      <c r="G404" s="11">
        <f>6.8822 * CHOOSE(CONTROL!$C$32, $C$9, 100%, $E$9)</f>
        <v>6.8822000000000001</v>
      </c>
      <c r="H404" s="11">
        <f>12.9828 * CHOOSE(CONTROL!$C$32, $C$9, 100%, $E$9)</f>
        <v>12.982799999999999</v>
      </c>
      <c r="I404" s="11">
        <f>12.987 * CHOOSE(CONTROL!$C$32, $C$9, 100%, $E$9)</f>
        <v>12.987</v>
      </c>
      <c r="J404" s="11">
        <f>12.9828 * CHOOSE(CONTROL!$C$32, $C$9, 100%, $E$9)</f>
        <v>12.982799999999999</v>
      </c>
      <c r="K404" s="11">
        <f>12.987 * CHOOSE(CONTROL!$C$32, $C$9, 100%, $E$9)</f>
        <v>12.987</v>
      </c>
      <c r="L404" s="11">
        <f>6.878 * CHOOSE(CONTROL!$C$32, $C$9, 100%, $E$9)</f>
        <v>6.8780000000000001</v>
      </c>
      <c r="M404" s="11">
        <f>6.8822 * CHOOSE(CONTROL!$C$32, $C$9, 100%, $E$9)</f>
        <v>6.8822000000000001</v>
      </c>
      <c r="N404" s="11">
        <f>6.878 * CHOOSE(CONTROL!$C$32, $C$9, 100%, $E$9)</f>
        <v>6.8780000000000001</v>
      </c>
      <c r="O404" s="11">
        <f>6.8822 * CHOOSE(CONTROL!$C$32, $C$9, 100%, $E$9)</f>
        <v>6.8822000000000001</v>
      </c>
    </row>
    <row r="405" spans="1:15" ht="15" x14ac:dyDescent="0.2">
      <c r="A405" s="13">
        <v>53175</v>
      </c>
      <c r="B405" s="9">
        <f>5.9839 * CHOOSE(CONTROL!$C$32, $C$9, 100%, $E$9)</f>
        <v>5.9839000000000002</v>
      </c>
      <c r="C405" s="9">
        <f>5.9839 * CHOOSE(CONTROL!$C$32, $C$9, 100%, $E$9)</f>
        <v>5.9839000000000002</v>
      </c>
      <c r="D405" s="9">
        <f>5.9851 * CHOOSE(CONTROL!$C$32, $C$9, 100%, $E$9)</f>
        <v>5.9851000000000001</v>
      </c>
      <c r="E405" s="11">
        <f>6.7541 * CHOOSE(CONTROL!$C$32, $C$9, 100%, $E$9)</f>
        <v>6.7541000000000002</v>
      </c>
      <c r="F405" s="11">
        <f>6.7541 * CHOOSE(CONTROL!$C$32, $C$9, 100%, $E$9)</f>
        <v>6.7541000000000002</v>
      </c>
      <c r="G405" s="11">
        <f>6.7583 * CHOOSE(CONTROL!$C$32, $C$9, 100%, $E$9)</f>
        <v>6.7583000000000002</v>
      </c>
      <c r="H405" s="11">
        <f>13.0098 * CHOOSE(CONTROL!$C$32, $C$9, 100%, $E$9)</f>
        <v>13.0098</v>
      </c>
      <c r="I405" s="11">
        <f>13.014 * CHOOSE(CONTROL!$C$32, $C$9, 100%, $E$9)</f>
        <v>13.013999999999999</v>
      </c>
      <c r="J405" s="11">
        <f>13.0098 * CHOOSE(CONTROL!$C$32, $C$9, 100%, $E$9)</f>
        <v>13.0098</v>
      </c>
      <c r="K405" s="11">
        <f>13.014 * CHOOSE(CONTROL!$C$32, $C$9, 100%, $E$9)</f>
        <v>13.013999999999999</v>
      </c>
      <c r="L405" s="11">
        <f>6.7541 * CHOOSE(CONTROL!$C$32, $C$9, 100%, $E$9)</f>
        <v>6.7541000000000002</v>
      </c>
      <c r="M405" s="11">
        <f>6.7583 * CHOOSE(CONTROL!$C$32, $C$9, 100%, $E$9)</f>
        <v>6.7583000000000002</v>
      </c>
      <c r="N405" s="11">
        <f>6.7541 * CHOOSE(CONTROL!$C$32, $C$9, 100%, $E$9)</f>
        <v>6.7541000000000002</v>
      </c>
      <c r="O405" s="11">
        <f>6.7583 * CHOOSE(CONTROL!$C$32, $C$9, 100%, $E$9)</f>
        <v>6.7583000000000002</v>
      </c>
    </row>
    <row r="406" spans="1:15" ht="15" x14ac:dyDescent="0.2">
      <c r="A406" s="13">
        <v>53206</v>
      </c>
      <c r="B406" s="9">
        <f>5.9809 * CHOOSE(CONTROL!$C$32, $C$9, 100%, $E$9)</f>
        <v>5.9809000000000001</v>
      </c>
      <c r="C406" s="9">
        <f>5.9809 * CHOOSE(CONTROL!$C$32, $C$9, 100%, $E$9)</f>
        <v>5.9809000000000001</v>
      </c>
      <c r="D406" s="9">
        <f>5.9821 * CHOOSE(CONTROL!$C$32, $C$9, 100%, $E$9)</f>
        <v>5.9821</v>
      </c>
      <c r="E406" s="11">
        <f>6.7377 * CHOOSE(CONTROL!$C$32, $C$9, 100%, $E$9)</f>
        <v>6.7377000000000002</v>
      </c>
      <c r="F406" s="11">
        <f>6.7377 * CHOOSE(CONTROL!$C$32, $C$9, 100%, $E$9)</f>
        <v>6.7377000000000002</v>
      </c>
      <c r="G406" s="11">
        <f>6.7419 * CHOOSE(CONTROL!$C$32, $C$9, 100%, $E$9)</f>
        <v>6.7419000000000002</v>
      </c>
      <c r="H406" s="11">
        <f>13.0369 * CHOOSE(CONTROL!$C$32, $C$9, 100%, $E$9)</f>
        <v>13.036899999999999</v>
      </c>
      <c r="I406" s="11">
        <f>13.0411 * CHOOSE(CONTROL!$C$32, $C$9, 100%, $E$9)</f>
        <v>13.0411</v>
      </c>
      <c r="J406" s="11">
        <f>13.0369 * CHOOSE(CONTROL!$C$32, $C$9, 100%, $E$9)</f>
        <v>13.036899999999999</v>
      </c>
      <c r="K406" s="11">
        <f>13.0411 * CHOOSE(CONTROL!$C$32, $C$9, 100%, $E$9)</f>
        <v>13.0411</v>
      </c>
      <c r="L406" s="11">
        <f>6.7377 * CHOOSE(CONTROL!$C$32, $C$9, 100%, $E$9)</f>
        <v>6.7377000000000002</v>
      </c>
      <c r="M406" s="11">
        <f>6.7419 * CHOOSE(CONTROL!$C$32, $C$9, 100%, $E$9)</f>
        <v>6.7419000000000002</v>
      </c>
      <c r="N406" s="11">
        <f>6.7377 * CHOOSE(CONTROL!$C$32, $C$9, 100%, $E$9)</f>
        <v>6.7377000000000002</v>
      </c>
      <c r="O406" s="11">
        <f>6.7419 * CHOOSE(CONTROL!$C$32, $C$9, 100%, $E$9)</f>
        <v>6.7419000000000002</v>
      </c>
    </row>
    <row r="407" spans="1:15" ht="15" x14ac:dyDescent="0.2">
      <c r="A407" s="13">
        <v>53236</v>
      </c>
      <c r="B407" s="9">
        <f>5.9833 * CHOOSE(CONTROL!$C$32, $C$9, 100%, $E$9)</f>
        <v>5.9832999999999998</v>
      </c>
      <c r="C407" s="9">
        <f>5.9833 * CHOOSE(CONTROL!$C$32, $C$9, 100%, $E$9)</f>
        <v>5.9832999999999998</v>
      </c>
      <c r="D407" s="9">
        <f>5.9842 * CHOOSE(CONTROL!$C$32, $C$9, 100%, $E$9)</f>
        <v>5.9842000000000004</v>
      </c>
      <c r="E407" s="11">
        <f>6.7814 * CHOOSE(CONTROL!$C$32, $C$9, 100%, $E$9)</f>
        <v>6.7813999999999997</v>
      </c>
      <c r="F407" s="11">
        <f>6.7814 * CHOOSE(CONTROL!$C$32, $C$9, 100%, $E$9)</f>
        <v>6.7813999999999997</v>
      </c>
      <c r="G407" s="11">
        <f>6.7847 * CHOOSE(CONTROL!$C$32, $C$9, 100%, $E$9)</f>
        <v>6.7847</v>
      </c>
      <c r="H407" s="11">
        <f>13.0641 * CHOOSE(CONTROL!$C$32, $C$9, 100%, $E$9)</f>
        <v>13.0641</v>
      </c>
      <c r="I407" s="11">
        <f>13.0673 * CHOOSE(CONTROL!$C$32, $C$9, 100%, $E$9)</f>
        <v>13.067299999999999</v>
      </c>
      <c r="J407" s="11">
        <f>13.0641 * CHOOSE(CONTROL!$C$32, $C$9, 100%, $E$9)</f>
        <v>13.0641</v>
      </c>
      <c r="K407" s="11">
        <f>13.0673 * CHOOSE(CONTROL!$C$32, $C$9, 100%, $E$9)</f>
        <v>13.067299999999999</v>
      </c>
      <c r="L407" s="11">
        <f>6.7814 * CHOOSE(CONTROL!$C$32, $C$9, 100%, $E$9)</f>
        <v>6.7813999999999997</v>
      </c>
      <c r="M407" s="11">
        <f>6.7847 * CHOOSE(CONTROL!$C$32, $C$9, 100%, $E$9)</f>
        <v>6.7847</v>
      </c>
      <c r="N407" s="11">
        <f>6.7814 * CHOOSE(CONTROL!$C$32, $C$9, 100%, $E$9)</f>
        <v>6.7813999999999997</v>
      </c>
      <c r="O407" s="11">
        <f>6.7847 * CHOOSE(CONTROL!$C$32, $C$9, 100%, $E$9)</f>
        <v>6.7847</v>
      </c>
    </row>
    <row r="408" spans="1:15" ht="15" x14ac:dyDescent="0.2">
      <c r="A408" s="13">
        <v>53267</v>
      </c>
      <c r="B408" s="9">
        <f>5.9863 * CHOOSE(CONTROL!$C$32, $C$9, 100%, $E$9)</f>
        <v>5.9863</v>
      </c>
      <c r="C408" s="9">
        <f>5.9863 * CHOOSE(CONTROL!$C$32, $C$9, 100%, $E$9)</f>
        <v>5.9863</v>
      </c>
      <c r="D408" s="9">
        <f>5.9873 * CHOOSE(CONTROL!$C$32, $C$9, 100%, $E$9)</f>
        <v>5.9873000000000003</v>
      </c>
      <c r="E408" s="11">
        <f>6.8121 * CHOOSE(CONTROL!$C$32, $C$9, 100%, $E$9)</f>
        <v>6.8121</v>
      </c>
      <c r="F408" s="11">
        <f>6.8121 * CHOOSE(CONTROL!$C$32, $C$9, 100%, $E$9)</f>
        <v>6.8121</v>
      </c>
      <c r="G408" s="11">
        <f>6.8153 * CHOOSE(CONTROL!$C$32, $C$9, 100%, $E$9)</f>
        <v>6.8152999999999997</v>
      </c>
      <c r="H408" s="11">
        <f>13.0913 * CHOOSE(CONTROL!$C$32, $C$9, 100%, $E$9)</f>
        <v>13.0913</v>
      </c>
      <c r="I408" s="11">
        <f>13.0945 * CHOOSE(CONTROL!$C$32, $C$9, 100%, $E$9)</f>
        <v>13.0945</v>
      </c>
      <c r="J408" s="11">
        <f>13.0913 * CHOOSE(CONTROL!$C$32, $C$9, 100%, $E$9)</f>
        <v>13.0913</v>
      </c>
      <c r="K408" s="11">
        <f>13.0945 * CHOOSE(CONTROL!$C$32, $C$9, 100%, $E$9)</f>
        <v>13.0945</v>
      </c>
      <c r="L408" s="11">
        <f>6.8121 * CHOOSE(CONTROL!$C$32, $C$9, 100%, $E$9)</f>
        <v>6.8121</v>
      </c>
      <c r="M408" s="11">
        <f>6.8153 * CHOOSE(CONTROL!$C$32, $C$9, 100%, $E$9)</f>
        <v>6.8152999999999997</v>
      </c>
      <c r="N408" s="11">
        <f>6.8121 * CHOOSE(CONTROL!$C$32, $C$9, 100%, $E$9)</f>
        <v>6.8121</v>
      </c>
      <c r="O408" s="11">
        <f>6.8153 * CHOOSE(CONTROL!$C$32, $C$9, 100%, $E$9)</f>
        <v>6.8152999999999997</v>
      </c>
    </row>
    <row r="409" spans="1:15" ht="15" x14ac:dyDescent="0.2">
      <c r="A409" s="13">
        <v>53297</v>
      </c>
      <c r="B409" s="9">
        <f>5.9863 * CHOOSE(CONTROL!$C$32, $C$9, 100%, $E$9)</f>
        <v>5.9863</v>
      </c>
      <c r="C409" s="9">
        <f>5.9863 * CHOOSE(CONTROL!$C$32, $C$9, 100%, $E$9)</f>
        <v>5.9863</v>
      </c>
      <c r="D409" s="9">
        <f>5.9873 * CHOOSE(CONTROL!$C$32, $C$9, 100%, $E$9)</f>
        <v>5.9873000000000003</v>
      </c>
      <c r="E409" s="11">
        <f>6.7407 * CHOOSE(CONTROL!$C$32, $C$9, 100%, $E$9)</f>
        <v>6.7407000000000004</v>
      </c>
      <c r="F409" s="11">
        <f>6.7407 * CHOOSE(CONTROL!$C$32, $C$9, 100%, $E$9)</f>
        <v>6.7407000000000004</v>
      </c>
      <c r="G409" s="11">
        <f>6.7439 * CHOOSE(CONTROL!$C$32, $C$9, 100%, $E$9)</f>
        <v>6.7439</v>
      </c>
      <c r="H409" s="11">
        <f>13.1186 * CHOOSE(CONTROL!$C$32, $C$9, 100%, $E$9)</f>
        <v>13.118600000000001</v>
      </c>
      <c r="I409" s="11">
        <f>13.1218 * CHOOSE(CONTROL!$C$32, $C$9, 100%, $E$9)</f>
        <v>13.1218</v>
      </c>
      <c r="J409" s="11">
        <f>13.1186 * CHOOSE(CONTROL!$C$32, $C$9, 100%, $E$9)</f>
        <v>13.118600000000001</v>
      </c>
      <c r="K409" s="11">
        <f>13.1218 * CHOOSE(CONTROL!$C$32, $C$9, 100%, $E$9)</f>
        <v>13.1218</v>
      </c>
      <c r="L409" s="11">
        <f>6.7407 * CHOOSE(CONTROL!$C$32, $C$9, 100%, $E$9)</f>
        <v>6.7407000000000004</v>
      </c>
      <c r="M409" s="11">
        <f>6.7439 * CHOOSE(CONTROL!$C$32, $C$9, 100%, $E$9)</f>
        <v>6.7439</v>
      </c>
      <c r="N409" s="11">
        <f>6.7407 * CHOOSE(CONTROL!$C$32, $C$9, 100%, $E$9)</f>
        <v>6.7407000000000004</v>
      </c>
      <c r="O409" s="11">
        <f>6.7439 * CHOOSE(CONTROL!$C$32, $C$9, 100%, $E$9)</f>
        <v>6.7439</v>
      </c>
    </row>
    <row r="410" spans="1:15" ht="15" x14ac:dyDescent="0.2">
      <c r="A410" s="13">
        <v>53328</v>
      </c>
      <c r="B410" s="9">
        <f>6.0321 * CHOOSE(CONTROL!$C$32, $C$9, 100%, $E$9)</f>
        <v>6.0320999999999998</v>
      </c>
      <c r="C410" s="9">
        <f>6.0321 * CHOOSE(CONTROL!$C$32, $C$9, 100%, $E$9)</f>
        <v>6.0320999999999998</v>
      </c>
      <c r="D410" s="9">
        <f>6.0331 * CHOOSE(CONTROL!$C$32, $C$9, 100%, $E$9)</f>
        <v>6.0331000000000001</v>
      </c>
      <c r="E410" s="11">
        <f>6.8171 * CHOOSE(CONTROL!$C$32, $C$9, 100%, $E$9)</f>
        <v>6.8170999999999999</v>
      </c>
      <c r="F410" s="11">
        <f>6.8171 * CHOOSE(CONTROL!$C$32, $C$9, 100%, $E$9)</f>
        <v>6.8170999999999999</v>
      </c>
      <c r="G410" s="11">
        <f>6.8203 * CHOOSE(CONTROL!$C$32, $C$9, 100%, $E$9)</f>
        <v>6.8202999999999996</v>
      </c>
      <c r="H410" s="11">
        <f>13.1459 * CHOOSE(CONTROL!$C$32, $C$9, 100%, $E$9)</f>
        <v>13.145899999999999</v>
      </c>
      <c r="I410" s="11">
        <f>13.1492 * CHOOSE(CONTROL!$C$32, $C$9, 100%, $E$9)</f>
        <v>13.1492</v>
      </c>
      <c r="J410" s="11">
        <f>13.1459 * CHOOSE(CONTROL!$C$32, $C$9, 100%, $E$9)</f>
        <v>13.145899999999999</v>
      </c>
      <c r="K410" s="11">
        <f>13.1492 * CHOOSE(CONTROL!$C$32, $C$9, 100%, $E$9)</f>
        <v>13.1492</v>
      </c>
      <c r="L410" s="11">
        <f>6.8171 * CHOOSE(CONTROL!$C$32, $C$9, 100%, $E$9)</f>
        <v>6.8170999999999999</v>
      </c>
      <c r="M410" s="11">
        <f>6.8203 * CHOOSE(CONTROL!$C$32, $C$9, 100%, $E$9)</f>
        <v>6.8202999999999996</v>
      </c>
      <c r="N410" s="11">
        <f>6.8171 * CHOOSE(CONTROL!$C$32, $C$9, 100%, $E$9)</f>
        <v>6.8170999999999999</v>
      </c>
      <c r="O410" s="11">
        <f>6.8203 * CHOOSE(CONTROL!$C$32, $C$9, 100%, $E$9)</f>
        <v>6.8202999999999996</v>
      </c>
    </row>
    <row r="411" spans="1:15" ht="15" x14ac:dyDescent="0.2">
      <c r="A411" s="13">
        <v>53359</v>
      </c>
      <c r="B411" s="9">
        <f>6.0291 * CHOOSE(CONTROL!$C$32, $C$9, 100%, $E$9)</f>
        <v>6.0290999999999997</v>
      </c>
      <c r="C411" s="9">
        <f>6.0291 * CHOOSE(CONTROL!$C$32, $C$9, 100%, $E$9)</f>
        <v>6.0290999999999997</v>
      </c>
      <c r="D411" s="9">
        <f>6.0301 * CHOOSE(CONTROL!$C$32, $C$9, 100%, $E$9)</f>
        <v>6.0301</v>
      </c>
      <c r="E411" s="11">
        <f>6.6757 * CHOOSE(CONTROL!$C$32, $C$9, 100%, $E$9)</f>
        <v>6.6757</v>
      </c>
      <c r="F411" s="11">
        <f>6.6757 * CHOOSE(CONTROL!$C$32, $C$9, 100%, $E$9)</f>
        <v>6.6757</v>
      </c>
      <c r="G411" s="11">
        <f>6.6789 * CHOOSE(CONTROL!$C$32, $C$9, 100%, $E$9)</f>
        <v>6.6788999999999996</v>
      </c>
      <c r="H411" s="11">
        <f>13.1733 * CHOOSE(CONTROL!$C$32, $C$9, 100%, $E$9)</f>
        <v>13.173299999999999</v>
      </c>
      <c r="I411" s="11">
        <f>13.1765 * CHOOSE(CONTROL!$C$32, $C$9, 100%, $E$9)</f>
        <v>13.176500000000001</v>
      </c>
      <c r="J411" s="11">
        <f>13.1733 * CHOOSE(CONTROL!$C$32, $C$9, 100%, $E$9)</f>
        <v>13.173299999999999</v>
      </c>
      <c r="K411" s="11">
        <f>13.1765 * CHOOSE(CONTROL!$C$32, $C$9, 100%, $E$9)</f>
        <v>13.176500000000001</v>
      </c>
      <c r="L411" s="11">
        <f>6.6757 * CHOOSE(CONTROL!$C$32, $C$9, 100%, $E$9)</f>
        <v>6.6757</v>
      </c>
      <c r="M411" s="11">
        <f>6.6789 * CHOOSE(CONTROL!$C$32, $C$9, 100%, $E$9)</f>
        <v>6.6788999999999996</v>
      </c>
      <c r="N411" s="11">
        <f>6.6757 * CHOOSE(CONTROL!$C$32, $C$9, 100%, $E$9)</f>
        <v>6.6757</v>
      </c>
      <c r="O411" s="11">
        <f>6.6789 * CHOOSE(CONTROL!$C$32, $C$9, 100%, $E$9)</f>
        <v>6.6788999999999996</v>
      </c>
    </row>
    <row r="412" spans="1:15" ht="15" x14ac:dyDescent="0.2">
      <c r="A412" s="13">
        <v>53387</v>
      </c>
      <c r="B412" s="9">
        <f>6.0261 * CHOOSE(CONTROL!$C$32, $C$9, 100%, $E$9)</f>
        <v>6.0260999999999996</v>
      </c>
      <c r="C412" s="9">
        <f>6.0261 * CHOOSE(CONTROL!$C$32, $C$9, 100%, $E$9)</f>
        <v>6.0260999999999996</v>
      </c>
      <c r="D412" s="9">
        <f>6.027 * CHOOSE(CONTROL!$C$32, $C$9, 100%, $E$9)</f>
        <v>6.0270000000000001</v>
      </c>
      <c r="E412" s="11">
        <f>6.7834 * CHOOSE(CONTROL!$C$32, $C$9, 100%, $E$9)</f>
        <v>6.7834000000000003</v>
      </c>
      <c r="F412" s="11">
        <f>6.7834 * CHOOSE(CONTROL!$C$32, $C$9, 100%, $E$9)</f>
        <v>6.7834000000000003</v>
      </c>
      <c r="G412" s="11">
        <f>6.7866 * CHOOSE(CONTROL!$C$32, $C$9, 100%, $E$9)</f>
        <v>6.7866</v>
      </c>
      <c r="H412" s="11">
        <f>13.2008 * CHOOSE(CONTROL!$C$32, $C$9, 100%, $E$9)</f>
        <v>13.200799999999999</v>
      </c>
      <c r="I412" s="11">
        <f>13.204 * CHOOSE(CONTROL!$C$32, $C$9, 100%, $E$9)</f>
        <v>13.204000000000001</v>
      </c>
      <c r="J412" s="11">
        <f>13.2008 * CHOOSE(CONTROL!$C$32, $C$9, 100%, $E$9)</f>
        <v>13.200799999999999</v>
      </c>
      <c r="K412" s="11">
        <f>13.204 * CHOOSE(CONTROL!$C$32, $C$9, 100%, $E$9)</f>
        <v>13.204000000000001</v>
      </c>
      <c r="L412" s="11">
        <f>6.7834 * CHOOSE(CONTROL!$C$32, $C$9, 100%, $E$9)</f>
        <v>6.7834000000000003</v>
      </c>
      <c r="M412" s="11">
        <f>6.7866 * CHOOSE(CONTROL!$C$32, $C$9, 100%, $E$9)</f>
        <v>6.7866</v>
      </c>
      <c r="N412" s="11">
        <f>6.7834 * CHOOSE(CONTROL!$C$32, $C$9, 100%, $E$9)</f>
        <v>6.7834000000000003</v>
      </c>
      <c r="O412" s="11">
        <f>6.7866 * CHOOSE(CONTROL!$C$32, $C$9, 100%, $E$9)</f>
        <v>6.7866</v>
      </c>
    </row>
    <row r="413" spans="1:15" ht="15" x14ac:dyDescent="0.2">
      <c r="A413" s="13">
        <v>53418</v>
      </c>
      <c r="B413" s="9">
        <f>6.0257 * CHOOSE(CONTROL!$C$32, $C$9, 100%, $E$9)</f>
        <v>6.0256999999999996</v>
      </c>
      <c r="C413" s="9">
        <f>6.0257 * CHOOSE(CONTROL!$C$32, $C$9, 100%, $E$9)</f>
        <v>6.0256999999999996</v>
      </c>
      <c r="D413" s="9">
        <f>6.0266 * CHOOSE(CONTROL!$C$32, $C$9, 100%, $E$9)</f>
        <v>6.0266000000000002</v>
      </c>
      <c r="E413" s="11">
        <f>6.8971 * CHOOSE(CONTROL!$C$32, $C$9, 100%, $E$9)</f>
        <v>6.8971</v>
      </c>
      <c r="F413" s="11">
        <f>6.8971 * CHOOSE(CONTROL!$C$32, $C$9, 100%, $E$9)</f>
        <v>6.8971</v>
      </c>
      <c r="G413" s="11">
        <f>6.9004 * CHOOSE(CONTROL!$C$32, $C$9, 100%, $E$9)</f>
        <v>6.9004000000000003</v>
      </c>
      <c r="H413" s="11">
        <f>13.2283 * CHOOSE(CONTROL!$C$32, $C$9, 100%, $E$9)</f>
        <v>13.228300000000001</v>
      </c>
      <c r="I413" s="11">
        <f>13.2315 * CHOOSE(CONTROL!$C$32, $C$9, 100%, $E$9)</f>
        <v>13.2315</v>
      </c>
      <c r="J413" s="11">
        <f>13.2283 * CHOOSE(CONTROL!$C$32, $C$9, 100%, $E$9)</f>
        <v>13.228300000000001</v>
      </c>
      <c r="K413" s="11">
        <f>13.2315 * CHOOSE(CONTROL!$C$32, $C$9, 100%, $E$9)</f>
        <v>13.2315</v>
      </c>
      <c r="L413" s="11">
        <f>6.8971 * CHOOSE(CONTROL!$C$32, $C$9, 100%, $E$9)</f>
        <v>6.8971</v>
      </c>
      <c r="M413" s="11">
        <f>6.9004 * CHOOSE(CONTROL!$C$32, $C$9, 100%, $E$9)</f>
        <v>6.9004000000000003</v>
      </c>
      <c r="N413" s="11">
        <f>6.8971 * CHOOSE(CONTROL!$C$32, $C$9, 100%, $E$9)</f>
        <v>6.8971</v>
      </c>
      <c r="O413" s="11">
        <f>6.9004 * CHOOSE(CONTROL!$C$32, $C$9, 100%, $E$9)</f>
        <v>6.9004000000000003</v>
      </c>
    </row>
    <row r="414" spans="1:15" ht="15" x14ac:dyDescent="0.2">
      <c r="A414" s="13">
        <v>53448</v>
      </c>
      <c r="B414" s="9">
        <f>6.0257 * CHOOSE(CONTROL!$C$32, $C$9, 100%, $E$9)</f>
        <v>6.0256999999999996</v>
      </c>
      <c r="C414" s="9">
        <f>6.0257 * CHOOSE(CONTROL!$C$32, $C$9, 100%, $E$9)</f>
        <v>6.0256999999999996</v>
      </c>
      <c r="D414" s="9">
        <f>6.0269 * CHOOSE(CONTROL!$C$32, $C$9, 100%, $E$9)</f>
        <v>6.0269000000000004</v>
      </c>
      <c r="E414" s="11">
        <f>6.9414 * CHOOSE(CONTROL!$C$32, $C$9, 100%, $E$9)</f>
        <v>6.9413999999999998</v>
      </c>
      <c r="F414" s="11">
        <f>6.9414 * CHOOSE(CONTROL!$C$32, $C$9, 100%, $E$9)</f>
        <v>6.9413999999999998</v>
      </c>
      <c r="G414" s="11">
        <f>6.9456 * CHOOSE(CONTROL!$C$32, $C$9, 100%, $E$9)</f>
        <v>6.9455999999999998</v>
      </c>
      <c r="H414" s="11">
        <f>13.2558 * CHOOSE(CONTROL!$C$32, $C$9, 100%, $E$9)</f>
        <v>13.255800000000001</v>
      </c>
      <c r="I414" s="11">
        <f>13.26 * CHOOSE(CONTROL!$C$32, $C$9, 100%, $E$9)</f>
        <v>13.26</v>
      </c>
      <c r="J414" s="11">
        <f>13.2558 * CHOOSE(CONTROL!$C$32, $C$9, 100%, $E$9)</f>
        <v>13.255800000000001</v>
      </c>
      <c r="K414" s="11">
        <f>13.26 * CHOOSE(CONTROL!$C$32, $C$9, 100%, $E$9)</f>
        <v>13.26</v>
      </c>
      <c r="L414" s="11">
        <f>6.9414 * CHOOSE(CONTROL!$C$32, $C$9, 100%, $E$9)</f>
        <v>6.9413999999999998</v>
      </c>
      <c r="M414" s="11">
        <f>6.9456 * CHOOSE(CONTROL!$C$32, $C$9, 100%, $E$9)</f>
        <v>6.9455999999999998</v>
      </c>
      <c r="N414" s="11">
        <f>6.9414 * CHOOSE(CONTROL!$C$32, $C$9, 100%, $E$9)</f>
        <v>6.9413999999999998</v>
      </c>
      <c r="O414" s="11">
        <f>6.9456 * CHOOSE(CONTROL!$C$32, $C$9, 100%, $E$9)</f>
        <v>6.9455999999999998</v>
      </c>
    </row>
    <row r="415" spans="1:15" ht="15" x14ac:dyDescent="0.2">
      <c r="A415" s="13">
        <v>53479</v>
      </c>
      <c r="B415" s="9">
        <f>6.0318 * CHOOSE(CONTROL!$C$32, $C$9, 100%, $E$9)</f>
        <v>6.0317999999999996</v>
      </c>
      <c r="C415" s="9">
        <f>6.0318 * CHOOSE(CONTROL!$C$32, $C$9, 100%, $E$9)</f>
        <v>6.0317999999999996</v>
      </c>
      <c r="D415" s="9">
        <f>6.033 * CHOOSE(CONTROL!$C$32, $C$9, 100%, $E$9)</f>
        <v>6.0330000000000004</v>
      </c>
      <c r="E415" s="11">
        <f>6.9014 * CHOOSE(CONTROL!$C$32, $C$9, 100%, $E$9)</f>
        <v>6.9013999999999998</v>
      </c>
      <c r="F415" s="11">
        <f>6.9014 * CHOOSE(CONTROL!$C$32, $C$9, 100%, $E$9)</f>
        <v>6.9013999999999998</v>
      </c>
      <c r="G415" s="11">
        <f>6.9056 * CHOOSE(CONTROL!$C$32, $C$9, 100%, $E$9)</f>
        <v>6.9055999999999997</v>
      </c>
      <c r="H415" s="11">
        <f>13.2834 * CHOOSE(CONTROL!$C$32, $C$9, 100%, $E$9)</f>
        <v>13.2834</v>
      </c>
      <c r="I415" s="11">
        <f>13.2876 * CHOOSE(CONTROL!$C$32, $C$9, 100%, $E$9)</f>
        <v>13.287599999999999</v>
      </c>
      <c r="J415" s="11">
        <f>13.2834 * CHOOSE(CONTROL!$C$32, $C$9, 100%, $E$9)</f>
        <v>13.2834</v>
      </c>
      <c r="K415" s="11">
        <f>13.2876 * CHOOSE(CONTROL!$C$32, $C$9, 100%, $E$9)</f>
        <v>13.287599999999999</v>
      </c>
      <c r="L415" s="11">
        <f>6.9014 * CHOOSE(CONTROL!$C$32, $C$9, 100%, $E$9)</f>
        <v>6.9013999999999998</v>
      </c>
      <c r="M415" s="11">
        <f>6.9056 * CHOOSE(CONTROL!$C$32, $C$9, 100%, $E$9)</f>
        <v>6.9055999999999997</v>
      </c>
      <c r="N415" s="11">
        <f>6.9014 * CHOOSE(CONTROL!$C$32, $C$9, 100%, $E$9)</f>
        <v>6.9013999999999998</v>
      </c>
      <c r="O415" s="11">
        <f>6.9056 * CHOOSE(CONTROL!$C$32, $C$9, 100%, $E$9)</f>
        <v>6.9055999999999997</v>
      </c>
    </row>
    <row r="416" spans="1:15" ht="15" x14ac:dyDescent="0.2">
      <c r="A416" s="13">
        <v>53509</v>
      </c>
      <c r="B416" s="9">
        <f>6.1126 * CHOOSE(CONTROL!$C$32, $C$9, 100%, $E$9)</f>
        <v>6.1125999999999996</v>
      </c>
      <c r="C416" s="9">
        <f>6.1126 * CHOOSE(CONTROL!$C$32, $C$9, 100%, $E$9)</f>
        <v>6.1125999999999996</v>
      </c>
      <c r="D416" s="9">
        <f>6.1139 * CHOOSE(CONTROL!$C$32, $C$9, 100%, $E$9)</f>
        <v>6.1139000000000001</v>
      </c>
      <c r="E416" s="11">
        <f>6.9223 * CHOOSE(CONTROL!$C$32, $C$9, 100%, $E$9)</f>
        <v>6.9222999999999999</v>
      </c>
      <c r="F416" s="11">
        <f>6.9223 * CHOOSE(CONTROL!$C$32, $C$9, 100%, $E$9)</f>
        <v>6.9222999999999999</v>
      </c>
      <c r="G416" s="11">
        <f>6.9265 * CHOOSE(CONTROL!$C$32, $C$9, 100%, $E$9)</f>
        <v>6.9264999999999999</v>
      </c>
      <c r="H416" s="11">
        <f>13.3111 * CHOOSE(CONTROL!$C$32, $C$9, 100%, $E$9)</f>
        <v>13.3111</v>
      </c>
      <c r="I416" s="11">
        <f>13.3153 * CHOOSE(CONTROL!$C$32, $C$9, 100%, $E$9)</f>
        <v>13.315300000000001</v>
      </c>
      <c r="J416" s="11">
        <f>13.3111 * CHOOSE(CONTROL!$C$32, $C$9, 100%, $E$9)</f>
        <v>13.3111</v>
      </c>
      <c r="K416" s="11">
        <f>13.3153 * CHOOSE(CONTROL!$C$32, $C$9, 100%, $E$9)</f>
        <v>13.315300000000001</v>
      </c>
      <c r="L416" s="11">
        <f>6.9223 * CHOOSE(CONTROL!$C$32, $C$9, 100%, $E$9)</f>
        <v>6.9222999999999999</v>
      </c>
      <c r="M416" s="11">
        <f>6.9265 * CHOOSE(CONTROL!$C$32, $C$9, 100%, $E$9)</f>
        <v>6.9264999999999999</v>
      </c>
      <c r="N416" s="11">
        <f>6.9223 * CHOOSE(CONTROL!$C$32, $C$9, 100%, $E$9)</f>
        <v>6.9222999999999999</v>
      </c>
      <c r="O416" s="11">
        <f>6.9265 * CHOOSE(CONTROL!$C$32, $C$9, 100%, $E$9)</f>
        <v>6.9264999999999999</v>
      </c>
    </row>
    <row r="417" spans="1:15" ht="15" x14ac:dyDescent="0.2">
      <c r="A417" s="13">
        <v>53540</v>
      </c>
      <c r="B417" s="9">
        <f>6.1193 * CHOOSE(CONTROL!$C$32, $C$9, 100%, $E$9)</f>
        <v>6.1193</v>
      </c>
      <c r="C417" s="9">
        <f>6.1193 * CHOOSE(CONTROL!$C$32, $C$9, 100%, $E$9)</f>
        <v>6.1193</v>
      </c>
      <c r="D417" s="9">
        <f>6.1206 * CHOOSE(CONTROL!$C$32, $C$9, 100%, $E$9)</f>
        <v>6.1205999999999996</v>
      </c>
      <c r="E417" s="11">
        <f>6.7942 * CHOOSE(CONTROL!$C$32, $C$9, 100%, $E$9)</f>
        <v>6.7942</v>
      </c>
      <c r="F417" s="11">
        <f>6.7942 * CHOOSE(CONTROL!$C$32, $C$9, 100%, $E$9)</f>
        <v>6.7942</v>
      </c>
      <c r="G417" s="11">
        <f>6.7984 * CHOOSE(CONTROL!$C$32, $C$9, 100%, $E$9)</f>
        <v>6.7984</v>
      </c>
      <c r="H417" s="11">
        <f>13.3388 * CHOOSE(CONTROL!$C$32, $C$9, 100%, $E$9)</f>
        <v>13.338800000000001</v>
      </c>
      <c r="I417" s="11">
        <f>13.343 * CHOOSE(CONTROL!$C$32, $C$9, 100%, $E$9)</f>
        <v>13.343</v>
      </c>
      <c r="J417" s="11">
        <f>13.3388 * CHOOSE(CONTROL!$C$32, $C$9, 100%, $E$9)</f>
        <v>13.338800000000001</v>
      </c>
      <c r="K417" s="11">
        <f>13.343 * CHOOSE(CONTROL!$C$32, $C$9, 100%, $E$9)</f>
        <v>13.343</v>
      </c>
      <c r="L417" s="11">
        <f>6.7942 * CHOOSE(CONTROL!$C$32, $C$9, 100%, $E$9)</f>
        <v>6.7942</v>
      </c>
      <c r="M417" s="11">
        <f>6.7984 * CHOOSE(CONTROL!$C$32, $C$9, 100%, $E$9)</f>
        <v>6.7984</v>
      </c>
      <c r="N417" s="11">
        <f>6.7942 * CHOOSE(CONTROL!$C$32, $C$9, 100%, $E$9)</f>
        <v>6.7942</v>
      </c>
      <c r="O417" s="11">
        <f>6.7984 * CHOOSE(CONTROL!$C$32, $C$9, 100%, $E$9)</f>
        <v>6.7984</v>
      </c>
    </row>
    <row r="418" spans="1:15" ht="15" x14ac:dyDescent="0.2">
      <c r="A418" s="13">
        <v>53571</v>
      </c>
      <c r="B418" s="9">
        <f>6.1163 * CHOOSE(CONTROL!$C$32, $C$9, 100%, $E$9)</f>
        <v>6.1162999999999998</v>
      </c>
      <c r="C418" s="9">
        <f>6.1163 * CHOOSE(CONTROL!$C$32, $C$9, 100%, $E$9)</f>
        <v>6.1162999999999998</v>
      </c>
      <c r="D418" s="9">
        <f>6.1175 * CHOOSE(CONTROL!$C$32, $C$9, 100%, $E$9)</f>
        <v>6.1174999999999997</v>
      </c>
      <c r="E418" s="11">
        <f>6.7774 * CHOOSE(CONTROL!$C$32, $C$9, 100%, $E$9)</f>
        <v>6.7774000000000001</v>
      </c>
      <c r="F418" s="11">
        <f>6.7774 * CHOOSE(CONTROL!$C$32, $C$9, 100%, $E$9)</f>
        <v>6.7774000000000001</v>
      </c>
      <c r="G418" s="11">
        <f>6.7816 * CHOOSE(CONTROL!$C$32, $C$9, 100%, $E$9)</f>
        <v>6.7816000000000001</v>
      </c>
      <c r="H418" s="11">
        <f>13.3666 * CHOOSE(CONTROL!$C$32, $C$9, 100%, $E$9)</f>
        <v>13.3666</v>
      </c>
      <c r="I418" s="11">
        <f>13.3708 * CHOOSE(CONTROL!$C$32, $C$9, 100%, $E$9)</f>
        <v>13.370799999999999</v>
      </c>
      <c r="J418" s="11">
        <f>13.3666 * CHOOSE(CONTROL!$C$32, $C$9, 100%, $E$9)</f>
        <v>13.3666</v>
      </c>
      <c r="K418" s="11">
        <f>13.3708 * CHOOSE(CONTROL!$C$32, $C$9, 100%, $E$9)</f>
        <v>13.370799999999999</v>
      </c>
      <c r="L418" s="11">
        <f>6.7774 * CHOOSE(CONTROL!$C$32, $C$9, 100%, $E$9)</f>
        <v>6.7774000000000001</v>
      </c>
      <c r="M418" s="11">
        <f>6.7816 * CHOOSE(CONTROL!$C$32, $C$9, 100%, $E$9)</f>
        <v>6.7816000000000001</v>
      </c>
      <c r="N418" s="11">
        <f>6.7774 * CHOOSE(CONTROL!$C$32, $C$9, 100%, $E$9)</f>
        <v>6.7774000000000001</v>
      </c>
      <c r="O418" s="11">
        <f>6.7816 * CHOOSE(CONTROL!$C$32, $C$9, 100%, $E$9)</f>
        <v>6.7816000000000001</v>
      </c>
    </row>
    <row r="419" spans="1:15" ht="15" x14ac:dyDescent="0.2">
      <c r="A419" s="13">
        <v>53601</v>
      </c>
      <c r="B419" s="9">
        <f>6.1192 * CHOOSE(CONTROL!$C$32, $C$9, 100%, $E$9)</f>
        <v>6.1192000000000002</v>
      </c>
      <c r="C419" s="9">
        <f>6.1192 * CHOOSE(CONTROL!$C$32, $C$9, 100%, $E$9)</f>
        <v>6.1192000000000002</v>
      </c>
      <c r="D419" s="9">
        <f>6.1201 * CHOOSE(CONTROL!$C$32, $C$9, 100%, $E$9)</f>
        <v>6.1200999999999999</v>
      </c>
      <c r="E419" s="11">
        <f>6.8229 * CHOOSE(CONTROL!$C$32, $C$9, 100%, $E$9)</f>
        <v>6.8228999999999997</v>
      </c>
      <c r="F419" s="11">
        <f>6.8229 * CHOOSE(CONTROL!$C$32, $C$9, 100%, $E$9)</f>
        <v>6.8228999999999997</v>
      </c>
      <c r="G419" s="11">
        <f>6.8262 * CHOOSE(CONTROL!$C$32, $C$9, 100%, $E$9)</f>
        <v>6.8262</v>
      </c>
      <c r="H419" s="11">
        <f>13.3945 * CHOOSE(CONTROL!$C$32, $C$9, 100%, $E$9)</f>
        <v>13.394500000000001</v>
      </c>
      <c r="I419" s="11">
        <f>13.3977 * CHOOSE(CONTROL!$C$32, $C$9, 100%, $E$9)</f>
        <v>13.3977</v>
      </c>
      <c r="J419" s="11">
        <f>13.3945 * CHOOSE(CONTROL!$C$32, $C$9, 100%, $E$9)</f>
        <v>13.394500000000001</v>
      </c>
      <c r="K419" s="11">
        <f>13.3977 * CHOOSE(CONTROL!$C$32, $C$9, 100%, $E$9)</f>
        <v>13.3977</v>
      </c>
      <c r="L419" s="11">
        <f>6.8229 * CHOOSE(CONTROL!$C$32, $C$9, 100%, $E$9)</f>
        <v>6.8228999999999997</v>
      </c>
      <c r="M419" s="11">
        <f>6.8262 * CHOOSE(CONTROL!$C$32, $C$9, 100%, $E$9)</f>
        <v>6.8262</v>
      </c>
      <c r="N419" s="11">
        <f>6.8229 * CHOOSE(CONTROL!$C$32, $C$9, 100%, $E$9)</f>
        <v>6.8228999999999997</v>
      </c>
      <c r="O419" s="11">
        <f>6.8262 * CHOOSE(CONTROL!$C$32, $C$9, 100%, $E$9)</f>
        <v>6.8262</v>
      </c>
    </row>
    <row r="420" spans="1:15" ht="15" x14ac:dyDescent="0.2">
      <c r="A420" s="13">
        <v>53632</v>
      </c>
      <c r="B420" s="9">
        <f>6.1222 * CHOOSE(CONTROL!$C$32, $C$9, 100%, $E$9)</f>
        <v>6.1222000000000003</v>
      </c>
      <c r="C420" s="9">
        <f>6.1222 * CHOOSE(CONTROL!$C$32, $C$9, 100%, $E$9)</f>
        <v>6.1222000000000003</v>
      </c>
      <c r="D420" s="9">
        <f>6.1232 * CHOOSE(CONTROL!$C$32, $C$9, 100%, $E$9)</f>
        <v>6.1231999999999998</v>
      </c>
      <c r="E420" s="11">
        <f>6.8545 * CHOOSE(CONTROL!$C$32, $C$9, 100%, $E$9)</f>
        <v>6.8544999999999998</v>
      </c>
      <c r="F420" s="11">
        <f>6.8545 * CHOOSE(CONTROL!$C$32, $C$9, 100%, $E$9)</f>
        <v>6.8544999999999998</v>
      </c>
      <c r="G420" s="11">
        <f>6.8578 * CHOOSE(CONTROL!$C$32, $C$9, 100%, $E$9)</f>
        <v>6.8578000000000001</v>
      </c>
      <c r="H420" s="11">
        <f>13.4224 * CHOOSE(CONTROL!$C$32, $C$9, 100%, $E$9)</f>
        <v>13.4224</v>
      </c>
      <c r="I420" s="11">
        <f>13.4256 * CHOOSE(CONTROL!$C$32, $C$9, 100%, $E$9)</f>
        <v>13.425599999999999</v>
      </c>
      <c r="J420" s="11">
        <f>13.4224 * CHOOSE(CONTROL!$C$32, $C$9, 100%, $E$9)</f>
        <v>13.4224</v>
      </c>
      <c r="K420" s="11">
        <f>13.4256 * CHOOSE(CONTROL!$C$32, $C$9, 100%, $E$9)</f>
        <v>13.425599999999999</v>
      </c>
      <c r="L420" s="11">
        <f>6.8545 * CHOOSE(CONTROL!$C$32, $C$9, 100%, $E$9)</f>
        <v>6.8544999999999998</v>
      </c>
      <c r="M420" s="11">
        <f>6.8578 * CHOOSE(CONTROL!$C$32, $C$9, 100%, $E$9)</f>
        <v>6.8578000000000001</v>
      </c>
      <c r="N420" s="11">
        <f>6.8545 * CHOOSE(CONTROL!$C$32, $C$9, 100%, $E$9)</f>
        <v>6.8544999999999998</v>
      </c>
      <c r="O420" s="11">
        <f>6.8578 * CHOOSE(CONTROL!$C$32, $C$9, 100%, $E$9)</f>
        <v>6.8578000000000001</v>
      </c>
    </row>
    <row r="421" spans="1:15" ht="15" x14ac:dyDescent="0.2">
      <c r="A421" s="13">
        <v>53662</v>
      </c>
      <c r="B421" s="9">
        <f>6.1222 * CHOOSE(CONTROL!$C$32, $C$9, 100%, $E$9)</f>
        <v>6.1222000000000003</v>
      </c>
      <c r="C421" s="9">
        <f>6.1222 * CHOOSE(CONTROL!$C$32, $C$9, 100%, $E$9)</f>
        <v>6.1222000000000003</v>
      </c>
      <c r="D421" s="9">
        <f>6.1232 * CHOOSE(CONTROL!$C$32, $C$9, 100%, $E$9)</f>
        <v>6.1231999999999998</v>
      </c>
      <c r="E421" s="11">
        <f>6.7808 * CHOOSE(CONTROL!$C$32, $C$9, 100%, $E$9)</f>
        <v>6.7808000000000002</v>
      </c>
      <c r="F421" s="11">
        <f>6.7808 * CHOOSE(CONTROL!$C$32, $C$9, 100%, $E$9)</f>
        <v>6.7808000000000002</v>
      </c>
      <c r="G421" s="11">
        <f>6.784 * CHOOSE(CONTROL!$C$32, $C$9, 100%, $E$9)</f>
        <v>6.7839999999999998</v>
      </c>
      <c r="H421" s="11">
        <f>13.4503 * CHOOSE(CONTROL!$C$32, $C$9, 100%, $E$9)</f>
        <v>13.4503</v>
      </c>
      <c r="I421" s="11">
        <f>13.4536 * CHOOSE(CONTROL!$C$32, $C$9, 100%, $E$9)</f>
        <v>13.4536</v>
      </c>
      <c r="J421" s="11">
        <f>13.4503 * CHOOSE(CONTROL!$C$32, $C$9, 100%, $E$9)</f>
        <v>13.4503</v>
      </c>
      <c r="K421" s="11">
        <f>13.4536 * CHOOSE(CONTROL!$C$32, $C$9, 100%, $E$9)</f>
        <v>13.4536</v>
      </c>
      <c r="L421" s="11">
        <f>6.7808 * CHOOSE(CONTROL!$C$32, $C$9, 100%, $E$9)</f>
        <v>6.7808000000000002</v>
      </c>
      <c r="M421" s="11">
        <f>6.784 * CHOOSE(CONTROL!$C$32, $C$9, 100%, $E$9)</f>
        <v>6.7839999999999998</v>
      </c>
      <c r="N421" s="11">
        <f>6.7808 * CHOOSE(CONTROL!$C$32, $C$9, 100%, $E$9)</f>
        <v>6.7808000000000002</v>
      </c>
      <c r="O421" s="11">
        <f>6.784 * CHOOSE(CONTROL!$C$32, $C$9, 100%, $E$9)</f>
        <v>6.7839999999999998</v>
      </c>
    </row>
    <row r="422" spans="1:15" ht="15" x14ac:dyDescent="0.2">
      <c r="A422" s="13">
        <v>53693</v>
      </c>
      <c r="B422" s="9">
        <f>6.169 * CHOOSE(CONTROL!$C$32, $C$9, 100%, $E$9)</f>
        <v>6.1689999999999996</v>
      </c>
      <c r="C422" s="9">
        <f>6.169 * CHOOSE(CONTROL!$C$32, $C$9, 100%, $E$9)</f>
        <v>6.1689999999999996</v>
      </c>
      <c r="D422" s="9">
        <f>6.1699 * CHOOSE(CONTROL!$C$32, $C$9, 100%, $E$9)</f>
        <v>6.1699000000000002</v>
      </c>
      <c r="E422" s="11">
        <f>6.8599 * CHOOSE(CONTROL!$C$32, $C$9, 100%, $E$9)</f>
        <v>6.8598999999999997</v>
      </c>
      <c r="F422" s="11">
        <f>6.8599 * CHOOSE(CONTROL!$C$32, $C$9, 100%, $E$9)</f>
        <v>6.8598999999999997</v>
      </c>
      <c r="G422" s="11">
        <f>6.8632 * CHOOSE(CONTROL!$C$32, $C$9, 100%, $E$9)</f>
        <v>6.8632</v>
      </c>
      <c r="H422" s="11">
        <f>13.4784 * CHOOSE(CONTROL!$C$32, $C$9, 100%, $E$9)</f>
        <v>13.478400000000001</v>
      </c>
      <c r="I422" s="11">
        <f>13.4816 * CHOOSE(CONTROL!$C$32, $C$9, 100%, $E$9)</f>
        <v>13.4816</v>
      </c>
      <c r="J422" s="11">
        <f>13.4784 * CHOOSE(CONTROL!$C$32, $C$9, 100%, $E$9)</f>
        <v>13.478400000000001</v>
      </c>
      <c r="K422" s="11">
        <f>13.4816 * CHOOSE(CONTROL!$C$32, $C$9, 100%, $E$9)</f>
        <v>13.4816</v>
      </c>
      <c r="L422" s="11">
        <f>6.8599 * CHOOSE(CONTROL!$C$32, $C$9, 100%, $E$9)</f>
        <v>6.8598999999999997</v>
      </c>
      <c r="M422" s="11">
        <f>6.8632 * CHOOSE(CONTROL!$C$32, $C$9, 100%, $E$9)</f>
        <v>6.8632</v>
      </c>
      <c r="N422" s="11">
        <f>6.8599 * CHOOSE(CONTROL!$C$32, $C$9, 100%, $E$9)</f>
        <v>6.8598999999999997</v>
      </c>
      <c r="O422" s="11">
        <f>6.8632 * CHOOSE(CONTROL!$C$32, $C$9, 100%, $E$9)</f>
        <v>6.8632</v>
      </c>
    </row>
    <row r="423" spans="1:15" ht="15" x14ac:dyDescent="0.2">
      <c r="A423" s="13">
        <v>53724</v>
      </c>
      <c r="B423" s="9">
        <f>6.1659 * CHOOSE(CONTROL!$C$32, $C$9, 100%, $E$9)</f>
        <v>6.1658999999999997</v>
      </c>
      <c r="C423" s="9">
        <f>6.1659 * CHOOSE(CONTROL!$C$32, $C$9, 100%, $E$9)</f>
        <v>6.1658999999999997</v>
      </c>
      <c r="D423" s="9">
        <f>6.1669 * CHOOSE(CONTROL!$C$32, $C$9, 100%, $E$9)</f>
        <v>6.1669</v>
      </c>
      <c r="E423" s="11">
        <f>6.7139 * CHOOSE(CONTROL!$C$32, $C$9, 100%, $E$9)</f>
        <v>6.7138999999999998</v>
      </c>
      <c r="F423" s="11">
        <f>6.7139 * CHOOSE(CONTROL!$C$32, $C$9, 100%, $E$9)</f>
        <v>6.7138999999999998</v>
      </c>
      <c r="G423" s="11">
        <f>6.7172 * CHOOSE(CONTROL!$C$32, $C$9, 100%, $E$9)</f>
        <v>6.7172000000000001</v>
      </c>
      <c r="H423" s="11">
        <f>13.5064 * CHOOSE(CONTROL!$C$32, $C$9, 100%, $E$9)</f>
        <v>13.506399999999999</v>
      </c>
      <c r="I423" s="11">
        <f>13.5097 * CHOOSE(CONTROL!$C$32, $C$9, 100%, $E$9)</f>
        <v>13.5097</v>
      </c>
      <c r="J423" s="11">
        <f>13.5064 * CHOOSE(CONTROL!$C$32, $C$9, 100%, $E$9)</f>
        <v>13.506399999999999</v>
      </c>
      <c r="K423" s="11">
        <f>13.5097 * CHOOSE(CONTROL!$C$32, $C$9, 100%, $E$9)</f>
        <v>13.5097</v>
      </c>
      <c r="L423" s="11">
        <f>6.7139 * CHOOSE(CONTROL!$C$32, $C$9, 100%, $E$9)</f>
        <v>6.7138999999999998</v>
      </c>
      <c r="M423" s="11">
        <f>6.7172 * CHOOSE(CONTROL!$C$32, $C$9, 100%, $E$9)</f>
        <v>6.7172000000000001</v>
      </c>
      <c r="N423" s="11">
        <f>6.7139 * CHOOSE(CONTROL!$C$32, $C$9, 100%, $E$9)</f>
        <v>6.7138999999999998</v>
      </c>
      <c r="O423" s="11">
        <f>6.7172 * CHOOSE(CONTROL!$C$32, $C$9, 100%, $E$9)</f>
        <v>6.7172000000000001</v>
      </c>
    </row>
    <row r="424" spans="1:15" ht="15" x14ac:dyDescent="0.2">
      <c r="A424" s="13">
        <v>53752</v>
      </c>
      <c r="B424" s="9">
        <f>6.1629 * CHOOSE(CONTROL!$C$32, $C$9, 100%, $E$9)</f>
        <v>6.1628999999999996</v>
      </c>
      <c r="C424" s="9">
        <f>6.1629 * CHOOSE(CONTROL!$C$32, $C$9, 100%, $E$9)</f>
        <v>6.1628999999999996</v>
      </c>
      <c r="D424" s="9">
        <f>6.1638 * CHOOSE(CONTROL!$C$32, $C$9, 100%, $E$9)</f>
        <v>6.1638000000000002</v>
      </c>
      <c r="E424" s="11">
        <f>6.8253 * CHOOSE(CONTROL!$C$32, $C$9, 100%, $E$9)</f>
        <v>6.8253000000000004</v>
      </c>
      <c r="F424" s="11">
        <f>6.8253 * CHOOSE(CONTROL!$C$32, $C$9, 100%, $E$9)</f>
        <v>6.8253000000000004</v>
      </c>
      <c r="G424" s="11">
        <f>6.8285 * CHOOSE(CONTROL!$C$32, $C$9, 100%, $E$9)</f>
        <v>6.8285</v>
      </c>
      <c r="H424" s="11">
        <f>13.5346 * CHOOSE(CONTROL!$C$32, $C$9, 100%, $E$9)</f>
        <v>13.534599999999999</v>
      </c>
      <c r="I424" s="11">
        <f>13.5378 * CHOOSE(CONTROL!$C$32, $C$9, 100%, $E$9)</f>
        <v>13.537800000000001</v>
      </c>
      <c r="J424" s="11">
        <f>13.5346 * CHOOSE(CONTROL!$C$32, $C$9, 100%, $E$9)</f>
        <v>13.534599999999999</v>
      </c>
      <c r="K424" s="11">
        <f>13.5378 * CHOOSE(CONTROL!$C$32, $C$9, 100%, $E$9)</f>
        <v>13.537800000000001</v>
      </c>
      <c r="L424" s="11">
        <f>6.8253 * CHOOSE(CONTROL!$C$32, $C$9, 100%, $E$9)</f>
        <v>6.8253000000000004</v>
      </c>
      <c r="M424" s="11">
        <f>6.8285 * CHOOSE(CONTROL!$C$32, $C$9, 100%, $E$9)</f>
        <v>6.8285</v>
      </c>
      <c r="N424" s="11">
        <f>6.8253 * CHOOSE(CONTROL!$C$32, $C$9, 100%, $E$9)</f>
        <v>6.8253000000000004</v>
      </c>
      <c r="O424" s="11">
        <f>6.8285 * CHOOSE(CONTROL!$C$32, $C$9, 100%, $E$9)</f>
        <v>6.8285</v>
      </c>
    </row>
    <row r="425" spans="1:15" ht="15" x14ac:dyDescent="0.2">
      <c r="A425" s="13">
        <v>53783</v>
      </c>
      <c r="B425" s="9">
        <f>6.1626 * CHOOSE(CONTROL!$C$32, $C$9, 100%, $E$9)</f>
        <v>6.1626000000000003</v>
      </c>
      <c r="C425" s="9">
        <f>6.1626 * CHOOSE(CONTROL!$C$32, $C$9, 100%, $E$9)</f>
        <v>6.1626000000000003</v>
      </c>
      <c r="D425" s="9">
        <f>6.1636 * CHOOSE(CONTROL!$C$32, $C$9, 100%, $E$9)</f>
        <v>6.1635999999999997</v>
      </c>
      <c r="E425" s="11">
        <f>6.9428 * CHOOSE(CONTROL!$C$32, $C$9, 100%, $E$9)</f>
        <v>6.9428000000000001</v>
      </c>
      <c r="F425" s="11">
        <f>6.9428 * CHOOSE(CONTROL!$C$32, $C$9, 100%, $E$9)</f>
        <v>6.9428000000000001</v>
      </c>
      <c r="G425" s="11">
        <f>6.9461 * CHOOSE(CONTROL!$C$32, $C$9, 100%, $E$9)</f>
        <v>6.9461000000000004</v>
      </c>
      <c r="H425" s="11">
        <f>13.5628 * CHOOSE(CONTROL!$C$32, $C$9, 100%, $E$9)</f>
        <v>13.562799999999999</v>
      </c>
      <c r="I425" s="11">
        <f>13.566 * CHOOSE(CONTROL!$C$32, $C$9, 100%, $E$9)</f>
        <v>13.566000000000001</v>
      </c>
      <c r="J425" s="11">
        <f>13.5628 * CHOOSE(CONTROL!$C$32, $C$9, 100%, $E$9)</f>
        <v>13.562799999999999</v>
      </c>
      <c r="K425" s="11">
        <f>13.566 * CHOOSE(CONTROL!$C$32, $C$9, 100%, $E$9)</f>
        <v>13.566000000000001</v>
      </c>
      <c r="L425" s="11">
        <f>6.9428 * CHOOSE(CONTROL!$C$32, $C$9, 100%, $E$9)</f>
        <v>6.9428000000000001</v>
      </c>
      <c r="M425" s="11">
        <f>6.9461 * CHOOSE(CONTROL!$C$32, $C$9, 100%, $E$9)</f>
        <v>6.9461000000000004</v>
      </c>
      <c r="N425" s="11">
        <f>6.9428 * CHOOSE(CONTROL!$C$32, $C$9, 100%, $E$9)</f>
        <v>6.9428000000000001</v>
      </c>
      <c r="O425" s="11">
        <f>6.9461 * CHOOSE(CONTROL!$C$32, $C$9, 100%, $E$9)</f>
        <v>6.9461000000000004</v>
      </c>
    </row>
    <row r="426" spans="1:15" ht="15" x14ac:dyDescent="0.2">
      <c r="A426" s="13">
        <v>53813</v>
      </c>
      <c r="B426" s="9">
        <f>6.1626 * CHOOSE(CONTROL!$C$32, $C$9, 100%, $E$9)</f>
        <v>6.1626000000000003</v>
      </c>
      <c r="C426" s="9">
        <f>6.1626 * CHOOSE(CONTROL!$C$32, $C$9, 100%, $E$9)</f>
        <v>6.1626000000000003</v>
      </c>
      <c r="D426" s="9">
        <f>6.1639 * CHOOSE(CONTROL!$C$32, $C$9, 100%, $E$9)</f>
        <v>6.1638999999999999</v>
      </c>
      <c r="E426" s="11">
        <f>6.9885 * CHOOSE(CONTROL!$C$32, $C$9, 100%, $E$9)</f>
        <v>6.9885000000000002</v>
      </c>
      <c r="F426" s="11">
        <f>6.9885 * CHOOSE(CONTROL!$C$32, $C$9, 100%, $E$9)</f>
        <v>6.9885000000000002</v>
      </c>
      <c r="G426" s="11">
        <f>6.9927 * CHOOSE(CONTROL!$C$32, $C$9, 100%, $E$9)</f>
        <v>6.9927000000000001</v>
      </c>
      <c r="H426" s="11">
        <f>13.591 * CHOOSE(CONTROL!$C$32, $C$9, 100%, $E$9)</f>
        <v>13.590999999999999</v>
      </c>
      <c r="I426" s="11">
        <f>13.5952 * CHOOSE(CONTROL!$C$32, $C$9, 100%, $E$9)</f>
        <v>13.5952</v>
      </c>
      <c r="J426" s="11">
        <f>13.591 * CHOOSE(CONTROL!$C$32, $C$9, 100%, $E$9)</f>
        <v>13.590999999999999</v>
      </c>
      <c r="K426" s="11">
        <f>13.5952 * CHOOSE(CONTROL!$C$32, $C$9, 100%, $E$9)</f>
        <v>13.5952</v>
      </c>
      <c r="L426" s="11">
        <f>6.9885 * CHOOSE(CONTROL!$C$32, $C$9, 100%, $E$9)</f>
        <v>6.9885000000000002</v>
      </c>
      <c r="M426" s="11">
        <f>6.9927 * CHOOSE(CONTROL!$C$32, $C$9, 100%, $E$9)</f>
        <v>6.9927000000000001</v>
      </c>
      <c r="N426" s="11">
        <f>6.9885 * CHOOSE(CONTROL!$C$32, $C$9, 100%, $E$9)</f>
        <v>6.9885000000000002</v>
      </c>
      <c r="O426" s="11">
        <f>6.9927 * CHOOSE(CONTROL!$C$32, $C$9, 100%, $E$9)</f>
        <v>6.9927000000000001</v>
      </c>
    </row>
    <row r="427" spans="1:15" ht="15" x14ac:dyDescent="0.2">
      <c r="A427" s="13">
        <v>53844</v>
      </c>
      <c r="B427" s="9">
        <f>6.1687 * CHOOSE(CONTROL!$C$32, $C$9, 100%, $E$9)</f>
        <v>6.1687000000000003</v>
      </c>
      <c r="C427" s="9">
        <f>6.1687 * CHOOSE(CONTROL!$C$32, $C$9, 100%, $E$9)</f>
        <v>6.1687000000000003</v>
      </c>
      <c r="D427" s="9">
        <f>6.17 * CHOOSE(CONTROL!$C$32, $C$9, 100%, $E$9)</f>
        <v>6.17</v>
      </c>
      <c r="E427" s="11">
        <f>6.9471 * CHOOSE(CONTROL!$C$32, $C$9, 100%, $E$9)</f>
        <v>6.9470999999999998</v>
      </c>
      <c r="F427" s="11">
        <f>6.9471 * CHOOSE(CONTROL!$C$32, $C$9, 100%, $E$9)</f>
        <v>6.9470999999999998</v>
      </c>
      <c r="G427" s="11">
        <f>6.9513 * CHOOSE(CONTROL!$C$32, $C$9, 100%, $E$9)</f>
        <v>6.9512999999999998</v>
      </c>
      <c r="H427" s="11">
        <f>13.6194 * CHOOSE(CONTROL!$C$32, $C$9, 100%, $E$9)</f>
        <v>13.619400000000001</v>
      </c>
      <c r="I427" s="11">
        <f>13.6236 * CHOOSE(CONTROL!$C$32, $C$9, 100%, $E$9)</f>
        <v>13.6236</v>
      </c>
      <c r="J427" s="11">
        <f>13.6194 * CHOOSE(CONTROL!$C$32, $C$9, 100%, $E$9)</f>
        <v>13.619400000000001</v>
      </c>
      <c r="K427" s="11">
        <f>13.6236 * CHOOSE(CONTROL!$C$32, $C$9, 100%, $E$9)</f>
        <v>13.6236</v>
      </c>
      <c r="L427" s="11">
        <f>6.9471 * CHOOSE(CONTROL!$C$32, $C$9, 100%, $E$9)</f>
        <v>6.9470999999999998</v>
      </c>
      <c r="M427" s="11">
        <f>6.9513 * CHOOSE(CONTROL!$C$32, $C$9, 100%, $E$9)</f>
        <v>6.9512999999999998</v>
      </c>
      <c r="N427" s="11">
        <f>6.9471 * CHOOSE(CONTROL!$C$32, $C$9, 100%, $E$9)</f>
        <v>6.9470999999999998</v>
      </c>
      <c r="O427" s="11">
        <f>6.9513 * CHOOSE(CONTROL!$C$32, $C$9, 100%, $E$9)</f>
        <v>6.9512999999999998</v>
      </c>
    </row>
    <row r="428" spans="1:15" ht="15" x14ac:dyDescent="0.2">
      <c r="A428" s="13">
        <v>53874</v>
      </c>
      <c r="B428" s="9">
        <f>6.251 * CHOOSE(CONTROL!$C$32, $C$9, 100%, $E$9)</f>
        <v>6.2510000000000003</v>
      </c>
      <c r="C428" s="9">
        <f>6.251 * CHOOSE(CONTROL!$C$32, $C$9, 100%, $E$9)</f>
        <v>6.2510000000000003</v>
      </c>
      <c r="D428" s="9">
        <f>6.2523 * CHOOSE(CONTROL!$C$32, $C$9, 100%, $E$9)</f>
        <v>6.2523</v>
      </c>
      <c r="E428" s="11">
        <f>6.9692 * CHOOSE(CONTROL!$C$32, $C$9, 100%, $E$9)</f>
        <v>6.9691999999999998</v>
      </c>
      <c r="F428" s="11">
        <f>6.9692 * CHOOSE(CONTROL!$C$32, $C$9, 100%, $E$9)</f>
        <v>6.9691999999999998</v>
      </c>
      <c r="G428" s="11">
        <f>6.9734 * CHOOSE(CONTROL!$C$32, $C$9, 100%, $E$9)</f>
        <v>6.9733999999999998</v>
      </c>
      <c r="H428" s="11">
        <f>13.6477 * CHOOSE(CONTROL!$C$32, $C$9, 100%, $E$9)</f>
        <v>13.6477</v>
      </c>
      <c r="I428" s="11">
        <f>13.6519 * CHOOSE(CONTROL!$C$32, $C$9, 100%, $E$9)</f>
        <v>13.651899999999999</v>
      </c>
      <c r="J428" s="11">
        <f>13.6477 * CHOOSE(CONTROL!$C$32, $C$9, 100%, $E$9)</f>
        <v>13.6477</v>
      </c>
      <c r="K428" s="11">
        <f>13.6519 * CHOOSE(CONTROL!$C$32, $C$9, 100%, $E$9)</f>
        <v>13.651899999999999</v>
      </c>
      <c r="L428" s="11">
        <f>6.9692 * CHOOSE(CONTROL!$C$32, $C$9, 100%, $E$9)</f>
        <v>6.9691999999999998</v>
      </c>
      <c r="M428" s="11">
        <f>6.9734 * CHOOSE(CONTROL!$C$32, $C$9, 100%, $E$9)</f>
        <v>6.9733999999999998</v>
      </c>
      <c r="N428" s="11">
        <f>6.9692 * CHOOSE(CONTROL!$C$32, $C$9, 100%, $E$9)</f>
        <v>6.9691999999999998</v>
      </c>
      <c r="O428" s="11">
        <f>6.9734 * CHOOSE(CONTROL!$C$32, $C$9, 100%, $E$9)</f>
        <v>6.9733999999999998</v>
      </c>
    </row>
    <row r="429" spans="1:15" ht="15" x14ac:dyDescent="0.2">
      <c r="A429" s="13">
        <v>53905</v>
      </c>
      <c r="B429" s="9">
        <f>6.2577 * CHOOSE(CONTROL!$C$32, $C$9, 100%, $E$9)</f>
        <v>6.2576999999999998</v>
      </c>
      <c r="C429" s="9">
        <f>6.2577 * CHOOSE(CONTROL!$C$32, $C$9, 100%, $E$9)</f>
        <v>6.2576999999999998</v>
      </c>
      <c r="D429" s="9">
        <f>6.259 * CHOOSE(CONTROL!$C$32, $C$9, 100%, $E$9)</f>
        <v>6.2590000000000003</v>
      </c>
      <c r="E429" s="11">
        <f>6.8368 * CHOOSE(CONTROL!$C$32, $C$9, 100%, $E$9)</f>
        <v>6.8368000000000002</v>
      </c>
      <c r="F429" s="11">
        <f>6.8368 * CHOOSE(CONTROL!$C$32, $C$9, 100%, $E$9)</f>
        <v>6.8368000000000002</v>
      </c>
      <c r="G429" s="11">
        <f>6.841 * CHOOSE(CONTROL!$C$32, $C$9, 100%, $E$9)</f>
        <v>6.8410000000000002</v>
      </c>
      <c r="H429" s="11">
        <f>13.6762 * CHOOSE(CONTROL!$C$32, $C$9, 100%, $E$9)</f>
        <v>13.6762</v>
      </c>
      <c r="I429" s="11">
        <f>13.6804 * CHOOSE(CONTROL!$C$32, $C$9, 100%, $E$9)</f>
        <v>13.680400000000001</v>
      </c>
      <c r="J429" s="11">
        <f>13.6762 * CHOOSE(CONTROL!$C$32, $C$9, 100%, $E$9)</f>
        <v>13.6762</v>
      </c>
      <c r="K429" s="11">
        <f>13.6804 * CHOOSE(CONTROL!$C$32, $C$9, 100%, $E$9)</f>
        <v>13.680400000000001</v>
      </c>
      <c r="L429" s="11">
        <f>6.8368 * CHOOSE(CONTROL!$C$32, $C$9, 100%, $E$9)</f>
        <v>6.8368000000000002</v>
      </c>
      <c r="M429" s="11">
        <f>6.841 * CHOOSE(CONTROL!$C$32, $C$9, 100%, $E$9)</f>
        <v>6.8410000000000002</v>
      </c>
      <c r="N429" s="11">
        <f>6.8368 * CHOOSE(CONTROL!$C$32, $C$9, 100%, $E$9)</f>
        <v>6.8368000000000002</v>
      </c>
      <c r="O429" s="11">
        <f>6.841 * CHOOSE(CONTROL!$C$32, $C$9, 100%, $E$9)</f>
        <v>6.8410000000000002</v>
      </c>
    </row>
    <row r="430" spans="1:15" ht="15" x14ac:dyDescent="0.2">
      <c r="A430" s="13">
        <v>53936</v>
      </c>
      <c r="B430" s="9">
        <f>6.2547 * CHOOSE(CONTROL!$C$32, $C$9, 100%, $E$9)</f>
        <v>6.2546999999999997</v>
      </c>
      <c r="C430" s="9">
        <f>6.2547 * CHOOSE(CONTROL!$C$32, $C$9, 100%, $E$9)</f>
        <v>6.2546999999999997</v>
      </c>
      <c r="D430" s="9">
        <f>6.2559 * CHOOSE(CONTROL!$C$32, $C$9, 100%, $E$9)</f>
        <v>6.2558999999999996</v>
      </c>
      <c r="E430" s="11">
        <f>6.8195 * CHOOSE(CONTROL!$C$32, $C$9, 100%, $E$9)</f>
        <v>6.8194999999999997</v>
      </c>
      <c r="F430" s="11">
        <f>6.8195 * CHOOSE(CONTROL!$C$32, $C$9, 100%, $E$9)</f>
        <v>6.8194999999999997</v>
      </c>
      <c r="G430" s="11">
        <f>6.8237 * CHOOSE(CONTROL!$C$32, $C$9, 100%, $E$9)</f>
        <v>6.8236999999999997</v>
      </c>
      <c r="H430" s="11">
        <f>13.7046 * CHOOSE(CONTROL!$C$32, $C$9, 100%, $E$9)</f>
        <v>13.704599999999999</v>
      </c>
      <c r="I430" s="11">
        <f>13.7089 * CHOOSE(CONTROL!$C$32, $C$9, 100%, $E$9)</f>
        <v>13.7089</v>
      </c>
      <c r="J430" s="11">
        <f>13.7046 * CHOOSE(CONTROL!$C$32, $C$9, 100%, $E$9)</f>
        <v>13.704599999999999</v>
      </c>
      <c r="K430" s="11">
        <f>13.7089 * CHOOSE(CONTROL!$C$32, $C$9, 100%, $E$9)</f>
        <v>13.7089</v>
      </c>
      <c r="L430" s="11">
        <f>6.8195 * CHOOSE(CONTROL!$C$32, $C$9, 100%, $E$9)</f>
        <v>6.8194999999999997</v>
      </c>
      <c r="M430" s="11">
        <f>6.8237 * CHOOSE(CONTROL!$C$32, $C$9, 100%, $E$9)</f>
        <v>6.8236999999999997</v>
      </c>
      <c r="N430" s="11">
        <f>6.8195 * CHOOSE(CONTROL!$C$32, $C$9, 100%, $E$9)</f>
        <v>6.8194999999999997</v>
      </c>
      <c r="O430" s="11">
        <f>6.8237 * CHOOSE(CONTROL!$C$32, $C$9, 100%, $E$9)</f>
        <v>6.8236999999999997</v>
      </c>
    </row>
    <row r="431" spans="1:15" ht="15" x14ac:dyDescent="0.2">
      <c r="A431" s="13">
        <v>53966</v>
      </c>
      <c r="B431" s="9">
        <f>6.2581 * CHOOSE(CONTROL!$C$32, $C$9, 100%, $E$9)</f>
        <v>6.2580999999999998</v>
      </c>
      <c r="C431" s="9">
        <f>6.2581 * CHOOSE(CONTROL!$C$32, $C$9, 100%, $E$9)</f>
        <v>6.2580999999999998</v>
      </c>
      <c r="D431" s="9">
        <f>6.2591 * CHOOSE(CONTROL!$C$32, $C$9, 100%, $E$9)</f>
        <v>6.2591000000000001</v>
      </c>
      <c r="E431" s="11">
        <f>6.867 * CHOOSE(CONTROL!$C$32, $C$9, 100%, $E$9)</f>
        <v>6.867</v>
      </c>
      <c r="F431" s="11">
        <f>6.867 * CHOOSE(CONTROL!$C$32, $C$9, 100%, $E$9)</f>
        <v>6.867</v>
      </c>
      <c r="G431" s="11">
        <f>6.8702 * CHOOSE(CONTROL!$C$32, $C$9, 100%, $E$9)</f>
        <v>6.8701999999999996</v>
      </c>
      <c r="H431" s="11">
        <f>13.7332 * CHOOSE(CONTROL!$C$32, $C$9, 100%, $E$9)</f>
        <v>13.7332</v>
      </c>
      <c r="I431" s="11">
        <f>13.7364 * CHOOSE(CONTROL!$C$32, $C$9, 100%, $E$9)</f>
        <v>13.7364</v>
      </c>
      <c r="J431" s="11">
        <f>13.7332 * CHOOSE(CONTROL!$C$32, $C$9, 100%, $E$9)</f>
        <v>13.7332</v>
      </c>
      <c r="K431" s="11">
        <f>13.7364 * CHOOSE(CONTROL!$C$32, $C$9, 100%, $E$9)</f>
        <v>13.7364</v>
      </c>
      <c r="L431" s="11">
        <f>6.867 * CHOOSE(CONTROL!$C$32, $C$9, 100%, $E$9)</f>
        <v>6.867</v>
      </c>
      <c r="M431" s="11">
        <f>6.8702 * CHOOSE(CONTROL!$C$32, $C$9, 100%, $E$9)</f>
        <v>6.8701999999999996</v>
      </c>
      <c r="N431" s="11">
        <f>6.867 * CHOOSE(CONTROL!$C$32, $C$9, 100%, $E$9)</f>
        <v>6.867</v>
      </c>
      <c r="O431" s="11">
        <f>6.8702 * CHOOSE(CONTROL!$C$32, $C$9, 100%, $E$9)</f>
        <v>6.8701999999999996</v>
      </c>
    </row>
    <row r="432" spans="1:15" ht="15" x14ac:dyDescent="0.2">
      <c r="A432" s="13">
        <v>53997</v>
      </c>
      <c r="B432" s="9">
        <f>6.2611 * CHOOSE(CONTROL!$C$32, $C$9, 100%, $E$9)</f>
        <v>6.2610999999999999</v>
      </c>
      <c r="C432" s="9">
        <f>6.2611 * CHOOSE(CONTROL!$C$32, $C$9, 100%, $E$9)</f>
        <v>6.2610999999999999</v>
      </c>
      <c r="D432" s="9">
        <f>6.2621 * CHOOSE(CONTROL!$C$32, $C$9, 100%, $E$9)</f>
        <v>6.2621000000000002</v>
      </c>
      <c r="E432" s="11">
        <f>6.8995 * CHOOSE(CONTROL!$C$32, $C$9, 100%, $E$9)</f>
        <v>6.8994999999999997</v>
      </c>
      <c r="F432" s="11">
        <f>6.8995 * CHOOSE(CONTROL!$C$32, $C$9, 100%, $E$9)</f>
        <v>6.8994999999999997</v>
      </c>
      <c r="G432" s="11">
        <f>6.9028 * CHOOSE(CONTROL!$C$32, $C$9, 100%, $E$9)</f>
        <v>6.9028</v>
      </c>
      <c r="H432" s="11">
        <f>13.7618 * CHOOSE(CONTROL!$C$32, $C$9, 100%, $E$9)</f>
        <v>13.761799999999999</v>
      </c>
      <c r="I432" s="11">
        <f>13.765 * CHOOSE(CONTROL!$C$32, $C$9, 100%, $E$9)</f>
        <v>13.765000000000001</v>
      </c>
      <c r="J432" s="11">
        <f>13.7618 * CHOOSE(CONTROL!$C$32, $C$9, 100%, $E$9)</f>
        <v>13.761799999999999</v>
      </c>
      <c r="K432" s="11">
        <f>13.765 * CHOOSE(CONTROL!$C$32, $C$9, 100%, $E$9)</f>
        <v>13.765000000000001</v>
      </c>
      <c r="L432" s="11">
        <f>6.8995 * CHOOSE(CONTROL!$C$32, $C$9, 100%, $E$9)</f>
        <v>6.8994999999999997</v>
      </c>
      <c r="M432" s="11">
        <f>6.9028 * CHOOSE(CONTROL!$C$32, $C$9, 100%, $E$9)</f>
        <v>6.9028</v>
      </c>
      <c r="N432" s="11">
        <f>6.8995 * CHOOSE(CONTROL!$C$32, $C$9, 100%, $E$9)</f>
        <v>6.8994999999999997</v>
      </c>
      <c r="O432" s="11">
        <f>6.9028 * CHOOSE(CONTROL!$C$32, $C$9, 100%, $E$9)</f>
        <v>6.9028</v>
      </c>
    </row>
    <row r="433" spans="1:15" ht="15" x14ac:dyDescent="0.2">
      <c r="A433" s="13">
        <v>54027</v>
      </c>
      <c r="B433" s="9">
        <f>6.2611 * CHOOSE(CONTROL!$C$32, $C$9, 100%, $E$9)</f>
        <v>6.2610999999999999</v>
      </c>
      <c r="C433" s="9">
        <f>6.2611 * CHOOSE(CONTROL!$C$32, $C$9, 100%, $E$9)</f>
        <v>6.2610999999999999</v>
      </c>
      <c r="D433" s="9">
        <f>6.2621 * CHOOSE(CONTROL!$C$32, $C$9, 100%, $E$9)</f>
        <v>6.2621000000000002</v>
      </c>
      <c r="E433" s="11">
        <f>6.8234 * CHOOSE(CONTROL!$C$32, $C$9, 100%, $E$9)</f>
        <v>6.8234000000000004</v>
      </c>
      <c r="F433" s="11">
        <f>6.8234 * CHOOSE(CONTROL!$C$32, $C$9, 100%, $E$9)</f>
        <v>6.8234000000000004</v>
      </c>
      <c r="G433" s="11">
        <f>6.8266 * CHOOSE(CONTROL!$C$32, $C$9, 100%, $E$9)</f>
        <v>6.8266</v>
      </c>
      <c r="H433" s="11">
        <f>13.7905 * CHOOSE(CONTROL!$C$32, $C$9, 100%, $E$9)</f>
        <v>13.7905</v>
      </c>
      <c r="I433" s="11">
        <f>13.7937 * CHOOSE(CONTROL!$C$32, $C$9, 100%, $E$9)</f>
        <v>13.793699999999999</v>
      </c>
      <c r="J433" s="11">
        <f>13.7905 * CHOOSE(CONTROL!$C$32, $C$9, 100%, $E$9)</f>
        <v>13.7905</v>
      </c>
      <c r="K433" s="11">
        <f>13.7937 * CHOOSE(CONTROL!$C$32, $C$9, 100%, $E$9)</f>
        <v>13.793699999999999</v>
      </c>
      <c r="L433" s="11">
        <f>6.8234 * CHOOSE(CONTROL!$C$32, $C$9, 100%, $E$9)</f>
        <v>6.8234000000000004</v>
      </c>
      <c r="M433" s="11">
        <f>6.8266 * CHOOSE(CONTROL!$C$32, $C$9, 100%, $E$9)</f>
        <v>6.8266</v>
      </c>
      <c r="N433" s="11">
        <f>6.8234 * CHOOSE(CONTROL!$C$32, $C$9, 100%, $E$9)</f>
        <v>6.8234000000000004</v>
      </c>
      <c r="O433" s="11">
        <f>6.8266 * CHOOSE(CONTROL!$C$32, $C$9, 100%, $E$9)</f>
        <v>6.8266</v>
      </c>
    </row>
    <row r="434" spans="1:15" ht="15" x14ac:dyDescent="0.2">
      <c r="A434" s="13">
        <v>54058</v>
      </c>
      <c r="B434" s="9">
        <f>6.3089 * CHOOSE(CONTROL!$C$32, $C$9, 100%, $E$9)</f>
        <v>6.3089000000000004</v>
      </c>
      <c r="C434" s="9">
        <f>6.3089 * CHOOSE(CONTROL!$C$32, $C$9, 100%, $E$9)</f>
        <v>6.3089000000000004</v>
      </c>
      <c r="D434" s="9">
        <f>6.3098 * CHOOSE(CONTROL!$C$32, $C$9, 100%, $E$9)</f>
        <v>6.3098000000000001</v>
      </c>
      <c r="E434" s="11">
        <f>6.9051 * CHOOSE(CONTROL!$C$32, $C$9, 100%, $E$9)</f>
        <v>6.9051</v>
      </c>
      <c r="F434" s="11">
        <f>6.9051 * CHOOSE(CONTROL!$C$32, $C$9, 100%, $E$9)</f>
        <v>6.9051</v>
      </c>
      <c r="G434" s="11">
        <f>6.9083 * CHOOSE(CONTROL!$C$32, $C$9, 100%, $E$9)</f>
        <v>6.9082999999999997</v>
      </c>
      <c r="H434" s="11">
        <f>13.8192 * CHOOSE(CONTROL!$C$32, $C$9, 100%, $E$9)</f>
        <v>13.8192</v>
      </c>
      <c r="I434" s="11">
        <f>13.8224 * CHOOSE(CONTROL!$C$32, $C$9, 100%, $E$9)</f>
        <v>13.8224</v>
      </c>
      <c r="J434" s="11">
        <f>13.8192 * CHOOSE(CONTROL!$C$32, $C$9, 100%, $E$9)</f>
        <v>13.8192</v>
      </c>
      <c r="K434" s="11">
        <f>13.8224 * CHOOSE(CONTROL!$C$32, $C$9, 100%, $E$9)</f>
        <v>13.8224</v>
      </c>
      <c r="L434" s="11">
        <f>6.9051 * CHOOSE(CONTROL!$C$32, $C$9, 100%, $E$9)</f>
        <v>6.9051</v>
      </c>
      <c r="M434" s="11">
        <f>6.9083 * CHOOSE(CONTROL!$C$32, $C$9, 100%, $E$9)</f>
        <v>6.9082999999999997</v>
      </c>
      <c r="N434" s="11">
        <f>6.9051 * CHOOSE(CONTROL!$C$32, $C$9, 100%, $E$9)</f>
        <v>6.9051</v>
      </c>
      <c r="O434" s="11">
        <f>6.9083 * CHOOSE(CONTROL!$C$32, $C$9, 100%, $E$9)</f>
        <v>6.9082999999999997</v>
      </c>
    </row>
    <row r="435" spans="1:15" ht="15" x14ac:dyDescent="0.2">
      <c r="A435" s="13">
        <v>54089</v>
      </c>
      <c r="B435" s="9">
        <f>6.3058 * CHOOSE(CONTROL!$C$32, $C$9, 100%, $E$9)</f>
        <v>6.3057999999999996</v>
      </c>
      <c r="C435" s="9">
        <f>6.3058 * CHOOSE(CONTROL!$C$32, $C$9, 100%, $E$9)</f>
        <v>6.3057999999999996</v>
      </c>
      <c r="D435" s="9">
        <f>6.3068 * CHOOSE(CONTROL!$C$32, $C$9, 100%, $E$9)</f>
        <v>6.3068</v>
      </c>
      <c r="E435" s="11">
        <f>6.7544 * CHOOSE(CONTROL!$C$32, $C$9, 100%, $E$9)</f>
        <v>6.7544000000000004</v>
      </c>
      <c r="F435" s="11">
        <f>6.7544 * CHOOSE(CONTROL!$C$32, $C$9, 100%, $E$9)</f>
        <v>6.7544000000000004</v>
      </c>
      <c r="G435" s="11">
        <f>6.7577 * CHOOSE(CONTROL!$C$32, $C$9, 100%, $E$9)</f>
        <v>6.7576999999999998</v>
      </c>
      <c r="H435" s="11">
        <f>13.848 * CHOOSE(CONTROL!$C$32, $C$9, 100%, $E$9)</f>
        <v>13.848000000000001</v>
      </c>
      <c r="I435" s="11">
        <f>13.8512 * CHOOSE(CONTROL!$C$32, $C$9, 100%, $E$9)</f>
        <v>13.8512</v>
      </c>
      <c r="J435" s="11">
        <f>13.848 * CHOOSE(CONTROL!$C$32, $C$9, 100%, $E$9)</f>
        <v>13.848000000000001</v>
      </c>
      <c r="K435" s="11">
        <f>13.8512 * CHOOSE(CONTROL!$C$32, $C$9, 100%, $E$9)</f>
        <v>13.8512</v>
      </c>
      <c r="L435" s="11">
        <f>6.7544 * CHOOSE(CONTROL!$C$32, $C$9, 100%, $E$9)</f>
        <v>6.7544000000000004</v>
      </c>
      <c r="M435" s="11">
        <f>6.7577 * CHOOSE(CONTROL!$C$32, $C$9, 100%, $E$9)</f>
        <v>6.7576999999999998</v>
      </c>
      <c r="N435" s="11">
        <f>6.7544 * CHOOSE(CONTROL!$C$32, $C$9, 100%, $E$9)</f>
        <v>6.7544000000000004</v>
      </c>
      <c r="O435" s="11">
        <f>6.7577 * CHOOSE(CONTROL!$C$32, $C$9, 100%, $E$9)</f>
        <v>6.7576999999999998</v>
      </c>
    </row>
    <row r="436" spans="1:15" ht="15" x14ac:dyDescent="0.2">
      <c r="A436" s="13">
        <v>54118</v>
      </c>
      <c r="B436" s="9">
        <f>6.3028 * CHOOSE(CONTROL!$C$32, $C$9, 100%, $E$9)</f>
        <v>6.3028000000000004</v>
      </c>
      <c r="C436" s="9">
        <f>6.3028 * CHOOSE(CONTROL!$C$32, $C$9, 100%, $E$9)</f>
        <v>6.3028000000000004</v>
      </c>
      <c r="D436" s="9">
        <f>6.3037 * CHOOSE(CONTROL!$C$32, $C$9, 100%, $E$9)</f>
        <v>6.3037000000000001</v>
      </c>
      <c r="E436" s="11">
        <f>6.8694 * CHOOSE(CONTROL!$C$32, $C$9, 100%, $E$9)</f>
        <v>6.8693999999999997</v>
      </c>
      <c r="F436" s="11">
        <f>6.8694 * CHOOSE(CONTROL!$C$32, $C$9, 100%, $E$9)</f>
        <v>6.8693999999999997</v>
      </c>
      <c r="G436" s="11">
        <f>6.8727 * CHOOSE(CONTROL!$C$32, $C$9, 100%, $E$9)</f>
        <v>6.8727</v>
      </c>
      <c r="H436" s="11">
        <f>13.8769 * CHOOSE(CONTROL!$C$32, $C$9, 100%, $E$9)</f>
        <v>13.876899999999999</v>
      </c>
      <c r="I436" s="11">
        <f>13.8801 * CHOOSE(CONTROL!$C$32, $C$9, 100%, $E$9)</f>
        <v>13.880100000000001</v>
      </c>
      <c r="J436" s="11">
        <f>13.8769 * CHOOSE(CONTROL!$C$32, $C$9, 100%, $E$9)</f>
        <v>13.876899999999999</v>
      </c>
      <c r="K436" s="11">
        <f>13.8801 * CHOOSE(CONTROL!$C$32, $C$9, 100%, $E$9)</f>
        <v>13.880100000000001</v>
      </c>
      <c r="L436" s="11">
        <f>6.8694 * CHOOSE(CONTROL!$C$32, $C$9, 100%, $E$9)</f>
        <v>6.8693999999999997</v>
      </c>
      <c r="M436" s="11">
        <f>6.8727 * CHOOSE(CONTROL!$C$32, $C$9, 100%, $E$9)</f>
        <v>6.8727</v>
      </c>
      <c r="N436" s="11">
        <f>6.8694 * CHOOSE(CONTROL!$C$32, $C$9, 100%, $E$9)</f>
        <v>6.8693999999999997</v>
      </c>
      <c r="O436" s="11">
        <f>6.8727 * CHOOSE(CONTROL!$C$32, $C$9, 100%, $E$9)</f>
        <v>6.8727</v>
      </c>
    </row>
    <row r="437" spans="1:15" ht="15" x14ac:dyDescent="0.2">
      <c r="A437" s="13">
        <v>54149</v>
      </c>
      <c r="B437" s="9">
        <f>6.3027 * CHOOSE(CONTROL!$C$32, $C$9, 100%, $E$9)</f>
        <v>6.3026999999999997</v>
      </c>
      <c r="C437" s="9">
        <f>6.3027 * CHOOSE(CONTROL!$C$32, $C$9, 100%, $E$9)</f>
        <v>6.3026999999999997</v>
      </c>
      <c r="D437" s="9">
        <f>6.3036 * CHOOSE(CONTROL!$C$32, $C$9, 100%, $E$9)</f>
        <v>6.3036000000000003</v>
      </c>
      <c r="E437" s="11">
        <f>6.991 * CHOOSE(CONTROL!$C$32, $C$9, 100%, $E$9)</f>
        <v>6.9909999999999997</v>
      </c>
      <c r="F437" s="11">
        <f>6.991 * CHOOSE(CONTROL!$C$32, $C$9, 100%, $E$9)</f>
        <v>6.9909999999999997</v>
      </c>
      <c r="G437" s="11">
        <f>6.9942 * CHOOSE(CONTROL!$C$32, $C$9, 100%, $E$9)</f>
        <v>6.9942000000000002</v>
      </c>
      <c r="H437" s="11">
        <f>13.9058 * CHOOSE(CONTROL!$C$32, $C$9, 100%, $E$9)</f>
        <v>13.905799999999999</v>
      </c>
      <c r="I437" s="11">
        <f>13.909 * CHOOSE(CONTROL!$C$32, $C$9, 100%, $E$9)</f>
        <v>13.909000000000001</v>
      </c>
      <c r="J437" s="11">
        <f>13.9058 * CHOOSE(CONTROL!$C$32, $C$9, 100%, $E$9)</f>
        <v>13.905799999999999</v>
      </c>
      <c r="K437" s="11">
        <f>13.909 * CHOOSE(CONTROL!$C$32, $C$9, 100%, $E$9)</f>
        <v>13.909000000000001</v>
      </c>
      <c r="L437" s="11">
        <f>6.991 * CHOOSE(CONTROL!$C$32, $C$9, 100%, $E$9)</f>
        <v>6.9909999999999997</v>
      </c>
      <c r="M437" s="11">
        <f>6.9942 * CHOOSE(CONTROL!$C$32, $C$9, 100%, $E$9)</f>
        <v>6.9942000000000002</v>
      </c>
      <c r="N437" s="11">
        <f>6.991 * CHOOSE(CONTROL!$C$32, $C$9, 100%, $E$9)</f>
        <v>6.9909999999999997</v>
      </c>
      <c r="O437" s="11">
        <f>6.9942 * CHOOSE(CONTROL!$C$32, $C$9, 100%, $E$9)</f>
        <v>6.9942000000000002</v>
      </c>
    </row>
    <row r="438" spans="1:15" ht="15" x14ac:dyDescent="0.2">
      <c r="A438" s="13">
        <v>54179</v>
      </c>
      <c r="B438" s="9">
        <f>6.3027 * CHOOSE(CONTROL!$C$32, $C$9, 100%, $E$9)</f>
        <v>6.3026999999999997</v>
      </c>
      <c r="C438" s="9">
        <f>6.3027 * CHOOSE(CONTROL!$C$32, $C$9, 100%, $E$9)</f>
        <v>6.3026999999999997</v>
      </c>
      <c r="D438" s="9">
        <f>6.3039 * CHOOSE(CONTROL!$C$32, $C$9, 100%, $E$9)</f>
        <v>6.3038999999999996</v>
      </c>
      <c r="E438" s="11">
        <f>7.0381 * CHOOSE(CONTROL!$C$32, $C$9, 100%, $E$9)</f>
        <v>7.0381</v>
      </c>
      <c r="F438" s="11">
        <f>7.0381 * CHOOSE(CONTROL!$C$32, $C$9, 100%, $E$9)</f>
        <v>7.0381</v>
      </c>
      <c r="G438" s="11">
        <f>7.0423 * CHOOSE(CONTROL!$C$32, $C$9, 100%, $E$9)</f>
        <v>7.0423</v>
      </c>
      <c r="H438" s="11">
        <f>13.9347 * CHOOSE(CONTROL!$C$32, $C$9, 100%, $E$9)</f>
        <v>13.934699999999999</v>
      </c>
      <c r="I438" s="11">
        <f>13.9389 * CHOOSE(CONTROL!$C$32, $C$9, 100%, $E$9)</f>
        <v>13.9389</v>
      </c>
      <c r="J438" s="11">
        <f>13.9347 * CHOOSE(CONTROL!$C$32, $C$9, 100%, $E$9)</f>
        <v>13.934699999999999</v>
      </c>
      <c r="K438" s="11">
        <f>13.9389 * CHOOSE(CONTROL!$C$32, $C$9, 100%, $E$9)</f>
        <v>13.9389</v>
      </c>
      <c r="L438" s="11">
        <f>7.0381 * CHOOSE(CONTROL!$C$32, $C$9, 100%, $E$9)</f>
        <v>7.0381</v>
      </c>
      <c r="M438" s="11">
        <f>7.0423 * CHOOSE(CONTROL!$C$32, $C$9, 100%, $E$9)</f>
        <v>7.0423</v>
      </c>
      <c r="N438" s="11">
        <f>7.0381 * CHOOSE(CONTROL!$C$32, $C$9, 100%, $E$9)</f>
        <v>7.0381</v>
      </c>
      <c r="O438" s="11">
        <f>7.0423 * CHOOSE(CONTROL!$C$32, $C$9, 100%, $E$9)</f>
        <v>7.0423</v>
      </c>
    </row>
    <row r="439" spans="1:15" ht="15" x14ac:dyDescent="0.2">
      <c r="A439" s="13">
        <v>54210</v>
      </c>
      <c r="B439" s="9">
        <f>6.3087 * CHOOSE(CONTROL!$C$32, $C$9, 100%, $E$9)</f>
        <v>6.3087</v>
      </c>
      <c r="C439" s="9">
        <f>6.3087 * CHOOSE(CONTROL!$C$32, $C$9, 100%, $E$9)</f>
        <v>6.3087</v>
      </c>
      <c r="D439" s="9">
        <f>6.31 * CHOOSE(CONTROL!$C$32, $C$9, 100%, $E$9)</f>
        <v>6.31</v>
      </c>
      <c r="E439" s="11">
        <f>6.9952 * CHOOSE(CONTROL!$C$32, $C$9, 100%, $E$9)</f>
        <v>6.9951999999999996</v>
      </c>
      <c r="F439" s="11">
        <f>6.9952 * CHOOSE(CONTROL!$C$32, $C$9, 100%, $E$9)</f>
        <v>6.9951999999999996</v>
      </c>
      <c r="G439" s="11">
        <f>6.9994 * CHOOSE(CONTROL!$C$32, $C$9, 100%, $E$9)</f>
        <v>6.9993999999999996</v>
      </c>
      <c r="H439" s="11">
        <f>13.9638 * CHOOSE(CONTROL!$C$32, $C$9, 100%, $E$9)</f>
        <v>13.963800000000001</v>
      </c>
      <c r="I439" s="11">
        <f>13.968 * CHOOSE(CONTROL!$C$32, $C$9, 100%, $E$9)</f>
        <v>13.968</v>
      </c>
      <c r="J439" s="11">
        <f>13.9638 * CHOOSE(CONTROL!$C$32, $C$9, 100%, $E$9)</f>
        <v>13.963800000000001</v>
      </c>
      <c r="K439" s="11">
        <f>13.968 * CHOOSE(CONTROL!$C$32, $C$9, 100%, $E$9)</f>
        <v>13.968</v>
      </c>
      <c r="L439" s="11">
        <f>6.9952 * CHOOSE(CONTROL!$C$32, $C$9, 100%, $E$9)</f>
        <v>6.9951999999999996</v>
      </c>
      <c r="M439" s="11">
        <f>6.9994 * CHOOSE(CONTROL!$C$32, $C$9, 100%, $E$9)</f>
        <v>6.9993999999999996</v>
      </c>
      <c r="N439" s="11">
        <f>6.9952 * CHOOSE(CONTROL!$C$32, $C$9, 100%, $E$9)</f>
        <v>6.9951999999999996</v>
      </c>
      <c r="O439" s="11">
        <f>6.9994 * CHOOSE(CONTROL!$C$32, $C$9, 100%, $E$9)</f>
        <v>6.9993999999999996</v>
      </c>
    </row>
    <row r="440" spans="1:15" ht="15" x14ac:dyDescent="0.2">
      <c r="A440" s="13">
        <v>54240</v>
      </c>
      <c r="B440" s="9">
        <f>6.3926 * CHOOSE(CONTROL!$C$32, $C$9, 100%, $E$9)</f>
        <v>6.3925999999999998</v>
      </c>
      <c r="C440" s="9">
        <f>6.3926 * CHOOSE(CONTROL!$C$32, $C$9, 100%, $E$9)</f>
        <v>6.3925999999999998</v>
      </c>
      <c r="D440" s="9">
        <f>6.3939 * CHOOSE(CONTROL!$C$32, $C$9, 100%, $E$9)</f>
        <v>6.3939000000000004</v>
      </c>
      <c r="E440" s="11">
        <f>7.018 * CHOOSE(CONTROL!$C$32, $C$9, 100%, $E$9)</f>
        <v>7.0179999999999998</v>
      </c>
      <c r="F440" s="11">
        <f>7.018 * CHOOSE(CONTROL!$C$32, $C$9, 100%, $E$9)</f>
        <v>7.0179999999999998</v>
      </c>
      <c r="G440" s="11">
        <f>7.0222 * CHOOSE(CONTROL!$C$32, $C$9, 100%, $E$9)</f>
        <v>7.0221999999999998</v>
      </c>
      <c r="H440" s="11">
        <f>13.9929 * CHOOSE(CONTROL!$C$32, $C$9, 100%, $E$9)</f>
        <v>13.992900000000001</v>
      </c>
      <c r="I440" s="11">
        <f>13.9971 * CHOOSE(CONTROL!$C$32, $C$9, 100%, $E$9)</f>
        <v>13.9971</v>
      </c>
      <c r="J440" s="11">
        <f>13.9929 * CHOOSE(CONTROL!$C$32, $C$9, 100%, $E$9)</f>
        <v>13.992900000000001</v>
      </c>
      <c r="K440" s="11">
        <f>13.9971 * CHOOSE(CONTROL!$C$32, $C$9, 100%, $E$9)</f>
        <v>13.9971</v>
      </c>
      <c r="L440" s="11">
        <f>7.018 * CHOOSE(CONTROL!$C$32, $C$9, 100%, $E$9)</f>
        <v>7.0179999999999998</v>
      </c>
      <c r="M440" s="11">
        <f>7.0222 * CHOOSE(CONTROL!$C$32, $C$9, 100%, $E$9)</f>
        <v>7.0221999999999998</v>
      </c>
      <c r="N440" s="11">
        <f>7.018 * CHOOSE(CONTROL!$C$32, $C$9, 100%, $E$9)</f>
        <v>7.0179999999999998</v>
      </c>
      <c r="O440" s="11">
        <f>7.0222 * CHOOSE(CONTROL!$C$32, $C$9, 100%, $E$9)</f>
        <v>7.0221999999999998</v>
      </c>
    </row>
    <row r="441" spans="1:15" ht="15" x14ac:dyDescent="0.2">
      <c r="A441" s="13">
        <v>54271</v>
      </c>
      <c r="B441" s="9">
        <f>6.3993 * CHOOSE(CONTROL!$C$32, $C$9, 100%, $E$9)</f>
        <v>6.3993000000000002</v>
      </c>
      <c r="C441" s="9">
        <f>6.3993 * CHOOSE(CONTROL!$C$32, $C$9, 100%, $E$9)</f>
        <v>6.3993000000000002</v>
      </c>
      <c r="D441" s="9">
        <f>6.4005 * CHOOSE(CONTROL!$C$32, $C$9, 100%, $E$9)</f>
        <v>6.4005000000000001</v>
      </c>
      <c r="E441" s="11">
        <f>6.8812 * CHOOSE(CONTROL!$C$32, $C$9, 100%, $E$9)</f>
        <v>6.8811999999999998</v>
      </c>
      <c r="F441" s="11">
        <f>6.8812 * CHOOSE(CONTROL!$C$32, $C$9, 100%, $E$9)</f>
        <v>6.8811999999999998</v>
      </c>
      <c r="G441" s="11">
        <f>6.8854 * CHOOSE(CONTROL!$C$32, $C$9, 100%, $E$9)</f>
        <v>6.8853999999999997</v>
      </c>
      <c r="H441" s="11">
        <f>14.022 * CHOOSE(CONTROL!$C$32, $C$9, 100%, $E$9)</f>
        <v>14.022</v>
      </c>
      <c r="I441" s="11">
        <f>14.0262 * CHOOSE(CONTROL!$C$32, $C$9, 100%, $E$9)</f>
        <v>14.026199999999999</v>
      </c>
      <c r="J441" s="11">
        <f>14.022 * CHOOSE(CONTROL!$C$32, $C$9, 100%, $E$9)</f>
        <v>14.022</v>
      </c>
      <c r="K441" s="11">
        <f>14.0262 * CHOOSE(CONTROL!$C$32, $C$9, 100%, $E$9)</f>
        <v>14.026199999999999</v>
      </c>
      <c r="L441" s="11">
        <f>6.8812 * CHOOSE(CONTROL!$C$32, $C$9, 100%, $E$9)</f>
        <v>6.8811999999999998</v>
      </c>
      <c r="M441" s="11">
        <f>6.8854 * CHOOSE(CONTROL!$C$32, $C$9, 100%, $E$9)</f>
        <v>6.8853999999999997</v>
      </c>
      <c r="N441" s="11">
        <f>6.8812 * CHOOSE(CONTROL!$C$32, $C$9, 100%, $E$9)</f>
        <v>6.8811999999999998</v>
      </c>
      <c r="O441" s="11">
        <f>6.8854 * CHOOSE(CONTROL!$C$32, $C$9, 100%, $E$9)</f>
        <v>6.8853999999999997</v>
      </c>
    </row>
    <row r="442" spans="1:15" ht="15" x14ac:dyDescent="0.2">
      <c r="A442" s="13">
        <v>54302</v>
      </c>
      <c r="B442" s="9">
        <f>6.3963 * CHOOSE(CONTROL!$C$32, $C$9, 100%, $E$9)</f>
        <v>6.3963000000000001</v>
      </c>
      <c r="C442" s="9">
        <f>6.3963 * CHOOSE(CONTROL!$C$32, $C$9, 100%, $E$9)</f>
        <v>6.3963000000000001</v>
      </c>
      <c r="D442" s="9">
        <f>6.3975 * CHOOSE(CONTROL!$C$32, $C$9, 100%, $E$9)</f>
        <v>6.3975</v>
      </c>
      <c r="E442" s="11">
        <f>6.8634 * CHOOSE(CONTROL!$C$32, $C$9, 100%, $E$9)</f>
        <v>6.8634000000000004</v>
      </c>
      <c r="F442" s="11">
        <f>6.8634 * CHOOSE(CONTROL!$C$32, $C$9, 100%, $E$9)</f>
        <v>6.8634000000000004</v>
      </c>
      <c r="G442" s="11">
        <f>6.8676 * CHOOSE(CONTROL!$C$32, $C$9, 100%, $E$9)</f>
        <v>6.8676000000000004</v>
      </c>
      <c r="H442" s="11">
        <f>14.0512 * CHOOSE(CONTROL!$C$32, $C$9, 100%, $E$9)</f>
        <v>14.0512</v>
      </c>
      <c r="I442" s="11">
        <f>14.0554 * CHOOSE(CONTROL!$C$32, $C$9, 100%, $E$9)</f>
        <v>14.055400000000001</v>
      </c>
      <c r="J442" s="11">
        <f>14.0512 * CHOOSE(CONTROL!$C$32, $C$9, 100%, $E$9)</f>
        <v>14.0512</v>
      </c>
      <c r="K442" s="11">
        <f>14.0554 * CHOOSE(CONTROL!$C$32, $C$9, 100%, $E$9)</f>
        <v>14.055400000000001</v>
      </c>
      <c r="L442" s="11">
        <f>6.8634 * CHOOSE(CONTROL!$C$32, $C$9, 100%, $E$9)</f>
        <v>6.8634000000000004</v>
      </c>
      <c r="M442" s="11">
        <f>6.8676 * CHOOSE(CONTROL!$C$32, $C$9, 100%, $E$9)</f>
        <v>6.8676000000000004</v>
      </c>
      <c r="N442" s="11">
        <f>6.8634 * CHOOSE(CONTROL!$C$32, $C$9, 100%, $E$9)</f>
        <v>6.8634000000000004</v>
      </c>
      <c r="O442" s="11">
        <f>6.8676 * CHOOSE(CONTROL!$C$32, $C$9, 100%, $E$9)</f>
        <v>6.8676000000000004</v>
      </c>
    </row>
    <row r="443" spans="1:15" ht="15" x14ac:dyDescent="0.2">
      <c r="A443" s="13">
        <v>54332</v>
      </c>
      <c r="B443" s="9">
        <f>6.4002 * CHOOSE(CONTROL!$C$32, $C$9, 100%, $E$9)</f>
        <v>6.4001999999999999</v>
      </c>
      <c r="C443" s="9">
        <f>6.4002 * CHOOSE(CONTROL!$C$32, $C$9, 100%, $E$9)</f>
        <v>6.4001999999999999</v>
      </c>
      <c r="D443" s="9">
        <f>6.4012 * CHOOSE(CONTROL!$C$32, $C$9, 100%, $E$9)</f>
        <v>6.4012000000000002</v>
      </c>
      <c r="E443" s="11">
        <f>6.9128 * CHOOSE(CONTROL!$C$32, $C$9, 100%, $E$9)</f>
        <v>6.9127999999999998</v>
      </c>
      <c r="F443" s="11">
        <f>6.9128 * CHOOSE(CONTROL!$C$32, $C$9, 100%, $E$9)</f>
        <v>6.9127999999999998</v>
      </c>
      <c r="G443" s="11">
        <f>6.916 * CHOOSE(CONTROL!$C$32, $C$9, 100%, $E$9)</f>
        <v>6.9160000000000004</v>
      </c>
      <c r="H443" s="11">
        <f>14.0805 * CHOOSE(CONTROL!$C$32, $C$9, 100%, $E$9)</f>
        <v>14.080500000000001</v>
      </c>
      <c r="I443" s="11">
        <f>14.0837 * CHOOSE(CONTROL!$C$32, $C$9, 100%, $E$9)</f>
        <v>14.0837</v>
      </c>
      <c r="J443" s="11">
        <f>14.0805 * CHOOSE(CONTROL!$C$32, $C$9, 100%, $E$9)</f>
        <v>14.080500000000001</v>
      </c>
      <c r="K443" s="11">
        <f>14.0837 * CHOOSE(CONTROL!$C$32, $C$9, 100%, $E$9)</f>
        <v>14.0837</v>
      </c>
      <c r="L443" s="11">
        <f>6.9128 * CHOOSE(CONTROL!$C$32, $C$9, 100%, $E$9)</f>
        <v>6.9127999999999998</v>
      </c>
      <c r="M443" s="11">
        <f>6.916 * CHOOSE(CONTROL!$C$32, $C$9, 100%, $E$9)</f>
        <v>6.9160000000000004</v>
      </c>
      <c r="N443" s="11">
        <f>6.9128 * CHOOSE(CONTROL!$C$32, $C$9, 100%, $E$9)</f>
        <v>6.9127999999999998</v>
      </c>
      <c r="O443" s="11">
        <f>6.916 * CHOOSE(CONTROL!$C$32, $C$9, 100%, $E$9)</f>
        <v>6.9160000000000004</v>
      </c>
    </row>
    <row r="444" spans="1:15" ht="15" x14ac:dyDescent="0.2">
      <c r="A444" s="13">
        <v>54363</v>
      </c>
      <c r="B444" s="9">
        <f>6.4033 * CHOOSE(CONTROL!$C$32, $C$9, 100%, $E$9)</f>
        <v>6.4032999999999998</v>
      </c>
      <c r="C444" s="9">
        <f>6.4033 * CHOOSE(CONTROL!$C$32, $C$9, 100%, $E$9)</f>
        <v>6.4032999999999998</v>
      </c>
      <c r="D444" s="9">
        <f>6.4042 * CHOOSE(CONTROL!$C$32, $C$9, 100%, $E$9)</f>
        <v>6.4042000000000003</v>
      </c>
      <c r="E444" s="11">
        <f>6.9464 * CHOOSE(CONTROL!$C$32, $C$9, 100%, $E$9)</f>
        <v>6.9463999999999997</v>
      </c>
      <c r="F444" s="11">
        <f>6.9464 * CHOOSE(CONTROL!$C$32, $C$9, 100%, $E$9)</f>
        <v>6.9463999999999997</v>
      </c>
      <c r="G444" s="11">
        <f>6.9496 * CHOOSE(CONTROL!$C$32, $C$9, 100%, $E$9)</f>
        <v>6.9496000000000002</v>
      </c>
      <c r="H444" s="11">
        <f>14.1098 * CHOOSE(CONTROL!$C$32, $C$9, 100%, $E$9)</f>
        <v>14.1098</v>
      </c>
      <c r="I444" s="11">
        <f>14.1131 * CHOOSE(CONTROL!$C$32, $C$9, 100%, $E$9)</f>
        <v>14.113099999999999</v>
      </c>
      <c r="J444" s="11">
        <f>14.1098 * CHOOSE(CONTROL!$C$32, $C$9, 100%, $E$9)</f>
        <v>14.1098</v>
      </c>
      <c r="K444" s="11">
        <f>14.1131 * CHOOSE(CONTROL!$C$32, $C$9, 100%, $E$9)</f>
        <v>14.113099999999999</v>
      </c>
      <c r="L444" s="11">
        <f>6.9464 * CHOOSE(CONTROL!$C$32, $C$9, 100%, $E$9)</f>
        <v>6.9463999999999997</v>
      </c>
      <c r="M444" s="11">
        <f>6.9496 * CHOOSE(CONTROL!$C$32, $C$9, 100%, $E$9)</f>
        <v>6.9496000000000002</v>
      </c>
      <c r="N444" s="11">
        <f>6.9464 * CHOOSE(CONTROL!$C$32, $C$9, 100%, $E$9)</f>
        <v>6.9463999999999997</v>
      </c>
      <c r="O444" s="11">
        <f>6.9496 * CHOOSE(CONTROL!$C$32, $C$9, 100%, $E$9)</f>
        <v>6.9496000000000002</v>
      </c>
    </row>
    <row r="445" spans="1:15" ht="15" x14ac:dyDescent="0.2">
      <c r="A445" s="13">
        <v>54393</v>
      </c>
      <c r="B445" s="9">
        <f>6.4033 * CHOOSE(CONTROL!$C$32, $C$9, 100%, $E$9)</f>
        <v>6.4032999999999998</v>
      </c>
      <c r="C445" s="9">
        <f>6.4033 * CHOOSE(CONTROL!$C$32, $C$9, 100%, $E$9)</f>
        <v>6.4032999999999998</v>
      </c>
      <c r="D445" s="9">
        <f>6.4042 * CHOOSE(CONTROL!$C$32, $C$9, 100%, $E$9)</f>
        <v>6.4042000000000003</v>
      </c>
      <c r="E445" s="11">
        <f>6.8678 * CHOOSE(CONTROL!$C$32, $C$9, 100%, $E$9)</f>
        <v>6.8677999999999999</v>
      </c>
      <c r="F445" s="11">
        <f>6.8678 * CHOOSE(CONTROL!$C$32, $C$9, 100%, $E$9)</f>
        <v>6.8677999999999999</v>
      </c>
      <c r="G445" s="11">
        <f>6.871 * CHOOSE(CONTROL!$C$32, $C$9, 100%, $E$9)</f>
        <v>6.8710000000000004</v>
      </c>
      <c r="H445" s="11">
        <f>14.1392 * CHOOSE(CONTROL!$C$32, $C$9, 100%, $E$9)</f>
        <v>14.139200000000001</v>
      </c>
      <c r="I445" s="11">
        <f>14.1424 * CHOOSE(CONTROL!$C$32, $C$9, 100%, $E$9)</f>
        <v>14.1424</v>
      </c>
      <c r="J445" s="11">
        <f>14.1392 * CHOOSE(CONTROL!$C$32, $C$9, 100%, $E$9)</f>
        <v>14.139200000000001</v>
      </c>
      <c r="K445" s="11">
        <f>14.1424 * CHOOSE(CONTROL!$C$32, $C$9, 100%, $E$9)</f>
        <v>14.1424</v>
      </c>
      <c r="L445" s="11">
        <f>6.8678 * CHOOSE(CONTROL!$C$32, $C$9, 100%, $E$9)</f>
        <v>6.8677999999999999</v>
      </c>
      <c r="M445" s="11">
        <f>6.871 * CHOOSE(CONTROL!$C$32, $C$9, 100%, $E$9)</f>
        <v>6.8710000000000004</v>
      </c>
      <c r="N445" s="11">
        <f>6.8678 * CHOOSE(CONTROL!$C$32, $C$9, 100%, $E$9)</f>
        <v>6.8677999999999999</v>
      </c>
      <c r="O445" s="11">
        <f>6.871 * CHOOSE(CONTROL!$C$32, $C$9, 100%, $E$9)</f>
        <v>6.8710000000000004</v>
      </c>
    </row>
    <row r="446" spans="1:15" ht="15" x14ac:dyDescent="0.2">
      <c r="A446" s="13">
        <v>54424</v>
      </c>
      <c r="B446" s="9">
        <f>6.4519 * CHOOSE(CONTROL!$C$32, $C$9, 100%, $E$9)</f>
        <v>6.4519000000000002</v>
      </c>
      <c r="C446" s="9">
        <f>6.4519 * CHOOSE(CONTROL!$C$32, $C$9, 100%, $E$9)</f>
        <v>6.4519000000000002</v>
      </c>
      <c r="D446" s="9">
        <f>6.4529 * CHOOSE(CONTROL!$C$32, $C$9, 100%, $E$9)</f>
        <v>6.4528999999999996</v>
      </c>
      <c r="E446" s="11">
        <f>6.9523 * CHOOSE(CONTROL!$C$32, $C$9, 100%, $E$9)</f>
        <v>6.9523000000000001</v>
      </c>
      <c r="F446" s="11">
        <f>6.9523 * CHOOSE(CONTROL!$C$32, $C$9, 100%, $E$9)</f>
        <v>6.9523000000000001</v>
      </c>
      <c r="G446" s="11">
        <f>6.9555 * CHOOSE(CONTROL!$C$32, $C$9, 100%, $E$9)</f>
        <v>6.9554999999999998</v>
      </c>
      <c r="H446" s="11">
        <f>14.1687 * CHOOSE(CONTROL!$C$32, $C$9, 100%, $E$9)</f>
        <v>14.168699999999999</v>
      </c>
      <c r="I446" s="11">
        <f>14.1719 * CHOOSE(CONTROL!$C$32, $C$9, 100%, $E$9)</f>
        <v>14.171900000000001</v>
      </c>
      <c r="J446" s="11">
        <f>14.1687 * CHOOSE(CONTROL!$C$32, $C$9, 100%, $E$9)</f>
        <v>14.168699999999999</v>
      </c>
      <c r="K446" s="11">
        <f>14.1719 * CHOOSE(CONTROL!$C$32, $C$9, 100%, $E$9)</f>
        <v>14.171900000000001</v>
      </c>
      <c r="L446" s="11">
        <f>6.9523 * CHOOSE(CONTROL!$C$32, $C$9, 100%, $E$9)</f>
        <v>6.9523000000000001</v>
      </c>
      <c r="M446" s="11">
        <f>6.9555 * CHOOSE(CONTROL!$C$32, $C$9, 100%, $E$9)</f>
        <v>6.9554999999999998</v>
      </c>
      <c r="N446" s="11">
        <f>6.9523 * CHOOSE(CONTROL!$C$32, $C$9, 100%, $E$9)</f>
        <v>6.9523000000000001</v>
      </c>
      <c r="O446" s="11">
        <f>6.9555 * CHOOSE(CONTROL!$C$32, $C$9, 100%, $E$9)</f>
        <v>6.9554999999999998</v>
      </c>
    </row>
    <row r="447" spans="1:15" ht="15" x14ac:dyDescent="0.2">
      <c r="A447" s="13">
        <v>54455</v>
      </c>
      <c r="B447" s="9">
        <f>6.4489 * CHOOSE(CONTROL!$C$32, $C$9, 100%, $E$9)</f>
        <v>6.4489000000000001</v>
      </c>
      <c r="C447" s="9">
        <f>6.4489 * CHOOSE(CONTROL!$C$32, $C$9, 100%, $E$9)</f>
        <v>6.4489000000000001</v>
      </c>
      <c r="D447" s="9">
        <f>6.4499 * CHOOSE(CONTROL!$C$32, $C$9, 100%, $E$9)</f>
        <v>6.4499000000000004</v>
      </c>
      <c r="E447" s="11">
        <f>6.7968 * CHOOSE(CONTROL!$C$32, $C$9, 100%, $E$9)</f>
        <v>6.7968000000000002</v>
      </c>
      <c r="F447" s="11">
        <f>6.7968 * CHOOSE(CONTROL!$C$32, $C$9, 100%, $E$9)</f>
        <v>6.7968000000000002</v>
      </c>
      <c r="G447" s="11">
        <f>6.8 * CHOOSE(CONTROL!$C$32, $C$9, 100%, $E$9)</f>
        <v>6.8</v>
      </c>
      <c r="H447" s="11">
        <f>14.1982 * CHOOSE(CONTROL!$C$32, $C$9, 100%, $E$9)</f>
        <v>14.1982</v>
      </c>
      <c r="I447" s="11">
        <f>14.2014 * CHOOSE(CONTROL!$C$32, $C$9, 100%, $E$9)</f>
        <v>14.2014</v>
      </c>
      <c r="J447" s="11">
        <f>14.1982 * CHOOSE(CONTROL!$C$32, $C$9, 100%, $E$9)</f>
        <v>14.1982</v>
      </c>
      <c r="K447" s="11">
        <f>14.2014 * CHOOSE(CONTROL!$C$32, $C$9, 100%, $E$9)</f>
        <v>14.2014</v>
      </c>
      <c r="L447" s="11">
        <f>6.7968 * CHOOSE(CONTROL!$C$32, $C$9, 100%, $E$9)</f>
        <v>6.7968000000000002</v>
      </c>
      <c r="M447" s="11">
        <f>6.8 * CHOOSE(CONTROL!$C$32, $C$9, 100%, $E$9)</f>
        <v>6.8</v>
      </c>
      <c r="N447" s="11">
        <f>6.7968 * CHOOSE(CONTROL!$C$32, $C$9, 100%, $E$9)</f>
        <v>6.7968000000000002</v>
      </c>
      <c r="O447" s="11">
        <f>6.8 * CHOOSE(CONTROL!$C$32, $C$9, 100%, $E$9)</f>
        <v>6.8</v>
      </c>
    </row>
    <row r="448" spans="1:15" ht="15" x14ac:dyDescent="0.2">
      <c r="A448" s="13">
        <v>54483</v>
      </c>
      <c r="B448" s="9">
        <f>6.4459 * CHOOSE(CONTROL!$C$32, $C$9, 100%, $E$9)</f>
        <v>6.4459</v>
      </c>
      <c r="C448" s="9">
        <f>6.4459 * CHOOSE(CONTROL!$C$32, $C$9, 100%, $E$9)</f>
        <v>6.4459</v>
      </c>
      <c r="D448" s="9">
        <f>6.4468 * CHOOSE(CONTROL!$C$32, $C$9, 100%, $E$9)</f>
        <v>6.4467999999999996</v>
      </c>
      <c r="E448" s="11">
        <f>6.9156 * CHOOSE(CONTROL!$C$32, $C$9, 100%, $E$9)</f>
        <v>6.9156000000000004</v>
      </c>
      <c r="F448" s="11">
        <f>6.9156 * CHOOSE(CONTROL!$C$32, $C$9, 100%, $E$9)</f>
        <v>6.9156000000000004</v>
      </c>
      <c r="G448" s="11">
        <f>6.9188 * CHOOSE(CONTROL!$C$32, $C$9, 100%, $E$9)</f>
        <v>6.9188000000000001</v>
      </c>
      <c r="H448" s="11">
        <f>14.2278 * CHOOSE(CONTROL!$C$32, $C$9, 100%, $E$9)</f>
        <v>14.2278</v>
      </c>
      <c r="I448" s="11">
        <f>14.231 * CHOOSE(CONTROL!$C$32, $C$9, 100%, $E$9)</f>
        <v>14.231</v>
      </c>
      <c r="J448" s="11">
        <f>14.2278 * CHOOSE(CONTROL!$C$32, $C$9, 100%, $E$9)</f>
        <v>14.2278</v>
      </c>
      <c r="K448" s="11">
        <f>14.231 * CHOOSE(CONTROL!$C$32, $C$9, 100%, $E$9)</f>
        <v>14.231</v>
      </c>
      <c r="L448" s="11">
        <f>6.9156 * CHOOSE(CONTROL!$C$32, $C$9, 100%, $E$9)</f>
        <v>6.9156000000000004</v>
      </c>
      <c r="M448" s="11">
        <f>6.9188 * CHOOSE(CONTROL!$C$32, $C$9, 100%, $E$9)</f>
        <v>6.9188000000000001</v>
      </c>
      <c r="N448" s="11">
        <f>6.9156 * CHOOSE(CONTROL!$C$32, $C$9, 100%, $E$9)</f>
        <v>6.9156000000000004</v>
      </c>
      <c r="O448" s="11">
        <f>6.9188 * CHOOSE(CONTROL!$C$32, $C$9, 100%, $E$9)</f>
        <v>6.9188000000000001</v>
      </c>
    </row>
    <row r="449" spans="1:15" ht="15" x14ac:dyDescent="0.2">
      <c r="A449" s="13">
        <v>54514</v>
      </c>
      <c r="B449" s="9">
        <f>6.4459 * CHOOSE(CONTROL!$C$32, $C$9, 100%, $E$9)</f>
        <v>6.4459</v>
      </c>
      <c r="C449" s="9">
        <f>6.4459 * CHOOSE(CONTROL!$C$32, $C$9, 100%, $E$9)</f>
        <v>6.4459</v>
      </c>
      <c r="D449" s="9">
        <f>6.4468 * CHOOSE(CONTROL!$C$32, $C$9, 100%, $E$9)</f>
        <v>6.4467999999999996</v>
      </c>
      <c r="E449" s="11">
        <f>7.0412 * CHOOSE(CONTROL!$C$32, $C$9, 100%, $E$9)</f>
        <v>7.0411999999999999</v>
      </c>
      <c r="F449" s="11">
        <f>7.0412 * CHOOSE(CONTROL!$C$32, $C$9, 100%, $E$9)</f>
        <v>7.0411999999999999</v>
      </c>
      <c r="G449" s="11">
        <f>7.0444 * CHOOSE(CONTROL!$C$32, $C$9, 100%, $E$9)</f>
        <v>7.0444000000000004</v>
      </c>
      <c r="H449" s="11">
        <f>14.2574 * CHOOSE(CONTROL!$C$32, $C$9, 100%, $E$9)</f>
        <v>14.257400000000001</v>
      </c>
      <c r="I449" s="11">
        <f>14.2606 * CHOOSE(CONTROL!$C$32, $C$9, 100%, $E$9)</f>
        <v>14.2606</v>
      </c>
      <c r="J449" s="11">
        <f>14.2574 * CHOOSE(CONTROL!$C$32, $C$9, 100%, $E$9)</f>
        <v>14.257400000000001</v>
      </c>
      <c r="K449" s="11">
        <f>14.2606 * CHOOSE(CONTROL!$C$32, $C$9, 100%, $E$9)</f>
        <v>14.2606</v>
      </c>
      <c r="L449" s="11">
        <f>7.0412 * CHOOSE(CONTROL!$C$32, $C$9, 100%, $E$9)</f>
        <v>7.0411999999999999</v>
      </c>
      <c r="M449" s="11">
        <f>7.0444 * CHOOSE(CONTROL!$C$32, $C$9, 100%, $E$9)</f>
        <v>7.0444000000000004</v>
      </c>
      <c r="N449" s="11">
        <f>7.0412 * CHOOSE(CONTROL!$C$32, $C$9, 100%, $E$9)</f>
        <v>7.0411999999999999</v>
      </c>
      <c r="O449" s="11">
        <f>7.0444 * CHOOSE(CONTROL!$C$32, $C$9, 100%, $E$9)</f>
        <v>7.0444000000000004</v>
      </c>
    </row>
    <row r="450" spans="1:15" ht="15" x14ac:dyDescent="0.2">
      <c r="A450" s="13">
        <v>54544</v>
      </c>
      <c r="B450" s="9">
        <f>6.4459 * CHOOSE(CONTROL!$C$32, $C$9, 100%, $E$9)</f>
        <v>6.4459</v>
      </c>
      <c r="C450" s="9">
        <f>6.4459 * CHOOSE(CONTROL!$C$32, $C$9, 100%, $E$9)</f>
        <v>6.4459</v>
      </c>
      <c r="D450" s="9">
        <f>6.4471 * CHOOSE(CONTROL!$C$32, $C$9, 100%, $E$9)</f>
        <v>6.4470999999999998</v>
      </c>
      <c r="E450" s="11">
        <f>7.0899 * CHOOSE(CONTROL!$C$32, $C$9, 100%, $E$9)</f>
        <v>7.0899000000000001</v>
      </c>
      <c r="F450" s="11">
        <f>7.0899 * CHOOSE(CONTROL!$C$32, $C$9, 100%, $E$9)</f>
        <v>7.0899000000000001</v>
      </c>
      <c r="G450" s="11">
        <f>7.0941 * CHOOSE(CONTROL!$C$32, $C$9, 100%, $E$9)</f>
        <v>7.0941000000000001</v>
      </c>
      <c r="H450" s="11">
        <f>14.2871 * CHOOSE(CONTROL!$C$32, $C$9, 100%, $E$9)</f>
        <v>14.287100000000001</v>
      </c>
      <c r="I450" s="11">
        <f>14.2913 * CHOOSE(CONTROL!$C$32, $C$9, 100%, $E$9)</f>
        <v>14.2913</v>
      </c>
      <c r="J450" s="11">
        <f>14.2871 * CHOOSE(CONTROL!$C$32, $C$9, 100%, $E$9)</f>
        <v>14.287100000000001</v>
      </c>
      <c r="K450" s="11">
        <f>14.2913 * CHOOSE(CONTROL!$C$32, $C$9, 100%, $E$9)</f>
        <v>14.2913</v>
      </c>
      <c r="L450" s="11">
        <f>7.0899 * CHOOSE(CONTROL!$C$32, $C$9, 100%, $E$9)</f>
        <v>7.0899000000000001</v>
      </c>
      <c r="M450" s="11">
        <f>7.0941 * CHOOSE(CONTROL!$C$32, $C$9, 100%, $E$9)</f>
        <v>7.0941000000000001</v>
      </c>
      <c r="N450" s="11">
        <f>7.0899 * CHOOSE(CONTROL!$C$32, $C$9, 100%, $E$9)</f>
        <v>7.0899000000000001</v>
      </c>
      <c r="O450" s="11">
        <f>7.0941 * CHOOSE(CONTROL!$C$32, $C$9, 100%, $E$9)</f>
        <v>7.0941000000000001</v>
      </c>
    </row>
    <row r="451" spans="1:15" ht="15" x14ac:dyDescent="0.2">
      <c r="A451" s="13">
        <v>54575</v>
      </c>
      <c r="B451" s="9">
        <f>6.452 * CHOOSE(CONTROL!$C$32, $C$9, 100%, $E$9)</f>
        <v>6.452</v>
      </c>
      <c r="C451" s="9">
        <f>6.452 * CHOOSE(CONTROL!$C$32, $C$9, 100%, $E$9)</f>
        <v>6.452</v>
      </c>
      <c r="D451" s="9">
        <f>6.4532 * CHOOSE(CONTROL!$C$32, $C$9, 100%, $E$9)</f>
        <v>6.4531999999999998</v>
      </c>
      <c r="E451" s="11">
        <f>7.0454 * CHOOSE(CONTROL!$C$32, $C$9, 100%, $E$9)</f>
        <v>7.0453999999999999</v>
      </c>
      <c r="F451" s="11">
        <f>7.0454 * CHOOSE(CONTROL!$C$32, $C$9, 100%, $E$9)</f>
        <v>7.0453999999999999</v>
      </c>
      <c r="G451" s="11">
        <f>7.0496 * CHOOSE(CONTROL!$C$32, $C$9, 100%, $E$9)</f>
        <v>7.0495999999999999</v>
      </c>
      <c r="H451" s="11">
        <f>14.3169 * CHOOSE(CONTROL!$C$32, $C$9, 100%, $E$9)</f>
        <v>14.3169</v>
      </c>
      <c r="I451" s="11">
        <f>14.3211 * CHOOSE(CONTROL!$C$32, $C$9, 100%, $E$9)</f>
        <v>14.321099999999999</v>
      </c>
      <c r="J451" s="11">
        <f>14.3169 * CHOOSE(CONTROL!$C$32, $C$9, 100%, $E$9)</f>
        <v>14.3169</v>
      </c>
      <c r="K451" s="11">
        <f>14.3211 * CHOOSE(CONTROL!$C$32, $C$9, 100%, $E$9)</f>
        <v>14.321099999999999</v>
      </c>
      <c r="L451" s="11">
        <f>7.0454 * CHOOSE(CONTROL!$C$32, $C$9, 100%, $E$9)</f>
        <v>7.0453999999999999</v>
      </c>
      <c r="M451" s="11">
        <f>7.0496 * CHOOSE(CONTROL!$C$32, $C$9, 100%, $E$9)</f>
        <v>7.0495999999999999</v>
      </c>
      <c r="N451" s="11">
        <f>7.0454 * CHOOSE(CONTROL!$C$32, $C$9, 100%, $E$9)</f>
        <v>7.0453999999999999</v>
      </c>
      <c r="O451" s="11">
        <f>7.0496 * CHOOSE(CONTROL!$C$32, $C$9, 100%, $E$9)</f>
        <v>7.0495999999999999</v>
      </c>
    </row>
    <row r="452" spans="1:15" ht="15" x14ac:dyDescent="0.2">
      <c r="A452" s="13">
        <v>54605</v>
      </c>
      <c r="B452" s="9">
        <f>6.5374 * CHOOSE(CONTROL!$C$32, $C$9, 100%, $E$9)</f>
        <v>6.5373999999999999</v>
      </c>
      <c r="C452" s="9">
        <f>6.5374 * CHOOSE(CONTROL!$C$32, $C$9, 100%, $E$9)</f>
        <v>6.5373999999999999</v>
      </c>
      <c r="D452" s="9">
        <f>6.5386 * CHOOSE(CONTROL!$C$32, $C$9, 100%, $E$9)</f>
        <v>6.5385999999999997</v>
      </c>
      <c r="E452" s="11">
        <f>7.0692 * CHOOSE(CONTROL!$C$32, $C$9, 100%, $E$9)</f>
        <v>7.0692000000000004</v>
      </c>
      <c r="F452" s="11">
        <f>7.0692 * CHOOSE(CONTROL!$C$32, $C$9, 100%, $E$9)</f>
        <v>7.0692000000000004</v>
      </c>
      <c r="G452" s="11">
        <f>7.0734 * CHOOSE(CONTROL!$C$32, $C$9, 100%, $E$9)</f>
        <v>7.0734000000000004</v>
      </c>
      <c r="H452" s="11">
        <f>14.3467 * CHOOSE(CONTROL!$C$32, $C$9, 100%, $E$9)</f>
        <v>14.3467</v>
      </c>
      <c r="I452" s="11">
        <f>14.3509 * CHOOSE(CONTROL!$C$32, $C$9, 100%, $E$9)</f>
        <v>14.350899999999999</v>
      </c>
      <c r="J452" s="11">
        <f>14.3467 * CHOOSE(CONTROL!$C$32, $C$9, 100%, $E$9)</f>
        <v>14.3467</v>
      </c>
      <c r="K452" s="11">
        <f>14.3509 * CHOOSE(CONTROL!$C$32, $C$9, 100%, $E$9)</f>
        <v>14.350899999999999</v>
      </c>
      <c r="L452" s="11">
        <f>7.0692 * CHOOSE(CONTROL!$C$32, $C$9, 100%, $E$9)</f>
        <v>7.0692000000000004</v>
      </c>
      <c r="M452" s="11">
        <f>7.0734 * CHOOSE(CONTROL!$C$32, $C$9, 100%, $E$9)</f>
        <v>7.0734000000000004</v>
      </c>
      <c r="N452" s="11">
        <f>7.0692 * CHOOSE(CONTROL!$C$32, $C$9, 100%, $E$9)</f>
        <v>7.0692000000000004</v>
      </c>
      <c r="O452" s="11">
        <f>7.0734 * CHOOSE(CONTROL!$C$32, $C$9, 100%, $E$9)</f>
        <v>7.0734000000000004</v>
      </c>
    </row>
    <row r="453" spans="1:15" ht="15" x14ac:dyDescent="0.2">
      <c r="A453" s="13">
        <v>54636</v>
      </c>
      <c r="B453" s="9">
        <f>6.5441 * CHOOSE(CONTROL!$C$32, $C$9, 100%, $E$9)</f>
        <v>6.5441000000000003</v>
      </c>
      <c r="C453" s="9">
        <f>6.5441 * CHOOSE(CONTROL!$C$32, $C$9, 100%, $E$9)</f>
        <v>6.5441000000000003</v>
      </c>
      <c r="D453" s="9">
        <f>6.5453 * CHOOSE(CONTROL!$C$32, $C$9, 100%, $E$9)</f>
        <v>6.5453000000000001</v>
      </c>
      <c r="E453" s="11">
        <f>6.9278 * CHOOSE(CONTROL!$C$32, $C$9, 100%, $E$9)</f>
        <v>6.9278000000000004</v>
      </c>
      <c r="F453" s="11">
        <f>6.9278 * CHOOSE(CONTROL!$C$32, $C$9, 100%, $E$9)</f>
        <v>6.9278000000000004</v>
      </c>
      <c r="G453" s="11">
        <f>6.932 * CHOOSE(CONTROL!$C$32, $C$9, 100%, $E$9)</f>
        <v>6.9320000000000004</v>
      </c>
      <c r="H453" s="11">
        <f>14.3766 * CHOOSE(CONTROL!$C$32, $C$9, 100%, $E$9)</f>
        <v>14.3766</v>
      </c>
      <c r="I453" s="11">
        <f>14.3808 * CHOOSE(CONTROL!$C$32, $C$9, 100%, $E$9)</f>
        <v>14.380800000000001</v>
      </c>
      <c r="J453" s="11">
        <f>14.3766 * CHOOSE(CONTROL!$C$32, $C$9, 100%, $E$9)</f>
        <v>14.3766</v>
      </c>
      <c r="K453" s="11">
        <f>14.3808 * CHOOSE(CONTROL!$C$32, $C$9, 100%, $E$9)</f>
        <v>14.380800000000001</v>
      </c>
      <c r="L453" s="11">
        <f>6.9278 * CHOOSE(CONTROL!$C$32, $C$9, 100%, $E$9)</f>
        <v>6.9278000000000004</v>
      </c>
      <c r="M453" s="11">
        <f>6.932 * CHOOSE(CONTROL!$C$32, $C$9, 100%, $E$9)</f>
        <v>6.9320000000000004</v>
      </c>
      <c r="N453" s="11">
        <f>6.9278 * CHOOSE(CONTROL!$C$32, $C$9, 100%, $E$9)</f>
        <v>6.9278000000000004</v>
      </c>
      <c r="O453" s="11">
        <f>6.932 * CHOOSE(CONTROL!$C$32, $C$9, 100%, $E$9)</f>
        <v>6.9320000000000004</v>
      </c>
    </row>
    <row r="454" spans="1:15" ht="15" x14ac:dyDescent="0.2">
      <c r="A454" s="13">
        <v>54667</v>
      </c>
      <c r="B454" s="9">
        <f>6.541 * CHOOSE(CONTROL!$C$32, $C$9, 100%, $E$9)</f>
        <v>6.5410000000000004</v>
      </c>
      <c r="C454" s="9">
        <f>6.541 * CHOOSE(CONTROL!$C$32, $C$9, 100%, $E$9)</f>
        <v>6.5410000000000004</v>
      </c>
      <c r="D454" s="9">
        <f>6.5423 * CHOOSE(CONTROL!$C$32, $C$9, 100%, $E$9)</f>
        <v>6.5423</v>
      </c>
      <c r="E454" s="11">
        <f>6.9095 * CHOOSE(CONTROL!$C$32, $C$9, 100%, $E$9)</f>
        <v>6.9095000000000004</v>
      </c>
      <c r="F454" s="11">
        <f>6.9095 * CHOOSE(CONTROL!$C$32, $C$9, 100%, $E$9)</f>
        <v>6.9095000000000004</v>
      </c>
      <c r="G454" s="11">
        <f>6.9137 * CHOOSE(CONTROL!$C$32, $C$9, 100%, $E$9)</f>
        <v>6.9137000000000004</v>
      </c>
      <c r="H454" s="11">
        <f>14.4066 * CHOOSE(CONTROL!$C$32, $C$9, 100%, $E$9)</f>
        <v>14.406599999999999</v>
      </c>
      <c r="I454" s="11">
        <f>14.4108 * CHOOSE(CONTROL!$C$32, $C$9, 100%, $E$9)</f>
        <v>14.4108</v>
      </c>
      <c r="J454" s="11">
        <f>14.4066 * CHOOSE(CONTROL!$C$32, $C$9, 100%, $E$9)</f>
        <v>14.406599999999999</v>
      </c>
      <c r="K454" s="11">
        <f>14.4108 * CHOOSE(CONTROL!$C$32, $C$9, 100%, $E$9)</f>
        <v>14.4108</v>
      </c>
      <c r="L454" s="11">
        <f>6.9095 * CHOOSE(CONTROL!$C$32, $C$9, 100%, $E$9)</f>
        <v>6.9095000000000004</v>
      </c>
      <c r="M454" s="11">
        <f>6.9137 * CHOOSE(CONTROL!$C$32, $C$9, 100%, $E$9)</f>
        <v>6.9137000000000004</v>
      </c>
      <c r="N454" s="11">
        <f>6.9095 * CHOOSE(CONTROL!$C$32, $C$9, 100%, $E$9)</f>
        <v>6.9095000000000004</v>
      </c>
      <c r="O454" s="11">
        <f>6.9137 * CHOOSE(CONTROL!$C$32, $C$9, 100%, $E$9)</f>
        <v>6.9137000000000004</v>
      </c>
    </row>
    <row r="455" spans="1:15" ht="15" x14ac:dyDescent="0.2">
      <c r="A455" s="13">
        <v>54697</v>
      </c>
      <c r="B455" s="9">
        <f>6.5456 * CHOOSE(CONTROL!$C$32, $C$9, 100%, $E$9)</f>
        <v>6.5456000000000003</v>
      </c>
      <c r="C455" s="9">
        <f>6.5456 * CHOOSE(CONTROL!$C$32, $C$9, 100%, $E$9)</f>
        <v>6.5456000000000003</v>
      </c>
      <c r="D455" s="9">
        <f>6.5465 * CHOOSE(CONTROL!$C$32, $C$9, 100%, $E$9)</f>
        <v>6.5465</v>
      </c>
      <c r="E455" s="11">
        <f>6.961 * CHOOSE(CONTROL!$C$32, $C$9, 100%, $E$9)</f>
        <v>6.9610000000000003</v>
      </c>
      <c r="F455" s="11">
        <f>6.961 * CHOOSE(CONTROL!$C$32, $C$9, 100%, $E$9)</f>
        <v>6.9610000000000003</v>
      </c>
      <c r="G455" s="11">
        <f>6.9642 * CHOOSE(CONTROL!$C$32, $C$9, 100%, $E$9)</f>
        <v>6.9641999999999999</v>
      </c>
      <c r="H455" s="11">
        <f>14.4366 * CHOOSE(CONTROL!$C$32, $C$9, 100%, $E$9)</f>
        <v>14.4366</v>
      </c>
      <c r="I455" s="11">
        <f>14.4398 * CHOOSE(CONTROL!$C$32, $C$9, 100%, $E$9)</f>
        <v>14.4398</v>
      </c>
      <c r="J455" s="11">
        <f>14.4366 * CHOOSE(CONTROL!$C$32, $C$9, 100%, $E$9)</f>
        <v>14.4366</v>
      </c>
      <c r="K455" s="11">
        <f>14.4398 * CHOOSE(CONTROL!$C$32, $C$9, 100%, $E$9)</f>
        <v>14.4398</v>
      </c>
      <c r="L455" s="11">
        <f>6.961 * CHOOSE(CONTROL!$C$32, $C$9, 100%, $E$9)</f>
        <v>6.9610000000000003</v>
      </c>
      <c r="M455" s="11">
        <f>6.9642 * CHOOSE(CONTROL!$C$32, $C$9, 100%, $E$9)</f>
        <v>6.9641999999999999</v>
      </c>
      <c r="N455" s="11">
        <f>6.961 * CHOOSE(CONTROL!$C$32, $C$9, 100%, $E$9)</f>
        <v>6.9610000000000003</v>
      </c>
      <c r="O455" s="11">
        <f>6.9642 * CHOOSE(CONTROL!$C$32, $C$9, 100%, $E$9)</f>
        <v>6.9641999999999999</v>
      </c>
    </row>
    <row r="456" spans="1:15" ht="15" x14ac:dyDescent="0.2">
      <c r="A456" s="13">
        <v>54728</v>
      </c>
      <c r="B456" s="9">
        <f>6.5486 * CHOOSE(CONTROL!$C$32, $C$9, 100%, $E$9)</f>
        <v>6.5486000000000004</v>
      </c>
      <c r="C456" s="9">
        <f>6.5486 * CHOOSE(CONTROL!$C$32, $C$9, 100%, $E$9)</f>
        <v>6.5486000000000004</v>
      </c>
      <c r="D456" s="9">
        <f>6.5495 * CHOOSE(CONTROL!$C$32, $C$9, 100%, $E$9)</f>
        <v>6.5495000000000001</v>
      </c>
      <c r="E456" s="11">
        <f>6.9956 * CHOOSE(CONTROL!$C$32, $C$9, 100%, $E$9)</f>
        <v>6.9955999999999996</v>
      </c>
      <c r="F456" s="11">
        <f>6.9956 * CHOOSE(CONTROL!$C$32, $C$9, 100%, $E$9)</f>
        <v>6.9955999999999996</v>
      </c>
      <c r="G456" s="11">
        <f>6.9988 * CHOOSE(CONTROL!$C$32, $C$9, 100%, $E$9)</f>
        <v>6.9988000000000001</v>
      </c>
      <c r="H456" s="11">
        <f>14.4666 * CHOOSE(CONTROL!$C$32, $C$9, 100%, $E$9)</f>
        <v>14.4666</v>
      </c>
      <c r="I456" s="11">
        <f>14.4699 * CHOOSE(CONTROL!$C$32, $C$9, 100%, $E$9)</f>
        <v>14.469900000000001</v>
      </c>
      <c r="J456" s="11">
        <f>14.4666 * CHOOSE(CONTROL!$C$32, $C$9, 100%, $E$9)</f>
        <v>14.4666</v>
      </c>
      <c r="K456" s="11">
        <f>14.4699 * CHOOSE(CONTROL!$C$32, $C$9, 100%, $E$9)</f>
        <v>14.469900000000001</v>
      </c>
      <c r="L456" s="11">
        <f>6.9956 * CHOOSE(CONTROL!$C$32, $C$9, 100%, $E$9)</f>
        <v>6.9955999999999996</v>
      </c>
      <c r="M456" s="11">
        <f>6.9988 * CHOOSE(CONTROL!$C$32, $C$9, 100%, $E$9)</f>
        <v>6.9988000000000001</v>
      </c>
      <c r="N456" s="11">
        <f>6.9956 * CHOOSE(CONTROL!$C$32, $C$9, 100%, $E$9)</f>
        <v>6.9955999999999996</v>
      </c>
      <c r="O456" s="11">
        <f>6.9988 * CHOOSE(CONTROL!$C$32, $C$9, 100%, $E$9)</f>
        <v>6.9988000000000001</v>
      </c>
    </row>
    <row r="457" spans="1:15" ht="15" x14ac:dyDescent="0.2">
      <c r="A457" s="13">
        <v>54758</v>
      </c>
      <c r="B457" s="9">
        <f>6.5486 * CHOOSE(CONTROL!$C$32, $C$9, 100%, $E$9)</f>
        <v>6.5486000000000004</v>
      </c>
      <c r="C457" s="9">
        <f>6.5486 * CHOOSE(CONTROL!$C$32, $C$9, 100%, $E$9)</f>
        <v>6.5486000000000004</v>
      </c>
      <c r="D457" s="9">
        <f>6.5495 * CHOOSE(CONTROL!$C$32, $C$9, 100%, $E$9)</f>
        <v>6.5495000000000001</v>
      </c>
      <c r="E457" s="11">
        <f>6.9144 * CHOOSE(CONTROL!$C$32, $C$9, 100%, $E$9)</f>
        <v>6.9143999999999997</v>
      </c>
      <c r="F457" s="11">
        <f>6.9144 * CHOOSE(CONTROL!$C$32, $C$9, 100%, $E$9)</f>
        <v>6.9143999999999997</v>
      </c>
      <c r="G457" s="11">
        <f>6.9176 * CHOOSE(CONTROL!$C$32, $C$9, 100%, $E$9)</f>
        <v>6.9176000000000002</v>
      </c>
      <c r="H457" s="11">
        <f>14.4968 * CHOOSE(CONTROL!$C$32, $C$9, 100%, $E$9)</f>
        <v>14.4968</v>
      </c>
      <c r="I457" s="11">
        <f>14.5 * CHOOSE(CONTROL!$C$32, $C$9, 100%, $E$9)</f>
        <v>14.5</v>
      </c>
      <c r="J457" s="11">
        <f>14.4968 * CHOOSE(CONTROL!$C$32, $C$9, 100%, $E$9)</f>
        <v>14.4968</v>
      </c>
      <c r="K457" s="11">
        <f>14.5 * CHOOSE(CONTROL!$C$32, $C$9, 100%, $E$9)</f>
        <v>14.5</v>
      </c>
      <c r="L457" s="11">
        <f>6.9144 * CHOOSE(CONTROL!$C$32, $C$9, 100%, $E$9)</f>
        <v>6.9143999999999997</v>
      </c>
      <c r="M457" s="11">
        <f>6.9176 * CHOOSE(CONTROL!$C$32, $C$9, 100%, $E$9)</f>
        <v>6.9176000000000002</v>
      </c>
      <c r="N457" s="11">
        <f>6.9144 * CHOOSE(CONTROL!$C$32, $C$9, 100%, $E$9)</f>
        <v>6.9143999999999997</v>
      </c>
      <c r="O457" s="11">
        <f>6.9176 * CHOOSE(CONTROL!$C$32, $C$9, 100%, $E$9)</f>
        <v>6.9176000000000002</v>
      </c>
    </row>
    <row r="458" spans="1:15" ht="15" x14ac:dyDescent="0.2">
      <c r="A458" s="13">
        <v>54789</v>
      </c>
      <c r="B458" s="9">
        <f>6.5983 * CHOOSE(CONTROL!$C$32, $C$9, 100%, $E$9)</f>
        <v>6.5983000000000001</v>
      </c>
      <c r="C458" s="9">
        <f>6.5983 * CHOOSE(CONTROL!$C$32, $C$9, 100%, $E$9)</f>
        <v>6.5983000000000001</v>
      </c>
      <c r="D458" s="9">
        <f>6.5992 * CHOOSE(CONTROL!$C$32, $C$9, 100%, $E$9)</f>
        <v>6.5991999999999997</v>
      </c>
      <c r="E458" s="11">
        <f>7.0017 * CHOOSE(CONTROL!$C$32, $C$9, 100%, $E$9)</f>
        <v>7.0016999999999996</v>
      </c>
      <c r="F458" s="11">
        <f>7.0017 * CHOOSE(CONTROL!$C$32, $C$9, 100%, $E$9)</f>
        <v>7.0016999999999996</v>
      </c>
      <c r="G458" s="11">
        <f>7.0049 * CHOOSE(CONTROL!$C$32, $C$9, 100%, $E$9)</f>
        <v>7.0049000000000001</v>
      </c>
      <c r="H458" s="11">
        <f>14.527 * CHOOSE(CONTROL!$C$32, $C$9, 100%, $E$9)</f>
        <v>14.526999999999999</v>
      </c>
      <c r="I458" s="11">
        <f>14.5302 * CHOOSE(CONTROL!$C$32, $C$9, 100%, $E$9)</f>
        <v>14.530200000000001</v>
      </c>
      <c r="J458" s="11">
        <f>14.527 * CHOOSE(CONTROL!$C$32, $C$9, 100%, $E$9)</f>
        <v>14.526999999999999</v>
      </c>
      <c r="K458" s="11">
        <f>14.5302 * CHOOSE(CONTROL!$C$32, $C$9, 100%, $E$9)</f>
        <v>14.530200000000001</v>
      </c>
      <c r="L458" s="11">
        <f>7.0017 * CHOOSE(CONTROL!$C$32, $C$9, 100%, $E$9)</f>
        <v>7.0016999999999996</v>
      </c>
      <c r="M458" s="11">
        <f>7.0049 * CHOOSE(CONTROL!$C$32, $C$9, 100%, $E$9)</f>
        <v>7.0049000000000001</v>
      </c>
      <c r="N458" s="11">
        <f>7.0017 * CHOOSE(CONTROL!$C$32, $C$9, 100%, $E$9)</f>
        <v>7.0016999999999996</v>
      </c>
      <c r="O458" s="11">
        <f>7.0049 * CHOOSE(CONTROL!$C$32, $C$9, 100%, $E$9)</f>
        <v>7.0049000000000001</v>
      </c>
    </row>
    <row r="459" spans="1:15" ht="15" x14ac:dyDescent="0.2">
      <c r="A459" s="13">
        <v>54820</v>
      </c>
      <c r="B459" s="9">
        <f>6.5952 * CHOOSE(CONTROL!$C$32, $C$9, 100%, $E$9)</f>
        <v>6.5952000000000002</v>
      </c>
      <c r="C459" s="9">
        <f>6.5952 * CHOOSE(CONTROL!$C$32, $C$9, 100%, $E$9)</f>
        <v>6.5952000000000002</v>
      </c>
      <c r="D459" s="9">
        <f>6.5962 * CHOOSE(CONTROL!$C$32, $C$9, 100%, $E$9)</f>
        <v>6.5961999999999996</v>
      </c>
      <c r="E459" s="11">
        <f>6.8412 * CHOOSE(CONTROL!$C$32, $C$9, 100%, $E$9)</f>
        <v>6.8411999999999997</v>
      </c>
      <c r="F459" s="11">
        <f>6.8412 * CHOOSE(CONTROL!$C$32, $C$9, 100%, $E$9)</f>
        <v>6.8411999999999997</v>
      </c>
      <c r="G459" s="11">
        <f>6.8444 * CHOOSE(CONTROL!$C$32, $C$9, 100%, $E$9)</f>
        <v>6.8444000000000003</v>
      </c>
      <c r="H459" s="11">
        <f>14.5572 * CHOOSE(CONTROL!$C$32, $C$9, 100%, $E$9)</f>
        <v>14.5572</v>
      </c>
      <c r="I459" s="11">
        <f>14.5605 * CHOOSE(CONTROL!$C$32, $C$9, 100%, $E$9)</f>
        <v>14.560499999999999</v>
      </c>
      <c r="J459" s="11">
        <f>14.5572 * CHOOSE(CONTROL!$C$32, $C$9, 100%, $E$9)</f>
        <v>14.5572</v>
      </c>
      <c r="K459" s="11">
        <f>14.5605 * CHOOSE(CONTROL!$C$32, $C$9, 100%, $E$9)</f>
        <v>14.560499999999999</v>
      </c>
      <c r="L459" s="11">
        <f>6.8412 * CHOOSE(CONTROL!$C$32, $C$9, 100%, $E$9)</f>
        <v>6.8411999999999997</v>
      </c>
      <c r="M459" s="11">
        <f>6.8444 * CHOOSE(CONTROL!$C$32, $C$9, 100%, $E$9)</f>
        <v>6.8444000000000003</v>
      </c>
      <c r="N459" s="11">
        <f>6.8412 * CHOOSE(CONTROL!$C$32, $C$9, 100%, $E$9)</f>
        <v>6.8411999999999997</v>
      </c>
      <c r="O459" s="11">
        <f>6.8444 * CHOOSE(CONTROL!$C$32, $C$9, 100%, $E$9)</f>
        <v>6.8444000000000003</v>
      </c>
    </row>
    <row r="460" spans="1:15" ht="15" x14ac:dyDescent="0.2">
      <c r="A460" s="13">
        <v>54848</v>
      </c>
      <c r="B460" s="9">
        <f>6.5922 * CHOOSE(CONTROL!$C$32, $C$9, 100%, $E$9)</f>
        <v>6.5922000000000001</v>
      </c>
      <c r="C460" s="9">
        <f>6.5922 * CHOOSE(CONTROL!$C$32, $C$9, 100%, $E$9)</f>
        <v>6.5922000000000001</v>
      </c>
      <c r="D460" s="9">
        <f>6.5931 * CHOOSE(CONTROL!$C$32, $C$9, 100%, $E$9)</f>
        <v>6.5930999999999997</v>
      </c>
      <c r="E460" s="11">
        <f>6.9639 * CHOOSE(CONTROL!$C$32, $C$9, 100%, $E$9)</f>
        <v>6.9638999999999998</v>
      </c>
      <c r="F460" s="11">
        <f>6.9639 * CHOOSE(CONTROL!$C$32, $C$9, 100%, $E$9)</f>
        <v>6.9638999999999998</v>
      </c>
      <c r="G460" s="11">
        <f>6.9672 * CHOOSE(CONTROL!$C$32, $C$9, 100%, $E$9)</f>
        <v>6.9672000000000001</v>
      </c>
      <c r="H460" s="11">
        <f>14.5876 * CHOOSE(CONTROL!$C$32, $C$9, 100%, $E$9)</f>
        <v>14.5876</v>
      </c>
      <c r="I460" s="11">
        <f>14.5908 * CHOOSE(CONTROL!$C$32, $C$9, 100%, $E$9)</f>
        <v>14.5908</v>
      </c>
      <c r="J460" s="11">
        <f>14.5876 * CHOOSE(CONTROL!$C$32, $C$9, 100%, $E$9)</f>
        <v>14.5876</v>
      </c>
      <c r="K460" s="11">
        <f>14.5908 * CHOOSE(CONTROL!$C$32, $C$9, 100%, $E$9)</f>
        <v>14.5908</v>
      </c>
      <c r="L460" s="11">
        <f>6.9639 * CHOOSE(CONTROL!$C$32, $C$9, 100%, $E$9)</f>
        <v>6.9638999999999998</v>
      </c>
      <c r="M460" s="11">
        <f>6.9672 * CHOOSE(CONTROL!$C$32, $C$9, 100%, $E$9)</f>
        <v>6.9672000000000001</v>
      </c>
      <c r="N460" s="11">
        <f>6.9639 * CHOOSE(CONTROL!$C$32, $C$9, 100%, $E$9)</f>
        <v>6.9638999999999998</v>
      </c>
      <c r="O460" s="11">
        <f>6.9672 * CHOOSE(CONTROL!$C$32, $C$9, 100%, $E$9)</f>
        <v>6.9672000000000001</v>
      </c>
    </row>
    <row r="461" spans="1:15" ht="15" x14ac:dyDescent="0.2">
      <c r="A461" s="13">
        <v>54879</v>
      </c>
      <c r="B461" s="9">
        <f>6.5923 * CHOOSE(CONTROL!$C$32, $C$9, 100%, $E$9)</f>
        <v>6.5922999999999998</v>
      </c>
      <c r="C461" s="9">
        <f>6.5923 * CHOOSE(CONTROL!$C$32, $C$9, 100%, $E$9)</f>
        <v>6.5922999999999998</v>
      </c>
      <c r="D461" s="9">
        <f>6.5933 * CHOOSE(CONTROL!$C$32, $C$9, 100%, $E$9)</f>
        <v>6.5933000000000002</v>
      </c>
      <c r="E461" s="11">
        <f>7.0938 * CHOOSE(CONTROL!$C$32, $C$9, 100%, $E$9)</f>
        <v>7.0937999999999999</v>
      </c>
      <c r="F461" s="11">
        <f>7.0938 * CHOOSE(CONTROL!$C$32, $C$9, 100%, $E$9)</f>
        <v>7.0937999999999999</v>
      </c>
      <c r="G461" s="11">
        <f>7.097 * CHOOSE(CONTROL!$C$32, $C$9, 100%, $E$9)</f>
        <v>7.0970000000000004</v>
      </c>
      <c r="H461" s="11">
        <f>14.618 * CHOOSE(CONTROL!$C$32, $C$9, 100%, $E$9)</f>
        <v>14.618</v>
      </c>
      <c r="I461" s="11">
        <f>14.6212 * CHOOSE(CONTROL!$C$32, $C$9, 100%, $E$9)</f>
        <v>14.6212</v>
      </c>
      <c r="J461" s="11">
        <f>14.618 * CHOOSE(CONTROL!$C$32, $C$9, 100%, $E$9)</f>
        <v>14.618</v>
      </c>
      <c r="K461" s="11">
        <f>14.6212 * CHOOSE(CONTROL!$C$32, $C$9, 100%, $E$9)</f>
        <v>14.6212</v>
      </c>
      <c r="L461" s="11">
        <f>7.0938 * CHOOSE(CONTROL!$C$32, $C$9, 100%, $E$9)</f>
        <v>7.0937999999999999</v>
      </c>
      <c r="M461" s="11">
        <f>7.097 * CHOOSE(CONTROL!$C$32, $C$9, 100%, $E$9)</f>
        <v>7.0970000000000004</v>
      </c>
      <c r="N461" s="11">
        <f>7.0938 * CHOOSE(CONTROL!$C$32, $C$9, 100%, $E$9)</f>
        <v>7.0937999999999999</v>
      </c>
      <c r="O461" s="11">
        <f>7.097 * CHOOSE(CONTROL!$C$32, $C$9, 100%, $E$9)</f>
        <v>7.0970000000000004</v>
      </c>
    </row>
    <row r="462" spans="1:15" ht="15" x14ac:dyDescent="0.2">
      <c r="A462" s="13">
        <v>54909</v>
      </c>
      <c r="B462" s="9">
        <f>6.5923 * CHOOSE(CONTROL!$C$32, $C$9, 100%, $E$9)</f>
        <v>6.5922999999999998</v>
      </c>
      <c r="C462" s="9">
        <f>6.5923 * CHOOSE(CONTROL!$C$32, $C$9, 100%, $E$9)</f>
        <v>6.5922999999999998</v>
      </c>
      <c r="D462" s="9">
        <f>6.5936 * CHOOSE(CONTROL!$C$32, $C$9, 100%, $E$9)</f>
        <v>6.5936000000000003</v>
      </c>
      <c r="E462" s="11">
        <f>7.1441 * CHOOSE(CONTROL!$C$32, $C$9, 100%, $E$9)</f>
        <v>7.1440999999999999</v>
      </c>
      <c r="F462" s="11">
        <f>7.1441 * CHOOSE(CONTROL!$C$32, $C$9, 100%, $E$9)</f>
        <v>7.1440999999999999</v>
      </c>
      <c r="G462" s="11">
        <f>7.1483 * CHOOSE(CONTROL!$C$32, $C$9, 100%, $E$9)</f>
        <v>7.1482999999999999</v>
      </c>
      <c r="H462" s="11">
        <f>14.6484 * CHOOSE(CONTROL!$C$32, $C$9, 100%, $E$9)</f>
        <v>14.648400000000001</v>
      </c>
      <c r="I462" s="11">
        <f>14.6526 * CHOOSE(CONTROL!$C$32, $C$9, 100%, $E$9)</f>
        <v>14.6526</v>
      </c>
      <c r="J462" s="11">
        <f>14.6484 * CHOOSE(CONTROL!$C$32, $C$9, 100%, $E$9)</f>
        <v>14.648400000000001</v>
      </c>
      <c r="K462" s="11">
        <f>14.6526 * CHOOSE(CONTROL!$C$32, $C$9, 100%, $E$9)</f>
        <v>14.6526</v>
      </c>
      <c r="L462" s="11">
        <f>7.1441 * CHOOSE(CONTROL!$C$32, $C$9, 100%, $E$9)</f>
        <v>7.1440999999999999</v>
      </c>
      <c r="M462" s="11">
        <f>7.1483 * CHOOSE(CONTROL!$C$32, $C$9, 100%, $E$9)</f>
        <v>7.1482999999999999</v>
      </c>
      <c r="N462" s="11">
        <f>7.1441 * CHOOSE(CONTROL!$C$32, $C$9, 100%, $E$9)</f>
        <v>7.1440999999999999</v>
      </c>
      <c r="O462" s="11">
        <f>7.1483 * CHOOSE(CONTROL!$C$32, $C$9, 100%, $E$9)</f>
        <v>7.1482999999999999</v>
      </c>
    </row>
    <row r="463" spans="1:15" ht="15" x14ac:dyDescent="0.2">
      <c r="A463" s="13">
        <v>54940</v>
      </c>
      <c r="B463" s="9">
        <f>6.5984 * CHOOSE(CONTROL!$C$32, $C$9, 100%, $E$9)</f>
        <v>6.5983999999999998</v>
      </c>
      <c r="C463" s="9">
        <f>6.5984 * CHOOSE(CONTROL!$C$32, $C$9, 100%, $E$9)</f>
        <v>6.5983999999999998</v>
      </c>
      <c r="D463" s="9">
        <f>6.5997 * CHOOSE(CONTROL!$C$32, $C$9, 100%, $E$9)</f>
        <v>6.5997000000000003</v>
      </c>
      <c r="E463" s="11">
        <f>7.098 * CHOOSE(CONTROL!$C$32, $C$9, 100%, $E$9)</f>
        <v>7.0979999999999999</v>
      </c>
      <c r="F463" s="11">
        <f>7.098 * CHOOSE(CONTROL!$C$32, $C$9, 100%, $E$9)</f>
        <v>7.0979999999999999</v>
      </c>
      <c r="G463" s="11">
        <f>7.1022 * CHOOSE(CONTROL!$C$32, $C$9, 100%, $E$9)</f>
        <v>7.1021999999999998</v>
      </c>
      <c r="H463" s="11">
        <f>14.6789 * CHOOSE(CONTROL!$C$32, $C$9, 100%, $E$9)</f>
        <v>14.678900000000001</v>
      </c>
      <c r="I463" s="11">
        <f>14.6831 * CHOOSE(CONTROL!$C$32, $C$9, 100%, $E$9)</f>
        <v>14.6831</v>
      </c>
      <c r="J463" s="11">
        <f>14.6789 * CHOOSE(CONTROL!$C$32, $C$9, 100%, $E$9)</f>
        <v>14.678900000000001</v>
      </c>
      <c r="K463" s="11">
        <f>14.6831 * CHOOSE(CONTROL!$C$32, $C$9, 100%, $E$9)</f>
        <v>14.6831</v>
      </c>
      <c r="L463" s="11">
        <f>7.098 * CHOOSE(CONTROL!$C$32, $C$9, 100%, $E$9)</f>
        <v>7.0979999999999999</v>
      </c>
      <c r="M463" s="11">
        <f>7.1022 * CHOOSE(CONTROL!$C$32, $C$9, 100%, $E$9)</f>
        <v>7.1021999999999998</v>
      </c>
      <c r="N463" s="11">
        <f>7.098 * CHOOSE(CONTROL!$C$32, $C$9, 100%, $E$9)</f>
        <v>7.0979999999999999</v>
      </c>
      <c r="O463" s="11">
        <f>7.1022 * CHOOSE(CONTROL!$C$32, $C$9, 100%, $E$9)</f>
        <v>7.1021999999999998</v>
      </c>
    </row>
    <row r="464" spans="1:15" ht="15" x14ac:dyDescent="0.2">
      <c r="A464" s="13">
        <v>54970</v>
      </c>
      <c r="B464" s="9">
        <f>6.6855 * CHOOSE(CONTROL!$C$32, $C$9, 100%, $E$9)</f>
        <v>6.6855000000000002</v>
      </c>
      <c r="C464" s="9">
        <f>6.6855 * CHOOSE(CONTROL!$C$32, $C$9, 100%, $E$9)</f>
        <v>6.6855000000000002</v>
      </c>
      <c r="D464" s="9">
        <f>6.6867 * CHOOSE(CONTROL!$C$32, $C$9, 100%, $E$9)</f>
        <v>6.6867000000000001</v>
      </c>
      <c r="E464" s="11">
        <f>7.1227 * CHOOSE(CONTROL!$C$32, $C$9, 100%, $E$9)</f>
        <v>7.1227</v>
      </c>
      <c r="F464" s="11">
        <f>7.1227 * CHOOSE(CONTROL!$C$32, $C$9, 100%, $E$9)</f>
        <v>7.1227</v>
      </c>
      <c r="G464" s="11">
        <f>7.1269 * CHOOSE(CONTROL!$C$32, $C$9, 100%, $E$9)</f>
        <v>7.1269</v>
      </c>
      <c r="H464" s="11">
        <f>14.7095 * CHOOSE(CONTROL!$C$32, $C$9, 100%, $E$9)</f>
        <v>14.7095</v>
      </c>
      <c r="I464" s="11">
        <f>14.7137 * CHOOSE(CONTROL!$C$32, $C$9, 100%, $E$9)</f>
        <v>14.713699999999999</v>
      </c>
      <c r="J464" s="11">
        <f>14.7095 * CHOOSE(CONTROL!$C$32, $C$9, 100%, $E$9)</f>
        <v>14.7095</v>
      </c>
      <c r="K464" s="11">
        <f>14.7137 * CHOOSE(CONTROL!$C$32, $C$9, 100%, $E$9)</f>
        <v>14.713699999999999</v>
      </c>
      <c r="L464" s="11">
        <f>7.1227 * CHOOSE(CONTROL!$C$32, $C$9, 100%, $E$9)</f>
        <v>7.1227</v>
      </c>
      <c r="M464" s="11">
        <f>7.1269 * CHOOSE(CONTROL!$C$32, $C$9, 100%, $E$9)</f>
        <v>7.1269</v>
      </c>
      <c r="N464" s="11">
        <f>7.1227 * CHOOSE(CONTROL!$C$32, $C$9, 100%, $E$9)</f>
        <v>7.1227</v>
      </c>
      <c r="O464" s="11">
        <f>7.1269 * CHOOSE(CONTROL!$C$32, $C$9, 100%, $E$9)</f>
        <v>7.1269</v>
      </c>
    </row>
    <row r="465" spans="1:15" ht="15" x14ac:dyDescent="0.2">
      <c r="A465" s="13">
        <v>55001</v>
      </c>
      <c r="B465" s="9">
        <f>6.6922 * CHOOSE(CONTROL!$C$32, $C$9, 100%, $E$9)</f>
        <v>6.6921999999999997</v>
      </c>
      <c r="C465" s="9">
        <f>6.6922 * CHOOSE(CONTROL!$C$32, $C$9, 100%, $E$9)</f>
        <v>6.6921999999999997</v>
      </c>
      <c r="D465" s="9">
        <f>6.6934 * CHOOSE(CONTROL!$C$32, $C$9, 100%, $E$9)</f>
        <v>6.6933999999999996</v>
      </c>
      <c r="E465" s="11">
        <f>6.9765 * CHOOSE(CONTROL!$C$32, $C$9, 100%, $E$9)</f>
        <v>6.9764999999999997</v>
      </c>
      <c r="F465" s="11">
        <f>6.9765 * CHOOSE(CONTROL!$C$32, $C$9, 100%, $E$9)</f>
        <v>6.9764999999999997</v>
      </c>
      <c r="G465" s="11">
        <f>6.9807 * CHOOSE(CONTROL!$C$32, $C$9, 100%, $E$9)</f>
        <v>6.9806999999999997</v>
      </c>
      <c r="H465" s="11">
        <f>14.7402 * CHOOSE(CONTROL!$C$32, $C$9, 100%, $E$9)</f>
        <v>14.7402</v>
      </c>
      <c r="I465" s="11">
        <f>14.7444 * CHOOSE(CONTROL!$C$32, $C$9, 100%, $E$9)</f>
        <v>14.744400000000001</v>
      </c>
      <c r="J465" s="11">
        <f>14.7402 * CHOOSE(CONTROL!$C$32, $C$9, 100%, $E$9)</f>
        <v>14.7402</v>
      </c>
      <c r="K465" s="11">
        <f>14.7444 * CHOOSE(CONTROL!$C$32, $C$9, 100%, $E$9)</f>
        <v>14.744400000000001</v>
      </c>
      <c r="L465" s="11">
        <f>6.9765 * CHOOSE(CONTROL!$C$32, $C$9, 100%, $E$9)</f>
        <v>6.9764999999999997</v>
      </c>
      <c r="M465" s="11">
        <f>6.9807 * CHOOSE(CONTROL!$C$32, $C$9, 100%, $E$9)</f>
        <v>6.9806999999999997</v>
      </c>
      <c r="N465" s="11">
        <f>6.9765 * CHOOSE(CONTROL!$C$32, $C$9, 100%, $E$9)</f>
        <v>6.9764999999999997</v>
      </c>
      <c r="O465" s="11">
        <f>6.9807 * CHOOSE(CONTROL!$C$32, $C$9, 100%, $E$9)</f>
        <v>6.9806999999999997</v>
      </c>
    </row>
    <row r="466" spans="1:15" ht="15" x14ac:dyDescent="0.2">
      <c r="A466" s="13">
        <v>55032</v>
      </c>
      <c r="B466" s="9">
        <f>6.6891 * CHOOSE(CONTROL!$C$32, $C$9, 100%, $E$9)</f>
        <v>6.6890999999999998</v>
      </c>
      <c r="C466" s="9">
        <f>6.6891 * CHOOSE(CONTROL!$C$32, $C$9, 100%, $E$9)</f>
        <v>6.6890999999999998</v>
      </c>
      <c r="D466" s="9">
        <f>6.6904 * CHOOSE(CONTROL!$C$32, $C$9, 100%, $E$9)</f>
        <v>6.6904000000000003</v>
      </c>
      <c r="E466" s="11">
        <f>6.9576 * CHOOSE(CONTROL!$C$32, $C$9, 100%, $E$9)</f>
        <v>6.9576000000000002</v>
      </c>
      <c r="F466" s="11">
        <f>6.9576 * CHOOSE(CONTROL!$C$32, $C$9, 100%, $E$9)</f>
        <v>6.9576000000000002</v>
      </c>
      <c r="G466" s="11">
        <f>6.9618 * CHOOSE(CONTROL!$C$32, $C$9, 100%, $E$9)</f>
        <v>6.9618000000000002</v>
      </c>
      <c r="H466" s="11">
        <f>14.7709 * CHOOSE(CONTROL!$C$32, $C$9, 100%, $E$9)</f>
        <v>14.770899999999999</v>
      </c>
      <c r="I466" s="11">
        <f>14.7751 * CHOOSE(CONTROL!$C$32, $C$9, 100%, $E$9)</f>
        <v>14.7751</v>
      </c>
      <c r="J466" s="11">
        <f>14.7709 * CHOOSE(CONTROL!$C$32, $C$9, 100%, $E$9)</f>
        <v>14.770899999999999</v>
      </c>
      <c r="K466" s="11">
        <f>14.7751 * CHOOSE(CONTROL!$C$32, $C$9, 100%, $E$9)</f>
        <v>14.7751</v>
      </c>
      <c r="L466" s="11">
        <f>6.9576 * CHOOSE(CONTROL!$C$32, $C$9, 100%, $E$9)</f>
        <v>6.9576000000000002</v>
      </c>
      <c r="M466" s="11">
        <f>6.9618 * CHOOSE(CONTROL!$C$32, $C$9, 100%, $E$9)</f>
        <v>6.9618000000000002</v>
      </c>
      <c r="N466" s="11">
        <f>6.9576 * CHOOSE(CONTROL!$C$32, $C$9, 100%, $E$9)</f>
        <v>6.9576000000000002</v>
      </c>
      <c r="O466" s="11">
        <f>6.9618 * CHOOSE(CONTROL!$C$32, $C$9, 100%, $E$9)</f>
        <v>6.9618000000000002</v>
      </c>
    </row>
    <row r="467" spans="1:15" ht="15" x14ac:dyDescent="0.2">
      <c r="A467" s="13">
        <v>55062</v>
      </c>
      <c r="B467" s="9">
        <f>6.6942 * CHOOSE(CONTROL!$C$32, $C$9, 100%, $E$9)</f>
        <v>6.6942000000000004</v>
      </c>
      <c r="C467" s="9">
        <f>6.6942 * CHOOSE(CONTROL!$C$32, $C$9, 100%, $E$9)</f>
        <v>6.6942000000000004</v>
      </c>
      <c r="D467" s="9">
        <f>6.6951 * CHOOSE(CONTROL!$C$32, $C$9, 100%, $E$9)</f>
        <v>6.6951000000000001</v>
      </c>
      <c r="E467" s="11">
        <f>7.0112 * CHOOSE(CONTROL!$C$32, $C$9, 100%, $E$9)</f>
        <v>7.0111999999999997</v>
      </c>
      <c r="F467" s="11">
        <f>7.0112 * CHOOSE(CONTROL!$C$32, $C$9, 100%, $E$9)</f>
        <v>7.0111999999999997</v>
      </c>
      <c r="G467" s="11">
        <f>7.0145 * CHOOSE(CONTROL!$C$32, $C$9, 100%, $E$9)</f>
        <v>7.0145</v>
      </c>
      <c r="H467" s="11">
        <f>14.8016 * CHOOSE(CONTROL!$C$32, $C$9, 100%, $E$9)</f>
        <v>14.801600000000001</v>
      </c>
      <c r="I467" s="11">
        <f>14.8049 * CHOOSE(CONTROL!$C$32, $C$9, 100%, $E$9)</f>
        <v>14.8049</v>
      </c>
      <c r="J467" s="11">
        <f>14.8016 * CHOOSE(CONTROL!$C$32, $C$9, 100%, $E$9)</f>
        <v>14.801600000000001</v>
      </c>
      <c r="K467" s="11">
        <f>14.8049 * CHOOSE(CONTROL!$C$32, $C$9, 100%, $E$9)</f>
        <v>14.8049</v>
      </c>
      <c r="L467" s="11">
        <f>7.0112 * CHOOSE(CONTROL!$C$32, $C$9, 100%, $E$9)</f>
        <v>7.0111999999999997</v>
      </c>
      <c r="M467" s="11">
        <f>7.0145 * CHOOSE(CONTROL!$C$32, $C$9, 100%, $E$9)</f>
        <v>7.0145</v>
      </c>
      <c r="N467" s="11">
        <f>7.0112 * CHOOSE(CONTROL!$C$32, $C$9, 100%, $E$9)</f>
        <v>7.0111999999999997</v>
      </c>
      <c r="O467" s="11">
        <f>7.0145 * CHOOSE(CONTROL!$C$32, $C$9, 100%, $E$9)</f>
        <v>7.0145</v>
      </c>
    </row>
    <row r="468" spans="1:15" ht="15" x14ac:dyDescent="0.2">
      <c r="A468" s="13">
        <v>55093</v>
      </c>
      <c r="B468" s="9">
        <f>6.6972 * CHOOSE(CONTROL!$C$32, $C$9, 100%, $E$9)</f>
        <v>6.6971999999999996</v>
      </c>
      <c r="C468" s="9">
        <f>6.6972 * CHOOSE(CONTROL!$C$32, $C$9, 100%, $E$9)</f>
        <v>6.6971999999999996</v>
      </c>
      <c r="D468" s="9">
        <f>6.6982 * CHOOSE(CONTROL!$C$32, $C$9, 100%, $E$9)</f>
        <v>6.6981999999999999</v>
      </c>
      <c r="E468" s="11">
        <f>7.0469 * CHOOSE(CONTROL!$C$32, $C$9, 100%, $E$9)</f>
        <v>7.0468999999999999</v>
      </c>
      <c r="F468" s="11">
        <f>7.0469 * CHOOSE(CONTROL!$C$32, $C$9, 100%, $E$9)</f>
        <v>7.0468999999999999</v>
      </c>
      <c r="G468" s="11">
        <f>7.0501 * CHOOSE(CONTROL!$C$32, $C$9, 100%, $E$9)</f>
        <v>7.0500999999999996</v>
      </c>
      <c r="H468" s="11">
        <f>14.8325 * CHOOSE(CONTROL!$C$32, $C$9, 100%, $E$9)</f>
        <v>14.8325</v>
      </c>
      <c r="I468" s="11">
        <f>14.8357 * CHOOSE(CONTROL!$C$32, $C$9, 100%, $E$9)</f>
        <v>14.835699999999999</v>
      </c>
      <c r="J468" s="11">
        <f>14.8325 * CHOOSE(CONTROL!$C$32, $C$9, 100%, $E$9)</f>
        <v>14.8325</v>
      </c>
      <c r="K468" s="11">
        <f>14.8357 * CHOOSE(CONTROL!$C$32, $C$9, 100%, $E$9)</f>
        <v>14.835699999999999</v>
      </c>
      <c r="L468" s="11">
        <f>7.0469 * CHOOSE(CONTROL!$C$32, $C$9, 100%, $E$9)</f>
        <v>7.0468999999999999</v>
      </c>
      <c r="M468" s="11">
        <f>7.0501 * CHOOSE(CONTROL!$C$32, $C$9, 100%, $E$9)</f>
        <v>7.0500999999999996</v>
      </c>
      <c r="N468" s="11">
        <f>7.0469 * CHOOSE(CONTROL!$C$32, $C$9, 100%, $E$9)</f>
        <v>7.0468999999999999</v>
      </c>
      <c r="O468" s="11">
        <f>7.0501 * CHOOSE(CONTROL!$C$32, $C$9, 100%, $E$9)</f>
        <v>7.0500999999999996</v>
      </c>
    </row>
    <row r="469" spans="1:15" ht="15" x14ac:dyDescent="0.2">
      <c r="A469" s="13">
        <v>55123</v>
      </c>
      <c r="B469" s="9">
        <f>6.6972 * CHOOSE(CONTROL!$C$32, $C$9, 100%, $E$9)</f>
        <v>6.6971999999999996</v>
      </c>
      <c r="C469" s="9">
        <f>6.6972 * CHOOSE(CONTROL!$C$32, $C$9, 100%, $E$9)</f>
        <v>6.6971999999999996</v>
      </c>
      <c r="D469" s="9">
        <f>6.6982 * CHOOSE(CONTROL!$C$32, $C$9, 100%, $E$9)</f>
        <v>6.6981999999999999</v>
      </c>
      <c r="E469" s="11">
        <f>6.9631 * CHOOSE(CONTROL!$C$32, $C$9, 100%, $E$9)</f>
        <v>6.9630999999999998</v>
      </c>
      <c r="F469" s="11">
        <f>6.9631 * CHOOSE(CONTROL!$C$32, $C$9, 100%, $E$9)</f>
        <v>6.9630999999999998</v>
      </c>
      <c r="G469" s="11">
        <f>6.9663 * CHOOSE(CONTROL!$C$32, $C$9, 100%, $E$9)</f>
        <v>6.9663000000000004</v>
      </c>
      <c r="H469" s="11">
        <f>14.8634 * CHOOSE(CONTROL!$C$32, $C$9, 100%, $E$9)</f>
        <v>14.8634</v>
      </c>
      <c r="I469" s="11">
        <f>14.8666 * CHOOSE(CONTROL!$C$32, $C$9, 100%, $E$9)</f>
        <v>14.8666</v>
      </c>
      <c r="J469" s="11">
        <f>14.8634 * CHOOSE(CONTROL!$C$32, $C$9, 100%, $E$9)</f>
        <v>14.8634</v>
      </c>
      <c r="K469" s="11">
        <f>14.8666 * CHOOSE(CONTROL!$C$32, $C$9, 100%, $E$9)</f>
        <v>14.8666</v>
      </c>
      <c r="L469" s="11">
        <f>6.9631 * CHOOSE(CONTROL!$C$32, $C$9, 100%, $E$9)</f>
        <v>6.9630999999999998</v>
      </c>
      <c r="M469" s="11">
        <f>6.9663 * CHOOSE(CONTROL!$C$32, $C$9, 100%, $E$9)</f>
        <v>6.9663000000000004</v>
      </c>
      <c r="N469" s="11">
        <f>6.9631 * CHOOSE(CONTROL!$C$32, $C$9, 100%, $E$9)</f>
        <v>6.9630999999999998</v>
      </c>
      <c r="O469" s="11">
        <f>6.9663 * CHOOSE(CONTROL!$C$32, $C$9, 100%, $E$9)</f>
        <v>6.9663000000000004</v>
      </c>
    </row>
    <row r="470" spans="1:15" ht="15" x14ac:dyDescent="0.2">
      <c r="A470" s="13">
        <v>55154</v>
      </c>
      <c r="B470" s="9">
        <f>6.7479 * CHOOSE(CONTROL!$C$32, $C$9, 100%, $E$9)</f>
        <v>6.7478999999999996</v>
      </c>
      <c r="C470" s="9">
        <f>6.7479 * CHOOSE(CONTROL!$C$32, $C$9, 100%, $E$9)</f>
        <v>6.7478999999999996</v>
      </c>
      <c r="D470" s="9">
        <f>6.7489 * CHOOSE(CONTROL!$C$32, $C$9, 100%, $E$9)</f>
        <v>6.7488999999999999</v>
      </c>
      <c r="E470" s="11">
        <f>7.0533 * CHOOSE(CONTROL!$C$32, $C$9, 100%, $E$9)</f>
        <v>7.0533000000000001</v>
      </c>
      <c r="F470" s="11">
        <f>7.0533 * CHOOSE(CONTROL!$C$32, $C$9, 100%, $E$9)</f>
        <v>7.0533000000000001</v>
      </c>
      <c r="G470" s="11">
        <f>7.0565 * CHOOSE(CONTROL!$C$32, $C$9, 100%, $E$9)</f>
        <v>7.0564999999999998</v>
      </c>
      <c r="H470" s="11">
        <f>14.8943 * CHOOSE(CONTROL!$C$32, $C$9, 100%, $E$9)</f>
        <v>14.894299999999999</v>
      </c>
      <c r="I470" s="11">
        <f>14.8976 * CHOOSE(CONTROL!$C$32, $C$9, 100%, $E$9)</f>
        <v>14.897600000000001</v>
      </c>
      <c r="J470" s="11">
        <f>14.8943 * CHOOSE(CONTROL!$C$32, $C$9, 100%, $E$9)</f>
        <v>14.894299999999999</v>
      </c>
      <c r="K470" s="11">
        <f>14.8976 * CHOOSE(CONTROL!$C$32, $C$9, 100%, $E$9)</f>
        <v>14.897600000000001</v>
      </c>
      <c r="L470" s="11">
        <f>7.0533 * CHOOSE(CONTROL!$C$32, $C$9, 100%, $E$9)</f>
        <v>7.0533000000000001</v>
      </c>
      <c r="M470" s="11">
        <f>7.0565 * CHOOSE(CONTROL!$C$32, $C$9, 100%, $E$9)</f>
        <v>7.0564999999999998</v>
      </c>
      <c r="N470" s="11">
        <f>7.0533 * CHOOSE(CONTROL!$C$32, $C$9, 100%, $E$9)</f>
        <v>7.0533000000000001</v>
      </c>
      <c r="O470" s="11">
        <f>7.0565 * CHOOSE(CONTROL!$C$32, $C$9, 100%, $E$9)</f>
        <v>7.0564999999999998</v>
      </c>
    </row>
    <row r="471" spans="1:15" ht="15" x14ac:dyDescent="0.2">
      <c r="A471" s="13">
        <v>55185</v>
      </c>
      <c r="B471" s="9">
        <f>6.7449 * CHOOSE(CONTROL!$C$32, $C$9, 100%, $E$9)</f>
        <v>6.7449000000000003</v>
      </c>
      <c r="C471" s="9">
        <f>6.7449 * CHOOSE(CONTROL!$C$32, $C$9, 100%, $E$9)</f>
        <v>6.7449000000000003</v>
      </c>
      <c r="D471" s="9">
        <f>6.7458 * CHOOSE(CONTROL!$C$32, $C$9, 100%, $E$9)</f>
        <v>6.7458</v>
      </c>
      <c r="E471" s="11">
        <f>6.8877 * CHOOSE(CONTROL!$C$32, $C$9, 100%, $E$9)</f>
        <v>6.8876999999999997</v>
      </c>
      <c r="F471" s="11">
        <f>6.8877 * CHOOSE(CONTROL!$C$32, $C$9, 100%, $E$9)</f>
        <v>6.8876999999999997</v>
      </c>
      <c r="G471" s="11">
        <f>6.8909 * CHOOSE(CONTROL!$C$32, $C$9, 100%, $E$9)</f>
        <v>6.8909000000000002</v>
      </c>
      <c r="H471" s="11">
        <f>14.9254 * CHOOSE(CONTROL!$C$32, $C$9, 100%, $E$9)</f>
        <v>14.9254</v>
      </c>
      <c r="I471" s="11">
        <f>14.9286 * CHOOSE(CONTROL!$C$32, $C$9, 100%, $E$9)</f>
        <v>14.928599999999999</v>
      </c>
      <c r="J471" s="11">
        <f>14.9254 * CHOOSE(CONTROL!$C$32, $C$9, 100%, $E$9)</f>
        <v>14.9254</v>
      </c>
      <c r="K471" s="11">
        <f>14.9286 * CHOOSE(CONTROL!$C$32, $C$9, 100%, $E$9)</f>
        <v>14.928599999999999</v>
      </c>
      <c r="L471" s="11">
        <f>6.8877 * CHOOSE(CONTROL!$C$32, $C$9, 100%, $E$9)</f>
        <v>6.8876999999999997</v>
      </c>
      <c r="M471" s="11">
        <f>6.8909 * CHOOSE(CONTROL!$C$32, $C$9, 100%, $E$9)</f>
        <v>6.8909000000000002</v>
      </c>
      <c r="N471" s="11">
        <f>6.8877 * CHOOSE(CONTROL!$C$32, $C$9, 100%, $E$9)</f>
        <v>6.8876999999999997</v>
      </c>
      <c r="O471" s="11">
        <f>6.8909 * CHOOSE(CONTROL!$C$32, $C$9, 100%, $E$9)</f>
        <v>6.8909000000000002</v>
      </c>
    </row>
    <row r="472" spans="1:15" ht="15" x14ac:dyDescent="0.2">
      <c r="A472" s="13">
        <v>55213</v>
      </c>
      <c r="B472" s="9">
        <f>6.7418 * CHOOSE(CONTROL!$C$32, $C$9, 100%, $E$9)</f>
        <v>6.7417999999999996</v>
      </c>
      <c r="C472" s="9">
        <f>6.7418 * CHOOSE(CONTROL!$C$32, $C$9, 100%, $E$9)</f>
        <v>6.7417999999999996</v>
      </c>
      <c r="D472" s="9">
        <f>6.7428 * CHOOSE(CONTROL!$C$32, $C$9, 100%, $E$9)</f>
        <v>6.7427999999999999</v>
      </c>
      <c r="E472" s="11">
        <f>7.0144 * CHOOSE(CONTROL!$C$32, $C$9, 100%, $E$9)</f>
        <v>7.0144000000000002</v>
      </c>
      <c r="F472" s="11">
        <f>7.0144 * CHOOSE(CONTROL!$C$32, $C$9, 100%, $E$9)</f>
        <v>7.0144000000000002</v>
      </c>
      <c r="G472" s="11">
        <f>7.0177 * CHOOSE(CONTROL!$C$32, $C$9, 100%, $E$9)</f>
        <v>7.0176999999999996</v>
      </c>
      <c r="H472" s="11">
        <f>14.9565 * CHOOSE(CONTROL!$C$32, $C$9, 100%, $E$9)</f>
        <v>14.9565</v>
      </c>
      <c r="I472" s="11">
        <f>14.9597 * CHOOSE(CONTROL!$C$32, $C$9, 100%, $E$9)</f>
        <v>14.9597</v>
      </c>
      <c r="J472" s="11">
        <f>14.9565 * CHOOSE(CONTROL!$C$32, $C$9, 100%, $E$9)</f>
        <v>14.9565</v>
      </c>
      <c r="K472" s="11">
        <f>14.9597 * CHOOSE(CONTROL!$C$32, $C$9, 100%, $E$9)</f>
        <v>14.9597</v>
      </c>
      <c r="L472" s="11">
        <f>7.0144 * CHOOSE(CONTROL!$C$32, $C$9, 100%, $E$9)</f>
        <v>7.0144000000000002</v>
      </c>
      <c r="M472" s="11">
        <f>7.0177 * CHOOSE(CONTROL!$C$32, $C$9, 100%, $E$9)</f>
        <v>7.0176999999999996</v>
      </c>
      <c r="N472" s="11">
        <f>7.0144 * CHOOSE(CONTROL!$C$32, $C$9, 100%, $E$9)</f>
        <v>7.0144000000000002</v>
      </c>
      <c r="O472" s="11">
        <f>7.0177 * CHOOSE(CONTROL!$C$32, $C$9, 100%, $E$9)</f>
        <v>7.0176999999999996</v>
      </c>
    </row>
    <row r="473" spans="1:15" ht="15" x14ac:dyDescent="0.2">
      <c r="A473" s="13">
        <v>55244</v>
      </c>
      <c r="B473" s="9">
        <f>6.7421 * CHOOSE(CONTROL!$C$32, $C$9, 100%, $E$9)</f>
        <v>6.7420999999999998</v>
      </c>
      <c r="C473" s="9">
        <f>6.7421 * CHOOSE(CONTROL!$C$32, $C$9, 100%, $E$9)</f>
        <v>6.7420999999999998</v>
      </c>
      <c r="D473" s="9">
        <f>6.7431 * CHOOSE(CONTROL!$C$32, $C$9, 100%, $E$9)</f>
        <v>6.7431000000000001</v>
      </c>
      <c r="E473" s="11">
        <f>7.1486 * CHOOSE(CONTROL!$C$32, $C$9, 100%, $E$9)</f>
        <v>7.1486000000000001</v>
      </c>
      <c r="F473" s="11">
        <f>7.1486 * CHOOSE(CONTROL!$C$32, $C$9, 100%, $E$9)</f>
        <v>7.1486000000000001</v>
      </c>
      <c r="G473" s="11">
        <f>7.1519 * CHOOSE(CONTROL!$C$32, $C$9, 100%, $E$9)</f>
        <v>7.1519000000000004</v>
      </c>
      <c r="H473" s="11">
        <f>14.9876 * CHOOSE(CONTROL!$C$32, $C$9, 100%, $E$9)</f>
        <v>14.9876</v>
      </c>
      <c r="I473" s="11">
        <f>14.9909 * CHOOSE(CONTROL!$C$32, $C$9, 100%, $E$9)</f>
        <v>14.9909</v>
      </c>
      <c r="J473" s="11">
        <f>14.9876 * CHOOSE(CONTROL!$C$32, $C$9, 100%, $E$9)</f>
        <v>14.9876</v>
      </c>
      <c r="K473" s="11">
        <f>14.9909 * CHOOSE(CONTROL!$C$32, $C$9, 100%, $E$9)</f>
        <v>14.9909</v>
      </c>
      <c r="L473" s="11">
        <f>7.1486 * CHOOSE(CONTROL!$C$32, $C$9, 100%, $E$9)</f>
        <v>7.1486000000000001</v>
      </c>
      <c r="M473" s="11">
        <f>7.1519 * CHOOSE(CONTROL!$C$32, $C$9, 100%, $E$9)</f>
        <v>7.1519000000000004</v>
      </c>
      <c r="N473" s="11">
        <f>7.1486 * CHOOSE(CONTROL!$C$32, $C$9, 100%, $E$9)</f>
        <v>7.1486000000000001</v>
      </c>
      <c r="O473" s="11">
        <f>7.1519 * CHOOSE(CONTROL!$C$32, $C$9, 100%, $E$9)</f>
        <v>7.1519000000000004</v>
      </c>
    </row>
    <row r="474" spans="1:15" ht="15" x14ac:dyDescent="0.2">
      <c r="A474" s="13">
        <v>55274</v>
      </c>
      <c r="B474" s="9">
        <f>6.7421 * CHOOSE(CONTROL!$C$32, $C$9, 100%, $E$9)</f>
        <v>6.7420999999999998</v>
      </c>
      <c r="C474" s="9">
        <f>6.7421 * CHOOSE(CONTROL!$C$32, $C$9, 100%, $E$9)</f>
        <v>6.7420999999999998</v>
      </c>
      <c r="D474" s="9">
        <f>6.7434 * CHOOSE(CONTROL!$C$32, $C$9, 100%, $E$9)</f>
        <v>6.7434000000000003</v>
      </c>
      <c r="E474" s="11">
        <f>7.2006 * CHOOSE(CONTROL!$C$32, $C$9, 100%, $E$9)</f>
        <v>7.2005999999999997</v>
      </c>
      <c r="F474" s="11">
        <f>7.2006 * CHOOSE(CONTROL!$C$32, $C$9, 100%, $E$9)</f>
        <v>7.2005999999999997</v>
      </c>
      <c r="G474" s="11">
        <f>7.2048 * CHOOSE(CONTROL!$C$32, $C$9, 100%, $E$9)</f>
        <v>7.2047999999999996</v>
      </c>
      <c r="H474" s="11">
        <f>15.0189 * CHOOSE(CONTROL!$C$32, $C$9, 100%, $E$9)</f>
        <v>15.0189</v>
      </c>
      <c r="I474" s="11">
        <f>15.0231 * CHOOSE(CONTROL!$C$32, $C$9, 100%, $E$9)</f>
        <v>15.023099999999999</v>
      </c>
      <c r="J474" s="11">
        <f>15.0189 * CHOOSE(CONTROL!$C$32, $C$9, 100%, $E$9)</f>
        <v>15.0189</v>
      </c>
      <c r="K474" s="11">
        <f>15.0231 * CHOOSE(CONTROL!$C$32, $C$9, 100%, $E$9)</f>
        <v>15.023099999999999</v>
      </c>
      <c r="L474" s="11">
        <f>7.2006 * CHOOSE(CONTROL!$C$32, $C$9, 100%, $E$9)</f>
        <v>7.2005999999999997</v>
      </c>
      <c r="M474" s="11">
        <f>7.2048 * CHOOSE(CONTROL!$C$32, $C$9, 100%, $E$9)</f>
        <v>7.2047999999999996</v>
      </c>
      <c r="N474" s="11">
        <f>7.2006 * CHOOSE(CONTROL!$C$32, $C$9, 100%, $E$9)</f>
        <v>7.2005999999999997</v>
      </c>
      <c r="O474" s="11">
        <f>7.2048 * CHOOSE(CONTROL!$C$32, $C$9, 100%, $E$9)</f>
        <v>7.2047999999999996</v>
      </c>
    </row>
    <row r="475" spans="1:15" ht="15" x14ac:dyDescent="0.2">
      <c r="A475" s="13">
        <v>55305</v>
      </c>
      <c r="B475" s="9">
        <f>6.7482 * CHOOSE(CONTROL!$C$32, $C$9, 100%, $E$9)</f>
        <v>6.7481999999999998</v>
      </c>
      <c r="C475" s="9">
        <f>6.7482 * CHOOSE(CONTROL!$C$32, $C$9, 100%, $E$9)</f>
        <v>6.7481999999999998</v>
      </c>
      <c r="D475" s="9">
        <f>6.7495 * CHOOSE(CONTROL!$C$32, $C$9, 100%, $E$9)</f>
        <v>6.7495000000000003</v>
      </c>
      <c r="E475" s="11">
        <f>7.1529 * CHOOSE(CONTROL!$C$32, $C$9, 100%, $E$9)</f>
        <v>7.1528999999999998</v>
      </c>
      <c r="F475" s="11">
        <f>7.1529 * CHOOSE(CONTROL!$C$32, $C$9, 100%, $E$9)</f>
        <v>7.1528999999999998</v>
      </c>
      <c r="G475" s="11">
        <f>7.1571 * CHOOSE(CONTROL!$C$32, $C$9, 100%, $E$9)</f>
        <v>7.1570999999999998</v>
      </c>
      <c r="H475" s="11">
        <f>15.0501 * CHOOSE(CONTROL!$C$32, $C$9, 100%, $E$9)</f>
        <v>15.0501</v>
      </c>
      <c r="I475" s="11">
        <f>15.0543 * CHOOSE(CONTROL!$C$32, $C$9, 100%, $E$9)</f>
        <v>15.0543</v>
      </c>
      <c r="J475" s="11">
        <f>15.0501 * CHOOSE(CONTROL!$C$32, $C$9, 100%, $E$9)</f>
        <v>15.0501</v>
      </c>
      <c r="K475" s="11">
        <f>15.0543 * CHOOSE(CONTROL!$C$32, $C$9, 100%, $E$9)</f>
        <v>15.0543</v>
      </c>
      <c r="L475" s="11">
        <f>7.1529 * CHOOSE(CONTROL!$C$32, $C$9, 100%, $E$9)</f>
        <v>7.1528999999999998</v>
      </c>
      <c r="M475" s="11">
        <f>7.1571 * CHOOSE(CONTROL!$C$32, $C$9, 100%, $E$9)</f>
        <v>7.1570999999999998</v>
      </c>
      <c r="N475" s="11">
        <f>7.1529 * CHOOSE(CONTROL!$C$32, $C$9, 100%, $E$9)</f>
        <v>7.1528999999999998</v>
      </c>
      <c r="O475" s="11">
        <f>7.1571 * CHOOSE(CONTROL!$C$32, $C$9, 100%, $E$9)</f>
        <v>7.1570999999999998</v>
      </c>
    </row>
    <row r="476" spans="1:15" ht="15" x14ac:dyDescent="0.2">
      <c r="A476" s="13">
        <v>55335</v>
      </c>
      <c r="B476" s="9">
        <f>6.8369 * CHOOSE(CONTROL!$C$32, $C$9, 100%, $E$9)</f>
        <v>6.8369</v>
      </c>
      <c r="C476" s="9">
        <f>6.8369 * CHOOSE(CONTROL!$C$32, $C$9, 100%, $E$9)</f>
        <v>6.8369</v>
      </c>
      <c r="D476" s="9">
        <f>6.8382 * CHOOSE(CONTROL!$C$32, $C$9, 100%, $E$9)</f>
        <v>6.8381999999999996</v>
      </c>
      <c r="E476" s="11">
        <f>7.1785 * CHOOSE(CONTROL!$C$32, $C$9, 100%, $E$9)</f>
        <v>7.1784999999999997</v>
      </c>
      <c r="F476" s="11">
        <f>7.1785 * CHOOSE(CONTROL!$C$32, $C$9, 100%, $E$9)</f>
        <v>7.1784999999999997</v>
      </c>
      <c r="G476" s="11">
        <f>7.1827 * CHOOSE(CONTROL!$C$32, $C$9, 100%, $E$9)</f>
        <v>7.1826999999999996</v>
      </c>
      <c r="H476" s="11">
        <f>15.0815 * CHOOSE(CONTROL!$C$32, $C$9, 100%, $E$9)</f>
        <v>15.0815</v>
      </c>
      <c r="I476" s="11">
        <f>15.0857 * CHOOSE(CONTROL!$C$32, $C$9, 100%, $E$9)</f>
        <v>15.085699999999999</v>
      </c>
      <c r="J476" s="11">
        <f>15.0815 * CHOOSE(CONTROL!$C$32, $C$9, 100%, $E$9)</f>
        <v>15.0815</v>
      </c>
      <c r="K476" s="11">
        <f>15.0857 * CHOOSE(CONTROL!$C$32, $C$9, 100%, $E$9)</f>
        <v>15.085699999999999</v>
      </c>
      <c r="L476" s="11">
        <f>7.1785 * CHOOSE(CONTROL!$C$32, $C$9, 100%, $E$9)</f>
        <v>7.1784999999999997</v>
      </c>
      <c r="M476" s="11">
        <f>7.1827 * CHOOSE(CONTROL!$C$32, $C$9, 100%, $E$9)</f>
        <v>7.1826999999999996</v>
      </c>
      <c r="N476" s="11">
        <f>7.1785 * CHOOSE(CONTROL!$C$32, $C$9, 100%, $E$9)</f>
        <v>7.1784999999999997</v>
      </c>
      <c r="O476" s="11">
        <f>7.1827 * CHOOSE(CONTROL!$C$32, $C$9, 100%, $E$9)</f>
        <v>7.1826999999999996</v>
      </c>
    </row>
    <row r="477" spans="1:15" ht="15" x14ac:dyDescent="0.2">
      <c r="A477" s="13">
        <v>55366</v>
      </c>
      <c r="B477" s="9">
        <f>6.8436 * CHOOSE(CONTROL!$C$32, $C$9, 100%, $E$9)</f>
        <v>6.8436000000000003</v>
      </c>
      <c r="C477" s="9">
        <f>6.8436 * CHOOSE(CONTROL!$C$32, $C$9, 100%, $E$9)</f>
        <v>6.8436000000000003</v>
      </c>
      <c r="D477" s="9">
        <f>6.8449 * CHOOSE(CONTROL!$C$32, $C$9, 100%, $E$9)</f>
        <v>6.8449</v>
      </c>
      <c r="E477" s="11">
        <f>7.0274 * CHOOSE(CONTROL!$C$32, $C$9, 100%, $E$9)</f>
        <v>7.0274000000000001</v>
      </c>
      <c r="F477" s="11">
        <f>7.0274 * CHOOSE(CONTROL!$C$32, $C$9, 100%, $E$9)</f>
        <v>7.0274000000000001</v>
      </c>
      <c r="G477" s="11">
        <f>7.0316 * CHOOSE(CONTROL!$C$32, $C$9, 100%, $E$9)</f>
        <v>7.0316000000000001</v>
      </c>
      <c r="H477" s="11">
        <f>15.1129 * CHOOSE(CONTROL!$C$32, $C$9, 100%, $E$9)</f>
        <v>15.1129</v>
      </c>
      <c r="I477" s="11">
        <f>15.1171 * CHOOSE(CONTROL!$C$32, $C$9, 100%, $E$9)</f>
        <v>15.117100000000001</v>
      </c>
      <c r="J477" s="11">
        <f>15.1129 * CHOOSE(CONTROL!$C$32, $C$9, 100%, $E$9)</f>
        <v>15.1129</v>
      </c>
      <c r="K477" s="11">
        <f>15.1171 * CHOOSE(CONTROL!$C$32, $C$9, 100%, $E$9)</f>
        <v>15.117100000000001</v>
      </c>
      <c r="L477" s="11">
        <f>7.0274 * CHOOSE(CONTROL!$C$32, $C$9, 100%, $E$9)</f>
        <v>7.0274000000000001</v>
      </c>
      <c r="M477" s="11">
        <f>7.0316 * CHOOSE(CONTROL!$C$32, $C$9, 100%, $E$9)</f>
        <v>7.0316000000000001</v>
      </c>
      <c r="N477" s="11">
        <f>7.0274 * CHOOSE(CONTROL!$C$32, $C$9, 100%, $E$9)</f>
        <v>7.0274000000000001</v>
      </c>
      <c r="O477" s="11">
        <f>7.0316 * CHOOSE(CONTROL!$C$32, $C$9, 100%, $E$9)</f>
        <v>7.0316000000000001</v>
      </c>
    </row>
    <row r="478" spans="1:15" ht="15" x14ac:dyDescent="0.2">
      <c r="A478" s="13">
        <v>55397</v>
      </c>
      <c r="B478" s="9">
        <f>6.8406 * CHOOSE(CONTROL!$C$32, $C$9, 100%, $E$9)</f>
        <v>6.8406000000000002</v>
      </c>
      <c r="C478" s="9">
        <f>6.8406 * CHOOSE(CONTROL!$C$32, $C$9, 100%, $E$9)</f>
        <v>6.8406000000000002</v>
      </c>
      <c r="D478" s="9">
        <f>6.8418 * CHOOSE(CONTROL!$C$32, $C$9, 100%, $E$9)</f>
        <v>6.8418000000000001</v>
      </c>
      <c r="E478" s="11">
        <f>7.008 * CHOOSE(CONTROL!$C$32, $C$9, 100%, $E$9)</f>
        <v>7.008</v>
      </c>
      <c r="F478" s="11">
        <f>7.008 * CHOOSE(CONTROL!$C$32, $C$9, 100%, $E$9)</f>
        <v>7.008</v>
      </c>
      <c r="G478" s="11">
        <f>7.0122 * CHOOSE(CONTROL!$C$32, $C$9, 100%, $E$9)</f>
        <v>7.0122</v>
      </c>
      <c r="H478" s="11">
        <f>15.1444 * CHOOSE(CONTROL!$C$32, $C$9, 100%, $E$9)</f>
        <v>15.144399999999999</v>
      </c>
      <c r="I478" s="11">
        <f>15.1486 * CHOOSE(CONTROL!$C$32, $C$9, 100%, $E$9)</f>
        <v>15.1486</v>
      </c>
      <c r="J478" s="11">
        <f>15.1444 * CHOOSE(CONTROL!$C$32, $C$9, 100%, $E$9)</f>
        <v>15.144399999999999</v>
      </c>
      <c r="K478" s="11">
        <f>15.1486 * CHOOSE(CONTROL!$C$32, $C$9, 100%, $E$9)</f>
        <v>15.1486</v>
      </c>
      <c r="L478" s="11">
        <f>7.008 * CHOOSE(CONTROL!$C$32, $C$9, 100%, $E$9)</f>
        <v>7.008</v>
      </c>
      <c r="M478" s="11">
        <f>7.0122 * CHOOSE(CONTROL!$C$32, $C$9, 100%, $E$9)</f>
        <v>7.0122</v>
      </c>
      <c r="N478" s="11">
        <f>7.008 * CHOOSE(CONTROL!$C$32, $C$9, 100%, $E$9)</f>
        <v>7.008</v>
      </c>
      <c r="O478" s="11">
        <f>7.0122 * CHOOSE(CONTROL!$C$32, $C$9, 100%, $E$9)</f>
        <v>7.0122</v>
      </c>
    </row>
    <row r="479" spans="1:15" ht="15" x14ac:dyDescent="0.2">
      <c r="A479" s="13">
        <v>55427</v>
      </c>
      <c r="B479" s="9">
        <f>6.8462 * CHOOSE(CONTROL!$C$32, $C$9, 100%, $E$9)</f>
        <v>6.8461999999999996</v>
      </c>
      <c r="C479" s="9">
        <f>6.8462 * CHOOSE(CONTROL!$C$32, $C$9, 100%, $E$9)</f>
        <v>6.8461999999999996</v>
      </c>
      <c r="D479" s="9">
        <f>6.8472 * CHOOSE(CONTROL!$C$32, $C$9, 100%, $E$9)</f>
        <v>6.8472</v>
      </c>
      <c r="E479" s="11">
        <f>7.0638 * CHOOSE(CONTROL!$C$32, $C$9, 100%, $E$9)</f>
        <v>7.0637999999999996</v>
      </c>
      <c r="F479" s="11">
        <f>7.0638 * CHOOSE(CONTROL!$C$32, $C$9, 100%, $E$9)</f>
        <v>7.0637999999999996</v>
      </c>
      <c r="G479" s="11">
        <f>7.067 * CHOOSE(CONTROL!$C$32, $C$9, 100%, $E$9)</f>
        <v>7.0670000000000002</v>
      </c>
      <c r="H479" s="11">
        <f>15.176 * CHOOSE(CONTROL!$C$32, $C$9, 100%, $E$9)</f>
        <v>15.176</v>
      </c>
      <c r="I479" s="11">
        <f>15.1792 * CHOOSE(CONTROL!$C$32, $C$9, 100%, $E$9)</f>
        <v>15.1792</v>
      </c>
      <c r="J479" s="11">
        <f>15.176 * CHOOSE(CONTROL!$C$32, $C$9, 100%, $E$9)</f>
        <v>15.176</v>
      </c>
      <c r="K479" s="11">
        <f>15.1792 * CHOOSE(CONTROL!$C$32, $C$9, 100%, $E$9)</f>
        <v>15.1792</v>
      </c>
      <c r="L479" s="11">
        <f>7.0638 * CHOOSE(CONTROL!$C$32, $C$9, 100%, $E$9)</f>
        <v>7.0637999999999996</v>
      </c>
      <c r="M479" s="11">
        <f>7.067 * CHOOSE(CONTROL!$C$32, $C$9, 100%, $E$9)</f>
        <v>7.0670000000000002</v>
      </c>
      <c r="N479" s="11">
        <f>7.0638 * CHOOSE(CONTROL!$C$32, $C$9, 100%, $E$9)</f>
        <v>7.0637999999999996</v>
      </c>
      <c r="O479" s="11">
        <f>7.067 * CHOOSE(CONTROL!$C$32, $C$9, 100%, $E$9)</f>
        <v>7.0670000000000002</v>
      </c>
    </row>
    <row r="480" spans="1:15" ht="15" x14ac:dyDescent="0.2">
      <c r="A480" s="13">
        <v>55458</v>
      </c>
      <c r="B480" s="9">
        <f>6.8492 * CHOOSE(CONTROL!$C$32, $C$9, 100%, $E$9)</f>
        <v>6.8491999999999997</v>
      </c>
      <c r="C480" s="9">
        <f>6.8492 * CHOOSE(CONTROL!$C$32, $C$9, 100%, $E$9)</f>
        <v>6.8491999999999997</v>
      </c>
      <c r="D480" s="9">
        <f>6.8502 * CHOOSE(CONTROL!$C$32, $C$9, 100%, $E$9)</f>
        <v>6.8502000000000001</v>
      </c>
      <c r="E480" s="11">
        <f>7.1005 * CHOOSE(CONTROL!$C$32, $C$9, 100%, $E$9)</f>
        <v>7.1005000000000003</v>
      </c>
      <c r="F480" s="11">
        <f>7.1005 * CHOOSE(CONTROL!$C$32, $C$9, 100%, $E$9)</f>
        <v>7.1005000000000003</v>
      </c>
      <c r="G480" s="11">
        <f>7.1038 * CHOOSE(CONTROL!$C$32, $C$9, 100%, $E$9)</f>
        <v>7.1037999999999997</v>
      </c>
      <c r="H480" s="11">
        <f>15.2076 * CHOOSE(CONTROL!$C$32, $C$9, 100%, $E$9)</f>
        <v>15.207599999999999</v>
      </c>
      <c r="I480" s="11">
        <f>15.2108 * CHOOSE(CONTROL!$C$32, $C$9, 100%, $E$9)</f>
        <v>15.210800000000001</v>
      </c>
      <c r="J480" s="11">
        <f>15.2076 * CHOOSE(CONTROL!$C$32, $C$9, 100%, $E$9)</f>
        <v>15.207599999999999</v>
      </c>
      <c r="K480" s="11">
        <f>15.2108 * CHOOSE(CONTROL!$C$32, $C$9, 100%, $E$9)</f>
        <v>15.210800000000001</v>
      </c>
      <c r="L480" s="11">
        <f>7.1005 * CHOOSE(CONTROL!$C$32, $C$9, 100%, $E$9)</f>
        <v>7.1005000000000003</v>
      </c>
      <c r="M480" s="11">
        <f>7.1038 * CHOOSE(CONTROL!$C$32, $C$9, 100%, $E$9)</f>
        <v>7.1037999999999997</v>
      </c>
      <c r="N480" s="11">
        <f>7.1005 * CHOOSE(CONTROL!$C$32, $C$9, 100%, $E$9)</f>
        <v>7.1005000000000003</v>
      </c>
      <c r="O480" s="11">
        <f>7.1038 * CHOOSE(CONTROL!$C$32, $C$9, 100%, $E$9)</f>
        <v>7.1037999999999997</v>
      </c>
    </row>
    <row r="481" spans="1:15" ht="15" x14ac:dyDescent="0.2">
      <c r="A481" s="13">
        <v>55488</v>
      </c>
      <c r="B481" s="9">
        <f>6.8492 * CHOOSE(CONTROL!$C$32, $C$9, 100%, $E$9)</f>
        <v>6.8491999999999997</v>
      </c>
      <c r="C481" s="9">
        <f>6.8492 * CHOOSE(CONTROL!$C$32, $C$9, 100%, $E$9)</f>
        <v>6.8491999999999997</v>
      </c>
      <c r="D481" s="9">
        <f>6.8502 * CHOOSE(CONTROL!$C$32, $C$9, 100%, $E$9)</f>
        <v>6.8502000000000001</v>
      </c>
      <c r="E481" s="11">
        <f>7.014 * CHOOSE(CONTROL!$C$32, $C$9, 100%, $E$9)</f>
        <v>7.0140000000000002</v>
      </c>
      <c r="F481" s="11">
        <f>7.014 * CHOOSE(CONTROL!$C$32, $C$9, 100%, $E$9)</f>
        <v>7.0140000000000002</v>
      </c>
      <c r="G481" s="11">
        <f>7.0172 * CHOOSE(CONTROL!$C$32, $C$9, 100%, $E$9)</f>
        <v>7.0171999999999999</v>
      </c>
      <c r="H481" s="11">
        <f>15.2393 * CHOOSE(CONTROL!$C$32, $C$9, 100%, $E$9)</f>
        <v>15.2393</v>
      </c>
      <c r="I481" s="11">
        <f>15.2425 * CHOOSE(CONTROL!$C$32, $C$9, 100%, $E$9)</f>
        <v>15.2425</v>
      </c>
      <c r="J481" s="11">
        <f>15.2393 * CHOOSE(CONTROL!$C$32, $C$9, 100%, $E$9)</f>
        <v>15.2393</v>
      </c>
      <c r="K481" s="11">
        <f>15.2425 * CHOOSE(CONTROL!$C$32, $C$9, 100%, $E$9)</f>
        <v>15.2425</v>
      </c>
      <c r="L481" s="11">
        <f>7.014 * CHOOSE(CONTROL!$C$32, $C$9, 100%, $E$9)</f>
        <v>7.0140000000000002</v>
      </c>
      <c r="M481" s="11">
        <f>7.0172 * CHOOSE(CONTROL!$C$32, $C$9, 100%, $E$9)</f>
        <v>7.0171999999999999</v>
      </c>
      <c r="N481" s="11">
        <f>7.014 * CHOOSE(CONTROL!$C$32, $C$9, 100%, $E$9)</f>
        <v>7.0140000000000002</v>
      </c>
      <c r="O481" s="11">
        <f>7.0172 * CHOOSE(CONTROL!$C$32, $C$9, 100%, $E$9)</f>
        <v>7.0171999999999999</v>
      </c>
    </row>
    <row r="482" spans="1:15" ht="15" x14ac:dyDescent="0.2">
      <c r="A482" s="13">
        <v>55519</v>
      </c>
      <c r="B482" s="9">
        <f>6.901 * CHOOSE(CONTROL!$C$32, $C$9, 100%, $E$9)</f>
        <v>6.9009999999999998</v>
      </c>
      <c r="C482" s="9">
        <f>6.901 * CHOOSE(CONTROL!$C$32, $C$9, 100%, $E$9)</f>
        <v>6.9009999999999998</v>
      </c>
      <c r="D482" s="9">
        <f>6.9019 * CHOOSE(CONTROL!$C$32, $C$9, 100%, $E$9)</f>
        <v>6.9019000000000004</v>
      </c>
      <c r="E482" s="11">
        <f>7.1072 * CHOOSE(CONTROL!$C$32, $C$9, 100%, $E$9)</f>
        <v>7.1071999999999997</v>
      </c>
      <c r="F482" s="11">
        <f>7.1072 * CHOOSE(CONTROL!$C$32, $C$9, 100%, $E$9)</f>
        <v>7.1071999999999997</v>
      </c>
      <c r="G482" s="11">
        <f>7.1104 * CHOOSE(CONTROL!$C$32, $C$9, 100%, $E$9)</f>
        <v>7.1104000000000003</v>
      </c>
      <c r="H482" s="11">
        <f>15.271 * CHOOSE(CONTROL!$C$32, $C$9, 100%, $E$9)</f>
        <v>15.271000000000001</v>
      </c>
      <c r="I482" s="11">
        <f>15.2742 * CHOOSE(CONTROL!$C$32, $C$9, 100%, $E$9)</f>
        <v>15.2742</v>
      </c>
      <c r="J482" s="11">
        <f>15.271 * CHOOSE(CONTROL!$C$32, $C$9, 100%, $E$9)</f>
        <v>15.271000000000001</v>
      </c>
      <c r="K482" s="11">
        <f>15.2742 * CHOOSE(CONTROL!$C$32, $C$9, 100%, $E$9)</f>
        <v>15.2742</v>
      </c>
      <c r="L482" s="11">
        <f>7.1072 * CHOOSE(CONTROL!$C$32, $C$9, 100%, $E$9)</f>
        <v>7.1071999999999997</v>
      </c>
      <c r="M482" s="11">
        <f>7.1104 * CHOOSE(CONTROL!$C$32, $C$9, 100%, $E$9)</f>
        <v>7.1104000000000003</v>
      </c>
      <c r="N482" s="11">
        <f>7.1072 * CHOOSE(CONTROL!$C$32, $C$9, 100%, $E$9)</f>
        <v>7.1071999999999997</v>
      </c>
      <c r="O482" s="11">
        <f>7.1104 * CHOOSE(CONTROL!$C$32, $C$9, 100%, $E$9)</f>
        <v>7.1104000000000003</v>
      </c>
    </row>
    <row r="483" spans="1:15" ht="15" x14ac:dyDescent="0.2">
      <c r="A483" s="13">
        <v>55550</v>
      </c>
      <c r="B483" s="9">
        <f>6.8979 * CHOOSE(CONTROL!$C$32, $C$9, 100%, $E$9)</f>
        <v>6.8978999999999999</v>
      </c>
      <c r="C483" s="9">
        <f>6.8979 * CHOOSE(CONTROL!$C$32, $C$9, 100%, $E$9)</f>
        <v>6.8978999999999999</v>
      </c>
      <c r="D483" s="9">
        <f>6.8989 * CHOOSE(CONTROL!$C$32, $C$9, 100%, $E$9)</f>
        <v>6.8989000000000003</v>
      </c>
      <c r="E483" s="11">
        <f>6.9363 * CHOOSE(CONTROL!$C$32, $C$9, 100%, $E$9)</f>
        <v>6.9363000000000001</v>
      </c>
      <c r="F483" s="11">
        <f>6.9363 * CHOOSE(CONTROL!$C$32, $C$9, 100%, $E$9)</f>
        <v>6.9363000000000001</v>
      </c>
      <c r="G483" s="11">
        <f>6.9395 * CHOOSE(CONTROL!$C$32, $C$9, 100%, $E$9)</f>
        <v>6.9394999999999998</v>
      </c>
      <c r="H483" s="11">
        <f>15.3028 * CHOOSE(CONTROL!$C$32, $C$9, 100%, $E$9)</f>
        <v>15.3028</v>
      </c>
      <c r="I483" s="11">
        <f>15.306 * CHOOSE(CONTROL!$C$32, $C$9, 100%, $E$9)</f>
        <v>15.305999999999999</v>
      </c>
      <c r="J483" s="11">
        <f>15.3028 * CHOOSE(CONTROL!$C$32, $C$9, 100%, $E$9)</f>
        <v>15.3028</v>
      </c>
      <c r="K483" s="11">
        <f>15.306 * CHOOSE(CONTROL!$C$32, $C$9, 100%, $E$9)</f>
        <v>15.305999999999999</v>
      </c>
      <c r="L483" s="11">
        <f>6.9363 * CHOOSE(CONTROL!$C$32, $C$9, 100%, $E$9)</f>
        <v>6.9363000000000001</v>
      </c>
      <c r="M483" s="11">
        <f>6.9395 * CHOOSE(CONTROL!$C$32, $C$9, 100%, $E$9)</f>
        <v>6.9394999999999998</v>
      </c>
      <c r="N483" s="11">
        <f>6.9363 * CHOOSE(CONTROL!$C$32, $C$9, 100%, $E$9)</f>
        <v>6.9363000000000001</v>
      </c>
      <c r="O483" s="11">
        <f>6.9395 * CHOOSE(CONTROL!$C$32, $C$9, 100%, $E$9)</f>
        <v>6.9394999999999998</v>
      </c>
    </row>
    <row r="484" spans="1:15" ht="15" x14ac:dyDescent="0.2">
      <c r="A484" s="13">
        <v>55579</v>
      </c>
      <c r="B484" s="9">
        <f>6.8949 * CHOOSE(CONTROL!$C$32, $C$9, 100%, $E$9)</f>
        <v>6.8948999999999998</v>
      </c>
      <c r="C484" s="9">
        <f>6.8949 * CHOOSE(CONTROL!$C$32, $C$9, 100%, $E$9)</f>
        <v>6.8948999999999998</v>
      </c>
      <c r="D484" s="9">
        <f>6.8959 * CHOOSE(CONTROL!$C$32, $C$9, 100%, $E$9)</f>
        <v>6.8959000000000001</v>
      </c>
      <c r="E484" s="11">
        <f>7.0672 * CHOOSE(CONTROL!$C$32, $C$9, 100%, $E$9)</f>
        <v>7.0671999999999997</v>
      </c>
      <c r="F484" s="11">
        <f>7.0672 * CHOOSE(CONTROL!$C$32, $C$9, 100%, $E$9)</f>
        <v>7.0671999999999997</v>
      </c>
      <c r="G484" s="11">
        <f>7.0705 * CHOOSE(CONTROL!$C$32, $C$9, 100%, $E$9)</f>
        <v>7.0705</v>
      </c>
      <c r="H484" s="11">
        <f>15.3347 * CHOOSE(CONTROL!$C$32, $C$9, 100%, $E$9)</f>
        <v>15.3347</v>
      </c>
      <c r="I484" s="11">
        <f>15.3379 * CHOOSE(CONTROL!$C$32, $C$9, 100%, $E$9)</f>
        <v>15.337899999999999</v>
      </c>
      <c r="J484" s="11">
        <f>15.3347 * CHOOSE(CONTROL!$C$32, $C$9, 100%, $E$9)</f>
        <v>15.3347</v>
      </c>
      <c r="K484" s="11">
        <f>15.3379 * CHOOSE(CONTROL!$C$32, $C$9, 100%, $E$9)</f>
        <v>15.337899999999999</v>
      </c>
      <c r="L484" s="11">
        <f>7.0672 * CHOOSE(CONTROL!$C$32, $C$9, 100%, $E$9)</f>
        <v>7.0671999999999997</v>
      </c>
      <c r="M484" s="11">
        <f>7.0705 * CHOOSE(CONTROL!$C$32, $C$9, 100%, $E$9)</f>
        <v>7.0705</v>
      </c>
      <c r="N484" s="11">
        <f>7.0672 * CHOOSE(CONTROL!$C$32, $C$9, 100%, $E$9)</f>
        <v>7.0671999999999997</v>
      </c>
      <c r="O484" s="11">
        <f>7.0705 * CHOOSE(CONTROL!$C$32, $C$9, 100%, $E$9)</f>
        <v>7.0705</v>
      </c>
    </row>
    <row r="485" spans="1:15" ht="15" x14ac:dyDescent="0.2">
      <c r="A485" s="13">
        <v>55610</v>
      </c>
      <c r="B485" s="9">
        <f>6.8953 * CHOOSE(CONTROL!$C$32, $C$9, 100%, $E$9)</f>
        <v>6.8952999999999998</v>
      </c>
      <c r="C485" s="9">
        <f>6.8953 * CHOOSE(CONTROL!$C$32, $C$9, 100%, $E$9)</f>
        <v>6.8952999999999998</v>
      </c>
      <c r="D485" s="9">
        <f>6.8963 * CHOOSE(CONTROL!$C$32, $C$9, 100%, $E$9)</f>
        <v>6.8963000000000001</v>
      </c>
      <c r="E485" s="11">
        <f>7.2059 * CHOOSE(CONTROL!$C$32, $C$9, 100%, $E$9)</f>
        <v>7.2058999999999997</v>
      </c>
      <c r="F485" s="11">
        <f>7.2059 * CHOOSE(CONTROL!$C$32, $C$9, 100%, $E$9)</f>
        <v>7.2058999999999997</v>
      </c>
      <c r="G485" s="11">
        <f>7.2092 * CHOOSE(CONTROL!$C$32, $C$9, 100%, $E$9)</f>
        <v>7.2092000000000001</v>
      </c>
      <c r="H485" s="11">
        <f>15.3666 * CHOOSE(CONTROL!$C$32, $C$9, 100%, $E$9)</f>
        <v>15.3666</v>
      </c>
      <c r="I485" s="11">
        <f>15.3699 * CHOOSE(CONTROL!$C$32, $C$9, 100%, $E$9)</f>
        <v>15.369899999999999</v>
      </c>
      <c r="J485" s="11">
        <f>15.3666 * CHOOSE(CONTROL!$C$32, $C$9, 100%, $E$9)</f>
        <v>15.3666</v>
      </c>
      <c r="K485" s="11">
        <f>15.3699 * CHOOSE(CONTROL!$C$32, $C$9, 100%, $E$9)</f>
        <v>15.369899999999999</v>
      </c>
      <c r="L485" s="11">
        <f>7.2059 * CHOOSE(CONTROL!$C$32, $C$9, 100%, $E$9)</f>
        <v>7.2058999999999997</v>
      </c>
      <c r="M485" s="11">
        <f>7.2092 * CHOOSE(CONTROL!$C$32, $C$9, 100%, $E$9)</f>
        <v>7.2092000000000001</v>
      </c>
      <c r="N485" s="11">
        <f>7.2059 * CHOOSE(CONTROL!$C$32, $C$9, 100%, $E$9)</f>
        <v>7.2058999999999997</v>
      </c>
      <c r="O485" s="11">
        <f>7.2092 * CHOOSE(CONTROL!$C$32, $C$9, 100%, $E$9)</f>
        <v>7.2092000000000001</v>
      </c>
    </row>
    <row r="486" spans="1:15" ht="15" x14ac:dyDescent="0.2">
      <c r="A486" s="13">
        <v>55640</v>
      </c>
      <c r="B486" s="9">
        <f>6.8953 * CHOOSE(CONTROL!$C$32, $C$9, 100%, $E$9)</f>
        <v>6.8952999999999998</v>
      </c>
      <c r="C486" s="9">
        <f>6.8953 * CHOOSE(CONTROL!$C$32, $C$9, 100%, $E$9)</f>
        <v>6.8952999999999998</v>
      </c>
      <c r="D486" s="9">
        <f>6.8966 * CHOOSE(CONTROL!$C$32, $C$9, 100%, $E$9)</f>
        <v>6.8966000000000003</v>
      </c>
      <c r="E486" s="11">
        <f>7.2595 * CHOOSE(CONTROL!$C$32, $C$9, 100%, $E$9)</f>
        <v>7.2595000000000001</v>
      </c>
      <c r="F486" s="11">
        <f>7.2595 * CHOOSE(CONTROL!$C$32, $C$9, 100%, $E$9)</f>
        <v>7.2595000000000001</v>
      </c>
      <c r="G486" s="11">
        <f>7.2637 * CHOOSE(CONTROL!$C$32, $C$9, 100%, $E$9)</f>
        <v>7.2637</v>
      </c>
      <c r="H486" s="11">
        <f>15.3987 * CHOOSE(CONTROL!$C$32, $C$9, 100%, $E$9)</f>
        <v>15.3987</v>
      </c>
      <c r="I486" s="11">
        <f>15.4029 * CHOOSE(CONTROL!$C$32, $C$9, 100%, $E$9)</f>
        <v>15.402900000000001</v>
      </c>
      <c r="J486" s="11">
        <f>15.3987 * CHOOSE(CONTROL!$C$32, $C$9, 100%, $E$9)</f>
        <v>15.3987</v>
      </c>
      <c r="K486" s="11">
        <f>15.4029 * CHOOSE(CONTROL!$C$32, $C$9, 100%, $E$9)</f>
        <v>15.402900000000001</v>
      </c>
      <c r="L486" s="11">
        <f>7.2595 * CHOOSE(CONTROL!$C$32, $C$9, 100%, $E$9)</f>
        <v>7.2595000000000001</v>
      </c>
      <c r="M486" s="11">
        <f>7.2637 * CHOOSE(CONTROL!$C$32, $C$9, 100%, $E$9)</f>
        <v>7.2637</v>
      </c>
      <c r="N486" s="11">
        <f>7.2595 * CHOOSE(CONTROL!$C$32, $C$9, 100%, $E$9)</f>
        <v>7.2595000000000001</v>
      </c>
      <c r="O486" s="11">
        <f>7.2637 * CHOOSE(CONTROL!$C$32, $C$9, 100%, $E$9)</f>
        <v>7.2637</v>
      </c>
    </row>
    <row r="487" spans="1:15" ht="15" x14ac:dyDescent="0.2">
      <c r="A487" s="13">
        <v>55671</v>
      </c>
      <c r="B487" s="9">
        <f>6.9014 * CHOOSE(CONTROL!$C$32, $C$9, 100%, $E$9)</f>
        <v>6.9013999999999998</v>
      </c>
      <c r="C487" s="9">
        <f>6.9014 * CHOOSE(CONTROL!$C$32, $C$9, 100%, $E$9)</f>
        <v>6.9013999999999998</v>
      </c>
      <c r="D487" s="9">
        <f>6.9027 * CHOOSE(CONTROL!$C$32, $C$9, 100%, $E$9)</f>
        <v>6.9027000000000003</v>
      </c>
      <c r="E487" s="11">
        <f>7.2102 * CHOOSE(CONTROL!$C$32, $C$9, 100%, $E$9)</f>
        <v>7.2102000000000004</v>
      </c>
      <c r="F487" s="11">
        <f>7.2102 * CHOOSE(CONTROL!$C$32, $C$9, 100%, $E$9)</f>
        <v>7.2102000000000004</v>
      </c>
      <c r="G487" s="11">
        <f>7.2144 * CHOOSE(CONTROL!$C$32, $C$9, 100%, $E$9)</f>
        <v>7.2144000000000004</v>
      </c>
      <c r="H487" s="11">
        <f>15.4307 * CHOOSE(CONTROL!$C$32, $C$9, 100%, $E$9)</f>
        <v>15.4307</v>
      </c>
      <c r="I487" s="11">
        <f>15.4349 * CHOOSE(CONTROL!$C$32, $C$9, 100%, $E$9)</f>
        <v>15.434900000000001</v>
      </c>
      <c r="J487" s="11">
        <f>15.4307 * CHOOSE(CONTROL!$C$32, $C$9, 100%, $E$9)</f>
        <v>15.4307</v>
      </c>
      <c r="K487" s="11">
        <f>15.4349 * CHOOSE(CONTROL!$C$32, $C$9, 100%, $E$9)</f>
        <v>15.434900000000001</v>
      </c>
      <c r="L487" s="11">
        <f>7.2102 * CHOOSE(CONTROL!$C$32, $C$9, 100%, $E$9)</f>
        <v>7.2102000000000004</v>
      </c>
      <c r="M487" s="11">
        <f>7.2144 * CHOOSE(CONTROL!$C$32, $C$9, 100%, $E$9)</f>
        <v>7.2144000000000004</v>
      </c>
      <c r="N487" s="11">
        <f>7.2102 * CHOOSE(CONTROL!$C$32, $C$9, 100%, $E$9)</f>
        <v>7.2102000000000004</v>
      </c>
      <c r="O487" s="11">
        <f>7.2144 * CHOOSE(CONTROL!$C$32, $C$9, 100%, $E$9)</f>
        <v>7.2144000000000004</v>
      </c>
    </row>
    <row r="488" spans="1:15" ht="15" x14ac:dyDescent="0.2">
      <c r="A488" s="13">
        <v>55701</v>
      </c>
      <c r="B488" s="9">
        <f>6.9918 * CHOOSE(CONTROL!$C$32, $C$9, 100%, $E$9)</f>
        <v>6.9917999999999996</v>
      </c>
      <c r="C488" s="9">
        <f>6.9918 * CHOOSE(CONTROL!$C$32, $C$9, 100%, $E$9)</f>
        <v>6.9917999999999996</v>
      </c>
      <c r="D488" s="9">
        <f>6.9931 * CHOOSE(CONTROL!$C$32, $C$9, 100%, $E$9)</f>
        <v>6.9931000000000001</v>
      </c>
      <c r="E488" s="11">
        <f>7.2367 * CHOOSE(CONTROL!$C$32, $C$9, 100%, $E$9)</f>
        <v>7.2366999999999999</v>
      </c>
      <c r="F488" s="11">
        <f>7.2367 * CHOOSE(CONTROL!$C$32, $C$9, 100%, $E$9)</f>
        <v>7.2366999999999999</v>
      </c>
      <c r="G488" s="11">
        <f>7.2409 * CHOOSE(CONTROL!$C$32, $C$9, 100%, $E$9)</f>
        <v>7.2408999999999999</v>
      </c>
      <c r="H488" s="11">
        <f>15.4629 * CHOOSE(CONTROL!$C$32, $C$9, 100%, $E$9)</f>
        <v>15.462899999999999</v>
      </c>
      <c r="I488" s="11">
        <f>15.4671 * CHOOSE(CONTROL!$C$32, $C$9, 100%, $E$9)</f>
        <v>15.4671</v>
      </c>
      <c r="J488" s="11">
        <f>15.4629 * CHOOSE(CONTROL!$C$32, $C$9, 100%, $E$9)</f>
        <v>15.462899999999999</v>
      </c>
      <c r="K488" s="11">
        <f>15.4671 * CHOOSE(CONTROL!$C$32, $C$9, 100%, $E$9)</f>
        <v>15.4671</v>
      </c>
      <c r="L488" s="11">
        <f>7.2367 * CHOOSE(CONTROL!$C$32, $C$9, 100%, $E$9)</f>
        <v>7.2366999999999999</v>
      </c>
      <c r="M488" s="11">
        <f>7.2409 * CHOOSE(CONTROL!$C$32, $C$9, 100%, $E$9)</f>
        <v>7.2408999999999999</v>
      </c>
      <c r="N488" s="11">
        <f>7.2367 * CHOOSE(CONTROL!$C$32, $C$9, 100%, $E$9)</f>
        <v>7.2366999999999999</v>
      </c>
      <c r="O488" s="11">
        <f>7.2409 * CHOOSE(CONTROL!$C$32, $C$9, 100%, $E$9)</f>
        <v>7.2408999999999999</v>
      </c>
    </row>
    <row r="489" spans="1:15" ht="15" x14ac:dyDescent="0.2">
      <c r="A489" s="13">
        <v>55732</v>
      </c>
      <c r="B489" s="9">
        <f>6.9985 * CHOOSE(CONTROL!$C$32, $C$9, 100%, $E$9)</f>
        <v>6.9984999999999999</v>
      </c>
      <c r="C489" s="9">
        <f>6.9985 * CHOOSE(CONTROL!$C$32, $C$9, 100%, $E$9)</f>
        <v>6.9984999999999999</v>
      </c>
      <c r="D489" s="9">
        <f>6.9997 * CHOOSE(CONTROL!$C$32, $C$9, 100%, $E$9)</f>
        <v>6.9996999999999998</v>
      </c>
      <c r="E489" s="11">
        <f>7.0806 * CHOOSE(CONTROL!$C$32, $C$9, 100%, $E$9)</f>
        <v>7.0805999999999996</v>
      </c>
      <c r="F489" s="11">
        <f>7.0806 * CHOOSE(CONTROL!$C$32, $C$9, 100%, $E$9)</f>
        <v>7.0805999999999996</v>
      </c>
      <c r="G489" s="11">
        <f>7.0848 * CHOOSE(CONTROL!$C$32, $C$9, 100%, $E$9)</f>
        <v>7.0848000000000004</v>
      </c>
      <c r="H489" s="11">
        <f>15.4951 * CHOOSE(CONTROL!$C$32, $C$9, 100%, $E$9)</f>
        <v>15.495100000000001</v>
      </c>
      <c r="I489" s="11">
        <f>15.4993 * CHOOSE(CONTROL!$C$32, $C$9, 100%, $E$9)</f>
        <v>15.4993</v>
      </c>
      <c r="J489" s="11">
        <f>15.4951 * CHOOSE(CONTROL!$C$32, $C$9, 100%, $E$9)</f>
        <v>15.495100000000001</v>
      </c>
      <c r="K489" s="11">
        <f>15.4993 * CHOOSE(CONTROL!$C$32, $C$9, 100%, $E$9)</f>
        <v>15.4993</v>
      </c>
      <c r="L489" s="11">
        <f>7.0806 * CHOOSE(CONTROL!$C$32, $C$9, 100%, $E$9)</f>
        <v>7.0805999999999996</v>
      </c>
      <c r="M489" s="11">
        <f>7.0848 * CHOOSE(CONTROL!$C$32, $C$9, 100%, $E$9)</f>
        <v>7.0848000000000004</v>
      </c>
      <c r="N489" s="11">
        <f>7.0806 * CHOOSE(CONTROL!$C$32, $C$9, 100%, $E$9)</f>
        <v>7.0805999999999996</v>
      </c>
      <c r="O489" s="11">
        <f>7.0848 * CHOOSE(CONTROL!$C$32, $C$9, 100%, $E$9)</f>
        <v>7.0848000000000004</v>
      </c>
    </row>
    <row r="490" spans="1:15" ht="15" x14ac:dyDescent="0.2">
      <c r="A490" s="13">
        <v>55763</v>
      </c>
      <c r="B490" s="9">
        <f>6.9955 * CHOOSE(CONTROL!$C$32, $C$9, 100%, $E$9)</f>
        <v>6.9954999999999998</v>
      </c>
      <c r="C490" s="9">
        <f>6.9955 * CHOOSE(CONTROL!$C$32, $C$9, 100%, $E$9)</f>
        <v>6.9954999999999998</v>
      </c>
      <c r="D490" s="9">
        <f>6.9967 * CHOOSE(CONTROL!$C$32, $C$9, 100%, $E$9)</f>
        <v>6.9966999999999997</v>
      </c>
      <c r="E490" s="11">
        <f>7.0606 * CHOOSE(CONTROL!$C$32, $C$9, 100%, $E$9)</f>
        <v>7.0606</v>
      </c>
      <c r="F490" s="11">
        <f>7.0606 * CHOOSE(CONTROL!$C$32, $C$9, 100%, $E$9)</f>
        <v>7.0606</v>
      </c>
      <c r="G490" s="11">
        <f>7.0648 * CHOOSE(CONTROL!$C$32, $C$9, 100%, $E$9)</f>
        <v>7.0648</v>
      </c>
      <c r="H490" s="11">
        <f>15.5274 * CHOOSE(CONTROL!$C$32, $C$9, 100%, $E$9)</f>
        <v>15.5274</v>
      </c>
      <c r="I490" s="11">
        <f>15.5316 * CHOOSE(CONTROL!$C$32, $C$9, 100%, $E$9)</f>
        <v>15.531599999999999</v>
      </c>
      <c r="J490" s="11">
        <f>15.5274 * CHOOSE(CONTROL!$C$32, $C$9, 100%, $E$9)</f>
        <v>15.5274</v>
      </c>
      <c r="K490" s="11">
        <f>15.5316 * CHOOSE(CONTROL!$C$32, $C$9, 100%, $E$9)</f>
        <v>15.531599999999999</v>
      </c>
      <c r="L490" s="11">
        <f>7.0606 * CHOOSE(CONTROL!$C$32, $C$9, 100%, $E$9)</f>
        <v>7.0606</v>
      </c>
      <c r="M490" s="11">
        <f>7.0648 * CHOOSE(CONTROL!$C$32, $C$9, 100%, $E$9)</f>
        <v>7.0648</v>
      </c>
      <c r="N490" s="11">
        <f>7.0606 * CHOOSE(CONTROL!$C$32, $C$9, 100%, $E$9)</f>
        <v>7.0606</v>
      </c>
      <c r="O490" s="11">
        <f>7.0648 * CHOOSE(CONTROL!$C$32, $C$9, 100%, $E$9)</f>
        <v>7.0648</v>
      </c>
    </row>
    <row r="491" spans="1:15" ht="15" x14ac:dyDescent="0.2">
      <c r="A491" s="13">
        <v>55793</v>
      </c>
      <c r="B491" s="9">
        <f>7.0017 * CHOOSE(CONTROL!$C$32, $C$9, 100%, $E$9)</f>
        <v>7.0016999999999996</v>
      </c>
      <c r="C491" s="9">
        <f>7.0017 * CHOOSE(CONTROL!$C$32, $C$9, 100%, $E$9)</f>
        <v>7.0016999999999996</v>
      </c>
      <c r="D491" s="9">
        <f>7.0026 * CHOOSE(CONTROL!$C$32, $C$9, 100%, $E$9)</f>
        <v>7.0026000000000002</v>
      </c>
      <c r="E491" s="11">
        <f>7.1186 * CHOOSE(CONTROL!$C$32, $C$9, 100%, $E$9)</f>
        <v>7.1185999999999998</v>
      </c>
      <c r="F491" s="11">
        <f>7.1186 * CHOOSE(CONTROL!$C$32, $C$9, 100%, $E$9)</f>
        <v>7.1185999999999998</v>
      </c>
      <c r="G491" s="11">
        <f>7.1219 * CHOOSE(CONTROL!$C$32, $C$9, 100%, $E$9)</f>
        <v>7.1219000000000001</v>
      </c>
      <c r="H491" s="11">
        <f>15.5597 * CHOOSE(CONTROL!$C$32, $C$9, 100%, $E$9)</f>
        <v>15.559699999999999</v>
      </c>
      <c r="I491" s="11">
        <f>15.563 * CHOOSE(CONTROL!$C$32, $C$9, 100%, $E$9)</f>
        <v>15.563000000000001</v>
      </c>
      <c r="J491" s="11">
        <f>15.5597 * CHOOSE(CONTROL!$C$32, $C$9, 100%, $E$9)</f>
        <v>15.559699999999999</v>
      </c>
      <c r="K491" s="11">
        <f>15.563 * CHOOSE(CONTROL!$C$32, $C$9, 100%, $E$9)</f>
        <v>15.563000000000001</v>
      </c>
      <c r="L491" s="11">
        <f>7.1186 * CHOOSE(CONTROL!$C$32, $C$9, 100%, $E$9)</f>
        <v>7.1185999999999998</v>
      </c>
      <c r="M491" s="11">
        <f>7.1219 * CHOOSE(CONTROL!$C$32, $C$9, 100%, $E$9)</f>
        <v>7.1219000000000001</v>
      </c>
      <c r="N491" s="11">
        <f>7.1186 * CHOOSE(CONTROL!$C$32, $C$9, 100%, $E$9)</f>
        <v>7.1185999999999998</v>
      </c>
      <c r="O491" s="11">
        <f>7.1219 * CHOOSE(CONTROL!$C$32, $C$9, 100%, $E$9)</f>
        <v>7.1219000000000001</v>
      </c>
    </row>
    <row r="492" spans="1:15" ht="15" x14ac:dyDescent="0.2">
      <c r="A492" s="13">
        <v>55824</v>
      </c>
      <c r="B492" s="9">
        <f>7.0047 * CHOOSE(CONTROL!$C$32, $C$9, 100%, $E$9)</f>
        <v>7.0046999999999997</v>
      </c>
      <c r="C492" s="9">
        <f>7.0047 * CHOOSE(CONTROL!$C$32, $C$9, 100%, $E$9)</f>
        <v>7.0046999999999997</v>
      </c>
      <c r="D492" s="9">
        <f>7.0057 * CHOOSE(CONTROL!$C$32, $C$9, 100%, $E$9)</f>
        <v>7.0057</v>
      </c>
      <c r="E492" s="11">
        <f>7.1565 * CHOOSE(CONTROL!$C$32, $C$9, 100%, $E$9)</f>
        <v>7.1565000000000003</v>
      </c>
      <c r="F492" s="11">
        <f>7.1565 * CHOOSE(CONTROL!$C$32, $C$9, 100%, $E$9)</f>
        <v>7.1565000000000003</v>
      </c>
      <c r="G492" s="11">
        <f>7.1597 * CHOOSE(CONTROL!$C$32, $C$9, 100%, $E$9)</f>
        <v>7.1597</v>
      </c>
      <c r="H492" s="11">
        <f>15.5921 * CHOOSE(CONTROL!$C$32, $C$9, 100%, $E$9)</f>
        <v>15.5921</v>
      </c>
      <c r="I492" s="11">
        <f>15.5954 * CHOOSE(CONTROL!$C$32, $C$9, 100%, $E$9)</f>
        <v>15.5954</v>
      </c>
      <c r="J492" s="11">
        <f>15.5921 * CHOOSE(CONTROL!$C$32, $C$9, 100%, $E$9)</f>
        <v>15.5921</v>
      </c>
      <c r="K492" s="11">
        <f>15.5954 * CHOOSE(CONTROL!$C$32, $C$9, 100%, $E$9)</f>
        <v>15.5954</v>
      </c>
      <c r="L492" s="11">
        <f>7.1565 * CHOOSE(CONTROL!$C$32, $C$9, 100%, $E$9)</f>
        <v>7.1565000000000003</v>
      </c>
      <c r="M492" s="11">
        <f>7.1597 * CHOOSE(CONTROL!$C$32, $C$9, 100%, $E$9)</f>
        <v>7.1597</v>
      </c>
      <c r="N492" s="11">
        <f>7.1565 * CHOOSE(CONTROL!$C$32, $C$9, 100%, $E$9)</f>
        <v>7.1565000000000003</v>
      </c>
      <c r="O492" s="11">
        <f>7.1597 * CHOOSE(CONTROL!$C$32, $C$9, 100%, $E$9)</f>
        <v>7.1597</v>
      </c>
    </row>
    <row r="493" spans="1:15" ht="15" x14ac:dyDescent="0.2">
      <c r="A493" s="13">
        <v>55854</v>
      </c>
      <c r="B493" s="9">
        <f>7.0047 * CHOOSE(CONTROL!$C$32, $C$9, 100%, $E$9)</f>
        <v>7.0046999999999997</v>
      </c>
      <c r="C493" s="9">
        <f>7.0047 * CHOOSE(CONTROL!$C$32, $C$9, 100%, $E$9)</f>
        <v>7.0046999999999997</v>
      </c>
      <c r="D493" s="9">
        <f>7.0057 * CHOOSE(CONTROL!$C$32, $C$9, 100%, $E$9)</f>
        <v>7.0057</v>
      </c>
      <c r="E493" s="11">
        <f>7.0672 * CHOOSE(CONTROL!$C$32, $C$9, 100%, $E$9)</f>
        <v>7.0671999999999997</v>
      </c>
      <c r="F493" s="11">
        <f>7.0672 * CHOOSE(CONTROL!$C$32, $C$9, 100%, $E$9)</f>
        <v>7.0671999999999997</v>
      </c>
      <c r="G493" s="11">
        <f>7.0704 * CHOOSE(CONTROL!$C$32, $C$9, 100%, $E$9)</f>
        <v>7.0704000000000002</v>
      </c>
      <c r="H493" s="11">
        <f>15.6246 * CHOOSE(CONTROL!$C$32, $C$9, 100%, $E$9)</f>
        <v>15.624599999999999</v>
      </c>
      <c r="I493" s="11">
        <f>15.6279 * CHOOSE(CONTROL!$C$32, $C$9, 100%, $E$9)</f>
        <v>15.6279</v>
      </c>
      <c r="J493" s="11">
        <f>15.6246 * CHOOSE(CONTROL!$C$32, $C$9, 100%, $E$9)</f>
        <v>15.624599999999999</v>
      </c>
      <c r="K493" s="11">
        <f>15.6279 * CHOOSE(CONTROL!$C$32, $C$9, 100%, $E$9)</f>
        <v>15.6279</v>
      </c>
      <c r="L493" s="11">
        <f>7.0672 * CHOOSE(CONTROL!$C$32, $C$9, 100%, $E$9)</f>
        <v>7.0671999999999997</v>
      </c>
      <c r="M493" s="11">
        <f>7.0704 * CHOOSE(CONTROL!$C$32, $C$9, 100%, $E$9)</f>
        <v>7.0704000000000002</v>
      </c>
      <c r="N493" s="11">
        <f>7.0672 * CHOOSE(CONTROL!$C$32, $C$9, 100%, $E$9)</f>
        <v>7.0671999999999997</v>
      </c>
      <c r="O493" s="11">
        <f>7.0704 * CHOOSE(CONTROL!$C$32, $C$9, 100%, $E$9)</f>
        <v>7.0704000000000002</v>
      </c>
    </row>
    <row r="494" spans="1:15" ht="15" x14ac:dyDescent="0.2">
      <c r="A494" s="13">
        <v>55885</v>
      </c>
      <c r="B494" s="9">
        <f>7.0575 * CHOOSE(CONTROL!$C$32, $C$9, 100%, $E$9)</f>
        <v>7.0575000000000001</v>
      </c>
      <c r="C494" s="9">
        <f>7.0575 * CHOOSE(CONTROL!$C$32, $C$9, 100%, $E$9)</f>
        <v>7.0575000000000001</v>
      </c>
      <c r="D494" s="9">
        <f>7.0585 * CHOOSE(CONTROL!$C$32, $C$9, 100%, $E$9)</f>
        <v>7.0585000000000004</v>
      </c>
      <c r="E494" s="11">
        <f>7.1635 * CHOOSE(CONTROL!$C$32, $C$9, 100%, $E$9)</f>
        <v>7.1635</v>
      </c>
      <c r="F494" s="11">
        <f>7.1635 * CHOOSE(CONTROL!$C$32, $C$9, 100%, $E$9)</f>
        <v>7.1635</v>
      </c>
      <c r="G494" s="11">
        <f>7.1667 * CHOOSE(CONTROL!$C$32, $C$9, 100%, $E$9)</f>
        <v>7.1666999999999996</v>
      </c>
      <c r="H494" s="11">
        <f>15.6572 * CHOOSE(CONTROL!$C$32, $C$9, 100%, $E$9)</f>
        <v>15.6572</v>
      </c>
      <c r="I494" s="11">
        <f>15.6604 * CHOOSE(CONTROL!$C$32, $C$9, 100%, $E$9)</f>
        <v>15.660399999999999</v>
      </c>
      <c r="J494" s="11">
        <f>15.6572 * CHOOSE(CONTROL!$C$32, $C$9, 100%, $E$9)</f>
        <v>15.6572</v>
      </c>
      <c r="K494" s="11">
        <f>15.6604 * CHOOSE(CONTROL!$C$32, $C$9, 100%, $E$9)</f>
        <v>15.660399999999999</v>
      </c>
      <c r="L494" s="11">
        <f>7.1635 * CHOOSE(CONTROL!$C$32, $C$9, 100%, $E$9)</f>
        <v>7.1635</v>
      </c>
      <c r="M494" s="11">
        <f>7.1667 * CHOOSE(CONTROL!$C$32, $C$9, 100%, $E$9)</f>
        <v>7.1666999999999996</v>
      </c>
      <c r="N494" s="11">
        <f>7.1635 * CHOOSE(CONTROL!$C$32, $C$9, 100%, $E$9)</f>
        <v>7.1635</v>
      </c>
      <c r="O494" s="11">
        <f>7.1667 * CHOOSE(CONTROL!$C$32, $C$9, 100%, $E$9)</f>
        <v>7.1666999999999996</v>
      </c>
    </row>
    <row r="495" spans="1:15" ht="15" x14ac:dyDescent="0.2">
      <c r="A495" s="13">
        <v>55916</v>
      </c>
      <c r="B495" s="9">
        <f>7.0545 * CHOOSE(CONTROL!$C$32, $C$9, 100%, $E$9)</f>
        <v>7.0545</v>
      </c>
      <c r="C495" s="9">
        <f>7.0545 * CHOOSE(CONTROL!$C$32, $C$9, 100%, $E$9)</f>
        <v>7.0545</v>
      </c>
      <c r="D495" s="9">
        <f>7.0554 * CHOOSE(CONTROL!$C$32, $C$9, 100%, $E$9)</f>
        <v>7.0553999999999997</v>
      </c>
      <c r="E495" s="11">
        <f>6.987 * CHOOSE(CONTROL!$C$32, $C$9, 100%, $E$9)</f>
        <v>6.9870000000000001</v>
      </c>
      <c r="F495" s="11">
        <f>6.987 * CHOOSE(CONTROL!$C$32, $C$9, 100%, $E$9)</f>
        <v>6.9870000000000001</v>
      </c>
      <c r="G495" s="11">
        <f>6.9902 * CHOOSE(CONTROL!$C$32, $C$9, 100%, $E$9)</f>
        <v>6.9901999999999997</v>
      </c>
      <c r="H495" s="11">
        <f>15.6898 * CHOOSE(CONTROL!$C$32, $C$9, 100%, $E$9)</f>
        <v>15.6898</v>
      </c>
      <c r="I495" s="11">
        <f>15.693 * CHOOSE(CONTROL!$C$32, $C$9, 100%, $E$9)</f>
        <v>15.693</v>
      </c>
      <c r="J495" s="11">
        <f>15.6898 * CHOOSE(CONTROL!$C$32, $C$9, 100%, $E$9)</f>
        <v>15.6898</v>
      </c>
      <c r="K495" s="11">
        <f>15.693 * CHOOSE(CONTROL!$C$32, $C$9, 100%, $E$9)</f>
        <v>15.693</v>
      </c>
      <c r="L495" s="11">
        <f>6.987 * CHOOSE(CONTROL!$C$32, $C$9, 100%, $E$9)</f>
        <v>6.9870000000000001</v>
      </c>
      <c r="M495" s="11">
        <f>6.9902 * CHOOSE(CONTROL!$C$32, $C$9, 100%, $E$9)</f>
        <v>6.9901999999999997</v>
      </c>
      <c r="N495" s="11">
        <f>6.987 * CHOOSE(CONTROL!$C$32, $C$9, 100%, $E$9)</f>
        <v>6.9870000000000001</v>
      </c>
      <c r="O495" s="11">
        <f>6.9902 * CHOOSE(CONTROL!$C$32, $C$9, 100%, $E$9)</f>
        <v>6.9901999999999997</v>
      </c>
    </row>
    <row r="496" spans="1:15" ht="15" x14ac:dyDescent="0.2">
      <c r="A496" s="13">
        <v>55944</v>
      </c>
      <c r="B496" s="9">
        <f>7.0514 * CHOOSE(CONTROL!$C$32, $C$9, 100%, $E$9)</f>
        <v>7.0514000000000001</v>
      </c>
      <c r="C496" s="9">
        <f>7.0514 * CHOOSE(CONTROL!$C$32, $C$9, 100%, $E$9)</f>
        <v>7.0514000000000001</v>
      </c>
      <c r="D496" s="9">
        <f>7.0524 * CHOOSE(CONTROL!$C$32, $C$9, 100%, $E$9)</f>
        <v>7.0523999999999996</v>
      </c>
      <c r="E496" s="11">
        <f>7.1223 * CHOOSE(CONTROL!$C$32, $C$9, 100%, $E$9)</f>
        <v>7.1223000000000001</v>
      </c>
      <c r="F496" s="11">
        <f>7.1223 * CHOOSE(CONTROL!$C$32, $C$9, 100%, $E$9)</f>
        <v>7.1223000000000001</v>
      </c>
      <c r="G496" s="11">
        <f>7.1255 * CHOOSE(CONTROL!$C$32, $C$9, 100%, $E$9)</f>
        <v>7.1254999999999997</v>
      </c>
      <c r="H496" s="11">
        <f>15.7225 * CHOOSE(CONTROL!$C$32, $C$9, 100%, $E$9)</f>
        <v>15.7225</v>
      </c>
      <c r="I496" s="11">
        <f>15.7257 * CHOOSE(CONTROL!$C$32, $C$9, 100%, $E$9)</f>
        <v>15.7257</v>
      </c>
      <c r="J496" s="11">
        <f>15.7225 * CHOOSE(CONTROL!$C$32, $C$9, 100%, $E$9)</f>
        <v>15.7225</v>
      </c>
      <c r="K496" s="11">
        <f>15.7257 * CHOOSE(CONTROL!$C$32, $C$9, 100%, $E$9)</f>
        <v>15.7257</v>
      </c>
      <c r="L496" s="11">
        <f>7.1223 * CHOOSE(CONTROL!$C$32, $C$9, 100%, $E$9)</f>
        <v>7.1223000000000001</v>
      </c>
      <c r="M496" s="11">
        <f>7.1255 * CHOOSE(CONTROL!$C$32, $C$9, 100%, $E$9)</f>
        <v>7.1254999999999997</v>
      </c>
      <c r="N496" s="11">
        <f>7.1223 * CHOOSE(CONTROL!$C$32, $C$9, 100%, $E$9)</f>
        <v>7.1223000000000001</v>
      </c>
      <c r="O496" s="11">
        <f>7.1255 * CHOOSE(CONTROL!$C$32, $C$9, 100%, $E$9)</f>
        <v>7.1254999999999997</v>
      </c>
    </row>
    <row r="497" spans="1:15" ht="15" x14ac:dyDescent="0.2">
      <c r="A497" s="13">
        <v>55975</v>
      </c>
      <c r="B497" s="9">
        <f>7.052 * CHOOSE(CONTROL!$C$32, $C$9, 100%, $E$9)</f>
        <v>7.0519999999999996</v>
      </c>
      <c r="C497" s="9">
        <f>7.052 * CHOOSE(CONTROL!$C$32, $C$9, 100%, $E$9)</f>
        <v>7.0519999999999996</v>
      </c>
      <c r="D497" s="9">
        <f>7.053 * CHOOSE(CONTROL!$C$32, $C$9, 100%, $E$9)</f>
        <v>7.0529999999999999</v>
      </c>
      <c r="E497" s="11">
        <f>7.2657 * CHOOSE(CONTROL!$C$32, $C$9, 100%, $E$9)</f>
        <v>7.2656999999999998</v>
      </c>
      <c r="F497" s="11">
        <f>7.2657 * CHOOSE(CONTROL!$C$32, $C$9, 100%, $E$9)</f>
        <v>7.2656999999999998</v>
      </c>
      <c r="G497" s="11">
        <f>7.2689 * CHOOSE(CONTROL!$C$32, $C$9, 100%, $E$9)</f>
        <v>7.2689000000000004</v>
      </c>
      <c r="H497" s="11">
        <f>15.7552 * CHOOSE(CONTROL!$C$32, $C$9, 100%, $E$9)</f>
        <v>15.7552</v>
      </c>
      <c r="I497" s="11">
        <f>15.7585 * CHOOSE(CONTROL!$C$32, $C$9, 100%, $E$9)</f>
        <v>15.7585</v>
      </c>
      <c r="J497" s="11">
        <f>15.7552 * CHOOSE(CONTROL!$C$32, $C$9, 100%, $E$9)</f>
        <v>15.7552</v>
      </c>
      <c r="K497" s="11">
        <f>15.7585 * CHOOSE(CONTROL!$C$32, $C$9, 100%, $E$9)</f>
        <v>15.7585</v>
      </c>
      <c r="L497" s="11">
        <f>7.2657 * CHOOSE(CONTROL!$C$32, $C$9, 100%, $E$9)</f>
        <v>7.2656999999999998</v>
      </c>
      <c r="M497" s="11">
        <f>7.2689 * CHOOSE(CONTROL!$C$32, $C$9, 100%, $E$9)</f>
        <v>7.2689000000000004</v>
      </c>
      <c r="N497" s="11">
        <f>7.2657 * CHOOSE(CONTROL!$C$32, $C$9, 100%, $E$9)</f>
        <v>7.2656999999999998</v>
      </c>
      <c r="O497" s="11">
        <f>7.2689 * CHOOSE(CONTROL!$C$32, $C$9, 100%, $E$9)</f>
        <v>7.2689000000000004</v>
      </c>
    </row>
    <row r="498" spans="1:15" ht="15" x14ac:dyDescent="0.2">
      <c r="A498" s="13">
        <v>56005</v>
      </c>
      <c r="B498" s="9">
        <f>7.052 * CHOOSE(CONTROL!$C$32, $C$9, 100%, $E$9)</f>
        <v>7.0519999999999996</v>
      </c>
      <c r="C498" s="9">
        <f>7.052 * CHOOSE(CONTROL!$C$32, $C$9, 100%, $E$9)</f>
        <v>7.0519999999999996</v>
      </c>
      <c r="D498" s="9">
        <f>7.0533 * CHOOSE(CONTROL!$C$32, $C$9, 100%, $E$9)</f>
        <v>7.0533000000000001</v>
      </c>
      <c r="E498" s="11">
        <f>7.321 * CHOOSE(CONTROL!$C$32, $C$9, 100%, $E$9)</f>
        <v>7.3209999999999997</v>
      </c>
      <c r="F498" s="11">
        <f>7.321 * CHOOSE(CONTROL!$C$32, $C$9, 100%, $E$9)</f>
        <v>7.3209999999999997</v>
      </c>
      <c r="G498" s="11">
        <f>7.3252 * CHOOSE(CONTROL!$C$32, $C$9, 100%, $E$9)</f>
        <v>7.3251999999999997</v>
      </c>
      <c r="H498" s="11">
        <f>15.7881 * CHOOSE(CONTROL!$C$32, $C$9, 100%, $E$9)</f>
        <v>15.7881</v>
      </c>
      <c r="I498" s="11">
        <f>15.7923 * CHOOSE(CONTROL!$C$32, $C$9, 100%, $E$9)</f>
        <v>15.792299999999999</v>
      </c>
      <c r="J498" s="11">
        <f>15.7881 * CHOOSE(CONTROL!$C$32, $C$9, 100%, $E$9)</f>
        <v>15.7881</v>
      </c>
      <c r="K498" s="11">
        <f>15.7923 * CHOOSE(CONTROL!$C$32, $C$9, 100%, $E$9)</f>
        <v>15.792299999999999</v>
      </c>
      <c r="L498" s="11">
        <f>7.321 * CHOOSE(CONTROL!$C$32, $C$9, 100%, $E$9)</f>
        <v>7.3209999999999997</v>
      </c>
      <c r="M498" s="11">
        <f>7.3252 * CHOOSE(CONTROL!$C$32, $C$9, 100%, $E$9)</f>
        <v>7.3251999999999997</v>
      </c>
      <c r="N498" s="11">
        <f>7.321 * CHOOSE(CONTROL!$C$32, $C$9, 100%, $E$9)</f>
        <v>7.3209999999999997</v>
      </c>
      <c r="O498" s="11">
        <f>7.3252 * CHOOSE(CONTROL!$C$32, $C$9, 100%, $E$9)</f>
        <v>7.3251999999999997</v>
      </c>
    </row>
    <row r="499" spans="1:15" ht="15" x14ac:dyDescent="0.2">
      <c r="A499" s="13">
        <v>56036</v>
      </c>
      <c r="B499" s="9">
        <f>7.0581 * CHOOSE(CONTROL!$C$32, $C$9, 100%, $E$9)</f>
        <v>7.0580999999999996</v>
      </c>
      <c r="C499" s="9">
        <f>7.0581 * CHOOSE(CONTROL!$C$32, $C$9, 100%, $E$9)</f>
        <v>7.0580999999999996</v>
      </c>
      <c r="D499" s="9">
        <f>7.0594 * CHOOSE(CONTROL!$C$32, $C$9, 100%, $E$9)</f>
        <v>7.0594000000000001</v>
      </c>
      <c r="E499" s="11">
        <f>7.2699 * CHOOSE(CONTROL!$C$32, $C$9, 100%, $E$9)</f>
        <v>7.2698999999999998</v>
      </c>
      <c r="F499" s="11">
        <f>7.2699 * CHOOSE(CONTROL!$C$32, $C$9, 100%, $E$9)</f>
        <v>7.2698999999999998</v>
      </c>
      <c r="G499" s="11">
        <f>7.2741 * CHOOSE(CONTROL!$C$32, $C$9, 100%, $E$9)</f>
        <v>7.2740999999999998</v>
      </c>
      <c r="H499" s="11">
        <f>15.821 * CHOOSE(CONTROL!$C$32, $C$9, 100%, $E$9)</f>
        <v>15.821</v>
      </c>
      <c r="I499" s="11">
        <f>15.8252 * CHOOSE(CONTROL!$C$32, $C$9, 100%, $E$9)</f>
        <v>15.825200000000001</v>
      </c>
      <c r="J499" s="11">
        <f>15.821 * CHOOSE(CONTROL!$C$32, $C$9, 100%, $E$9)</f>
        <v>15.821</v>
      </c>
      <c r="K499" s="11">
        <f>15.8252 * CHOOSE(CONTROL!$C$32, $C$9, 100%, $E$9)</f>
        <v>15.825200000000001</v>
      </c>
      <c r="L499" s="11">
        <f>7.2699 * CHOOSE(CONTROL!$C$32, $C$9, 100%, $E$9)</f>
        <v>7.2698999999999998</v>
      </c>
      <c r="M499" s="11">
        <f>7.2741 * CHOOSE(CONTROL!$C$32, $C$9, 100%, $E$9)</f>
        <v>7.2740999999999998</v>
      </c>
      <c r="N499" s="11">
        <f>7.2699 * CHOOSE(CONTROL!$C$32, $C$9, 100%, $E$9)</f>
        <v>7.2698999999999998</v>
      </c>
      <c r="O499" s="11">
        <f>7.2741 * CHOOSE(CONTROL!$C$32, $C$9, 100%, $E$9)</f>
        <v>7.2740999999999998</v>
      </c>
    </row>
    <row r="500" spans="1:15" ht="15" x14ac:dyDescent="0.2">
      <c r="A500" s="13">
        <v>56066</v>
      </c>
      <c r="B500" s="9">
        <f>7.1502 * CHOOSE(CONTROL!$C$32, $C$9, 100%, $E$9)</f>
        <v>7.1501999999999999</v>
      </c>
      <c r="C500" s="9">
        <f>7.1502 * CHOOSE(CONTROL!$C$32, $C$9, 100%, $E$9)</f>
        <v>7.1501999999999999</v>
      </c>
      <c r="D500" s="9">
        <f>7.1515 * CHOOSE(CONTROL!$C$32, $C$9, 100%, $E$9)</f>
        <v>7.1515000000000004</v>
      </c>
      <c r="E500" s="11">
        <f>7.2974 * CHOOSE(CONTROL!$C$32, $C$9, 100%, $E$9)</f>
        <v>7.2973999999999997</v>
      </c>
      <c r="F500" s="11">
        <f>7.2974 * CHOOSE(CONTROL!$C$32, $C$9, 100%, $E$9)</f>
        <v>7.2973999999999997</v>
      </c>
      <c r="G500" s="11">
        <f>7.3016 * CHOOSE(CONTROL!$C$32, $C$9, 100%, $E$9)</f>
        <v>7.3015999999999996</v>
      </c>
      <c r="H500" s="11">
        <f>15.8539 * CHOOSE(CONTROL!$C$32, $C$9, 100%, $E$9)</f>
        <v>15.853899999999999</v>
      </c>
      <c r="I500" s="11">
        <f>15.8581 * CHOOSE(CONTROL!$C$32, $C$9, 100%, $E$9)</f>
        <v>15.8581</v>
      </c>
      <c r="J500" s="11">
        <f>15.8539 * CHOOSE(CONTROL!$C$32, $C$9, 100%, $E$9)</f>
        <v>15.853899999999999</v>
      </c>
      <c r="K500" s="11">
        <f>15.8581 * CHOOSE(CONTROL!$C$32, $C$9, 100%, $E$9)</f>
        <v>15.8581</v>
      </c>
      <c r="L500" s="11">
        <f>7.2974 * CHOOSE(CONTROL!$C$32, $C$9, 100%, $E$9)</f>
        <v>7.2973999999999997</v>
      </c>
      <c r="M500" s="11">
        <f>7.3016 * CHOOSE(CONTROL!$C$32, $C$9, 100%, $E$9)</f>
        <v>7.3015999999999996</v>
      </c>
      <c r="N500" s="11">
        <f>7.2974 * CHOOSE(CONTROL!$C$32, $C$9, 100%, $E$9)</f>
        <v>7.2973999999999997</v>
      </c>
      <c r="O500" s="11">
        <f>7.3016 * CHOOSE(CONTROL!$C$32, $C$9, 100%, $E$9)</f>
        <v>7.3015999999999996</v>
      </c>
    </row>
    <row r="501" spans="1:15" ht="15" x14ac:dyDescent="0.2">
      <c r="A501" s="13">
        <v>56097</v>
      </c>
      <c r="B501" s="9">
        <f>7.1569 * CHOOSE(CONTROL!$C$32, $C$9, 100%, $E$9)</f>
        <v>7.1569000000000003</v>
      </c>
      <c r="C501" s="9">
        <f>7.1569 * CHOOSE(CONTROL!$C$32, $C$9, 100%, $E$9)</f>
        <v>7.1569000000000003</v>
      </c>
      <c r="D501" s="9">
        <f>7.1582 * CHOOSE(CONTROL!$C$32, $C$9, 100%, $E$9)</f>
        <v>7.1581999999999999</v>
      </c>
      <c r="E501" s="11">
        <f>7.136 * CHOOSE(CONTROL!$C$32, $C$9, 100%, $E$9)</f>
        <v>7.1360000000000001</v>
      </c>
      <c r="F501" s="11">
        <f>7.136 * CHOOSE(CONTROL!$C$32, $C$9, 100%, $E$9)</f>
        <v>7.1360000000000001</v>
      </c>
      <c r="G501" s="11">
        <f>7.1402 * CHOOSE(CONTROL!$C$32, $C$9, 100%, $E$9)</f>
        <v>7.1402000000000001</v>
      </c>
      <c r="H501" s="11">
        <f>15.8869 * CHOOSE(CONTROL!$C$32, $C$9, 100%, $E$9)</f>
        <v>15.886900000000001</v>
      </c>
      <c r="I501" s="11">
        <f>15.8912 * CHOOSE(CONTROL!$C$32, $C$9, 100%, $E$9)</f>
        <v>15.8912</v>
      </c>
      <c r="J501" s="11">
        <f>15.8869 * CHOOSE(CONTROL!$C$32, $C$9, 100%, $E$9)</f>
        <v>15.886900000000001</v>
      </c>
      <c r="K501" s="11">
        <f>15.8912 * CHOOSE(CONTROL!$C$32, $C$9, 100%, $E$9)</f>
        <v>15.8912</v>
      </c>
      <c r="L501" s="11">
        <f>7.136 * CHOOSE(CONTROL!$C$32, $C$9, 100%, $E$9)</f>
        <v>7.1360000000000001</v>
      </c>
      <c r="M501" s="11">
        <f>7.1402 * CHOOSE(CONTROL!$C$32, $C$9, 100%, $E$9)</f>
        <v>7.1402000000000001</v>
      </c>
      <c r="N501" s="11">
        <f>7.136 * CHOOSE(CONTROL!$C$32, $C$9, 100%, $E$9)</f>
        <v>7.1360000000000001</v>
      </c>
      <c r="O501" s="11">
        <f>7.1402 * CHOOSE(CONTROL!$C$32, $C$9, 100%, $E$9)</f>
        <v>7.1402000000000001</v>
      </c>
    </row>
    <row r="502" spans="1:15" ht="15" x14ac:dyDescent="0.2">
      <c r="A502" s="13">
        <v>56128</v>
      </c>
      <c r="B502" s="9">
        <f>7.1539 * CHOOSE(CONTROL!$C$32, $C$9, 100%, $E$9)</f>
        <v>7.1539000000000001</v>
      </c>
      <c r="C502" s="9">
        <f>7.1539 * CHOOSE(CONTROL!$C$32, $C$9, 100%, $E$9)</f>
        <v>7.1539000000000001</v>
      </c>
      <c r="D502" s="9">
        <f>7.1551 * CHOOSE(CONTROL!$C$32, $C$9, 100%, $E$9)</f>
        <v>7.1551</v>
      </c>
      <c r="E502" s="11">
        <f>7.1155 * CHOOSE(CONTROL!$C$32, $C$9, 100%, $E$9)</f>
        <v>7.1154999999999999</v>
      </c>
      <c r="F502" s="11">
        <f>7.1155 * CHOOSE(CONTROL!$C$32, $C$9, 100%, $E$9)</f>
        <v>7.1154999999999999</v>
      </c>
      <c r="G502" s="11">
        <f>7.1197 * CHOOSE(CONTROL!$C$32, $C$9, 100%, $E$9)</f>
        <v>7.1196999999999999</v>
      </c>
      <c r="H502" s="11">
        <f>15.92 * CHOOSE(CONTROL!$C$32, $C$9, 100%, $E$9)</f>
        <v>15.92</v>
      </c>
      <c r="I502" s="11">
        <f>15.9242 * CHOOSE(CONTROL!$C$32, $C$9, 100%, $E$9)</f>
        <v>15.924200000000001</v>
      </c>
      <c r="J502" s="11">
        <f>15.92 * CHOOSE(CONTROL!$C$32, $C$9, 100%, $E$9)</f>
        <v>15.92</v>
      </c>
      <c r="K502" s="11">
        <f>15.9242 * CHOOSE(CONTROL!$C$32, $C$9, 100%, $E$9)</f>
        <v>15.924200000000001</v>
      </c>
      <c r="L502" s="11">
        <f>7.1155 * CHOOSE(CONTROL!$C$32, $C$9, 100%, $E$9)</f>
        <v>7.1154999999999999</v>
      </c>
      <c r="M502" s="11">
        <f>7.1197 * CHOOSE(CONTROL!$C$32, $C$9, 100%, $E$9)</f>
        <v>7.1196999999999999</v>
      </c>
      <c r="N502" s="11">
        <f>7.1155 * CHOOSE(CONTROL!$C$32, $C$9, 100%, $E$9)</f>
        <v>7.1154999999999999</v>
      </c>
      <c r="O502" s="11">
        <f>7.1197 * CHOOSE(CONTROL!$C$32, $C$9, 100%, $E$9)</f>
        <v>7.1196999999999999</v>
      </c>
    </row>
    <row r="503" spans="1:15" ht="15" x14ac:dyDescent="0.2">
      <c r="A503" s="13">
        <v>56158</v>
      </c>
      <c r="B503" s="9">
        <f>7.1607 * CHOOSE(CONTROL!$C$32, $C$9, 100%, $E$9)</f>
        <v>7.1607000000000003</v>
      </c>
      <c r="C503" s="9">
        <f>7.1607 * CHOOSE(CONTROL!$C$32, $C$9, 100%, $E$9)</f>
        <v>7.1607000000000003</v>
      </c>
      <c r="D503" s="9">
        <f>7.1616 * CHOOSE(CONTROL!$C$32, $C$9, 100%, $E$9)</f>
        <v>7.1616</v>
      </c>
      <c r="E503" s="11">
        <f>7.1759 * CHOOSE(CONTROL!$C$32, $C$9, 100%, $E$9)</f>
        <v>7.1759000000000004</v>
      </c>
      <c r="F503" s="11">
        <f>7.1759 * CHOOSE(CONTROL!$C$32, $C$9, 100%, $E$9)</f>
        <v>7.1759000000000004</v>
      </c>
      <c r="G503" s="11">
        <f>7.1791 * CHOOSE(CONTROL!$C$32, $C$9, 100%, $E$9)</f>
        <v>7.1791</v>
      </c>
      <c r="H503" s="11">
        <f>15.9532 * CHOOSE(CONTROL!$C$32, $C$9, 100%, $E$9)</f>
        <v>15.953200000000001</v>
      </c>
      <c r="I503" s="11">
        <f>15.9564 * CHOOSE(CONTROL!$C$32, $C$9, 100%, $E$9)</f>
        <v>15.9564</v>
      </c>
      <c r="J503" s="11">
        <f>15.9532 * CHOOSE(CONTROL!$C$32, $C$9, 100%, $E$9)</f>
        <v>15.953200000000001</v>
      </c>
      <c r="K503" s="11">
        <f>15.9564 * CHOOSE(CONTROL!$C$32, $C$9, 100%, $E$9)</f>
        <v>15.9564</v>
      </c>
      <c r="L503" s="11">
        <f>7.1759 * CHOOSE(CONTROL!$C$32, $C$9, 100%, $E$9)</f>
        <v>7.1759000000000004</v>
      </c>
      <c r="M503" s="11">
        <f>7.1791 * CHOOSE(CONTROL!$C$32, $C$9, 100%, $E$9)</f>
        <v>7.1791</v>
      </c>
      <c r="N503" s="11">
        <f>7.1759 * CHOOSE(CONTROL!$C$32, $C$9, 100%, $E$9)</f>
        <v>7.1759000000000004</v>
      </c>
      <c r="O503" s="11">
        <f>7.1791 * CHOOSE(CONTROL!$C$32, $C$9, 100%, $E$9)</f>
        <v>7.1791</v>
      </c>
    </row>
    <row r="504" spans="1:15" ht="15" x14ac:dyDescent="0.2">
      <c r="A504" s="13">
        <v>56189</v>
      </c>
      <c r="B504" s="9">
        <f>7.1637 * CHOOSE(CONTROL!$C$32, $C$9, 100%, $E$9)</f>
        <v>7.1637000000000004</v>
      </c>
      <c r="C504" s="9">
        <f>7.1637 * CHOOSE(CONTROL!$C$32, $C$9, 100%, $E$9)</f>
        <v>7.1637000000000004</v>
      </c>
      <c r="D504" s="9">
        <f>7.1647 * CHOOSE(CONTROL!$C$32, $C$9, 100%, $E$9)</f>
        <v>7.1646999999999998</v>
      </c>
      <c r="E504" s="11">
        <f>7.2149 * CHOOSE(CONTROL!$C$32, $C$9, 100%, $E$9)</f>
        <v>7.2149000000000001</v>
      </c>
      <c r="F504" s="11">
        <f>7.2149 * CHOOSE(CONTROL!$C$32, $C$9, 100%, $E$9)</f>
        <v>7.2149000000000001</v>
      </c>
      <c r="G504" s="11">
        <f>7.2181 * CHOOSE(CONTROL!$C$32, $C$9, 100%, $E$9)</f>
        <v>7.2180999999999997</v>
      </c>
      <c r="H504" s="11">
        <f>15.9864 * CHOOSE(CONTROL!$C$32, $C$9, 100%, $E$9)</f>
        <v>15.9864</v>
      </c>
      <c r="I504" s="11">
        <f>15.9897 * CHOOSE(CONTROL!$C$32, $C$9, 100%, $E$9)</f>
        <v>15.989699999999999</v>
      </c>
      <c r="J504" s="11">
        <f>15.9864 * CHOOSE(CONTROL!$C$32, $C$9, 100%, $E$9)</f>
        <v>15.9864</v>
      </c>
      <c r="K504" s="11">
        <f>15.9897 * CHOOSE(CONTROL!$C$32, $C$9, 100%, $E$9)</f>
        <v>15.989699999999999</v>
      </c>
      <c r="L504" s="11">
        <f>7.2149 * CHOOSE(CONTROL!$C$32, $C$9, 100%, $E$9)</f>
        <v>7.2149000000000001</v>
      </c>
      <c r="M504" s="11">
        <f>7.2181 * CHOOSE(CONTROL!$C$32, $C$9, 100%, $E$9)</f>
        <v>7.2180999999999997</v>
      </c>
      <c r="N504" s="11">
        <f>7.2149 * CHOOSE(CONTROL!$C$32, $C$9, 100%, $E$9)</f>
        <v>7.2149000000000001</v>
      </c>
      <c r="O504" s="11">
        <f>7.2181 * CHOOSE(CONTROL!$C$32, $C$9, 100%, $E$9)</f>
        <v>7.2180999999999997</v>
      </c>
    </row>
    <row r="505" spans="1:15" ht="15" x14ac:dyDescent="0.2">
      <c r="A505" s="13">
        <v>56219</v>
      </c>
      <c r="B505" s="9">
        <f>7.1637 * CHOOSE(CONTROL!$C$32, $C$9, 100%, $E$9)</f>
        <v>7.1637000000000004</v>
      </c>
      <c r="C505" s="9">
        <f>7.1637 * CHOOSE(CONTROL!$C$32, $C$9, 100%, $E$9)</f>
        <v>7.1637000000000004</v>
      </c>
      <c r="D505" s="9">
        <f>7.1647 * CHOOSE(CONTROL!$C$32, $C$9, 100%, $E$9)</f>
        <v>7.1646999999999998</v>
      </c>
      <c r="E505" s="11">
        <f>7.1226 * CHOOSE(CONTROL!$C$32, $C$9, 100%, $E$9)</f>
        <v>7.1226000000000003</v>
      </c>
      <c r="F505" s="11">
        <f>7.1226 * CHOOSE(CONTROL!$C$32, $C$9, 100%, $E$9)</f>
        <v>7.1226000000000003</v>
      </c>
      <c r="G505" s="11">
        <f>7.1259 * CHOOSE(CONTROL!$C$32, $C$9, 100%, $E$9)</f>
        <v>7.1258999999999997</v>
      </c>
      <c r="H505" s="11">
        <f>16.0198 * CHOOSE(CONTROL!$C$32, $C$9, 100%, $E$9)</f>
        <v>16.0198</v>
      </c>
      <c r="I505" s="11">
        <f>16.023 * CHOOSE(CONTROL!$C$32, $C$9, 100%, $E$9)</f>
        <v>16.023</v>
      </c>
      <c r="J505" s="11">
        <f>16.0198 * CHOOSE(CONTROL!$C$32, $C$9, 100%, $E$9)</f>
        <v>16.0198</v>
      </c>
      <c r="K505" s="11">
        <f>16.023 * CHOOSE(CONTROL!$C$32, $C$9, 100%, $E$9)</f>
        <v>16.023</v>
      </c>
      <c r="L505" s="11">
        <f>7.1226 * CHOOSE(CONTROL!$C$32, $C$9, 100%, $E$9)</f>
        <v>7.1226000000000003</v>
      </c>
      <c r="M505" s="11">
        <f>7.1259 * CHOOSE(CONTROL!$C$32, $C$9, 100%, $E$9)</f>
        <v>7.1258999999999997</v>
      </c>
      <c r="N505" s="11">
        <f>7.1226 * CHOOSE(CONTROL!$C$32, $C$9, 100%, $E$9)</f>
        <v>7.1226000000000003</v>
      </c>
      <c r="O505" s="11">
        <f>7.1259 * CHOOSE(CONTROL!$C$32, $C$9, 100%, $E$9)</f>
        <v>7.1258999999999997</v>
      </c>
    </row>
    <row r="506" spans="1:15" ht="15" x14ac:dyDescent="0.2">
      <c r="A506" s="13">
        <v>56250</v>
      </c>
      <c r="B506" s="9">
        <f>7.2176 * CHOOSE(CONTROL!$C$32, $C$9, 100%, $E$9)</f>
        <v>7.2176</v>
      </c>
      <c r="C506" s="9">
        <f>7.2176 * CHOOSE(CONTROL!$C$32, $C$9, 100%, $E$9)</f>
        <v>7.2176</v>
      </c>
      <c r="D506" s="9">
        <f>7.2186 * CHOOSE(CONTROL!$C$32, $C$9, 100%, $E$9)</f>
        <v>7.2186000000000003</v>
      </c>
      <c r="E506" s="11">
        <f>7.2221 * CHOOSE(CONTROL!$C$32, $C$9, 100%, $E$9)</f>
        <v>7.2221000000000002</v>
      </c>
      <c r="F506" s="11">
        <f>7.2221 * CHOOSE(CONTROL!$C$32, $C$9, 100%, $E$9)</f>
        <v>7.2221000000000002</v>
      </c>
      <c r="G506" s="11">
        <f>7.2253 * CHOOSE(CONTROL!$C$32, $C$9, 100%, $E$9)</f>
        <v>7.2252999999999998</v>
      </c>
      <c r="H506" s="11">
        <f>16.0531 * CHOOSE(CONTROL!$C$32, $C$9, 100%, $E$9)</f>
        <v>16.053100000000001</v>
      </c>
      <c r="I506" s="11">
        <f>16.0564 * CHOOSE(CONTROL!$C$32, $C$9, 100%, $E$9)</f>
        <v>16.0564</v>
      </c>
      <c r="J506" s="11">
        <f>16.0531 * CHOOSE(CONTROL!$C$32, $C$9, 100%, $E$9)</f>
        <v>16.053100000000001</v>
      </c>
      <c r="K506" s="11">
        <f>16.0564 * CHOOSE(CONTROL!$C$32, $C$9, 100%, $E$9)</f>
        <v>16.0564</v>
      </c>
      <c r="L506" s="11">
        <f>7.2221 * CHOOSE(CONTROL!$C$32, $C$9, 100%, $E$9)</f>
        <v>7.2221000000000002</v>
      </c>
      <c r="M506" s="11">
        <f>7.2253 * CHOOSE(CONTROL!$C$32, $C$9, 100%, $E$9)</f>
        <v>7.2252999999999998</v>
      </c>
      <c r="N506" s="11">
        <f>7.2221 * CHOOSE(CONTROL!$C$32, $C$9, 100%, $E$9)</f>
        <v>7.2221000000000002</v>
      </c>
      <c r="O506" s="11">
        <f>7.2253 * CHOOSE(CONTROL!$C$32, $C$9, 100%, $E$9)</f>
        <v>7.2252999999999998</v>
      </c>
    </row>
    <row r="507" spans="1:15" ht="15" x14ac:dyDescent="0.2">
      <c r="A507" s="13">
        <v>56281</v>
      </c>
      <c r="B507" s="9">
        <f>7.2146 * CHOOSE(CONTROL!$C$32, $C$9, 100%, $E$9)</f>
        <v>7.2145999999999999</v>
      </c>
      <c r="C507" s="9">
        <f>7.2146 * CHOOSE(CONTROL!$C$32, $C$9, 100%, $E$9)</f>
        <v>7.2145999999999999</v>
      </c>
      <c r="D507" s="9">
        <f>7.2155 * CHOOSE(CONTROL!$C$32, $C$9, 100%, $E$9)</f>
        <v>7.2154999999999996</v>
      </c>
      <c r="E507" s="11">
        <f>7.04 * CHOOSE(CONTROL!$C$32, $C$9, 100%, $E$9)</f>
        <v>7.04</v>
      </c>
      <c r="F507" s="11">
        <f>7.04 * CHOOSE(CONTROL!$C$32, $C$9, 100%, $E$9)</f>
        <v>7.04</v>
      </c>
      <c r="G507" s="11">
        <f>7.0432 * CHOOSE(CONTROL!$C$32, $C$9, 100%, $E$9)</f>
        <v>7.0431999999999997</v>
      </c>
      <c r="H507" s="11">
        <f>16.0866 * CHOOSE(CONTROL!$C$32, $C$9, 100%, $E$9)</f>
        <v>16.086600000000001</v>
      </c>
      <c r="I507" s="11">
        <f>16.0898 * CHOOSE(CONTROL!$C$32, $C$9, 100%, $E$9)</f>
        <v>16.0898</v>
      </c>
      <c r="J507" s="11">
        <f>16.0866 * CHOOSE(CONTROL!$C$32, $C$9, 100%, $E$9)</f>
        <v>16.086600000000001</v>
      </c>
      <c r="K507" s="11">
        <f>16.0898 * CHOOSE(CONTROL!$C$32, $C$9, 100%, $E$9)</f>
        <v>16.0898</v>
      </c>
      <c r="L507" s="11">
        <f>7.04 * CHOOSE(CONTROL!$C$32, $C$9, 100%, $E$9)</f>
        <v>7.04</v>
      </c>
      <c r="M507" s="11">
        <f>7.0432 * CHOOSE(CONTROL!$C$32, $C$9, 100%, $E$9)</f>
        <v>7.0431999999999997</v>
      </c>
      <c r="N507" s="11">
        <f>7.04 * CHOOSE(CONTROL!$C$32, $C$9, 100%, $E$9)</f>
        <v>7.04</v>
      </c>
      <c r="O507" s="11">
        <f>7.0432 * CHOOSE(CONTROL!$C$32, $C$9, 100%, $E$9)</f>
        <v>7.0431999999999997</v>
      </c>
    </row>
    <row r="508" spans="1:15" ht="15" x14ac:dyDescent="0.2">
      <c r="A508" s="13">
        <v>56309</v>
      </c>
      <c r="B508" s="9">
        <f>7.2115 * CHOOSE(CONTROL!$C$32, $C$9, 100%, $E$9)</f>
        <v>7.2115</v>
      </c>
      <c r="C508" s="9">
        <f>7.2115 * CHOOSE(CONTROL!$C$32, $C$9, 100%, $E$9)</f>
        <v>7.2115</v>
      </c>
      <c r="D508" s="9">
        <f>7.2125 * CHOOSE(CONTROL!$C$32, $C$9, 100%, $E$9)</f>
        <v>7.2125000000000004</v>
      </c>
      <c r="E508" s="11">
        <f>7.1798 * CHOOSE(CONTROL!$C$32, $C$9, 100%, $E$9)</f>
        <v>7.1798000000000002</v>
      </c>
      <c r="F508" s="11">
        <f>7.1798 * CHOOSE(CONTROL!$C$32, $C$9, 100%, $E$9)</f>
        <v>7.1798000000000002</v>
      </c>
      <c r="G508" s="11">
        <f>7.183 * CHOOSE(CONTROL!$C$32, $C$9, 100%, $E$9)</f>
        <v>7.1829999999999998</v>
      </c>
      <c r="H508" s="11">
        <f>16.1201 * CHOOSE(CONTROL!$C$32, $C$9, 100%, $E$9)</f>
        <v>16.120100000000001</v>
      </c>
      <c r="I508" s="11">
        <f>16.1233 * CHOOSE(CONTROL!$C$32, $C$9, 100%, $E$9)</f>
        <v>16.1233</v>
      </c>
      <c r="J508" s="11">
        <f>16.1201 * CHOOSE(CONTROL!$C$32, $C$9, 100%, $E$9)</f>
        <v>16.120100000000001</v>
      </c>
      <c r="K508" s="11">
        <f>16.1233 * CHOOSE(CONTROL!$C$32, $C$9, 100%, $E$9)</f>
        <v>16.1233</v>
      </c>
      <c r="L508" s="11">
        <f>7.1798 * CHOOSE(CONTROL!$C$32, $C$9, 100%, $E$9)</f>
        <v>7.1798000000000002</v>
      </c>
      <c r="M508" s="11">
        <f>7.183 * CHOOSE(CONTROL!$C$32, $C$9, 100%, $E$9)</f>
        <v>7.1829999999999998</v>
      </c>
      <c r="N508" s="11">
        <f>7.1798 * CHOOSE(CONTROL!$C$32, $C$9, 100%, $E$9)</f>
        <v>7.1798000000000002</v>
      </c>
      <c r="O508" s="11">
        <f>7.183 * CHOOSE(CONTROL!$C$32, $C$9, 100%, $E$9)</f>
        <v>7.1829999999999998</v>
      </c>
    </row>
    <row r="509" spans="1:15" ht="15" x14ac:dyDescent="0.2">
      <c r="A509" s="13">
        <v>56340</v>
      </c>
      <c r="B509" s="9">
        <f>7.2123 * CHOOSE(CONTROL!$C$32, $C$9, 100%, $E$9)</f>
        <v>7.2122999999999999</v>
      </c>
      <c r="C509" s="9">
        <f>7.2123 * CHOOSE(CONTROL!$C$32, $C$9, 100%, $E$9)</f>
        <v>7.2122999999999999</v>
      </c>
      <c r="D509" s="9">
        <f>7.2132 * CHOOSE(CONTROL!$C$32, $C$9, 100%, $E$9)</f>
        <v>7.2131999999999996</v>
      </c>
      <c r="E509" s="11">
        <f>7.3279 * CHOOSE(CONTROL!$C$32, $C$9, 100%, $E$9)</f>
        <v>7.3278999999999996</v>
      </c>
      <c r="F509" s="11">
        <f>7.3279 * CHOOSE(CONTROL!$C$32, $C$9, 100%, $E$9)</f>
        <v>7.3278999999999996</v>
      </c>
      <c r="G509" s="11">
        <f>7.3311 * CHOOSE(CONTROL!$C$32, $C$9, 100%, $E$9)</f>
        <v>7.3311000000000002</v>
      </c>
      <c r="H509" s="11">
        <f>16.1537 * CHOOSE(CONTROL!$C$32, $C$9, 100%, $E$9)</f>
        <v>16.153700000000001</v>
      </c>
      <c r="I509" s="11">
        <f>16.1569 * CHOOSE(CONTROL!$C$32, $C$9, 100%, $E$9)</f>
        <v>16.1569</v>
      </c>
      <c r="J509" s="11">
        <f>16.1537 * CHOOSE(CONTROL!$C$32, $C$9, 100%, $E$9)</f>
        <v>16.153700000000001</v>
      </c>
      <c r="K509" s="11">
        <f>16.1569 * CHOOSE(CONTROL!$C$32, $C$9, 100%, $E$9)</f>
        <v>16.1569</v>
      </c>
      <c r="L509" s="11">
        <f>7.3279 * CHOOSE(CONTROL!$C$32, $C$9, 100%, $E$9)</f>
        <v>7.3278999999999996</v>
      </c>
      <c r="M509" s="11">
        <f>7.3311 * CHOOSE(CONTROL!$C$32, $C$9, 100%, $E$9)</f>
        <v>7.3311000000000002</v>
      </c>
      <c r="N509" s="11">
        <f>7.3279 * CHOOSE(CONTROL!$C$32, $C$9, 100%, $E$9)</f>
        <v>7.3278999999999996</v>
      </c>
      <c r="O509" s="11">
        <f>7.3311 * CHOOSE(CONTROL!$C$32, $C$9, 100%, $E$9)</f>
        <v>7.3311000000000002</v>
      </c>
    </row>
    <row r="510" spans="1:15" ht="15" x14ac:dyDescent="0.2">
      <c r="A510" s="13">
        <v>56370</v>
      </c>
      <c r="B510" s="9">
        <f>7.2123 * CHOOSE(CONTROL!$C$32, $C$9, 100%, $E$9)</f>
        <v>7.2122999999999999</v>
      </c>
      <c r="C510" s="9">
        <f>7.2123 * CHOOSE(CONTROL!$C$32, $C$9, 100%, $E$9)</f>
        <v>7.2122999999999999</v>
      </c>
      <c r="D510" s="9">
        <f>7.2135 * CHOOSE(CONTROL!$C$32, $C$9, 100%, $E$9)</f>
        <v>7.2134999999999998</v>
      </c>
      <c r="E510" s="11">
        <f>7.3851 * CHOOSE(CONTROL!$C$32, $C$9, 100%, $E$9)</f>
        <v>7.3851000000000004</v>
      </c>
      <c r="F510" s="11">
        <f>7.3851 * CHOOSE(CONTROL!$C$32, $C$9, 100%, $E$9)</f>
        <v>7.3851000000000004</v>
      </c>
      <c r="G510" s="11">
        <f>7.3893 * CHOOSE(CONTROL!$C$32, $C$9, 100%, $E$9)</f>
        <v>7.3893000000000004</v>
      </c>
      <c r="H510" s="11">
        <f>16.1873 * CHOOSE(CONTROL!$C$32, $C$9, 100%, $E$9)</f>
        <v>16.1873</v>
      </c>
      <c r="I510" s="11">
        <f>16.1915 * CHOOSE(CONTROL!$C$32, $C$9, 100%, $E$9)</f>
        <v>16.191500000000001</v>
      </c>
      <c r="J510" s="11">
        <f>16.1873 * CHOOSE(CONTROL!$C$32, $C$9, 100%, $E$9)</f>
        <v>16.1873</v>
      </c>
      <c r="K510" s="11">
        <f>16.1915 * CHOOSE(CONTROL!$C$32, $C$9, 100%, $E$9)</f>
        <v>16.191500000000001</v>
      </c>
      <c r="L510" s="11">
        <f>7.3851 * CHOOSE(CONTROL!$C$32, $C$9, 100%, $E$9)</f>
        <v>7.3851000000000004</v>
      </c>
      <c r="M510" s="11">
        <f>7.3893 * CHOOSE(CONTROL!$C$32, $C$9, 100%, $E$9)</f>
        <v>7.3893000000000004</v>
      </c>
      <c r="N510" s="11">
        <f>7.3851 * CHOOSE(CONTROL!$C$32, $C$9, 100%, $E$9)</f>
        <v>7.3851000000000004</v>
      </c>
      <c r="O510" s="11">
        <f>7.3893 * CHOOSE(CONTROL!$C$32, $C$9, 100%, $E$9)</f>
        <v>7.3893000000000004</v>
      </c>
    </row>
    <row r="511" spans="1:15" ht="15" x14ac:dyDescent="0.2">
      <c r="A511" s="13">
        <v>56401</v>
      </c>
      <c r="B511" s="9">
        <f>7.2184 * CHOOSE(CONTROL!$C$32, $C$9, 100%, $E$9)</f>
        <v>7.2183999999999999</v>
      </c>
      <c r="C511" s="9">
        <f>7.2184 * CHOOSE(CONTROL!$C$32, $C$9, 100%, $E$9)</f>
        <v>7.2183999999999999</v>
      </c>
      <c r="D511" s="9">
        <f>7.2196 * CHOOSE(CONTROL!$C$32, $C$9, 100%, $E$9)</f>
        <v>7.2195999999999998</v>
      </c>
      <c r="E511" s="11">
        <f>7.3322 * CHOOSE(CONTROL!$C$32, $C$9, 100%, $E$9)</f>
        <v>7.3322000000000003</v>
      </c>
      <c r="F511" s="11">
        <f>7.3322 * CHOOSE(CONTROL!$C$32, $C$9, 100%, $E$9)</f>
        <v>7.3322000000000003</v>
      </c>
      <c r="G511" s="11">
        <f>7.3364 * CHOOSE(CONTROL!$C$32, $C$9, 100%, $E$9)</f>
        <v>7.3364000000000003</v>
      </c>
      <c r="H511" s="11">
        <f>16.221 * CHOOSE(CONTROL!$C$32, $C$9, 100%, $E$9)</f>
        <v>16.221</v>
      </c>
      <c r="I511" s="11">
        <f>16.2252 * CHOOSE(CONTROL!$C$32, $C$9, 100%, $E$9)</f>
        <v>16.225200000000001</v>
      </c>
      <c r="J511" s="11">
        <f>16.221 * CHOOSE(CONTROL!$C$32, $C$9, 100%, $E$9)</f>
        <v>16.221</v>
      </c>
      <c r="K511" s="11">
        <f>16.2252 * CHOOSE(CONTROL!$C$32, $C$9, 100%, $E$9)</f>
        <v>16.225200000000001</v>
      </c>
      <c r="L511" s="11">
        <f>7.3322 * CHOOSE(CONTROL!$C$32, $C$9, 100%, $E$9)</f>
        <v>7.3322000000000003</v>
      </c>
      <c r="M511" s="11">
        <f>7.3364 * CHOOSE(CONTROL!$C$32, $C$9, 100%, $E$9)</f>
        <v>7.3364000000000003</v>
      </c>
      <c r="N511" s="11">
        <f>7.3322 * CHOOSE(CONTROL!$C$32, $C$9, 100%, $E$9)</f>
        <v>7.3322000000000003</v>
      </c>
      <c r="O511" s="11">
        <f>7.3364 * CHOOSE(CONTROL!$C$32, $C$9, 100%, $E$9)</f>
        <v>7.3364000000000003</v>
      </c>
    </row>
    <row r="512" spans="1:15" ht="15" x14ac:dyDescent="0.2">
      <c r="A512" s="13">
        <v>56431</v>
      </c>
      <c r="B512" s="9">
        <f>7.3122 * CHOOSE(CONTROL!$C$32, $C$9, 100%, $E$9)</f>
        <v>7.3121999999999998</v>
      </c>
      <c r="C512" s="9">
        <f>7.3122 * CHOOSE(CONTROL!$C$32, $C$9, 100%, $E$9)</f>
        <v>7.3121999999999998</v>
      </c>
      <c r="D512" s="9">
        <f>7.3135 * CHOOSE(CONTROL!$C$32, $C$9, 100%, $E$9)</f>
        <v>7.3135000000000003</v>
      </c>
      <c r="E512" s="11">
        <f>7.3606 * CHOOSE(CONTROL!$C$32, $C$9, 100%, $E$9)</f>
        <v>7.3605999999999998</v>
      </c>
      <c r="F512" s="11">
        <f>7.3606 * CHOOSE(CONTROL!$C$32, $C$9, 100%, $E$9)</f>
        <v>7.3605999999999998</v>
      </c>
      <c r="G512" s="11">
        <f>7.3648 * CHOOSE(CONTROL!$C$32, $C$9, 100%, $E$9)</f>
        <v>7.3647999999999998</v>
      </c>
      <c r="H512" s="11">
        <f>16.2548 * CHOOSE(CONTROL!$C$32, $C$9, 100%, $E$9)</f>
        <v>16.254799999999999</v>
      </c>
      <c r="I512" s="11">
        <f>16.259 * CHOOSE(CONTROL!$C$32, $C$9, 100%, $E$9)</f>
        <v>16.259</v>
      </c>
      <c r="J512" s="11">
        <f>16.2548 * CHOOSE(CONTROL!$C$32, $C$9, 100%, $E$9)</f>
        <v>16.254799999999999</v>
      </c>
      <c r="K512" s="11">
        <f>16.259 * CHOOSE(CONTROL!$C$32, $C$9, 100%, $E$9)</f>
        <v>16.259</v>
      </c>
      <c r="L512" s="11">
        <f>7.3606 * CHOOSE(CONTROL!$C$32, $C$9, 100%, $E$9)</f>
        <v>7.3605999999999998</v>
      </c>
      <c r="M512" s="11">
        <f>7.3648 * CHOOSE(CONTROL!$C$32, $C$9, 100%, $E$9)</f>
        <v>7.3647999999999998</v>
      </c>
      <c r="N512" s="11">
        <f>7.3606 * CHOOSE(CONTROL!$C$32, $C$9, 100%, $E$9)</f>
        <v>7.3605999999999998</v>
      </c>
      <c r="O512" s="11">
        <f>7.3648 * CHOOSE(CONTROL!$C$32, $C$9, 100%, $E$9)</f>
        <v>7.3647999999999998</v>
      </c>
    </row>
    <row r="513" spans="1:15" ht="15" x14ac:dyDescent="0.2">
      <c r="A513" s="13">
        <v>56462</v>
      </c>
      <c r="B513" s="9">
        <f>7.3189 * CHOOSE(CONTROL!$C$32, $C$9, 100%, $E$9)</f>
        <v>7.3189000000000002</v>
      </c>
      <c r="C513" s="9">
        <f>7.3189 * CHOOSE(CONTROL!$C$32, $C$9, 100%, $E$9)</f>
        <v>7.3189000000000002</v>
      </c>
      <c r="D513" s="9">
        <f>7.3202 * CHOOSE(CONTROL!$C$32, $C$9, 100%, $E$9)</f>
        <v>7.3201999999999998</v>
      </c>
      <c r="E513" s="11">
        <f>7.1939 * CHOOSE(CONTROL!$C$32, $C$9, 100%, $E$9)</f>
        <v>7.1939000000000002</v>
      </c>
      <c r="F513" s="11">
        <f>7.1939 * CHOOSE(CONTROL!$C$32, $C$9, 100%, $E$9)</f>
        <v>7.1939000000000002</v>
      </c>
      <c r="G513" s="11">
        <f>7.1981 * CHOOSE(CONTROL!$C$32, $C$9, 100%, $E$9)</f>
        <v>7.1981000000000002</v>
      </c>
      <c r="H513" s="11">
        <f>16.2887 * CHOOSE(CONTROL!$C$32, $C$9, 100%, $E$9)</f>
        <v>16.288699999999999</v>
      </c>
      <c r="I513" s="11">
        <f>16.2929 * CHOOSE(CONTROL!$C$32, $C$9, 100%, $E$9)</f>
        <v>16.292899999999999</v>
      </c>
      <c r="J513" s="11">
        <f>16.2887 * CHOOSE(CONTROL!$C$32, $C$9, 100%, $E$9)</f>
        <v>16.288699999999999</v>
      </c>
      <c r="K513" s="11">
        <f>16.2929 * CHOOSE(CONTROL!$C$32, $C$9, 100%, $E$9)</f>
        <v>16.292899999999999</v>
      </c>
      <c r="L513" s="11">
        <f>7.1939 * CHOOSE(CONTROL!$C$32, $C$9, 100%, $E$9)</f>
        <v>7.1939000000000002</v>
      </c>
      <c r="M513" s="11">
        <f>7.1981 * CHOOSE(CONTROL!$C$32, $C$9, 100%, $E$9)</f>
        <v>7.1981000000000002</v>
      </c>
      <c r="N513" s="11">
        <f>7.1939 * CHOOSE(CONTROL!$C$32, $C$9, 100%, $E$9)</f>
        <v>7.1939000000000002</v>
      </c>
      <c r="O513" s="11">
        <f>7.1981 * CHOOSE(CONTROL!$C$32, $C$9, 100%, $E$9)</f>
        <v>7.1981000000000002</v>
      </c>
    </row>
    <row r="514" spans="1:15" ht="15" x14ac:dyDescent="0.2">
      <c r="A514" s="13">
        <v>56493</v>
      </c>
      <c r="B514" s="9">
        <f>7.3159 * CHOOSE(CONTROL!$C$32, $C$9, 100%, $E$9)</f>
        <v>7.3159000000000001</v>
      </c>
      <c r="C514" s="9">
        <f>7.3159 * CHOOSE(CONTROL!$C$32, $C$9, 100%, $E$9)</f>
        <v>7.3159000000000001</v>
      </c>
      <c r="D514" s="9">
        <f>7.3171 * CHOOSE(CONTROL!$C$32, $C$9, 100%, $E$9)</f>
        <v>7.3170999999999999</v>
      </c>
      <c r="E514" s="11">
        <f>7.1727 * CHOOSE(CONTROL!$C$32, $C$9, 100%, $E$9)</f>
        <v>7.1726999999999999</v>
      </c>
      <c r="F514" s="11">
        <f>7.1727 * CHOOSE(CONTROL!$C$32, $C$9, 100%, $E$9)</f>
        <v>7.1726999999999999</v>
      </c>
      <c r="G514" s="11">
        <f>7.1769 * CHOOSE(CONTROL!$C$32, $C$9, 100%, $E$9)</f>
        <v>7.1768999999999998</v>
      </c>
      <c r="H514" s="11">
        <f>16.3226 * CHOOSE(CONTROL!$C$32, $C$9, 100%, $E$9)</f>
        <v>16.322600000000001</v>
      </c>
      <c r="I514" s="11">
        <f>16.3268 * CHOOSE(CONTROL!$C$32, $C$9, 100%, $E$9)</f>
        <v>16.326799999999999</v>
      </c>
      <c r="J514" s="11">
        <f>16.3226 * CHOOSE(CONTROL!$C$32, $C$9, 100%, $E$9)</f>
        <v>16.322600000000001</v>
      </c>
      <c r="K514" s="11">
        <f>16.3268 * CHOOSE(CONTROL!$C$32, $C$9, 100%, $E$9)</f>
        <v>16.326799999999999</v>
      </c>
      <c r="L514" s="11">
        <f>7.1727 * CHOOSE(CONTROL!$C$32, $C$9, 100%, $E$9)</f>
        <v>7.1726999999999999</v>
      </c>
      <c r="M514" s="11">
        <f>7.1769 * CHOOSE(CONTROL!$C$32, $C$9, 100%, $E$9)</f>
        <v>7.1768999999999998</v>
      </c>
      <c r="N514" s="11">
        <f>7.1727 * CHOOSE(CONTROL!$C$32, $C$9, 100%, $E$9)</f>
        <v>7.1726999999999999</v>
      </c>
      <c r="O514" s="11">
        <f>7.1769 * CHOOSE(CONTROL!$C$32, $C$9, 100%, $E$9)</f>
        <v>7.1768999999999998</v>
      </c>
    </row>
    <row r="515" spans="1:15" ht="15" x14ac:dyDescent="0.2">
      <c r="A515" s="13">
        <v>56523</v>
      </c>
      <c r="B515" s="9">
        <f>7.3233 * CHOOSE(CONTROL!$C$32, $C$9, 100%, $E$9)</f>
        <v>7.3232999999999997</v>
      </c>
      <c r="C515" s="9">
        <f>7.3233 * CHOOSE(CONTROL!$C$32, $C$9, 100%, $E$9)</f>
        <v>7.3232999999999997</v>
      </c>
      <c r="D515" s="9">
        <f>7.3242 * CHOOSE(CONTROL!$C$32, $C$9, 100%, $E$9)</f>
        <v>7.3242000000000003</v>
      </c>
      <c r="E515" s="11">
        <f>7.2355 * CHOOSE(CONTROL!$C$32, $C$9, 100%, $E$9)</f>
        <v>7.2355</v>
      </c>
      <c r="F515" s="11">
        <f>7.2355 * CHOOSE(CONTROL!$C$32, $C$9, 100%, $E$9)</f>
        <v>7.2355</v>
      </c>
      <c r="G515" s="11">
        <f>7.2387 * CHOOSE(CONTROL!$C$32, $C$9, 100%, $E$9)</f>
        <v>7.2386999999999997</v>
      </c>
      <c r="H515" s="11">
        <f>16.3566 * CHOOSE(CONTROL!$C$32, $C$9, 100%, $E$9)</f>
        <v>16.3566</v>
      </c>
      <c r="I515" s="11">
        <f>16.3599 * CHOOSE(CONTROL!$C$32, $C$9, 100%, $E$9)</f>
        <v>16.3599</v>
      </c>
      <c r="J515" s="11">
        <f>16.3566 * CHOOSE(CONTROL!$C$32, $C$9, 100%, $E$9)</f>
        <v>16.3566</v>
      </c>
      <c r="K515" s="11">
        <f>16.3599 * CHOOSE(CONTROL!$C$32, $C$9, 100%, $E$9)</f>
        <v>16.3599</v>
      </c>
      <c r="L515" s="11">
        <f>7.2355 * CHOOSE(CONTROL!$C$32, $C$9, 100%, $E$9)</f>
        <v>7.2355</v>
      </c>
      <c r="M515" s="11">
        <f>7.2387 * CHOOSE(CONTROL!$C$32, $C$9, 100%, $E$9)</f>
        <v>7.2386999999999997</v>
      </c>
      <c r="N515" s="11">
        <f>7.2355 * CHOOSE(CONTROL!$C$32, $C$9, 100%, $E$9)</f>
        <v>7.2355</v>
      </c>
      <c r="O515" s="11">
        <f>7.2387 * CHOOSE(CONTROL!$C$32, $C$9, 100%, $E$9)</f>
        <v>7.2386999999999997</v>
      </c>
    </row>
    <row r="516" spans="1:15" ht="15" x14ac:dyDescent="0.2">
      <c r="A516" s="13">
        <v>56554</v>
      </c>
      <c r="B516" s="9">
        <f>7.3263 * CHOOSE(CONTROL!$C$32, $C$9, 100%, $E$9)</f>
        <v>7.3262999999999998</v>
      </c>
      <c r="C516" s="9">
        <f>7.3263 * CHOOSE(CONTROL!$C$32, $C$9, 100%, $E$9)</f>
        <v>7.3262999999999998</v>
      </c>
      <c r="D516" s="9">
        <f>7.3273 * CHOOSE(CONTROL!$C$32, $C$9, 100%, $E$9)</f>
        <v>7.3273000000000001</v>
      </c>
      <c r="E516" s="11">
        <f>7.2757 * CHOOSE(CONTROL!$C$32, $C$9, 100%, $E$9)</f>
        <v>7.2756999999999996</v>
      </c>
      <c r="F516" s="11">
        <f>7.2757 * CHOOSE(CONTROL!$C$32, $C$9, 100%, $E$9)</f>
        <v>7.2756999999999996</v>
      </c>
      <c r="G516" s="11">
        <f>7.2789 * CHOOSE(CONTROL!$C$32, $C$9, 100%, $E$9)</f>
        <v>7.2789000000000001</v>
      </c>
      <c r="H516" s="11">
        <f>16.3907 * CHOOSE(CONTROL!$C$32, $C$9, 100%, $E$9)</f>
        <v>16.390699999999999</v>
      </c>
      <c r="I516" s="11">
        <f>16.3939 * CHOOSE(CONTROL!$C$32, $C$9, 100%, $E$9)</f>
        <v>16.393899999999999</v>
      </c>
      <c r="J516" s="11">
        <f>16.3907 * CHOOSE(CONTROL!$C$32, $C$9, 100%, $E$9)</f>
        <v>16.390699999999999</v>
      </c>
      <c r="K516" s="11">
        <f>16.3939 * CHOOSE(CONTROL!$C$32, $C$9, 100%, $E$9)</f>
        <v>16.393899999999999</v>
      </c>
      <c r="L516" s="11">
        <f>7.2757 * CHOOSE(CONTROL!$C$32, $C$9, 100%, $E$9)</f>
        <v>7.2756999999999996</v>
      </c>
      <c r="M516" s="11">
        <f>7.2789 * CHOOSE(CONTROL!$C$32, $C$9, 100%, $E$9)</f>
        <v>7.2789000000000001</v>
      </c>
      <c r="N516" s="11">
        <f>7.2757 * CHOOSE(CONTROL!$C$32, $C$9, 100%, $E$9)</f>
        <v>7.2756999999999996</v>
      </c>
      <c r="O516" s="11">
        <f>7.2789 * CHOOSE(CONTROL!$C$32, $C$9, 100%, $E$9)</f>
        <v>7.2789000000000001</v>
      </c>
    </row>
    <row r="517" spans="1:15" ht="15" x14ac:dyDescent="0.2">
      <c r="A517" s="13">
        <v>56584</v>
      </c>
      <c r="B517" s="9">
        <f>7.3263 * CHOOSE(CONTROL!$C$32, $C$9, 100%, $E$9)</f>
        <v>7.3262999999999998</v>
      </c>
      <c r="C517" s="9">
        <f>7.3263 * CHOOSE(CONTROL!$C$32, $C$9, 100%, $E$9)</f>
        <v>7.3262999999999998</v>
      </c>
      <c r="D517" s="9">
        <f>7.3273 * CHOOSE(CONTROL!$C$32, $C$9, 100%, $E$9)</f>
        <v>7.3273000000000001</v>
      </c>
      <c r="E517" s="11">
        <f>7.1805 * CHOOSE(CONTROL!$C$32, $C$9, 100%, $E$9)</f>
        <v>7.1805000000000003</v>
      </c>
      <c r="F517" s="11">
        <f>7.1805 * CHOOSE(CONTROL!$C$32, $C$9, 100%, $E$9)</f>
        <v>7.1805000000000003</v>
      </c>
      <c r="G517" s="11">
        <f>7.1837 * CHOOSE(CONTROL!$C$32, $C$9, 100%, $E$9)</f>
        <v>7.1837</v>
      </c>
      <c r="H517" s="11">
        <f>16.4249 * CHOOSE(CONTROL!$C$32, $C$9, 100%, $E$9)</f>
        <v>16.424900000000001</v>
      </c>
      <c r="I517" s="11">
        <f>16.4281 * CHOOSE(CONTROL!$C$32, $C$9, 100%, $E$9)</f>
        <v>16.428100000000001</v>
      </c>
      <c r="J517" s="11">
        <f>16.4249 * CHOOSE(CONTROL!$C$32, $C$9, 100%, $E$9)</f>
        <v>16.424900000000001</v>
      </c>
      <c r="K517" s="11">
        <f>16.4281 * CHOOSE(CONTROL!$C$32, $C$9, 100%, $E$9)</f>
        <v>16.428100000000001</v>
      </c>
      <c r="L517" s="11">
        <f>7.1805 * CHOOSE(CONTROL!$C$32, $C$9, 100%, $E$9)</f>
        <v>7.1805000000000003</v>
      </c>
      <c r="M517" s="11">
        <f>7.1837 * CHOOSE(CONTROL!$C$32, $C$9, 100%, $E$9)</f>
        <v>7.1837</v>
      </c>
      <c r="N517" s="11">
        <f>7.1805 * CHOOSE(CONTROL!$C$32, $C$9, 100%, $E$9)</f>
        <v>7.1805000000000003</v>
      </c>
      <c r="O517" s="11">
        <f>7.1837 * CHOOSE(CONTROL!$C$32, $C$9, 100%, $E$9)</f>
        <v>7.1837</v>
      </c>
    </row>
    <row r="518" spans="1:15" ht="15" x14ac:dyDescent="0.2">
      <c r="A518" s="13">
        <v>56615</v>
      </c>
      <c r="B518" s="9">
        <f>7.3813 * CHOOSE(CONTROL!$C$32, $C$9, 100%, $E$9)</f>
        <v>7.3813000000000004</v>
      </c>
      <c r="C518" s="9">
        <f>7.3813 * CHOOSE(CONTROL!$C$32, $C$9, 100%, $E$9)</f>
        <v>7.3813000000000004</v>
      </c>
      <c r="D518" s="9">
        <f>7.3823 * CHOOSE(CONTROL!$C$32, $C$9, 100%, $E$9)</f>
        <v>7.3822999999999999</v>
      </c>
      <c r="E518" s="11">
        <f>7.2832 * CHOOSE(CONTROL!$C$32, $C$9, 100%, $E$9)</f>
        <v>7.2831999999999999</v>
      </c>
      <c r="F518" s="11">
        <f>7.2832 * CHOOSE(CONTROL!$C$32, $C$9, 100%, $E$9)</f>
        <v>7.2831999999999999</v>
      </c>
      <c r="G518" s="11">
        <f>7.2864 * CHOOSE(CONTROL!$C$32, $C$9, 100%, $E$9)</f>
        <v>7.2864000000000004</v>
      </c>
      <c r="H518" s="11">
        <f>16.4591 * CHOOSE(CONTROL!$C$32, $C$9, 100%, $E$9)</f>
        <v>16.459099999999999</v>
      </c>
      <c r="I518" s="11">
        <f>16.4623 * CHOOSE(CONTROL!$C$32, $C$9, 100%, $E$9)</f>
        <v>16.462299999999999</v>
      </c>
      <c r="J518" s="11">
        <f>16.4591 * CHOOSE(CONTROL!$C$32, $C$9, 100%, $E$9)</f>
        <v>16.459099999999999</v>
      </c>
      <c r="K518" s="11">
        <f>16.4623 * CHOOSE(CONTROL!$C$32, $C$9, 100%, $E$9)</f>
        <v>16.462299999999999</v>
      </c>
      <c r="L518" s="11">
        <f>7.2832 * CHOOSE(CONTROL!$C$32, $C$9, 100%, $E$9)</f>
        <v>7.2831999999999999</v>
      </c>
      <c r="M518" s="11">
        <f>7.2864 * CHOOSE(CONTROL!$C$32, $C$9, 100%, $E$9)</f>
        <v>7.2864000000000004</v>
      </c>
      <c r="N518" s="11">
        <f>7.2832 * CHOOSE(CONTROL!$C$32, $C$9, 100%, $E$9)</f>
        <v>7.2831999999999999</v>
      </c>
      <c r="O518" s="11">
        <f>7.2864 * CHOOSE(CONTROL!$C$32, $C$9, 100%, $E$9)</f>
        <v>7.2864000000000004</v>
      </c>
    </row>
    <row r="519" spans="1:15" ht="15" x14ac:dyDescent="0.2">
      <c r="A519" s="13">
        <v>56646</v>
      </c>
      <c r="B519" s="9">
        <f>7.3783 * CHOOSE(CONTROL!$C$32, $C$9, 100%, $E$9)</f>
        <v>7.3783000000000003</v>
      </c>
      <c r="C519" s="9">
        <f>7.3783 * CHOOSE(CONTROL!$C$32, $C$9, 100%, $E$9)</f>
        <v>7.3783000000000003</v>
      </c>
      <c r="D519" s="9">
        <f>7.3792 * CHOOSE(CONTROL!$C$32, $C$9, 100%, $E$9)</f>
        <v>7.3792</v>
      </c>
      <c r="E519" s="11">
        <f>7.0953 * CHOOSE(CONTROL!$C$32, $C$9, 100%, $E$9)</f>
        <v>7.0952999999999999</v>
      </c>
      <c r="F519" s="11">
        <f>7.0953 * CHOOSE(CONTROL!$C$32, $C$9, 100%, $E$9)</f>
        <v>7.0952999999999999</v>
      </c>
      <c r="G519" s="11">
        <f>7.0985 * CHOOSE(CONTROL!$C$32, $C$9, 100%, $E$9)</f>
        <v>7.0984999999999996</v>
      </c>
      <c r="H519" s="11">
        <f>16.4934 * CHOOSE(CONTROL!$C$32, $C$9, 100%, $E$9)</f>
        <v>16.493400000000001</v>
      </c>
      <c r="I519" s="11">
        <f>16.4966 * CHOOSE(CONTROL!$C$32, $C$9, 100%, $E$9)</f>
        <v>16.496600000000001</v>
      </c>
      <c r="J519" s="11">
        <f>16.4934 * CHOOSE(CONTROL!$C$32, $C$9, 100%, $E$9)</f>
        <v>16.493400000000001</v>
      </c>
      <c r="K519" s="11">
        <f>16.4966 * CHOOSE(CONTROL!$C$32, $C$9, 100%, $E$9)</f>
        <v>16.496600000000001</v>
      </c>
      <c r="L519" s="11">
        <f>7.0953 * CHOOSE(CONTROL!$C$32, $C$9, 100%, $E$9)</f>
        <v>7.0952999999999999</v>
      </c>
      <c r="M519" s="11">
        <f>7.0985 * CHOOSE(CONTROL!$C$32, $C$9, 100%, $E$9)</f>
        <v>7.0984999999999996</v>
      </c>
      <c r="N519" s="11">
        <f>7.0953 * CHOOSE(CONTROL!$C$32, $C$9, 100%, $E$9)</f>
        <v>7.0952999999999999</v>
      </c>
      <c r="O519" s="11">
        <f>7.0985 * CHOOSE(CONTROL!$C$32, $C$9, 100%, $E$9)</f>
        <v>7.0984999999999996</v>
      </c>
    </row>
    <row r="520" spans="1:15" ht="15" x14ac:dyDescent="0.2">
      <c r="A520" s="13">
        <v>56674</v>
      </c>
      <c r="B520" s="9">
        <f>7.3752 * CHOOSE(CONTROL!$C$32, $C$9, 100%, $E$9)</f>
        <v>7.3752000000000004</v>
      </c>
      <c r="C520" s="9">
        <f>7.3752 * CHOOSE(CONTROL!$C$32, $C$9, 100%, $E$9)</f>
        <v>7.3752000000000004</v>
      </c>
      <c r="D520" s="9">
        <f>7.3762 * CHOOSE(CONTROL!$C$32, $C$9, 100%, $E$9)</f>
        <v>7.3761999999999999</v>
      </c>
      <c r="E520" s="11">
        <f>7.2396 * CHOOSE(CONTROL!$C$32, $C$9, 100%, $E$9)</f>
        <v>7.2396000000000003</v>
      </c>
      <c r="F520" s="11">
        <f>7.2396 * CHOOSE(CONTROL!$C$32, $C$9, 100%, $E$9)</f>
        <v>7.2396000000000003</v>
      </c>
      <c r="G520" s="11">
        <f>7.2429 * CHOOSE(CONTROL!$C$32, $C$9, 100%, $E$9)</f>
        <v>7.2428999999999997</v>
      </c>
      <c r="H520" s="11">
        <f>16.5277 * CHOOSE(CONTROL!$C$32, $C$9, 100%, $E$9)</f>
        <v>16.527699999999999</v>
      </c>
      <c r="I520" s="11">
        <f>16.531 * CHOOSE(CONTROL!$C$32, $C$9, 100%, $E$9)</f>
        <v>16.530999999999999</v>
      </c>
      <c r="J520" s="11">
        <f>16.5277 * CHOOSE(CONTROL!$C$32, $C$9, 100%, $E$9)</f>
        <v>16.527699999999999</v>
      </c>
      <c r="K520" s="11">
        <f>16.531 * CHOOSE(CONTROL!$C$32, $C$9, 100%, $E$9)</f>
        <v>16.530999999999999</v>
      </c>
      <c r="L520" s="11">
        <f>7.2396 * CHOOSE(CONTROL!$C$32, $C$9, 100%, $E$9)</f>
        <v>7.2396000000000003</v>
      </c>
      <c r="M520" s="11">
        <f>7.2429 * CHOOSE(CONTROL!$C$32, $C$9, 100%, $E$9)</f>
        <v>7.2428999999999997</v>
      </c>
      <c r="N520" s="11">
        <f>7.2396 * CHOOSE(CONTROL!$C$32, $C$9, 100%, $E$9)</f>
        <v>7.2396000000000003</v>
      </c>
      <c r="O520" s="11">
        <f>7.2429 * CHOOSE(CONTROL!$C$32, $C$9, 100%, $E$9)</f>
        <v>7.2428999999999997</v>
      </c>
    </row>
    <row r="521" spans="1:15" ht="15" x14ac:dyDescent="0.2">
      <c r="A521" s="13">
        <v>56705</v>
      </c>
      <c r="B521" s="9">
        <f>7.3762 * CHOOSE(CONTROL!$C$32, $C$9, 100%, $E$9)</f>
        <v>7.3761999999999999</v>
      </c>
      <c r="C521" s="9">
        <f>7.3762 * CHOOSE(CONTROL!$C$32, $C$9, 100%, $E$9)</f>
        <v>7.3761999999999999</v>
      </c>
      <c r="D521" s="9">
        <f>7.3771 * CHOOSE(CONTROL!$C$32, $C$9, 100%, $E$9)</f>
        <v>7.3771000000000004</v>
      </c>
      <c r="E521" s="11">
        <f>7.3927 * CHOOSE(CONTROL!$C$32, $C$9, 100%, $E$9)</f>
        <v>7.3926999999999996</v>
      </c>
      <c r="F521" s="11">
        <f>7.3927 * CHOOSE(CONTROL!$C$32, $C$9, 100%, $E$9)</f>
        <v>7.3926999999999996</v>
      </c>
      <c r="G521" s="11">
        <f>7.396 * CHOOSE(CONTROL!$C$32, $C$9, 100%, $E$9)</f>
        <v>7.3959999999999999</v>
      </c>
      <c r="H521" s="11">
        <f>16.5622 * CHOOSE(CONTROL!$C$32, $C$9, 100%, $E$9)</f>
        <v>16.562200000000001</v>
      </c>
      <c r="I521" s="11">
        <f>16.5654 * CHOOSE(CONTROL!$C$32, $C$9, 100%, $E$9)</f>
        <v>16.5654</v>
      </c>
      <c r="J521" s="11">
        <f>16.5622 * CHOOSE(CONTROL!$C$32, $C$9, 100%, $E$9)</f>
        <v>16.562200000000001</v>
      </c>
      <c r="K521" s="11">
        <f>16.5654 * CHOOSE(CONTROL!$C$32, $C$9, 100%, $E$9)</f>
        <v>16.5654</v>
      </c>
      <c r="L521" s="11">
        <f>7.3927 * CHOOSE(CONTROL!$C$32, $C$9, 100%, $E$9)</f>
        <v>7.3926999999999996</v>
      </c>
      <c r="M521" s="11">
        <f>7.396 * CHOOSE(CONTROL!$C$32, $C$9, 100%, $E$9)</f>
        <v>7.3959999999999999</v>
      </c>
      <c r="N521" s="11">
        <f>7.3927 * CHOOSE(CONTROL!$C$32, $C$9, 100%, $E$9)</f>
        <v>7.3926999999999996</v>
      </c>
      <c r="O521" s="11">
        <f>7.396 * CHOOSE(CONTROL!$C$32, $C$9, 100%, $E$9)</f>
        <v>7.3959999999999999</v>
      </c>
    </row>
    <row r="522" spans="1:15" ht="15" x14ac:dyDescent="0.2">
      <c r="A522" s="13">
        <v>56735</v>
      </c>
      <c r="B522" s="9">
        <f>7.3762 * CHOOSE(CONTROL!$C$32, $C$9, 100%, $E$9)</f>
        <v>7.3761999999999999</v>
      </c>
      <c r="C522" s="9">
        <f>7.3762 * CHOOSE(CONTROL!$C$32, $C$9, 100%, $E$9)</f>
        <v>7.3761999999999999</v>
      </c>
      <c r="D522" s="9">
        <f>7.3774 * CHOOSE(CONTROL!$C$32, $C$9, 100%, $E$9)</f>
        <v>7.3773999999999997</v>
      </c>
      <c r="E522" s="11">
        <f>7.4517 * CHOOSE(CONTROL!$C$32, $C$9, 100%, $E$9)</f>
        <v>7.4516999999999998</v>
      </c>
      <c r="F522" s="11">
        <f>7.4517 * CHOOSE(CONTROL!$C$32, $C$9, 100%, $E$9)</f>
        <v>7.4516999999999998</v>
      </c>
      <c r="G522" s="11">
        <f>7.4559 * CHOOSE(CONTROL!$C$32, $C$9, 100%, $E$9)</f>
        <v>7.4558999999999997</v>
      </c>
      <c r="H522" s="11">
        <f>16.5967 * CHOOSE(CONTROL!$C$32, $C$9, 100%, $E$9)</f>
        <v>16.596699999999998</v>
      </c>
      <c r="I522" s="11">
        <f>16.6009 * CHOOSE(CONTROL!$C$32, $C$9, 100%, $E$9)</f>
        <v>16.600899999999999</v>
      </c>
      <c r="J522" s="11">
        <f>16.5967 * CHOOSE(CONTROL!$C$32, $C$9, 100%, $E$9)</f>
        <v>16.596699999999998</v>
      </c>
      <c r="K522" s="11">
        <f>16.6009 * CHOOSE(CONTROL!$C$32, $C$9, 100%, $E$9)</f>
        <v>16.600899999999999</v>
      </c>
      <c r="L522" s="11">
        <f>7.4517 * CHOOSE(CONTROL!$C$32, $C$9, 100%, $E$9)</f>
        <v>7.4516999999999998</v>
      </c>
      <c r="M522" s="11">
        <f>7.4559 * CHOOSE(CONTROL!$C$32, $C$9, 100%, $E$9)</f>
        <v>7.4558999999999997</v>
      </c>
      <c r="N522" s="11">
        <f>7.4517 * CHOOSE(CONTROL!$C$32, $C$9, 100%, $E$9)</f>
        <v>7.4516999999999998</v>
      </c>
      <c r="O522" s="11">
        <f>7.4559 * CHOOSE(CONTROL!$C$32, $C$9, 100%, $E$9)</f>
        <v>7.4558999999999997</v>
      </c>
    </row>
    <row r="523" spans="1:15" ht="15" x14ac:dyDescent="0.2">
      <c r="A523" s="13">
        <v>56766</v>
      </c>
      <c r="B523" s="9">
        <f>7.3822 * CHOOSE(CONTROL!$C$32, $C$9, 100%, $E$9)</f>
        <v>7.3822000000000001</v>
      </c>
      <c r="C523" s="9">
        <f>7.3822 * CHOOSE(CONTROL!$C$32, $C$9, 100%, $E$9)</f>
        <v>7.3822000000000001</v>
      </c>
      <c r="D523" s="9">
        <f>7.3835 * CHOOSE(CONTROL!$C$32, $C$9, 100%, $E$9)</f>
        <v>7.3834999999999997</v>
      </c>
      <c r="E523" s="11">
        <f>7.397 * CHOOSE(CONTROL!$C$32, $C$9, 100%, $E$9)</f>
        <v>7.3970000000000002</v>
      </c>
      <c r="F523" s="11">
        <f>7.397 * CHOOSE(CONTROL!$C$32, $C$9, 100%, $E$9)</f>
        <v>7.3970000000000002</v>
      </c>
      <c r="G523" s="11">
        <f>7.4012 * CHOOSE(CONTROL!$C$32, $C$9, 100%, $E$9)</f>
        <v>7.4012000000000002</v>
      </c>
      <c r="H523" s="11">
        <f>16.6313 * CHOOSE(CONTROL!$C$32, $C$9, 100%, $E$9)</f>
        <v>16.6313</v>
      </c>
      <c r="I523" s="11">
        <f>16.6355 * CHOOSE(CONTROL!$C$32, $C$9, 100%, $E$9)</f>
        <v>16.6355</v>
      </c>
      <c r="J523" s="11">
        <f>16.6313 * CHOOSE(CONTROL!$C$32, $C$9, 100%, $E$9)</f>
        <v>16.6313</v>
      </c>
      <c r="K523" s="11">
        <f>16.6355 * CHOOSE(CONTROL!$C$32, $C$9, 100%, $E$9)</f>
        <v>16.6355</v>
      </c>
      <c r="L523" s="11">
        <f>7.397 * CHOOSE(CONTROL!$C$32, $C$9, 100%, $E$9)</f>
        <v>7.3970000000000002</v>
      </c>
      <c r="M523" s="11">
        <f>7.4012 * CHOOSE(CONTROL!$C$32, $C$9, 100%, $E$9)</f>
        <v>7.4012000000000002</v>
      </c>
      <c r="N523" s="11">
        <f>7.397 * CHOOSE(CONTROL!$C$32, $C$9, 100%, $E$9)</f>
        <v>7.3970000000000002</v>
      </c>
      <c r="O523" s="11">
        <f>7.4012 * CHOOSE(CONTROL!$C$32, $C$9, 100%, $E$9)</f>
        <v>7.4012000000000002</v>
      </c>
    </row>
    <row r="524" spans="1:15" ht="15" x14ac:dyDescent="0.2">
      <c r="A524" s="13">
        <v>56796</v>
      </c>
      <c r="B524" s="9">
        <f>7.4779 * CHOOSE(CONTROL!$C$32, $C$9, 100%, $E$9)</f>
        <v>7.4779</v>
      </c>
      <c r="C524" s="9">
        <f>7.4779 * CHOOSE(CONTROL!$C$32, $C$9, 100%, $E$9)</f>
        <v>7.4779</v>
      </c>
      <c r="D524" s="9">
        <f>7.4792 * CHOOSE(CONTROL!$C$32, $C$9, 100%, $E$9)</f>
        <v>7.4791999999999996</v>
      </c>
      <c r="E524" s="11">
        <f>7.4265 * CHOOSE(CONTROL!$C$32, $C$9, 100%, $E$9)</f>
        <v>7.4264999999999999</v>
      </c>
      <c r="F524" s="11">
        <f>7.4265 * CHOOSE(CONTROL!$C$32, $C$9, 100%, $E$9)</f>
        <v>7.4264999999999999</v>
      </c>
      <c r="G524" s="11">
        <f>7.4307 * CHOOSE(CONTROL!$C$32, $C$9, 100%, $E$9)</f>
        <v>7.4306999999999999</v>
      </c>
      <c r="H524" s="11">
        <f>16.6659 * CHOOSE(CONTROL!$C$32, $C$9, 100%, $E$9)</f>
        <v>16.665900000000001</v>
      </c>
      <c r="I524" s="11">
        <f>16.6701 * CHOOSE(CONTROL!$C$32, $C$9, 100%, $E$9)</f>
        <v>16.670100000000001</v>
      </c>
      <c r="J524" s="11">
        <f>16.6659 * CHOOSE(CONTROL!$C$32, $C$9, 100%, $E$9)</f>
        <v>16.665900000000001</v>
      </c>
      <c r="K524" s="11">
        <f>16.6701 * CHOOSE(CONTROL!$C$32, $C$9, 100%, $E$9)</f>
        <v>16.670100000000001</v>
      </c>
      <c r="L524" s="11">
        <f>7.4265 * CHOOSE(CONTROL!$C$32, $C$9, 100%, $E$9)</f>
        <v>7.4264999999999999</v>
      </c>
      <c r="M524" s="11">
        <f>7.4307 * CHOOSE(CONTROL!$C$32, $C$9, 100%, $E$9)</f>
        <v>7.4306999999999999</v>
      </c>
      <c r="N524" s="11">
        <f>7.4265 * CHOOSE(CONTROL!$C$32, $C$9, 100%, $E$9)</f>
        <v>7.4264999999999999</v>
      </c>
      <c r="O524" s="11">
        <f>7.4307 * CHOOSE(CONTROL!$C$32, $C$9, 100%, $E$9)</f>
        <v>7.4306999999999999</v>
      </c>
    </row>
    <row r="525" spans="1:15" ht="15" x14ac:dyDescent="0.2">
      <c r="A525" s="13">
        <v>56827</v>
      </c>
      <c r="B525" s="9">
        <f>7.4846 * CHOOSE(CONTROL!$C$32, $C$9, 100%, $E$9)</f>
        <v>7.4846000000000004</v>
      </c>
      <c r="C525" s="9">
        <f>7.4846 * CHOOSE(CONTROL!$C$32, $C$9, 100%, $E$9)</f>
        <v>7.4846000000000004</v>
      </c>
      <c r="D525" s="9">
        <f>7.4858 * CHOOSE(CONTROL!$C$32, $C$9, 100%, $E$9)</f>
        <v>7.4858000000000002</v>
      </c>
      <c r="E525" s="11">
        <f>7.2541 * CHOOSE(CONTROL!$C$32, $C$9, 100%, $E$9)</f>
        <v>7.2541000000000002</v>
      </c>
      <c r="F525" s="11">
        <f>7.2541 * CHOOSE(CONTROL!$C$32, $C$9, 100%, $E$9)</f>
        <v>7.2541000000000002</v>
      </c>
      <c r="G525" s="11">
        <f>7.2583 * CHOOSE(CONTROL!$C$32, $C$9, 100%, $E$9)</f>
        <v>7.2583000000000002</v>
      </c>
      <c r="H525" s="11">
        <f>16.7006 * CHOOSE(CONTROL!$C$32, $C$9, 100%, $E$9)</f>
        <v>16.700600000000001</v>
      </c>
      <c r="I525" s="11">
        <f>16.7048 * CHOOSE(CONTROL!$C$32, $C$9, 100%, $E$9)</f>
        <v>16.704799999999999</v>
      </c>
      <c r="J525" s="11">
        <f>16.7006 * CHOOSE(CONTROL!$C$32, $C$9, 100%, $E$9)</f>
        <v>16.700600000000001</v>
      </c>
      <c r="K525" s="11">
        <f>16.7048 * CHOOSE(CONTROL!$C$32, $C$9, 100%, $E$9)</f>
        <v>16.704799999999999</v>
      </c>
      <c r="L525" s="11">
        <f>7.2541 * CHOOSE(CONTROL!$C$32, $C$9, 100%, $E$9)</f>
        <v>7.2541000000000002</v>
      </c>
      <c r="M525" s="11">
        <f>7.2583 * CHOOSE(CONTROL!$C$32, $C$9, 100%, $E$9)</f>
        <v>7.2583000000000002</v>
      </c>
      <c r="N525" s="11">
        <f>7.2541 * CHOOSE(CONTROL!$C$32, $C$9, 100%, $E$9)</f>
        <v>7.2541000000000002</v>
      </c>
      <c r="O525" s="11">
        <f>7.2583 * CHOOSE(CONTROL!$C$32, $C$9, 100%, $E$9)</f>
        <v>7.2583000000000002</v>
      </c>
    </row>
    <row r="526" spans="1:15" ht="15" x14ac:dyDescent="0.2">
      <c r="A526" s="13">
        <v>56858</v>
      </c>
      <c r="B526" s="9">
        <f>7.4816 * CHOOSE(CONTROL!$C$32, $C$9, 100%, $E$9)</f>
        <v>7.4816000000000003</v>
      </c>
      <c r="C526" s="9">
        <f>7.4816 * CHOOSE(CONTROL!$C$32, $C$9, 100%, $E$9)</f>
        <v>7.4816000000000003</v>
      </c>
      <c r="D526" s="9">
        <f>7.4828 * CHOOSE(CONTROL!$C$32, $C$9, 100%, $E$9)</f>
        <v>7.4828000000000001</v>
      </c>
      <c r="E526" s="11">
        <f>7.2323 * CHOOSE(CONTROL!$C$32, $C$9, 100%, $E$9)</f>
        <v>7.2323000000000004</v>
      </c>
      <c r="F526" s="11">
        <f>7.2323 * CHOOSE(CONTROL!$C$32, $C$9, 100%, $E$9)</f>
        <v>7.2323000000000004</v>
      </c>
      <c r="G526" s="11">
        <f>7.2365 * CHOOSE(CONTROL!$C$32, $C$9, 100%, $E$9)</f>
        <v>7.2365000000000004</v>
      </c>
      <c r="H526" s="11">
        <f>16.7354 * CHOOSE(CONTROL!$C$32, $C$9, 100%, $E$9)</f>
        <v>16.735399999999998</v>
      </c>
      <c r="I526" s="11">
        <f>16.7396 * CHOOSE(CONTROL!$C$32, $C$9, 100%, $E$9)</f>
        <v>16.739599999999999</v>
      </c>
      <c r="J526" s="11">
        <f>16.7354 * CHOOSE(CONTROL!$C$32, $C$9, 100%, $E$9)</f>
        <v>16.735399999999998</v>
      </c>
      <c r="K526" s="11">
        <f>16.7396 * CHOOSE(CONTROL!$C$32, $C$9, 100%, $E$9)</f>
        <v>16.739599999999999</v>
      </c>
      <c r="L526" s="11">
        <f>7.2323 * CHOOSE(CONTROL!$C$32, $C$9, 100%, $E$9)</f>
        <v>7.2323000000000004</v>
      </c>
      <c r="M526" s="11">
        <f>7.2365 * CHOOSE(CONTROL!$C$32, $C$9, 100%, $E$9)</f>
        <v>7.2365000000000004</v>
      </c>
      <c r="N526" s="11">
        <f>7.2323 * CHOOSE(CONTROL!$C$32, $C$9, 100%, $E$9)</f>
        <v>7.2323000000000004</v>
      </c>
      <c r="O526" s="11">
        <f>7.2365 * CHOOSE(CONTROL!$C$32, $C$9, 100%, $E$9)</f>
        <v>7.2365000000000004</v>
      </c>
    </row>
    <row r="527" spans="1:15" ht="15" x14ac:dyDescent="0.2">
      <c r="A527" s="13">
        <v>56888</v>
      </c>
      <c r="B527" s="9">
        <f>7.4896 * CHOOSE(CONTROL!$C$32, $C$9, 100%, $E$9)</f>
        <v>7.4896000000000003</v>
      </c>
      <c r="C527" s="9">
        <f>7.4896 * CHOOSE(CONTROL!$C$32, $C$9, 100%, $E$9)</f>
        <v>7.4896000000000003</v>
      </c>
      <c r="D527" s="9">
        <f>7.4905 * CHOOSE(CONTROL!$C$32, $C$9, 100%, $E$9)</f>
        <v>7.4904999999999999</v>
      </c>
      <c r="E527" s="11">
        <f>7.2976 * CHOOSE(CONTROL!$C$32, $C$9, 100%, $E$9)</f>
        <v>7.2976000000000001</v>
      </c>
      <c r="F527" s="11">
        <f>7.2976 * CHOOSE(CONTROL!$C$32, $C$9, 100%, $E$9)</f>
        <v>7.2976000000000001</v>
      </c>
      <c r="G527" s="11">
        <f>7.3008 * CHOOSE(CONTROL!$C$32, $C$9, 100%, $E$9)</f>
        <v>7.3007999999999997</v>
      </c>
      <c r="H527" s="11">
        <f>16.7703 * CHOOSE(CONTROL!$C$32, $C$9, 100%, $E$9)</f>
        <v>16.770299999999999</v>
      </c>
      <c r="I527" s="11">
        <f>16.7735 * CHOOSE(CONTROL!$C$32, $C$9, 100%, $E$9)</f>
        <v>16.773499999999999</v>
      </c>
      <c r="J527" s="11">
        <f>16.7703 * CHOOSE(CONTROL!$C$32, $C$9, 100%, $E$9)</f>
        <v>16.770299999999999</v>
      </c>
      <c r="K527" s="11">
        <f>16.7735 * CHOOSE(CONTROL!$C$32, $C$9, 100%, $E$9)</f>
        <v>16.773499999999999</v>
      </c>
      <c r="L527" s="11">
        <f>7.2976 * CHOOSE(CONTROL!$C$32, $C$9, 100%, $E$9)</f>
        <v>7.2976000000000001</v>
      </c>
      <c r="M527" s="11">
        <f>7.3008 * CHOOSE(CONTROL!$C$32, $C$9, 100%, $E$9)</f>
        <v>7.3007999999999997</v>
      </c>
      <c r="N527" s="11">
        <f>7.2976 * CHOOSE(CONTROL!$C$32, $C$9, 100%, $E$9)</f>
        <v>7.2976000000000001</v>
      </c>
      <c r="O527" s="11">
        <f>7.3008 * CHOOSE(CONTROL!$C$32, $C$9, 100%, $E$9)</f>
        <v>7.3007999999999997</v>
      </c>
    </row>
    <row r="528" spans="1:15" ht="15" x14ac:dyDescent="0.2">
      <c r="A528" s="13">
        <v>56919</v>
      </c>
      <c r="B528" s="9">
        <f>7.4926 * CHOOSE(CONTROL!$C$32, $C$9, 100%, $E$9)</f>
        <v>7.4926000000000004</v>
      </c>
      <c r="C528" s="9">
        <f>7.4926 * CHOOSE(CONTROL!$C$32, $C$9, 100%, $E$9)</f>
        <v>7.4926000000000004</v>
      </c>
      <c r="D528" s="9">
        <f>7.4936 * CHOOSE(CONTROL!$C$32, $C$9, 100%, $E$9)</f>
        <v>7.4935999999999998</v>
      </c>
      <c r="E528" s="11">
        <f>7.339 * CHOOSE(CONTROL!$C$32, $C$9, 100%, $E$9)</f>
        <v>7.3390000000000004</v>
      </c>
      <c r="F528" s="11">
        <f>7.339 * CHOOSE(CONTROL!$C$32, $C$9, 100%, $E$9)</f>
        <v>7.3390000000000004</v>
      </c>
      <c r="G528" s="11">
        <f>7.3423 * CHOOSE(CONTROL!$C$32, $C$9, 100%, $E$9)</f>
        <v>7.3422999999999998</v>
      </c>
      <c r="H528" s="11">
        <f>16.8052 * CHOOSE(CONTROL!$C$32, $C$9, 100%, $E$9)</f>
        <v>16.805199999999999</v>
      </c>
      <c r="I528" s="11">
        <f>16.8084 * CHOOSE(CONTROL!$C$32, $C$9, 100%, $E$9)</f>
        <v>16.808399999999999</v>
      </c>
      <c r="J528" s="11">
        <f>16.8052 * CHOOSE(CONTROL!$C$32, $C$9, 100%, $E$9)</f>
        <v>16.805199999999999</v>
      </c>
      <c r="K528" s="11">
        <f>16.8084 * CHOOSE(CONTROL!$C$32, $C$9, 100%, $E$9)</f>
        <v>16.808399999999999</v>
      </c>
      <c r="L528" s="11">
        <f>7.339 * CHOOSE(CONTROL!$C$32, $C$9, 100%, $E$9)</f>
        <v>7.3390000000000004</v>
      </c>
      <c r="M528" s="11">
        <f>7.3423 * CHOOSE(CONTROL!$C$32, $C$9, 100%, $E$9)</f>
        <v>7.3422999999999998</v>
      </c>
      <c r="N528" s="11">
        <f>7.339 * CHOOSE(CONTROL!$C$32, $C$9, 100%, $E$9)</f>
        <v>7.3390000000000004</v>
      </c>
      <c r="O528" s="11">
        <f>7.3423 * CHOOSE(CONTROL!$C$32, $C$9, 100%, $E$9)</f>
        <v>7.3422999999999998</v>
      </c>
    </row>
    <row r="529" spans="1:15" ht="15" x14ac:dyDescent="0.2">
      <c r="A529" s="13">
        <v>56949</v>
      </c>
      <c r="B529" s="9">
        <f>7.4926 * CHOOSE(CONTROL!$C$32, $C$9, 100%, $E$9)</f>
        <v>7.4926000000000004</v>
      </c>
      <c r="C529" s="9">
        <f>7.4926 * CHOOSE(CONTROL!$C$32, $C$9, 100%, $E$9)</f>
        <v>7.4926000000000004</v>
      </c>
      <c r="D529" s="9">
        <f>7.4936 * CHOOSE(CONTROL!$C$32, $C$9, 100%, $E$9)</f>
        <v>7.4935999999999998</v>
      </c>
      <c r="E529" s="11">
        <f>7.2407 * CHOOSE(CONTROL!$C$32, $C$9, 100%, $E$9)</f>
        <v>7.2407000000000004</v>
      </c>
      <c r="F529" s="11">
        <f>7.2407 * CHOOSE(CONTROL!$C$32, $C$9, 100%, $E$9)</f>
        <v>7.2407000000000004</v>
      </c>
      <c r="G529" s="11">
        <f>7.2439 * CHOOSE(CONTROL!$C$32, $C$9, 100%, $E$9)</f>
        <v>7.2439</v>
      </c>
      <c r="H529" s="11">
        <f>16.8402 * CHOOSE(CONTROL!$C$32, $C$9, 100%, $E$9)</f>
        <v>16.840199999999999</v>
      </c>
      <c r="I529" s="11">
        <f>16.8435 * CHOOSE(CONTROL!$C$32, $C$9, 100%, $E$9)</f>
        <v>16.843499999999999</v>
      </c>
      <c r="J529" s="11">
        <f>16.8402 * CHOOSE(CONTROL!$C$32, $C$9, 100%, $E$9)</f>
        <v>16.840199999999999</v>
      </c>
      <c r="K529" s="11">
        <f>16.8435 * CHOOSE(CONTROL!$C$32, $C$9, 100%, $E$9)</f>
        <v>16.843499999999999</v>
      </c>
      <c r="L529" s="11">
        <f>7.2407 * CHOOSE(CONTROL!$C$32, $C$9, 100%, $E$9)</f>
        <v>7.2407000000000004</v>
      </c>
      <c r="M529" s="11">
        <f>7.2439 * CHOOSE(CONTROL!$C$32, $C$9, 100%, $E$9)</f>
        <v>7.2439</v>
      </c>
      <c r="N529" s="11">
        <f>7.2407 * CHOOSE(CONTROL!$C$32, $C$9, 100%, $E$9)</f>
        <v>7.2407000000000004</v>
      </c>
      <c r="O529" s="11">
        <f>7.2439 * CHOOSE(CONTROL!$C$32, $C$9, 100%, $E$9)</f>
        <v>7.2439</v>
      </c>
    </row>
    <row r="530" spans="1:15" ht="15" x14ac:dyDescent="0.2">
      <c r="A530" s="13">
        <v>56980</v>
      </c>
      <c r="B530" s="9">
        <f>7.5488 * CHOOSE(CONTROL!$C$32, $C$9, 100%, $E$9)</f>
        <v>7.5488</v>
      </c>
      <c r="C530" s="9">
        <f>7.5488 * CHOOSE(CONTROL!$C$32, $C$9, 100%, $E$9)</f>
        <v>7.5488</v>
      </c>
      <c r="D530" s="9">
        <f>7.5497 * CHOOSE(CONTROL!$C$32, $C$9, 100%, $E$9)</f>
        <v>7.5496999999999996</v>
      </c>
      <c r="E530" s="11">
        <f>7.3469 * CHOOSE(CONTROL!$C$32, $C$9, 100%, $E$9)</f>
        <v>7.3468999999999998</v>
      </c>
      <c r="F530" s="11">
        <f>7.3469 * CHOOSE(CONTROL!$C$32, $C$9, 100%, $E$9)</f>
        <v>7.3468999999999998</v>
      </c>
      <c r="G530" s="11">
        <f>7.3501 * CHOOSE(CONTROL!$C$32, $C$9, 100%, $E$9)</f>
        <v>7.3501000000000003</v>
      </c>
      <c r="H530" s="11">
        <f>16.8753 * CHOOSE(CONTROL!$C$32, $C$9, 100%, $E$9)</f>
        <v>16.875299999999999</v>
      </c>
      <c r="I530" s="11">
        <f>16.8785 * CHOOSE(CONTROL!$C$32, $C$9, 100%, $E$9)</f>
        <v>16.878499999999999</v>
      </c>
      <c r="J530" s="11">
        <f>16.8753 * CHOOSE(CONTROL!$C$32, $C$9, 100%, $E$9)</f>
        <v>16.875299999999999</v>
      </c>
      <c r="K530" s="11">
        <f>16.8785 * CHOOSE(CONTROL!$C$32, $C$9, 100%, $E$9)</f>
        <v>16.878499999999999</v>
      </c>
      <c r="L530" s="11">
        <f>7.3469 * CHOOSE(CONTROL!$C$32, $C$9, 100%, $E$9)</f>
        <v>7.3468999999999998</v>
      </c>
      <c r="M530" s="11">
        <f>7.3501 * CHOOSE(CONTROL!$C$32, $C$9, 100%, $E$9)</f>
        <v>7.3501000000000003</v>
      </c>
      <c r="N530" s="11">
        <f>7.3469 * CHOOSE(CONTROL!$C$32, $C$9, 100%, $E$9)</f>
        <v>7.3468999999999998</v>
      </c>
      <c r="O530" s="11">
        <f>7.3501 * CHOOSE(CONTROL!$C$32, $C$9, 100%, $E$9)</f>
        <v>7.3501000000000003</v>
      </c>
    </row>
    <row r="531" spans="1:15" ht="15" x14ac:dyDescent="0.2">
      <c r="A531" s="13">
        <v>57011</v>
      </c>
      <c r="B531" s="9">
        <f>7.5457 * CHOOSE(CONTROL!$C$32, $C$9, 100%, $E$9)</f>
        <v>7.5457000000000001</v>
      </c>
      <c r="C531" s="9">
        <f>7.5457 * CHOOSE(CONTROL!$C$32, $C$9, 100%, $E$9)</f>
        <v>7.5457000000000001</v>
      </c>
      <c r="D531" s="9">
        <f>7.5467 * CHOOSE(CONTROL!$C$32, $C$9, 100%, $E$9)</f>
        <v>7.5467000000000004</v>
      </c>
      <c r="E531" s="11">
        <f>7.1529 * CHOOSE(CONTROL!$C$32, $C$9, 100%, $E$9)</f>
        <v>7.1528999999999998</v>
      </c>
      <c r="F531" s="11">
        <f>7.1529 * CHOOSE(CONTROL!$C$32, $C$9, 100%, $E$9)</f>
        <v>7.1528999999999998</v>
      </c>
      <c r="G531" s="11">
        <f>7.1561 * CHOOSE(CONTROL!$C$32, $C$9, 100%, $E$9)</f>
        <v>7.1561000000000003</v>
      </c>
      <c r="H531" s="11">
        <f>16.9105 * CHOOSE(CONTROL!$C$32, $C$9, 100%, $E$9)</f>
        <v>16.910499999999999</v>
      </c>
      <c r="I531" s="11">
        <f>16.9137 * CHOOSE(CONTROL!$C$32, $C$9, 100%, $E$9)</f>
        <v>16.913699999999999</v>
      </c>
      <c r="J531" s="11">
        <f>16.9105 * CHOOSE(CONTROL!$C$32, $C$9, 100%, $E$9)</f>
        <v>16.910499999999999</v>
      </c>
      <c r="K531" s="11">
        <f>16.9137 * CHOOSE(CONTROL!$C$32, $C$9, 100%, $E$9)</f>
        <v>16.913699999999999</v>
      </c>
      <c r="L531" s="11">
        <f>7.1529 * CHOOSE(CONTROL!$C$32, $C$9, 100%, $E$9)</f>
        <v>7.1528999999999998</v>
      </c>
      <c r="M531" s="11">
        <f>7.1561 * CHOOSE(CONTROL!$C$32, $C$9, 100%, $E$9)</f>
        <v>7.1561000000000003</v>
      </c>
      <c r="N531" s="11">
        <f>7.1529 * CHOOSE(CONTROL!$C$32, $C$9, 100%, $E$9)</f>
        <v>7.1528999999999998</v>
      </c>
      <c r="O531" s="11">
        <f>7.1561 * CHOOSE(CONTROL!$C$32, $C$9, 100%, $E$9)</f>
        <v>7.1561000000000003</v>
      </c>
    </row>
    <row r="532" spans="1:15" ht="15" x14ac:dyDescent="0.2">
      <c r="A532" s="13">
        <v>57040</v>
      </c>
      <c r="B532" s="9">
        <f>7.5427 * CHOOSE(CONTROL!$C$32, $C$9, 100%, $E$9)</f>
        <v>7.5427</v>
      </c>
      <c r="C532" s="9">
        <f>7.5427 * CHOOSE(CONTROL!$C$32, $C$9, 100%, $E$9)</f>
        <v>7.5427</v>
      </c>
      <c r="D532" s="9">
        <f>7.5436 * CHOOSE(CONTROL!$C$32, $C$9, 100%, $E$9)</f>
        <v>7.5435999999999996</v>
      </c>
      <c r="E532" s="11">
        <f>7.302 * CHOOSE(CONTROL!$C$32, $C$9, 100%, $E$9)</f>
        <v>7.3019999999999996</v>
      </c>
      <c r="F532" s="11">
        <f>7.302 * CHOOSE(CONTROL!$C$32, $C$9, 100%, $E$9)</f>
        <v>7.3019999999999996</v>
      </c>
      <c r="G532" s="11">
        <f>7.3052 * CHOOSE(CONTROL!$C$32, $C$9, 100%, $E$9)</f>
        <v>7.3052000000000001</v>
      </c>
      <c r="H532" s="11">
        <f>16.9457 * CHOOSE(CONTROL!$C$32, $C$9, 100%, $E$9)</f>
        <v>16.945699999999999</v>
      </c>
      <c r="I532" s="11">
        <f>16.9489 * CHOOSE(CONTROL!$C$32, $C$9, 100%, $E$9)</f>
        <v>16.948899999999998</v>
      </c>
      <c r="J532" s="11">
        <f>16.9457 * CHOOSE(CONTROL!$C$32, $C$9, 100%, $E$9)</f>
        <v>16.945699999999999</v>
      </c>
      <c r="K532" s="11">
        <f>16.9489 * CHOOSE(CONTROL!$C$32, $C$9, 100%, $E$9)</f>
        <v>16.948899999999998</v>
      </c>
      <c r="L532" s="11">
        <f>7.302 * CHOOSE(CONTROL!$C$32, $C$9, 100%, $E$9)</f>
        <v>7.3019999999999996</v>
      </c>
      <c r="M532" s="11">
        <f>7.3052 * CHOOSE(CONTROL!$C$32, $C$9, 100%, $E$9)</f>
        <v>7.3052000000000001</v>
      </c>
      <c r="N532" s="11">
        <f>7.302 * CHOOSE(CONTROL!$C$32, $C$9, 100%, $E$9)</f>
        <v>7.3019999999999996</v>
      </c>
      <c r="O532" s="11">
        <f>7.3052 * CHOOSE(CONTROL!$C$32, $C$9, 100%, $E$9)</f>
        <v>7.3052000000000001</v>
      </c>
    </row>
    <row r="533" spans="1:15" ht="15" x14ac:dyDescent="0.2">
      <c r="A533" s="13">
        <v>57071</v>
      </c>
      <c r="B533" s="9">
        <f>7.5438 * CHOOSE(CONTROL!$C$32, $C$9, 100%, $E$9)</f>
        <v>7.5438000000000001</v>
      </c>
      <c r="C533" s="9">
        <f>7.5438 * CHOOSE(CONTROL!$C$32, $C$9, 100%, $E$9)</f>
        <v>7.5438000000000001</v>
      </c>
      <c r="D533" s="9">
        <f>7.5447 * CHOOSE(CONTROL!$C$32, $C$9, 100%, $E$9)</f>
        <v>7.5446999999999997</v>
      </c>
      <c r="E533" s="11">
        <f>7.4602 * CHOOSE(CONTROL!$C$32, $C$9, 100%, $E$9)</f>
        <v>7.4602000000000004</v>
      </c>
      <c r="F533" s="11">
        <f>7.4602 * CHOOSE(CONTROL!$C$32, $C$9, 100%, $E$9)</f>
        <v>7.4602000000000004</v>
      </c>
      <c r="G533" s="11">
        <f>7.4634 * CHOOSE(CONTROL!$C$32, $C$9, 100%, $E$9)</f>
        <v>7.4634</v>
      </c>
      <c r="H533" s="11">
        <f>16.981 * CHOOSE(CONTROL!$C$32, $C$9, 100%, $E$9)</f>
        <v>16.981000000000002</v>
      </c>
      <c r="I533" s="11">
        <f>16.9842 * CHOOSE(CONTROL!$C$32, $C$9, 100%, $E$9)</f>
        <v>16.984200000000001</v>
      </c>
      <c r="J533" s="11">
        <f>16.981 * CHOOSE(CONTROL!$C$32, $C$9, 100%, $E$9)</f>
        <v>16.981000000000002</v>
      </c>
      <c r="K533" s="11">
        <f>16.9842 * CHOOSE(CONTROL!$C$32, $C$9, 100%, $E$9)</f>
        <v>16.984200000000001</v>
      </c>
      <c r="L533" s="11">
        <f>7.4602 * CHOOSE(CONTROL!$C$32, $C$9, 100%, $E$9)</f>
        <v>7.4602000000000004</v>
      </c>
      <c r="M533" s="11">
        <f>7.4634 * CHOOSE(CONTROL!$C$32, $C$9, 100%, $E$9)</f>
        <v>7.4634</v>
      </c>
      <c r="N533" s="11">
        <f>7.4602 * CHOOSE(CONTROL!$C$32, $C$9, 100%, $E$9)</f>
        <v>7.4602000000000004</v>
      </c>
      <c r="O533" s="11">
        <f>7.4634 * CHOOSE(CONTROL!$C$32, $C$9, 100%, $E$9)</f>
        <v>7.4634</v>
      </c>
    </row>
    <row r="534" spans="1:15" ht="15" x14ac:dyDescent="0.2">
      <c r="A534" s="13">
        <v>57101</v>
      </c>
      <c r="B534" s="9">
        <f>7.5438 * CHOOSE(CONTROL!$C$32, $C$9, 100%, $E$9)</f>
        <v>7.5438000000000001</v>
      </c>
      <c r="C534" s="9">
        <f>7.5438 * CHOOSE(CONTROL!$C$32, $C$9, 100%, $E$9)</f>
        <v>7.5438000000000001</v>
      </c>
      <c r="D534" s="9">
        <f>7.545 * CHOOSE(CONTROL!$C$32, $C$9, 100%, $E$9)</f>
        <v>7.5449999999999999</v>
      </c>
      <c r="E534" s="11">
        <f>7.5211 * CHOOSE(CONTROL!$C$32, $C$9, 100%, $E$9)</f>
        <v>7.5210999999999997</v>
      </c>
      <c r="F534" s="11">
        <f>7.5211 * CHOOSE(CONTROL!$C$32, $C$9, 100%, $E$9)</f>
        <v>7.5210999999999997</v>
      </c>
      <c r="G534" s="11">
        <f>7.5253 * CHOOSE(CONTROL!$C$32, $C$9, 100%, $E$9)</f>
        <v>7.5252999999999997</v>
      </c>
      <c r="H534" s="11">
        <f>17.0164 * CHOOSE(CONTROL!$C$32, $C$9, 100%, $E$9)</f>
        <v>17.016400000000001</v>
      </c>
      <c r="I534" s="11">
        <f>17.0206 * CHOOSE(CONTROL!$C$32, $C$9, 100%, $E$9)</f>
        <v>17.020600000000002</v>
      </c>
      <c r="J534" s="11">
        <f>17.0164 * CHOOSE(CONTROL!$C$32, $C$9, 100%, $E$9)</f>
        <v>17.016400000000001</v>
      </c>
      <c r="K534" s="11">
        <f>17.0206 * CHOOSE(CONTROL!$C$32, $C$9, 100%, $E$9)</f>
        <v>17.020600000000002</v>
      </c>
      <c r="L534" s="11">
        <f>7.5211 * CHOOSE(CONTROL!$C$32, $C$9, 100%, $E$9)</f>
        <v>7.5210999999999997</v>
      </c>
      <c r="M534" s="11">
        <f>7.5253 * CHOOSE(CONTROL!$C$32, $C$9, 100%, $E$9)</f>
        <v>7.5252999999999997</v>
      </c>
      <c r="N534" s="11">
        <f>7.5211 * CHOOSE(CONTROL!$C$32, $C$9, 100%, $E$9)</f>
        <v>7.5210999999999997</v>
      </c>
      <c r="O534" s="11">
        <f>7.5253 * CHOOSE(CONTROL!$C$32, $C$9, 100%, $E$9)</f>
        <v>7.5252999999999997</v>
      </c>
    </row>
    <row r="535" spans="1:15" ht="15" x14ac:dyDescent="0.2">
      <c r="A535" s="13">
        <v>57132</v>
      </c>
      <c r="B535" s="9">
        <f>7.5499 * CHOOSE(CONTROL!$C$32, $C$9, 100%, $E$9)</f>
        <v>7.5499000000000001</v>
      </c>
      <c r="C535" s="9">
        <f>7.5499 * CHOOSE(CONTROL!$C$32, $C$9, 100%, $E$9)</f>
        <v>7.5499000000000001</v>
      </c>
      <c r="D535" s="9">
        <f>7.5511 * CHOOSE(CONTROL!$C$32, $C$9, 100%, $E$9)</f>
        <v>7.5510999999999999</v>
      </c>
      <c r="E535" s="11">
        <f>7.4645 * CHOOSE(CONTROL!$C$32, $C$9, 100%, $E$9)</f>
        <v>7.4645000000000001</v>
      </c>
      <c r="F535" s="11">
        <f>7.4645 * CHOOSE(CONTROL!$C$32, $C$9, 100%, $E$9)</f>
        <v>7.4645000000000001</v>
      </c>
      <c r="G535" s="11">
        <f>7.4687 * CHOOSE(CONTROL!$C$32, $C$9, 100%, $E$9)</f>
        <v>7.4687000000000001</v>
      </c>
      <c r="H535" s="11">
        <f>17.0518 * CHOOSE(CONTROL!$C$32, $C$9, 100%, $E$9)</f>
        <v>17.0518</v>
      </c>
      <c r="I535" s="11">
        <f>17.056 * CHOOSE(CONTROL!$C$32, $C$9, 100%, $E$9)</f>
        <v>17.056000000000001</v>
      </c>
      <c r="J535" s="11">
        <f>17.0518 * CHOOSE(CONTROL!$C$32, $C$9, 100%, $E$9)</f>
        <v>17.0518</v>
      </c>
      <c r="K535" s="11">
        <f>17.056 * CHOOSE(CONTROL!$C$32, $C$9, 100%, $E$9)</f>
        <v>17.056000000000001</v>
      </c>
      <c r="L535" s="11">
        <f>7.4645 * CHOOSE(CONTROL!$C$32, $C$9, 100%, $E$9)</f>
        <v>7.4645000000000001</v>
      </c>
      <c r="M535" s="11">
        <f>7.4687 * CHOOSE(CONTROL!$C$32, $C$9, 100%, $E$9)</f>
        <v>7.4687000000000001</v>
      </c>
      <c r="N535" s="11">
        <f>7.4645 * CHOOSE(CONTROL!$C$32, $C$9, 100%, $E$9)</f>
        <v>7.4645000000000001</v>
      </c>
      <c r="O535" s="11">
        <f>7.4687 * CHOOSE(CONTROL!$C$32, $C$9, 100%, $E$9)</f>
        <v>7.4687000000000001</v>
      </c>
    </row>
    <row r="536" spans="1:15" ht="15" x14ac:dyDescent="0.2">
      <c r="A536" s="13">
        <v>57162</v>
      </c>
      <c r="B536" s="9">
        <f>7.6474 * CHOOSE(CONTROL!$C$32, $C$9, 100%, $E$9)</f>
        <v>7.6474000000000002</v>
      </c>
      <c r="C536" s="9">
        <f>7.6474 * CHOOSE(CONTROL!$C$32, $C$9, 100%, $E$9)</f>
        <v>7.6474000000000002</v>
      </c>
      <c r="D536" s="9">
        <f>7.6486 * CHOOSE(CONTROL!$C$32, $C$9, 100%, $E$9)</f>
        <v>7.6486000000000001</v>
      </c>
      <c r="E536" s="11">
        <f>7.495 * CHOOSE(CONTROL!$C$32, $C$9, 100%, $E$9)</f>
        <v>7.4950000000000001</v>
      </c>
      <c r="F536" s="11">
        <f>7.495 * CHOOSE(CONTROL!$C$32, $C$9, 100%, $E$9)</f>
        <v>7.4950000000000001</v>
      </c>
      <c r="G536" s="11">
        <f>7.4992 * CHOOSE(CONTROL!$C$32, $C$9, 100%, $E$9)</f>
        <v>7.4992000000000001</v>
      </c>
      <c r="H536" s="11">
        <f>17.0874 * CHOOSE(CONTROL!$C$32, $C$9, 100%, $E$9)</f>
        <v>17.087399999999999</v>
      </c>
      <c r="I536" s="11">
        <f>17.0916 * CHOOSE(CONTROL!$C$32, $C$9, 100%, $E$9)</f>
        <v>17.0916</v>
      </c>
      <c r="J536" s="11">
        <f>17.0874 * CHOOSE(CONTROL!$C$32, $C$9, 100%, $E$9)</f>
        <v>17.087399999999999</v>
      </c>
      <c r="K536" s="11">
        <f>17.0916 * CHOOSE(CONTROL!$C$32, $C$9, 100%, $E$9)</f>
        <v>17.0916</v>
      </c>
      <c r="L536" s="11">
        <f>7.495 * CHOOSE(CONTROL!$C$32, $C$9, 100%, $E$9)</f>
        <v>7.4950000000000001</v>
      </c>
      <c r="M536" s="11">
        <f>7.4992 * CHOOSE(CONTROL!$C$32, $C$9, 100%, $E$9)</f>
        <v>7.4992000000000001</v>
      </c>
      <c r="N536" s="11">
        <f>7.495 * CHOOSE(CONTROL!$C$32, $C$9, 100%, $E$9)</f>
        <v>7.4950000000000001</v>
      </c>
      <c r="O536" s="11">
        <f>7.4992 * CHOOSE(CONTROL!$C$32, $C$9, 100%, $E$9)</f>
        <v>7.4992000000000001</v>
      </c>
    </row>
    <row r="537" spans="1:15" ht="15" x14ac:dyDescent="0.2">
      <c r="A537" s="13">
        <v>57193</v>
      </c>
      <c r="B537" s="9">
        <f>7.654 * CHOOSE(CONTROL!$C$32, $C$9, 100%, $E$9)</f>
        <v>7.6539999999999999</v>
      </c>
      <c r="C537" s="9">
        <f>7.654 * CHOOSE(CONTROL!$C$32, $C$9, 100%, $E$9)</f>
        <v>7.6539999999999999</v>
      </c>
      <c r="D537" s="9">
        <f>7.6553 * CHOOSE(CONTROL!$C$32, $C$9, 100%, $E$9)</f>
        <v>7.6553000000000004</v>
      </c>
      <c r="E537" s="11">
        <f>7.3169 * CHOOSE(CONTROL!$C$32, $C$9, 100%, $E$9)</f>
        <v>7.3169000000000004</v>
      </c>
      <c r="F537" s="11">
        <f>7.3169 * CHOOSE(CONTROL!$C$32, $C$9, 100%, $E$9)</f>
        <v>7.3169000000000004</v>
      </c>
      <c r="G537" s="11">
        <f>7.3211 * CHOOSE(CONTROL!$C$32, $C$9, 100%, $E$9)</f>
        <v>7.3211000000000004</v>
      </c>
      <c r="H537" s="11">
        <f>17.123 * CHOOSE(CONTROL!$C$32, $C$9, 100%, $E$9)</f>
        <v>17.123000000000001</v>
      </c>
      <c r="I537" s="11">
        <f>17.1272 * CHOOSE(CONTROL!$C$32, $C$9, 100%, $E$9)</f>
        <v>17.127199999999998</v>
      </c>
      <c r="J537" s="11">
        <f>17.123 * CHOOSE(CONTROL!$C$32, $C$9, 100%, $E$9)</f>
        <v>17.123000000000001</v>
      </c>
      <c r="K537" s="11">
        <f>17.1272 * CHOOSE(CONTROL!$C$32, $C$9, 100%, $E$9)</f>
        <v>17.127199999999998</v>
      </c>
      <c r="L537" s="11">
        <f>7.3169 * CHOOSE(CONTROL!$C$32, $C$9, 100%, $E$9)</f>
        <v>7.3169000000000004</v>
      </c>
      <c r="M537" s="11">
        <f>7.3211 * CHOOSE(CONTROL!$C$32, $C$9, 100%, $E$9)</f>
        <v>7.3211000000000004</v>
      </c>
      <c r="N537" s="11">
        <f>7.3169 * CHOOSE(CONTROL!$C$32, $C$9, 100%, $E$9)</f>
        <v>7.3169000000000004</v>
      </c>
      <c r="O537" s="11">
        <f>7.3211 * CHOOSE(CONTROL!$C$32, $C$9, 100%, $E$9)</f>
        <v>7.3211000000000004</v>
      </c>
    </row>
    <row r="538" spans="1:15" ht="15" x14ac:dyDescent="0.2">
      <c r="A538" s="13">
        <v>57224</v>
      </c>
      <c r="B538" s="9">
        <f>7.651 * CHOOSE(CONTROL!$C$32, $C$9, 100%, $E$9)</f>
        <v>7.6509999999999998</v>
      </c>
      <c r="C538" s="9">
        <f>7.651 * CHOOSE(CONTROL!$C$32, $C$9, 100%, $E$9)</f>
        <v>7.6509999999999998</v>
      </c>
      <c r="D538" s="9">
        <f>7.6523 * CHOOSE(CONTROL!$C$32, $C$9, 100%, $E$9)</f>
        <v>7.6523000000000003</v>
      </c>
      <c r="E538" s="11">
        <f>7.2944 * CHOOSE(CONTROL!$C$32, $C$9, 100%, $E$9)</f>
        <v>7.2944000000000004</v>
      </c>
      <c r="F538" s="11">
        <f>7.2944 * CHOOSE(CONTROL!$C$32, $C$9, 100%, $E$9)</f>
        <v>7.2944000000000004</v>
      </c>
      <c r="G538" s="11">
        <f>7.2986 * CHOOSE(CONTROL!$C$32, $C$9, 100%, $E$9)</f>
        <v>7.2986000000000004</v>
      </c>
      <c r="H538" s="11">
        <f>17.1586 * CHOOSE(CONTROL!$C$32, $C$9, 100%, $E$9)</f>
        <v>17.1586</v>
      </c>
      <c r="I538" s="11">
        <f>17.1628 * CHOOSE(CONTROL!$C$32, $C$9, 100%, $E$9)</f>
        <v>17.162800000000001</v>
      </c>
      <c r="J538" s="11">
        <f>17.1586 * CHOOSE(CONTROL!$C$32, $C$9, 100%, $E$9)</f>
        <v>17.1586</v>
      </c>
      <c r="K538" s="11">
        <f>17.1628 * CHOOSE(CONTROL!$C$32, $C$9, 100%, $E$9)</f>
        <v>17.162800000000001</v>
      </c>
      <c r="L538" s="11">
        <f>7.2944 * CHOOSE(CONTROL!$C$32, $C$9, 100%, $E$9)</f>
        <v>7.2944000000000004</v>
      </c>
      <c r="M538" s="11">
        <f>7.2986 * CHOOSE(CONTROL!$C$32, $C$9, 100%, $E$9)</f>
        <v>7.2986000000000004</v>
      </c>
      <c r="N538" s="11">
        <f>7.2944 * CHOOSE(CONTROL!$C$32, $C$9, 100%, $E$9)</f>
        <v>7.2944000000000004</v>
      </c>
      <c r="O538" s="11">
        <f>7.2986 * CHOOSE(CONTROL!$C$32, $C$9, 100%, $E$9)</f>
        <v>7.2986000000000004</v>
      </c>
    </row>
    <row r="539" spans="1:15" ht="15" x14ac:dyDescent="0.2">
      <c r="A539" s="13">
        <v>57254</v>
      </c>
      <c r="B539" s="9">
        <f>7.6597 * CHOOSE(CONTROL!$C$32, $C$9, 100%, $E$9)</f>
        <v>7.6597</v>
      </c>
      <c r="C539" s="9">
        <f>7.6597 * CHOOSE(CONTROL!$C$32, $C$9, 100%, $E$9)</f>
        <v>7.6597</v>
      </c>
      <c r="D539" s="9">
        <f>7.6606 * CHOOSE(CONTROL!$C$32, $C$9, 100%, $E$9)</f>
        <v>7.6605999999999996</v>
      </c>
      <c r="E539" s="11">
        <f>7.3622 * CHOOSE(CONTROL!$C$32, $C$9, 100%, $E$9)</f>
        <v>7.3621999999999996</v>
      </c>
      <c r="F539" s="11">
        <f>7.3622 * CHOOSE(CONTROL!$C$32, $C$9, 100%, $E$9)</f>
        <v>7.3621999999999996</v>
      </c>
      <c r="G539" s="11">
        <f>7.3655 * CHOOSE(CONTROL!$C$32, $C$9, 100%, $E$9)</f>
        <v>7.3654999999999999</v>
      </c>
      <c r="H539" s="11">
        <f>17.1944 * CHOOSE(CONTROL!$C$32, $C$9, 100%, $E$9)</f>
        <v>17.194400000000002</v>
      </c>
      <c r="I539" s="11">
        <f>17.1976 * CHOOSE(CONTROL!$C$32, $C$9, 100%, $E$9)</f>
        <v>17.197600000000001</v>
      </c>
      <c r="J539" s="11">
        <f>17.1944 * CHOOSE(CONTROL!$C$32, $C$9, 100%, $E$9)</f>
        <v>17.194400000000002</v>
      </c>
      <c r="K539" s="11">
        <f>17.1976 * CHOOSE(CONTROL!$C$32, $C$9, 100%, $E$9)</f>
        <v>17.197600000000001</v>
      </c>
      <c r="L539" s="11">
        <f>7.3622 * CHOOSE(CONTROL!$C$32, $C$9, 100%, $E$9)</f>
        <v>7.3621999999999996</v>
      </c>
      <c r="M539" s="11">
        <f>7.3655 * CHOOSE(CONTROL!$C$32, $C$9, 100%, $E$9)</f>
        <v>7.3654999999999999</v>
      </c>
      <c r="N539" s="11">
        <f>7.3622 * CHOOSE(CONTROL!$C$32, $C$9, 100%, $E$9)</f>
        <v>7.3621999999999996</v>
      </c>
      <c r="O539" s="11">
        <f>7.3655 * CHOOSE(CONTROL!$C$32, $C$9, 100%, $E$9)</f>
        <v>7.3654999999999999</v>
      </c>
    </row>
    <row r="540" spans="1:15" ht="15" x14ac:dyDescent="0.2">
      <c r="A540" s="13">
        <v>57285</v>
      </c>
      <c r="B540" s="9">
        <f>7.6627 * CHOOSE(CONTROL!$C$32, $C$9, 100%, $E$9)</f>
        <v>7.6627000000000001</v>
      </c>
      <c r="C540" s="9">
        <f>7.6627 * CHOOSE(CONTROL!$C$32, $C$9, 100%, $E$9)</f>
        <v>7.6627000000000001</v>
      </c>
      <c r="D540" s="9">
        <f>7.6636 * CHOOSE(CONTROL!$C$32, $C$9, 100%, $E$9)</f>
        <v>7.6635999999999997</v>
      </c>
      <c r="E540" s="11">
        <f>7.405 * CHOOSE(CONTROL!$C$32, $C$9, 100%, $E$9)</f>
        <v>7.4050000000000002</v>
      </c>
      <c r="F540" s="11">
        <f>7.405 * CHOOSE(CONTROL!$C$32, $C$9, 100%, $E$9)</f>
        <v>7.4050000000000002</v>
      </c>
      <c r="G540" s="11">
        <f>7.4082 * CHOOSE(CONTROL!$C$32, $C$9, 100%, $E$9)</f>
        <v>7.4081999999999999</v>
      </c>
      <c r="H540" s="11">
        <f>17.2302 * CHOOSE(CONTROL!$C$32, $C$9, 100%, $E$9)</f>
        <v>17.2302</v>
      </c>
      <c r="I540" s="11">
        <f>17.2334 * CHOOSE(CONTROL!$C$32, $C$9, 100%, $E$9)</f>
        <v>17.2334</v>
      </c>
      <c r="J540" s="11">
        <f>17.2302 * CHOOSE(CONTROL!$C$32, $C$9, 100%, $E$9)</f>
        <v>17.2302</v>
      </c>
      <c r="K540" s="11">
        <f>17.2334 * CHOOSE(CONTROL!$C$32, $C$9, 100%, $E$9)</f>
        <v>17.2334</v>
      </c>
      <c r="L540" s="11">
        <f>7.405 * CHOOSE(CONTROL!$C$32, $C$9, 100%, $E$9)</f>
        <v>7.4050000000000002</v>
      </c>
      <c r="M540" s="11">
        <f>7.4082 * CHOOSE(CONTROL!$C$32, $C$9, 100%, $E$9)</f>
        <v>7.4081999999999999</v>
      </c>
      <c r="N540" s="11">
        <f>7.405 * CHOOSE(CONTROL!$C$32, $C$9, 100%, $E$9)</f>
        <v>7.4050000000000002</v>
      </c>
      <c r="O540" s="11">
        <f>7.4082 * CHOOSE(CONTROL!$C$32, $C$9, 100%, $E$9)</f>
        <v>7.4081999999999999</v>
      </c>
    </row>
    <row r="541" spans="1:15" ht="15" x14ac:dyDescent="0.2">
      <c r="A541" s="13">
        <v>57315</v>
      </c>
      <c r="B541" s="9">
        <f>7.6627 * CHOOSE(CONTROL!$C$32, $C$9, 100%, $E$9)</f>
        <v>7.6627000000000001</v>
      </c>
      <c r="C541" s="9">
        <f>7.6627 * CHOOSE(CONTROL!$C$32, $C$9, 100%, $E$9)</f>
        <v>7.6627000000000001</v>
      </c>
      <c r="D541" s="9">
        <f>7.6636 * CHOOSE(CONTROL!$C$32, $C$9, 100%, $E$9)</f>
        <v>7.6635999999999997</v>
      </c>
      <c r="E541" s="11">
        <f>7.3035 * CHOOSE(CONTROL!$C$32, $C$9, 100%, $E$9)</f>
        <v>7.3034999999999997</v>
      </c>
      <c r="F541" s="11">
        <f>7.3035 * CHOOSE(CONTROL!$C$32, $C$9, 100%, $E$9)</f>
        <v>7.3034999999999997</v>
      </c>
      <c r="G541" s="11">
        <f>7.3067 * CHOOSE(CONTROL!$C$32, $C$9, 100%, $E$9)</f>
        <v>7.3067000000000002</v>
      </c>
      <c r="H541" s="11">
        <f>17.2661 * CHOOSE(CONTROL!$C$32, $C$9, 100%, $E$9)</f>
        <v>17.266100000000002</v>
      </c>
      <c r="I541" s="11">
        <f>17.2693 * CHOOSE(CONTROL!$C$32, $C$9, 100%, $E$9)</f>
        <v>17.269300000000001</v>
      </c>
      <c r="J541" s="11">
        <f>17.2661 * CHOOSE(CONTROL!$C$32, $C$9, 100%, $E$9)</f>
        <v>17.266100000000002</v>
      </c>
      <c r="K541" s="11">
        <f>17.2693 * CHOOSE(CONTROL!$C$32, $C$9, 100%, $E$9)</f>
        <v>17.269300000000001</v>
      </c>
      <c r="L541" s="11">
        <f>7.3035 * CHOOSE(CONTROL!$C$32, $C$9, 100%, $E$9)</f>
        <v>7.3034999999999997</v>
      </c>
      <c r="M541" s="11">
        <f>7.3067 * CHOOSE(CONTROL!$C$32, $C$9, 100%, $E$9)</f>
        <v>7.3067000000000002</v>
      </c>
      <c r="N541" s="11">
        <f>7.3035 * CHOOSE(CONTROL!$C$32, $C$9, 100%, $E$9)</f>
        <v>7.3034999999999997</v>
      </c>
      <c r="O541" s="11">
        <f>7.3067 * CHOOSE(CONTROL!$C$32, $C$9, 100%, $E$9)</f>
        <v>7.3067000000000002</v>
      </c>
    </row>
    <row r="542" spans="1:15" ht="15" x14ac:dyDescent="0.2">
      <c r="A542" s="13">
        <v>57346</v>
      </c>
      <c r="B542" s="9">
        <f>7.72 * CHOOSE(CONTROL!$C$32, $C$9, 100%, $E$9)</f>
        <v>7.72</v>
      </c>
      <c r="C542" s="9">
        <f>7.72 * CHOOSE(CONTROL!$C$32, $C$9, 100%, $E$9)</f>
        <v>7.72</v>
      </c>
      <c r="D542" s="9">
        <f>7.721 * CHOOSE(CONTROL!$C$32, $C$9, 100%, $E$9)</f>
        <v>7.7210000000000001</v>
      </c>
      <c r="E542" s="11">
        <f>7.4131 * CHOOSE(CONTROL!$C$32, $C$9, 100%, $E$9)</f>
        <v>7.4131</v>
      </c>
      <c r="F542" s="11">
        <f>7.4131 * CHOOSE(CONTROL!$C$32, $C$9, 100%, $E$9)</f>
        <v>7.4131</v>
      </c>
      <c r="G542" s="11">
        <f>7.4163 * CHOOSE(CONTROL!$C$32, $C$9, 100%, $E$9)</f>
        <v>7.4162999999999997</v>
      </c>
      <c r="H542" s="11">
        <f>17.3021 * CHOOSE(CONTROL!$C$32, $C$9, 100%, $E$9)</f>
        <v>17.302099999999999</v>
      </c>
      <c r="I542" s="11">
        <f>17.3053 * CHOOSE(CONTROL!$C$32, $C$9, 100%, $E$9)</f>
        <v>17.305299999999999</v>
      </c>
      <c r="J542" s="11">
        <f>17.3021 * CHOOSE(CONTROL!$C$32, $C$9, 100%, $E$9)</f>
        <v>17.302099999999999</v>
      </c>
      <c r="K542" s="11">
        <f>17.3053 * CHOOSE(CONTROL!$C$32, $C$9, 100%, $E$9)</f>
        <v>17.305299999999999</v>
      </c>
      <c r="L542" s="11">
        <f>7.4131 * CHOOSE(CONTROL!$C$32, $C$9, 100%, $E$9)</f>
        <v>7.4131</v>
      </c>
      <c r="M542" s="11">
        <f>7.4163 * CHOOSE(CONTROL!$C$32, $C$9, 100%, $E$9)</f>
        <v>7.4162999999999997</v>
      </c>
      <c r="N542" s="11">
        <f>7.4131 * CHOOSE(CONTROL!$C$32, $C$9, 100%, $E$9)</f>
        <v>7.4131</v>
      </c>
      <c r="O542" s="11">
        <f>7.4163 * CHOOSE(CONTROL!$C$32, $C$9, 100%, $E$9)</f>
        <v>7.4162999999999997</v>
      </c>
    </row>
    <row r="543" spans="1:15" ht="15" x14ac:dyDescent="0.2">
      <c r="A543" s="13">
        <v>57377</v>
      </c>
      <c r="B543" s="9">
        <f>7.717 * CHOOSE(CONTROL!$C$32, $C$9, 100%, $E$9)</f>
        <v>7.7169999999999996</v>
      </c>
      <c r="C543" s="9">
        <f>7.717 * CHOOSE(CONTROL!$C$32, $C$9, 100%, $E$9)</f>
        <v>7.7169999999999996</v>
      </c>
      <c r="D543" s="9">
        <f>7.7179 * CHOOSE(CONTROL!$C$32, $C$9, 100%, $E$9)</f>
        <v>7.7179000000000002</v>
      </c>
      <c r="E543" s="11">
        <f>7.2129 * CHOOSE(CONTROL!$C$32, $C$9, 100%, $E$9)</f>
        <v>7.2129000000000003</v>
      </c>
      <c r="F543" s="11">
        <f>7.2129 * CHOOSE(CONTROL!$C$32, $C$9, 100%, $E$9)</f>
        <v>7.2129000000000003</v>
      </c>
      <c r="G543" s="11">
        <f>7.2161 * CHOOSE(CONTROL!$C$32, $C$9, 100%, $E$9)</f>
        <v>7.2161</v>
      </c>
      <c r="H543" s="11">
        <f>17.3381 * CHOOSE(CONTROL!$C$32, $C$9, 100%, $E$9)</f>
        <v>17.338100000000001</v>
      </c>
      <c r="I543" s="11">
        <f>17.3413 * CHOOSE(CONTROL!$C$32, $C$9, 100%, $E$9)</f>
        <v>17.3413</v>
      </c>
      <c r="J543" s="11">
        <f>17.3381 * CHOOSE(CONTROL!$C$32, $C$9, 100%, $E$9)</f>
        <v>17.338100000000001</v>
      </c>
      <c r="K543" s="11">
        <f>17.3413 * CHOOSE(CONTROL!$C$32, $C$9, 100%, $E$9)</f>
        <v>17.3413</v>
      </c>
      <c r="L543" s="11">
        <f>7.2129 * CHOOSE(CONTROL!$C$32, $C$9, 100%, $E$9)</f>
        <v>7.2129000000000003</v>
      </c>
      <c r="M543" s="11">
        <f>7.2161 * CHOOSE(CONTROL!$C$32, $C$9, 100%, $E$9)</f>
        <v>7.2161</v>
      </c>
      <c r="N543" s="11">
        <f>7.2129 * CHOOSE(CONTROL!$C$32, $C$9, 100%, $E$9)</f>
        <v>7.2129000000000003</v>
      </c>
      <c r="O543" s="11">
        <f>7.2161 * CHOOSE(CONTROL!$C$32, $C$9, 100%, $E$9)</f>
        <v>7.2161</v>
      </c>
    </row>
    <row r="544" spans="1:15" ht="15" x14ac:dyDescent="0.2">
      <c r="A544" s="13">
        <v>57405</v>
      </c>
      <c r="B544" s="9">
        <f>7.7139 * CHOOSE(CONTROL!$C$32, $C$9, 100%, $E$9)</f>
        <v>7.7138999999999998</v>
      </c>
      <c r="C544" s="9">
        <f>7.7139 * CHOOSE(CONTROL!$C$32, $C$9, 100%, $E$9)</f>
        <v>7.7138999999999998</v>
      </c>
      <c r="D544" s="9">
        <f>7.7149 * CHOOSE(CONTROL!$C$32, $C$9, 100%, $E$9)</f>
        <v>7.7149000000000001</v>
      </c>
      <c r="E544" s="11">
        <f>7.3669 * CHOOSE(CONTROL!$C$32, $C$9, 100%, $E$9)</f>
        <v>7.3669000000000002</v>
      </c>
      <c r="F544" s="11">
        <f>7.3669 * CHOOSE(CONTROL!$C$32, $C$9, 100%, $E$9)</f>
        <v>7.3669000000000002</v>
      </c>
      <c r="G544" s="11">
        <f>7.3701 * CHOOSE(CONTROL!$C$32, $C$9, 100%, $E$9)</f>
        <v>7.3700999999999999</v>
      </c>
      <c r="H544" s="11">
        <f>17.3742 * CHOOSE(CONTROL!$C$32, $C$9, 100%, $E$9)</f>
        <v>17.374199999999998</v>
      </c>
      <c r="I544" s="11">
        <f>17.3775 * CHOOSE(CONTROL!$C$32, $C$9, 100%, $E$9)</f>
        <v>17.377500000000001</v>
      </c>
      <c r="J544" s="11">
        <f>17.3742 * CHOOSE(CONTROL!$C$32, $C$9, 100%, $E$9)</f>
        <v>17.374199999999998</v>
      </c>
      <c r="K544" s="11">
        <f>17.3775 * CHOOSE(CONTROL!$C$32, $C$9, 100%, $E$9)</f>
        <v>17.377500000000001</v>
      </c>
      <c r="L544" s="11">
        <f>7.3669 * CHOOSE(CONTROL!$C$32, $C$9, 100%, $E$9)</f>
        <v>7.3669000000000002</v>
      </c>
      <c r="M544" s="11">
        <f>7.3701 * CHOOSE(CONTROL!$C$32, $C$9, 100%, $E$9)</f>
        <v>7.3700999999999999</v>
      </c>
      <c r="N544" s="11">
        <f>7.3669 * CHOOSE(CONTROL!$C$32, $C$9, 100%, $E$9)</f>
        <v>7.3669000000000002</v>
      </c>
      <c r="O544" s="11">
        <f>7.3701 * CHOOSE(CONTROL!$C$32, $C$9, 100%, $E$9)</f>
        <v>7.3700999999999999</v>
      </c>
    </row>
    <row r="545" spans="1:15" ht="15" x14ac:dyDescent="0.2">
      <c r="A545" s="13">
        <v>57436</v>
      </c>
      <c r="B545" s="9">
        <f>7.7152 * CHOOSE(CONTROL!$C$32, $C$9, 100%, $E$9)</f>
        <v>7.7152000000000003</v>
      </c>
      <c r="C545" s="9">
        <f>7.7152 * CHOOSE(CONTROL!$C$32, $C$9, 100%, $E$9)</f>
        <v>7.7152000000000003</v>
      </c>
      <c r="D545" s="9">
        <f>7.7161 * CHOOSE(CONTROL!$C$32, $C$9, 100%, $E$9)</f>
        <v>7.7161</v>
      </c>
      <c r="E545" s="11">
        <f>7.5304 * CHOOSE(CONTROL!$C$32, $C$9, 100%, $E$9)</f>
        <v>7.5304000000000002</v>
      </c>
      <c r="F545" s="11">
        <f>7.5304 * CHOOSE(CONTROL!$C$32, $C$9, 100%, $E$9)</f>
        <v>7.5304000000000002</v>
      </c>
      <c r="G545" s="11">
        <f>7.5336 * CHOOSE(CONTROL!$C$32, $C$9, 100%, $E$9)</f>
        <v>7.5335999999999999</v>
      </c>
      <c r="H545" s="11">
        <f>17.4104 * CHOOSE(CONTROL!$C$32, $C$9, 100%, $E$9)</f>
        <v>17.410399999999999</v>
      </c>
      <c r="I545" s="11">
        <f>17.4137 * CHOOSE(CONTROL!$C$32, $C$9, 100%, $E$9)</f>
        <v>17.413699999999999</v>
      </c>
      <c r="J545" s="11">
        <f>17.4104 * CHOOSE(CONTROL!$C$32, $C$9, 100%, $E$9)</f>
        <v>17.410399999999999</v>
      </c>
      <c r="K545" s="11">
        <f>17.4137 * CHOOSE(CONTROL!$C$32, $C$9, 100%, $E$9)</f>
        <v>17.413699999999999</v>
      </c>
      <c r="L545" s="11">
        <f>7.5304 * CHOOSE(CONTROL!$C$32, $C$9, 100%, $E$9)</f>
        <v>7.5304000000000002</v>
      </c>
      <c r="M545" s="11">
        <f>7.5336 * CHOOSE(CONTROL!$C$32, $C$9, 100%, $E$9)</f>
        <v>7.5335999999999999</v>
      </c>
      <c r="N545" s="11">
        <f>7.5304 * CHOOSE(CONTROL!$C$32, $C$9, 100%, $E$9)</f>
        <v>7.5304000000000002</v>
      </c>
      <c r="O545" s="11">
        <f>7.5336 * CHOOSE(CONTROL!$C$32, $C$9, 100%, $E$9)</f>
        <v>7.5335999999999999</v>
      </c>
    </row>
    <row r="546" spans="1:15" ht="15" x14ac:dyDescent="0.2">
      <c r="A546" s="13">
        <v>57466</v>
      </c>
      <c r="B546" s="9">
        <f>7.7152 * CHOOSE(CONTROL!$C$32, $C$9, 100%, $E$9)</f>
        <v>7.7152000000000003</v>
      </c>
      <c r="C546" s="9">
        <f>7.7152 * CHOOSE(CONTROL!$C$32, $C$9, 100%, $E$9)</f>
        <v>7.7152000000000003</v>
      </c>
      <c r="D546" s="9">
        <f>7.7164 * CHOOSE(CONTROL!$C$32, $C$9, 100%, $E$9)</f>
        <v>7.7164000000000001</v>
      </c>
      <c r="E546" s="11">
        <f>7.5933 * CHOOSE(CONTROL!$C$32, $C$9, 100%, $E$9)</f>
        <v>7.5933000000000002</v>
      </c>
      <c r="F546" s="11">
        <f>7.5933 * CHOOSE(CONTROL!$C$32, $C$9, 100%, $E$9)</f>
        <v>7.5933000000000002</v>
      </c>
      <c r="G546" s="11">
        <f>7.5975 * CHOOSE(CONTROL!$C$32, $C$9, 100%, $E$9)</f>
        <v>7.5975000000000001</v>
      </c>
      <c r="H546" s="11">
        <f>17.4467 * CHOOSE(CONTROL!$C$32, $C$9, 100%, $E$9)</f>
        <v>17.4467</v>
      </c>
      <c r="I546" s="11">
        <f>17.4509 * CHOOSE(CONTROL!$C$32, $C$9, 100%, $E$9)</f>
        <v>17.450900000000001</v>
      </c>
      <c r="J546" s="11">
        <f>17.4467 * CHOOSE(CONTROL!$C$32, $C$9, 100%, $E$9)</f>
        <v>17.4467</v>
      </c>
      <c r="K546" s="11">
        <f>17.4509 * CHOOSE(CONTROL!$C$32, $C$9, 100%, $E$9)</f>
        <v>17.450900000000001</v>
      </c>
      <c r="L546" s="11">
        <f>7.5933 * CHOOSE(CONTROL!$C$32, $C$9, 100%, $E$9)</f>
        <v>7.5933000000000002</v>
      </c>
      <c r="M546" s="11">
        <f>7.5975 * CHOOSE(CONTROL!$C$32, $C$9, 100%, $E$9)</f>
        <v>7.5975000000000001</v>
      </c>
      <c r="N546" s="11">
        <f>7.5933 * CHOOSE(CONTROL!$C$32, $C$9, 100%, $E$9)</f>
        <v>7.5933000000000002</v>
      </c>
      <c r="O546" s="11">
        <f>7.5975 * CHOOSE(CONTROL!$C$32, $C$9, 100%, $E$9)</f>
        <v>7.5975000000000001</v>
      </c>
    </row>
    <row r="547" spans="1:15" ht="15" x14ac:dyDescent="0.2">
      <c r="A547" s="13">
        <v>57497</v>
      </c>
      <c r="B547" s="9">
        <f>7.7213 * CHOOSE(CONTROL!$C$32, $C$9, 100%, $E$9)</f>
        <v>7.7213000000000003</v>
      </c>
      <c r="C547" s="9">
        <f>7.7213 * CHOOSE(CONTROL!$C$32, $C$9, 100%, $E$9)</f>
        <v>7.7213000000000003</v>
      </c>
      <c r="D547" s="9">
        <f>7.7225 * CHOOSE(CONTROL!$C$32, $C$9, 100%, $E$9)</f>
        <v>7.7225000000000001</v>
      </c>
      <c r="E547" s="11">
        <f>7.5346 * CHOOSE(CONTROL!$C$32, $C$9, 100%, $E$9)</f>
        <v>7.5346000000000002</v>
      </c>
      <c r="F547" s="11">
        <f>7.5346 * CHOOSE(CONTROL!$C$32, $C$9, 100%, $E$9)</f>
        <v>7.5346000000000002</v>
      </c>
      <c r="G547" s="11">
        <f>7.5388 * CHOOSE(CONTROL!$C$32, $C$9, 100%, $E$9)</f>
        <v>7.5388000000000002</v>
      </c>
      <c r="H547" s="11">
        <f>17.483 * CHOOSE(CONTROL!$C$32, $C$9, 100%, $E$9)</f>
        <v>17.483000000000001</v>
      </c>
      <c r="I547" s="11">
        <f>17.4872 * CHOOSE(CONTROL!$C$32, $C$9, 100%, $E$9)</f>
        <v>17.487200000000001</v>
      </c>
      <c r="J547" s="11">
        <f>17.483 * CHOOSE(CONTROL!$C$32, $C$9, 100%, $E$9)</f>
        <v>17.483000000000001</v>
      </c>
      <c r="K547" s="11">
        <f>17.4872 * CHOOSE(CONTROL!$C$32, $C$9, 100%, $E$9)</f>
        <v>17.487200000000001</v>
      </c>
      <c r="L547" s="11">
        <f>7.5346 * CHOOSE(CONTROL!$C$32, $C$9, 100%, $E$9)</f>
        <v>7.5346000000000002</v>
      </c>
      <c r="M547" s="11">
        <f>7.5388 * CHOOSE(CONTROL!$C$32, $C$9, 100%, $E$9)</f>
        <v>7.5388000000000002</v>
      </c>
      <c r="N547" s="11">
        <f>7.5346 * CHOOSE(CONTROL!$C$32, $C$9, 100%, $E$9)</f>
        <v>7.5346000000000002</v>
      </c>
      <c r="O547" s="11">
        <f>7.5388 * CHOOSE(CONTROL!$C$32, $C$9, 100%, $E$9)</f>
        <v>7.5388000000000002</v>
      </c>
    </row>
    <row r="548" spans="1:15" ht="15" x14ac:dyDescent="0.2">
      <c r="A548" s="13">
        <v>57527</v>
      </c>
      <c r="B548" s="9">
        <f>7.8207 * CHOOSE(CONTROL!$C$32, $C$9, 100%, $E$9)</f>
        <v>7.8207000000000004</v>
      </c>
      <c r="C548" s="9">
        <f>7.8207 * CHOOSE(CONTROL!$C$32, $C$9, 100%, $E$9)</f>
        <v>7.8207000000000004</v>
      </c>
      <c r="D548" s="9">
        <f>7.8219 * CHOOSE(CONTROL!$C$32, $C$9, 100%, $E$9)</f>
        <v>7.8219000000000003</v>
      </c>
      <c r="E548" s="11">
        <f>7.5662 * CHOOSE(CONTROL!$C$32, $C$9, 100%, $E$9)</f>
        <v>7.5662000000000003</v>
      </c>
      <c r="F548" s="11">
        <f>7.5662 * CHOOSE(CONTROL!$C$32, $C$9, 100%, $E$9)</f>
        <v>7.5662000000000003</v>
      </c>
      <c r="G548" s="11">
        <f>7.5704 * CHOOSE(CONTROL!$C$32, $C$9, 100%, $E$9)</f>
        <v>7.5704000000000002</v>
      </c>
      <c r="H548" s="11">
        <f>17.5195 * CHOOSE(CONTROL!$C$32, $C$9, 100%, $E$9)</f>
        <v>17.519500000000001</v>
      </c>
      <c r="I548" s="11">
        <f>17.5237 * CHOOSE(CONTROL!$C$32, $C$9, 100%, $E$9)</f>
        <v>17.523700000000002</v>
      </c>
      <c r="J548" s="11">
        <f>17.5195 * CHOOSE(CONTROL!$C$32, $C$9, 100%, $E$9)</f>
        <v>17.519500000000001</v>
      </c>
      <c r="K548" s="11">
        <f>17.5237 * CHOOSE(CONTROL!$C$32, $C$9, 100%, $E$9)</f>
        <v>17.523700000000002</v>
      </c>
      <c r="L548" s="11">
        <f>7.5662 * CHOOSE(CONTROL!$C$32, $C$9, 100%, $E$9)</f>
        <v>7.5662000000000003</v>
      </c>
      <c r="M548" s="11">
        <f>7.5704 * CHOOSE(CONTROL!$C$32, $C$9, 100%, $E$9)</f>
        <v>7.5704000000000002</v>
      </c>
      <c r="N548" s="11">
        <f>7.5662 * CHOOSE(CONTROL!$C$32, $C$9, 100%, $E$9)</f>
        <v>7.5662000000000003</v>
      </c>
      <c r="O548" s="11">
        <f>7.5704 * CHOOSE(CONTROL!$C$32, $C$9, 100%, $E$9)</f>
        <v>7.5704000000000002</v>
      </c>
    </row>
    <row r="549" spans="1:15" ht="15" x14ac:dyDescent="0.2">
      <c r="A549" s="13">
        <v>57558</v>
      </c>
      <c r="B549" s="9">
        <f>7.8273 * CHOOSE(CONTROL!$C$32, $C$9, 100%, $E$9)</f>
        <v>7.8273000000000001</v>
      </c>
      <c r="C549" s="9">
        <f>7.8273 * CHOOSE(CONTROL!$C$32, $C$9, 100%, $E$9)</f>
        <v>7.8273000000000001</v>
      </c>
      <c r="D549" s="9">
        <f>7.8286 * CHOOSE(CONTROL!$C$32, $C$9, 100%, $E$9)</f>
        <v>7.8285999999999998</v>
      </c>
      <c r="E549" s="11">
        <f>7.3822 * CHOOSE(CONTROL!$C$32, $C$9, 100%, $E$9)</f>
        <v>7.3822000000000001</v>
      </c>
      <c r="F549" s="11">
        <f>7.3822 * CHOOSE(CONTROL!$C$32, $C$9, 100%, $E$9)</f>
        <v>7.3822000000000001</v>
      </c>
      <c r="G549" s="11">
        <f>7.3864 * CHOOSE(CONTROL!$C$32, $C$9, 100%, $E$9)</f>
        <v>7.3864000000000001</v>
      </c>
      <c r="H549" s="11">
        <f>17.556 * CHOOSE(CONTROL!$C$32, $C$9, 100%, $E$9)</f>
        <v>17.556000000000001</v>
      </c>
      <c r="I549" s="11">
        <f>17.5602 * CHOOSE(CONTROL!$C$32, $C$9, 100%, $E$9)</f>
        <v>17.560199999999998</v>
      </c>
      <c r="J549" s="11">
        <f>17.556 * CHOOSE(CONTROL!$C$32, $C$9, 100%, $E$9)</f>
        <v>17.556000000000001</v>
      </c>
      <c r="K549" s="11">
        <f>17.5602 * CHOOSE(CONTROL!$C$32, $C$9, 100%, $E$9)</f>
        <v>17.560199999999998</v>
      </c>
      <c r="L549" s="11">
        <f>7.3822 * CHOOSE(CONTROL!$C$32, $C$9, 100%, $E$9)</f>
        <v>7.3822000000000001</v>
      </c>
      <c r="M549" s="11">
        <f>7.3864 * CHOOSE(CONTROL!$C$32, $C$9, 100%, $E$9)</f>
        <v>7.3864000000000001</v>
      </c>
      <c r="N549" s="11">
        <f>7.3822 * CHOOSE(CONTROL!$C$32, $C$9, 100%, $E$9)</f>
        <v>7.3822000000000001</v>
      </c>
      <c r="O549" s="11">
        <f>7.3864 * CHOOSE(CONTROL!$C$32, $C$9, 100%, $E$9)</f>
        <v>7.3864000000000001</v>
      </c>
    </row>
    <row r="550" spans="1:15" ht="15" x14ac:dyDescent="0.2">
      <c r="A550" s="13">
        <v>57589</v>
      </c>
      <c r="B550" s="9">
        <f>7.8243 * CHOOSE(CONTROL!$C$32, $C$9, 100%, $E$9)</f>
        <v>7.8243</v>
      </c>
      <c r="C550" s="9">
        <f>7.8243 * CHOOSE(CONTROL!$C$32, $C$9, 100%, $E$9)</f>
        <v>7.8243</v>
      </c>
      <c r="D550" s="9">
        <f>7.8256 * CHOOSE(CONTROL!$C$32, $C$9, 100%, $E$9)</f>
        <v>7.8255999999999997</v>
      </c>
      <c r="E550" s="11">
        <f>7.3591 * CHOOSE(CONTROL!$C$32, $C$9, 100%, $E$9)</f>
        <v>7.3590999999999998</v>
      </c>
      <c r="F550" s="11">
        <f>7.3591 * CHOOSE(CONTROL!$C$32, $C$9, 100%, $E$9)</f>
        <v>7.3590999999999998</v>
      </c>
      <c r="G550" s="11">
        <f>7.3633 * CHOOSE(CONTROL!$C$32, $C$9, 100%, $E$9)</f>
        <v>7.3632999999999997</v>
      </c>
      <c r="H550" s="11">
        <f>17.5925 * CHOOSE(CONTROL!$C$32, $C$9, 100%, $E$9)</f>
        <v>17.592500000000001</v>
      </c>
      <c r="I550" s="11">
        <f>17.5967 * CHOOSE(CONTROL!$C$32, $C$9, 100%, $E$9)</f>
        <v>17.596699999999998</v>
      </c>
      <c r="J550" s="11">
        <f>17.5925 * CHOOSE(CONTROL!$C$32, $C$9, 100%, $E$9)</f>
        <v>17.592500000000001</v>
      </c>
      <c r="K550" s="11">
        <f>17.5967 * CHOOSE(CONTROL!$C$32, $C$9, 100%, $E$9)</f>
        <v>17.596699999999998</v>
      </c>
      <c r="L550" s="11">
        <f>7.3591 * CHOOSE(CONTROL!$C$32, $C$9, 100%, $E$9)</f>
        <v>7.3590999999999998</v>
      </c>
      <c r="M550" s="11">
        <f>7.3633 * CHOOSE(CONTROL!$C$32, $C$9, 100%, $E$9)</f>
        <v>7.3632999999999997</v>
      </c>
      <c r="N550" s="11">
        <f>7.3591 * CHOOSE(CONTROL!$C$32, $C$9, 100%, $E$9)</f>
        <v>7.3590999999999998</v>
      </c>
      <c r="O550" s="11">
        <f>7.3633 * CHOOSE(CONTROL!$C$32, $C$9, 100%, $E$9)</f>
        <v>7.3632999999999997</v>
      </c>
    </row>
    <row r="551" spans="1:15" ht="15" x14ac:dyDescent="0.2">
      <c r="A551" s="13">
        <v>57619</v>
      </c>
      <c r="B551" s="9">
        <f>7.8336 * CHOOSE(CONTROL!$C$32, $C$9, 100%, $E$9)</f>
        <v>7.8335999999999997</v>
      </c>
      <c r="C551" s="9">
        <f>7.8336 * CHOOSE(CONTROL!$C$32, $C$9, 100%, $E$9)</f>
        <v>7.8335999999999997</v>
      </c>
      <c r="D551" s="9">
        <f>7.8346 * CHOOSE(CONTROL!$C$32, $C$9, 100%, $E$9)</f>
        <v>7.8346</v>
      </c>
      <c r="E551" s="11">
        <f>7.4295 * CHOOSE(CONTROL!$C$32, $C$9, 100%, $E$9)</f>
        <v>7.4295</v>
      </c>
      <c r="F551" s="11">
        <f>7.4295 * CHOOSE(CONTROL!$C$32, $C$9, 100%, $E$9)</f>
        <v>7.4295</v>
      </c>
      <c r="G551" s="11">
        <f>7.4327 * CHOOSE(CONTROL!$C$32, $C$9, 100%, $E$9)</f>
        <v>7.4326999999999996</v>
      </c>
      <c r="H551" s="11">
        <f>17.6292 * CHOOSE(CONTROL!$C$32, $C$9, 100%, $E$9)</f>
        <v>17.629200000000001</v>
      </c>
      <c r="I551" s="11">
        <f>17.6324 * CHOOSE(CONTROL!$C$32, $C$9, 100%, $E$9)</f>
        <v>17.632400000000001</v>
      </c>
      <c r="J551" s="11">
        <f>17.6292 * CHOOSE(CONTROL!$C$32, $C$9, 100%, $E$9)</f>
        <v>17.629200000000001</v>
      </c>
      <c r="K551" s="11">
        <f>17.6324 * CHOOSE(CONTROL!$C$32, $C$9, 100%, $E$9)</f>
        <v>17.632400000000001</v>
      </c>
      <c r="L551" s="11">
        <f>7.4295 * CHOOSE(CONTROL!$C$32, $C$9, 100%, $E$9)</f>
        <v>7.4295</v>
      </c>
      <c r="M551" s="11">
        <f>7.4327 * CHOOSE(CONTROL!$C$32, $C$9, 100%, $E$9)</f>
        <v>7.4326999999999996</v>
      </c>
      <c r="N551" s="11">
        <f>7.4295 * CHOOSE(CONTROL!$C$32, $C$9, 100%, $E$9)</f>
        <v>7.4295</v>
      </c>
      <c r="O551" s="11">
        <f>7.4327 * CHOOSE(CONTROL!$C$32, $C$9, 100%, $E$9)</f>
        <v>7.4326999999999996</v>
      </c>
    </row>
    <row r="552" spans="1:15" ht="15" x14ac:dyDescent="0.2">
      <c r="A552" s="13">
        <v>57650</v>
      </c>
      <c r="B552" s="9">
        <f>7.8366 * CHOOSE(CONTROL!$C$32, $C$9, 100%, $E$9)</f>
        <v>7.8365999999999998</v>
      </c>
      <c r="C552" s="9">
        <f>7.8366 * CHOOSE(CONTROL!$C$32, $C$9, 100%, $E$9)</f>
        <v>7.8365999999999998</v>
      </c>
      <c r="D552" s="9">
        <f>7.8376 * CHOOSE(CONTROL!$C$32, $C$9, 100%, $E$9)</f>
        <v>7.8376000000000001</v>
      </c>
      <c r="E552" s="11">
        <f>7.4736 * CHOOSE(CONTROL!$C$32, $C$9, 100%, $E$9)</f>
        <v>7.4736000000000002</v>
      </c>
      <c r="F552" s="11">
        <f>7.4736 * CHOOSE(CONTROL!$C$32, $C$9, 100%, $E$9)</f>
        <v>7.4736000000000002</v>
      </c>
      <c r="G552" s="11">
        <f>7.4768 * CHOOSE(CONTROL!$C$32, $C$9, 100%, $E$9)</f>
        <v>7.4767999999999999</v>
      </c>
      <c r="H552" s="11">
        <f>17.6659 * CHOOSE(CONTROL!$C$32, $C$9, 100%, $E$9)</f>
        <v>17.665900000000001</v>
      </c>
      <c r="I552" s="11">
        <f>17.6691 * CHOOSE(CONTROL!$C$32, $C$9, 100%, $E$9)</f>
        <v>17.6691</v>
      </c>
      <c r="J552" s="11">
        <f>17.6659 * CHOOSE(CONTROL!$C$32, $C$9, 100%, $E$9)</f>
        <v>17.665900000000001</v>
      </c>
      <c r="K552" s="11">
        <f>17.6691 * CHOOSE(CONTROL!$C$32, $C$9, 100%, $E$9)</f>
        <v>17.6691</v>
      </c>
      <c r="L552" s="11">
        <f>7.4736 * CHOOSE(CONTROL!$C$32, $C$9, 100%, $E$9)</f>
        <v>7.4736000000000002</v>
      </c>
      <c r="M552" s="11">
        <f>7.4768 * CHOOSE(CONTROL!$C$32, $C$9, 100%, $E$9)</f>
        <v>7.4767999999999999</v>
      </c>
      <c r="N552" s="11">
        <f>7.4736 * CHOOSE(CONTROL!$C$32, $C$9, 100%, $E$9)</f>
        <v>7.4736000000000002</v>
      </c>
      <c r="O552" s="11">
        <f>7.4768 * CHOOSE(CONTROL!$C$32, $C$9, 100%, $E$9)</f>
        <v>7.4767999999999999</v>
      </c>
    </row>
    <row r="553" spans="1:15" ht="15" x14ac:dyDescent="0.2">
      <c r="A553" s="13">
        <v>57680</v>
      </c>
      <c r="B553" s="9">
        <f>7.8366 * CHOOSE(CONTROL!$C$32, $C$9, 100%, $E$9)</f>
        <v>7.8365999999999998</v>
      </c>
      <c r="C553" s="9">
        <f>7.8366 * CHOOSE(CONTROL!$C$32, $C$9, 100%, $E$9)</f>
        <v>7.8365999999999998</v>
      </c>
      <c r="D553" s="9">
        <f>7.8376 * CHOOSE(CONTROL!$C$32, $C$9, 100%, $E$9)</f>
        <v>7.8376000000000001</v>
      </c>
      <c r="E553" s="11">
        <f>7.3687 * CHOOSE(CONTROL!$C$32, $C$9, 100%, $E$9)</f>
        <v>7.3686999999999996</v>
      </c>
      <c r="F553" s="11">
        <f>7.3687 * CHOOSE(CONTROL!$C$32, $C$9, 100%, $E$9)</f>
        <v>7.3686999999999996</v>
      </c>
      <c r="G553" s="11">
        <f>7.372 * CHOOSE(CONTROL!$C$32, $C$9, 100%, $E$9)</f>
        <v>7.3719999999999999</v>
      </c>
      <c r="H553" s="11">
        <f>17.7027 * CHOOSE(CONTROL!$C$32, $C$9, 100%, $E$9)</f>
        <v>17.7027</v>
      </c>
      <c r="I553" s="11">
        <f>17.706 * CHOOSE(CONTROL!$C$32, $C$9, 100%, $E$9)</f>
        <v>17.706</v>
      </c>
      <c r="J553" s="11">
        <f>17.7027 * CHOOSE(CONTROL!$C$32, $C$9, 100%, $E$9)</f>
        <v>17.7027</v>
      </c>
      <c r="K553" s="11">
        <f>17.706 * CHOOSE(CONTROL!$C$32, $C$9, 100%, $E$9)</f>
        <v>17.706</v>
      </c>
      <c r="L553" s="11">
        <f>7.3687 * CHOOSE(CONTROL!$C$32, $C$9, 100%, $E$9)</f>
        <v>7.3686999999999996</v>
      </c>
      <c r="M553" s="11">
        <f>7.372 * CHOOSE(CONTROL!$C$32, $C$9, 100%, $E$9)</f>
        <v>7.3719999999999999</v>
      </c>
      <c r="N553" s="11">
        <f>7.3687 * CHOOSE(CONTROL!$C$32, $C$9, 100%, $E$9)</f>
        <v>7.3686999999999996</v>
      </c>
      <c r="O553" s="11">
        <f>7.372 * CHOOSE(CONTROL!$C$32, $C$9, 100%, $E$9)</f>
        <v>7.3719999999999999</v>
      </c>
    </row>
    <row r="554" spans="1:15" ht="15" x14ac:dyDescent="0.2">
      <c r="A554" s="13">
        <v>57711</v>
      </c>
      <c r="B554" s="9">
        <f>7.8952 * CHOOSE(CONTROL!$C$32, $C$9, 100%, $E$9)</f>
        <v>7.8952</v>
      </c>
      <c r="C554" s="9">
        <f>7.8952 * CHOOSE(CONTROL!$C$32, $C$9, 100%, $E$9)</f>
        <v>7.8952</v>
      </c>
      <c r="D554" s="9">
        <f>7.8961 * CHOOSE(CONTROL!$C$32, $C$9, 100%, $E$9)</f>
        <v>7.8960999999999997</v>
      </c>
      <c r="E554" s="11">
        <f>7.482 * CHOOSE(CONTROL!$C$32, $C$9, 100%, $E$9)</f>
        <v>7.4820000000000002</v>
      </c>
      <c r="F554" s="11">
        <f>7.482 * CHOOSE(CONTROL!$C$32, $C$9, 100%, $E$9)</f>
        <v>7.4820000000000002</v>
      </c>
      <c r="G554" s="11">
        <f>7.4852 * CHOOSE(CONTROL!$C$32, $C$9, 100%, $E$9)</f>
        <v>7.4851999999999999</v>
      </c>
      <c r="H554" s="11">
        <f>17.7396 * CHOOSE(CONTROL!$C$32, $C$9, 100%, $E$9)</f>
        <v>17.739599999999999</v>
      </c>
      <c r="I554" s="11">
        <f>17.7428 * CHOOSE(CONTROL!$C$32, $C$9, 100%, $E$9)</f>
        <v>17.742799999999999</v>
      </c>
      <c r="J554" s="11">
        <f>17.7396 * CHOOSE(CONTROL!$C$32, $C$9, 100%, $E$9)</f>
        <v>17.739599999999999</v>
      </c>
      <c r="K554" s="11">
        <f>17.7428 * CHOOSE(CONTROL!$C$32, $C$9, 100%, $E$9)</f>
        <v>17.742799999999999</v>
      </c>
      <c r="L554" s="11">
        <f>7.482 * CHOOSE(CONTROL!$C$32, $C$9, 100%, $E$9)</f>
        <v>7.4820000000000002</v>
      </c>
      <c r="M554" s="11">
        <f>7.4852 * CHOOSE(CONTROL!$C$32, $C$9, 100%, $E$9)</f>
        <v>7.4851999999999999</v>
      </c>
      <c r="N554" s="11">
        <f>7.482 * CHOOSE(CONTROL!$C$32, $C$9, 100%, $E$9)</f>
        <v>7.4820000000000002</v>
      </c>
      <c r="O554" s="11">
        <f>7.4852 * CHOOSE(CONTROL!$C$32, $C$9, 100%, $E$9)</f>
        <v>7.4851999999999999</v>
      </c>
    </row>
    <row r="555" spans="1:15" ht="15" x14ac:dyDescent="0.2">
      <c r="A555" s="13">
        <v>57742</v>
      </c>
      <c r="B555" s="9">
        <f>7.8921 * CHOOSE(CONTROL!$C$32, $C$9, 100%, $E$9)</f>
        <v>7.8921000000000001</v>
      </c>
      <c r="C555" s="9">
        <f>7.8921 * CHOOSE(CONTROL!$C$32, $C$9, 100%, $E$9)</f>
        <v>7.8921000000000001</v>
      </c>
      <c r="D555" s="9">
        <f>7.8931 * CHOOSE(CONTROL!$C$32, $C$9, 100%, $E$9)</f>
        <v>7.8930999999999996</v>
      </c>
      <c r="E555" s="11">
        <f>7.2753 * CHOOSE(CONTROL!$C$32, $C$9, 100%, $E$9)</f>
        <v>7.2752999999999997</v>
      </c>
      <c r="F555" s="11">
        <f>7.2753 * CHOOSE(CONTROL!$C$32, $C$9, 100%, $E$9)</f>
        <v>7.2752999999999997</v>
      </c>
      <c r="G555" s="11">
        <f>7.2785 * CHOOSE(CONTROL!$C$32, $C$9, 100%, $E$9)</f>
        <v>7.2785000000000002</v>
      </c>
      <c r="H555" s="11">
        <f>17.7766 * CHOOSE(CONTROL!$C$32, $C$9, 100%, $E$9)</f>
        <v>17.776599999999998</v>
      </c>
      <c r="I555" s="11">
        <f>17.7798 * CHOOSE(CONTROL!$C$32, $C$9, 100%, $E$9)</f>
        <v>17.779800000000002</v>
      </c>
      <c r="J555" s="11">
        <f>17.7766 * CHOOSE(CONTROL!$C$32, $C$9, 100%, $E$9)</f>
        <v>17.776599999999998</v>
      </c>
      <c r="K555" s="11">
        <f>17.7798 * CHOOSE(CONTROL!$C$32, $C$9, 100%, $E$9)</f>
        <v>17.779800000000002</v>
      </c>
      <c r="L555" s="11">
        <f>7.2753 * CHOOSE(CONTROL!$C$32, $C$9, 100%, $E$9)</f>
        <v>7.2752999999999997</v>
      </c>
      <c r="M555" s="11">
        <f>7.2785 * CHOOSE(CONTROL!$C$32, $C$9, 100%, $E$9)</f>
        <v>7.2785000000000002</v>
      </c>
      <c r="N555" s="11">
        <f>7.2753 * CHOOSE(CONTROL!$C$32, $C$9, 100%, $E$9)</f>
        <v>7.2752999999999997</v>
      </c>
      <c r="O555" s="11">
        <f>7.2785 * CHOOSE(CONTROL!$C$32, $C$9, 100%, $E$9)</f>
        <v>7.2785000000000002</v>
      </c>
    </row>
    <row r="556" spans="1:15" ht="15" x14ac:dyDescent="0.2">
      <c r="A556" s="13">
        <v>57770</v>
      </c>
      <c r="B556" s="9">
        <f>7.8891 * CHOOSE(CONTROL!$C$32, $C$9, 100%, $E$9)</f>
        <v>7.8891</v>
      </c>
      <c r="C556" s="9">
        <f>7.8891 * CHOOSE(CONTROL!$C$32, $C$9, 100%, $E$9)</f>
        <v>7.8891</v>
      </c>
      <c r="D556" s="9">
        <f>7.89 * CHOOSE(CONTROL!$C$32, $C$9, 100%, $E$9)</f>
        <v>7.89</v>
      </c>
      <c r="E556" s="11">
        <f>7.4344 * CHOOSE(CONTROL!$C$32, $C$9, 100%, $E$9)</f>
        <v>7.4344000000000001</v>
      </c>
      <c r="F556" s="11">
        <f>7.4344 * CHOOSE(CONTROL!$C$32, $C$9, 100%, $E$9)</f>
        <v>7.4344000000000001</v>
      </c>
      <c r="G556" s="11">
        <f>7.4377 * CHOOSE(CONTROL!$C$32, $C$9, 100%, $E$9)</f>
        <v>7.4377000000000004</v>
      </c>
      <c r="H556" s="11">
        <f>17.8136 * CHOOSE(CONTROL!$C$32, $C$9, 100%, $E$9)</f>
        <v>17.813600000000001</v>
      </c>
      <c r="I556" s="11">
        <f>17.8168 * CHOOSE(CONTROL!$C$32, $C$9, 100%, $E$9)</f>
        <v>17.816800000000001</v>
      </c>
      <c r="J556" s="11">
        <f>17.8136 * CHOOSE(CONTROL!$C$32, $C$9, 100%, $E$9)</f>
        <v>17.813600000000001</v>
      </c>
      <c r="K556" s="11">
        <f>17.8168 * CHOOSE(CONTROL!$C$32, $C$9, 100%, $E$9)</f>
        <v>17.816800000000001</v>
      </c>
      <c r="L556" s="11">
        <f>7.4344 * CHOOSE(CONTROL!$C$32, $C$9, 100%, $E$9)</f>
        <v>7.4344000000000001</v>
      </c>
      <c r="M556" s="11">
        <f>7.4377 * CHOOSE(CONTROL!$C$32, $C$9, 100%, $E$9)</f>
        <v>7.4377000000000004</v>
      </c>
      <c r="N556" s="11">
        <f>7.4344 * CHOOSE(CONTROL!$C$32, $C$9, 100%, $E$9)</f>
        <v>7.4344000000000001</v>
      </c>
      <c r="O556" s="11">
        <f>7.4377 * CHOOSE(CONTROL!$C$32, $C$9, 100%, $E$9)</f>
        <v>7.4377000000000004</v>
      </c>
    </row>
    <row r="557" spans="1:15" ht="15" x14ac:dyDescent="0.2">
      <c r="A557" s="13">
        <v>57801</v>
      </c>
      <c r="B557" s="9">
        <f>7.8905 * CHOOSE(CONTROL!$C$32, $C$9, 100%, $E$9)</f>
        <v>7.8905000000000003</v>
      </c>
      <c r="C557" s="9">
        <f>7.8905 * CHOOSE(CONTROL!$C$32, $C$9, 100%, $E$9)</f>
        <v>7.8905000000000003</v>
      </c>
      <c r="D557" s="9">
        <f>7.8915 * CHOOSE(CONTROL!$C$32, $C$9, 100%, $E$9)</f>
        <v>7.8914999999999997</v>
      </c>
      <c r="E557" s="11">
        <f>7.6034 * CHOOSE(CONTROL!$C$32, $C$9, 100%, $E$9)</f>
        <v>7.6033999999999997</v>
      </c>
      <c r="F557" s="11">
        <f>7.6034 * CHOOSE(CONTROL!$C$32, $C$9, 100%, $E$9)</f>
        <v>7.6033999999999997</v>
      </c>
      <c r="G557" s="11">
        <f>7.6066 * CHOOSE(CONTROL!$C$32, $C$9, 100%, $E$9)</f>
        <v>7.6066000000000003</v>
      </c>
      <c r="H557" s="11">
        <f>17.8507 * CHOOSE(CONTROL!$C$32, $C$9, 100%, $E$9)</f>
        <v>17.8507</v>
      </c>
      <c r="I557" s="11">
        <f>17.8539 * CHOOSE(CONTROL!$C$32, $C$9, 100%, $E$9)</f>
        <v>17.853899999999999</v>
      </c>
      <c r="J557" s="11">
        <f>17.8507 * CHOOSE(CONTROL!$C$32, $C$9, 100%, $E$9)</f>
        <v>17.8507</v>
      </c>
      <c r="K557" s="11">
        <f>17.8539 * CHOOSE(CONTROL!$C$32, $C$9, 100%, $E$9)</f>
        <v>17.853899999999999</v>
      </c>
      <c r="L557" s="11">
        <f>7.6034 * CHOOSE(CONTROL!$C$32, $C$9, 100%, $E$9)</f>
        <v>7.6033999999999997</v>
      </c>
      <c r="M557" s="11">
        <f>7.6066 * CHOOSE(CONTROL!$C$32, $C$9, 100%, $E$9)</f>
        <v>7.6066000000000003</v>
      </c>
      <c r="N557" s="11">
        <f>7.6034 * CHOOSE(CONTROL!$C$32, $C$9, 100%, $E$9)</f>
        <v>7.6033999999999997</v>
      </c>
      <c r="O557" s="11">
        <f>7.6066 * CHOOSE(CONTROL!$C$32, $C$9, 100%, $E$9)</f>
        <v>7.6066000000000003</v>
      </c>
    </row>
    <row r="558" spans="1:15" ht="15" x14ac:dyDescent="0.2">
      <c r="A558" s="13">
        <v>57831</v>
      </c>
      <c r="B558" s="9">
        <f>7.8905 * CHOOSE(CONTROL!$C$32, $C$9, 100%, $E$9)</f>
        <v>7.8905000000000003</v>
      </c>
      <c r="C558" s="9">
        <f>7.8905 * CHOOSE(CONTROL!$C$32, $C$9, 100%, $E$9)</f>
        <v>7.8905000000000003</v>
      </c>
      <c r="D558" s="9">
        <f>7.8918 * CHOOSE(CONTROL!$C$32, $C$9, 100%, $E$9)</f>
        <v>7.8917999999999999</v>
      </c>
      <c r="E558" s="11">
        <f>7.6683 * CHOOSE(CONTROL!$C$32, $C$9, 100%, $E$9)</f>
        <v>7.6683000000000003</v>
      </c>
      <c r="F558" s="11">
        <f>7.6683 * CHOOSE(CONTROL!$C$32, $C$9, 100%, $E$9)</f>
        <v>7.6683000000000003</v>
      </c>
      <c r="G558" s="11">
        <f>7.6725 * CHOOSE(CONTROL!$C$32, $C$9, 100%, $E$9)</f>
        <v>7.6725000000000003</v>
      </c>
      <c r="H558" s="11">
        <f>17.8879 * CHOOSE(CONTROL!$C$32, $C$9, 100%, $E$9)</f>
        <v>17.887899999999998</v>
      </c>
      <c r="I558" s="11">
        <f>17.8921 * CHOOSE(CONTROL!$C$32, $C$9, 100%, $E$9)</f>
        <v>17.892099999999999</v>
      </c>
      <c r="J558" s="11">
        <f>17.8879 * CHOOSE(CONTROL!$C$32, $C$9, 100%, $E$9)</f>
        <v>17.887899999999998</v>
      </c>
      <c r="K558" s="11">
        <f>17.8921 * CHOOSE(CONTROL!$C$32, $C$9, 100%, $E$9)</f>
        <v>17.892099999999999</v>
      </c>
      <c r="L558" s="11">
        <f>7.6683 * CHOOSE(CONTROL!$C$32, $C$9, 100%, $E$9)</f>
        <v>7.6683000000000003</v>
      </c>
      <c r="M558" s="11">
        <f>7.6725 * CHOOSE(CONTROL!$C$32, $C$9, 100%, $E$9)</f>
        <v>7.6725000000000003</v>
      </c>
      <c r="N558" s="11">
        <f>7.6683 * CHOOSE(CONTROL!$C$32, $C$9, 100%, $E$9)</f>
        <v>7.6683000000000003</v>
      </c>
      <c r="O558" s="11">
        <f>7.6725 * CHOOSE(CONTROL!$C$32, $C$9, 100%, $E$9)</f>
        <v>7.6725000000000003</v>
      </c>
    </row>
    <row r="559" spans="1:15" ht="15" x14ac:dyDescent="0.2">
      <c r="A559" s="13">
        <v>57862</v>
      </c>
      <c r="B559" s="9">
        <f>7.8966 * CHOOSE(CONTROL!$C$32, $C$9, 100%, $E$9)</f>
        <v>7.8966000000000003</v>
      </c>
      <c r="C559" s="9">
        <f>7.8966 * CHOOSE(CONTROL!$C$32, $C$9, 100%, $E$9)</f>
        <v>7.8966000000000003</v>
      </c>
      <c r="D559" s="9">
        <f>7.8978 * CHOOSE(CONTROL!$C$32, $C$9, 100%, $E$9)</f>
        <v>7.8978000000000002</v>
      </c>
      <c r="E559" s="11">
        <f>7.6076 * CHOOSE(CONTROL!$C$32, $C$9, 100%, $E$9)</f>
        <v>7.6075999999999997</v>
      </c>
      <c r="F559" s="11">
        <f>7.6076 * CHOOSE(CONTROL!$C$32, $C$9, 100%, $E$9)</f>
        <v>7.6075999999999997</v>
      </c>
      <c r="G559" s="11">
        <f>7.6118 * CHOOSE(CONTROL!$C$32, $C$9, 100%, $E$9)</f>
        <v>7.6117999999999997</v>
      </c>
      <c r="H559" s="11">
        <f>17.9252 * CHOOSE(CONTROL!$C$32, $C$9, 100%, $E$9)</f>
        <v>17.9252</v>
      </c>
      <c r="I559" s="11">
        <f>17.9294 * CHOOSE(CONTROL!$C$32, $C$9, 100%, $E$9)</f>
        <v>17.929400000000001</v>
      </c>
      <c r="J559" s="11">
        <f>17.9252 * CHOOSE(CONTROL!$C$32, $C$9, 100%, $E$9)</f>
        <v>17.9252</v>
      </c>
      <c r="K559" s="11">
        <f>17.9294 * CHOOSE(CONTROL!$C$32, $C$9, 100%, $E$9)</f>
        <v>17.929400000000001</v>
      </c>
      <c r="L559" s="11">
        <f>7.6076 * CHOOSE(CONTROL!$C$32, $C$9, 100%, $E$9)</f>
        <v>7.6075999999999997</v>
      </c>
      <c r="M559" s="11">
        <f>7.6118 * CHOOSE(CONTROL!$C$32, $C$9, 100%, $E$9)</f>
        <v>7.6117999999999997</v>
      </c>
      <c r="N559" s="11">
        <f>7.6076 * CHOOSE(CONTROL!$C$32, $C$9, 100%, $E$9)</f>
        <v>7.6075999999999997</v>
      </c>
      <c r="O559" s="11">
        <f>7.6118 * CHOOSE(CONTROL!$C$32, $C$9, 100%, $E$9)</f>
        <v>7.6117999999999997</v>
      </c>
    </row>
    <row r="560" spans="1:15" ht="15" x14ac:dyDescent="0.2">
      <c r="A560" s="13">
        <v>57892</v>
      </c>
      <c r="B560" s="9">
        <f>7.9979 * CHOOSE(CONTROL!$C$32, $C$9, 100%, $E$9)</f>
        <v>7.9978999999999996</v>
      </c>
      <c r="C560" s="9">
        <f>7.9979 * CHOOSE(CONTROL!$C$32, $C$9, 100%, $E$9)</f>
        <v>7.9978999999999996</v>
      </c>
      <c r="D560" s="9">
        <f>7.9991 * CHOOSE(CONTROL!$C$32, $C$9, 100%, $E$9)</f>
        <v>7.9991000000000003</v>
      </c>
      <c r="E560" s="11">
        <f>7.6402 * CHOOSE(CONTROL!$C$32, $C$9, 100%, $E$9)</f>
        <v>7.6402000000000001</v>
      </c>
      <c r="F560" s="11">
        <f>7.6402 * CHOOSE(CONTROL!$C$32, $C$9, 100%, $E$9)</f>
        <v>7.6402000000000001</v>
      </c>
      <c r="G560" s="11">
        <f>7.6444 * CHOOSE(CONTROL!$C$32, $C$9, 100%, $E$9)</f>
        <v>7.6444000000000001</v>
      </c>
      <c r="H560" s="11">
        <f>17.9625 * CHOOSE(CONTROL!$C$32, $C$9, 100%, $E$9)</f>
        <v>17.962499999999999</v>
      </c>
      <c r="I560" s="11">
        <f>17.9667 * CHOOSE(CONTROL!$C$32, $C$9, 100%, $E$9)</f>
        <v>17.966699999999999</v>
      </c>
      <c r="J560" s="11">
        <f>17.9625 * CHOOSE(CONTROL!$C$32, $C$9, 100%, $E$9)</f>
        <v>17.962499999999999</v>
      </c>
      <c r="K560" s="11">
        <f>17.9667 * CHOOSE(CONTROL!$C$32, $C$9, 100%, $E$9)</f>
        <v>17.966699999999999</v>
      </c>
      <c r="L560" s="11">
        <f>7.6402 * CHOOSE(CONTROL!$C$32, $C$9, 100%, $E$9)</f>
        <v>7.6402000000000001</v>
      </c>
      <c r="M560" s="11">
        <f>7.6444 * CHOOSE(CONTROL!$C$32, $C$9, 100%, $E$9)</f>
        <v>7.6444000000000001</v>
      </c>
      <c r="N560" s="11">
        <f>7.6402 * CHOOSE(CONTROL!$C$32, $C$9, 100%, $E$9)</f>
        <v>7.6402000000000001</v>
      </c>
      <c r="O560" s="11">
        <f>7.6444 * CHOOSE(CONTROL!$C$32, $C$9, 100%, $E$9)</f>
        <v>7.6444000000000001</v>
      </c>
    </row>
    <row r="561" spans="1:15" ht="15" x14ac:dyDescent="0.2">
      <c r="A561" s="13">
        <v>57923</v>
      </c>
      <c r="B561" s="9">
        <f>8.0046 * CHOOSE(CONTROL!$C$32, $C$9, 100%, $E$9)</f>
        <v>8.0045999999999999</v>
      </c>
      <c r="C561" s="9">
        <f>8.0046 * CHOOSE(CONTROL!$C$32, $C$9, 100%, $E$9)</f>
        <v>8.0045999999999999</v>
      </c>
      <c r="D561" s="9">
        <f>8.0058 * CHOOSE(CONTROL!$C$32, $C$9, 100%, $E$9)</f>
        <v>8.0058000000000007</v>
      </c>
      <c r="E561" s="11">
        <f>7.4501 * CHOOSE(CONTROL!$C$32, $C$9, 100%, $E$9)</f>
        <v>7.4500999999999999</v>
      </c>
      <c r="F561" s="11">
        <f>7.4501 * CHOOSE(CONTROL!$C$32, $C$9, 100%, $E$9)</f>
        <v>7.4500999999999999</v>
      </c>
      <c r="G561" s="11">
        <f>7.4543 * CHOOSE(CONTROL!$C$32, $C$9, 100%, $E$9)</f>
        <v>7.4542999999999999</v>
      </c>
      <c r="H561" s="11">
        <f>17.9999 * CHOOSE(CONTROL!$C$32, $C$9, 100%, $E$9)</f>
        <v>17.9999</v>
      </c>
      <c r="I561" s="11">
        <f>18.0041 * CHOOSE(CONTROL!$C$32, $C$9, 100%, $E$9)</f>
        <v>18.004100000000001</v>
      </c>
      <c r="J561" s="11">
        <f>17.9999 * CHOOSE(CONTROL!$C$32, $C$9, 100%, $E$9)</f>
        <v>17.9999</v>
      </c>
      <c r="K561" s="11">
        <f>18.0041 * CHOOSE(CONTROL!$C$32, $C$9, 100%, $E$9)</f>
        <v>18.004100000000001</v>
      </c>
      <c r="L561" s="11">
        <f>7.4501 * CHOOSE(CONTROL!$C$32, $C$9, 100%, $E$9)</f>
        <v>7.4500999999999999</v>
      </c>
      <c r="M561" s="11">
        <f>7.4543 * CHOOSE(CONTROL!$C$32, $C$9, 100%, $E$9)</f>
        <v>7.4542999999999999</v>
      </c>
      <c r="N561" s="11">
        <f>7.4501 * CHOOSE(CONTROL!$C$32, $C$9, 100%, $E$9)</f>
        <v>7.4500999999999999</v>
      </c>
      <c r="O561" s="11">
        <f>7.4543 * CHOOSE(CONTROL!$C$32, $C$9, 100%, $E$9)</f>
        <v>7.4542999999999999</v>
      </c>
    </row>
    <row r="562" spans="1:15" ht="15" x14ac:dyDescent="0.2">
      <c r="A562" s="13">
        <v>57954</v>
      </c>
      <c r="B562" s="9">
        <f>8.0015 * CHOOSE(CONTROL!$C$32, $C$9, 100%, $E$9)</f>
        <v>8.0015000000000001</v>
      </c>
      <c r="C562" s="9">
        <f>8.0015 * CHOOSE(CONTROL!$C$32, $C$9, 100%, $E$9)</f>
        <v>8.0015000000000001</v>
      </c>
      <c r="D562" s="9">
        <f>8.0028 * CHOOSE(CONTROL!$C$32, $C$9, 100%, $E$9)</f>
        <v>8.0028000000000006</v>
      </c>
      <c r="E562" s="11">
        <f>7.4263 * CHOOSE(CONTROL!$C$32, $C$9, 100%, $E$9)</f>
        <v>7.4263000000000003</v>
      </c>
      <c r="F562" s="11">
        <f>7.4263 * CHOOSE(CONTROL!$C$32, $C$9, 100%, $E$9)</f>
        <v>7.4263000000000003</v>
      </c>
      <c r="G562" s="11">
        <f>7.4305 * CHOOSE(CONTROL!$C$32, $C$9, 100%, $E$9)</f>
        <v>7.4305000000000003</v>
      </c>
      <c r="H562" s="11">
        <f>18.0374 * CHOOSE(CONTROL!$C$32, $C$9, 100%, $E$9)</f>
        <v>18.037400000000002</v>
      </c>
      <c r="I562" s="11">
        <f>18.0416 * CHOOSE(CONTROL!$C$32, $C$9, 100%, $E$9)</f>
        <v>18.041599999999999</v>
      </c>
      <c r="J562" s="11">
        <f>18.0374 * CHOOSE(CONTROL!$C$32, $C$9, 100%, $E$9)</f>
        <v>18.037400000000002</v>
      </c>
      <c r="K562" s="11">
        <f>18.0416 * CHOOSE(CONTROL!$C$32, $C$9, 100%, $E$9)</f>
        <v>18.041599999999999</v>
      </c>
      <c r="L562" s="11">
        <f>7.4263 * CHOOSE(CONTROL!$C$32, $C$9, 100%, $E$9)</f>
        <v>7.4263000000000003</v>
      </c>
      <c r="M562" s="11">
        <f>7.4305 * CHOOSE(CONTROL!$C$32, $C$9, 100%, $E$9)</f>
        <v>7.4305000000000003</v>
      </c>
      <c r="N562" s="11">
        <f>7.4263 * CHOOSE(CONTROL!$C$32, $C$9, 100%, $E$9)</f>
        <v>7.4263000000000003</v>
      </c>
      <c r="O562" s="11">
        <f>7.4305 * CHOOSE(CONTROL!$C$32, $C$9, 100%, $E$9)</f>
        <v>7.4305000000000003</v>
      </c>
    </row>
    <row r="563" spans="1:15" ht="15" x14ac:dyDescent="0.2">
      <c r="A563" s="13">
        <v>57984</v>
      </c>
      <c r="B563" s="9">
        <f>8.0115 * CHOOSE(CONTROL!$C$32, $C$9, 100%, $E$9)</f>
        <v>8.0114999999999998</v>
      </c>
      <c r="C563" s="9">
        <f>8.0115 * CHOOSE(CONTROL!$C$32, $C$9, 100%, $E$9)</f>
        <v>8.0114999999999998</v>
      </c>
      <c r="D563" s="9">
        <f>8.0125 * CHOOSE(CONTROL!$C$32, $C$9, 100%, $E$9)</f>
        <v>8.0124999999999993</v>
      </c>
      <c r="E563" s="11">
        <f>7.4995 * CHOOSE(CONTROL!$C$32, $C$9, 100%, $E$9)</f>
        <v>7.4995000000000003</v>
      </c>
      <c r="F563" s="11">
        <f>7.4995 * CHOOSE(CONTROL!$C$32, $C$9, 100%, $E$9)</f>
        <v>7.4995000000000003</v>
      </c>
      <c r="G563" s="11">
        <f>7.5027 * CHOOSE(CONTROL!$C$32, $C$9, 100%, $E$9)</f>
        <v>7.5026999999999999</v>
      </c>
      <c r="H563" s="11">
        <f>18.075 * CHOOSE(CONTROL!$C$32, $C$9, 100%, $E$9)</f>
        <v>18.074999999999999</v>
      </c>
      <c r="I563" s="11">
        <f>18.0782 * CHOOSE(CONTROL!$C$32, $C$9, 100%, $E$9)</f>
        <v>18.078199999999999</v>
      </c>
      <c r="J563" s="11">
        <f>18.075 * CHOOSE(CONTROL!$C$32, $C$9, 100%, $E$9)</f>
        <v>18.074999999999999</v>
      </c>
      <c r="K563" s="11">
        <f>18.0782 * CHOOSE(CONTROL!$C$32, $C$9, 100%, $E$9)</f>
        <v>18.078199999999999</v>
      </c>
      <c r="L563" s="11">
        <f>7.4995 * CHOOSE(CONTROL!$C$32, $C$9, 100%, $E$9)</f>
        <v>7.4995000000000003</v>
      </c>
      <c r="M563" s="11">
        <f>7.5027 * CHOOSE(CONTROL!$C$32, $C$9, 100%, $E$9)</f>
        <v>7.5026999999999999</v>
      </c>
      <c r="N563" s="11">
        <f>7.4995 * CHOOSE(CONTROL!$C$32, $C$9, 100%, $E$9)</f>
        <v>7.4995000000000003</v>
      </c>
      <c r="O563" s="11">
        <f>7.5027 * CHOOSE(CONTROL!$C$32, $C$9, 100%, $E$9)</f>
        <v>7.5026999999999999</v>
      </c>
    </row>
    <row r="564" spans="1:15" ht="15" x14ac:dyDescent="0.2">
      <c r="A564" s="13">
        <v>58015</v>
      </c>
      <c r="B564" s="9">
        <f>8.0145 * CHOOSE(CONTROL!$C$32, $C$9, 100%, $E$9)</f>
        <v>8.0145</v>
      </c>
      <c r="C564" s="9">
        <f>8.0145 * CHOOSE(CONTROL!$C$32, $C$9, 100%, $E$9)</f>
        <v>8.0145</v>
      </c>
      <c r="D564" s="9">
        <f>8.0155 * CHOOSE(CONTROL!$C$32, $C$9, 100%, $E$9)</f>
        <v>8.0154999999999994</v>
      </c>
      <c r="E564" s="11">
        <f>7.5449 * CHOOSE(CONTROL!$C$32, $C$9, 100%, $E$9)</f>
        <v>7.5449000000000002</v>
      </c>
      <c r="F564" s="11">
        <f>7.5449 * CHOOSE(CONTROL!$C$32, $C$9, 100%, $E$9)</f>
        <v>7.5449000000000002</v>
      </c>
      <c r="G564" s="11">
        <f>7.5481 * CHOOSE(CONTROL!$C$32, $C$9, 100%, $E$9)</f>
        <v>7.5480999999999998</v>
      </c>
      <c r="H564" s="11">
        <f>18.1127 * CHOOSE(CONTROL!$C$32, $C$9, 100%, $E$9)</f>
        <v>18.1127</v>
      </c>
      <c r="I564" s="11">
        <f>18.1159 * CHOOSE(CONTROL!$C$32, $C$9, 100%, $E$9)</f>
        <v>18.1159</v>
      </c>
      <c r="J564" s="11">
        <f>18.1127 * CHOOSE(CONTROL!$C$32, $C$9, 100%, $E$9)</f>
        <v>18.1127</v>
      </c>
      <c r="K564" s="11">
        <f>18.1159 * CHOOSE(CONTROL!$C$32, $C$9, 100%, $E$9)</f>
        <v>18.1159</v>
      </c>
      <c r="L564" s="11">
        <f>7.5449 * CHOOSE(CONTROL!$C$32, $C$9, 100%, $E$9)</f>
        <v>7.5449000000000002</v>
      </c>
      <c r="M564" s="11">
        <f>7.5481 * CHOOSE(CONTROL!$C$32, $C$9, 100%, $E$9)</f>
        <v>7.5480999999999998</v>
      </c>
      <c r="N564" s="11">
        <f>7.5449 * CHOOSE(CONTROL!$C$32, $C$9, 100%, $E$9)</f>
        <v>7.5449000000000002</v>
      </c>
      <c r="O564" s="11">
        <f>7.5481 * CHOOSE(CONTROL!$C$32, $C$9, 100%, $E$9)</f>
        <v>7.5480999999999998</v>
      </c>
    </row>
    <row r="565" spans="1:15" ht="15" x14ac:dyDescent="0.2">
      <c r="A565" s="13">
        <v>58045</v>
      </c>
      <c r="B565" s="9">
        <f>8.0145 * CHOOSE(CONTROL!$C$32, $C$9, 100%, $E$9)</f>
        <v>8.0145</v>
      </c>
      <c r="C565" s="9">
        <f>8.0145 * CHOOSE(CONTROL!$C$32, $C$9, 100%, $E$9)</f>
        <v>8.0145</v>
      </c>
      <c r="D565" s="9">
        <f>8.0155 * CHOOSE(CONTROL!$C$32, $C$9, 100%, $E$9)</f>
        <v>8.0154999999999994</v>
      </c>
      <c r="E565" s="11">
        <f>7.4366 * CHOOSE(CONTROL!$C$32, $C$9, 100%, $E$9)</f>
        <v>7.4366000000000003</v>
      </c>
      <c r="F565" s="11">
        <f>7.4366 * CHOOSE(CONTROL!$C$32, $C$9, 100%, $E$9)</f>
        <v>7.4366000000000003</v>
      </c>
      <c r="G565" s="11">
        <f>7.4399 * CHOOSE(CONTROL!$C$32, $C$9, 100%, $E$9)</f>
        <v>7.4398999999999997</v>
      </c>
      <c r="H565" s="11">
        <f>18.1504 * CHOOSE(CONTROL!$C$32, $C$9, 100%, $E$9)</f>
        <v>18.150400000000001</v>
      </c>
      <c r="I565" s="11">
        <f>18.1536 * CHOOSE(CONTROL!$C$32, $C$9, 100%, $E$9)</f>
        <v>18.153600000000001</v>
      </c>
      <c r="J565" s="11">
        <f>18.1504 * CHOOSE(CONTROL!$C$32, $C$9, 100%, $E$9)</f>
        <v>18.150400000000001</v>
      </c>
      <c r="K565" s="11">
        <f>18.1536 * CHOOSE(CONTROL!$C$32, $C$9, 100%, $E$9)</f>
        <v>18.153600000000001</v>
      </c>
      <c r="L565" s="11">
        <f>7.4366 * CHOOSE(CONTROL!$C$32, $C$9, 100%, $E$9)</f>
        <v>7.4366000000000003</v>
      </c>
      <c r="M565" s="11">
        <f>7.4399 * CHOOSE(CONTROL!$C$32, $C$9, 100%, $E$9)</f>
        <v>7.4398999999999997</v>
      </c>
      <c r="N565" s="11">
        <f>7.4366 * CHOOSE(CONTROL!$C$32, $C$9, 100%, $E$9)</f>
        <v>7.4366000000000003</v>
      </c>
      <c r="O565" s="11">
        <f>7.4399 * CHOOSE(CONTROL!$C$32, $C$9, 100%, $E$9)</f>
        <v>7.4398999999999997</v>
      </c>
    </row>
    <row r="566" spans="1:15" ht="15" x14ac:dyDescent="0.2">
      <c r="A566" s="13">
        <v>58076</v>
      </c>
      <c r="B566" s="9">
        <f>8.0743 * CHOOSE(CONTROL!$C$32, $C$9, 100%, $E$9)</f>
        <v>8.0742999999999991</v>
      </c>
      <c r="C566" s="9">
        <f>8.0743 * CHOOSE(CONTROL!$C$32, $C$9, 100%, $E$9)</f>
        <v>8.0742999999999991</v>
      </c>
      <c r="D566" s="9">
        <f>8.0752 * CHOOSE(CONTROL!$C$32, $C$9, 100%, $E$9)</f>
        <v>8.0752000000000006</v>
      </c>
      <c r="E566" s="11">
        <f>7.5536 * CHOOSE(CONTROL!$C$32, $C$9, 100%, $E$9)</f>
        <v>7.5536000000000003</v>
      </c>
      <c r="F566" s="11">
        <f>7.5536 * CHOOSE(CONTROL!$C$32, $C$9, 100%, $E$9)</f>
        <v>7.5536000000000003</v>
      </c>
      <c r="G566" s="11">
        <f>7.5568 * CHOOSE(CONTROL!$C$32, $C$9, 100%, $E$9)</f>
        <v>7.5568</v>
      </c>
      <c r="H566" s="11">
        <f>18.1882 * CHOOSE(CONTROL!$C$32, $C$9, 100%, $E$9)</f>
        <v>18.188199999999998</v>
      </c>
      <c r="I566" s="11">
        <f>18.1914 * CHOOSE(CONTROL!$C$32, $C$9, 100%, $E$9)</f>
        <v>18.191400000000002</v>
      </c>
      <c r="J566" s="11">
        <f>18.1882 * CHOOSE(CONTROL!$C$32, $C$9, 100%, $E$9)</f>
        <v>18.188199999999998</v>
      </c>
      <c r="K566" s="11">
        <f>18.1914 * CHOOSE(CONTROL!$C$32, $C$9, 100%, $E$9)</f>
        <v>18.191400000000002</v>
      </c>
      <c r="L566" s="11">
        <f>7.5536 * CHOOSE(CONTROL!$C$32, $C$9, 100%, $E$9)</f>
        <v>7.5536000000000003</v>
      </c>
      <c r="M566" s="11">
        <f>7.5568 * CHOOSE(CONTROL!$C$32, $C$9, 100%, $E$9)</f>
        <v>7.5568</v>
      </c>
      <c r="N566" s="11">
        <f>7.5536 * CHOOSE(CONTROL!$C$32, $C$9, 100%, $E$9)</f>
        <v>7.5536000000000003</v>
      </c>
      <c r="O566" s="11">
        <f>7.5568 * CHOOSE(CONTROL!$C$32, $C$9, 100%, $E$9)</f>
        <v>7.5568</v>
      </c>
    </row>
    <row r="567" spans="1:15" ht="15" x14ac:dyDescent="0.2">
      <c r="A567" s="13">
        <v>58107</v>
      </c>
      <c r="B567" s="9">
        <f>8.0713 * CHOOSE(CONTROL!$C$32, $C$9, 100%, $E$9)</f>
        <v>8.0713000000000008</v>
      </c>
      <c r="C567" s="9">
        <f>8.0713 * CHOOSE(CONTROL!$C$32, $C$9, 100%, $E$9)</f>
        <v>8.0713000000000008</v>
      </c>
      <c r="D567" s="9">
        <f>8.0722 * CHOOSE(CONTROL!$C$32, $C$9, 100%, $E$9)</f>
        <v>8.0722000000000005</v>
      </c>
      <c r="E567" s="11">
        <f>7.3403 * CHOOSE(CONTROL!$C$32, $C$9, 100%, $E$9)</f>
        <v>7.3403</v>
      </c>
      <c r="F567" s="11">
        <f>7.3403 * CHOOSE(CONTROL!$C$32, $C$9, 100%, $E$9)</f>
        <v>7.3403</v>
      </c>
      <c r="G567" s="11">
        <f>7.3435 * CHOOSE(CONTROL!$C$32, $C$9, 100%, $E$9)</f>
        <v>7.3434999999999997</v>
      </c>
      <c r="H567" s="11">
        <f>18.2261 * CHOOSE(CONTROL!$C$32, $C$9, 100%, $E$9)</f>
        <v>18.226099999999999</v>
      </c>
      <c r="I567" s="11">
        <f>18.2293 * CHOOSE(CONTROL!$C$32, $C$9, 100%, $E$9)</f>
        <v>18.229299999999999</v>
      </c>
      <c r="J567" s="11">
        <f>18.2261 * CHOOSE(CONTROL!$C$32, $C$9, 100%, $E$9)</f>
        <v>18.226099999999999</v>
      </c>
      <c r="K567" s="11">
        <f>18.2293 * CHOOSE(CONTROL!$C$32, $C$9, 100%, $E$9)</f>
        <v>18.229299999999999</v>
      </c>
      <c r="L567" s="11">
        <f>7.3403 * CHOOSE(CONTROL!$C$32, $C$9, 100%, $E$9)</f>
        <v>7.3403</v>
      </c>
      <c r="M567" s="11">
        <f>7.3435 * CHOOSE(CONTROL!$C$32, $C$9, 100%, $E$9)</f>
        <v>7.3434999999999997</v>
      </c>
      <c r="N567" s="11">
        <f>7.3403 * CHOOSE(CONTROL!$C$32, $C$9, 100%, $E$9)</f>
        <v>7.3403</v>
      </c>
      <c r="O567" s="11">
        <f>7.3435 * CHOOSE(CONTROL!$C$32, $C$9, 100%, $E$9)</f>
        <v>7.3434999999999997</v>
      </c>
    </row>
    <row r="568" spans="1:15" ht="15" x14ac:dyDescent="0.2">
      <c r="A568" s="13">
        <v>58135</v>
      </c>
      <c r="B568" s="9">
        <f>8.0682 * CHOOSE(CONTROL!$C$32, $C$9, 100%, $E$9)</f>
        <v>8.0681999999999992</v>
      </c>
      <c r="C568" s="9">
        <f>8.0682 * CHOOSE(CONTROL!$C$32, $C$9, 100%, $E$9)</f>
        <v>8.0681999999999992</v>
      </c>
      <c r="D568" s="9">
        <f>8.0692 * CHOOSE(CONTROL!$C$32, $C$9, 100%, $E$9)</f>
        <v>8.0692000000000004</v>
      </c>
      <c r="E568" s="11">
        <f>7.5046 * CHOOSE(CONTROL!$C$32, $C$9, 100%, $E$9)</f>
        <v>7.5045999999999999</v>
      </c>
      <c r="F568" s="11">
        <f>7.5046 * CHOOSE(CONTROL!$C$32, $C$9, 100%, $E$9)</f>
        <v>7.5045999999999999</v>
      </c>
      <c r="G568" s="11">
        <f>7.5079 * CHOOSE(CONTROL!$C$32, $C$9, 100%, $E$9)</f>
        <v>7.5079000000000002</v>
      </c>
      <c r="H568" s="11">
        <f>18.2641 * CHOOSE(CONTROL!$C$32, $C$9, 100%, $E$9)</f>
        <v>18.264099999999999</v>
      </c>
      <c r="I568" s="11">
        <f>18.2673 * CHOOSE(CONTROL!$C$32, $C$9, 100%, $E$9)</f>
        <v>18.267299999999999</v>
      </c>
      <c r="J568" s="11">
        <f>18.2641 * CHOOSE(CONTROL!$C$32, $C$9, 100%, $E$9)</f>
        <v>18.264099999999999</v>
      </c>
      <c r="K568" s="11">
        <f>18.2673 * CHOOSE(CONTROL!$C$32, $C$9, 100%, $E$9)</f>
        <v>18.267299999999999</v>
      </c>
      <c r="L568" s="11">
        <f>7.5046 * CHOOSE(CONTROL!$C$32, $C$9, 100%, $E$9)</f>
        <v>7.5045999999999999</v>
      </c>
      <c r="M568" s="11">
        <f>7.5079 * CHOOSE(CONTROL!$C$32, $C$9, 100%, $E$9)</f>
        <v>7.5079000000000002</v>
      </c>
      <c r="N568" s="11">
        <f>7.5046 * CHOOSE(CONTROL!$C$32, $C$9, 100%, $E$9)</f>
        <v>7.5045999999999999</v>
      </c>
      <c r="O568" s="11">
        <f>7.5079 * CHOOSE(CONTROL!$C$32, $C$9, 100%, $E$9)</f>
        <v>7.5079000000000002</v>
      </c>
    </row>
    <row r="569" spans="1:15" ht="15" x14ac:dyDescent="0.2">
      <c r="A569" s="13">
        <v>58166</v>
      </c>
      <c r="B569" s="9">
        <f>8.0698 * CHOOSE(CONTROL!$C$32, $C$9, 100%, $E$9)</f>
        <v>8.0698000000000008</v>
      </c>
      <c r="C569" s="9">
        <f>8.0698 * CHOOSE(CONTROL!$C$32, $C$9, 100%, $E$9)</f>
        <v>8.0698000000000008</v>
      </c>
      <c r="D569" s="9">
        <f>8.0708 * CHOOSE(CONTROL!$C$32, $C$9, 100%, $E$9)</f>
        <v>8.0708000000000002</v>
      </c>
      <c r="E569" s="11">
        <f>7.6792 * CHOOSE(CONTROL!$C$32, $C$9, 100%, $E$9)</f>
        <v>7.6791999999999998</v>
      </c>
      <c r="F569" s="11">
        <f>7.6792 * CHOOSE(CONTROL!$C$32, $C$9, 100%, $E$9)</f>
        <v>7.6791999999999998</v>
      </c>
      <c r="G569" s="11">
        <f>7.6824 * CHOOSE(CONTROL!$C$32, $C$9, 100%, $E$9)</f>
        <v>7.6824000000000003</v>
      </c>
      <c r="H569" s="11">
        <f>18.3021 * CHOOSE(CONTROL!$C$32, $C$9, 100%, $E$9)</f>
        <v>18.302099999999999</v>
      </c>
      <c r="I569" s="11">
        <f>18.3054 * CHOOSE(CONTROL!$C$32, $C$9, 100%, $E$9)</f>
        <v>18.305399999999999</v>
      </c>
      <c r="J569" s="11">
        <f>18.3021 * CHOOSE(CONTROL!$C$32, $C$9, 100%, $E$9)</f>
        <v>18.302099999999999</v>
      </c>
      <c r="K569" s="11">
        <f>18.3054 * CHOOSE(CONTROL!$C$32, $C$9, 100%, $E$9)</f>
        <v>18.305399999999999</v>
      </c>
      <c r="L569" s="11">
        <f>7.6792 * CHOOSE(CONTROL!$C$32, $C$9, 100%, $E$9)</f>
        <v>7.6791999999999998</v>
      </c>
      <c r="M569" s="11">
        <f>7.6824 * CHOOSE(CONTROL!$C$32, $C$9, 100%, $E$9)</f>
        <v>7.6824000000000003</v>
      </c>
      <c r="N569" s="11">
        <f>7.6792 * CHOOSE(CONTROL!$C$32, $C$9, 100%, $E$9)</f>
        <v>7.6791999999999998</v>
      </c>
      <c r="O569" s="11">
        <f>7.6824 * CHOOSE(CONTROL!$C$32, $C$9, 100%, $E$9)</f>
        <v>7.6824000000000003</v>
      </c>
    </row>
    <row r="570" spans="1:15" ht="15" x14ac:dyDescent="0.2">
      <c r="A570" s="13">
        <v>58196</v>
      </c>
      <c r="B570" s="9">
        <f>8.0698 * CHOOSE(CONTROL!$C$32, $C$9, 100%, $E$9)</f>
        <v>8.0698000000000008</v>
      </c>
      <c r="C570" s="9">
        <f>8.0698 * CHOOSE(CONTROL!$C$32, $C$9, 100%, $E$9)</f>
        <v>8.0698000000000008</v>
      </c>
      <c r="D570" s="9">
        <f>8.0711 * CHOOSE(CONTROL!$C$32, $C$9, 100%, $E$9)</f>
        <v>8.0710999999999995</v>
      </c>
      <c r="E570" s="11">
        <f>7.7463 * CHOOSE(CONTROL!$C$32, $C$9, 100%, $E$9)</f>
        <v>7.7462999999999997</v>
      </c>
      <c r="F570" s="11">
        <f>7.7463 * CHOOSE(CONTROL!$C$32, $C$9, 100%, $E$9)</f>
        <v>7.7462999999999997</v>
      </c>
      <c r="G570" s="11">
        <f>7.7505 * CHOOSE(CONTROL!$C$32, $C$9, 100%, $E$9)</f>
        <v>7.7504999999999997</v>
      </c>
      <c r="H570" s="11">
        <f>18.3403 * CHOOSE(CONTROL!$C$32, $C$9, 100%, $E$9)</f>
        <v>18.340299999999999</v>
      </c>
      <c r="I570" s="11">
        <f>18.3445 * CHOOSE(CONTROL!$C$32, $C$9, 100%, $E$9)</f>
        <v>18.3445</v>
      </c>
      <c r="J570" s="11">
        <f>18.3403 * CHOOSE(CONTROL!$C$32, $C$9, 100%, $E$9)</f>
        <v>18.340299999999999</v>
      </c>
      <c r="K570" s="11">
        <f>18.3445 * CHOOSE(CONTROL!$C$32, $C$9, 100%, $E$9)</f>
        <v>18.3445</v>
      </c>
      <c r="L570" s="11">
        <f>7.7463 * CHOOSE(CONTROL!$C$32, $C$9, 100%, $E$9)</f>
        <v>7.7462999999999997</v>
      </c>
      <c r="M570" s="11">
        <f>7.7505 * CHOOSE(CONTROL!$C$32, $C$9, 100%, $E$9)</f>
        <v>7.7504999999999997</v>
      </c>
      <c r="N570" s="11">
        <f>7.7463 * CHOOSE(CONTROL!$C$32, $C$9, 100%, $E$9)</f>
        <v>7.7462999999999997</v>
      </c>
      <c r="O570" s="11">
        <f>7.7505 * CHOOSE(CONTROL!$C$32, $C$9, 100%, $E$9)</f>
        <v>7.7504999999999997</v>
      </c>
    </row>
    <row r="571" spans="1:15" ht="15" x14ac:dyDescent="0.2">
      <c r="A571" s="13">
        <v>58227</v>
      </c>
      <c r="B571" s="9">
        <f>8.0759 * CHOOSE(CONTROL!$C$32, $C$9, 100%, $E$9)</f>
        <v>8.0759000000000007</v>
      </c>
      <c r="C571" s="9">
        <f>8.0759 * CHOOSE(CONTROL!$C$32, $C$9, 100%, $E$9)</f>
        <v>8.0759000000000007</v>
      </c>
      <c r="D571" s="9">
        <f>8.0771 * CHOOSE(CONTROL!$C$32, $C$9, 100%, $E$9)</f>
        <v>8.0770999999999997</v>
      </c>
      <c r="E571" s="11">
        <f>7.6834 * CHOOSE(CONTROL!$C$32, $C$9, 100%, $E$9)</f>
        <v>7.6833999999999998</v>
      </c>
      <c r="F571" s="11">
        <f>7.6834 * CHOOSE(CONTROL!$C$32, $C$9, 100%, $E$9)</f>
        <v>7.6833999999999998</v>
      </c>
      <c r="G571" s="11">
        <f>7.6876 * CHOOSE(CONTROL!$C$32, $C$9, 100%, $E$9)</f>
        <v>7.6875999999999998</v>
      </c>
      <c r="H571" s="11">
        <f>18.3785 * CHOOSE(CONTROL!$C$32, $C$9, 100%, $E$9)</f>
        <v>18.378499999999999</v>
      </c>
      <c r="I571" s="11">
        <f>18.3827 * CHOOSE(CONTROL!$C$32, $C$9, 100%, $E$9)</f>
        <v>18.3827</v>
      </c>
      <c r="J571" s="11">
        <f>18.3785 * CHOOSE(CONTROL!$C$32, $C$9, 100%, $E$9)</f>
        <v>18.378499999999999</v>
      </c>
      <c r="K571" s="11">
        <f>18.3827 * CHOOSE(CONTROL!$C$32, $C$9, 100%, $E$9)</f>
        <v>18.3827</v>
      </c>
      <c r="L571" s="11">
        <f>7.6834 * CHOOSE(CONTROL!$C$32, $C$9, 100%, $E$9)</f>
        <v>7.6833999999999998</v>
      </c>
      <c r="M571" s="11">
        <f>7.6876 * CHOOSE(CONTROL!$C$32, $C$9, 100%, $E$9)</f>
        <v>7.6875999999999998</v>
      </c>
      <c r="N571" s="11">
        <f>7.6834 * CHOOSE(CONTROL!$C$32, $C$9, 100%, $E$9)</f>
        <v>7.6833999999999998</v>
      </c>
      <c r="O571" s="11">
        <f>7.6876 * CHOOSE(CONTROL!$C$32, $C$9, 100%, $E$9)</f>
        <v>7.6875999999999998</v>
      </c>
    </row>
    <row r="572" spans="1:15" ht="15" x14ac:dyDescent="0.2">
      <c r="A572" s="13">
        <v>58257</v>
      </c>
      <c r="B572" s="9">
        <f>8.1792 * CHOOSE(CONTROL!$C$32, $C$9, 100%, $E$9)</f>
        <v>8.1791999999999998</v>
      </c>
      <c r="C572" s="9">
        <f>8.1792 * CHOOSE(CONTROL!$C$32, $C$9, 100%, $E$9)</f>
        <v>8.1791999999999998</v>
      </c>
      <c r="D572" s="9">
        <f>8.1804 * CHOOSE(CONTROL!$C$32, $C$9, 100%, $E$9)</f>
        <v>8.1804000000000006</v>
      </c>
      <c r="E572" s="11">
        <f>7.7171 * CHOOSE(CONTROL!$C$32, $C$9, 100%, $E$9)</f>
        <v>7.7171000000000003</v>
      </c>
      <c r="F572" s="11">
        <f>7.7171 * CHOOSE(CONTROL!$C$32, $C$9, 100%, $E$9)</f>
        <v>7.7171000000000003</v>
      </c>
      <c r="G572" s="11">
        <f>7.7213 * CHOOSE(CONTROL!$C$32, $C$9, 100%, $E$9)</f>
        <v>7.7213000000000003</v>
      </c>
      <c r="H572" s="11">
        <f>18.4168 * CHOOSE(CONTROL!$C$32, $C$9, 100%, $E$9)</f>
        <v>18.416799999999999</v>
      </c>
      <c r="I572" s="11">
        <f>18.421 * CHOOSE(CONTROL!$C$32, $C$9, 100%, $E$9)</f>
        <v>18.420999999999999</v>
      </c>
      <c r="J572" s="11">
        <f>18.4168 * CHOOSE(CONTROL!$C$32, $C$9, 100%, $E$9)</f>
        <v>18.416799999999999</v>
      </c>
      <c r="K572" s="11">
        <f>18.421 * CHOOSE(CONTROL!$C$32, $C$9, 100%, $E$9)</f>
        <v>18.420999999999999</v>
      </c>
      <c r="L572" s="11">
        <f>7.7171 * CHOOSE(CONTROL!$C$32, $C$9, 100%, $E$9)</f>
        <v>7.7171000000000003</v>
      </c>
      <c r="M572" s="11">
        <f>7.7213 * CHOOSE(CONTROL!$C$32, $C$9, 100%, $E$9)</f>
        <v>7.7213000000000003</v>
      </c>
      <c r="N572" s="11">
        <f>7.7171 * CHOOSE(CONTROL!$C$32, $C$9, 100%, $E$9)</f>
        <v>7.7171000000000003</v>
      </c>
      <c r="O572" s="11">
        <f>7.7213 * CHOOSE(CONTROL!$C$32, $C$9, 100%, $E$9)</f>
        <v>7.7213000000000003</v>
      </c>
    </row>
    <row r="573" spans="1:15" ht="15" x14ac:dyDescent="0.2">
      <c r="A573" s="13">
        <v>58288</v>
      </c>
      <c r="B573" s="9">
        <f>8.1858 * CHOOSE(CONTROL!$C$32, $C$9, 100%, $E$9)</f>
        <v>8.1858000000000004</v>
      </c>
      <c r="C573" s="9">
        <f>8.1858 * CHOOSE(CONTROL!$C$32, $C$9, 100%, $E$9)</f>
        <v>8.1858000000000004</v>
      </c>
      <c r="D573" s="9">
        <f>8.1871 * CHOOSE(CONTROL!$C$32, $C$9, 100%, $E$9)</f>
        <v>8.1870999999999992</v>
      </c>
      <c r="E573" s="11">
        <f>7.5206 * CHOOSE(CONTROL!$C$32, $C$9, 100%, $E$9)</f>
        <v>7.5206</v>
      </c>
      <c r="F573" s="11">
        <f>7.5206 * CHOOSE(CONTROL!$C$32, $C$9, 100%, $E$9)</f>
        <v>7.5206</v>
      </c>
      <c r="G573" s="11">
        <f>7.5248 * CHOOSE(CONTROL!$C$32, $C$9, 100%, $E$9)</f>
        <v>7.5247999999999999</v>
      </c>
      <c r="H573" s="11">
        <f>18.4551 * CHOOSE(CONTROL!$C$32, $C$9, 100%, $E$9)</f>
        <v>18.455100000000002</v>
      </c>
      <c r="I573" s="11">
        <f>18.4593 * CHOOSE(CONTROL!$C$32, $C$9, 100%, $E$9)</f>
        <v>18.459299999999999</v>
      </c>
      <c r="J573" s="11">
        <f>18.4551 * CHOOSE(CONTROL!$C$32, $C$9, 100%, $E$9)</f>
        <v>18.455100000000002</v>
      </c>
      <c r="K573" s="11">
        <f>18.4593 * CHOOSE(CONTROL!$C$32, $C$9, 100%, $E$9)</f>
        <v>18.459299999999999</v>
      </c>
      <c r="L573" s="11">
        <f>7.5206 * CHOOSE(CONTROL!$C$32, $C$9, 100%, $E$9)</f>
        <v>7.5206</v>
      </c>
      <c r="M573" s="11">
        <f>7.5248 * CHOOSE(CONTROL!$C$32, $C$9, 100%, $E$9)</f>
        <v>7.5247999999999999</v>
      </c>
      <c r="N573" s="11">
        <f>7.5206 * CHOOSE(CONTROL!$C$32, $C$9, 100%, $E$9)</f>
        <v>7.5206</v>
      </c>
      <c r="O573" s="11">
        <f>7.5248 * CHOOSE(CONTROL!$C$32, $C$9, 100%, $E$9)</f>
        <v>7.5247999999999999</v>
      </c>
    </row>
    <row r="574" spans="1:15" ht="15" x14ac:dyDescent="0.2">
      <c r="A574" s="13">
        <v>58319</v>
      </c>
      <c r="B574" s="9">
        <f>8.1828 * CHOOSE(CONTROL!$C$32, $C$9, 100%, $E$9)</f>
        <v>8.1828000000000003</v>
      </c>
      <c r="C574" s="9">
        <f>8.1828 * CHOOSE(CONTROL!$C$32, $C$9, 100%, $E$9)</f>
        <v>8.1828000000000003</v>
      </c>
      <c r="D574" s="9">
        <f>8.1841 * CHOOSE(CONTROL!$C$32, $C$9, 100%, $E$9)</f>
        <v>8.1841000000000008</v>
      </c>
      <c r="E574" s="11">
        <f>7.4962 * CHOOSE(CONTROL!$C$32, $C$9, 100%, $E$9)</f>
        <v>7.4962</v>
      </c>
      <c r="F574" s="11">
        <f>7.4962 * CHOOSE(CONTROL!$C$32, $C$9, 100%, $E$9)</f>
        <v>7.4962</v>
      </c>
      <c r="G574" s="11">
        <f>7.5004 * CHOOSE(CONTROL!$C$32, $C$9, 100%, $E$9)</f>
        <v>7.5004</v>
      </c>
      <c r="H574" s="11">
        <f>18.4936 * CHOOSE(CONTROL!$C$32, $C$9, 100%, $E$9)</f>
        <v>18.493600000000001</v>
      </c>
      <c r="I574" s="11">
        <f>18.4978 * CHOOSE(CONTROL!$C$32, $C$9, 100%, $E$9)</f>
        <v>18.497800000000002</v>
      </c>
      <c r="J574" s="11">
        <f>18.4936 * CHOOSE(CONTROL!$C$32, $C$9, 100%, $E$9)</f>
        <v>18.493600000000001</v>
      </c>
      <c r="K574" s="11">
        <f>18.4978 * CHOOSE(CONTROL!$C$32, $C$9, 100%, $E$9)</f>
        <v>18.497800000000002</v>
      </c>
      <c r="L574" s="11">
        <f>7.4962 * CHOOSE(CONTROL!$C$32, $C$9, 100%, $E$9)</f>
        <v>7.4962</v>
      </c>
      <c r="M574" s="11">
        <f>7.5004 * CHOOSE(CONTROL!$C$32, $C$9, 100%, $E$9)</f>
        <v>7.5004</v>
      </c>
      <c r="N574" s="11">
        <f>7.4962 * CHOOSE(CONTROL!$C$32, $C$9, 100%, $E$9)</f>
        <v>7.4962</v>
      </c>
      <c r="O574" s="11">
        <f>7.5004 * CHOOSE(CONTROL!$C$32, $C$9, 100%, $E$9)</f>
        <v>7.5004</v>
      </c>
    </row>
    <row r="575" spans="1:15" ht="15" x14ac:dyDescent="0.2">
      <c r="A575" s="13">
        <v>58349</v>
      </c>
      <c r="B575" s="9">
        <f>8.1934 * CHOOSE(CONTROL!$C$32, $C$9, 100%, $E$9)</f>
        <v>8.1934000000000005</v>
      </c>
      <c r="C575" s="9">
        <f>8.1934 * CHOOSE(CONTROL!$C$32, $C$9, 100%, $E$9)</f>
        <v>8.1934000000000005</v>
      </c>
      <c r="D575" s="9">
        <f>8.1944 * CHOOSE(CONTROL!$C$32, $C$9, 100%, $E$9)</f>
        <v>8.1943999999999999</v>
      </c>
      <c r="E575" s="11">
        <f>7.5722 * CHOOSE(CONTROL!$C$32, $C$9, 100%, $E$9)</f>
        <v>7.5721999999999996</v>
      </c>
      <c r="F575" s="11">
        <f>7.5722 * CHOOSE(CONTROL!$C$32, $C$9, 100%, $E$9)</f>
        <v>7.5721999999999996</v>
      </c>
      <c r="G575" s="11">
        <f>7.5754 * CHOOSE(CONTROL!$C$32, $C$9, 100%, $E$9)</f>
        <v>7.5754000000000001</v>
      </c>
      <c r="H575" s="11">
        <f>18.5321 * CHOOSE(CONTROL!$C$32, $C$9, 100%, $E$9)</f>
        <v>18.5321</v>
      </c>
      <c r="I575" s="11">
        <f>18.5353 * CHOOSE(CONTROL!$C$32, $C$9, 100%, $E$9)</f>
        <v>18.535299999999999</v>
      </c>
      <c r="J575" s="11">
        <f>18.5321 * CHOOSE(CONTROL!$C$32, $C$9, 100%, $E$9)</f>
        <v>18.5321</v>
      </c>
      <c r="K575" s="11">
        <f>18.5353 * CHOOSE(CONTROL!$C$32, $C$9, 100%, $E$9)</f>
        <v>18.535299999999999</v>
      </c>
      <c r="L575" s="11">
        <f>7.5722 * CHOOSE(CONTROL!$C$32, $C$9, 100%, $E$9)</f>
        <v>7.5721999999999996</v>
      </c>
      <c r="M575" s="11">
        <f>7.5754 * CHOOSE(CONTROL!$C$32, $C$9, 100%, $E$9)</f>
        <v>7.5754000000000001</v>
      </c>
      <c r="N575" s="11">
        <f>7.5722 * CHOOSE(CONTROL!$C$32, $C$9, 100%, $E$9)</f>
        <v>7.5721999999999996</v>
      </c>
      <c r="O575" s="11">
        <f>7.5754 * CHOOSE(CONTROL!$C$32, $C$9, 100%, $E$9)</f>
        <v>7.5754000000000001</v>
      </c>
    </row>
    <row r="576" spans="1:15" ht="15" x14ac:dyDescent="0.2">
      <c r="A576" s="13">
        <v>58380</v>
      </c>
      <c r="B576" s="9">
        <f>8.1965 * CHOOSE(CONTROL!$C$32, $C$9, 100%, $E$9)</f>
        <v>8.1965000000000003</v>
      </c>
      <c r="C576" s="9">
        <f>8.1965 * CHOOSE(CONTROL!$C$32, $C$9, 100%, $E$9)</f>
        <v>8.1965000000000003</v>
      </c>
      <c r="D576" s="9">
        <f>8.1974 * CHOOSE(CONTROL!$C$32, $C$9, 100%, $E$9)</f>
        <v>8.1974</v>
      </c>
      <c r="E576" s="11">
        <f>7.619 * CHOOSE(CONTROL!$C$32, $C$9, 100%, $E$9)</f>
        <v>7.6189999999999998</v>
      </c>
      <c r="F576" s="11">
        <f>7.619 * CHOOSE(CONTROL!$C$32, $C$9, 100%, $E$9)</f>
        <v>7.6189999999999998</v>
      </c>
      <c r="G576" s="11">
        <f>7.6222 * CHOOSE(CONTROL!$C$32, $C$9, 100%, $E$9)</f>
        <v>7.6222000000000003</v>
      </c>
      <c r="H576" s="11">
        <f>18.5707 * CHOOSE(CONTROL!$C$32, $C$9, 100%, $E$9)</f>
        <v>18.570699999999999</v>
      </c>
      <c r="I576" s="11">
        <f>18.5739 * CHOOSE(CONTROL!$C$32, $C$9, 100%, $E$9)</f>
        <v>18.573899999999998</v>
      </c>
      <c r="J576" s="11">
        <f>18.5707 * CHOOSE(CONTROL!$C$32, $C$9, 100%, $E$9)</f>
        <v>18.570699999999999</v>
      </c>
      <c r="K576" s="11">
        <f>18.5739 * CHOOSE(CONTROL!$C$32, $C$9, 100%, $E$9)</f>
        <v>18.573899999999998</v>
      </c>
      <c r="L576" s="11">
        <f>7.619 * CHOOSE(CONTROL!$C$32, $C$9, 100%, $E$9)</f>
        <v>7.6189999999999998</v>
      </c>
      <c r="M576" s="11">
        <f>7.6222 * CHOOSE(CONTROL!$C$32, $C$9, 100%, $E$9)</f>
        <v>7.6222000000000003</v>
      </c>
      <c r="N576" s="11">
        <f>7.619 * CHOOSE(CONTROL!$C$32, $C$9, 100%, $E$9)</f>
        <v>7.6189999999999998</v>
      </c>
      <c r="O576" s="11">
        <f>7.6222 * CHOOSE(CONTROL!$C$32, $C$9, 100%, $E$9)</f>
        <v>7.6222000000000003</v>
      </c>
    </row>
    <row r="577" spans="1:15" ht="15" x14ac:dyDescent="0.2">
      <c r="A577" s="13">
        <v>58410</v>
      </c>
      <c r="B577" s="9">
        <f>8.1965 * CHOOSE(CONTROL!$C$32, $C$9, 100%, $E$9)</f>
        <v>8.1965000000000003</v>
      </c>
      <c r="C577" s="9">
        <f>8.1965 * CHOOSE(CONTROL!$C$32, $C$9, 100%, $E$9)</f>
        <v>8.1965000000000003</v>
      </c>
      <c r="D577" s="9">
        <f>8.1974 * CHOOSE(CONTROL!$C$32, $C$9, 100%, $E$9)</f>
        <v>8.1974</v>
      </c>
      <c r="E577" s="11">
        <f>7.5072 * CHOOSE(CONTROL!$C$32, $C$9, 100%, $E$9)</f>
        <v>7.5072000000000001</v>
      </c>
      <c r="F577" s="11">
        <f>7.5072 * CHOOSE(CONTROL!$C$32, $C$9, 100%, $E$9)</f>
        <v>7.5072000000000001</v>
      </c>
      <c r="G577" s="11">
        <f>7.5105 * CHOOSE(CONTROL!$C$32, $C$9, 100%, $E$9)</f>
        <v>7.5105000000000004</v>
      </c>
      <c r="H577" s="11">
        <f>18.6094 * CHOOSE(CONTROL!$C$32, $C$9, 100%, $E$9)</f>
        <v>18.609400000000001</v>
      </c>
      <c r="I577" s="11">
        <f>18.6126 * CHOOSE(CONTROL!$C$32, $C$9, 100%, $E$9)</f>
        <v>18.6126</v>
      </c>
      <c r="J577" s="11">
        <f>18.6094 * CHOOSE(CONTROL!$C$32, $C$9, 100%, $E$9)</f>
        <v>18.609400000000001</v>
      </c>
      <c r="K577" s="11">
        <f>18.6126 * CHOOSE(CONTROL!$C$32, $C$9, 100%, $E$9)</f>
        <v>18.6126</v>
      </c>
      <c r="L577" s="11">
        <f>7.5072 * CHOOSE(CONTROL!$C$32, $C$9, 100%, $E$9)</f>
        <v>7.5072000000000001</v>
      </c>
      <c r="M577" s="11">
        <f>7.5105 * CHOOSE(CONTROL!$C$32, $C$9, 100%, $E$9)</f>
        <v>7.5105000000000004</v>
      </c>
      <c r="N577" s="11">
        <f>7.5072 * CHOOSE(CONTROL!$C$32, $C$9, 100%, $E$9)</f>
        <v>7.5072000000000001</v>
      </c>
      <c r="O577" s="11">
        <f>7.5105 * CHOOSE(CONTROL!$C$32, $C$9, 100%, $E$9)</f>
        <v>7.5105000000000004</v>
      </c>
    </row>
    <row r="578" spans="1:15" ht="15" x14ac:dyDescent="0.2">
      <c r="A578" s="13">
        <v>58441</v>
      </c>
      <c r="B578" s="9">
        <f>8.2575 * CHOOSE(CONTROL!$C$32, $C$9, 100%, $E$9)</f>
        <v>8.2575000000000003</v>
      </c>
      <c r="C578" s="9">
        <f>8.2575 * CHOOSE(CONTROL!$C$32, $C$9, 100%, $E$9)</f>
        <v>8.2575000000000003</v>
      </c>
      <c r="D578" s="9">
        <f>8.2584 * CHOOSE(CONTROL!$C$32, $C$9, 100%, $E$9)</f>
        <v>8.2584</v>
      </c>
      <c r="E578" s="11">
        <f>7.628 * CHOOSE(CONTROL!$C$32, $C$9, 100%, $E$9)</f>
        <v>7.6280000000000001</v>
      </c>
      <c r="F578" s="11">
        <f>7.628 * CHOOSE(CONTROL!$C$32, $C$9, 100%, $E$9)</f>
        <v>7.6280000000000001</v>
      </c>
      <c r="G578" s="11">
        <f>7.6312 * CHOOSE(CONTROL!$C$32, $C$9, 100%, $E$9)</f>
        <v>7.6311999999999998</v>
      </c>
      <c r="H578" s="11">
        <f>18.6482 * CHOOSE(CONTROL!$C$32, $C$9, 100%, $E$9)</f>
        <v>18.648199999999999</v>
      </c>
      <c r="I578" s="11">
        <f>18.6514 * CHOOSE(CONTROL!$C$32, $C$9, 100%, $E$9)</f>
        <v>18.651399999999999</v>
      </c>
      <c r="J578" s="11">
        <f>18.6482 * CHOOSE(CONTROL!$C$32, $C$9, 100%, $E$9)</f>
        <v>18.648199999999999</v>
      </c>
      <c r="K578" s="11">
        <f>18.6514 * CHOOSE(CONTROL!$C$32, $C$9, 100%, $E$9)</f>
        <v>18.651399999999999</v>
      </c>
      <c r="L578" s="11">
        <f>7.628 * CHOOSE(CONTROL!$C$32, $C$9, 100%, $E$9)</f>
        <v>7.6280000000000001</v>
      </c>
      <c r="M578" s="11">
        <f>7.6312 * CHOOSE(CONTROL!$C$32, $C$9, 100%, $E$9)</f>
        <v>7.6311999999999998</v>
      </c>
      <c r="N578" s="11">
        <f>7.628 * CHOOSE(CONTROL!$C$32, $C$9, 100%, $E$9)</f>
        <v>7.6280000000000001</v>
      </c>
      <c r="O578" s="11">
        <f>7.6312 * CHOOSE(CONTROL!$C$32, $C$9, 100%, $E$9)</f>
        <v>7.6311999999999998</v>
      </c>
    </row>
    <row r="579" spans="1:15" ht="15" x14ac:dyDescent="0.2">
      <c r="A579" s="13">
        <v>58472</v>
      </c>
      <c r="B579" s="9">
        <f>8.2544 * CHOOSE(CONTROL!$C$32, $C$9, 100%, $E$9)</f>
        <v>8.2544000000000004</v>
      </c>
      <c r="C579" s="9">
        <f>8.2544 * CHOOSE(CONTROL!$C$32, $C$9, 100%, $E$9)</f>
        <v>8.2544000000000004</v>
      </c>
      <c r="D579" s="9">
        <f>8.2554 * CHOOSE(CONTROL!$C$32, $C$9, 100%, $E$9)</f>
        <v>8.2553999999999998</v>
      </c>
      <c r="E579" s="11">
        <f>7.4078 * CHOOSE(CONTROL!$C$32, $C$9, 100%, $E$9)</f>
        <v>7.4077999999999999</v>
      </c>
      <c r="F579" s="11">
        <f>7.4078 * CHOOSE(CONTROL!$C$32, $C$9, 100%, $E$9)</f>
        <v>7.4077999999999999</v>
      </c>
      <c r="G579" s="11">
        <f>7.4111 * CHOOSE(CONTROL!$C$32, $C$9, 100%, $E$9)</f>
        <v>7.4111000000000002</v>
      </c>
      <c r="H579" s="11">
        <f>18.687 * CHOOSE(CONTROL!$C$32, $C$9, 100%, $E$9)</f>
        <v>18.687000000000001</v>
      </c>
      <c r="I579" s="11">
        <f>18.6902 * CHOOSE(CONTROL!$C$32, $C$9, 100%, $E$9)</f>
        <v>18.690200000000001</v>
      </c>
      <c r="J579" s="11">
        <f>18.687 * CHOOSE(CONTROL!$C$32, $C$9, 100%, $E$9)</f>
        <v>18.687000000000001</v>
      </c>
      <c r="K579" s="11">
        <f>18.6902 * CHOOSE(CONTROL!$C$32, $C$9, 100%, $E$9)</f>
        <v>18.690200000000001</v>
      </c>
      <c r="L579" s="11">
        <f>7.4078 * CHOOSE(CONTROL!$C$32, $C$9, 100%, $E$9)</f>
        <v>7.4077999999999999</v>
      </c>
      <c r="M579" s="11">
        <f>7.4111 * CHOOSE(CONTROL!$C$32, $C$9, 100%, $E$9)</f>
        <v>7.4111000000000002</v>
      </c>
      <c r="N579" s="11">
        <f>7.4078 * CHOOSE(CONTROL!$C$32, $C$9, 100%, $E$9)</f>
        <v>7.4077999999999999</v>
      </c>
      <c r="O579" s="11">
        <f>7.4111 * CHOOSE(CONTROL!$C$32, $C$9, 100%, $E$9)</f>
        <v>7.4111000000000002</v>
      </c>
    </row>
    <row r="580" spans="1:15" ht="15" x14ac:dyDescent="0.2">
      <c r="A580" s="13">
        <v>58501</v>
      </c>
      <c r="B580" s="9">
        <f>8.2514 * CHOOSE(CONTROL!$C$32, $C$9, 100%, $E$9)</f>
        <v>8.2514000000000003</v>
      </c>
      <c r="C580" s="9">
        <f>8.2514 * CHOOSE(CONTROL!$C$32, $C$9, 100%, $E$9)</f>
        <v>8.2514000000000003</v>
      </c>
      <c r="D580" s="9">
        <f>8.2524 * CHOOSE(CONTROL!$C$32, $C$9, 100%, $E$9)</f>
        <v>8.2523999999999997</v>
      </c>
      <c r="E580" s="11">
        <f>7.5776 * CHOOSE(CONTROL!$C$32, $C$9, 100%, $E$9)</f>
        <v>7.5776000000000003</v>
      </c>
      <c r="F580" s="11">
        <f>7.5776 * CHOOSE(CONTROL!$C$32, $C$9, 100%, $E$9)</f>
        <v>7.5776000000000003</v>
      </c>
      <c r="G580" s="11">
        <f>7.5808 * CHOOSE(CONTROL!$C$32, $C$9, 100%, $E$9)</f>
        <v>7.5808</v>
      </c>
      <c r="H580" s="11">
        <f>18.7259 * CHOOSE(CONTROL!$C$32, $C$9, 100%, $E$9)</f>
        <v>18.725899999999999</v>
      </c>
      <c r="I580" s="11">
        <f>18.7292 * CHOOSE(CONTROL!$C$32, $C$9, 100%, $E$9)</f>
        <v>18.729199999999999</v>
      </c>
      <c r="J580" s="11">
        <f>18.7259 * CHOOSE(CONTROL!$C$32, $C$9, 100%, $E$9)</f>
        <v>18.725899999999999</v>
      </c>
      <c r="K580" s="11">
        <f>18.7292 * CHOOSE(CONTROL!$C$32, $C$9, 100%, $E$9)</f>
        <v>18.729199999999999</v>
      </c>
      <c r="L580" s="11">
        <f>7.5776 * CHOOSE(CONTROL!$C$32, $C$9, 100%, $E$9)</f>
        <v>7.5776000000000003</v>
      </c>
      <c r="M580" s="11">
        <f>7.5808 * CHOOSE(CONTROL!$C$32, $C$9, 100%, $E$9)</f>
        <v>7.5808</v>
      </c>
      <c r="N580" s="11">
        <f>7.5776 * CHOOSE(CONTROL!$C$32, $C$9, 100%, $E$9)</f>
        <v>7.5776000000000003</v>
      </c>
      <c r="O580" s="11">
        <f>7.5808 * CHOOSE(CONTROL!$C$32, $C$9, 100%, $E$9)</f>
        <v>7.5808</v>
      </c>
    </row>
    <row r="581" spans="1:15" ht="15" x14ac:dyDescent="0.2">
      <c r="A581" s="13">
        <v>58532</v>
      </c>
      <c r="B581" s="9">
        <f>8.2532 * CHOOSE(CONTROL!$C$32, $C$9, 100%, $E$9)</f>
        <v>8.2531999999999996</v>
      </c>
      <c r="C581" s="9">
        <f>8.2532 * CHOOSE(CONTROL!$C$32, $C$9, 100%, $E$9)</f>
        <v>8.2531999999999996</v>
      </c>
      <c r="D581" s="9">
        <f>8.2541 * CHOOSE(CONTROL!$C$32, $C$9, 100%, $E$9)</f>
        <v>8.2540999999999993</v>
      </c>
      <c r="E581" s="11">
        <f>7.758 * CHOOSE(CONTROL!$C$32, $C$9, 100%, $E$9)</f>
        <v>7.758</v>
      </c>
      <c r="F581" s="11">
        <f>7.758 * CHOOSE(CONTROL!$C$32, $C$9, 100%, $E$9)</f>
        <v>7.758</v>
      </c>
      <c r="G581" s="11">
        <f>7.7612 * CHOOSE(CONTROL!$C$32, $C$9, 100%, $E$9)</f>
        <v>7.7611999999999997</v>
      </c>
      <c r="H581" s="11">
        <f>18.765 * CHOOSE(CONTROL!$C$32, $C$9, 100%, $E$9)</f>
        <v>18.765000000000001</v>
      </c>
      <c r="I581" s="11">
        <f>18.7682 * CHOOSE(CONTROL!$C$32, $C$9, 100%, $E$9)</f>
        <v>18.7682</v>
      </c>
      <c r="J581" s="11">
        <f>18.765 * CHOOSE(CONTROL!$C$32, $C$9, 100%, $E$9)</f>
        <v>18.765000000000001</v>
      </c>
      <c r="K581" s="11">
        <f>18.7682 * CHOOSE(CONTROL!$C$32, $C$9, 100%, $E$9)</f>
        <v>18.7682</v>
      </c>
      <c r="L581" s="11">
        <f>7.758 * CHOOSE(CONTROL!$C$32, $C$9, 100%, $E$9)</f>
        <v>7.758</v>
      </c>
      <c r="M581" s="11">
        <f>7.7612 * CHOOSE(CONTROL!$C$32, $C$9, 100%, $E$9)</f>
        <v>7.7611999999999997</v>
      </c>
      <c r="N581" s="11">
        <f>7.758 * CHOOSE(CONTROL!$C$32, $C$9, 100%, $E$9)</f>
        <v>7.758</v>
      </c>
      <c r="O581" s="11">
        <f>7.7612 * CHOOSE(CONTROL!$C$32, $C$9, 100%, $E$9)</f>
        <v>7.7611999999999997</v>
      </c>
    </row>
    <row r="582" spans="1:15" ht="15" x14ac:dyDescent="0.2">
      <c r="A582" s="13">
        <v>58562</v>
      </c>
      <c r="B582" s="9">
        <f>8.2532 * CHOOSE(CONTROL!$C$32, $C$9, 100%, $E$9)</f>
        <v>8.2531999999999996</v>
      </c>
      <c r="C582" s="9">
        <f>8.2532 * CHOOSE(CONTROL!$C$32, $C$9, 100%, $E$9)</f>
        <v>8.2531999999999996</v>
      </c>
      <c r="D582" s="9">
        <f>8.2544 * CHOOSE(CONTROL!$C$32, $C$9, 100%, $E$9)</f>
        <v>8.2544000000000004</v>
      </c>
      <c r="E582" s="11">
        <f>7.8272 * CHOOSE(CONTROL!$C$32, $C$9, 100%, $E$9)</f>
        <v>7.8272000000000004</v>
      </c>
      <c r="F582" s="11">
        <f>7.8272 * CHOOSE(CONTROL!$C$32, $C$9, 100%, $E$9)</f>
        <v>7.8272000000000004</v>
      </c>
      <c r="G582" s="11">
        <f>7.8314 * CHOOSE(CONTROL!$C$32, $C$9, 100%, $E$9)</f>
        <v>7.8314000000000004</v>
      </c>
      <c r="H582" s="11">
        <f>18.8041 * CHOOSE(CONTROL!$C$32, $C$9, 100%, $E$9)</f>
        <v>18.804099999999998</v>
      </c>
      <c r="I582" s="11">
        <f>18.8083 * CHOOSE(CONTROL!$C$32, $C$9, 100%, $E$9)</f>
        <v>18.808299999999999</v>
      </c>
      <c r="J582" s="11">
        <f>18.8041 * CHOOSE(CONTROL!$C$32, $C$9, 100%, $E$9)</f>
        <v>18.804099999999998</v>
      </c>
      <c r="K582" s="11">
        <f>18.8083 * CHOOSE(CONTROL!$C$32, $C$9, 100%, $E$9)</f>
        <v>18.808299999999999</v>
      </c>
      <c r="L582" s="11">
        <f>7.8272 * CHOOSE(CONTROL!$C$32, $C$9, 100%, $E$9)</f>
        <v>7.8272000000000004</v>
      </c>
      <c r="M582" s="11">
        <f>7.8314 * CHOOSE(CONTROL!$C$32, $C$9, 100%, $E$9)</f>
        <v>7.8314000000000004</v>
      </c>
      <c r="N582" s="11">
        <f>7.8272 * CHOOSE(CONTROL!$C$32, $C$9, 100%, $E$9)</f>
        <v>7.8272000000000004</v>
      </c>
      <c r="O582" s="11">
        <f>7.8314 * CHOOSE(CONTROL!$C$32, $C$9, 100%, $E$9)</f>
        <v>7.8314000000000004</v>
      </c>
    </row>
    <row r="583" spans="1:15" ht="15" x14ac:dyDescent="0.2">
      <c r="A583" s="13">
        <v>58593</v>
      </c>
      <c r="B583" s="9">
        <f>8.2593 * CHOOSE(CONTROL!$C$32, $C$9, 100%, $E$9)</f>
        <v>8.2592999999999996</v>
      </c>
      <c r="C583" s="9">
        <f>8.2593 * CHOOSE(CONTROL!$C$32, $C$9, 100%, $E$9)</f>
        <v>8.2592999999999996</v>
      </c>
      <c r="D583" s="9">
        <f>8.2605 * CHOOSE(CONTROL!$C$32, $C$9, 100%, $E$9)</f>
        <v>8.2605000000000004</v>
      </c>
      <c r="E583" s="11">
        <f>7.7622 * CHOOSE(CONTROL!$C$32, $C$9, 100%, $E$9)</f>
        <v>7.7622</v>
      </c>
      <c r="F583" s="11">
        <f>7.7622 * CHOOSE(CONTROL!$C$32, $C$9, 100%, $E$9)</f>
        <v>7.7622</v>
      </c>
      <c r="G583" s="11">
        <f>7.7664 * CHOOSE(CONTROL!$C$32, $C$9, 100%, $E$9)</f>
        <v>7.7664</v>
      </c>
      <c r="H583" s="11">
        <f>18.8432 * CHOOSE(CONTROL!$C$32, $C$9, 100%, $E$9)</f>
        <v>18.8432</v>
      </c>
      <c r="I583" s="11">
        <f>18.8474 * CHOOSE(CONTROL!$C$32, $C$9, 100%, $E$9)</f>
        <v>18.8474</v>
      </c>
      <c r="J583" s="11">
        <f>18.8432 * CHOOSE(CONTROL!$C$32, $C$9, 100%, $E$9)</f>
        <v>18.8432</v>
      </c>
      <c r="K583" s="11">
        <f>18.8474 * CHOOSE(CONTROL!$C$32, $C$9, 100%, $E$9)</f>
        <v>18.8474</v>
      </c>
      <c r="L583" s="11">
        <f>7.7622 * CHOOSE(CONTROL!$C$32, $C$9, 100%, $E$9)</f>
        <v>7.7622</v>
      </c>
      <c r="M583" s="11">
        <f>7.7664 * CHOOSE(CONTROL!$C$32, $C$9, 100%, $E$9)</f>
        <v>7.7664</v>
      </c>
      <c r="N583" s="11">
        <f>7.7622 * CHOOSE(CONTROL!$C$32, $C$9, 100%, $E$9)</f>
        <v>7.7622</v>
      </c>
      <c r="O583" s="11">
        <f>7.7664 * CHOOSE(CONTROL!$C$32, $C$9, 100%, $E$9)</f>
        <v>7.7664</v>
      </c>
    </row>
    <row r="584" spans="1:15" ht="15" x14ac:dyDescent="0.2">
      <c r="A584" s="13">
        <v>58623</v>
      </c>
      <c r="B584" s="9">
        <f>8.3645 * CHOOSE(CONTROL!$C$32, $C$9, 100%, $E$9)</f>
        <v>8.3644999999999996</v>
      </c>
      <c r="C584" s="9">
        <f>8.3645 * CHOOSE(CONTROL!$C$32, $C$9, 100%, $E$9)</f>
        <v>8.3644999999999996</v>
      </c>
      <c r="D584" s="9">
        <f>8.3658 * CHOOSE(CONTROL!$C$32, $C$9, 100%, $E$9)</f>
        <v>8.3658000000000001</v>
      </c>
      <c r="E584" s="11">
        <f>7.797 * CHOOSE(CONTROL!$C$32, $C$9, 100%, $E$9)</f>
        <v>7.7969999999999997</v>
      </c>
      <c r="F584" s="11">
        <f>7.797 * CHOOSE(CONTROL!$C$32, $C$9, 100%, $E$9)</f>
        <v>7.7969999999999997</v>
      </c>
      <c r="G584" s="11">
        <f>7.8012 * CHOOSE(CONTROL!$C$32, $C$9, 100%, $E$9)</f>
        <v>7.8011999999999997</v>
      </c>
      <c r="H584" s="11">
        <f>18.8825 * CHOOSE(CONTROL!$C$32, $C$9, 100%, $E$9)</f>
        <v>18.8825</v>
      </c>
      <c r="I584" s="11">
        <f>18.8867 * CHOOSE(CONTROL!$C$32, $C$9, 100%, $E$9)</f>
        <v>18.886700000000001</v>
      </c>
      <c r="J584" s="11">
        <f>18.8825 * CHOOSE(CONTROL!$C$32, $C$9, 100%, $E$9)</f>
        <v>18.8825</v>
      </c>
      <c r="K584" s="11">
        <f>18.8867 * CHOOSE(CONTROL!$C$32, $C$9, 100%, $E$9)</f>
        <v>18.886700000000001</v>
      </c>
      <c r="L584" s="11">
        <f>7.797 * CHOOSE(CONTROL!$C$32, $C$9, 100%, $E$9)</f>
        <v>7.7969999999999997</v>
      </c>
      <c r="M584" s="11">
        <f>7.8012 * CHOOSE(CONTROL!$C$32, $C$9, 100%, $E$9)</f>
        <v>7.8011999999999997</v>
      </c>
      <c r="N584" s="11">
        <f>7.797 * CHOOSE(CONTROL!$C$32, $C$9, 100%, $E$9)</f>
        <v>7.7969999999999997</v>
      </c>
      <c r="O584" s="11">
        <f>7.8012 * CHOOSE(CONTROL!$C$32, $C$9, 100%, $E$9)</f>
        <v>7.8011999999999997</v>
      </c>
    </row>
    <row r="585" spans="1:15" ht="15" x14ac:dyDescent="0.2">
      <c r="A585" s="13">
        <v>58654</v>
      </c>
      <c r="B585" s="9">
        <f>8.3712 * CHOOSE(CONTROL!$C$32, $C$9, 100%, $E$9)</f>
        <v>8.3712</v>
      </c>
      <c r="C585" s="9">
        <f>8.3712 * CHOOSE(CONTROL!$C$32, $C$9, 100%, $E$9)</f>
        <v>8.3712</v>
      </c>
      <c r="D585" s="9">
        <f>8.3725 * CHOOSE(CONTROL!$C$32, $C$9, 100%, $E$9)</f>
        <v>8.3725000000000005</v>
      </c>
      <c r="E585" s="11">
        <f>7.594 * CHOOSE(CONTROL!$C$32, $C$9, 100%, $E$9)</f>
        <v>7.5940000000000003</v>
      </c>
      <c r="F585" s="11">
        <f>7.594 * CHOOSE(CONTROL!$C$32, $C$9, 100%, $E$9)</f>
        <v>7.5940000000000003</v>
      </c>
      <c r="G585" s="11">
        <f>7.5982 * CHOOSE(CONTROL!$C$32, $C$9, 100%, $E$9)</f>
        <v>7.5982000000000003</v>
      </c>
      <c r="H585" s="11">
        <f>18.9218 * CHOOSE(CONTROL!$C$32, $C$9, 100%, $E$9)</f>
        <v>18.921800000000001</v>
      </c>
      <c r="I585" s="11">
        <f>18.926 * CHOOSE(CONTROL!$C$32, $C$9, 100%, $E$9)</f>
        <v>18.925999999999998</v>
      </c>
      <c r="J585" s="11">
        <f>18.9218 * CHOOSE(CONTROL!$C$32, $C$9, 100%, $E$9)</f>
        <v>18.921800000000001</v>
      </c>
      <c r="K585" s="11">
        <f>18.926 * CHOOSE(CONTROL!$C$32, $C$9, 100%, $E$9)</f>
        <v>18.925999999999998</v>
      </c>
      <c r="L585" s="11">
        <f>7.594 * CHOOSE(CONTROL!$C$32, $C$9, 100%, $E$9)</f>
        <v>7.5940000000000003</v>
      </c>
      <c r="M585" s="11">
        <f>7.5982 * CHOOSE(CONTROL!$C$32, $C$9, 100%, $E$9)</f>
        <v>7.5982000000000003</v>
      </c>
      <c r="N585" s="11">
        <f>7.594 * CHOOSE(CONTROL!$C$32, $C$9, 100%, $E$9)</f>
        <v>7.5940000000000003</v>
      </c>
      <c r="O585" s="11">
        <f>7.5982 * CHOOSE(CONTROL!$C$32, $C$9, 100%, $E$9)</f>
        <v>7.5982000000000003</v>
      </c>
    </row>
    <row r="586" spans="1:15" ht="15" x14ac:dyDescent="0.2">
      <c r="A586" s="13">
        <v>58685</v>
      </c>
      <c r="B586" s="9">
        <f>8.3682 * CHOOSE(CONTROL!$C$32, $C$9, 100%, $E$9)</f>
        <v>8.3681999999999999</v>
      </c>
      <c r="C586" s="9">
        <f>8.3682 * CHOOSE(CONTROL!$C$32, $C$9, 100%, $E$9)</f>
        <v>8.3681999999999999</v>
      </c>
      <c r="D586" s="9">
        <f>8.3694 * CHOOSE(CONTROL!$C$32, $C$9, 100%, $E$9)</f>
        <v>8.3694000000000006</v>
      </c>
      <c r="E586" s="11">
        <f>7.5688 * CHOOSE(CONTROL!$C$32, $C$9, 100%, $E$9)</f>
        <v>7.5688000000000004</v>
      </c>
      <c r="F586" s="11">
        <f>7.5688 * CHOOSE(CONTROL!$C$32, $C$9, 100%, $E$9)</f>
        <v>7.5688000000000004</v>
      </c>
      <c r="G586" s="11">
        <f>7.573 * CHOOSE(CONTROL!$C$32, $C$9, 100%, $E$9)</f>
        <v>7.5730000000000004</v>
      </c>
      <c r="H586" s="11">
        <f>18.9612 * CHOOSE(CONTROL!$C$32, $C$9, 100%, $E$9)</f>
        <v>18.961200000000002</v>
      </c>
      <c r="I586" s="11">
        <f>18.9654 * CHOOSE(CONTROL!$C$32, $C$9, 100%, $E$9)</f>
        <v>18.965399999999999</v>
      </c>
      <c r="J586" s="11">
        <f>18.9612 * CHOOSE(CONTROL!$C$32, $C$9, 100%, $E$9)</f>
        <v>18.961200000000002</v>
      </c>
      <c r="K586" s="11">
        <f>18.9654 * CHOOSE(CONTROL!$C$32, $C$9, 100%, $E$9)</f>
        <v>18.965399999999999</v>
      </c>
      <c r="L586" s="11">
        <f>7.5688 * CHOOSE(CONTROL!$C$32, $C$9, 100%, $E$9)</f>
        <v>7.5688000000000004</v>
      </c>
      <c r="M586" s="11">
        <f>7.573 * CHOOSE(CONTROL!$C$32, $C$9, 100%, $E$9)</f>
        <v>7.5730000000000004</v>
      </c>
      <c r="N586" s="11">
        <f>7.5688 * CHOOSE(CONTROL!$C$32, $C$9, 100%, $E$9)</f>
        <v>7.5688000000000004</v>
      </c>
      <c r="O586" s="11">
        <f>7.573 * CHOOSE(CONTROL!$C$32, $C$9, 100%, $E$9)</f>
        <v>7.5730000000000004</v>
      </c>
    </row>
    <row r="587" spans="1:15" ht="15" x14ac:dyDescent="0.2">
      <c r="A587" s="13">
        <v>58715</v>
      </c>
      <c r="B587" s="9">
        <f>8.3795 * CHOOSE(CONTROL!$C$32, $C$9, 100%, $E$9)</f>
        <v>8.3795000000000002</v>
      </c>
      <c r="C587" s="9">
        <f>8.3795 * CHOOSE(CONTROL!$C$32, $C$9, 100%, $E$9)</f>
        <v>8.3795000000000002</v>
      </c>
      <c r="D587" s="9">
        <f>8.3805 * CHOOSE(CONTROL!$C$32, $C$9, 100%, $E$9)</f>
        <v>8.3804999999999996</v>
      </c>
      <c r="E587" s="11">
        <f>7.6477 * CHOOSE(CONTROL!$C$32, $C$9, 100%, $E$9)</f>
        <v>7.6477000000000004</v>
      </c>
      <c r="F587" s="11">
        <f>7.6477 * CHOOSE(CONTROL!$C$32, $C$9, 100%, $E$9)</f>
        <v>7.6477000000000004</v>
      </c>
      <c r="G587" s="11">
        <f>7.6509 * CHOOSE(CONTROL!$C$32, $C$9, 100%, $E$9)</f>
        <v>7.6509</v>
      </c>
      <c r="H587" s="11">
        <f>19.0007 * CHOOSE(CONTROL!$C$32, $C$9, 100%, $E$9)</f>
        <v>19.000699999999998</v>
      </c>
      <c r="I587" s="11">
        <f>19.004 * CHOOSE(CONTROL!$C$32, $C$9, 100%, $E$9)</f>
        <v>19.004000000000001</v>
      </c>
      <c r="J587" s="11">
        <f>19.0007 * CHOOSE(CONTROL!$C$32, $C$9, 100%, $E$9)</f>
        <v>19.000699999999998</v>
      </c>
      <c r="K587" s="11">
        <f>19.004 * CHOOSE(CONTROL!$C$32, $C$9, 100%, $E$9)</f>
        <v>19.004000000000001</v>
      </c>
      <c r="L587" s="11">
        <f>7.6477 * CHOOSE(CONTROL!$C$32, $C$9, 100%, $E$9)</f>
        <v>7.6477000000000004</v>
      </c>
      <c r="M587" s="11">
        <f>7.6509 * CHOOSE(CONTROL!$C$32, $C$9, 100%, $E$9)</f>
        <v>7.6509</v>
      </c>
      <c r="N587" s="11">
        <f>7.6477 * CHOOSE(CONTROL!$C$32, $C$9, 100%, $E$9)</f>
        <v>7.6477000000000004</v>
      </c>
      <c r="O587" s="11">
        <f>7.6509 * CHOOSE(CONTROL!$C$32, $C$9, 100%, $E$9)</f>
        <v>7.6509</v>
      </c>
    </row>
    <row r="588" spans="1:15" ht="15" x14ac:dyDescent="0.2">
      <c r="A588" s="13">
        <v>58746</v>
      </c>
      <c r="B588" s="9">
        <f>8.3826 * CHOOSE(CONTROL!$C$32, $C$9, 100%, $E$9)</f>
        <v>8.3826000000000001</v>
      </c>
      <c r="C588" s="9">
        <f>8.3826 * CHOOSE(CONTROL!$C$32, $C$9, 100%, $E$9)</f>
        <v>8.3826000000000001</v>
      </c>
      <c r="D588" s="9">
        <f>8.3835 * CHOOSE(CONTROL!$C$32, $C$9, 100%, $E$9)</f>
        <v>8.3834999999999997</v>
      </c>
      <c r="E588" s="11">
        <f>7.6959 * CHOOSE(CONTROL!$C$32, $C$9, 100%, $E$9)</f>
        <v>7.6959</v>
      </c>
      <c r="F588" s="11">
        <f>7.6959 * CHOOSE(CONTROL!$C$32, $C$9, 100%, $E$9)</f>
        <v>7.6959</v>
      </c>
      <c r="G588" s="11">
        <f>7.6992 * CHOOSE(CONTROL!$C$32, $C$9, 100%, $E$9)</f>
        <v>7.6992000000000003</v>
      </c>
      <c r="H588" s="11">
        <f>19.0403 * CHOOSE(CONTROL!$C$32, $C$9, 100%, $E$9)</f>
        <v>19.040299999999998</v>
      </c>
      <c r="I588" s="11">
        <f>19.0436 * CHOOSE(CONTROL!$C$32, $C$9, 100%, $E$9)</f>
        <v>19.043600000000001</v>
      </c>
      <c r="J588" s="11">
        <f>19.0403 * CHOOSE(CONTROL!$C$32, $C$9, 100%, $E$9)</f>
        <v>19.040299999999998</v>
      </c>
      <c r="K588" s="11">
        <f>19.0436 * CHOOSE(CONTROL!$C$32, $C$9, 100%, $E$9)</f>
        <v>19.043600000000001</v>
      </c>
      <c r="L588" s="11">
        <f>7.6959 * CHOOSE(CONTROL!$C$32, $C$9, 100%, $E$9)</f>
        <v>7.6959</v>
      </c>
      <c r="M588" s="11">
        <f>7.6992 * CHOOSE(CONTROL!$C$32, $C$9, 100%, $E$9)</f>
        <v>7.6992000000000003</v>
      </c>
      <c r="N588" s="11">
        <f>7.6959 * CHOOSE(CONTROL!$C$32, $C$9, 100%, $E$9)</f>
        <v>7.6959</v>
      </c>
      <c r="O588" s="11">
        <f>7.6992 * CHOOSE(CONTROL!$C$32, $C$9, 100%, $E$9)</f>
        <v>7.6992000000000003</v>
      </c>
    </row>
    <row r="589" spans="1:15" ht="15" x14ac:dyDescent="0.2">
      <c r="A589" s="13">
        <v>58776</v>
      </c>
      <c r="B589" s="9">
        <f>8.3826 * CHOOSE(CONTROL!$C$32, $C$9, 100%, $E$9)</f>
        <v>8.3826000000000001</v>
      </c>
      <c r="C589" s="9">
        <f>8.3826 * CHOOSE(CONTROL!$C$32, $C$9, 100%, $E$9)</f>
        <v>8.3826000000000001</v>
      </c>
      <c r="D589" s="9">
        <f>8.3835 * CHOOSE(CONTROL!$C$32, $C$9, 100%, $E$9)</f>
        <v>8.3834999999999997</v>
      </c>
      <c r="E589" s="11">
        <f>7.5806 * CHOOSE(CONTROL!$C$32, $C$9, 100%, $E$9)</f>
        <v>7.5805999999999996</v>
      </c>
      <c r="F589" s="11">
        <f>7.5806 * CHOOSE(CONTROL!$C$32, $C$9, 100%, $E$9)</f>
        <v>7.5805999999999996</v>
      </c>
      <c r="G589" s="11">
        <f>7.5838 * CHOOSE(CONTROL!$C$32, $C$9, 100%, $E$9)</f>
        <v>7.5838000000000001</v>
      </c>
      <c r="H589" s="11">
        <f>19.08 * CHOOSE(CONTROL!$C$32, $C$9, 100%, $E$9)</f>
        <v>19.079999999999998</v>
      </c>
      <c r="I589" s="11">
        <f>19.0832 * CHOOSE(CONTROL!$C$32, $C$9, 100%, $E$9)</f>
        <v>19.083200000000001</v>
      </c>
      <c r="J589" s="11">
        <f>19.08 * CHOOSE(CONTROL!$C$32, $C$9, 100%, $E$9)</f>
        <v>19.079999999999998</v>
      </c>
      <c r="K589" s="11">
        <f>19.0832 * CHOOSE(CONTROL!$C$32, $C$9, 100%, $E$9)</f>
        <v>19.083200000000001</v>
      </c>
      <c r="L589" s="11">
        <f>7.5806 * CHOOSE(CONTROL!$C$32, $C$9, 100%, $E$9)</f>
        <v>7.5805999999999996</v>
      </c>
      <c r="M589" s="11">
        <f>7.5838 * CHOOSE(CONTROL!$C$32, $C$9, 100%, $E$9)</f>
        <v>7.5838000000000001</v>
      </c>
      <c r="N589" s="11">
        <f>7.5806 * CHOOSE(CONTROL!$C$32, $C$9, 100%, $E$9)</f>
        <v>7.5805999999999996</v>
      </c>
      <c r="O589" s="11">
        <f>7.5838 * CHOOSE(CONTROL!$C$32, $C$9, 100%, $E$9)</f>
        <v>7.5838000000000001</v>
      </c>
    </row>
    <row r="590" spans="1:15" ht="15" x14ac:dyDescent="0.2">
      <c r="A590" s="13">
        <v>58807</v>
      </c>
      <c r="B590" s="9">
        <f>8.4448 * CHOOSE(CONTROL!$C$32, $C$9, 100%, $E$9)</f>
        <v>8.4448000000000008</v>
      </c>
      <c r="C590" s="9">
        <f>8.4448 * CHOOSE(CONTROL!$C$32, $C$9, 100%, $E$9)</f>
        <v>8.4448000000000008</v>
      </c>
      <c r="D590" s="9">
        <f>8.4458 * CHOOSE(CONTROL!$C$32, $C$9, 100%, $E$9)</f>
        <v>8.4458000000000002</v>
      </c>
      <c r="E590" s="11">
        <f>7.7053 * CHOOSE(CONTROL!$C$32, $C$9, 100%, $E$9)</f>
        <v>7.7053000000000003</v>
      </c>
      <c r="F590" s="11">
        <f>7.7053 * CHOOSE(CONTROL!$C$32, $C$9, 100%, $E$9)</f>
        <v>7.7053000000000003</v>
      </c>
      <c r="G590" s="11">
        <f>7.7085 * CHOOSE(CONTROL!$C$32, $C$9, 100%, $E$9)</f>
        <v>7.7084999999999999</v>
      </c>
      <c r="H590" s="11">
        <f>19.1197 * CHOOSE(CONTROL!$C$32, $C$9, 100%, $E$9)</f>
        <v>19.119700000000002</v>
      </c>
      <c r="I590" s="11">
        <f>19.123 * CHOOSE(CONTROL!$C$32, $C$9, 100%, $E$9)</f>
        <v>19.123000000000001</v>
      </c>
      <c r="J590" s="11">
        <f>19.1197 * CHOOSE(CONTROL!$C$32, $C$9, 100%, $E$9)</f>
        <v>19.119700000000002</v>
      </c>
      <c r="K590" s="11">
        <f>19.123 * CHOOSE(CONTROL!$C$32, $C$9, 100%, $E$9)</f>
        <v>19.123000000000001</v>
      </c>
      <c r="L590" s="11">
        <f>7.7053 * CHOOSE(CONTROL!$C$32, $C$9, 100%, $E$9)</f>
        <v>7.7053000000000003</v>
      </c>
      <c r="M590" s="11">
        <f>7.7085 * CHOOSE(CONTROL!$C$32, $C$9, 100%, $E$9)</f>
        <v>7.7084999999999999</v>
      </c>
      <c r="N590" s="11">
        <f>7.7053 * CHOOSE(CONTROL!$C$32, $C$9, 100%, $E$9)</f>
        <v>7.7053000000000003</v>
      </c>
      <c r="O590" s="11">
        <f>7.7085 * CHOOSE(CONTROL!$C$32, $C$9, 100%, $E$9)</f>
        <v>7.7084999999999999</v>
      </c>
    </row>
    <row r="591" spans="1:15" ht="15" x14ac:dyDescent="0.2">
      <c r="A591" s="13">
        <v>58838</v>
      </c>
      <c r="B591" s="9">
        <f>8.4418 * CHOOSE(CONTROL!$C$32, $C$9, 100%, $E$9)</f>
        <v>8.4418000000000006</v>
      </c>
      <c r="C591" s="9">
        <f>8.4418 * CHOOSE(CONTROL!$C$32, $C$9, 100%, $E$9)</f>
        <v>8.4418000000000006</v>
      </c>
      <c r="D591" s="9">
        <f>8.4428 * CHOOSE(CONTROL!$C$32, $C$9, 100%, $E$9)</f>
        <v>8.4428000000000001</v>
      </c>
      <c r="E591" s="11">
        <f>7.478 * CHOOSE(CONTROL!$C$32, $C$9, 100%, $E$9)</f>
        <v>7.4779999999999998</v>
      </c>
      <c r="F591" s="11">
        <f>7.478 * CHOOSE(CONTROL!$C$32, $C$9, 100%, $E$9)</f>
        <v>7.4779999999999998</v>
      </c>
      <c r="G591" s="11">
        <f>7.4812 * CHOOSE(CONTROL!$C$32, $C$9, 100%, $E$9)</f>
        <v>7.4812000000000003</v>
      </c>
      <c r="H591" s="11">
        <f>19.1596 * CHOOSE(CONTROL!$C$32, $C$9, 100%, $E$9)</f>
        <v>19.159600000000001</v>
      </c>
      <c r="I591" s="11">
        <f>19.1628 * CHOOSE(CONTROL!$C$32, $C$9, 100%, $E$9)</f>
        <v>19.162800000000001</v>
      </c>
      <c r="J591" s="11">
        <f>19.1596 * CHOOSE(CONTROL!$C$32, $C$9, 100%, $E$9)</f>
        <v>19.159600000000001</v>
      </c>
      <c r="K591" s="11">
        <f>19.1628 * CHOOSE(CONTROL!$C$32, $C$9, 100%, $E$9)</f>
        <v>19.162800000000001</v>
      </c>
      <c r="L591" s="11">
        <f>7.478 * CHOOSE(CONTROL!$C$32, $C$9, 100%, $E$9)</f>
        <v>7.4779999999999998</v>
      </c>
      <c r="M591" s="11">
        <f>7.4812 * CHOOSE(CONTROL!$C$32, $C$9, 100%, $E$9)</f>
        <v>7.4812000000000003</v>
      </c>
      <c r="N591" s="11">
        <f>7.478 * CHOOSE(CONTROL!$C$32, $C$9, 100%, $E$9)</f>
        <v>7.4779999999999998</v>
      </c>
      <c r="O591" s="11">
        <f>7.4812 * CHOOSE(CONTROL!$C$32, $C$9, 100%, $E$9)</f>
        <v>7.4812000000000003</v>
      </c>
    </row>
    <row r="592" spans="1:15" ht="15" x14ac:dyDescent="0.2">
      <c r="A592" s="13">
        <v>58866</v>
      </c>
      <c r="B592" s="9">
        <f>8.4388 * CHOOSE(CONTROL!$C$32, $C$9, 100%, $E$9)</f>
        <v>8.4388000000000005</v>
      </c>
      <c r="C592" s="9">
        <f>8.4388 * CHOOSE(CONTROL!$C$32, $C$9, 100%, $E$9)</f>
        <v>8.4388000000000005</v>
      </c>
      <c r="D592" s="9">
        <f>8.4397 * CHOOSE(CONTROL!$C$32, $C$9, 100%, $E$9)</f>
        <v>8.4397000000000002</v>
      </c>
      <c r="E592" s="11">
        <f>7.6534 * CHOOSE(CONTROL!$C$32, $C$9, 100%, $E$9)</f>
        <v>7.6534000000000004</v>
      </c>
      <c r="F592" s="11">
        <f>7.6534 * CHOOSE(CONTROL!$C$32, $C$9, 100%, $E$9)</f>
        <v>7.6534000000000004</v>
      </c>
      <c r="G592" s="11">
        <f>7.6566 * CHOOSE(CONTROL!$C$32, $C$9, 100%, $E$9)</f>
        <v>7.6566000000000001</v>
      </c>
      <c r="H592" s="11">
        <f>19.1995 * CHOOSE(CONTROL!$C$32, $C$9, 100%, $E$9)</f>
        <v>19.1995</v>
      </c>
      <c r="I592" s="11">
        <f>19.2027 * CHOOSE(CONTROL!$C$32, $C$9, 100%, $E$9)</f>
        <v>19.2027</v>
      </c>
      <c r="J592" s="11">
        <f>19.1995 * CHOOSE(CONTROL!$C$32, $C$9, 100%, $E$9)</f>
        <v>19.1995</v>
      </c>
      <c r="K592" s="11">
        <f>19.2027 * CHOOSE(CONTROL!$C$32, $C$9, 100%, $E$9)</f>
        <v>19.2027</v>
      </c>
      <c r="L592" s="11">
        <f>7.6534 * CHOOSE(CONTROL!$C$32, $C$9, 100%, $E$9)</f>
        <v>7.6534000000000004</v>
      </c>
      <c r="M592" s="11">
        <f>7.6566 * CHOOSE(CONTROL!$C$32, $C$9, 100%, $E$9)</f>
        <v>7.6566000000000001</v>
      </c>
      <c r="N592" s="11">
        <f>7.6534 * CHOOSE(CONTROL!$C$32, $C$9, 100%, $E$9)</f>
        <v>7.6534000000000004</v>
      </c>
      <c r="O592" s="11">
        <f>7.6566 * CHOOSE(CONTROL!$C$32, $C$9, 100%, $E$9)</f>
        <v>7.6566000000000001</v>
      </c>
    </row>
    <row r="593" spans="1:15" ht="15" x14ac:dyDescent="0.2">
      <c r="A593" s="13">
        <v>58897</v>
      </c>
      <c r="B593" s="9">
        <f>8.4407 * CHOOSE(CONTROL!$C$32, $C$9, 100%, $E$9)</f>
        <v>8.4406999999999996</v>
      </c>
      <c r="C593" s="9">
        <f>8.4407 * CHOOSE(CONTROL!$C$32, $C$9, 100%, $E$9)</f>
        <v>8.4406999999999996</v>
      </c>
      <c r="D593" s="9">
        <f>8.4417 * CHOOSE(CONTROL!$C$32, $C$9, 100%, $E$9)</f>
        <v>8.4417000000000009</v>
      </c>
      <c r="E593" s="11">
        <f>7.8398 * CHOOSE(CONTROL!$C$32, $C$9, 100%, $E$9)</f>
        <v>7.8398000000000003</v>
      </c>
      <c r="F593" s="11">
        <f>7.8398 * CHOOSE(CONTROL!$C$32, $C$9, 100%, $E$9)</f>
        <v>7.8398000000000003</v>
      </c>
      <c r="G593" s="11">
        <f>7.843 * CHOOSE(CONTROL!$C$32, $C$9, 100%, $E$9)</f>
        <v>7.843</v>
      </c>
      <c r="H593" s="11">
        <f>19.2395 * CHOOSE(CONTROL!$C$32, $C$9, 100%, $E$9)</f>
        <v>19.2395</v>
      </c>
      <c r="I593" s="11">
        <f>19.2427 * CHOOSE(CONTROL!$C$32, $C$9, 100%, $E$9)</f>
        <v>19.242699999999999</v>
      </c>
      <c r="J593" s="11">
        <f>19.2395 * CHOOSE(CONTROL!$C$32, $C$9, 100%, $E$9)</f>
        <v>19.2395</v>
      </c>
      <c r="K593" s="11">
        <f>19.2427 * CHOOSE(CONTROL!$C$32, $C$9, 100%, $E$9)</f>
        <v>19.242699999999999</v>
      </c>
      <c r="L593" s="11">
        <f>7.8398 * CHOOSE(CONTROL!$C$32, $C$9, 100%, $E$9)</f>
        <v>7.8398000000000003</v>
      </c>
      <c r="M593" s="11">
        <f>7.843 * CHOOSE(CONTROL!$C$32, $C$9, 100%, $E$9)</f>
        <v>7.843</v>
      </c>
      <c r="N593" s="11">
        <f>7.8398 * CHOOSE(CONTROL!$C$32, $C$9, 100%, $E$9)</f>
        <v>7.8398000000000003</v>
      </c>
      <c r="O593" s="11">
        <f>7.843 * CHOOSE(CONTROL!$C$32, $C$9, 100%, $E$9)</f>
        <v>7.843</v>
      </c>
    </row>
    <row r="594" spans="1:15" ht="15" x14ac:dyDescent="0.2">
      <c r="A594" s="13">
        <v>58927</v>
      </c>
      <c r="B594" s="9">
        <f>8.4407 * CHOOSE(CONTROL!$C$32, $C$9, 100%, $E$9)</f>
        <v>8.4406999999999996</v>
      </c>
      <c r="C594" s="9">
        <f>8.4407 * CHOOSE(CONTROL!$C$32, $C$9, 100%, $E$9)</f>
        <v>8.4406999999999996</v>
      </c>
      <c r="D594" s="9">
        <f>8.442 * CHOOSE(CONTROL!$C$32, $C$9, 100%, $E$9)</f>
        <v>8.4420000000000002</v>
      </c>
      <c r="E594" s="11">
        <f>7.9112 * CHOOSE(CONTROL!$C$32, $C$9, 100%, $E$9)</f>
        <v>7.9112</v>
      </c>
      <c r="F594" s="11">
        <f>7.9112 * CHOOSE(CONTROL!$C$32, $C$9, 100%, $E$9)</f>
        <v>7.9112</v>
      </c>
      <c r="G594" s="11">
        <f>7.9154 * CHOOSE(CONTROL!$C$32, $C$9, 100%, $E$9)</f>
        <v>7.9154</v>
      </c>
      <c r="H594" s="11">
        <f>19.2796 * CHOOSE(CONTROL!$C$32, $C$9, 100%, $E$9)</f>
        <v>19.279599999999999</v>
      </c>
      <c r="I594" s="11">
        <f>19.2838 * CHOOSE(CONTROL!$C$32, $C$9, 100%, $E$9)</f>
        <v>19.283799999999999</v>
      </c>
      <c r="J594" s="11">
        <f>19.2796 * CHOOSE(CONTROL!$C$32, $C$9, 100%, $E$9)</f>
        <v>19.279599999999999</v>
      </c>
      <c r="K594" s="11">
        <f>19.2838 * CHOOSE(CONTROL!$C$32, $C$9, 100%, $E$9)</f>
        <v>19.283799999999999</v>
      </c>
      <c r="L594" s="11">
        <f>7.9112 * CHOOSE(CONTROL!$C$32, $C$9, 100%, $E$9)</f>
        <v>7.9112</v>
      </c>
      <c r="M594" s="11">
        <f>7.9154 * CHOOSE(CONTROL!$C$32, $C$9, 100%, $E$9)</f>
        <v>7.9154</v>
      </c>
      <c r="N594" s="11">
        <f>7.9112 * CHOOSE(CONTROL!$C$32, $C$9, 100%, $E$9)</f>
        <v>7.9112</v>
      </c>
      <c r="O594" s="11">
        <f>7.9154 * CHOOSE(CONTROL!$C$32, $C$9, 100%, $E$9)</f>
        <v>7.9154</v>
      </c>
    </row>
    <row r="595" spans="1:15" ht="15" x14ac:dyDescent="0.2">
      <c r="A595" s="13">
        <v>58958</v>
      </c>
      <c r="B595" s="9">
        <f>8.4468 * CHOOSE(CONTROL!$C$32, $C$9, 100%, $E$9)</f>
        <v>8.4467999999999996</v>
      </c>
      <c r="C595" s="9">
        <f>8.4468 * CHOOSE(CONTROL!$C$32, $C$9, 100%, $E$9)</f>
        <v>8.4467999999999996</v>
      </c>
      <c r="D595" s="9">
        <f>8.448 * CHOOSE(CONTROL!$C$32, $C$9, 100%, $E$9)</f>
        <v>8.4480000000000004</v>
      </c>
      <c r="E595" s="11">
        <f>7.844 * CHOOSE(CONTROL!$C$32, $C$9, 100%, $E$9)</f>
        <v>7.8440000000000003</v>
      </c>
      <c r="F595" s="11">
        <f>7.844 * CHOOSE(CONTROL!$C$32, $C$9, 100%, $E$9)</f>
        <v>7.8440000000000003</v>
      </c>
      <c r="G595" s="11">
        <f>7.8482 * CHOOSE(CONTROL!$C$32, $C$9, 100%, $E$9)</f>
        <v>7.8482000000000003</v>
      </c>
      <c r="H595" s="11">
        <f>19.3197 * CHOOSE(CONTROL!$C$32, $C$9, 100%, $E$9)</f>
        <v>19.319700000000001</v>
      </c>
      <c r="I595" s="11">
        <f>19.3239 * CHOOSE(CONTROL!$C$32, $C$9, 100%, $E$9)</f>
        <v>19.323899999999998</v>
      </c>
      <c r="J595" s="11">
        <f>19.3197 * CHOOSE(CONTROL!$C$32, $C$9, 100%, $E$9)</f>
        <v>19.319700000000001</v>
      </c>
      <c r="K595" s="11">
        <f>19.3239 * CHOOSE(CONTROL!$C$32, $C$9, 100%, $E$9)</f>
        <v>19.323899999999998</v>
      </c>
      <c r="L595" s="11">
        <f>7.844 * CHOOSE(CONTROL!$C$32, $C$9, 100%, $E$9)</f>
        <v>7.8440000000000003</v>
      </c>
      <c r="M595" s="11">
        <f>7.8482 * CHOOSE(CONTROL!$C$32, $C$9, 100%, $E$9)</f>
        <v>7.8482000000000003</v>
      </c>
      <c r="N595" s="11">
        <f>7.844 * CHOOSE(CONTROL!$C$32, $C$9, 100%, $E$9)</f>
        <v>7.8440000000000003</v>
      </c>
      <c r="O595" s="11">
        <f>7.8482 * CHOOSE(CONTROL!$C$32, $C$9, 100%, $E$9)</f>
        <v>7.8482000000000003</v>
      </c>
    </row>
    <row r="596" spans="1:15" ht="15" x14ac:dyDescent="0.2">
      <c r="A596" s="13">
        <v>58988</v>
      </c>
      <c r="B596" s="9">
        <f>8.5541 * CHOOSE(CONTROL!$C$32, $C$9, 100%, $E$9)</f>
        <v>8.5541</v>
      </c>
      <c r="C596" s="9">
        <f>8.5541 * CHOOSE(CONTROL!$C$32, $C$9, 100%, $E$9)</f>
        <v>8.5541</v>
      </c>
      <c r="D596" s="9">
        <f>8.5554 * CHOOSE(CONTROL!$C$32, $C$9, 100%, $E$9)</f>
        <v>8.5554000000000006</v>
      </c>
      <c r="E596" s="11">
        <f>7.8799 * CHOOSE(CONTROL!$C$32, $C$9, 100%, $E$9)</f>
        <v>7.8799000000000001</v>
      </c>
      <c r="F596" s="11">
        <f>7.8799 * CHOOSE(CONTROL!$C$32, $C$9, 100%, $E$9)</f>
        <v>7.8799000000000001</v>
      </c>
      <c r="G596" s="11">
        <f>7.8841 * CHOOSE(CONTROL!$C$32, $C$9, 100%, $E$9)</f>
        <v>7.8841000000000001</v>
      </c>
      <c r="H596" s="11">
        <f>19.36 * CHOOSE(CONTROL!$C$32, $C$9, 100%, $E$9)</f>
        <v>19.36</v>
      </c>
      <c r="I596" s="11">
        <f>19.3642 * CHOOSE(CONTROL!$C$32, $C$9, 100%, $E$9)</f>
        <v>19.3642</v>
      </c>
      <c r="J596" s="11">
        <f>19.36 * CHOOSE(CONTROL!$C$32, $C$9, 100%, $E$9)</f>
        <v>19.36</v>
      </c>
      <c r="K596" s="11">
        <f>19.3642 * CHOOSE(CONTROL!$C$32, $C$9, 100%, $E$9)</f>
        <v>19.3642</v>
      </c>
      <c r="L596" s="11">
        <f>7.8799 * CHOOSE(CONTROL!$C$32, $C$9, 100%, $E$9)</f>
        <v>7.8799000000000001</v>
      </c>
      <c r="M596" s="11">
        <f>7.8841 * CHOOSE(CONTROL!$C$32, $C$9, 100%, $E$9)</f>
        <v>7.8841000000000001</v>
      </c>
      <c r="N596" s="11">
        <f>7.8799 * CHOOSE(CONTROL!$C$32, $C$9, 100%, $E$9)</f>
        <v>7.8799000000000001</v>
      </c>
      <c r="O596" s="11">
        <f>7.8841 * CHOOSE(CONTROL!$C$32, $C$9, 100%, $E$9)</f>
        <v>7.8841000000000001</v>
      </c>
    </row>
    <row r="597" spans="1:15" ht="15" x14ac:dyDescent="0.2">
      <c r="A597" s="13">
        <v>59019</v>
      </c>
      <c r="B597" s="9">
        <f>8.5608 * CHOOSE(CONTROL!$C$32, $C$9, 100%, $E$9)</f>
        <v>8.5608000000000004</v>
      </c>
      <c r="C597" s="9">
        <f>8.5608 * CHOOSE(CONTROL!$C$32, $C$9, 100%, $E$9)</f>
        <v>8.5608000000000004</v>
      </c>
      <c r="D597" s="9">
        <f>8.5621 * CHOOSE(CONTROL!$C$32, $C$9, 100%, $E$9)</f>
        <v>8.5620999999999992</v>
      </c>
      <c r="E597" s="11">
        <f>7.6701 * CHOOSE(CONTROL!$C$32, $C$9, 100%, $E$9)</f>
        <v>7.6700999999999997</v>
      </c>
      <c r="F597" s="11">
        <f>7.6701 * CHOOSE(CONTROL!$C$32, $C$9, 100%, $E$9)</f>
        <v>7.6700999999999997</v>
      </c>
      <c r="G597" s="11">
        <f>7.6743 * CHOOSE(CONTROL!$C$32, $C$9, 100%, $E$9)</f>
        <v>7.6742999999999997</v>
      </c>
      <c r="H597" s="11">
        <f>19.4003 * CHOOSE(CONTROL!$C$32, $C$9, 100%, $E$9)</f>
        <v>19.400300000000001</v>
      </c>
      <c r="I597" s="11">
        <f>19.4045 * CHOOSE(CONTROL!$C$32, $C$9, 100%, $E$9)</f>
        <v>19.404499999999999</v>
      </c>
      <c r="J597" s="11">
        <f>19.4003 * CHOOSE(CONTROL!$C$32, $C$9, 100%, $E$9)</f>
        <v>19.400300000000001</v>
      </c>
      <c r="K597" s="11">
        <f>19.4045 * CHOOSE(CONTROL!$C$32, $C$9, 100%, $E$9)</f>
        <v>19.404499999999999</v>
      </c>
      <c r="L597" s="11">
        <f>7.6701 * CHOOSE(CONTROL!$C$32, $C$9, 100%, $E$9)</f>
        <v>7.6700999999999997</v>
      </c>
      <c r="M597" s="11">
        <f>7.6743 * CHOOSE(CONTROL!$C$32, $C$9, 100%, $E$9)</f>
        <v>7.6742999999999997</v>
      </c>
      <c r="N597" s="11">
        <f>7.6701 * CHOOSE(CONTROL!$C$32, $C$9, 100%, $E$9)</f>
        <v>7.6700999999999997</v>
      </c>
      <c r="O597" s="11">
        <f>7.6743 * CHOOSE(CONTROL!$C$32, $C$9, 100%, $E$9)</f>
        <v>7.6742999999999997</v>
      </c>
    </row>
    <row r="598" spans="1:15" ht="15" x14ac:dyDescent="0.2">
      <c r="A598" s="13">
        <v>59050</v>
      </c>
      <c r="B598" s="9">
        <f>8.5578 * CHOOSE(CONTROL!$C$32, $C$9, 100%, $E$9)</f>
        <v>8.5578000000000003</v>
      </c>
      <c r="C598" s="9">
        <f>8.5578 * CHOOSE(CONTROL!$C$32, $C$9, 100%, $E$9)</f>
        <v>8.5578000000000003</v>
      </c>
      <c r="D598" s="9">
        <f>8.559 * CHOOSE(CONTROL!$C$32, $C$9, 100%, $E$9)</f>
        <v>8.5589999999999993</v>
      </c>
      <c r="E598" s="11">
        <f>7.6442 * CHOOSE(CONTROL!$C$32, $C$9, 100%, $E$9)</f>
        <v>7.6441999999999997</v>
      </c>
      <c r="F598" s="11">
        <f>7.6442 * CHOOSE(CONTROL!$C$32, $C$9, 100%, $E$9)</f>
        <v>7.6441999999999997</v>
      </c>
      <c r="G598" s="11">
        <f>7.6484 * CHOOSE(CONTROL!$C$32, $C$9, 100%, $E$9)</f>
        <v>7.6483999999999996</v>
      </c>
      <c r="H598" s="11">
        <f>19.4407 * CHOOSE(CONTROL!$C$32, $C$9, 100%, $E$9)</f>
        <v>19.4407</v>
      </c>
      <c r="I598" s="11">
        <f>19.4449 * CHOOSE(CONTROL!$C$32, $C$9, 100%, $E$9)</f>
        <v>19.444900000000001</v>
      </c>
      <c r="J598" s="11">
        <f>19.4407 * CHOOSE(CONTROL!$C$32, $C$9, 100%, $E$9)</f>
        <v>19.4407</v>
      </c>
      <c r="K598" s="11">
        <f>19.4449 * CHOOSE(CONTROL!$C$32, $C$9, 100%, $E$9)</f>
        <v>19.444900000000001</v>
      </c>
      <c r="L598" s="11">
        <f>7.6442 * CHOOSE(CONTROL!$C$32, $C$9, 100%, $E$9)</f>
        <v>7.6441999999999997</v>
      </c>
      <c r="M598" s="11">
        <f>7.6484 * CHOOSE(CONTROL!$C$32, $C$9, 100%, $E$9)</f>
        <v>7.6483999999999996</v>
      </c>
      <c r="N598" s="11">
        <f>7.6442 * CHOOSE(CONTROL!$C$32, $C$9, 100%, $E$9)</f>
        <v>7.6441999999999997</v>
      </c>
      <c r="O598" s="11">
        <f>7.6484 * CHOOSE(CONTROL!$C$32, $C$9, 100%, $E$9)</f>
        <v>7.6483999999999996</v>
      </c>
    </row>
    <row r="599" spans="1:15" ht="15" x14ac:dyDescent="0.2">
      <c r="A599" s="13">
        <v>59080</v>
      </c>
      <c r="B599" s="9">
        <f>8.5698 * CHOOSE(CONTROL!$C$32, $C$9, 100%, $E$9)</f>
        <v>8.5698000000000008</v>
      </c>
      <c r="C599" s="9">
        <f>8.5698 * CHOOSE(CONTROL!$C$32, $C$9, 100%, $E$9)</f>
        <v>8.5698000000000008</v>
      </c>
      <c r="D599" s="9">
        <f>8.5708 * CHOOSE(CONTROL!$C$32, $C$9, 100%, $E$9)</f>
        <v>8.5708000000000002</v>
      </c>
      <c r="E599" s="11">
        <f>7.7261 * CHOOSE(CONTROL!$C$32, $C$9, 100%, $E$9)</f>
        <v>7.7260999999999997</v>
      </c>
      <c r="F599" s="11">
        <f>7.7261 * CHOOSE(CONTROL!$C$32, $C$9, 100%, $E$9)</f>
        <v>7.7260999999999997</v>
      </c>
      <c r="G599" s="11">
        <f>7.7293 * CHOOSE(CONTROL!$C$32, $C$9, 100%, $E$9)</f>
        <v>7.7293000000000003</v>
      </c>
      <c r="H599" s="11">
        <f>19.4812 * CHOOSE(CONTROL!$C$32, $C$9, 100%, $E$9)</f>
        <v>19.481200000000001</v>
      </c>
      <c r="I599" s="11">
        <f>19.4845 * CHOOSE(CONTROL!$C$32, $C$9, 100%, $E$9)</f>
        <v>19.484500000000001</v>
      </c>
      <c r="J599" s="11">
        <f>19.4812 * CHOOSE(CONTROL!$C$32, $C$9, 100%, $E$9)</f>
        <v>19.481200000000001</v>
      </c>
      <c r="K599" s="11">
        <f>19.4845 * CHOOSE(CONTROL!$C$32, $C$9, 100%, $E$9)</f>
        <v>19.484500000000001</v>
      </c>
      <c r="L599" s="11">
        <f>7.7261 * CHOOSE(CONTROL!$C$32, $C$9, 100%, $E$9)</f>
        <v>7.7260999999999997</v>
      </c>
      <c r="M599" s="11">
        <f>7.7293 * CHOOSE(CONTROL!$C$32, $C$9, 100%, $E$9)</f>
        <v>7.7293000000000003</v>
      </c>
      <c r="N599" s="11">
        <f>7.7261 * CHOOSE(CONTROL!$C$32, $C$9, 100%, $E$9)</f>
        <v>7.7260999999999997</v>
      </c>
      <c r="O599" s="11">
        <f>7.7293 * CHOOSE(CONTROL!$C$32, $C$9, 100%, $E$9)</f>
        <v>7.7293000000000003</v>
      </c>
    </row>
    <row r="600" spans="1:15" ht="15" x14ac:dyDescent="0.2">
      <c r="A600" s="13">
        <v>59111</v>
      </c>
      <c r="B600" s="9">
        <f>8.5729 * CHOOSE(CONTROL!$C$32, $C$9, 100%, $E$9)</f>
        <v>8.5729000000000006</v>
      </c>
      <c r="C600" s="9">
        <f>8.5729 * CHOOSE(CONTROL!$C$32, $C$9, 100%, $E$9)</f>
        <v>8.5729000000000006</v>
      </c>
      <c r="D600" s="9">
        <f>8.5738 * CHOOSE(CONTROL!$C$32, $C$9, 100%, $E$9)</f>
        <v>8.5738000000000003</v>
      </c>
      <c r="E600" s="11">
        <f>7.7759 * CHOOSE(CONTROL!$C$32, $C$9, 100%, $E$9)</f>
        <v>7.7759</v>
      </c>
      <c r="F600" s="11">
        <f>7.7759 * CHOOSE(CONTROL!$C$32, $C$9, 100%, $E$9)</f>
        <v>7.7759</v>
      </c>
      <c r="G600" s="11">
        <f>7.7791 * CHOOSE(CONTROL!$C$32, $C$9, 100%, $E$9)</f>
        <v>7.7790999999999997</v>
      </c>
      <c r="H600" s="11">
        <f>19.5218 * CHOOSE(CONTROL!$C$32, $C$9, 100%, $E$9)</f>
        <v>19.521799999999999</v>
      </c>
      <c r="I600" s="11">
        <f>19.5251 * CHOOSE(CONTROL!$C$32, $C$9, 100%, $E$9)</f>
        <v>19.525099999999998</v>
      </c>
      <c r="J600" s="11">
        <f>19.5218 * CHOOSE(CONTROL!$C$32, $C$9, 100%, $E$9)</f>
        <v>19.521799999999999</v>
      </c>
      <c r="K600" s="11">
        <f>19.5251 * CHOOSE(CONTROL!$C$32, $C$9, 100%, $E$9)</f>
        <v>19.525099999999998</v>
      </c>
      <c r="L600" s="11">
        <f>7.7759 * CHOOSE(CONTROL!$C$32, $C$9, 100%, $E$9)</f>
        <v>7.7759</v>
      </c>
      <c r="M600" s="11">
        <f>7.7791 * CHOOSE(CONTROL!$C$32, $C$9, 100%, $E$9)</f>
        <v>7.7790999999999997</v>
      </c>
      <c r="N600" s="11">
        <f>7.7759 * CHOOSE(CONTROL!$C$32, $C$9, 100%, $E$9)</f>
        <v>7.7759</v>
      </c>
      <c r="O600" s="11">
        <f>7.7791 * CHOOSE(CONTROL!$C$32, $C$9, 100%, $E$9)</f>
        <v>7.7790999999999997</v>
      </c>
    </row>
    <row r="601" spans="1:15" ht="15" x14ac:dyDescent="0.2">
      <c r="A601" s="13">
        <v>59141</v>
      </c>
      <c r="B601" s="9">
        <f>8.5729 * CHOOSE(CONTROL!$C$32, $C$9, 100%, $E$9)</f>
        <v>8.5729000000000006</v>
      </c>
      <c r="C601" s="9">
        <f>8.5729 * CHOOSE(CONTROL!$C$32, $C$9, 100%, $E$9)</f>
        <v>8.5729000000000006</v>
      </c>
      <c r="D601" s="9">
        <f>8.5738 * CHOOSE(CONTROL!$C$32, $C$9, 100%, $E$9)</f>
        <v>8.5738000000000003</v>
      </c>
      <c r="E601" s="11">
        <f>7.6567 * CHOOSE(CONTROL!$C$32, $C$9, 100%, $E$9)</f>
        <v>7.6566999999999998</v>
      </c>
      <c r="F601" s="11">
        <f>7.6567 * CHOOSE(CONTROL!$C$32, $C$9, 100%, $E$9)</f>
        <v>7.6566999999999998</v>
      </c>
      <c r="G601" s="11">
        <f>7.6599 * CHOOSE(CONTROL!$C$32, $C$9, 100%, $E$9)</f>
        <v>7.6599000000000004</v>
      </c>
      <c r="H601" s="11">
        <f>19.5625 * CHOOSE(CONTROL!$C$32, $C$9, 100%, $E$9)</f>
        <v>19.5625</v>
      </c>
      <c r="I601" s="11">
        <f>19.5657 * CHOOSE(CONTROL!$C$32, $C$9, 100%, $E$9)</f>
        <v>19.5657</v>
      </c>
      <c r="J601" s="11">
        <f>19.5625 * CHOOSE(CONTROL!$C$32, $C$9, 100%, $E$9)</f>
        <v>19.5625</v>
      </c>
      <c r="K601" s="11">
        <f>19.5657 * CHOOSE(CONTROL!$C$32, $C$9, 100%, $E$9)</f>
        <v>19.5657</v>
      </c>
      <c r="L601" s="11">
        <f>7.6567 * CHOOSE(CONTROL!$C$32, $C$9, 100%, $E$9)</f>
        <v>7.6566999999999998</v>
      </c>
      <c r="M601" s="11">
        <f>7.6599 * CHOOSE(CONTROL!$C$32, $C$9, 100%, $E$9)</f>
        <v>7.6599000000000004</v>
      </c>
      <c r="N601" s="11">
        <f>7.6567 * CHOOSE(CONTROL!$C$32, $C$9, 100%, $E$9)</f>
        <v>7.6566999999999998</v>
      </c>
      <c r="O601" s="11">
        <f>7.6599 * CHOOSE(CONTROL!$C$32, $C$9, 100%, $E$9)</f>
        <v>7.6599000000000004</v>
      </c>
    </row>
    <row r="602" spans="1:15" ht="15" x14ac:dyDescent="0.2">
      <c r="A602" s="13">
        <v>59172</v>
      </c>
      <c r="B602" s="9">
        <f>8.6322 * CHOOSE(CONTROL!$C$32, $C$9, 100%, $E$9)</f>
        <v>8.6321999999999992</v>
      </c>
      <c r="C602" s="9">
        <f>8.6322 * CHOOSE(CONTROL!$C$32, $C$9, 100%, $E$9)</f>
        <v>8.6321999999999992</v>
      </c>
      <c r="D602" s="9">
        <f>8.6332 * CHOOSE(CONTROL!$C$32, $C$9, 100%, $E$9)</f>
        <v>8.6332000000000004</v>
      </c>
      <c r="E602" s="11">
        <f>7.7826 * CHOOSE(CONTROL!$C$32, $C$9, 100%, $E$9)</f>
        <v>7.7826000000000004</v>
      </c>
      <c r="F602" s="11">
        <f>7.7826 * CHOOSE(CONTROL!$C$32, $C$9, 100%, $E$9)</f>
        <v>7.7826000000000004</v>
      </c>
      <c r="G602" s="11">
        <f>7.7858 * CHOOSE(CONTROL!$C$32, $C$9, 100%, $E$9)</f>
        <v>7.7858000000000001</v>
      </c>
      <c r="H602" s="11">
        <f>19.5913 * CHOOSE(CONTROL!$C$32, $C$9, 100%, $E$9)</f>
        <v>19.5913</v>
      </c>
      <c r="I602" s="11">
        <f>19.5946 * CHOOSE(CONTROL!$C$32, $C$9, 100%, $E$9)</f>
        <v>19.5946</v>
      </c>
      <c r="J602" s="11">
        <f>19.5913 * CHOOSE(CONTROL!$C$32, $C$9, 100%, $E$9)</f>
        <v>19.5913</v>
      </c>
      <c r="K602" s="11">
        <f>19.5946 * CHOOSE(CONTROL!$C$32, $C$9, 100%, $E$9)</f>
        <v>19.5946</v>
      </c>
      <c r="L602" s="11">
        <f>7.7826 * CHOOSE(CONTROL!$C$32, $C$9, 100%, $E$9)</f>
        <v>7.7826000000000004</v>
      </c>
      <c r="M602" s="11">
        <f>7.7858 * CHOOSE(CONTROL!$C$32, $C$9, 100%, $E$9)</f>
        <v>7.7858000000000001</v>
      </c>
      <c r="N602" s="11">
        <f>7.7826 * CHOOSE(CONTROL!$C$32, $C$9, 100%, $E$9)</f>
        <v>7.7826000000000004</v>
      </c>
      <c r="O602" s="11">
        <f>7.7858 * CHOOSE(CONTROL!$C$32, $C$9, 100%, $E$9)</f>
        <v>7.7858000000000001</v>
      </c>
    </row>
    <row r="603" spans="1:15" ht="15" x14ac:dyDescent="0.2">
      <c r="A603" s="13">
        <v>59203</v>
      </c>
      <c r="B603" s="9">
        <f>8.6292 * CHOOSE(CONTROL!$C$32, $C$9, 100%, $E$9)</f>
        <v>8.6292000000000009</v>
      </c>
      <c r="C603" s="9">
        <f>8.6292 * CHOOSE(CONTROL!$C$32, $C$9, 100%, $E$9)</f>
        <v>8.6292000000000009</v>
      </c>
      <c r="D603" s="9">
        <f>8.6301 * CHOOSE(CONTROL!$C$32, $C$9, 100%, $E$9)</f>
        <v>8.6301000000000005</v>
      </c>
      <c r="E603" s="11">
        <f>7.5482 * CHOOSE(CONTROL!$C$32, $C$9, 100%, $E$9)</f>
        <v>7.5481999999999996</v>
      </c>
      <c r="F603" s="11">
        <f>7.5482 * CHOOSE(CONTROL!$C$32, $C$9, 100%, $E$9)</f>
        <v>7.5481999999999996</v>
      </c>
      <c r="G603" s="11">
        <f>7.5514 * CHOOSE(CONTROL!$C$32, $C$9, 100%, $E$9)</f>
        <v>7.5514000000000001</v>
      </c>
      <c r="H603" s="11">
        <f>19.6321 * CHOOSE(CONTROL!$C$32, $C$9, 100%, $E$9)</f>
        <v>19.632100000000001</v>
      </c>
      <c r="I603" s="11">
        <f>19.6354 * CHOOSE(CONTROL!$C$32, $C$9, 100%, $E$9)</f>
        <v>19.635400000000001</v>
      </c>
      <c r="J603" s="11">
        <f>19.6321 * CHOOSE(CONTROL!$C$32, $C$9, 100%, $E$9)</f>
        <v>19.632100000000001</v>
      </c>
      <c r="K603" s="11">
        <f>19.6354 * CHOOSE(CONTROL!$C$32, $C$9, 100%, $E$9)</f>
        <v>19.635400000000001</v>
      </c>
      <c r="L603" s="11">
        <f>7.5482 * CHOOSE(CONTROL!$C$32, $C$9, 100%, $E$9)</f>
        <v>7.5481999999999996</v>
      </c>
      <c r="M603" s="11">
        <f>7.5514 * CHOOSE(CONTROL!$C$32, $C$9, 100%, $E$9)</f>
        <v>7.5514000000000001</v>
      </c>
      <c r="N603" s="11">
        <f>7.5482 * CHOOSE(CONTROL!$C$32, $C$9, 100%, $E$9)</f>
        <v>7.5481999999999996</v>
      </c>
      <c r="O603" s="11">
        <f>7.5514 * CHOOSE(CONTROL!$C$32, $C$9, 100%, $E$9)</f>
        <v>7.5514000000000001</v>
      </c>
    </row>
    <row r="604" spans="1:15" ht="15" x14ac:dyDescent="0.2">
      <c r="A604" s="13">
        <v>59231</v>
      </c>
      <c r="B604" s="9">
        <f>8.6261 * CHOOSE(CONTROL!$C$32, $C$9, 100%, $E$9)</f>
        <v>8.6260999999999992</v>
      </c>
      <c r="C604" s="9">
        <f>8.6261 * CHOOSE(CONTROL!$C$32, $C$9, 100%, $E$9)</f>
        <v>8.6260999999999992</v>
      </c>
      <c r="D604" s="9">
        <f>8.6271 * CHOOSE(CONTROL!$C$32, $C$9, 100%, $E$9)</f>
        <v>8.6271000000000004</v>
      </c>
      <c r="E604" s="11">
        <f>7.7292 * CHOOSE(CONTROL!$C$32, $C$9, 100%, $E$9)</f>
        <v>7.7291999999999996</v>
      </c>
      <c r="F604" s="11">
        <f>7.7292 * CHOOSE(CONTROL!$C$32, $C$9, 100%, $E$9)</f>
        <v>7.7291999999999996</v>
      </c>
      <c r="G604" s="11">
        <f>7.7324 * CHOOSE(CONTROL!$C$32, $C$9, 100%, $E$9)</f>
        <v>7.7324000000000002</v>
      </c>
      <c r="H604" s="11">
        <f>19.673 * CHOOSE(CONTROL!$C$32, $C$9, 100%, $E$9)</f>
        <v>19.672999999999998</v>
      </c>
      <c r="I604" s="11">
        <f>19.6763 * CHOOSE(CONTROL!$C$32, $C$9, 100%, $E$9)</f>
        <v>19.676300000000001</v>
      </c>
      <c r="J604" s="11">
        <f>19.673 * CHOOSE(CONTROL!$C$32, $C$9, 100%, $E$9)</f>
        <v>19.672999999999998</v>
      </c>
      <c r="K604" s="11">
        <f>19.6763 * CHOOSE(CONTROL!$C$32, $C$9, 100%, $E$9)</f>
        <v>19.676300000000001</v>
      </c>
      <c r="L604" s="11">
        <f>7.7292 * CHOOSE(CONTROL!$C$32, $C$9, 100%, $E$9)</f>
        <v>7.7291999999999996</v>
      </c>
      <c r="M604" s="11">
        <f>7.7324 * CHOOSE(CONTROL!$C$32, $C$9, 100%, $E$9)</f>
        <v>7.7324000000000002</v>
      </c>
      <c r="N604" s="11">
        <f>7.7292 * CHOOSE(CONTROL!$C$32, $C$9, 100%, $E$9)</f>
        <v>7.7291999999999996</v>
      </c>
      <c r="O604" s="11">
        <f>7.7324 * CHOOSE(CONTROL!$C$32, $C$9, 100%, $E$9)</f>
        <v>7.7324000000000002</v>
      </c>
    </row>
    <row r="605" spans="1:15" ht="15" x14ac:dyDescent="0.2">
      <c r="A605" s="13">
        <v>59262</v>
      </c>
      <c r="B605" s="9">
        <f>8.6283 * CHOOSE(CONTROL!$C$32, $C$9, 100%, $E$9)</f>
        <v>8.6282999999999994</v>
      </c>
      <c r="C605" s="9">
        <f>8.6283 * CHOOSE(CONTROL!$C$32, $C$9, 100%, $E$9)</f>
        <v>8.6282999999999994</v>
      </c>
      <c r="D605" s="9">
        <f>8.6292 * CHOOSE(CONTROL!$C$32, $C$9, 100%, $E$9)</f>
        <v>8.6292000000000009</v>
      </c>
      <c r="E605" s="11">
        <f>7.9215 * CHOOSE(CONTROL!$C$32, $C$9, 100%, $E$9)</f>
        <v>7.9215</v>
      </c>
      <c r="F605" s="11">
        <f>7.9215 * CHOOSE(CONTROL!$C$32, $C$9, 100%, $E$9)</f>
        <v>7.9215</v>
      </c>
      <c r="G605" s="11">
        <f>7.9248 * CHOOSE(CONTROL!$C$32, $C$9, 100%, $E$9)</f>
        <v>7.9248000000000003</v>
      </c>
      <c r="H605" s="11">
        <f>19.714 * CHOOSE(CONTROL!$C$32, $C$9, 100%, $E$9)</f>
        <v>19.713999999999999</v>
      </c>
      <c r="I605" s="11">
        <f>19.7173 * CHOOSE(CONTROL!$C$32, $C$9, 100%, $E$9)</f>
        <v>19.717300000000002</v>
      </c>
      <c r="J605" s="11">
        <f>19.714 * CHOOSE(CONTROL!$C$32, $C$9, 100%, $E$9)</f>
        <v>19.713999999999999</v>
      </c>
      <c r="K605" s="11">
        <f>19.7173 * CHOOSE(CONTROL!$C$32, $C$9, 100%, $E$9)</f>
        <v>19.717300000000002</v>
      </c>
      <c r="L605" s="11">
        <f>7.9215 * CHOOSE(CONTROL!$C$32, $C$9, 100%, $E$9)</f>
        <v>7.9215</v>
      </c>
      <c r="M605" s="11">
        <f>7.9248 * CHOOSE(CONTROL!$C$32, $C$9, 100%, $E$9)</f>
        <v>7.9248000000000003</v>
      </c>
      <c r="N605" s="11">
        <f>7.9215 * CHOOSE(CONTROL!$C$32, $C$9, 100%, $E$9)</f>
        <v>7.9215</v>
      </c>
      <c r="O605" s="11">
        <f>7.9248 * CHOOSE(CONTROL!$C$32, $C$9, 100%, $E$9)</f>
        <v>7.9248000000000003</v>
      </c>
    </row>
    <row r="606" spans="1:15" ht="15" x14ac:dyDescent="0.2">
      <c r="A606" s="13">
        <v>59292</v>
      </c>
      <c r="B606" s="9">
        <f>8.6283 * CHOOSE(CONTROL!$C$32, $C$9, 100%, $E$9)</f>
        <v>8.6282999999999994</v>
      </c>
      <c r="C606" s="9">
        <f>8.6283 * CHOOSE(CONTROL!$C$32, $C$9, 100%, $E$9)</f>
        <v>8.6282999999999994</v>
      </c>
      <c r="D606" s="9">
        <f>8.6295 * CHOOSE(CONTROL!$C$32, $C$9, 100%, $E$9)</f>
        <v>8.6295000000000002</v>
      </c>
      <c r="E606" s="11">
        <f>7.9953 * CHOOSE(CONTROL!$C$32, $C$9, 100%, $E$9)</f>
        <v>7.9953000000000003</v>
      </c>
      <c r="F606" s="11">
        <f>7.9953 * CHOOSE(CONTROL!$C$32, $C$9, 100%, $E$9)</f>
        <v>7.9953000000000003</v>
      </c>
      <c r="G606" s="11">
        <f>7.9995 * CHOOSE(CONTROL!$C$32, $C$9, 100%, $E$9)</f>
        <v>7.9995000000000003</v>
      </c>
      <c r="H606" s="11">
        <f>19.7551 * CHOOSE(CONTROL!$C$32, $C$9, 100%, $E$9)</f>
        <v>19.755099999999999</v>
      </c>
      <c r="I606" s="11">
        <f>19.7593 * CHOOSE(CONTROL!$C$32, $C$9, 100%, $E$9)</f>
        <v>19.7593</v>
      </c>
      <c r="J606" s="11">
        <f>19.7551 * CHOOSE(CONTROL!$C$32, $C$9, 100%, $E$9)</f>
        <v>19.755099999999999</v>
      </c>
      <c r="K606" s="11">
        <f>19.7593 * CHOOSE(CONTROL!$C$32, $C$9, 100%, $E$9)</f>
        <v>19.7593</v>
      </c>
      <c r="L606" s="11">
        <f>7.9953 * CHOOSE(CONTROL!$C$32, $C$9, 100%, $E$9)</f>
        <v>7.9953000000000003</v>
      </c>
      <c r="M606" s="11">
        <f>7.9995 * CHOOSE(CONTROL!$C$32, $C$9, 100%, $E$9)</f>
        <v>7.9995000000000003</v>
      </c>
      <c r="N606" s="11">
        <f>7.9953 * CHOOSE(CONTROL!$C$32, $C$9, 100%, $E$9)</f>
        <v>7.9953000000000003</v>
      </c>
      <c r="O606" s="11">
        <f>7.9995 * CHOOSE(CONTROL!$C$32, $C$9, 100%, $E$9)</f>
        <v>7.9995000000000003</v>
      </c>
    </row>
    <row r="607" spans="1:15" ht="15" x14ac:dyDescent="0.2">
      <c r="A607" s="13">
        <v>59323</v>
      </c>
      <c r="B607" s="9">
        <f>8.6343 * CHOOSE(CONTROL!$C$32, $C$9, 100%, $E$9)</f>
        <v>8.6342999999999996</v>
      </c>
      <c r="C607" s="9">
        <f>8.6343 * CHOOSE(CONTROL!$C$32, $C$9, 100%, $E$9)</f>
        <v>8.6342999999999996</v>
      </c>
      <c r="D607" s="9">
        <f>8.6356 * CHOOSE(CONTROL!$C$32, $C$9, 100%, $E$9)</f>
        <v>8.6356000000000002</v>
      </c>
      <c r="E607" s="11">
        <f>7.9258 * CHOOSE(CONTROL!$C$32, $C$9, 100%, $E$9)</f>
        <v>7.9257999999999997</v>
      </c>
      <c r="F607" s="11">
        <f>7.9258 * CHOOSE(CONTROL!$C$32, $C$9, 100%, $E$9)</f>
        <v>7.9257999999999997</v>
      </c>
      <c r="G607" s="11">
        <f>7.93 * CHOOSE(CONTROL!$C$32, $C$9, 100%, $E$9)</f>
        <v>7.93</v>
      </c>
      <c r="H607" s="11">
        <f>19.7963 * CHOOSE(CONTROL!$C$32, $C$9, 100%, $E$9)</f>
        <v>19.796299999999999</v>
      </c>
      <c r="I607" s="11">
        <f>19.8005 * CHOOSE(CONTROL!$C$32, $C$9, 100%, $E$9)</f>
        <v>19.8005</v>
      </c>
      <c r="J607" s="11">
        <f>19.7963 * CHOOSE(CONTROL!$C$32, $C$9, 100%, $E$9)</f>
        <v>19.796299999999999</v>
      </c>
      <c r="K607" s="11">
        <f>19.8005 * CHOOSE(CONTROL!$C$32, $C$9, 100%, $E$9)</f>
        <v>19.8005</v>
      </c>
      <c r="L607" s="11">
        <f>7.9258 * CHOOSE(CONTROL!$C$32, $C$9, 100%, $E$9)</f>
        <v>7.9257999999999997</v>
      </c>
      <c r="M607" s="11">
        <f>7.93 * CHOOSE(CONTROL!$C$32, $C$9, 100%, $E$9)</f>
        <v>7.93</v>
      </c>
      <c r="N607" s="11">
        <f>7.9258 * CHOOSE(CONTROL!$C$32, $C$9, 100%, $E$9)</f>
        <v>7.9257999999999997</v>
      </c>
      <c r="O607" s="11">
        <f>7.93 * CHOOSE(CONTROL!$C$32, $C$9, 100%, $E$9)</f>
        <v>7.93</v>
      </c>
    </row>
    <row r="608" spans="1:15" ht="15" x14ac:dyDescent="0.2">
      <c r="A608" s="13">
        <v>59353</v>
      </c>
      <c r="B608" s="9">
        <f>8.7437 * CHOOSE(CONTROL!$C$32, $C$9, 100%, $E$9)</f>
        <v>8.7437000000000005</v>
      </c>
      <c r="C608" s="9">
        <f>8.7437 * CHOOSE(CONTROL!$C$32, $C$9, 100%, $E$9)</f>
        <v>8.7437000000000005</v>
      </c>
      <c r="D608" s="9">
        <f>8.745 * CHOOSE(CONTROL!$C$32, $C$9, 100%, $E$9)</f>
        <v>8.7449999999999992</v>
      </c>
      <c r="E608" s="11">
        <f>7.9628 * CHOOSE(CONTROL!$C$32, $C$9, 100%, $E$9)</f>
        <v>7.9627999999999997</v>
      </c>
      <c r="F608" s="11">
        <f>7.9628 * CHOOSE(CONTROL!$C$32, $C$9, 100%, $E$9)</f>
        <v>7.9627999999999997</v>
      </c>
      <c r="G608" s="11">
        <f>7.967 * CHOOSE(CONTROL!$C$32, $C$9, 100%, $E$9)</f>
        <v>7.9669999999999996</v>
      </c>
      <c r="H608" s="11">
        <f>19.8375 * CHOOSE(CONTROL!$C$32, $C$9, 100%, $E$9)</f>
        <v>19.837499999999999</v>
      </c>
      <c r="I608" s="11">
        <f>19.8417 * CHOOSE(CONTROL!$C$32, $C$9, 100%, $E$9)</f>
        <v>19.841699999999999</v>
      </c>
      <c r="J608" s="11">
        <f>19.8375 * CHOOSE(CONTROL!$C$32, $C$9, 100%, $E$9)</f>
        <v>19.837499999999999</v>
      </c>
      <c r="K608" s="11">
        <f>19.8417 * CHOOSE(CONTROL!$C$32, $C$9, 100%, $E$9)</f>
        <v>19.841699999999999</v>
      </c>
      <c r="L608" s="11">
        <f>7.9628 * CHOOSE(CONTROL!$C$32, $C$9, 100%, $E$9)</f>
        <v>7.9627999999999997</v>
      </c>
      <c r="M608" s="11">
        <f>7.967 * CHOOSE(CONTROL!$C$32, $C$9, 100%, $E$9)</f>
        <v>7.9669999999999996</v>
      </c>
      <c r="N608" s="11">
        <f>7.9628 * CHOOSE(CONTROL!$C$32, $C$9, 100%, $E$9)</f>
        <v>7.9627999999999997</v>
      </c>
      <c r="O608" s="11">
        <f>7.967 * CHOOSE(CONTROL!$C$32, $C$9, 100%, $E$9)</f>
        <v>7.9669999999999996</v>
      </c>
    </row>
    <row r="609" spans="1:15" ht="15" x14ac:dyDescent="0.2">
      <c r="A609" s="13">
        <v>59384</v>
      </c>
      <c r="B609" s="9">
        <f>8.7504 * CHOOSE(CONTROL!$C$32, $C$9, 100%, $E$9)</f>
        <v>8.7504000000000008</v>
      </c>
      <c r="C609" s="9">
        <f>8.7504 * CHOOSE(CONTROL!$C$32, $C$9, 100%, $E$9)</f>
        <v>8.7504000000000008</v>
      </c>
      <c r="D609" s="9">
        <f>8.7517 * CHOOSE(CONTROL!$C$32, $C$9, 100%, $E$9)</f>
        <v>8.7516999999999996</v>
      </c>
      <c r="E609" s="11">
        <f>7.7463 * CHOOSE(CONTROL!$C$32, $C$9, 100%, $E$9)</f>
        <v>7.7462999999999997</v>
      </c>
      <c r="F609" s="11">
        <f>7.7463 * CHOOSE(CONTROL!$C$32, $C$9, 100%, $E$9)</f>
        <v>7.7462999999999997</v>
      </c>
      <c r="G609" s="11">
        <f>7.7505 * CHOOSE(CONTROL!$C$32, $C$9, 100%, $E$9)</f>
        <v>7.7504999999999997</v>
      </c>
      <c r="H609" s="11">
        <f>19.8788 * CHOOSE(CONTROL!$C$32, $C$9, 100%, $E$9)</f>
        <v>19.878799999999998</v>
      </c>
      <c r="I609" s="11">
        <f>19.883 * CHOOSE(CONTROL!$C$32, $C$9, 100%, $E$9)</f>
        <v>19.882999999999999</v>
      </c>
      <c r="J609" s="11">
        <f>19.8788 * CHOOSE(CONTROL!$C$32, $C$9, 100%, $E$9)</f>
        <v>19.878799999999998</v>
      </c>
      <c r="K609" s="11">
        <f>19.883 * CHOOSE(CONTROL!$C$32, $C$9, 100%, $E$9)</f>
        <v>19.882999999999999</v>
      </c>
      <c r="L609" s="11">
        <f>7.7463 * CHOOSE(CONTROL!$C$32, $C$9, 100%, $E$9)</f>
        <v>7.7462999999999997</v>
      </c>
      <c r="M609" s="11">
        <f>7.7505 * CHOOSE(CONTROL!$C$32, $C$9, 100%, $E$9)</f>
        <v>7.7504999999999997</v>
      </c>
      <c r="N609" s="11">
        <f>7.7463 * CHOOSE(CONTROL!$C$32, $C$9, 100%, $E$9)</f>
        <v>7.7462999999999997</v>
      </c>
      <c r="O609" s="11">
        <f>7.7505 * CHOOSE(CONTROL!$C$32, $C$9, 100%, $E$9)</f>
        <v>7.7504999999999997</v>
      </c>
    </row>
    <row r="610" spans="1:15" ht="15" x14ac:dyDescent="0.2">
      <c r="A610" s="13">
        <v>59415</v>
      </c>
      <c r="B610" s="9">
        <f>8.7474 * CHOOSE(CONTROL!$C$32, $C$9, 100%, $E$9)</f>
        <v>8.7474000000000007</v>
      </c>
      <c r="C610" s="9">
        <f>8.7474 * CHOOSE(CONTROL!$C$32, $C$9, 100%, $E$9)</f>
        <v>8.7474000000000007</v>
      </c>
      <c r="D610" s="9">
        <f>8.7486 * CHOOSE(CONTROL!$C$32, $C$9, 100%, $E$9)</f>
        <v>8.7485999999999997</v>
      </c>
      <c r="E610" s="11">
        <f>7.7196 * CHOOSE(CONTROL!$C$32, $C$9, 100%, $E$9)</f>
        <v>7.7195999999999998</v>
      </c>
      <c r="F610" s="11">
        <f>7.7196 * CHOOSE(CONTROL!$C$32, $C$9, 100%, $E$9)</f>
        <v>7.7195999999999998</v>
      </c>
      <c r="G610" s="11">
        <f>7.7238 * CHOOSE(CONTROL!$C$32, $C$9, 100%, $E$9)</f>
        <v>7.7237999999999998</v>
      </c>
      <c r="H610" s="11">
        <f>19.9202 * CHOOSE(CONTROL!$C$32, $C$9, 100%, $E$9)</f>
        <v>19.920200000000001</v>
      </c>
      <c r="I610" s="11">
        <f>19.9244 * CHOOSE(CONTROL!$C$32, $C$9, 100%, $E$9)</f>
        <v>19.924399999999999</v>
      </c>
      <c r="J610" s="11">
        <f>19.9202 * CHOOSE(CONTROL!$C$32, $C$9, 100%, $E$9)</f>
        <v>19.920200000000001</v>
      </c>
      <c r="K610" s="11">
        <f>19.9244 * CHOOSE(CONTROL!$C$32, $C$9, 100%, $E$9)</f>
        <v>19.924399999999999</v>
      </c>
      <c r="L610" s="11">
        <f>7.7196 * CHOOSE(CONTROL!$C$32, $C$9, 100%, $E$9)</f>
        <v>7.7195999999999998</v>
      </c>
      <c r="M610" s="11">
        <f>7.7238 * CHOOSE(CONTROL!$C$32, $C$9, 100%, $E$9)</f>
        <v>7.7237999999999998</v>
      </c>
      <c r="N610" s="11">
        <f>7.7196 * CHOOSE(CONTROL!$C$32, $C$9, 100%, $E$9)</f>
        <v>7.7195999999999998</v>
      </c>
      <c r="O610" s="11">
        <f>7.7238 * CHOOSE(CONTROL!$C$32, $C$9, 100%, $E$9)</f>
        <v>7.7237999999999998</v>
      </c>
    </row>
    <row r="611" spans="1:15" ht="15" x14ac:dyDescent="0.2">
      <c r="A611" s="13">
        <v>59445</v>
      </c>
      <c r="B611" s="9">
        <f>8.7601 * CHOOSE(CONTROL!$C$32, $C$9, 100%, $E$9)</f>
        <v>8.7600999999999996</v>
      </c>
      <c r="C611" s="9">
        <f>8.7601 * CHOOSE(CONTROL!$C$32, $C$9, 100%, $E$9)</f>
        <v>8.7600999999999996</v>
      </c>
      <c r="D611" s="9">
        <f>8.7611 * CHOOSE(CONTROL!$C$32, $C$9, 100%, $E$9)</f>
        <v>8.7611000000000008</v>
      </c>
      <c r="E611" s="11">
        <f>7.8045 * CHOOSE(CONTROL!$C$32, $C$9, 100%, $E$9)</f>
        <v>7.8045</v>
      </c>
      <c r="F611" s="11">
        <f>7.8045 * CHOOSE(CONTROL!$C$32, $C$9, 100%, $E$9)</f>
        <v>7.8045</v>
      </c>
      <c r="G611" s="11">
        <f>7.8077 * CHOOSE(CONTROL!$C$32, $C$9, 100%, $E$9)</f>
        <v>7.8076999999999996</v>
      </c>
      <c r="H611" s="11">
        <f>19.9617 * CHOOSE(CONTROL!$C$32, $C$9, 100%, $E$9)</f>
        <v>19.9617</v>
      </c>
      <c r="I611" s="11">
        <f>19.965 * CHOOSE(CONTROL!$C$32, $C$9, 100%, $E$9)</f>
        <v>19.965</v>
      </c>
      <c r="J611" s="11">
        <f>19.9617 * CHOOSE(CONTROL!$C$32, $C$9, 100%, $E$9)</f>
        <v>19.9617</v>
      </c>
      <c r="K611" s="11">
        <f>19.965 * CHOOSE(CONTROL!$C$32, $C$9, 100%, $E$9)</f>
        <v>19.965</v>
      </c>
      <c r="L611" s="11">
        <f>7.8045 * CHOOSE(CONTROL!$C$32, $C$9, 100%, $E$9)</f>
        <v>7.8045</v>
      </c>
      <c r="M611" s="11">
        <f>7.8077 * CHOOSE(CONTROL!$C$32, $C$9, 100%, $E$9)</f>
        <v>7.8076999999999996</v>
      </c>
      <c r="N611" s="11">
        <f>7.8045 * CHOOSE(CONTROL!$C$32, $C$9, 100%, $E$9)</f>
        <v>7.8045</v>
      </c>
      <c r="O611" s="11">
        <f>7.8077 * CHOOSE(CONTROL!$C$32, $C$9, 100%, $E$9)</f>
        <v>7.8076999999999996</v>
      </c>
    </row>
    <row r="612" spans="1:15" ht="15" x14ac:dyDescent="0.2">
      <c r="A612" s="13">
        <v>59476</v>
      </c>
      <c r="B612" s="9">
        <f>8.7632 * CHOOSE(CONTROL!$C$32, $C$9, 100%, $E$9)</f>
        <v>8.7631999999999994</v>
      </c>
      <c r="C612" s="9">
        <f>8.7632 * CHOOSE(CONTROL!$C$32, $C$9, 100%, $E$9)</f>
        <v>8.7631999999999994</v>
      </c>
      <c r="D612" s="9">
        <f>8.7641 * CHOOSE(CONTROL!$C$32, $C$9, 100%, $E$9)</f>
        <v>8.7640999999999991</v>
      </c>
      <c r="E612" s="11">
        <f>7.8558 * CHOOSE(CONTROL!$C$32, $C$9, 100%, $E$9)</f>
        <v>7.8558000000000003</v>
      </c>
      <c r="F612" s="11">
        <f>7.8558 * CHOOSE(CONTROL!$C$32, $C$9, 100%, $E$9)</f>
        <v>7.8558000000000003</v>
      </c>
      <c r="G612" s="11">
        <f>7.859 * CHOOSE(CONTROL!$C$32, $C$9, 100%, $E$9)</f>
        <v>7.859</v>
      </c>
      <c r="H612" s="11">
        <f>20.0033 * CHOOSE(CONTROL!$C$32, $C$9, 100%, $E$9)</f>
        <v>20.003299999999999</v>
      </c>
      <c r="I612" s="11">
        <f>20.0066 * CHOOSE(CONTROL!$C$32, $C$9, 100%, $E$9)</f>
        <v>20.006599999999999</v>
      </c>
      <c r="J612" s="11">
        <f>20.0033 * CHOOSE(CONTROL!$C$32, $C$9, 100%, $E$9)</f>
        <v>20.003299999999999</v>
      </c>
      <c r="K612" s="11">
        <f>20.0066 * CHOOSE(CONTROL!$C$32, $C$9, 100%, $E$9)</f>
        <v>20.006599999999999</v>
      </c>
      <c r="L612" s="11">
        <f>7.8558 * CHOOSE(CONTROL!$C$32, $C$9, 100%, $E$9)</f>
        <v>7.8558000000000003</v>
      </c>
      <c r="M612" s="11">
        <f>7.859 * CHOOSE(CONTROL!$C$32, $C$9, 100%, $E$9)</f>
        <v>7.859</v>
      </c>
      <c r="N612" s="11">
        <f>7.8558 * CHOOSE(CONTROL!$C$32, $C$9, 100%, $E$9)</f>
        <v>7.8558000000000003</v>
      </c>
      <c r="O612" s="11">
        <f>7.859 * CHOOSE(CONTROL!$C$32, $C$9, 100%, $E$9)</f>
        <v>7.859</v>
      </c>
    </row>
    <row r="613" spans="1:15" ht="15" x14ac:dyDescent="0.2">
      <c r="A613" s="13">
        <v>59506</v>
      </c>
      <c r="B613" s="9">
        <f>8.7632 * CHOOSE(CONTROL!$C$32, $C$9, 100%, $E$9)</f>
        <v>8.7631999999999994</v>
      </c>
      <c r="C613" s="9">
        <f>8.7632 * CHOOSE(CONTROL!$C$32, $C$9, 100%, $E$9)</f>
        <v>8.7631999999999994</v>
      </c>
      <c r="D613" s="9">
        <f>8.7641 * CHOOSE(CONTROL!$C$32, $C$9, 100%, $E$9)</f>
        <v>8.7640999999999991</v>
      </c>
      <c r="E613" s="11">
        <f>7.7329 * CHOOSE(CONTROL!$C$32, $C$9, 100%, $E$9)</f>
        <v>7.7328999999999999</v>
      </c>
      <c r="F613" s="11">
        <f>7.7329 * CHOOSE(CONTROL!$C$32, $C$9, 100%, $E$9)</f>
        <v>7.7328999999999999</v>
      </c>
      <c r="G613" s="11">
        <f>7.7361 * CHOOSE(CONTROL!$C$32, $C$9, 100%, $E$9)</f>
        <v>7.7361000000000004</v>
      </c>
      <c r="H613" s="11">
        <f>20.045 * CHOOSE(CONTROL!$C$32, $C$9, 100%, $E$9)</f>
        <v>20.045000000000002</v>
      </c>
      <c r="I613" s="11">
        <f>20.0482 * CHOOSE(CONTROL!$C$32, $C$9, 100%, $E$9)</f>
        <v>20.048200000000001</v>
      </c>
      <c r="J613" s="11">
        <f>20.045 * CHOOSE(CONTROL!$C$32, $C$9, 100%, $E$9)</f>
        <v>20.045000000000002</v>
      </c>
      <c r="K613" s="11">
        <f>20.0482 * CHOOSE(CONTROL!$C$32, $C$9, 100%, $E$9)</f>
        <v>20.048200000000001</v>
      </c>
      <c r="L613" s="11">
        <f>7.7329 * CHOOSE(CONTROL!$C$32, $C$9, 100%, $E$9)</f>
        <v>7.7328999999999999</v>
      </c>
      <c r="M613" s="11">
        <f>7.7361 * CHOOSE(CONTROL!$C$32, $C$9, 100%, $E$9)</f>
        <v>7.7361000000000004</v>
      </c>
      <c r="N613" s="11">
        <f>7.7329 * CHOOSE(CONTROL!$C$32, $C$9, 100%, $E$9)</f>
        <v>7.7328999999999999</v>
      </c>
      <c r="O613" s="11">
        <f>7.7361 * CHOOSE(CONTROL!$C$32, $C$9, 100%, $E$9)</f>
        <v>7.7361000000000004</v>
      </c>
    </row>
    <row r="614" spans="1:15" ht="15" x14ac:dyDescent="0.2">
      <c r="A614" s="13">
        <v>59537</v>
      </c>
      <c r="B614" s="9">
        <f>8.8196 * CHOOSE(CONTROL!$C$32, $C$9, 100%, $E$9)</f>
        <v>8.8195999999999994</v>
      </c>
      <c r="C614" s="9">
        <f>8.8196 * CHOOSE(CONTROL!$C$32, $C$9, 100%, $E$9)</f>
        <v>8.8195999999999994</v>
      </c>
      <c r="D614" s="9">
        <f>8.8205 * CHOOSE(CONTROL!$C$32, $C$9, 100%, $E$9)</f>
        <v>8.8204999999999991</v>
      </c>
      <c r="E614" s="11">
        <f>7.8598 * CHOOSE(CONTROL!$C$32, $C$9, 100%, $E$9)</f>
        <v>7.8597999999999999</v>
      </c>
      <c r="F614" s="11">
        <f>7.8598 * CHOOSE(CONTROL!$C$32, $C$9, 100%, $E$9)</f>
        <v>7.8597999999999999</v>
      </c>
      <c r="G614" s="11">
        <f>7.8631 * CHOOSE(CONTROL!$C$32, $C$9, 100%, $E$9)</f>
        <v>7.8631000000000002</v>
      </c>
      <c r="H614" s="11">
        <f>20.0629 * CHOOSE(CONTROL!$C$32, $C$9, 100%, $E$9)</f>
        <v>20.062899999999999</v>
      </c>
      <c r="I614" s="11">
        <f>20.0661 * CHOOSE(CONTROL!$C$32, $C$9, 100%, $E$9)</f>
        <v>20.066099999999999</v>
      </c>
      <c r="J614" s="11">
        <f>20.0629 * CHOOSE(CONTROL!$C$32, $C$9, 100%, $E$9)</f>
        <v>20.062899999999999</v>
      </c>
      <c r="K614" s="11">
        <f>20.0661 * CHOOSE(CONTROL!$C$32, $C$9, 100%, $E$9)</f>
        <v>20.066099999999999</v>
      </c>
      <c r="L614" s="11">
        <f>7.8598 * CHOOSE(CONTROL!$C$32, $C$9, 100%, $E$9)</f>
        <v>7.8597999999999999</v>
      </c>
      <c r="M614" s="11">
        <f>7.8631 * CHOOSE(CONTROL!$C$32, $C$9, 100%, $E$9)</f>
        <v>7.8631000000000002</v>
      </c>
      <c r="N614" s="11">
        <f>7.8598 * CHOOSE(CONTROL!$C$32, $C$9, 100%, $E$9)</f>
        <v>7.8597999999999999</v>
      </c>
      <c r="O614" s="11">
        <f>7.8631 * CHOOSE(CONTROL!$C$32, $C$9, 100%, $E$9)</f>
        <v>7.8631000000000002</v>
      </c>
    </row>
    <row r="615" spans="1:15" ht="15" x14ac:dyDescent="0.2">
      <c r="A615" s="13">
        <v>59568</v>
      </c>
      <c r="B615" s="9">
        <f>8.8165 * CHOOSE(CONTROL!$C$32, $C$9, 100%, $E$9)</f>
        <v>8.8164999999999996</v>
      </c>
      <c r="C615" s="9">
        <f>8.8165 * CHOOSE(CONTROL!$C$32, $C$9, 100%, $E$9)</f>
        <v>8.8164999999999996</v>
      </c>
      <c r="D615" s="9">
        <f>8.8175 * CHOOSE(CONTROL!$C$32, $C$9, 100%, $E$9)</f>
        <v>8.8175000000000008</v>
      </c>
      <c r="E615" s="11">
        <f>7.6184 * CHOOSE(CONTROL!$C$32, $C$9, 100%, $E$9)</f>
        <v>7.6184000000000003</v>
      </c>
      <c r="F615" s="11">
        <f>7.6184 * CHOOSE(CONTROL!$C$32, $C$9, 100%, $E$9)</f>
        <v>7.6184000000000003</v>
      </c>
      <c r="G615" s="11">
        <f>7.6216 * CHOOSE(CONTROL!$C$32, $C$9, 100%, $E$9)</f>
        <v>7.6215999999999999</v>
      </c>
      <c r="H615" s="11">
        <f>20.1047 * CHOOSE(CONTROL!$C$32, $C$9, 100%, $E$9)</f>
        <v>20.104700000000001</v>
      </c>
      <c r="I615" s="11">
        <f>20.1079 * CHOOSE(CONTROL!$C$32, $C$9, 100%, $E$9)</f>
        <v>20.107900000000001</v>
      </c>
      <c r="J615" s="11">
        <f>20.1047 * CHOOSE(CONTROL!$C$32, $C$9, 100%, $E$9)</f>
        <v>20.104700000000001</v>
      </c>
      <c r="K615" s="11">
        <f>20.1079 * CHOOSE(CONTROL!$C$32, $C$9, 100%, $E$9)</f>
        <v>20.107900000000001</v>
      </c>
      <c r="L615" s="11">
        <f>7.6184 * CHOOSE(CONTROL!$C$32, $C$9, 100%, $E$9)</f>
        <v>7.6184000000000003</v>
      </c>
      <c r="M615" s="11">
        <f>7.6216 * CHOOSE(CONTROL!$C$32, $C$9, 100%, $E$9)</f>
        <v>7.6215999999999999</v>
      </c>
      <c r="N615" s="11">
        <f>7.6184 * CHOOSE(CONTROL!$C$32, $C$9, 100%, $E$9)</f>
        <v>7.6184000000000003</v>
      </c>
      <c r="O615" s="11">
        <f>7.6216 * CHOOSE(CONTROL!$C$32, $C$9, 100%, $E$9)</f>
        <v>7.6215999999999999</v>
      </c>
    </row>
    <row r="616" spans="1:15" ht="15" x14ac:dyDescent="0.2">
      <c r="A616" s="13">
        <v>59596</v>
      </c>
      <c r="B616" s="9">
        <f>8.8135 * CHOOSE(CONTROL!$C$32, $C$9, 100%, $E$9)</f>
        <v>8.8134999999999994</v>
      </c>
      <c r="C616" s="9">
        <f>8.8135 * CHOOSE(CONTROL!$C$32, $C$9, 100%, $E$9)</f>
        <v>8.8134999999999994</v>
      </c>
      <c r="D616" s="9">
        <f>8.8144 * CHOOSE(CONTROL!$C$32, $C$9, 100%, $E$9)</f>
        <v>8.8143999999999991</v>
      </c>
      <c r="E616" s="11">
        <f>7.8049 * CHOOSE(CONTROL!$C$32, $C$9, 100%, $E$9)</f>
        <v>7.8048999999999999</v>
      </c>
      <c r="F616" s="11">
        <f>7.8049 * CHOOSE(CONTROL!$C$32, $C$9, 100%, $E$9)</f>
        <v>7.8048999999999999</v>
      </c>
      <c r="G616" s="11">
        <f>7.8082 * CHOOSE(CONTROL!$C$32, $C$9, 100%, $E$9)</f>
        <v>7.8082000000000003</v>
      </c>
      <c r="H616" s="11">
        <f>20.1466 * CHOOSE(CONTROL!$C$32, $C$9, 100%, $E$9)</f>
        <v>20.146599999999999</v>
      </c>
      <c r="I616" s="11">
        <f>20.1498 * CHOOSE(CONTROL!$C$32, $C$9, 100%, $E$9)</f>
        <v>20.149799999999999</v>
      </c>
      <c r="J616" s="11">
        <f>20.1466 * CHOOSE(CONTROL!$C$32, $C$9, 100%, $E$9)</f>
        <v>20.146599999999999</v>
      </c>
      <c r="K616" s="11">
        <f>20.1498 * CHOOSE(CONTROL!$C$32, $C$9, 100%, $E$9)</f>
        <v>20.149799999999999</v>
      </c>
      <c r="L616" s="11">
        <f>7.8049 * CHOOSE(CONTROL!$C$32, $C$9, 100%, $E$9)</f>
        <v>7.8048999999999999</v>
      </c>
      <c r="M616" s="11">
        <f>7.8082 * CHOOSE(CONTROL!$C$32, $C$9, 100%, $E$9)</f>
        <v>7.8082000000000003</v>
      </c>
      <c r="N616" s="11">
        <f>7.8049 * CHOOSE(CONTROL!$C$32, $C$9, 100%, $E$9)</f>
        <v>7.8048999999999999</v>
      </c>
      <c r="O616" s="11">
        <f>7.8082 * CHOOSE(CONTROL!$C$32, $C$9, 100%, $E$9)</f>
        <v>7.8082000000000003</v>
      </c>
    </row>
    <row r="617" spans="1:15" ht="15" x14ac:dyDescent="0.2">
      <c r="A617" s="13">
        <v>59627</v>
      </c>
      <c r="B617" s="9">
        <f>8.8158 * CHOOSE(CONTROL!$C$32, $C$9, 100%, $E$9)</f>
        <v>8.8157999999999994</v>
      </c>
      <c r="C617" s="9">
        <f>8.8158 * CHOOSE(CONTROL!$C$32, $C$9, 100%, $E$9)</f>
        <v>8.8157999999999994</v>
      </c>
      <c r="D617" s="9">
        <f>8.8168 * CHOOSE(CONTROL!$C$32, $C$9, 100%, $E$9)</f>
        <v>8.8168000000000006</v>
      </c>
      <c r="E617" s="11">
        <f>8.0033 * CHOOSE(CONTROL!$C$32, $C$9, 100%, $E$9)</f>
        <v>8.0032999999999994</v>
      </c>
      <c r="F617" s="11">
        <f>8.0033 * CHOOSE(CONTROL!$C$32, $C$9, 100%, $E$9)</f>
        <v>8.0032999999999994</v>
      </c>
      <c r="G617" s="11">
        <f>8.0065 * CHOOSE(CONTROL!$C$32, $C$9, 100%, $E$9)</f>
        <v>8.0065000000000008</v>
      </c>
      <c r="H617" s="11">
        <f>20.1886 * CHOOSE(CONTROL!$C$32, $C$9, 100%, $E$9)</f>
        <v>20.188600000000001</v>
      </c>
      <c r="I617" s="11">
        <f>20.1918 * CHOOSE(CONTROL!$C$32, $C$9, 100%, $E$9)</f>
        <v>20.191800000000001</v>
      </c>
      <c r="J617" s="11">
        <f>20.1886 * CHOOSE(CONTROL!$C$32, $C$9, 100%, $E$9)</f>
        <v>20.188600000000001</v>
      </c>
      <c r="K617" s="11">
        <f>20.1918 * CHOOSE(CONTROL!$C$32, $C$9, 100%, $E$9)</f>
        <v>20.191800000000001</v>
      </c>
      <c r="L617" s="11">
        <f>8.0033 * CHOOSE(CONTROL!$C$32, $C$9, 100%, $E$9)</f>
        <v>8.0032999999999994</v>
      </c>
      <c r="M617" s="11">
        <f>8.0065 * CHOOSE(CONTROL!$C$32, $C$9, 100%, $E$9)</f>
        <v>8.0065000000000008</v>
      </c>
      <c r="N617" s="11">
        <f>8.0033 * CHOOSE(CONTROL!$C$32, $C$9, 100%, $E$9)</f>
        <v>8.0032999999999994</v>
      </c>
      <c r="O617" s="11">
        <f>8.0065 * CHOOSE(CONTROL!$C$32, $C$9, 100%, $E$9)</f>
        <v>8.0065000000000008</v>
      </c>
    </row>
    <row r="618" spans="1:15" ht="15" x14ac:dyDescent="0.2">
      <c r="A618" s="13">
        <v>59657</v>
      </c>
      <c r="B618" s="9">
        <f>8.8158 * CHOOSE(CONTROL!$C$32, $C$9, 100%, $E$9)</f>
        <v>8.8157999999999994</v>
      </c>
      <c r="C618" s="9">
        <f>8.8158 * CHOOSE(CONTROL!$C$32, $C$9, 100%, $E$9)</f>
        <v>8.8157999999999994</v>
      </c>
      <c r="D618" s="9">
        <f>8.817 * CHOOSE(CONTROL!$C$32, $C$9, 100%, $E$9)</f>
        <v>8.8170000000000002</v>
      </c>
      <c r="E618" s="11">
        <f>8.0793 * CHOOSE(CONTROL!$C$32, $C$9, 100%, $E$9)</f>
        <v>8.0792999999999999</v>
      </c>
      <c r="F618" s="11">
        <f>8.0793 * CHOOSE(CONTROL!$C$32, $C$9, 100%, $E$9)</f>
        <v>8.0792999999999999</v>
      </c>
      <c r="G618" s="11">
        <f>8.0835 * CHOOSE(CONTROL!$C$32, $C$9, 100%, $E$9)</f>
        <v>8.0835000000000008</v>
      </c>
      <c r="H618" s="11">
        <f>20.2306 * CHOOSE(CONTROL!$C$32, $C$9, 100%, $E$9)</f>
        <v>20.230599999999999</v>
      </c>
      <c r="I618" s="11">
        <f>20.2348 * CHOOSE(CONTROL!$C$32, $C$9, 100%, $E$9)</f>
        <v>20.2348</v>
      </c>
      <c r="J618" s="11">
        <f>20.2306 * CHOOSE(CONTROL!$C$32, $C$9, 100%, $E$9)</f>
        <v>20.230599999999999</v>
      </c>
      <c r="K618" s="11">
        <f>20.2348 * CHOOSE(CONTROL!$C$32, $C$9, 100%, $E$9)</f>
        <v>20.2348</v>
      </c>
      <c r="L618" s="11">
        <f>8.0793 * CHOOSE(CONTROL!$C$32, $C$9, 100%, $E$9)</f>
        <v>8.0792999999999999</v>
      </c>
      <c r="M618" s="11">
        <f>8.0835 * CHOOSE(CONTROL!$C$32, $C$9, 100%, $E$9)</f>
        <v>8.0835000000000008</v>
      </c>
      <c r="N618" s="11">
        <f>8.0793 * CHOOSE(CONTROL!$C$32, $C$9, 100%, $E$9)</f>
        <v>8.0792999999999999</v>
      </c>
      <c r="O618" s="11">
        <f>8.0835 * CHOOSE(CONTROL!$C$32, $C$9, 100%, $E$9)</f>
        <v>8.0835000000000008</v>
      </c>
    </row>
    <row r="619" spans="1:15" ht="15" x14ac:dyDescent="0.2">
      <c r="A619" s="13">
        <v>59688</v>
      </c>
      <c r="B619" s="9">
        <f>8.8219 * CHOOSE(CONTROL!$C$32, $C$9, 100%, $E$9)</f>
        <v>8.8218999999999994</v>
      </c>
      <c r="C619" s="9">
        <f>8.8219 * CHOOSE(CONTROL!$C$32, $C$9, 100%, $E$9)</f>
        <v>8.8218999999999994</v>
      </c>
      <c r="D619" s="9">
        <f>8.8231 * CHOOSE(CONTROL!$C$32, $C$9, 100%, $E$9)</f>
        <v>8.8231000000000002</v>
      </c>
      <c r="E619" s="11">
        <f>8.0076 * CHOOSE(CONTROL!$C$32, $C$9, 100%, $E$9)</f>
        <v>8.0076000000000001</v>
      </c>
      <c r="F619" s="11">
        <f>8.0076 * CHOOSE(CONTROL!$C$32, $C$9, 100%, $E$9)</f>
        <v>8.0076000000000001</v>
      </c>
      <c r="G619" s="11">
        <f>8.0118 * CHOOSE(CONTROL!$C$32, $C$9, 100%, $E$9)</f>
        <v>8.0117999999999991</v>
      </c>
      <c r="H619" s="11">
        <f>20.2728 * CHOOSE(CONTROL!$C$32, $C$9, 100%, $E$9)</f>
        <v>20.2728</v>
      </c>
      <c r="I619" s="11">
        <f>20.277 * CHOOSE(CONTROL!$C$32, $C$9, 100%, $E$9)</f>
        <v>20.277000000000001</v>
      </c>
      <c r="J619" s="11">
        <f>20.2728 * CHOOSE(CONTROL!$C$32, $C$9, 100%, $E$9)</f>
        <v>20.2728</v>
      </c>
      <c r="K619" s="11">
        <f>20.277 * CHOOSE(CONTROL!$C$32, $C$9, 100%, $E$9)</f>
        <v>20.277000000000001</v>
      </c>
      <c r="L619" s="11">
        <f>8.0076 * CHOOSE(CONTROL!$C$32, $C$9, 100%, $E$9)</f>
        <v>8.0076000000000001</v>
      </c>
      <c r="M619" s="11">
        <f>8.0118 * CHOOSE(CONTROL!$C$32, $C$9, 100%, $E$9)</f>
        <v>8.0117999999999991</v>
      </c>
      <c r="N619" s="11">
        <f>8.0076 * CHOOSE(CONTROL!$C$32, $C$9, 100%, $E$9)</f>
        <v>8.0076000000000001</v>
      </c>
      <c r="O619" s="11">
        <f>8.0118 * CHOOSE(CONTROL!$C$32, $C$9, 100%, $E$9)</f>
        <v>8.0117999999999991</v>
      </c>
    </row>
    <row r="620" spans="1:15" ht="15" x14ac:dyDescent="0.2">
      <c r="A620" s="13">
        <v>59718</v>
      </c>
      <c r="B620" s="9">
        <f>8.9333 * CHOOSE(CONTROL!$C$32, $C$9, 100%, $E$9)</f>
        <v>8.9332999999999991</v>
      </c>
      <c r="C620" s="9">
        <f>8.9333 * CHOOSE(CONTROL!$C$32, $C$9, 100%, $E$9)</f>
        <v>8.9332999999999991</v>
      </c>
      <c r="D620" s="9">
        <f>8.9346 * CHOOSE(CONTROL!$C$32, $C$9, 100%, $E$9)</f>
        <v>8.9345999999999997</v>
      </c>
      <c r="E620" s="11">
        <f>8.0457 * CHOOSE(CONTROL!$C$32, $C$9, 100%, $E$9)</f>
        <v>8.0457000000000001</v>
      </c>
      <c r="F620" s="11">
        <f>8.0457 * CHOOSE(CONTROL!$C$32, $C$9, 100%, $E$9)</f>
        <v>8.0457000000000001</v>
      </c>
      <c r="G620" s="11">
        <f>8.0499 * CHOOSE(CONTROL!$C$32, $C$9, 100%, $E$9)</f>
        <v>8.0498999999999992</v>
      </c>
      <c r="H620" s="11">
        <f>20.315 * CHOOSE(CONTROL!$C$32, $C$9, 100%, $E$9)</f>
        <v>20.315000000000001</v>
      </c>
      <c r="I620" s="11">
        <f>20.3192 * CHOOSE(CONTROL!$C$32, $C$9, 100%, $E$9)</f>
        <v>20.319199999999999</v>
      </c>
      <c r="J620" s="11">
        <f>20.315 * CHOOSE(CONTROL!$C$32, $C$9, 100%, $E$9)</f>
        <v>20.315000000000001</v>
      </c>
      <c r="K620" s="11">
        <f>20.3192 * CHOOSE(CONTROL!$C$32, $C$9, 100%, $E$9)</f>
        <v>20.319199999999999</v>
      </c>
      <c r="L620" s="11">
        <f>8.0457 * CHOOSE(CONTROL!$C$32, $C$9, 100%, $E$9)</f>
        <v>8.0457000000000001</v>
      </c>
      <c r="M620" s="11">
        <f>8.0499 * CHOOSE(CONTROL!$C$32, $C$9, 100%, $E$9)</f>
        <v>8.0498999999999992</v>
      </c>
      <c r="N620" s="11">
        <f>8.0457 * CHOOSE(CONTROL!$C$32, $C$9, 100%, $E$9)</f>
        <v>8.0457000000000001</v>
      </c>
      <c r="O620" s="11">
        <f>8.0499 * CHOOSE(CONTROL!$C$32, $C$9, 100%, $E$9)</f>
        <v>8.0498999999999992</v>
      </c>
    </row>
    <row r="621" spans="1:15" ht="15" x14ac:dyDescent="0.2">
      <c r="A621" s="13">
        <v>59749</v>
      </c>
      <c r="B621" s="9">
        <f>8.94 * CHOOSE(CONTROL!$C$32, $C$9, 100%, $E$9)</f>
        <v>8.94</v>
      </c>
      <c r="C621" s="9">
        <f>8.94 * CHOOSE(CONTROL!$C$32, $C$9, 100%, $E$9)</f>
        <v>8.94</v>
      </c>
      <c r="D621" s="9">
        <f>8.9413 * CHOOSE(CONTROL!$C$32, $C$9, 100%, $E$9)</f>
        <v>8.9413</v>
      </c>
      <c r="E621" s="11">
        <f>7.8225 * CHOOSE(CONTROL!$C$32, $C$9, 100%, $E$9)</f>
        <v>7.8224999999999998</v>
      </c>
      <c r="F621" s="11">
        <f>7.8225 * CHOOSE(CONTROL!$C$32, $C$9, 100%, $E$9)</f>
        <v>7.8224999999999998</v>
      </c>
      <c r="G621" s="11">
        <f>7.8267 * CHOOSE(CONTROL!$C$32, $C$9, 100%, $E$9)</f>
        <v>7.8266999999999998</v>
      </c>
      <c r="H621" s="11">
        <f>20.3573 * CHOOSE(CONTROL!$C$32, $C$9, 100%, $E$9)</f>
        <v>20.357299999999999</v>
      </c>
      <c r="I621" s="11">
        <f>20.3615 * CHOOSE(CONTROL!$C$32, $C$9, 100%, $E$9)</f>
        <v>20.361499999999999</v>
      </c>
      <c r="J621" s="11">
        <f>20.3573 * CHOOSE(CONTROL!$C$32, $C$9, 100%, $E$9)</f>
        <v>20.357299999999999</v>
      </c>
      <c r="K621" s="11">
        <f>20.3615 * CHOOSE(CONTROL!$C$32, $C$9, 100%, $E$9)</f>
        <v>20.361499999999999</v>
      </c>
      <c r="L621" s="11">
        <f>7.8225 * CHOOSE(CONTROL!$C$32, $C$9, 100%, $E$9)</f>
        <v>7.8224999999999998</v>
      </c>
      <c r="M621" s="11">
        <f>7.8267 * CHOOSE(CONTROL!$C$32, $C$9, 100%, $E$9)</f>
        <v>7.8266999999999998</v>
      </c>
      <c r="N621" s="11">
        <f>7.8225 * CHOOSE(CONTROL!$C$32, $C$9, 100%, $E$9)</f>
        <v>7.8224999999999998</v>
      </c>
      <c r="O621" s="11">
        <f>7.8267 * CHOOSE(CONTROL!$C$32, $C$9, 100%, $E$9)</f>
        <v>7.8266999999999998</v>
      </c>
    </row>
    <row r="622" spans="1:15" ht="15" x14ac:dyDescent="0.2">
      <c r="A622" s="13">
        <v>59780</v>
      </c>
      <c r="B622" s="9">
        <f>8.937 * CHOOSE(CONTROL!$C$32, $C$9, 100%, $E$9)</f>
        <v>8.9369999999999994</v>
      </c>
      <c r="C622" s="9">
        <f>8.937 * CHOOSE(CONTROL!$C$32, $C$9, 100%, $E$9)</f>
        <v>8.9369999999999994</v>
      </c>
      <c r="D622" s="9">
        <f>8.9382 * CHOOSE(CONTROL!$C$32, $C$9, 100%, $E$9)</f>
        <v>8.9382000000000001</v>
      </c>
      <c r="E622" s="11">
        <f>7.795 * CHOOSE(CONTROL!$C$32, $C$9, 100%, $E$9)</f>
        <v>7.7949999999999999</v>
      </c>
      <c r="F622" s="11">
        <f>7.795 * CHOOSE(CONTROL!$C$32, $C$9, 100%, $E$9)</f>
        <v>7.7949999999999999</v>
      </c>
      <c r="G622" s="11">
        <f>7.7992 * CHOOSE(CONTROL!$C$32, $C$9, 100%, $E$9)</f>
        <v>7.7991999999999999</v>
      </c>
      <c r="H622" s="11">
        <f>20.3997 * CHOOSE(CONTROL!$C$32, $C$9, 100%, $E$9)</f>
        <v>20.399699999999999</v>
      </c>
      <c r="I622" s="11">
        <f>20.4039 * CHOOSE(CONTROL!$C$32, $C$9, 100%, $E$9)</f>
        <v>20.4039</v>
      </c>
      <c r="J622" s="11">
        <f>20.3997 * CHOOSE(CONTROL!$C$32, $C$9, 100%, $E$9)</f>
        <v>20.399699999999999</v>
      </c>
      <c r="K622" s="11">
        <f>20.4039 * CHOOSE(CONTROL!$C$32, $C$9, 100%, $E$9)</f>
        <v>20.4039</v>
      </c>
      <c r="L622" s="11">
        <f>7.795 * CHOOSE(CONTROL!$C$32, $C$9, 100%, $E$9)</f>
        <v>7.7949999999999999</v>
      </c>
      <c r="M622" s="11">
        <f>7.7992 * CHOOSE(CONTROL!$C$32, $C$9, 100%, $E$9)</f>
        <v>7.7991999999999999</v>
      </c>
      <c r="N622" s="11">
        <f>7.795 * CHOOSE(CONTROL!$C$32, $C$9, 100%, $E$9)</f>
        <v>7.7949999999999999</v>
      </c>
      <c r="O622" s="11">
        <f>7.7992 * CHOOSE(CONTROL!$C$32, $C$9, 100%, $E$9)</f>
        <v>7.7991999999999999</v>
      </c>
    </row>
    <row r="623" spans="1:15" ht="15" x14ac:dyDescent="0.2">
      <c r="A623" s="13">
        <v>59810</v>
      </c>
      <c r="B623" s="9">
        <f>8.9505 * CHOOSE(CONTROL!$C$32, $C$9, 100%, $E$9)</f>
        <v>8.9504999999999999</v>
      </c>
      <c r="C623" s="9">
        <f>8.9505 * CHOOSE(CONTROL!$C$32, $C$9, 100%, $E$9)</f>
        <v>8.9504999999999999</v>
      </c>
      <c r="D623" s="9">
        <f>8.9514 * CHOOSE(CONTROL!$C$32, $C$9, 100%, $E$9)</f>
        <v>8.9513999999999996</v>
      </c>
      <c r="E623" s="11">
        <f>7.8829 * CHOOSE(CONTROL!$C$32, $C$9, 100%, $E$9)</f>
        <v>7.8829000000000002</v>
      </c>
      <c r="F623" s="11">
        <f>7.8829 * CHOOSE(CONTROL!$C$32, $C$9, 100%, $E$9)</f>
        <v>7.8829000000000002</v>
      </c>
      <c r="G623" s="11">
        <f>7.8861 * CHOOSE(CONTROL!$C$32, $C$9, 100%, $E$9)</f>
        <v>7.8860999999999999</v>
      </c>
      <c r="H623" s="11">
        <f>20.4422 * CHOOSE(CONTROL!$C$32, $C$9, 100%, $E$9)</f>
        <v>20.4422</v>
      </c>
      <c r="I623" s="11">
        <f>20.4455 * CHOOSE(CONTROL!$C$32, $C$9, 100%, $E$9)</f>
        <v>20.445499999999999</v>
      </c>
      <c r="J623" s="11">
        <f>20.4422 * CHOOSE(CONTROL!$C$32, $C$9, 100%, $E$9)</f>
        <v>20.4422</v>
      </c>
      <c r="K623" s="11">
        <f>20.4455 * CHOOSE(CONTROL!$C$32, $C$9, 100%, $E$9)</f>
        <v>20.445499999999999</v>
      </c>
      <c r="L623" s="11">
        <f>7.8829 * CHOOSE(CONTROL!$C$32, $C$9, 100%, $E$9)</f>
        <v>7.8829000000000002</v>
      </c>
      <c r="M623" s="11">
        <f>7.8861 * CHOOSE(CONTROL!$C$32, $C$9, 100%, $E$9)</f>
        <v>7.8860999999999999</v>
      </c>
      <c r="N623" s="11">
        <f>7.8829 * CHOOSE(CONTROL!$C$32, $C$9, 100%, $E$9)</f>
        <v>7.8829000000000002</v>
      </c>
      <c r="O623" s="11">
        <f>7.8861 * CHOOSE(CONTROL!$C$32, $C$9, 100%, $E$9)</f>
        <v>7.8860999999999999</v>
      </c>
    </row>
    <row r="624" spans="1:15" ht="15" x14ac:dyDescent="0.2">
      <c r="A624" s="13">
        <v>59841</v>
      </c>
      <c r="B624" s="9">
        <f>8.9535 * CHOOSE(CONTROL!$C$32, $C$9, 100%, $E$9)</f>
        <v>8.9535</v>
      </c>
      <c r="C624" s="9">
        <f>8.9535 * CHOOSE(CONTROL!$C$32, $C$9, 100%, $E$9)</f>
        <v>8.9535</v>
      </c>
      <c r="D624" s="9">
        <f>8.9544 * CHOOSE(CONTROL!$C$32, $C$9, 100%, $E$9)</f>
        <v>8.9543999999999997</v>
      </c>
      <c r="E624" s="11">
        <f>7.9357 * CHOOSE(CONTROL!$C$32, $C$9, 100%, $E$9)</f>
        <v>7.9356999999999998</v>
      </c>
      <c r="F624" s="11">
        <f>7.9357 * CHOOSE(CONTROL!$C$32, $C$9, 100%, $E$9)</f>
        <v>7.9356999999999998</v>
      </c>
      <c r="G624" s="11">
        <f>7.9389 * CHOOSE(CONTROL!$C$32, $C$9, 100%, $E$9)</f>
        <v>7.9389000000000003</v>
      </c>
      <c r="H624" s="11">
        <f>20.4848 * CHOOSE(CONTROL!$C$32, $C$9, 100%, $E$9)</f>
        <v>20.4848</v>
      </c>
      <c r="I624" s="11">
        <f>20.4881 * CHOOSE(CONTROL!$C$32, $C$9, 100%, $E$9)</f>
        <v>20.488099999999999</v>
      </c>
      <c r="J624" s="11">
        <f>20.4848 * CHOOSE(CONTROL!$C$32, $C$9, 100%, $E$9)</f>
        <v>20.4848</v>
      </c>
      <c r="K624" s="11">
        <f>20.4881 * CHOOSE(CONTROL!$C$32, $C$9, 100%, $E$9)</f>
        <v>20.488099999999999</v>
      </c>
      <c r="L624" s="11">
        <f>7.9357 * CHOOSE(CONTROL!$C$32, $C$9, 100%, $E$9)</f>
        <v>7.9356999999999998</v>
      </c>
      <c r="M624" s="11">
        <f>7.9389 * CHOOSE(CONTROL!$C$32, $C$9, 100%, $E$9)</f>
        <v>7.9389000000000003</v>
      </c>
      <c r="N624" s="11">
        <f>7.9357 * CHOOSE(CONTROL!$C$32, $C$9, 100%, $E$9)</f>
        <v>7.9356999999999998</v>
      </c>
      <c r="O624" s="11">
        <f>7.9389 * CHOOSE(CONTROL!$C$32, $C$9, 100%, $E$9)</f>
        <v>7.9389000000000003</v>
      </c>
    </row>
    <row r="625" spans="1:15" ht="15" x14ac:dyDescent="0.2">
      <c r="A625" s="13">
        <v>59871</v>
      </c>
      <c r="B625" s="9">
        <f>8.9535 * CHOOSE(CONTROL!$C$32, $C$9, 100%, $E$9)</f>
        <v>8.9535</v>
      </c>
      <c r="C625" s="9">
        <f>8.9535 * CHOOSE(CONTROL!$C$32, $C$9, 100%, $E$9)</f>
        <v>8.9535</v>
      </c>
      <c r="D625" s="9">
        <f>8.9544 * CHOOSE(CONTROL!$C$32, $C$9, 100%, $E$9)</f>
        <v>8.9543999999999997</v>
      </c>
      <c r="E625" s="11">
        <f>7.809 * CHOOSE(CONTROL!$C$32, $C$9, 100%, $E$9)</f>
        <v>7.8090000000000002</v>
      </c>
      <c r="F625" s="11">
        <f>7.809 * CHOOSE(CONTROL!$C$32, $C$9, 100%, $E$9)</f>
        <v>7.8090000000000002</v>
      </c>
      <c r="G625" s="11">
        <f>7.8123 * CHOOSE(CONTROL!$C$32, $C$9, 100%, $E$9)</f>
        <v>7.8122999999999996</v>
      </c>
      <c r="H625" s="11">
        <f>20.5275 * CHOOSE(CONTROL!$C$32, $C$9, 100%, $E$9)</f>
        <v>20.5275</v>
      </c>
      <c r="I625" s="11">
        <f>20.5307 * CHOOSE(CONTROL!$C$32, $C$9, 100%, $E$9)</f>
        <v>20.5307</v>
      </c>
      <c r="J625" s="11">
        <f>20.5275 * CHOOSE(CONTROL!$C$32, $C$9, 100%, $E$9)</f>
        <v>20.5275</v>
      </c>
      <c r="K625" s="11">
        <f>20.5307 * CHOOSE(CONTROL!$C$32, $C$9, 100%, $E$9)</f>
        <v>20.5307</v>
      </c>
      <c r="L625" s="11">
        <f>7.809 * CHOOSE(CONTROL!$C$32, $C$9, 100%, $E$9)</f>
        <v>7.8090000000000002</v>
      </c>
      <c r="M625" s="11">
        <f>7.8123 * CHOOSE(CONTROL!$C$32, $C$9, 100%, $E$9)</f>
        <v>7.8122999999999996</v>
      </c>
      <c r="N625" s="11">
        <f>7.809 * CHOOSE(CONTROL!$C$32, $C$9, 100%, $E$9)</f>
        <v>7.8090000000000002</v>
      </c>
      <c r="O625" s="11">
        <f>7.8123 * CHOOSE(CONTROL!$C$32, $C$9, 100%, $E$9)</f>
        <v>7.8122999999999996</v>
      </c>
    </row>
    <row r="626" spans="1:15" ht="15" x14ac:dyDescent="0.2">
      <c r="A626" s="13">
        <v>59902</v>
      </c>
      <c r="B626" s="9">
        <f>9.0069 * CHOOSE(CONTROL!$C$32, $C$9, 100%, $E$9)</f>
        <v>9.0068999999999999</v>
      </c>
      <c r="C626" s="9">
        <f>9.0069 * CHOOSE(CONTROL!$C$32, $C$9, 100%, $E$9)</f>
        <v>9.0068999999999999</v>
      </c>
      <c r="D626" s="9">
        <f>9.0079 * CHOOSE(CONTROL!$C$32, $C$9, 100%, $E$9)</f>
        <v>9.0078999999999994</v>
      </c>
      <c r="E626" s="11">
        <f>7.9371 * CHOOSE(CONTROL!$C$32, $C$9, 100%, $E$9)</f>
        <v>7.9371</v>
      </c>
      <c r="F626" s="11">
        <f>7.9371 * CHOOSE(CONTROL!$C$32, $C$9, 100%, $E$9)</f>
        <v>7.9371</v>
      </c>
      <c r="G626" s="11">
        <f>7.9403 * CHOOSE(CONTROL!$C$32, $C$9, 100%, $E$9)</f>
        <v>7.9402999999999997</v>
      </c>
      <c r="H626" s="11">
        <f>20.5345 * CHOOSE(CONTROL!$C$32, $C$9, 100%, $E$9)</f>
        <v>20.534500000000001</v>
      </c>
      <c r="I626" s="11">
        <f>20.5377 * CHOOSE(CONTROL!$C$32, $C$9, 100%, $E$9)</f>
        <v>20.537700000000001</v>
      </c>
      <c r="J626" s="11">
        <f>20.5345 * CHOOSE(CONTROL!$C$32, $C$9, 100%, $E$9)</f>
        <v>20.534500000000001</v>
      </c>
      <c r="K626" s="11">
        <f>20.5377 * CHOOSE(CONTROL!$C$32, $C$9, 100%, $E$9)</f>
        <v>20.537700000000001</v>
      </c>
      <c r="L626" s="11">
        <f>7.9371 * CHOOSE(CONTROL!$C$32, $C$9, 100%, $E$9)</f>
        <v>7.9371</v>
      </c>
      <c r="M626" s="11">
        <f>7.9403 * CHOOSE(CONTROL!$C$32, $C$9, 100%, $E$9)</f>
        <v>7.9402999999999997</v>
      </c>
      <c r="N626" s="11">
        <f>7.9371 * CHOOSE(CONTROL!$C$32, $C$9, 100%, $E$9)</f>
        <v>7.9371</v>
      </c>
      <c r="O626" s="11">
        <f>7.9403 * CHOOSE(CONTROL!$C$32, $C$9, 100%, $E$9)</f>
        <v>7.9402999999999997</v>
      </c>
    </row>
    <row r="627" spans="1:15" ht="15" x14ac:dyDescent="0.2">
      <c r="A627" s="13">
        <v>59933</v>
      </c>
      <c r="B627" s="9">
        <f>9.0039 * CHOOSE(CONTROL!$C$32, $C$9, 100%, $E$9)</f>
        <v>9.0038999999999998</v>
      </c>
      <c r="C627" s="9">
        <f>9.0039 * CHOOSE(CONTROL!$C$32, $C$9, 100%, $E$9)</f>
        <v>9.0038999999999998</v>
      </c>
      <c r="D627" s="9">
        <f>9.0048 * CHOOSE(CONTROL!$C$32, $C$9, 100%, $E$9)</f>
        <v>9.0047999999999995</v>
      </c>
      <c r="E627" s="11">
        <f>7.6886 * CHOOSE(CONTROL!$C$32, $C$9, 100%, $E$9)</f>
        <v>7.6886000000000001</v>
      </c>
      <c r="F627" s="11">
        <f>7.6886 * CHOOSE(CONTROL!$C$32, $C$9, 100%, $E$9)</f>
        <v>7.6886000000000001</v>
      </c>
      <c r="G627" s="11">
        <f>7.6918 * CHOOSE(CONTROL!$C$32, $C$9, 100%, $E$9)</f>
        <v>7.6917999999999997</v>
      </c>
      <c r="H627" s="11">
        <f>20.5773 * CHOOSE(CONTROL!$C$32, $C$9, 100%, $E$9)</f>
        <v>20.577300000000001</v>
      </c>
      <c r="I627" s="11">
        <f>20.5805 * CHOOSE(CONTROL!$C$32, $C$9, 100%, $E$9)</f>
        <v>20.580500000000001</v>
      </c>
      <c r="J627" s="11">
        <f>20.5773 * CHOOSE(CONTROL!$C$32, $C$9, 100%, $E$9)</f>
        <v>20.577300000000001</v>
      </c>
      <c r="K627" s="11">
        <f>20.5805 * CHOOSE(CONTROL!$C$32, $C$9, 100%, $E$9)</f>
        <v>20.580500000000001</v>
      </c>
      <c r="L627" s="11">
        <f>7.6886 * CHOOSE(CONTROL!$C$32, $C$9, 100%, $E$9)</f>
        <v>7.6886000000000001</v>
      </c>
      <c r="M627" s="11">
        <f>7.6918 * CHOOSE(CONTROL!$C$32, $C$9, 100%, $E$9)</f>
        <v>7.6917999999999997</v>
      </c>
      <c r="N627" s="11">
        <f>7.6886 * CHOOSE(CONTROL!$C$32, $C$9, 100%, $E$9)</f>
        <v>7.6886000000000001</v>
      </c>
      <c r="O627" s="11">
        <f>7.6918 * CHOOSE(CONTROL!$C$32, $C$9, 100%, $E$9)</f>
        <v>7.6917999999999997</v>
      </c>
    </row>
    <row r="628" spans="1:15" ht="15" x14ac:dyDescent="0.2">
      <c r="A628" s="13">
        <v>59962</v>
      </c>
      <c r="B628" s="9">
        <f>9.0008 * CHOOSE(CONTROL!$C$32, $C$9, 100%, $E$9)</f>
        <v>9.0007999999999999</v>
      </c>
      <c r="C628" s="9">
        <f>9.0008 * CHOOSE(CONTROL!$C$32, $C$9, 100%, $E$9)</f>
        <v>9.0007999999999999</v>
      </c>
      <c r="D628" s="9">
        <f>9.0018 * CHOOSE(CONTROL!$C$32, $C$9, 100%, $E$9)</f>
        <v>9.0017999999999994</v>
      </c>
      <c r="E628" s="11">
        <f>7.8807 * CHOOSE(CONTROL!$C$32, $C$9, 100%, $E$9)</f>
        <v>7.8807</v>
      </c>
      <c r="F628" s="11">
        <f>7.8807 * CHOOSE(CONTROL!$C$32, $C$9, 100%, $E$9)</f>
        <v>7.8807</v>
      </c>
      <c r="G628" s="11">
        <f>7.884 * CHOOSE(CONTROL!$C$32, $C$9, 100%, $E$9)</f>
        <v>7.8840000000000003</v>
      </c>
      <c r="H628" s="11">
        <f>20.6201 * CHOOSE(CONTROL!$C$32, $C$9, 100%, $E$9)</f>
        <v>20.620100000000001</v>
      </c>
      <c r="I628" s="11">
        <f>20.6234 * CHOOSE(CONTROL!$C$32, $C$9, 100%, $E$9)</f>
        <v>20.6234</v>
      </c>
      <c r="J628" s="11">
        <f>20.6201 * CHOOSE(CONTROL!$C$32, $C$9, 100%, $E$9)</f>
        <v>20.620100000000001</v>
      </c>
      <c r="K628" s="11">
        <f>20.6234 * CHOOSE(CONTROL!$C$32, $C$9, 100%, $E$9)</f>
        <v>20.6234</v>
      </c>
      <c r="L628" s="11">
        <f>7.8807 * CHOOSE(CONTROL!$C$32, $C$9, 100%, $E$9)</f>
        <v>7.8807</v>
      </c>
      <c r="M628" s="11">
        <f>7.884 * CHOOSE(CONTROL!$C$32, $C$9, 100%, $E$9)</f>
        <v>7.8840000000000003</v>
      </c>
      <c r="N628" s="11">
        <f>7.8807 * CHOOSE(CONTROL!$C$32, $C$9, 100%, $E$9)</f>
        <v>7.8807</v>
      </c>
      <c r="O628" s="11">
        <f>7.884 * CHOOSE(CONTROL!$C$32, $C$9, 100%, $E$9)</f>
        <v>7.8840000000000003</v>
      </c>
    </row>
    <row r="629" spans="1:15" ht="15" x14ac:dyDescent="0.2">
      <c r="A629" s="13">
        <v>59993</v>
      </c>
      <c r="B629" s="9">
        <f>9.0033 * CHOOSE(CONTROL!$C$32, $C$9, 100%, $E$9)</f>
        <v>9.0032999999999994</v>
      </c>
      <c r="C629" s="9">
        <f>9.0033 * CHOOSE(CONTROL!$C$32, $C$9, 100%, $E$9)</f>
        <v>9.0032999999999994</v>
      </c>
      <c r="D629" s="9">
        <f>9.0043 * CHOOSE(CONTROL!$C$32, $C$9, 100%, $E$9)</f>
        <v>9.0043000000000006</v>
      </c>
      <c r="E629" s="11">
        <f>8.0851 * CHOOSE(CONTROL!$C$32, $C$9, 100%, $E$9)</f>
        <v>8.0851000000000006</v>
      </c>
      <c r="F629" s="11">
        <f>8.0851 * CHOOSE(CONTROL!$C$32, $C$9, 100%, $E$9)</f>
        <v>8.0851000000000006</v>
      </c>
      <c r="G629" s="11">
        <f>8.0883 * CHOOSE(CONTROL!$C$32, $C$9, 100%, $E$9)</f>
        <v>8.0883000000000003</v>
      </c>
      <c r="H629" s="11">
        <f>20.6631 * CHOOSE(CONTROL!$C$32, $C$9, 100%, $E$9)</f>
        <v>20.6631</v>
      </c>
      <c r="I629" s="11">
        <f>20.6663 * CHOOSE(CONTROL!$C$32, $C$9, 100%, $E$9)</f>
        <v>20.6663</v>
      </c>
      <c r="J629" s="11">
        <f>20.6631 * CHOOSE(CONTROL!$C$32, $C$9, 100%, $E$9)</f>
        <v>20.6631</v>
      </c>
      <c r="K629" s="11">
        <f>20.6663 * CHOOSE(CONTROL!$C$32, $C$9, 100%, $E$9)</f>
        <v>20.6663</v>
      </c>
      <c r="L629" s="11">
        <f>8.0851 * CHOOSE(CONTROL!$C$32, $C$9, 100%, $E$9)</f>
        <v>8.0851000000000006</v>
      </c>
      <c r="M629" s="11">
        <f>8.0883 * CHOOSE(CONTROL!$C$32, $C$9, 100%, $E$9)</f>
        <v>8.0883000000000003</v>
      </c>
      <c r="N629" s="11">
        <f>8.0851 * CHOOSE(CONTROL!$C$32, $C$9, 100%, $E$9)</f>
        <v>8.0851000000000006</v>
      </c>
      <c r="O629" s="11">
        <f>8.0883 * CHOOSE(CONTROL!$C$32, $C$9, 100%, $E$9)</f>
        <v>8.0883000000000003</v>
      </c>
    </row>
    <row r="630" spans="1:15" ht="15" x14ac:dyDescent="0.2">
      <c r="A630" s="13">
        <v>60023</v>
      </c>
      <c r="B630" s="9">
        <f>9.0033 * CHOOSE(CONTROL!$C$32, $C$9, 100%, $E$9)</f>
        <v>9.0032999999999994</v>
      </c>
      <c r="C630" s="9">
        <f>9.0033 * CHOOSE(CONTROL!$C$32, $C$9, 100%, $E$9)</f>
        <v>9.0032999999999994</v>
      </c>
      <c r="D630" s="9">
        <f>9.0046 * CHOOSE(CONTROL!$C$32, $C$9, 100%, $E$9)</f>
        <v>9.0045999999999999</v>
      </c>
      <c r="E630" s="11">
        <f>8.1633 * CHOOSE(CONTROL!$C$32, $C$9, 100%, $E$9)</f>
        <v>8.1632999999999996</v>
      </c>
      <c r="F630" s="11">
        <f>8.1633 * CHOOSE(CONTROL!$C$32, $C$9, 100%, $E$9)</f>
        <v>8.1632999999999996</v>
      </c>
      <c r="G630" s="11">
        <f>8.1675 * CHOOSE(CONTROL!$C$32, $C$9, 100%, $E$9)</f>
        <v>8.1675000000000004</v>
      </c>
      <c r="H630" s="11">
        <f>20.7062 * CHOOSE(CONTROL!$C$32, $C$9, 100%, $E$9)</f>
        <v>20.706199999999999</v>
      </c>
      <c r="I630" s="11">
        <f>20.7104 * CHOOSE(CONTROL!$C$32, $C$9, 100%, $E$9)</f>
        <v>20.7104</v>
      </c>
      <c r="J630" s="11">
        <f>20.7062 * CHOOSE(CONTROL!$C$32, $C$9, 100%, $E$9)</f>
        <v>20.706199999999999</v>
      </c>
      <c r="K630" s="11">
        <f>20.7104 * CHOOSE(CONTROL!$C$32, $C$9, 100%, $E$9)</f>
        <v>20.7104</v>
      </c>
      <c r="L630" s="11">
        <f>8.1633 * CHOOSE(CONTROL!$C$32, $C$9, 100%, $E$9)</f>
        <v>8.1632999999999996</v>
      </c>
      <c r="M630" s="11">
        <f>8.1675 * CHOOSE(CONTROL!$C$32, $C$9, 100%, $E$9)</f>
        <v>8.1675000000000004</v>
      </c>
      <c r="N630" s="11">
        <f>8.1633 * CHOOSE(CONTROL!$C$32, $C$9, 100%, $E$9)</f>
        <v>8.1632999999999996</v>
      </c>
      <c r="O630" s="11">
        <f>8.1675 * CHOOSE(CONTROL!$C$32, $C$9, 100%, $E$9)</f>
        <v>8.1675000000000004</v>
      </c>
    </row>
    <row r="631" spans="1:15" ht="15" x14ac:dyDescent="0.2">
      <c r="A631" s="13">
        <v>60054</v>
      </c>
      <c r="B631" s="9">
        <f>9.0094 * CHOOSE(CONTROL!$C$32, $C$9, 100%, $E$9)</f>
        <v>9.0093999999999994</v>
      </c>
      <c r="C631" s="9">
        <f>9.0094 * CHOOSE(CONTROL!$C$32, $C$9, 100%, $E$9)</f>
        <v>9.0093999999999994</v>
      </c>
      <c r="D631" s="9">
        <f>9.0107 * CHOOSE(CONTROL!$C$32, $C$9, 100%, $E$9)</f>
        <v>9.0106999999999999</v>
      </c>
      <c r="E631" s="11">
        <f>8.0893 * CHOOSE(CONTROL!$C$32, $C$9, 100%, $E$9)</f>
        <v>8.0892999999999997</v>
      </c>
      <c r="F631" s="11">
        <f>8.0893 * CHOOSE(CONTROL!$C$32, $C$9, 100%, $E$9)</f>
        <v>8.0892999999999997</v>
      </c>
      <c r="G631" s="11">
        <f>8.0935 * CHOOSE(CONTROL!$C$32, $C$9, 100%, $E$9)</f>
        <v>8.0935000000000006</v>
      </c>
      <c r="H631" s="11">
        <f>20.7493 * CHOOSE(CONTROL!$C$32, $C$9, 100%, $E$9)</f>
        <v>20.749300000000002</v>
      </c>
      <c r="I631" s="11">
        <f>20.7535 * CHOOSE(CONTROL!$C$32, $C$9, 100%, $E$9)</f>
        <v>20.753499999999999</v>
      </c>
      <c r="J631" s="11">
        <f>20.7493 * CHOOSE(CONTROL!$C$32, $C$9, 100%, $E$9)</f>
        <v>20.749300000000002</v>
      </c>
      <c r="K631" s="11">
        <f>20.7535 * CHOOSE(CONTROL!$C$32, $C$9, 100%, $E$9)</f>
        <v>20.753499999999999</v>
      </c>
      <c r="L631" s="11">
        <f>8.0893 * CHOOSE(CONTROL!$C$32, $C$9, 100%, $E$9)</f>
        <v>8.0892999999999997</v>
      </c>
      <c r="M631" s="11">
        <f>8.0935 * CHOOSE(CONTROL!$C$32, $C$9, 100%, $E$9)</f>
        <v>8.0935000000000006</v>
      </c>
      <c r="N631" s="11">
        <f>8.0893 * CHOOSE(CONTROL!$C$32, $C$9, 100%, $E$9)</f>
        <v>8.0892999999999997</v>
      </c>
      <c r="O631" s="11">
        <f>8.0935 * CHOOSE(CONTROL!$C$32, $C$9, 100%, $E$9)</f>
        <v>8.0935000000000006</v>
      </c>
    </row>
    <row r="632" spans="1:15" ht="15" x14ac:dyDescent="0.2">
      <c r="A632" s="13">
        <v>60084</v>
      </c>
      <c r="B632" s="9">
        <f>9.1229 * CHOOSE(CONTROL!$C$32, $C$9, 100%, $E$9)</f>
        <v>9.1228999999999996</v>
      </c>
      <c r="C632" s="9">
        <f>9.1229 * CHOOSE(CONTROL!$C$32, $C$9, 100%, $E$9)</f>
        <v>9.1228999999999996</v>
      </c>
      <c r="D632" s="9">
        <f>9.1242 * CHOOSE(CONTROL!$C$32, $C$9, 100%, $E$9)</f>
        <v>9.1242000000000001</v>
      </c>
      <c r="E632" s="11">
        <f>8.1286 * CHOOSE(CONTROL!$C$32, $C$9, 100%, $E$9)</f>
        <v>8.1286000000000005</v>
      </c>
      <c r="F632" s="11">
        <f>8.1286 * CHOOSE(CONTROL!$C$32, $C$9, 100%, $E$9)</f>
        <v>8.1286000000000005</v>
      </c>
      <c r="G632" s="11">
        <f>8.1328 * CHOOSE(CONTROL!$C$32, $C$9, 100%, $E$9)</f>
        <v>8.1327999999999996</v>
      </c>
      <c r="H632" s="11">
        <f>20.7925 * CHOOSE(CONTROL!$C$32, $C$9, 100%, $E$9)</f>
        <v>20.7925</v>
      </c>
      <c r="I632" s="11">
        <f>20.7967 * CHOOSE(CONTROL!$C$32, $C$9, 100%, $E$9)</f>
        <v>20.796700000000001</v>
      </c>
      <c r="J632" s="11">
        <f>20.7925 * CHOOSE(CONTROL!$C$32, $C$9, 100%, $E$9)</f>
        <v>20.7925</v>
      </c>
      <c r="K632" s="11">
        <f>20.7967 * CHOOSE(CONTROL!$C$32, $C$9, 100%, $E$9)</f>
        <v>20.796700000000001</v>
      </c>
      <c r="L632" s="11">
        <f>8.1286 * CHOOSE(CONTROL!$C$32, $C$9, 100%, $E$9)</f>
        <v>8.1286000000000005</v>
      </c>
      <c r="M632" s="11">
        <f>8.1328 * CHOOSE(CONTROL!$C$32, $C$9, 100%, $E$9)</f>
        <v>8.1327999999999996</v>
      </c>
      <c r="N632" s="11">
        <f>8.1286 * CHOOSE(CONTROL!$C$32, $C$9, 100%, $E$9)</f>
        <v>8.1286000000000005</v>
      </c>
      <c r="O632" s="11">
        <f>8.1328 * CHOOSE(CONTROL!$C$32, $C$9, 100%, $E$9)</f>
        <v>8.1327999999999996</v>
      </c>
    </row>
    <row r="633" spans="1:15" ht="15" x14ac:dyDescent="0.2">
      <c r="A633" s="13">
        <v>60115</v>
      </c>
      <c r="B633" s="9">
        <f>9.1296 * CHOOSE(CONTROL!$C$32, $C$9, 100%, $E$9)</f>
        <v>9.1295999999999999</v>
      </c>
      <c r="C633" s="9">
        <f>9.1296 * CHOOSE(CONTROL!$C$32, $C$9, 100%, $E$9)</f>
        <v>9.1295999999999999</v>
      </c>
      <c r="D633" s="9">
        <f>9.1309 * CHOOSE(CONTROL!$C$32, $C$9, 100%, $E$9)</f>
        <v>9.1309000000000005</v>
      </c>
      <c r="E633" s="11">
        <f>7.8986 * CHOOSE(CONTROL!$C$32, $C$9, 100%, $E$9)</f>
        <v>7.8986000000000001</v>
      </c>
      <c r="F633" s="11">
        <f>7.8986 * CHOOSE(CONTROL!$C$32, $C$9, 100%, $E$9)</f>
        <v>7.8986000000000001</v>
      </c>
      <c r="G633" s="11">
        <f>7.9028 * CHOOSE(CONTROL!$C$32, $C$9, 100%, $E$9)</f>
        <v>7.9028</v>
      </c>
      <c r="H633" s="11">
        <f>20.8358 * CHOOSE(CONTROL!$C$32, $C$9, 100%, $E$9)</f>
        <v>20.835799999999999</v>
      </c>
      <c r="I633" s="11">
        <f>20.84 * CHOOSE(CONTROL!$C$32, $C$9, 100%, $E$9)</f>
        <v>20.84</v>
      </c>
      <c r="J633" s="11">
        <f>20.8358 * CHOOSE(CONTROL!$C$32, $C$9, 100%, $E$9)</f>
        <v>20.835799999999999</v>
      </c>
      <c r="K633" s="11">
        <f>20.84 * CHOOSE(CONTROL!$C$32, $C$9, 100%, $E$9)</f>
        <v>20.84</v>
      </c>
      <c r="L633" s="11">
        <f>7.8986 * CHOOSE(CONTROL!$C$32, $C$9, 100%, $E$9)</f>
        <v>7.8986000000000001</v>
      </c>
      <c r="M633" s="11">
        <f>7.9028 * CHOOSE(CONTROL!$C$32, $C$9, 100%, $E$9)</f>
        <v>7.9028</v>
      </c>
      <c r="N633" s="11">
        <f>7.8986 * CHOOSE(CONTROL!$C$32, $C$9, 100%, $E$9)</f>
        <v>7.8986000000000001</v>
      </c>
      <c r="O633" s="11">
        <f>7.9028 * CHOOSE(CONTROL!$C$32, $C$9, 100%, $E$9)</f>
        <v>7.9028</v>
      </c>
    </row>
    <row r="634" spans="1:15" ht="15" x14ac:dyDescent="0.2">
      <c r="A634" s="13">
        <v>60146</v>
      </c>
      <c r="B634" s="9">
        <f>9.1266 * CHOOSE(CONTROL!$C$32, $C$9, 100%, $E$9)</f>
        <v>9.1265999999999998</v>
      </c>
      <c r="C634" s="9">
        <f>9.1266 * CHOOSE(CONTROL!$C$32, $C$9, 100%, $E$9)</f>
        <v>9.1265999999999998</v>
      </c>
      <c r="D634" s="9">
        <f>9.1278 * CHOOSE(CONTROL!$C$32, $C$9, 100%, $E$9)</f>
        <v>9.1278000000000006</v>
      </c>
      <c r="E634" s="11">
        <f>7.8704 * CHOOSE(CONTROL!$C$32, $C$9, 100%, $E$9)</f>
        <v>7.8704000000000001</v>
      </c>
      <c r="F634" s="11">
        <f>7.8704 * CHOOSE(CONTROL!$C$32, $C$9, 100%, $E$9)</f>
        <v>7.8704000000000001</v>
      </c>
      <c r="G634" s="11">
        <f>7.8746 * CHOOSE(CONTROL!$C$32, $C$9, 100%, $E$9)</f>
        <v>7.8746</v>
      </c>
      <c r="H634" s="11">
        <f>20.8792 * CHOOSE(CONTROL!$C$32, $C$9, 100%, $E$9)</f>
        <v>20.879200000000001</v>
      </c>
      <c r="I634" s="11">
        <f>20.8834 * CHOOSE(CONTROL!$C$32, $C$9, 100%, $E$9)</f>
        <v>20.883400000000002</v>
      </c>
      <c r="J634" s="11">
        <f>20.8792 * CHOOSE(CONTROL!$C$32, $C$9, 100%, $E$9)</f>
        <v>20.879200000000001</v>
      </c>
      <c r="K634" s="11">
        <f>20.8834 * CHOOSE(CONTROL!$C$32, $C$9, 100%, $E$9)</f>
        <v>20.883400000000002</v>
      </c>
      <c r="L634" s="11">
        <f>7.8704 * CHOOSE(CONTROL!$C$32, $C$9, 100%, $E$9)</f>
        <v>7.8704000000000001</v>
      </c>
      <c r="M634" s="11">
        <f>7.8746 * CHOOSE(CONTROL!$C$32, $C$9, 100%, $E$9)</f>
        <v>7.8746</v>
      </c>
      <c r="N634" s="11">
        <f>7.8704 * CHOOSE(CONTROL!$C$32, $C$9, 100%, $E$9)</f>
        <v>7.8704000000000001</v>
      </c>
      <c r="O634" s="11">
        <f>7.8746 * CHOOSE(CONTROL!$C$32, $C$9, 100%, $E$9)</f>
        <v>7.8746</v>
      </c>
    </row>
    <row r="635" spans="1:15" ht="15" x14ac:dyDescent="0.2">
      <c r="A635" s="13">
        <v>60176</v>
      </c>
      <c r="B635" s="9">
        <f>9.1408 * CHOOSE(CONTROL!$C$32, $C$9, 100%, $E$9)</f>
        <v>9.1408000000000005</v>
      </c>
      <c r="C635" s="9">
        <f>9.1408 * CHOOSE(CONTROL!$C$32, $C$9, 100%, $E$9)</f>
        <v>9.1408000000000005</v>
      </c>
      <c r="D635" s="9">
        <f>9.1417 * CHOOSE(CONTROL!$C$32, $C$9, 100%, $E$9)</f>
        <v>9.1417000000000002</v>
      </c>
      <c r="E635" s="11">
        <f>7.9613 * CHOOSE(CONTROL!$C$32, $C$9, 100%, $E$9)</f>
        <v>7.9612999999999996</v>
      </c>
      <c r="F635" s="11">
        <f>7.9613 * CHOOSE(CONTROL!$C$32, $C$9, 100%, $E$9)</f>
        <v>7.9612999999999996</v>
      </c>
      <c r="G635" s="11">
        <f>7.9645 * CHOOSE(CONTROL!$C$32, $C$9, 100%, $E$9)</f>
        <v>7.9645000000000001</v>
      </c>
      <c r="H635" s="11">
        <f>20.9227 * CHOOSE(CONTROL!$C$32, $C$9, 100%, $E$9)</f>
        <v>20.922699999999999</v>
      </c>
      <c r="I635" s="11">
        <f>20.926 * CHOOSE(CONTROL!$C$32, $C$9, 100%, $E$9)</f>
        <v>20.925999999999998</v>
      </c>
      <c r="J635" s="11">
        <f>20.9227 * CHOOSE(CONTROL!$C$32, $C$9, 100%, $E$9)</f>
        <v>20.922699999999999</v>
      </c>
      <c r="K635" s="11">
        <f>20.926 * CHOOSE(CONTROL!$C$32, $C$9, 100%, $E$9)</f>
        <v>20.925999999999998</v>
      </c>
      <c r="L635" s="11">
        <f>7.9613 * CHOOSE(CONTROL!$C$32, $C$9, 100%, $E$9)</f>
        <v>7.9612999999999996</v>
      </c>
      <c r="M635" s="11">
        <f>7.9645 * CHOOSE(CONTROL!$C$32, $C$9, 100%, $E$9)</f>
        <v>7.9645000000000001</v>
      </c>
      <c r="N635" s="11">
        <f>7.9613 * CHOOSE(CONTROL!$C$32, $C$9, 100%, $E$9)</f>
        <v>7.9612999999999996</v>
      </c>
      <c r="O635" s="11">
        <f>7.9645 * CHOOSE(CONTROL!$C$32, $C$9, 100%, $E$9)</f>
        <v>7.9645000000000001</v>
      </c>
    </row>
    <row r="636" spans="1:15" ht="15" x14ac:dyDescent="0.2">
      <c r="A636" s="13">
        <v>60207</v>
      </c>
      <c r="B636" s="9">
        <f>9.1438 * CHOOSE(CONTROL!$C$32, $C$9, 100%, $E$9)</f>
        <v>9.1438000000000006</v>
      </c>
      <c r="C636" s="9">
        <f>9.1438 * CHOOSE(CONTROL!$C$32, $C$9, 100%, $E$9)</f>
        <v>9.1438000000000006</v>
      </c>
      <c r="D636" s="9">
        <f>9.1448 * CHOOSE(CONTROL!$C$32, $C$9, 100%, $E$9)</f>
        <v>9.1448</v>
      </c>
      <c r="E636" s="11">
        <f>8.0156 * CHOOSE(CONTROL!$C$32, $C$9, 100%, $E$9)</f>
        <v>8.0155999999999992</v>
      </c>
      <c r="F636" s="11">
        <f>8.0156 * CHOOSE(CONTROL!$C$32, $C$9, 100%, $E$9)</f>
        <v>8.0155999999999992</v>
      </c>
      <c r="G636" s="11">
        <f>8.0188 * CHOOSE(CONTROL!$C$32, $C$9, 100%, $E$9)</f>
        <v>8.0188000000000006</v>
      </c>
      <c r="H636" s="11">
        <f>20.9663 * CHOOSE(CONTROL!$C$32, $C$9, 100%, $E$9)</f>
        <v>20.9663</v>
      </c>
      <c r="I636" s="11">
        <f>20.9696 * CHOOSE(CONTROL!$C$32, $C$9, 100%, $E$9)</f>
        <v>20.9696</v>
      </c>
      <c r="J636" s="11">
        <f>20.9663 * CHOOSE(CONTROL!$C$32, $C$9, 100%, $E$9)</f>
        <v>20.9663</v>
      </c>
      <c r="K636" s="11">
        <f>20.9696 * CHOOSE(CONTROL!$C$32, $C$9, 100%, $E$9)</f>
        <v>20.9696</v>
      </c>
      <c r="L636" s="11">
        <f>8.0156 * CHOOSE(CONTROL!$C$32, $C$9, 100%, $E$9)</f>
        <v>8.0155999999999992</v>
      </c>
      <c r="M636" s="11">
        <f>8.0188 * CHOOSE(CONTROL!$C$32, $C$9, 100%, $E$9)</f>
        <v>8.0188000000000006</v>
      </c>
      <c r="N636" s="11">
        <f>8.0156 * CHOOSE(CONTROL!$C$32, $C$9, 100%, $E$9)</f>
        <v>8.0155999999999992</v>
      </c>
      <c r="O636" s="11">
        <f>8.0188 * CHOOSE(CONTROL!$C$32, $C$9, 100%, $E$9)</f>
        <v>8.0188000000000006</v>
      </c>
    </row>
    <row r="637" spans="1:15" ht="15" x14ac:dyDescent="0.2">
      <c r="A637" s="13">
        <v>60237</v>
      </c>
      <c r="B637" s="9">
        <f>9.1438 * CHOOSE(CONTROL!$C$32, $C$9, 100%, $E$9)</f>
        <v>9.1438000000000006</v>
      </c>
      <c r="C637" s="9">
        <f>9.1438 * CHOOSE(CONTROL!$C$32, $C$9, 100%, $E$9)</f>
        <v>9.1438000000000006</v>
      </c>
      <c r="D637" s="9">
        <f>9.1448 * CHOOSE(CONTROL!$C$32, $C$9, 100%, $E$9)</f>
        <v>9.1448</v>
      </c>
      <c r="E637" s="11">
        <f>7.8852 * CHOOSE(CONTROL!$C$32, $C$9, 100%, $E$9)</f>
        <v>7.8852000000000002</v>
      </c>
      <c r="F637" s="11">
        <f>7.8852 * CHOOSE(CONTROL!$C$32, $C$9, 100%, $E$9)</f>
        <v>7.8852000000000002</v>
      </c>
      <c r="G637" s="11">
        <f>7.8884 * CHOOSE(CONTROL!$C$32, $C$9, 100%, $E$9)</f>
        <v>7.8883999999999999</v>
      </c>
      <c r="H637" s="11">
        <f>21.01 * CHOOSE(CONTROL!$C$32, $C$9, 100%, $E$9)</f>
        <v>21.01</v>
      </c>
      <c r="I637" s="11">
        <f>21.0132 * CHOOSE(CONTROL!$C$32, $C$9, 100%, $E$9)</f>
        <v>21.013200000000001</v>
      </c>
      <c r="J637" s="11">
        <f>21.01 * CHOOSE(CONTROL!$C$32, $C$9, 100%, $E$9)</f>
        <v>21.01</v>
      </c>
      <c r="K637" s="11">
        <f>21.0132 * CHOOSE(CONTROL!$C$32, $C$9, 100%, $E$9)</f>
        <v>21.013200000000001</v>
      </c>
      <c r="L637" s="11">
        <f>7.8852 * CHOOSE(CONTROL!$C$32, $C$9, 100%, $E$9)</f>
        <v>7.8852000000000002</v>
      </c>
      <c r="M637" s="11">
        <f>7.8884 * CHOOSE(CONTROL!$C$32, $C$9, 100%, $E$9)</f>
        <v>7.8883999999999999</v>
      </c>
      <c r="N637" s="11">
        <f>7.8852 * CHOOSE(CONTROL!$C$32, $C$9, 100%, $E$9)</f>
        <v>7.8852000000000002</v>
      </c>
      <c r="O637" s="11">
        <f>7.8884 * CHOOSE(CONTROL!$C$32, $C$9, 100%, $E$9)</f>
        <v>7.8883999999999999</v>
      </c>
    </row>
    <row r="638" spans="1:15" ht="15" x14ac:dyDescent="0.2">
      <c r="A638" s="13">
        <v>60268</v>
      </c>
      <c r="B638" s="9">
        <f>9.1943 * CHOOSE(CONTROL!$C$32, $C$9, 100%, $E$9)</f>
        <v>9.1943000000000001</v>
      </c>
      <c r="C638" s="9">
        <f>9.1943 * CHOOSE(CONTROL!$C$32, $C$9, 100%, $E$9)</f>
        <v>9.1943000000000001</v>
      </c>
      <c r="D638" s="9">
        <f>9.1952 * CHOOSE(CONTROL!$C$32, $C$9, 100%, $E$9)</f>
        <v>9.1951999999999998</v>
      </c>
      <c r="E638" s="11">
        <f>8.0144 * CHOOSE(CONTROL!$C$32, $C$9, 100%, $E$9)</f>
        <v>8.0144000000000002</v>
      </c>
      <c r="F638" s="11">
        <f>8.0144 * CHOOSE(CONTROL!$C$32, $C$9, 100%, $E$9)</f>
        <v>8.0144000000000002</v>
      </c>
      <c r="G638" s="11">
        <f>8.0176 * CHOOSE(CONTROL!$C$32, $C$9, 100%, $E$9)</f>
        <v>8.0175999999999998</v>
      </c>
      <c r="H638" s="11">
        <f>21.0061 * CHOOSE(CONTROL!$C$32, $C$9, 100%, $E$9)</f>
        <v>21.0061</v>
      </c>
      <c r="I638" s="11">
        <f>21.0093 * CHOOSE(CONTROL!$C$32, $C$9, 100%, $E$9)</f>
        <v>21.0093</v>
      </c>
      <c r="J638" s="11">
        <f>21.0061 * CHOOSE(CONTROL!$C$32, $C$9, 100%, $E$9)</f>
        <v>21.0061</v>
      </c>
      <c r="K638" s="11">
        <f>21.0093 * CHOOSE(CONTROL!$C$32, $C$9, 100%, $E$9)</f>
        <v>21.0093</v>
      </c>
      <c r="L638" s="11">
        <f>8.0144 * CHOOSE(CONTROL!$C$32, $C$9, 100%, $E$9)</f>
        <v>8.0144000000000002</v>
      </c>
      <c r="M638" s="11">
        <f>8.0176 * CHOOSE(CONTROL!$C$32, $C$9, 100%, $E$9)</f>
        <v>8.0175999999999998</v>
      </c>
      <c r="N638" s="11">
        <f>8.0144 * CHOOSE(CONTROL!$C$32, $C$9, 100%, $E$9)</f>
        <v>8.0144000000000002</v>
      </c>
      <c r="O638" s="11">
        <f>8.0176 * CHOOSE(CONTROL!$C$32, $C$9, 100%, $E$9)</f>
        <v>8.0175999999999998</v>
      </c>
    </row>
    <row r="639" spans="1:15" ht="15" x14ac:dyDescent="0.2">
      <c r="A639" s="13">
        <v>60299</v>
      </c>
      <c r="B639" s="9">
        <f>9.1912 * CHOOSE(CONTROL!$C$32, $C$9, 100%, $E$9)</f>
        <v>9.1912000000000003</v>
      </c>
      <c r="C639" s="9">
        <f>9.1912 * CHOOSE(CONTROL!$C$32, $C$9, 100%, $E$9)</f>
        <v>9.1912000000000003</v>
      </c>
      <c r="D639" s="9">
        <f>9.1922 * CHOOSE(CONTROL!$C$32, $C$9, 100%, $E$9)</f>
        <v>9.1921999999999997</v>
      </c>
      <c r="E639" s="11">
        <f>7.7588 * CHOOSE(CONTROL!$C$32, $C$9, 100%, $E$9)</f>
        <v>7.7587999999999999</v>
      </c>
      <c r="F639" s="11">
        <f>7.7588 * CHOOSE(CONTROL!$C$32, $C$9, 100%, $E$9)</f>
        <v>7.7587999999999999</v>
      </c>
      <c r="G639" s="11">
        <f>7.762 * CHOOSE(CONTROL!$C$32, $C$9, 100%, $E$9)</f>
        <v>7.7619999999999996</v>
      </c>
      <c r="H639" s="11">
        <f>21.0498 * CHOOSE(CONTROL!$C$32, $C$9, 100%, $E$9)</f>
        <v>21.049800000000001</v>
      </c>
      <c r="I639" s="11">
        <f>21.0531 * CHOOSE(CONTROL!$C$32, $C$9, 100%, $E$9)</f>
        <v>21.053100000000001</v>
      </c>
      <c r="J639" s="11">
        <f>21.0498 * CHOOSE(CONTROL!$C$32, $C$9, 100%, $E$9)</f>
        <v>21.049800000000001</v>
      </c>
      <c r="K639" s="11">
        <f>21.0531 * CHOOSE(CONTROL!$C$32, $C$9, 100%, $E$9)</f>
        <v>21.053100000000001</v>
      </c>
      <c r="L639" s="11">
        <f>7.7588 * CHOOSE(CONTROL!$C$32, $C$9, 100%, $E$9)</f>
        <v>7.7587999999999999</v>
      </c>
      <c r="M639" s="11">
        <f>7.762 * CHOOSE(CONTROL!$C$32, $C$9, 100%, $E$9)</f>
        <v>7.7619999999999996</v>
      </c>
      <c r="N639" s="11">
        <f>7.7588 * CHOOSE(CONTROL!$C$32, $C$9, 100%, $E$9)</f>
        <v>7.7587999999999999</v>
      </c>
      <c r="O639" s="11">
        <f>7.762 * CHOOSE(CONTROL!$C$32, $C$9, 100%, $E$9)</f>
        <v>7.7619999999999996</v>
      </c>
    </row>
    <row r="640" spans="1:15" ht="15" x14ac:dyDescent="0.2">
      <c r="A640" s="13">
        <v>60327</v>
      </c>
      <c r="B640" s="9">
        <f>9.1882 * CHOOSE(CONTROL!$C$32, $C$9, 100%, $E$9)</f>
        <v>9.1882000000000001</v>
      </c>
      <c r="C640" s="9">
        <f>9.1882 * CHOOSE(CONTROL!$C$32, $C$9, 100%, $E$9)</f>
        <v>9.1882000000000001</v>
      </c>
      <c r="D640" s="9">
        <f>9.1892 * CHOOSE(CONTROL!$C$32, $C$9, 100%, $E$9)</f>
        <v>9.1891999999999996</v>
      </c>
      <c r="E640" s="11">
        <f>7.9565 * CHOOSE(CONTROL!$C$32, $C$9, 100%, $E$9)</f>
        <v>7.9565000000000001</v>
      </c>
      <c r="F640" s="11">
        <f>7.9565 * CHOOSE(CONTROL!$C$32, $C$9, 100%, $E$9)</f>
        <v>7.9565000000000001</v>
      </c>
      <c r="G640" s="11">
        <f>7.9597 * CHOOSE(CONTROL!$C$32, $C$9, 100%, $E$9)</f>
        <v>7.9596999999999998</v>
      </c>
      <c r="H640" s="11">
        <f>21.0937 * CHOOSE(CONTROL!$C$32, $C$9, 100%, $E$9)</f>
        <v>21.093699999999998</v>
      </c>
      <c r="I640" s="11">
        <f>21.0969 * CHOOSE(CONTROL!$C$32, $C$9, 100%, $E$9)</f>
        <v>21.096900000000002</v>
      </c>
      <c r="J640" s="11">
        <f>21.0937 * CHOOSE(CONTROL!$C$32, $C$9, 100%, $E$9)</f>
        <v>21.093699999999998</v>
      </c>
      <c r="K640" s="11">
        <f>21.0969 * CHOOSE(CONTROL!$C$32, $C$9, 100%, $E$9)</f>
        <v>21.096900000000002</v>
      </c>
      <c r="L640" s="11">
        <f>7.9565 * CHOOSE(CONTROL!$C$32, $C$9, 100%, $E$9)</f>
        <v>7.9565000000000001</v>
      </c>
      <c r="M640" s="11">
        <f>7.9597 * CHOOSE(CONTROL!$C$32, $C$9, 100%, $E$9)</f>
        <v>7.9596999999999998</v>
      </c>
      <c r="N640" s="11">
        <f>7.9565 * CHOOSE(CONTROL!$C$32, $C$9, 100%, $E$9)</f>
        <v>7.9565000000000001</v>
      </c>
      <c r="O640" s="11">
        <f>7.9597 * CHOOSE(CONTROL!$C$32, $C$9, 100%, $E$9)</f>
        <v>7.9596999999999998</v>
      </c>
    </row>
    <row r="641" spans="1:15" ht="15" x14ac:dyDescent="0.2">
      <c r="A641" s="13">
        <v>60358</v>
      </c>
      <c r="B641" s="9">
        <f>9.1909 * CHOOSE(CONTROL!$C$32, $C$9, 100%, $E$9)</f>
        <v>9.1908999999999992</v>
      </c>
      <c r="C641" s="9">
        <f>9.1909 * CHOOSE(CONTROL!$C$32, $C$9, 100%, $E$9)</f>
        <v>9.1908999999999992</v>
      </c>
      <c r="D641" s="9">
        <f>9.1918 * CHOOSE(CONTROL!$C$32, $C$9, 100%, $E$9)</f>
        <v>9.1918000000000006</v>
      </c>
      <c r="E641" s="11">
        <f>8.1669 * CHOOSE(CONTROL!$C$32, $C$9, 100%, $E$9)</f>
        <v>8.1669</v>
      </c>
      <c r="F641" s="11">
        <f>8.1669 * CHOOSE(CONTROL!$C$32, $C$9, 100%, $E$9)</f>
        <v>8.1669</v>
      </c>
      <c r="G641" s="11">
        <f>8.1701 * CHOOSE(CONTROL!$C$32, $C$9, 100%, $E$9)</f>
        <v>8.1700999999999997</v>
      </c>
      <c r="H641" s="11">
        <f>21.1376 * CHOOSE(CONTROL!$C$32, $C$9, 100%, $E$9)</f>
        <v>21.137599999999999</v>
      </c>
      <c r="I641" s="11">
        <f>21.1409 * CHOOSE(CONTROL!$C$32, $C$9, 100%, $E$9)</f>
        <v>21.140899999999998</v>
      </c>
      <c r="J641" s="11">
        <f>21.1376 * CHOOSE(CONTROL!$C$32, $C$9, 100%, $E$9)</f>
        <v>21.137599999999999</v>
      </c>
      <c r="K641" s="11">
        <f>21.1409 * CHOOSE(CONTROL!$C$32, $C$9, 100%, $E$9)</f>
        <v>21.140899999999998</v>
      </c>
      <c r="L641" s="11">
        <f>8.1669 * CHOOSE(CONTROL!$C$32, $C$9, 100%, $E$9)</f>
        <v>8.1669</v>
      </c>
      <c r="M641" s="11">
        <f>8.1701 * CHOOSE(CONTROL!$C$32, $C$9, 100%, $E$9)</f>
        <v>8.1700999999999997</v>
      </c>
      <c r="N641" s="11">
        <f>8.1669 * CHOOSE(CONTROL!$C$32, $C$9, 100%, $E$9)</f>
        <v>8.1669</v>
      </c>
      <c r="O641" s="11">
        <f>8.1701 * CHOOSE(CONTROL!$C$32, $C$9, 100%, $E$9)</f>
        <v>8.1700999999999997</v>
      </c>
    </row>
    <row r="642" spans="1:15" ht="15" x14ac:dyDescent="0.2">
      <c r="A642" s="13">
        <v>60388</v>
      </c>
      <c r="B642" s="9">
        <f>9.1909 * CHOOSE(CONTROL!$C$32, $C$9, 100%, $E$9)</f>
        <v>9.1908999999999992</v>
      </c>
      <c r="C642" s="9">
        <f>9.1909 * CHOOSE(CONTROL!$C$32, $C$9, 100%, $E$9)</f>
        <v>9.1908999999999992</v>
      </c>
      <c r="D642" s="9">
        <f>9.1921 * CHOOSE(CONTROL!$C$32, $C$9, 100%, $E$9)</f>
        <v>9.1920999999999999</v>
      </c>
      <c r="E642" s="11">
        <f>8.2474 * CHOOSE(CONTROL!$C$32, $C$9, 100%, $E$9)</f>
        <v>8.2474000000000007</v>
      </c>
      <c r="F642" s="11">
        <f>8.2474 * CHOOSE(CONTROL!$C$32, $C$9, 100%, $E$9)</f>
        <v>8.2474000000000007</v>
      </c>
      <c r="G642" s="11">
        <f>8.2516 * CHOOSE(CONTROL!$C$32, $C$9, 100%, $E$9)</f>
        <v>8.2515999999999998</v>
      </c>
      <c r="H642" s="11">
        <f>21.1817 * CHOOSE(CONTROL!$C$32, $C$9, 100%, $E$9)</f>
        <v>21.181699999999999</v>
      </c>
      <c r="I642" s="11">
        <f>21.1859 * CHOOSE(CONTROL!$C$32, $C$9, 100%, $E$9)</f>
        <v>21.1859</v>
      </c>
      <c r="J642" s="11">
        <f>21.1817 * CHOOSE(CONTROL!$C$32, $C$9, 100%, $E$9)</f>
        <v>21.181699999999999</v>
      </c>
      <c r="K642" s="11">
        <f>21.1859 * CHOOSE(CONTROL!$C$32, $C$9, 100%, $E$9)</f>
        <v>21.1859</v>
      </c>
      <c r="L642" s="11">
        <f>8.2474 * CHOOSE(CONTROL!$C$32, $C$9, 100%, $E$9)</f>
        <v>8.2474000000000007</v>
      </c>
      <c r="M642" s="11">
        <f>8.2516 * CHOOSE(CONTROL!$C$32, $C$9, 100%, $E$9)</f>
        <v>8.2515999999999998</v>
      </c>
      <c r="N642" s="11">
        <f>8.2474 * CHOOSE(CONTROL!$C$32, $C$9, 100%, $E$9)</f>
        <v>8.2474000000000007</v>
      </c>
      <c r="O642" s="11">
        <f>8.2516 * CHOOSE(CONTROL!$C$32, $C$9, 100%, $E$9)</f>
        <v>8.2515999999999998</v>
      </c>
    </row>
    <row r="643" spans="1:15" ht="15" x14ac:dyDescent="0.2">
      <c r="A643" s="13">
        <v>60419</v>
      </c>
      <c r="B643" s="9">
        <f>9.197 * CHOOSE(CONTROL!$C$32, $C$9, 100%, $E$9)</f>
        <v>9.1969999999999992</v>
      </c>
      <c r="C643" s="9">
        <f>9.197 * CHOOSE(CONTROL!$C$32, $C$9, 100%, $E$9)</f>
        <v>9.1969999999999992</v>
      </c>
      <c r="D643" s="9">
        <f>9.1982 * CHOOSE(CONTROL!$C$32, $C$9, 100%, $E$9)</f>
        <v>9.1981999999999999</v>
      </c>
      <c r="E643" s="11">
        <f>8.1711 * CHOOSE(CONTROL!$C$32, $C$9, 100%, $E$9)</f>
        <v>8.1710999999999991</v>
      </c>
      <c r="F643" s="11">
        <f>8.1711 * CHOOSE(CONTROL!$C$32, $C$9, 100%, $E$9)</f>
        <v>8.1710999999999991</v>
      </c>
      <c r="G643" s="11">
        <f>8.1753 * CHOOSE(CONTROL!$C$32, $C$9, 100%, $E$9)</f>
        <v>8.1753</v>
      </c>
      <c r="H643" s="11">
        <f>21.2258 * CHOOSE(CONTROL!$C$32, $C$9, 100%, $E$9)</f>
        <v>21.2258</v>
      </c>
      <c r="I643" s="11">
        <f>21.23 * CHOOSE(CONTROL!$C$32, $C$9, 100%, $E$9)</f>
        <v>21.23</v>
      </c>
      <c r="J643" s="11">
        <f>21.2258 * CHOOSE(CONTROL!$C$32, $C$9, 100%, $E$9)</f>
        <v>21.2258</v>
      </c>
      <c r="K643" s="11">
        <f>21.23 * CHOOSE(CONTROL!$C$32, $C$9, 100%, $E$9)</f>
        <v>21.23</v>
      </c>
      <c r="L643" s="11">
        <f>8.1711 * CHOOSE(CONTROL!$C$32, $C$9, 100%, $E$9)</f>
        <v>8.1710999999999991</v>
      </c>
      <c r="M643" s="11">
        <f>8.1753 * CHOOSE(CONTROL!$C$32, $C$9, 100%, $E$9)</f>
        <v>8.1753</v>
      </c>
      <c r="N643" s="11">
        <f>8.1711 * CHOOSE(CONTROL!$C$32, $C$9, 100%, $E$9)</f>
        <v>8.1710999999999991</v>
      </c>
      <c r="O643" s="11">
        <f>8.1753 * CHOOSE(CONTROL!$C$32, $C$9, 100%, $E$9)</f>
        <v>8.1753</v>
      </c>
    </row>
    <row r="644" spans="1:15" ht="15" x14ac:dyDescent="0.2">
      <c r="A644" s="13">
        <v>60449</v>
      </c>
      <c r="B644" s="9">
        <f>9.3125 * CHOOSE(CONTROL!$C$32, $C$9, 100%, $E$9)</f>
        <v>9.3125</v>
      </c>
      <c r="C644" s="9">
        <f>9.3125 * CHOOSE(CONTROL!$C$32, $C$9, 100%, $E$9)</f>
        <v>9.3125</v>
      </c>
      <c r="D644" s="9">
        <f>9.3138 * CHOOSE(CONTROL!$C$32, $C$9, 100%, $E$9)</f>
        <v>9.3138000000000005</v>
      </c>
      <c r="E644" s="11">
        <f>8.2116 * CHOOSE(CONTROL!$C$32, $C$9, 100%, $E$9)</f>
        <v>8.2116000000000007</v>
      </c>
      <c r="F644" s="11">
        <f>8.2116 * CHOOSE(CONTROL!$C$32, $C$9, 100%, $E$9)</f>
        <v>8.2116000000000007</v>
      </c>
      <c r="G644" s="11">
        <f>8.2158 * CHOOSE(CONTROL!$C$32, $C$9, 100%, $E$9)</f>
        <v>8.2157999999999998</v>
      </c>
      <c r="H644" s="11">
        <f>21.27 * CHOOSE(CONTROL!$C$32, $C$9, 100%, $E$9)</f>
        <v>21.27</v>
      </c>
      <c r="I644" s="11">
        <f>21.2742 * CHOOSE(CONTROL!$C$32, $C$9, 100%, $E$9)</f>
        <v>21.2742</v>
      </c>
      <c r="J644" s="11">
        <f>21.27 * CHOOSE(CONTROL!$C$32, $C$9, 100%, $E$9)</f>
        <v>21.27</v>
      </c>
      <c r="K644" s="11">
        <f>21.2742 * CHOOSE(CONTROL!$C$32, $C$9, 100%, $E$9)</f>
        <v>21.2742</v>
      </c>
      <c r="L644" s="11">
        <f>8.2116 * CHOOSE(CONTROL!$C$32, $C$9, 100%, $E$9)</f>
        <v>8.2116000000000007</v>
      </c>
      <c r="M644" s="11">
        <f>8.2158 * CHOOSE(CONTROL!$C$32, $C$9, 100%, $E$9)</f>
        <v>8.2157999999999998</v>
      </c>
      <c r="N644" s="11">
        <f>8.2116 * CHOOSE(CONTROL!$C$32, $C$9, 100%, $E$9)</f>
        <v>8.2116000000000007</v>
      </c>
      <c r="O644" s="11">
        <f>8.2158 * CHOOSE(CONTROL!$C$32, $C$9, 100%, $E$9)</f>
        <v>8.2157999999999998</v>
      </c>
    </row>
    <row r="645" spans="1:15" ht="15" x14ac:dyDescent="0.2">
      <c r="A645" s="13">
        <v>60480</v>
      </c>
      <c r="B645" s="9">
        <f>9.3192 * CHOOSE(CONTROL!$C$32, $C$9, 100%, $E$9)</f>
        <v>9.3192000000000004</v>
      </c>
      <c r="C645" s="9">
        <f>9.3192 * CHOOSE(CONTROL!$C$32, $C$9, 100%, $E$9)</f>
        <v>9.3192000000000004</v>
      </c>
      <c r="D645" s="9">
        <f>9.3205 * CHOOSE(CONTROL!$C$32, $C$9, 100%, $E$9)</f>
        <v>9.3204999999999991</v>
      </c>
      <c r="E645" s="11">
        <f>7.9748 * CHOOSE(CONTROL!$C$32, $C$9, 100%, $E$9)</f>
        <v>7.9748000000000001</v>
      </c>
      <c r="F645" s="11">
        <f>7.9748 * CHOOSE(CONTROL!$C$32, $C$9, 100%, $E$9)</f>
        <v>7.9748000000000001</v>
      </c>
      <c r="G645" s="11">
        <f>7.979 * CHOOSE(CONTROL!$C$32, $C$9, 100%, $E$9)</f>
        <v>7.9790000000000001</v>
      </c>
      <c r="H645" s="11">
        <f>21.3143 * CHOOSE(CONTROL!$C$32, $C$9, 100%, $E$9)</f>
        <v>21.314299999999999</v>
      </c>
      <c r="I645" s="11">
        <f>21.3185 * CHOOSE(CONTROL!$C$32, $C$9, 100%, $E$9)</f>
        <v>21.3185</v>
      </c>
      <c r="J645" s="11">
        <f>21.3143 * CHOOSE(CONTROL!$C$32, $C$9, 100%, $E$9)</f>
        <v>21.314299999999999</v>
      </c>
      <c r="K645" s="11">
        <f>21.3185 * CHOOSE(CONTROL!$C$32, $C$9, 100%, $E$9)</f>
        <v>21.3185</v>
      </c>
      <c r="L645" s="11">
        <f>7.9748 * CHOOSE(CONTROL!$C$32, $C$9, 100%, $E$9)</f>
        <v>7.9748000000000001</v>
      </c>
      <c r="M645" s="11">
        <f>7.979 * CHOOSE(CONTROL!$C$32, $C$9, 100%, $E$9)</f>
        <v>7.9790000000000001</v>
      </c>
      <c r="N645" s="11">
        <f>7.9748 * CHOOSE(CONTROL!$C$32, $C$9, 100%, $E$9)</f>
        <v>7.9748000000000001</v>
      </c>
      <c r="O645" s="11">
        <f>7.979 * CHOOSE(CONTROL!$C$32, $C$9, 100%, $E$9)</f>
        <v>7.9790000000000001</v>
      </c>
    </row>
    <row r="646" spans="1:15" ht="15" x14ac:dyDescent="0.2">
      <c r="A646" s="13">
        <v>60511</v>
      </c>
      <c r="B646" s="9">
        <f>9.3162 * CHOOSE(CONTROL!$C$32, $C$9, 100%, $E$9)</f>
        <v>9.3162000000000003</v>
      </c>
      <c r="C646" s="9">
        <f>9.3162 * CHOOSE(CONTROL!$C$32, $C$9, 100%, $E$9)</f>
        <v>9.3162000000000003</v>
      </c>
      <c r="D646" s="9">
        <f>9.3174 * CHOOSE(CONTROL!$C$32, $C$9, 100%, $E$9)</f>
        <v>9.3173999999999992</v>
      </c>
      <c r="E646" s="11">
        <f>7.9458 * CHOOSE(CONTROL!$C$32, $C$9, 100%, $E$9)</f>
        <v>7.9458000000000002</v>
      </c>
      <c r="F646" s="11">
        <f>7.9458 * CHOOSE(CONTROL!$C$32, $C$9, 100%, $E$9)</f>
        <v>7.9458000000000002</v>
      </c>
      <c r="G646" s="11">
        <f>7.95 * CHOOSE(CONTROL!$C$32, $C$9, 100%, $E$9)</f>
        <v>7.95</v>
      </c>
      <c r="H646" s="11">
        <f>21.3587 * CHOOSE(CONTROL!$C$32, $C$9, 100%, $E$9)</f>
        <v>21.358699999999999</v>
      </c>
      <c r="I646" s="11">
        <f>21.3629 * CHOOSE(CONTROL!$C$32, $C$9, 100%, $E$9)</f>
        <v>21.3629</v>
      </c>
      <c r="J646" s="11">
        <f>21.3587 * CHOOSE(CONTROL!$C$32, $C$9, 100%, $E$9)</f>
        <v>21.358699999999999</v>
      </c>
      <c r="K646" s="11">
        <f>21.3629 * CHOOSE(CONTROL!$C$32, $C$9, 100%, $E$9)</f>
        <v>21.3629</v>
      </c>
      <c r="L646" s="11">
        <f>7.9458 * CHOOSE(CONTROL!$C$32, $C$9, 100%, $E$9)</f>
        <v>7.9458000000000002</v>
      </c>
      <c r="M646" s="11">
        <f>7.95 * CHOOSE(CONTROL!$C$32, $C$9, 100%, $E$9)</f>
        <v>7.95</v>
      </c>
      <c r="N646" s="11">
        <f>7.9458 * CHOOSE(CONTROL!$C$32, $C$9, 100%, $E$9)</f>
        <v>7.9458000000000002</v>
      </c>
      <c r="O646" s="11">
        <f>7.95 * CHOOSE(CONTROL!$C$32, $C$9, 100%, $E$9)</f>
        <v>7.95</v>
      </c>
    </row>
    <row r="647" spans="1:15" ht="15" x14ac:dyDescent="0.2">
      <c r="A647" s="13">
        <v>60541</v>
      </c>
      <c r="B647" s="9">
        <f>9.3311 * CHOOSE(CONTROL!$C$32, $C$9, 100%, $E$9)</f>
        <v>9.3310999999999993</v>
      </c>
      <c r="C647" s="9">
        <f>9.3311 * CHOOSE(CONTROL!$C$32, $C$9, 100%, $E$9)</f>
        <v>9.3310999999999993</v>
      </c>
      <c r="D647" s="9">
        <f>9.332 * CHOOSE(CONTROL!$C$32, $C$9, 100%, $E$9)</f>
        <v>9.3320000000000007</v>
      </c>
      <c r="E647" s="11">
        <f>8.0397 * CHOOSE(CONTROL!$C$32, $C$9, 100%, $E$9)</f>
        <v>8.0396999999999998</v>
      </c>
      <c r="F647" s="11">
        <f>8.0397 * CHOOSE(CONTROL!$C$32, $C$9, 100%, $E$9)</f>
        <v>8.0396999999999998</v>
      </c>
      <c r="G647" s="11">
        <f>8.043 * CHOOSE(CONTROL!$C$32, $C$9, 100%, $E$9)</f>
        <v>8.0429999999999993</v>
      </c>
      <c r="H647" s="11">
        <f>21.4032 * CHOOSE(CONTROL!$C$32, $C$9, 100%, $E$9)</f>
        <v>21.403199999999998</v>
      </c>
      <c r="I647" s="11">
        <f>21.4065 * CHOOSE(CONTROL!$C$32, $C$9, 100%, $E$9)</f>
        <v>21.406500000000001</v>
      </c>
      <c r="J647" s="11">
        <f>21.4032 * CHOOSE(CONTROL!$C$32, $C$9, 100%, $E$9)</f>
        <v>21.403199999999998</v>
      </c>
      <c r="K647" s="11">
        <f>21.4065 * CHOOSE(CONTROL!$C$32, $C$9, 100%, $E$9)</f>
        <v>21.406500000000001</v>
      </c>
      <c r="L647" s="11">
        <f>8.0397 * CHOOSE(CONTROL!$C$32, $C$9, 100%, $E$9)</f>
        <v>8.0396999999999998</v>
      </c>
      <c r="M647" s="11">
        <f>8.043 * CHOOSE(CONTROL!$C$32, $C$9, 100%, $E$9)</f>
        <v>8.0429999999999993</v>
      </c>
      <c r="N647" s="11">
        <f>8.0397 * CHOOSE(CONTROL!$C$32, $C$9, 100%, $E$9)</f>
        <v>8.0396999999999998</v>
      </c>
      <c r="O647" s="11">
        <f>8.043 * CHOOSE(CONTROL!$C$32, $C$9, 100%, $E$9)</f>
        <v>8.0429999999999993</v>
      </c>
    </row>
    <row r="648" spans="1:15" ht="15" x14ac:dyDescent="0.2">
      <c r="A648" s="13">
        <v>60572</v>
      </c>
      <c r="B648" s="9">
        <f>9.3341 * CHOOSE(CONTROL!$C$32, $C$9, 100%, $E$9)</f>
        <v>9.3340999999999994</v>
      </c>
      <c r="C648" s="9">
        <f>9.3341 * CHOOSE(CONTROL!$C$32, $C$9, 100%, $E$9)</f>
        <v>9.3340999999999994</v>
      </c>
      <c r="D648" s="9">
        <f>9.3351 * CHOOSE(CONTROL!$C$32, $C$9, 100%, $E$9)</f>
        <v>9.3351000000000006</v>
      </c>
      <c r="E648" s="11">
        <f>8.0955 * CHOOSE(CONTROL!$C$32, $C$9, 100%, $E$9)</f>
        <v>8.0954999999999995</v>
      </c>
      <c r="F648" s="11">
        <f>8.0955 * CHOOSE(CONTROL!$C$32, $C$9, 100%, $E$9)</f>
        <v>8.0954999999999995</v>
      </c>
      <c r="G648" s="11">
        <f>8.0987 * CHOOSE(CONTROL!$C$32, $C$9, 100%, $E$9)</f>
        <v>8.0986999999999991</v>
      </c>
      <c r="H648" s="11">
        <f>21.4478 * CHOOSE(CONTROL!$C$32, $C$9, 100%, $E$9)</f>
        <v>21.447800000000001</v>
      </c>
      <c r="I648" s="11">
        <f>21.4511 * CHOOSE(CONTROL!$C$32, $C$9, 100%, $E$9)</f>
        <v>21.4511</v>
      </c>
      <c r="J648" s="11">
        <f>21.4478 * CHOOSE(CONTROL!$C$32, $C$9, 100%, $E$9)</f>
        <v>21.447800000000001</v>
      </c>
      <c r="K648" s="11">
        <f>21.4511 * CHOOSE(CONTROL!$C$32, $C$9, 100%, $E$9)</f>
        <v>21.4511</v>
      </c>
      <c r="L648" s="11">
        <f>8.0955 * CHOOSE(CONTROL!$C$32, $C$9, 100%, $E$9)</f>
        <v>8.0954999999999995</v>
      </c>
      <c r="M648" s="11">
        <f>8.0987 * CHOOSE(CONTROL!$C$32, $C$9, 100%, $E$9)</f>
        <v>8.0986999999999991</v>
      </c>
      <c r="N648" s="11">
        <f>8.0955 * CHOOSE(CONTROL!$C$32, $C$9, 100%, $E$9)</f>
        <v>8.0954999999999995</v>
      </c>
      <c r="O648" s="11">
        <f>8.0987 * CHOOSE(CONTROL!$C$32, $C$9, 100%, $E$9)</f>
        <v>8.0986999999999991</v>
      </c>
    </row>
    <row r="649" spans="1:15" ht="15" x14ac:dyDescent="0.2">
      <c r="A649" s="13">
        <v>60602</v>
      </c>
      <c r="B649" s="9">
        <f>9.3341 * CHOOSE(CONTROL!$C$32, $C$9, 100%, $E$9)</f>
        <v>9.3340999999999994</v>
      </c>
      <c r="C649" s="9">
        <f>9.3341 * CHOOSE(CONTROL!$C$32, $C$9, 100%, $E$9)</f>
        <v>9.3340999999999994</v>
      </c>
      <c r="D649" s="9">
        <f>9.3351 * CHOOSE(CONTROL!$C$32, $C$9, 100%, $E$9)</f>
        <v>9.3351000000000006</v>
      </c>
      <c r="E649" s="11">
        <f>7.9614 * CHOOSE(CONTROL!$C$32, $C$9, 100%, $E$9)</f>
        <v>7.9614000000000003</v>
      </c>
      <c r="F649" s="11">
        <f>7.9614 * CHOOSE(CONTROL!$C$32, $C$9, 100%, $E$9)</f>
        <v>7.9614000000000003</v>
      </c>
      <c r="G649" s="11">
        <f>7.9646 * CHOOSE(CONTROL!$C$32, $C$9, 100%, $E$9)</f>
        <v>7.9645999999999999</v>
      </c>
      <c r="H649" s="11">
        <f>21.4925 * CHOOSE(CONTROL!$C$32, $C$9, 100%, $E$9)</f>
        <v>21.4925</v>
      </c>
      <c r="I649" s="11">
        <f>21.4957 * CHOOSE(CONTROL!$C$32, $C$9, 100%, $E$9)</f>
        <v>21.495699999999999</v>
      </c>
      <c r="J649" s="11">
        <f>21.4925 * CHOOSE(CONTROL!$C$32, $C$9, 100%, $E$9)</f>
        <v>21.4925</v>
      </c>
      <c r="K649" s="11">
        <f>21.4957 * CHOOSE(CONTROL!$C$32, $C$9, 100%, $E$9)</f>
        <v>21.495699999999999</v>
      </c>
      <c r="L649" s="11">
        <f>7.9614 * CHOOSE(CONTROL!$C$32, $C$9, 100%, $E$9)</f>
        <v>7.9614000000000003</v>
      </c>
      <c r="M649" s="11">
        <f>7.9646 * CHOOSE(CONTROL!$C$32, $C$9, 100%, $E$9)</f>
        <v>7.9645999999999999</v>
      </c>
      <c r="N649" s="11">
        <f>7.9614 * CHOOSE(CONTROL!$C$32, $C$9, 100%, $E$9)</f>
        <v>7.9614000000000003</v>
      </c>
      <c r="O649" s="11">
        <f>7.9646 * CHOOSE(CONTROL!$C$32, $C$9, 100%, $E$9)</f>
        <v>7.9645999999999999</v>
      </c>
    </row>
    <row r="650" spans="1:15" ht="15" x14ac:dyDescent="0.2">
      <c r="A650" s="13">
        <v>60633</v>
      </c>
      <c r="B650" s="9">
        <f>9.3816 * CHOOSE(CONTROL!$C$32, $C$9, 100%, $E$9)</f>
        <v>9.3816000000000006</v>
      </c>
      <c r="C650" s="9">
        <f>9.3816 * CHOOSE(CONTROL!$C$32, $C$9, 100%, $E$9)</f>
        <v>9.3816000000000006</v>
      </c>
      <c r="D650" s="9">
        <f>9.3826 * CHOOSE(CONTROL!$C$32, $C$9, 100%, $E$9)</f>
        <v>9.3826000000000001</v>
      </c>
      <c r="E650" s="11">
        <f>8.0917 * CHOOSE(CONTROL!$C$32, $C$9, 100%, $E$9)</f>
        <v>8.0916999999999994</v>
      </c>
      <c r="F650" s="11">
        <f>8.0917 * CHOOSE(CONTROL!$C$32, $C$9, 100%, $E$9)</f>
        <v>8.0916999999999994</v>
      </c>
      <c r="G650" s="11">
        <f>8.0949 * CHOOSE(CONTROL!$C$32, $C$9, 100%, $E$9)</f>
        <v>8.0949000000000009</v>
      </c>
      <c r="H650" s="11">
        <f>21.4777 * CHOOSE(CONTROL!$C$32, $C$9, 100%, $E$9)</f>
        <v>21.477699999999999</v>
      </c>
      <c r="I650" s="11">
        <f>21.4809 * CHOOSE(CONTROL!$C$32, $C$9, 100%, $E$9)</f>
        <v>21.480899999999998</v>
      </c>
      <c r="J650" s="11">
        <f>21.4777 * CHOOSE(CONTROL!$C$32, $C$9, 100%, $E$9)</f>
        <v>21.477699999999999</v>
      </c>
      <c r="K650" s="11">
        <f>21.4809 * CHOOSE(CONTROL!$C$32, $C$9, 100%, $E$9)</f>
        <v>21.480899999999998</v>
      </c>
      <c r="L650" s="11">
        <f>8.0917 * CHOOSE(CONTROL!$C$32, $C$9, 100%, $E$9)</f>
        <v>8.0916999999999994</v>
      </c>
      <c r="M650" s="11">
        <f>8.0949 * CHOOSE(CONTROL!$C$32, $C$9, 100%, $E$9)</f>
        <v>8.0949000000000009</v>
      </c>
      <c r="N650" s="11">
        <f>8.0917 * CHOOSE(CONTROL!$C$32, $C$9, 100%, $E$9)</f>
        <v>8.0916999999999994</v>
      </c>
      <c r="O650" s="11">
        <f>8.0949 * CHOOSE(CONTROL!$C$32, $C$9, 100%, $E$9)</f>
        <v>8.0949000000000009</v>
      </c>
    </row>
    <row r="651" spans="1:15" ht="15" x14ac:dyDescent="0.2">
      <c r="A651" s="13">
        <v>60664</v>
      </c>
      <c r="B651" s="9">
        <f>9.3786 * CHOOSE(CONTROL!$C$32, $C$9, 100%, $E$9)</f>
        <v>9.3786000000000005</v>
      </c>
      <c r="C651" s="9">
        <f>9.3786 * CHOOSE(CONTROL!$C$32, $C$9, 100%, $E$9)</f>
        <v>9.3786000000000005</v>
      </c>
      <c r="D651" s="9">
        <f>9.3796 * CHOOSE(CONTROL!$C$32, $C$9, 100%, $E$9)</f>
        <v>9.3795999999999999</v>
      </c>
      <c r="E651" s="11">
        <f>7.829 * CHOOSE(CONTROL!$C$32, $C$9, 100%, $E$9)</f>
        <v>7.8289999999999997</v>
      </c>
      <c r="F651" s="11">
        <f>7.829 * CHOOSE(CONTROL!$C$32, $C$9, 100%, $E$9)</f>
        <v>7.8289999999999997</v>
      </c>
      <c r="G651" s="11">
        <f>7.8322 * CHOOSE(CONTROL!$C$32, $C$9, 100%, $E$9)</f>
        <v>7.8322000000000003</v>
      </c>
      <c r="H651" s="11">
        <f>21.5224 * CHOOSE(CONTROL!$C$32, $C$9, 100%, $E$9)</f>
        <v>21.522400000000001</v>
      </c>
      <c r="I651" s="11">
        <f>21.5256 * CHOOSE(CONTROL!$C$32, $C$9, 100%, $E$9)</f>
        <v>21.525600000000001</v>
      </c>
      <c r="J651" s="11">
        <f>21.5224 * CHOOSE(CONTROL!$C$32, $C$9, 100%, $E$9)</f>
        <v>21.522400000000001</v>
      </c>
      <c r="K651" s="11">
        <f>21.5256 * CHOOSE(CONTROL!$C$32, $C$9, 100%, $E$9)</f>
        <v>21.525600000000001</v>
      </c>
      <c r="L651" s="11">
        <f>7.829 * CHOOSE(CONTROL!$C$32, $C$9, 100%, $E$9)</f>
        <v>7.8289999999999997</v>
      </c>
      <c r="M651" s="11">
        <f>7.8322 * CHOOSE(CONTROL!$C$32, $C$9, 100%, $E$9)</f>
        <v>7.8322000000000003</v>
      </c>
      <c r="N651" s="11">
        <f>7.829 * CHOOSE(CONTROL!$C$32, $C$9, 100%, $E$9)</f>
        <v>7.8289999999999997</v>
      </c>
      <c r="O651" s="11">
        <f>7.8322 * CHOOSE(CONTROL!$C$32, $C$9, 100%, $E$9)</f>
        <v>7.8322000000000003</v>
      </c>
    </row>
    <row r="652" spans="1:15" ht="15" x14ac:dyDescent="0.2">
      <c r="A652" s="13">
        <v>60692</v>
      </c>
      <c r="B652" s="9">
        <f>9.3756 * CHOOSE(CONTROL!$C$32, $C$9, 100%, $E$9)</f>
        <v>9.3756000000000004</v>
      </c>
      <c r="C652" s="9">
        <f>9.3756 * CHOOSE(CONTROL!$C$32, $C$9, 100%, $E$9)</f>
        <v>9.3756000000000004</v>
      </c>
      <c r="D652" s="9">
        <f>9.3765 * CHOOSE(CONTROL!$C$32, $C$9, 100%, $E$9)</f>
        <v>9.3765000000000001</v>
      </c>
      <c r="E652" s="11">
        <f>8.0323 * CHOOSE(CONTROL!$C$32, $C$9, 100%, $E$9)</f>
        <v>8.0322999999999993</v>
      </c>
      <c r="F652" s="11">
        <f>8.0323 * CHOOSE(CONTROL!$C$32, $C$9, 100%, $E$9)</f>
        <v>8.0322999999999993</v>
      </c>
      <c r="G652" s="11">
        <f>8.0355 * CHOOSE(CONTROL!$C$32, $C$9, 100%, $E$9)</f>
        <v>8.0355000000000008</v>
      </c>
      <c r="H652" s="11">
        <f>21.5672 * CHOOSE(CONTROL!$C$32, $C$9, 100%, $E$9)</f>
        <v>21.5672</v>
      </c>
      <c r="I652" s="11">
        <f>21.5705 * CHOOSE(CONTROL!$C$32, $C$9, 100%, $E$9)</f>
        <v>21.570499999999999</v>
      </c>
      <c r="J652" s="11">
        <f>21.5672 * CHOOSE(CONTROL!$C$32, $C$9, 100%, $E$9)</f>
        <v>21.5672</v>
      </c>
      <c r="K652" s="11">
        <f>21.5705 * CHOOSE(CONTROL!$C$32, $C$9, 100%, $E$9)</f>
        <v>21.570499999999999</v>
      </c>
      <c r="L652" s="11">
        <f>8.0323 * CHOOSE(CONTROL!$C$32, $C$9, 100%, $E$9)</f>
        <v>8.0322999999999993</v>
      </c>
      <c r="M652" s="11">
        <f>8.0355 * CHOOSE(CONTROL!$C$32, $C$9, 100%, $E$9)</f>
        <v>8.0355000000000008</v>
      </c>
      <c r="N652" s="11">
        <f>8.0323 * CHOOSE(CONTROL!$C$32, $C$9, 100%, $E$9)</f>
        <v>8.0322999999999993</v>
      </c>
      <c r="O652" s="11">
        <f>8.0355 * CHOOSE(CONTROL!$C$32, $C$9, 100%, $E$9)</f>
        <v>8.0355000000000008</v>
      </c>
    </row>
    <row r="653" spans="1:15" ht="15" x14ac:dyDescent="0.2">
      <c r="A653" s="13">
        <v>60723</v>
      </c>
      <c r="B653" s="9">
        <f>9.3784 * CHOOSE(CONTROL!$C$32, $C$9, 100%, $E$9)</f>
        <v>9.3783999999999992</v>
      </c>
      <c r="C653" s="9">
        <f>9.3784 * CHOOSE(CONTROL!$C$32, $C$9, 100%, $E$9)</f>
        <v>9.3783999999999992</v>
      </c>
      <c r="D653" s="9">
        <f>9.3794 * CHOOSE(CONTROL!$C$32, $C$9, 100%, $E$9)</f>
        <v>9.3794000000000004</v>
      </c>
      <c r="E653" s="11">
        <f>8.2487 * CHOOSE(CONTROL!$C$32, $C$9, 100%, $E$9)</f>
        <v>8.2486999999999995</v>
      </c>
      <c r="F653" s="11">
        <f>8.2487 * CHOOSE(CONTROL!$C$32, $C$9, 100%, $E$9)</f>
        <v>8.2486999999999995</v>
      </c>
      <c r="G653" s="11">
        <f>8.2519 * CHOOSE(CONTROL!$C$32, $C$9, 100%, $E$9)</f>
        <v>8.2518999999999991</v>
      </c>
      <c r="H653" s="11">
        <f>21.6122 * CHOOSE(CONTROL!$C$32, $C$9, 100%, $E$9)</f>
        <v>21.612200000000001</v>
      </c>
      <c r="I653" s="11">
        <f>21.6154 * CHOOSE(CONTROL!$C$32, $C$9, 100%, $E$9)</f>
        <v>21.615400000000001</v>
      </c>
      <c r="J653" s="11">
        <f>21.6122 * CHOOSE(CONTROL!$C$32, $C$9, 100%, $E$9)</f>
        <v>21.612200000000001</v>
      </c>
      <c r="K653" s="11">
        <f>21.6154 * CHOOSE(CONTROL!$C$32, $C$9, 100%, $E$9)</f>
        <v>21.615400000000001</v>
      </c>
      <c r="L653" s="11">
        <f>8.2487 * CHOOSE(CONTROL!$C$32, $C$9, 100%, $E$9)</f>
        <v>8.2486999999999995</v>
      </c>
      <c r="M653" s="11">
        <f>8.2519 * CHOOSE(CONTROL!$C$32, $C$9, 100%, $E$9)</f>
        <v>8.2518999999999991</v>
      </c>
      <c r="N653" s="11">
        <f>8.2487 * CHOOSE(CONTROL!$C$32, $C$9, 100%, $E$9)</f>
        <v>8.2486999999999995</v>
      </c>
      <c r="O653" s="11">
        <f>8.2519 * CHOOSE(CONTROL!$C$32, $C$9, 100%, $E$9)</f>
        <v>8.2518999999999991</v>
      </c>
    </row>
    <row r="654" spans="1:15" ht="15" x14ac:dyDescent="0.2">
      <c r="A654" s="13">
        <v>60753</v>
      </c>
      <c r="B654" s="9">
        <f>9.3784 * CHOOSE(CONTROL!$C$32, $C$9, 100%, $E$9)</f>
        <v>9.3783999999999992</v>
      </c>
      <c r="C654" s="9">
        <f>9.3784 * CHOOSE(CONTROL!$C$32, $C$9, 100%, $E$9)</f>
        <v>9.3783999999999992</v>
      </c>
      <c r="D654" s="9">
        <f>9.3797 * CHOOSE(CONTROL!$C$32, $C$9, 100%, $E$9)</f>
        <v>9.3796999999999997</v>
      </c>
      <c r="E654" s="11">
        <f>8.3314 * CHOOSE(CONTROL!$C$32, $C$9, 100%, $E$9)</f>
        <v>8.3314000000000004</v>
      </c>
      <c r="F654" s="11">
        <f>8.3314 * CHOOSE(CONTROL!$C$32, $C$9, 100%, $E$9)</f>
        <v>8.3314000000000004</v>
      </c>
      <c r="G654" s="11">
        <f>8.3356 * CHOOSE(CONTROL!$C$32, $C$9, 100%, $E$9)</f>
        <v>8.3355999999999995</v>
      </c>
      <c r="H654" s="11">
        <f>21.6572 * CHOOSE(CONTROL!$C$32, $C$9, 100%, $E$9)</f>
        <v>21.6572</v>
      </c>
      <c r="I654" s="11">
        <f>21.6614 * CHOOSE(CONTROL!$C$32, $C$9, 100%, $E$9)</f>
        <v>21.6614</v>
      </c>
      <c r="J654" s="11">
        <f>21.6572 * CHOOSE(CONTROL!$C$32, $C$9, 100%, $E$9)</f>
        <v>21.6572</v>
      </c>
      <c r="K654" s="11">
        <f>21.6614 * CHOOSE(CONTROL!$C$32, $C$9, 100%, $E$9)</f>
        <v>21.6614</v>
      </c>
      <c r="L654" s="11">
        <f>8.3314 * CHOOSE(CONTROL!$C$32, $C$9, 100%, $E$9)</f>
        <v>8.3314000000000004</v>
      </c>
      <c r="M654" s="11">
        <f>8.3356 * CHOOSE(CONTROL!$C$32, $C$9, 100%, $E$9)</f>
        <v>8.3355999999999995</v>
      </c>
      <c r="N654" s="11">
        <f>8.3314 * CHOOSE(CONTROL!$C$32, $C$9, 100%, $E$9)</f>
        <v>8.3314000000000004</v>
      </c>
      <c r="O654" s="11">
        <f>8.3356 * CHOOSE(CONTROL!$C$32, $C$9, 100%, $E$9)</f>
        <v>8.3355999999999995</v>
      </c>
    </row>
    <row r="655" spans="1:15" ht="15" x14ac:dyDescent="0.2">
      <c r="A655" s="13">
        <v>60784</v>
      </c>
      <c r="B655" s="9">
        <f>9.3845 * CHOOSE(CONTROL!$C$32, $C$9, 100%, $E$9)</f>
        <v>9.3844999999999992</v>
      </c>
      <c r="C655" s="9">
        <f>9.3845 * CHOOSE(CONTROL!$C$32, $C$9, 100%, $E$9)</f>
        <v>9.3844999999999992</v>
      </c>
      <c r="D655" s="9">
        <f>9.3857 * CHOOSE(CONTROL!$C$32, $C$9, 100%, $E$9)</f>
        <v>9.3856999999999999</v>
      </c>
      <c r="E655" s="11">
        <f>8.2529 * CHOOSE(CONTROL!$C$32, $C$9, 100%, $E$9)</f>
        <v>8.2529000000000003</v>
      </c>
      <c r="F655" s="11">
        <f>8.2529 * CHOOSE(CONTROL!$C$32, $C$9, 100%, $E$9)</f>
        <v>8.2529000000000003</v>
      </c>
      <c r="G655" s="11">
        <f>8.2571 * CHOOSE(CONTROL!$C$32, $C$9, 100%, $E$9)</f>
        <v>8.2570999999999994</v>
      </c>
      <c r="H655" s="11">
        <f>21.7023 * CHOOSE(CONTROL!$C$32, $C$9, 100%, $E$9)</f>
        <v>21.702300000000001</v>
      </c>
      <c r="I655" s="11">
        <f>21.7065 * CHOOSE(CONTROL!$C$32, $C$9, 100%, $E$9)</f>
        <v>21.706499999999998</v>
      </c>
      <c r="J655" s="11">
        <f>21.7023 * CHOOSE(CONTROL!$C$32, $C$9, 100%, $E$9)</f>
        <v>21.702300000000001</v>
      </c>
      <c r="K655" s="11">
        <f>21.7065 * CHOOSE(CONTROL!$C$32, $C$9, 100%, $E$9)</f>
        <v>21.706499999999998</v>
      </c>
      <c r="L655" s="11">
        <f>8.2529 * CHOOSE(CONTROL!$C$32, $C$9, 100%, $E$9)</f>
        <v>8.2529000000000003</v>
      </c>
      <c r="M655" s="11">
        <f>8.2571 * CHOOSE(CONTROL!$C$32, $C$9, 100%, $E$9)</f>
        <v>8.2570999999999994</v>
      </c>
      <c r="N655" s="11">
        <f>8.2529 * CHOOSE(CONTROL!$C$32, $C$9, 100%, $E$9)</f>
        <v>8.2529000000000003</v>
      </c>
      <c r="O655" s="11">
        <f>8.2571 * CHOOSE(CONTROL!$C$32, $C$9, 100%, $E$9)</f>
        <v>8.2570999999999994</v>
      </c>
    </row>
    <row r="656" spans="1:15" ht="15" x14ac:dyDescent="0.2">
      <c r="A656" s="13">
        <v>60814</v>
      </c>
      <c r="B656" s="9">
        <f>9.5021 * CHOOSE(CONTROL!$C$32, $C$9, 100%, $E$9)</f>
        <v>9.5021000000000004</v>
      </c>
      <c r="C656" s="9">
        <f>9.5021 * CHOOSE(CONTROL!$C$32, $C$9, 100%, $E$9)</f>
        <v>9.5021000000000004</v>
      </c>
      <c r="D656" s="9">
        <f>9.5034 * CHOOSE(CONTROL!$C$32, $C$9, 100%, $E$9)</f>
        <v>9.5033999999999992</v>
      </c>
      <c r="E656" s="11">
        <f>8.2945 * CHOOSE(CONTROL!$C$32, $C$9, 100%, $E$9)</f>
        <v>8.2944999999999993</v>
      </c>
      <c r="F656" s="11">
        <f>8.2945 * CHOOSE(CONTROL!$C$32, $C$9, 100%, $E$9)</f>
        <v>8.2944999999999993</v>
      </c>
      <c r="G656" s="11">
        <f>8.2987 * CHOOSE(CONTROL!$C$32, $C$9, 100%, $E$9)</f>
        <v>8.2987000000000002</v>
      </c>
      <c r="H656" s="11">
        <f>21.7475 * CHOOSE(CONTROL!$C$32, $C$9, 100%, $E$9)</f>
        <v>21.747499999999999</v>
      </c>
      <c r="I656" s="11">
        <f>21.7517 * CHOOSE(CONTROL!$C$32, $C$9, 100%, $E$9)</f>
        <v>21.7517</v>
      </c>
      <c r="J656" s="11">
        <f>21.7475 * CHOOSE(CONTROL!$C$32, $C$9, 100%, $E$9)</f>
        <v>21.747499999999999</v>
      </c>
      <c r="K656" s="11">
        <f>21.7517 * CHOOSE(CONTROL!$C$32, $C$9, 100%, $E$9)</f>
        <v>21.7517</v>
      </c>
      <c r="L656" s="11">
        <f>8.2945 * CHOOSE(CONTROL!$C$32, $C$9, 100%, $E$9)</f>
        <v>8.2944999999999993</v>
      </c>
      <c r="M656" s="11">
        <f>8.2987 * CHOOSE(CONTROL!$C$32, $C$9, 100%, $E$9)</f>
        <v>8.2987000000000002</v>
      </c>
      <c r="N656" s="11">
        <f>8.2945 * CHOOSE(CONTROL!$C$32, $C$9, 100%, $E$9)</f>
        <v>8.2944999999999993</v>
      </c>
      <c r="O656" s="11">
        <f>8.2987 * CHOOSE(CONTROL!$C$32, $C$9, 100%, $E$9)</f>
        <v>8.2987000000000002</v>
      </c>
    </row>
    <row r="657" spans="1:15" ht="15" x14ac:dyDescent="0.2">
      <c r="A657" s="13">
        <v>60845</v>
      </c>
      <c r="B657" s="9">
        <f>9.5088 * CHOOSE(CONTROL!$C$32, $C$9, 100%, $E$9)</f>
        <v>9.5088000000000008</v>
      </c>
      <c r="C657" s="9">
        <f>9.5088 * CHOOSE(CONTROL!$C$32, $C$9, 100%, $E$9)</f>
        <v>9.5088000000000008</v>
      </c>
      <c r="D657" s="9">
        <f>9.5101 * CHOOSE(CONTROL!$C$32, $C$9, 100%, $E$9)</f>
        <v>9.5100999999999996</v>
      </c>
      <c r="E657" s="11">
        <f>8.0509 * CHOOSE(CONTROL!$C$32, $C$9, 100%, $E$9)</f>
        <v>8.0509000000000004</v>
      </c>
      <c r="F657" s="11">
        <f>8.0509 * CHOOSE(CONTROL!$C$32, $C$9, 100%, $E$9)</f>
        <v>8.0509000000000004</v>
      </c>
      <c r="G657" s="11">
        <f>8.0552 * CHOOSE(CONTROL!$C$32, $C$9, 100%, $E$9)</f>
        <v>8.0551999999999992</v>
      </c>
      <c r="H657" s="11">
        <f>21.7928 * CHOOSE(CONTROL!$C$32, $C$9, 100%, $E$9)</f>
        <v>21.7928</v>
      </c>
      <c r="I657" s="11">
        <f>21.797 * CHOOSE(CONTROL!$C$32, $C$9, 100%, $E$9)</f>
        <v>21.797000000000001</v>
      </c>
      <c r="J657" s="11">
        <f>21.7928 * CHOOSE(CONTROL!$C$32, $C$9, 100%, $E$9)</f>
        <v>21.7928</v>
      </c>
      <c r="K657" s="11">
        <f>21.797 * CHOOSE(CONTROL!$C$32, $C$9, 100%, $E$9)</f>
        <v>21.797000000000001</v>
      </c>
      <c r="L657" s="11">
        <f>8.0509 * CHOOSE(CONTROL!$C$32, $C$9, 100%, $E$9)</f>
        <v>8.0509000000000004</v>
      </c>
      <c r="M657" s="11">
        <f>8.0552 * CHOOSE(CONTROL!$C$32, $C$9, 100%, $E$9)</f>
        <v>8.0551999999999992</v>
      </c>
      <c r="N657" s="11">
        <f>8.0509 * CHOOSE(CONTROL!$C$32, $C$9, 100%, $E$9)</f>
        <v>8.0509000000000004</v>
      </c>
      <c r="O657" s="11">
        <f>8.0552 * CHOOSE(CONTROL!$C$32, $C$9, 100%, $E$9)</f>
        <v>8.0551999999999992</v>
      </c>
    </row>
    <row r="658" spans="1:15" ht="15" x14ac:dyDescent="0.2">
      <c r="A658" s="13">
        <v>60876</v>
      </c>
      <c r="B658" s="9">
        <f>9.5058 * CHOOSE(CONTROL!$C$32, $C$9, 100%, $E$9)</f>
        <v>9.5058000000000007</v>
      </c>
      <c r="C658" s="9">
        <f>9.5058 * CHOOSE(CONTROL!$C$32, $C$9, 100%, $E$9)</f>
        <v>9.5058000000000007</v>
      </c>
      <c r="D658" s="9">
        <f>9.507 * CHOOSE(CONTROL!$C$32, $C$9, 100%, $E$9)</f>
        <v>9.5069999999999997</v>
      </c>
      <c r="E658" s="11">
        <f>8.0213 * CHOOSE(CONTROL!$C$32, $C$9, 100%, $E$9)</f>
        <v>8.0213000000000001</v>
      </c>
      <c r="F658" s="11">
        <f>8.0213 * CHOOSE(CONTROL!$C$32, $C$9, 100%, $E$9)</f>
        <v>8.0213000000000001</v>
      </c>
      <c r="G658" s="11">
        <f>8.0255 * CHOOSE(CONTROL!$C$32, $C$9, 100%, $E$9)</f>
        <v>8.0254999999999992</v>
      </c>
      <c r="H658" s="11">
        <f>21.8382 * CHOOSE(CONTROL!$C$32, $C$9, 100%, $E$9)</f>
        <v>21.838200000000001</v>
      </c>
      <c r="I658" s="11">
        <f>21.8424 * CHOOSE(CONTROL!$C$32, $C$9, 100%, $E$9)</f>
        <v>21.842400000000001</v>
      </c>
      <c r="J658" s="11">
        <f>21.8382 * CHOOSE(CONTROL!$C$32, $C$9, 100%, $E$9)</f>
        <v>21.838200000000001</v>
      </c>
      <c r="K658" s="11">
        <f>21.8424 * CHOOSE(CONTROL!$C$32, $C$9, 100%, $E$9)</f>
        <v>21.842400000000001</v>
      </c>
      <c r="L658" s="11">
        <f>8.0213 * CHOOSE(CONTROL!$C$32, $C$9, 100%, $E$9)</f>
        <v>8.0213000000000001</v>
      </c>
      <c r="M658" s="11">
        <f>8.0255 * CHOOSE(CONTROL!$C$32, $C$9, 100%, $E$9)</f>
        <v>8.0254999999999992</v>
      </c>
      <c r="N658" s="11">
        <f>8.0213 * CHOOSE(CONTROL!$C$32, $C$9, 100%, $E$9)</f>
        <v>8.0213000000000001</v>
      </c>
      <c r="O658" s="11">
        <f>8.0255 * CHOOSE(CONTROL!$C$32, $C$9, 100%, $E$9)</f>
        <v>8.0254999999999992</v>
      </c>
    </row>
    <row r="659" spans="1:15" ht="15" x14ac:dyDescent="0.2">
      <c r="A659" s="13">
        <v>60906</v>
      </c>
      <c r="B659" s="9">
        <f>9.5214 * CHOOSE(CONTROL!$C$32, $C$9, 100%, $E$9)</f>
        <v>9.5213999999999999</v>
      </c>
      <c r="C659" s="9">
        <f>9.5214 * CHOOSE(CONTROL!$C$32, $C$9, 100%, $E$9)</f>
        <v>9.5213999999999999</v>
      </c>
      <c r="D659" s="9">
        <f>9.5223 * CHOOSE(CONTROL!$C$32, $C$9, 100%, $E$9)</f>
        <v>9.5222999999999995</v>
      </c>
      <c r="E659" s="11">
        <f>8.1181 * CHOOSE(CONTROL!$C$32, $C$9, 100%, $E$9)</f>
        <v>8.1181000000000001</v>
      </c>
      <c r="F659" s="11">
        <f>8.1181 * CHOOSE(CONTROL!$C$32, $C$9, 100%, $E$9)</f>
        <v>8.1181000000000001</v>
      </c>
      <c r="G659" s="11">
        <f>8.1214 * CHOOSE(CONTROL!$C$32, $C$9, 100%, $E$9)</f>
        <v>8.1213999999999995</v>
      </c>
      <c r="H659" s="11">
        <f>21.8837 * CHOOSE(CONTROL!$C$32, $C$9, 100%, $E$9)</f>
        <v>21.883700000000001</v>
      </c>
      <c r="I659" s="11">
        <f>21.887 * CHOOSE(CONTROL!$C$32, $C$9, 100%, $E$9)</f>
        <v>21.887</v>
      </c>
      <c r="J659" s="11">
        <f>21.8837 * CHOOSE(CONTROL!$C$32, $C$9, 100%, $E$9)</f>
        <v>21.883700000000001</v>
      </c>
      <c r="K659" s="11">
        <f>21.887 * CHOOSE(CONTROL!$C$32, $C$9, 100%, $E$9)</f>
        <v>21.887</v>
      </c>
      <c r="L659" s="11">
        <f>8.1181 * CHOOSE(CONTROL!$C$32, $C$9, 100%, $E$9)</f>
        <v>8.1181000000000001</v>
      </c>
      <c r="M659" s="11">
        <f>8.1214 * CHOOSE(CONTROL!$C$32, $C$9, 100%, $E$9)</f>
        <v>8.1213999999999995</v>
      </c>
      <c r="N659" s="11">
        <f>8.1181 * CHOOSE(CONTROL!$C$32, $C$9, 100%, $E$9)</f>
        <v>8.1181000000000001</v>
      </c>
      <c r="O659" s="11">
        <f>8.1214 * CHOOSE(CONTROL!$C$32, $C$9, 100%, $E$9)</f>
        <v>8.1213999999999995</v>
      </c>
    </row>
    <row r="660" spans="1:15" ht="15" x14ac:dyDescent="0.2">
      <c r="A660" s="13">
        <v>60937</v>
      </c>
      <c r="B660" s="9">
        <f>9.5244 * CHOOSE(CONTROL!$C$32, $C$9, 100%, $E$9)</f>
        <v>9.5244</v>
      </c>
      <c r="C660" s="9">
        <f>9.5244 * CHOOSE(CONTROL!$C$32, $C$9, 100%, $E$9)</f>
        <v>9.5244</v>
      </c>
      <c r="D660" s="9">
        <f>9.5254 * CHOOSE(CONTROL!$C$32, $C$9, 100%, $E$9)</f>
        <v>9.5253999999999994</v>
      </c>
      <c r="E660" s="11">
        <f>8.1754 * CHOOSE(CONTROL!$C$32, $C$9, 100%, $E$9)</f>
        <v>8.1753999999999998</v>
      </c>
      <c r="F660" s="11">
        <f>8.1754 * CHOOSE(CONTROL!$C$32, $C$9, 100%, $E$9)</f>
        <v>8.1753999999999998</v>
      </c>
      <c r="G660" s="11">
        <f>8.1786 * CHOOSE(CONTROL!$C$32, $C$9, 100%, $E$9)</f>
        <v>8.1785999999999994</v>
      </c>
      <c r="H660" s="11">
        <f>21.9293 * CHOOSE(CONTROL!$C$32, $C$9, 100%, $E$9)</f>
        <v>21.929300000000001</v>
      </c>
      <c r="I660" s="11">
        <f>21.9326 * CHOOSE(CONTROL!$C$32, $C$9, 100%, $E$9)</f>
        <v>21.932600000000001</v>
      </c>
      <c r="J660" s="11">
        <f>21.9293 * CHOOSE(CONTROL!$C$32, $C$9, 100%, $E$9)</f>
        <v>21.929300000000001</v>
      </c>
      <c r="K660" s="11">
        <f>21.9326 * CHOOSE(CONTROL!$C$32, $C$9, 100%, $E$9)</f>
        <v>21.932600000000001</v>
      </c>
      <c r="L660" s="11">
        <f>8.1754 * CHOOSE(CONTROL!$C$32, $C$9, 100%, $E$9)</f>
        <v>8.1753999999999998</v>
      </c>
      <c r="M660" s="11">
        <f>8.1786 * CHOOSE(CONTROL!$C$32, $C$9, 100%, $E$9)</f>
        <v>8.1785999999999994</v>
      </c>
      <c r="N660" s="11">
        <f>8.1754 * CHOOSE(CONTROL!$C$32, $C$9, 100%, $E$9)</f>
        <v>8.1753999999999998</v>
      </c>
      <c r="O660" s="11">
        <f>8.1786 * CHOOSE(CONTROL!$C$32, $C$9, 100%, $E$9)</f>
        <v>8.1785999999999994</v>
      </c>
    </row>
    <row r="661" spans="1:15" ht="15" x14ac:dyDescent="0.2">
      <c r="A661" s="13">
        <v>60967</v>
      </c>
      <c r="B661" s="9">
        <f>9.5244 * CHOOSE(CONTROL!$C$32, $C$9, 100%, $E$9)</f>
        <v>9.5244</v>
      </c>
      <c r="C661" s="9">
        <f>9.5244 * CHOOSE(CONTROL!$C$32, $C$9, 100%, $E$9)</f>
        <v>9.5244</v>
      </c>
      <c r="D661" s="9">
        <f>9.5254 * CHOOSE(CONTROL!$C$32, $C$9, 100%, $E$9)</f>
        <v>9.5253999999999994</v>
      </c>
      <c r="E661" s="11">
        <f>8.0375 * CHOOSE(CONTROL!$C$32, $C$9, 100%, $E$9)</f>
        <v>8.0374999999999996</v>
      </c>
      <c r="F661" s="11">
        <f>8.0375 * CHOOSE(CONTROL!$C$32, $C$9, 100%, $E$9)</f>
        <v>8.0374999999999996</v>
      </c>
      <c r="G661" s="11">
        <f>8.0408 * CHOOSE(CONTROL!$C$32, $C$9, 100%, $E$9)</f>
        <v>8.0408000000000008</v>
      </c>
      <c r="H661" s="11">
        <f>21.975 * CHOOSE(CONTROL!$C$32, $C$9, 100%, $E$9)</f>
        <v>21.975000000000001</v>
      </c>
      <c r="I661" s="11">
        <f>21.9782 * CHOOSE(CONTROL!$C$32, $C$9, 100%, $E$9)</f>
        <v>21.978200000000001</v>
      </c>
      <c r="J661" s="11">
        <f>21.975 * CHOOSE(CONTROL!$C$32, $C$9, 100%, $E$9)</f>
        <v>21.975000000000001</v>
      </c>
      <c r="K661" s="11">
        <f>21.9782 * CHOOSE(CONTROL!$C$32, $C$9, 100%, $E$9)</f>
        <v>21.978200000000001</v>
      </c>
      <c r="L661" s="11">
        <f>8.0375 * CHOOSE(CONTROL!$C$32, $C$9, 100%, $E$9)</f>
        <v>8.0374999999999996</v>
      </c>
      <c r="M661" s="11">
        <f>8.0408 * CHOOSE(CONTROL!$C$32, $C$9, 100%, $E$9)</f>
        <v>8.0408000000000008</v>
      </c>
      <c r="N661" s="11">
        <f>8.0375 * CHOOSE(CONTROL!$C$32, $C$9, 100%, $E$9)</f>
        <v>8.0374999999999996</v>
      </c>
      <c r="O661" s="11">
        <f>8.0408 * CHOOSE(CONTROL!$C$32, $C$9, 100%, $E$9)</f>
        <v>8.0408000000000008</v>
      </c>
    </row>
    <row r="662" spans="1:15" ht="15" x14ac:dyDescent="0.2">
      <c r="A662" s="13">
        <v>60998</v>
      </c>
      <c r="B662" s="9">
        <f>9.569 * CHOOSE(CONTROL!$C$32, $C$9, 100%, $E$9)</f>
        <v>9.5690000000000008</v>
      </c>
      <c r="C662" s="9">
        <f>9.569 * CHOOSE(CONTROL!$C$32, $C$9, 100%, $E$9)</f>
        <v>9.5690000000000008</v>
      </c>
      <c r="D662" s="9">
        <f>9.57 * CHOOSE(CONTROL!$C$32, $C$9, 100%, $E$9)</f>
        <v>9.57</v>
      </c>
      <c r="E662" s="11">
        <f>8.169 * CHOOSE(CONTROL!$C$32, $C$9, 100%, $E$9)</f>
        <v>8.1690000000000005</v>
      </c>
      <c r="F662" s="11">
        <f>8.169 * CHOOSE(CONTROL!$C$32, $C$9, 100%, $E$9)</f>
        <v>8.1690000000000005</v>
      </c>
      <c r="G662" s="11">
        <f>8.1722 * CHOOSE(CONTROL!$C$32, $C$9, 100%, $E$9)</f>
        <v>8.1722000000000001</v>
      </c>
      <c r="H662" s="11">
        <f>21.9492 * CHOOSE(CONTROL!$C$32, $C$9, 100%, $E$9)</f>
        <v>21.949200000000001</v>
      </c>
      <c r="I662" s="11">
        <f>21.9525 * CHOOSE(CONTROL!$C$32, $C$9, 100%, $E$9)</f>
        <v>21.952500000000001</v>
      </c>
      <c r="J662" s="11">
        <f>21.9492 * CHOOSE(CONTROL!$C$32, $C$9, 100%, $E$9)</f>
        <v>21.949200000000001</v>
      </c>
      <c r="K662" s="11">
        <f>21.9525 * CHOOSE(CONTROL!$C$32, $C$9, 100%, $E$9)</f>
        <v>21.952500000000001</v>
      </c>
      <c r="L662" s="11">
        <f>8.169 * CHOOSE(CONTROL!$C$32, $C$9, 100%, $E$9)</f>
        <v>8.1690000000000005</v>
      </c>
      <c r="M662" s="11">
        <f>8.1722 * CHOOSE(CONTROL!$C$32, $C$9, 100%, $E$9)</f>
        <v>8.1722000000000001</v>
      </c>
      <c r="N662" s="11">
        <f>8.169 * CHOOSE(CONTROL!$C$32, $C$9, 100%, $E$9)</f>
        <v>8.1690000000000005</v>
      </c>
      <c r="O662" s="11">
        <f>8.1722 * CHOOSE(CONTROL!$C$32, $C$9, 100%, $E$9)</f>
        <v>8.1722000000000001</v>
      </c>
    </row>
    <row r="663" spans="1:15" ht="15" x14ac:dyDescent="0.2">
      <c r="A663" s="13">
        <v>61029</v>
      </c>
      <c r="B663" s="9">
        <f>9.566 * CHOOSE(CONTROL!$C$32, $C$9, 100%, $E$9)</f>
        <v>9.5660000000000007</v>
      </c>
      <c r="C663" s="9">
        <f>9.566 * CHOOSE(CONTROL!$C$32, $C$9, 100%, $E$9)</f>
        <v>9.5660000000000007</v>
      </c>
      <c r="D663" s="9">
        <f>9.5669 * CHOOSE(CONTROL!$C$32, $C$9, 100%, $E$9)</f>
        <v>9.5669000000000004</v>
      </c>
      <c r="E663" s="11">
        <f>7.8992 * CHOOSE(CONTROL!$C$32, $C$9, 100%, $E$9)</f>
        <v>7.8992000000000004</v>
      </c>
      <c r="F663" s="11">
        <f>7.8992 * CHOOSE(CONTROL!$C$32, $C$9, 100%, $E$9)</f>
        <v>7.8992000000000004</v>
      </c>
      <c r="G663" s="11">
        <f>7.9024 * CHOOSE(CONTROL!$C$32, $C$9, 100%, $E$9)</f>
        <v>7.9024000000000001</v>
      </c>
      <c r="H663" s="11">
        <f>21.995 * CHOOSE(CONTROL!$C$32, $C$9, 100%, $E$9)</f>
        <v>21.995000000000001</v>
      </c>
      <c r="I663" s="11">
        <f>21.9982 * CHOOSE(CONTROL!$C$32, $C$9, 100%, $E$9)</f>
        <v>21.998200000000001</v>
      </c>
      <c r="J663" s="11">
        <f>21.995 * CHOOSE(CONTROL!$C$32, $C$9, 100%, $E$9)</f>
        <v>21.995000000000001</v>
      </c>
      <c r="K663" s="11">
        <f>21.9982 * CHOOSE(CONTROL!$C$32, $C$9, 100%, $E$9)</f>
        <v>21.998200000000001</v>
      </c>
      <c r="L663" s="11">
        <f>7.8992 * CHOOSE(CONTROL!$C$32, $C$9, 100%, $E$9)</f>
        <v>7.8992000000000004</v>
      </c>
      <c r="M663" s="11">
        <f>7.9024 * CHOOSE(CONTROL!$C$32, $C$9, 100%, $E$9)</f>
        <v>7.9024000000000001</v>
      </c>
      <c r="N663" s="11">
        <f>7.8992 * CHOOSE(CONTROL!$C$32, $C$9, 100%, $E$9)</f>
        <v>7.8992000000000004</v>
      </c>
      <c r="O663" s="11">
        <f>7.9024 * CHOOSE(CONTROL!$C$32, $C$9, 100%, $E$9)</f>
        <v>7.9024000000000001</v>
      </c>
    </row>
    <row r="664" spans="1:15" ht="15" x14ac:dyDescent="0.2">
      <c r="A664" s="13">
        <v>61057</v>
      </c>
      <c r="B664" s="9">
        <f>9.5629 * CHOOSE(CONTROL!$C$32, $C$9, 100%, $E$9)</f>
        <v>9.5629000000000008</v>
      </c>
      <c r="C664" s="9">
        <f>9.5629 * CHOOSE(CONTROL!$C$32, $C$9, 100%, $E$9)</f>
        <v>9.5629000000000008</v>
      </c>
      <c r="D664" s="9">
        <f>9.5639 * CHOOSE(CONTROL!$C$32, $C$9, 100%, $E$9)</f>
        <v>9.5639000000000003</v>
      </c>
      <c r="E664" s="11">
        <f>8.1081 * CHOOSE(CONTROL!$C$32, $C$9, 100%, $E$9)</f>
        <v>8.1081000000000003</v>
      </c>
      <c r="F664" s="11">
        <f>8.1081 * CHOOSE(CONTROL!$C$32, $C$9, 100%, $E$9)</f>
        <v>8.1081000000000003</v>
      </c>
      <c r="G664" s="11">
        <f>8.1113 * CHOOSE(CONTROL!$C$32, $C$9, 100%, $E$9)</f>
        <v>8.1113</v>
      </c>
      <c r="H664" s="11">
        <f>22.0408 * CHOOSE(CONTROL!$C$32, $C$9, 100%, $E$9)</f>
        <v>22.040800000000001</v>
      </c>
      <c r="I664" s="11">
        <f>22.044 * CHOOSE(CONTROL!$C$32, $C$9, 100%, $E$9)</f>
        <v>22.044</v>
      </c>
      <c r="J664" s="11">
        <f>22.0408 * CHOOSE(CONTROL!$C$32, $C$9, 100%, $E$9)</f>
        <v>22.040800000000001</v>
      </c>
      <c r="K664" s="11">
        <f>22.044 * CHOOSE(CONTROL!$C$32, $C$9, 100%, $E$9)</f>
        <v>22.044</v>
      </c>
      <c r="L664" s="11">
        <f>8.1081 * CHOOSE(CONTROL!$C$32, $C$9, 100%, $E$9)</f>
        <v>8.1081000000000003</v>
      </c>
      <c r="M664" s="11">
        <f>8.1113 * CHOOSE(CONTROL!$C$32, $C$9, 100%, $E$9)</f>
        <v>8.1113</v>
      </c>
      <c r="N664" s="11">
        <f>8.1081 * CHOOSE(CONTROL!$C$32, $C$9, 100%, $E$9)</f>
        <v>8.1081000000000003</v>
      </c>
      <c r="O664" s="11">
        <f>8.1113 * CHOOSE(CONTROL!$C$32, $C$9, 100%, $E$9)</f>
        <v>8.1113</v>
      </c>
    </row>
    <row r="665" spans="1:15" ht="15" x14ac:dyDescent="0.2">
      <c r="A665" s="13">
        <v>61088</v>
      </c>
      <c r="B665" s="9">
        <f>9.566 * CHOOSE(CONTROL!$C$32, $C$9, 100%, $E$9)</f>
        <v>9.5660000000000007</v>
      </c>
      <c r="C665" s="9">
        <f>9.566 * CHOOSE(CONTROL!$C$32, $C$9, 100%, $E$9)</f>
        <v>9.5660000000000007</v>
      </c>
      <c r="D665" s="9">
        <f>9.5669 * CHOOSE(CONTROL!$C$32, $C$9, 100%, $E$9)</f>
        <v>9.5669000000000004</v>
      </c>
      <c r="E665" s="11">
        <f>8.3304 * CHOOSE(CONTROL!$C$32, $C$9, 100%, $E$9)</f>
        <v>8.3303999999999991</v>
      </c>
      <c r="F665" s="11">
        <f>8.3304 * CHOOSE(CONTROL!$C$32, $C$9, 100%, $E$9)</f>
        <v>8.3303999999999991</v>
      </c>
      <c r="G665" s="11">
        <f>8.3337 * CHOOSE(CONTROL!$C$32, $C$9, 100%, $E$9)</f>
        <v>8.3337000000000003</v>
      </c>
      <c r="H665" s="11">
        <f>22.0867 * CHOOSE(CONTROL!$C$32, $C$9, 100%, $E$9)</f>
        <v>22.0867</v>
      </c>
      <c r="I665" s="11">
        <f>22.0899 * CHOOSE(CONTROL!$C$32, $C$9, 100%, $E$9)</f>
        <v>22.0899</v>
      </c>
      <c r="J665" s="11">
        <f>22.0867 * CHOOSE(CONTROL!$C$32, $C$9, 100%, $E$9)</f>
        <v>22.0867</v>
      </c>
      <c r="K665" s="11">
        <f>22.0899 * CHOOSE(CONTROL!$C$32, $C$9, 100%, $E$9)</f>
        <v>22.0899</v>
      </c>
      <c r="L665" s="11">
        <f>8.3304 * CHOOSE(CONTROL!$C$32, $C$9, 100%, $E$9)</f>
        <v>8.3303999999999991</v>
      </c>
      <c r="M665" s="11">
        <f>8.3337 * CHOOSE(CONTROL!$C$32, $C$9, 100%, $E$9)</f>
        <v>8.3337000000000003</v>
      </c>
      <c r="N665" s="11">
        <f>8.3304 * CHOOSE(CONTROL!$C$32, $C$9, 100%, $E$9)</f>
        <v>8.3303999999999991</v>
      </c>
      <c r="O665" s="11">
        <f>8.3337 * CHOOSE(CONTROL!$C$32, $C$9, 100%, $E$9)</f>
        <v>8.3337000000000003</v>
      </c>
    </row>
    <row r="666" spans="1:15" ht="15" x14ac:dyDescent="0.2">
      <c r="A666" s="13">
        <v>61118</v>
      </c>
      <c r="B666" s="9">
        <f>9.566 * CHOOSE(CONTROL!$C$32, $C$9, 100%, $E$9)</f>
        <v>9.5660000000000007</v>
      </c>
      <c r="C666" s="9">
        <f>9.566 * CHOOSE(CONTROL!$C$32, $C$9, 100%, $E$9)</f>
        <v>9.5660000000000007</v>
      </c>
      <c r="D666" s="9">
        <f>9.5672 * CHOOSE(CONTROL!$C$32, $C$9, 100%, $E$9)</f>
        <v>9.5671999999999997</v>
      </c>
      <c r="E666" s="11">
        <f>8.4154 * CHOOSE(CONTROL!$C$32, $C$9, 100%, $E$9)</f>
        <v>8.4154</v>
      </c>
      <c r="F666" s="11">
        <f>8.4154 * CHOOSE(CONTROL!$C$32, $C$9, 100%, $E$9)</f>
        <v>8.4154</v>
      </c>
      <c r="G666" s="11">
        <f>8.4196 * CHOOSE(CONTROL!$C$32, $C$9, 100%, $E$9)</f>
        <v>8.4196000000000009</v>
      </c>
      <c r="H666" s="11">
        <f>22.1327 * CHOOSE(CONTROL!$C$32, $C$9, 100%, $E$9)</f>
        <v>22.1327</v>
      </c>
      <c r="I666" s="11">
        <f>22.1369 * CHOOSE(CONTROL!$C$32, $C$9, 100%, $E$9)</f>
        <v>22.136900000000001</v>
      </c>
      <c r="J666" s="11">
        <f>22.1327 * CHOOSE(CONTROL!$C$32, $C$9, 100%, $E$9)</f>
        <v>22.1327</v>
      </c>
      <c r="K666" s="11">
        <f>22.1369 * CHOOSE(CONTROL!$C$32, $C$9, 100%, $E$9)</f>
        <v>22.136900000000001</v>
      </c>
      <c r="L666" s="11">
        <f>8.4154 * CHOOSE(CONTROL!$C$32, $C$9, 100%, $E$9)</f>
        <v>8.4154</v>
      </c>
      <c r="M666" s="11">
        <f>8.4196 * CHOOSE(CONTROL!$C$32, $C$9, 100%, $E$9)</f>
        <v>8.4196000000000009</v>
      </c>
      <c r="N666" s="11">
        <f>8.4154 * CHOOSE(CONTROL!$C$32, $C$9, 100%, $E$9)</f>
        <v>8.4154</v>
      </c>
      <c r="O666" s="11">
        <f>8.4196 * CHOOSE(CONTROL!$C$32, $C$9, 100%, $E$9)</f>
        <v>8.4196000000000009</v>
      </c>
    </row>
    <row r="667" spans="1:15" ht="15" x14ac:dyDescent="0.2">
      <c r="A667" s="13">
        <v>61149</v>
      </c>
      <c r="B667" s="9">
        <f>9.572 * CHOOSE(CONTROL!$C$32, $C$9, 100%, $E$9)</f>
        <v>9.5719999999999992</v>
      </c>
      <c r="C667" s="9">
        <f>9.572 * CHOOSE(CONTROL!$C$32, $C$9, 100%, $E$9)</f>
        <v>9.5719999999999992</v>
      </c>
      <c r="D667" s="9">
        <f>9.5733 * CHOOSE(CONTROL!$C$32, $C$9, 100%, $E$9)</f>
        <v>9.5732999999999997</v>
      </c>
      <c r="E667" s="11">
        <f>8.3347 * CHOOSE(CONTROL!$C$32, $C$9, 100%, $E$9)</f>
        <v>8.3346999999999998</v>
      </c>
      <c r="F667" s="11">
        <f>8.3347 * CHOOSE(CONTROL!$C$32, $C$9, 100%, $E$9)</f>
        <v>8.3346999999999998</v>
      </c>
      <c r="G667" s="11">
        <f>8.3389 * CHOOSE(CONTROL!$C$32, $C$9, 100%, $E$9)</f>
        <v>8.3389000000000006</v>
      </c>
      <c r="H667" s="11">
        <f>22.1788 * CHOOSE(CONTROL!$C$32, $C$9, 100%, $E$9)</f>
        <v>22.178799999999999</v>
      </c>
      <c r="I667" s="11">
        <f>22.183 * CHOOSE(CONTROL!$C$32, $C$9, 100%, $E$9)</f>
        <v>22.183</v>
      </c>
      <c r="J667" s="11">
        <f>22.1788 * CHOOSE(CONTROL!$C$32, $C$9, 100%, $E$9)</f>
        <v>22.178799999999999</v>
      </c>
      <c r="K667" s="11">
        <f>22.183 * CHOOSE(CONTROL!$C$32, $C$9, 100%, $E$9)</f>
        <v>22.183</v>
      </c>
      <c r="L667" s="11">
        <f>8.3347 * CHOOSE(CONTROL!$C$32, $C$9, 100%, $E$9)</f>
        <v>8.3346999999999998</v>
      </c>
      <c r="M667" s="11">
        <f>8.3389 * CHOOSE(CONTROL!$C$32, $C$9, 100%, $E$9)</f>
        <v>8.3389000000000006</v>
      </c>
      <c r="N667" s="11">
        <f>8.3347 * CHOOSE(CONTROL!$C$32, $C$9, 100%, $E$9)</f>
        <v>8.3346999999999998</v>
      </c>
      <c r="O667" s="11">
        <f>8.3389 * CHOOSE(CONTROL!$C$32, $C$9, 100%, $E$9)</f>
        <v>8.3389000000000006</v>
      </c>
    </row>
    <row r="668" spans="1:15" ht="15" x14ac:dyDescent="0.2">
      <c r="A668" s="13">
        <v>61179</v>
      </c>
      <c r="B668" s="9">
        <f>9.6917 * CHOOSE(CONTROL!$C$32, $C$9, 100%, $E$9)</f>
        <v>9.6917000000000009</v>
      </c>
      <c r="C668" s="9">
        <f>9.6917 * CHOOSE(CONTROL!$C$32, $C$9, 100%, $E$9)</f>
        <v>9.6917000000000009</v>
      </c>
      <c r="D668" s="9">
        <f>9.693 * CHOOSE(CONTROL!$C$32, $C$9, 100%, $E$9)</f>
        <v>9.6929999999999996</v>
      </c>
      <c r="E668" s="11">
        <f>8.3774 * CHOOSE(CONTROL!$C$32, $C$9, 100%, $E$9)</f>
        <v>8.3773999999999997</v>
      </c>
      <c r="F668" s="11">
        <f>8.3774 * CHOOSE(CONTROL!$C$32, $C$9, 100%, $E$9)</f>
        <v>8.3773999999999997</v>
      </c>
      <c r="G668" s="11">
        <f>8.3816 * CHOOSE(CONTROL!$C$32, $C$9, 100%, $E$9)</f>
        <v>8.3816000000000006</v>
      </c>
      <c r="H668" s="11">
        <f>22.225 * CHOOSE(CONTROL!$C$32, $C$9, 100%, $E$9)</f>
        <v>22.225000000000001</v>
      </c>
      <c r="I668" s="11">
        <f>22.2292 * CHOOSE(CONTROL!$C$32, $C$9, 100%, $E$9)</f>
        <v>22.229199999999999</v>
      </c>
      <c r="J668" s="11">
        <f>22.225 * CHOOSE(CONTROL!$C$32, $C$9, 100%, $E$9)</f>
        <v>22.225000000000001</v>
      </c>
      <c r="K668" s="11">
        <f>22.2292 * CHOOSE(CONTROL!$C$32, $C$9, 100%, $E$9)</f>
        <v>22.229199999999999</v>
      </c>
      <c r="L668" s="11">
        <f>8.3774 * CHOOSE(CONTROL!$C$32, $C$9, 100%, $E$9)</f>
        <v>8.3773999999999997</v>
      </c>
      <c r="M668" s="11">
        <f>8.3816 * CHOOSE(CONTROL!$C$32, $C$9, 100%, $E$9)</f>
        <v>8.3816000000000006</v>
      </c>
      <c r="N668" s="11">
        <f>8.3774 * CHOOSE(CONTROL!$C$32, $C$9, 100%, $E$9)</f>
        <v>8.3773999999999997</v>
      </c>
      <c r="O668" s="11">
        <f>8.3816 * CHOOSE(CONTROL!$C$32, $C$9, 100%, $E$9)</f>
        <v>8.3816000000000006</v>
      </c>
    </row>
    <row r="669" spans="1:15" ht="15" x14ac:dyDescent="0.2">
      <c r="A669" s="13">
        <v>61210</v>
      </c>
      <c r="B669" s="9">
        <f>9.6984 * CHOOSE(CONTROL!$C$32, $C$9, 100%, $E$9)</f>
        <v>9.6983999999999995</v>
      </c>
      <c r="C669" s="9">
        <f>9.6984 * CHOOSE(CONTROL!$C$32, $C$9, 100%, $E$9)</f>
        <v>9.6983999999999995</v>
      </c>
      <c r="D669" s="9">
        <f>9.6997 * CHOOSE(CONTROL!$C$32, $C$9, 100%, $E$9)</f>
        <v>9.6997</v>
      </c>
      <c r="E669" s="11">
        <f>8.1271 * CHOOSE(CONTROL!$C$32, $C$9, 100%, $E$9)</f>
        <v>8.1271000000000004</v>
      </c>
      <c r="F669" s="11">
        <f>8.1271 * CHOOSE(CONTROL!$C$32, $C$9, 100%, $E$9)</f>
        <v>8.1271000000000004</v>
      </c>
      <c r="G669" s="11">
        <f>8.1313 * CHOOSE(CONTROL!$C$32, $C$9, 100%, $E$9)</f>
        <v>8.1312999999999995</v>
      </c>
      <c r="H669" s="11">
        <f>22.2713 * CHOOSE(CONTROL!$C$32, $C$9, 100%, $E$9)</f>
        <v>22.2713</v>
      </c>
      <c r="I669" s="11">
        <f>22.2755 * CHOOSE(CONTROL!$C$32, $C$9, 100%, $E$9)</f>
        <v>22.275500000000001</v>
      </c>
      <c r="J669" s="11">
        <f>22.2713 * CHOOSE(CONTROL!$C$32, $C$9, 100%, $E$9)</f>
        <v>22.2713</v>
      </c>
      <c r="K669" s="11">
        <f>22.2755 * CHOOSE(CONTROL!$C$32, $C$9, 100%, $E$9)</f>
        <v>22.275500000000001</v>
      </c>
      <c r="L669" s="11">
        <f>8.1271 * CHOOSE(CONTROL!$C$32, $C$9, 100%, $E$9)</f>
        <v>8.1271000000000004</v>
      </c>
      <c r="M669" s="11">
        <f>8.1313 * CHOOSE(CONTROL!$C$32, $C$9, 100%, $E$9)</f>
        <v>8.1312999999999995</v>
      </c>
      <c r="N669" s="11">
        <f>8.1271 * CHOOSE(CONTROL!$C$32, $C$9, 100%, $E$9)</f>
        <v>8.1271000000000004</v>
      </c>
      <c r="O669" s="11">
        <f>8.1313 * CHOOSE(CONTROL!$C$32, $C$9, 100%, $E$9)</f>
        <v>8.1312999999999995</v>
      </c>
    </row>
    <row r="670" spans="1:15" ht="15" x14ac:dyDescent="0.2">
      <c r="A670" s="13">
        <v>61241</v>
      </c>
      <c r="B670" s="9">
        <f>9.6954 * CHOOSE(CONTROL!$C$32, $C$9, 100%, $E$9)</f>
        <v>9.6953999999999994</v>
      </c>
      <c r="C670" s="9">
        <f>9.6954 * CHOOSE(CONTROL!$C$32, $C$9, 100%, $E$9)</f>
        <v>9.6953999999999994</v>
      </c>
      <c r="D670" s="9">
        <f>9.6966 * CHOOSE(CONTROL!$C$32, $C$9, 100%, $E$9)</f>
        <v>9.6966000000000001</v>
      </c>
      <c r="E670" s="11">
        <f>8.0967 * CHOOSE(CONTROL!$C$32, $C$9, 100%, $E$9)</f>
        <v>8.0967000000000002</v>
      </c>
      <c r="F670" s="11">
        <f>8.0967 * CHOOSE(CONTROL!$C$32, $C$9, 100%, $E$9)</f>
        <v>8.0967000000000002</v>
      </c>
      <c r="G670" s="11">
        <f>8.1009 * CHOOSE(CONTROL!$C$32, $C$9, 100%, $E$9)</f>
        <v>8.1008999999999993</v>
      </c>
      <c r="H670" s="11">
        <f>22.3177 * CHOOSE(CONTROL!$C$32, $C$9, 100%, $E$9)</f>
        <v>22.317699999999999</v>
      </c>
      <c r="I670" s="11">
        <f>22.3219 * CHOOSE(CONTROL!$C$32, $C$9, 100%, $E$9)</f>
        <v>22.321899999999999</v>
      </c>
      <c r="J670" s="11">
        <f>22.3177 * CHOOSE(CONTROL!$C$32, $C$9, 100%, $E$9)</f>
        <v>22.317699999999999</v>
      </c>
      <c r="K670" s="11">
        <f>22.3219 * CHOOSE(CONTROL!$C$32, $C$9, 100%, $E$9)</f>
        <v>22.321899999999999</v>
      </c>
      <c r="L670" s="11">
        <f>8.0967 * CHOOSE(CONTROL!$C$32, $C$9, 100%, $E$9)</f>
        <v>8.0967000000000002</v>
      </c>
      <c r="M670" s="11">
        <f>8.1009 * CHOOSE(CONTROL!$C$32, $C$9, 100%, $E$9)</f>
        <v>8.1008999999999993</v>
      </c>
      <c r="N670" s="11">
        <f>8.0967 * CHOOSE(CONTROL!$C$32, $C$9, 100%, $E$9)</f>
        <v>8.0967000000000002</v>
      </c>
      <c r="O670" s="11">
        <f>8.1009 * CHOOSE(CONTROL!$C$32, $C$9, 100%, $E$9)</f>
        <v>8.1008999999999993</v>
      </c>
    </row>
    <row r="671" spans="1:15" ht="15" x14ac:dyDescent="0.2">
      <c r="A671" s="13">
        <v>61271</v>
      </c>
      <c r="B671" s="9">
        <f>9.7117 * CHOOSE(CONTROL!$C$32, $C$9, 100%, $E$9)</f>
        <v>9.7117000000000004</v>
      </c>
      <c r="C671" s="9">
        <f>9.7117 * CHOOSE(CONTROL!$C$32, $C$9, 100%, $E$9)</f>
        <v>9.7117000000000004</v>
      </c>
      <c r="D671" s="9">
        <f>9.7126 * CHOOSE(CONTROL!$C$32, $C$9, 100%, $E$9)</f>
        <v>9.7126000000000001</v>
      </c>
      <c r="E671" s="11">
        <f>8.1965 * CHOOSE(CONTROL!$C$32, $C$9, 100%, $E$9)</f>
        <v>8.1965000000000003</v>
      </c>
      <c r="F671" s="11">
        <f>8.1965 * CHOOSE(CONTROL!$C$32, $C$9, 100%, $E$9)</f>
        <v>8.1965000000000003</v>
      </c>
      <c r="G671" s="11">
        <f>8.1998 * CHOOSE(CONTROL!$C$32, $C$9, 100%, $E$9)</f>
        <v>8.1997999999999998</v>
      </c>
      <c r="H671" s="11">
        <f>22.3642 * CHOOSE(CONTROL!$C$32, $C$9, 100%, $E$9)</f>
        <v>22.3642</v>
      </c>
      <c r="I671" s="11">
        <f>22.3675 * CHOOSE(CONTROL!$C$32, $C$9, 100%, $E$9)</f>
        <v>22.3675</v>
      </c>
      <c r="J671" s="11">
        <f>22.3642 * CHOOSE(CONTROL!$C$32, $C$9, 100%, $E$9)</f>
        <v>22.3642</v>
      </c>
      <c r="K671" s="11">
        <f>22.3675 * CHOOSE(CONTROL!$C$32, $C$9, 100%, $E$9)</f>
        <v>22.3675</v>
      </c>
      <c r="L671" s="11">
        <f>8.1965 * CHOOSE(CONTROL!$C$32, $C$9, 100%, $E$9)</f>
        <v>8.1965000000000003</v>
      </c>
      <c r="M671" s="11">
        <f>8.1998 * CHOOSE(CONTROL!$C$32, $C$9, 100%, $E$9)</f>
        <v>8.1997999999999998</v>
      </c>
      <c r="N671" s="11">
        <f>8.1965 * CHOOSE(CONTROL!$C$32, $C$9, 100%, $E$9)</f>
        <v>8.1965000000000003</v>
      </c>
      <c r="O671" s="11">
        <f>8.1998 * CHOOSE(CONTROL!$C$32, $C$9, 100%, $E$9)</f>
        <v>8.1997999999999998</v>
      </c>
    </row>
    <row r="672" spans="1:15" ht="15" x14ac:dyDescent="0.2">
      <c r="A672" s="13">
        <v>61302</v>
      </c>
      <c r="B672" s="9">
        <f>9.7147 * CHOOSE(CONTROL!$C$32, $C$9, 100%, $E$9)</f>
        <v>9.7147000000000006</v>
      </c>
      <c r="C672" s="9">
        <f>9.7147 * CHOOSE(CONTROL!$C$32, $C$9, 100%, $E$9)</f>
        <v>9.7147000000000006</v>
      </c>
      <c r="D672" s="9">
        <f>9.7157 * CHOOSE(CONTROL!$C$32, $C$9, 100%, $E$9)</f>
        <v>9.7157</v>
      </c>
      <c r="E672" s="11">
        <f>8.2553 * CHOOSE(CONTROL!$C$32, $C$9, 100%, $E$9)</f>
        <v>8.2553000000000001</v>
      </c>
      <c r="F672" s="11">
        <f>8.2553 * CHOOSE(CONTROL!$C$32, $C$9, 100%, $E$9)</f>
        <v>8.2553000000000001</v>
      </c>
      <c r="G672" s="11">
        <f>8.2585 * CHOOSE(CONTROL!$C$32, $C$9, 100%, $E$9)</f>
        <v>8.2584999999999997</v>
      </c>
      <c r="H672" s="11">
        <f>22.4108 * CHOOSE(CONTROL!$C$32, $C$9, 100%, $E$9)</f>
        <v>22.410799999999998</v>
      </c>
      <c r="I672" s="11">
        <f>22.4141 * CHOOSE(CONTROL!$C$32, $C$9, 100%, $E$9)</f>
        <v>22.414100000000001</v>
      </c>
      <c r="J672" s="11">
        <f>22.4108 * CHOOSE(CONTROL!$C$32, $C$9, 100%, $E$9)</f>
        <v>22.410799999999998</v>
      </c>
      <c r="K672" s="11">
        <f>22.4141 * CHOOSE(CONTROL!$C$32, $C$9, 100%, $E$9)</f>
        <v>22.414100000000001</v>
      </c>
      <c r="L672" s="11">
        <f>8.2553 * CHOOSE(CONTROL!$C$32, $C$9, 100%, $E$9)</f>
        <v>8.2553000000000001</v>
      </c>
      <c r="M672" s="11">
        <f>8.2585 * CHOOSE(CONTROL!$C$32, $C$9, 100%, $E$9)</f>
        <v>8.2584999999999997</v>
      </c>
      <c r="N672" s="11">
        <f>8.2553 * CHOOSE(CONTROL!$C$32, $C$9, 100%, $E$9)</f>
        <v>8.2553000000000001</v>
      </c>
      <c r="O672" s="11">
        <f>8.2585 * CHOOSE(CONTROL!$C$32, $C$9, 100%, $E$9)</f>
        <v>8.2584999999999997</v>
      </c>
    </row>
    <row r="673" spans="1:15" ht="15" x14ac:dyDescent="0.2">
      <c r="A673" s="13">
        <v>61332</v>
      </c>
      <c r="B673" s="9">
        <f>9.7147 * CHOOSE(CONTROL!$C$32, $C$9, 100%, $E$9)</f>
        <v>9.7147000000000006</v>
      </c>
      <c r="C673" s="9">
        <f>9.7147 * CHOOSE(CONTROL!$C$32, $C$9, 100%, $E$9)</f>
        <v>9.7147000000000006</v>
      </c>
      <c r="D673" s="9">
        <f>9.7157 * CHOOSE(CONTROL!$C$32, $C$9, 100%, $E$9)</f>
        <v>9.7157</v>
      </c>
      <c r="E673" s="11">
        <f>8.1137 * CHOOSE(CONTROL!$C$32, $C$9, 100%, $E$9)</f>
        <v>8.1136999999999997</v>
      </c>
      <c r="F673" s="11">
        <f>8.1137 * CHOOSE(CONTROL!$C$32, $C$9, 100%, $E$9)</f>
        <v>8.1136999999999997</v>
      </c>
      <c r="G673" s="11">
        <f>8.1169 * CHOOSE(CONTROL!$C$32, $C$9, 100%, $E$9)</f>
        <v>8.1168999999999993</v>
      </c>
      <c r="H673" s="11">
        <f>22.4575 * CHOOSE(CONTROL!$C$32, $C$9, 100%, $E$9)</f>
        <v>22.4575</v>
      </c>
      <c r="I673" s="11">
        <f>22.4608 * CHOOSE(CONTROL!$C$32, $C$9, 100%, $E$9)</f>
        <v>22.460799999999999</v>
      </c>
      <c r="J673" s="11">
        <f>22.4575 * CHOOSE(CONTROL!$C$32, $C$9, 100%, $E$9)</f>
        <v>22.4575</v>
      </c>
      <c r="K673" s="11">
        <f>22.4608 * CHOOSE(CONTROL!$C$32, $C$9, 100%, $E$9)</f>
        <v>22.460799999999999</v>
      </c>
      <c r="L673" s="11">
        <f>8.1137 * CHOOSE(CONTROL!$C$32, $C$9, 100%, $E$9)</f>
        <v>8.1136999999999997</v>
      </c>
      <c r="M673" s="11">
        <f>8.1169 * CHOOSE(CONTROL!$C$32, $C$9, 100%, $E$9)</f>
        <v>8.1168999999999993</v>
      </c>
      <c r="N673" s="11">
        <f>8.1137 * CHOOSE(CONTROL!$C$32, $C$9, 100%, $E$9)</f>
        <v>8.1136999999999997</v>
      </c>
      <c r="O673" s="11">
        <f>8.1169 * CHOOSE(CONTROL!$C$32, $C$9, 100%, $E$9)</f>
        <v>8.1168999999999993</v>
      </c>
    </row>
    <row r="674" spans="1:15" ht="15" x14ac:dyDescent="0.2">
      <c r="A674" s="13">
        <v>61363</v>
      </c>
      <c r="B674" s="9">
        <f>9.7564 * CHOOSE(CONTROL!$C$32, $C$9, 100%, $E$9)</f>
        <v>9.7563999999999993</v>
      </c>
      <c r="C674" s="9">
        <f>9.7564 * CHOOSE(CONTROL!$C$32, $C$9, 100%, $E$9)</f>
        <v>9.7563999999999993</v>
      </c>
      <c r="D674" s="9">
        <f>9.7573 * CHOOSE(CONTROL!$C$32, $C$9, 100%, $E$9)</f>
        <v>9.7573000000000008</v>
      </c>
      <c r="E674" s="11">
        <f>8.2462 * CHOOSE(CONTROL!$C$32, $C$9, 100%, $E$9)</f>
        <v>8.2462</v>
      </c>
      <c r="F674" s="11">
        <f>8.2462 * CHOOSE(CONTROL!$C$32, $C$9, 100%, $E$9)</f>
        <v>8.2462</v>
      </c>
      <c r="G674" s="11">
        <f>8.2495 * CHOOSE(CONTROL!$C$32, $C$9, 100%, $E$9)</f>
        <v>8.2494999999999994</v>
      </c>
      <c r="H674" s="11">
        <f>22.4208 * CHOOSE(CONTROL!$C$32, $C$9, 100%, $E$9)</f>
        <v>22.4208</v>
      </c>
      <c r="I674" s="11">
        <f>22.4241 * CHOOSE(CONTROL!$C$32, $C$9, 100%, $E$9)</f>
        <v>22.424099999999999</v>
      </c>
      <c r="J674" s="11">
        <f>22.4208 * CHOOSE(CONTROL!$C$32, $C$9, 100%, $E$9)</f>
        <v>22.4208</v>
      </c>
      <c r="K674" s="11">
        <f>22.4241 * CHOOSE(CONTROL!$C$32, $C$9, 100%, $E$9)</f>
        <v>22.424099999999999</v>
      </c>
      <c r="L674" s="11">
        <f>8.2462 * CHOOSE(CONTROL!$C$32, $C$9, 100%, $E$9)</f>
        <v>8.2462</v>
      </c>
      <c r="M674" s="11">
        <f>8.2495 * CHOOSE(CONTROL!$C$32, $C$9, 100%, $E$9)</f>
        <v>8.2494999999999994</v>
      </c>
      <c r="N674" s="11">
        <f>8.2462 * CHOOSE(CONTROL!$C$32, $C$9, 100%, $E$9)</f>
        <v>8.2462</v>
      </c>
      <c r="O674" s="11">
        <f>8.2495 * CHOOSE(CONTROL!$C$32, $C$9, 100%, $E$9)</f>
        <v>8.2494999999999994</v>
      </c>
    </row>
    <row r="675" spans="1:15" ht="15" x14ac:dyDescent="0.2">
      <c r="A675" s="13">
        <v>61394</v>
      </c>
      <c r="B675" s="9">
        <f>9.7533 * CHOOSE(CONTROL!$C$32, $C$9, 100%, $E$9)</f>
        <v>9.7532999999999994</v>
      </c>
      <c r="C675" s="9">
        <f>9.7533 * CHOOSE(CONTROL!$C$32, $C$9, 100%, $E$9)</f>
        <v>9.7532999999999994</v>
      </c>
      <c r="D675" s="9">
        <f>9.7543 * CHOOSE(CONTROL!$C$32, $C$9, 100%, $E$9)</f>
        <v>9.7543000000000006</v>
      </c>
      <c r="E675" s="11">
        <f>7.9694 * CHOOSE(CONTROL!$C$32, $C$9, 100%, $E$9)</f>
        <v>7.9694000000000003</v>
      </c>
      <c r="F675" s="11">
        <f>7.9694 * CHOOSE(CONTROL!$C$32, $C$9, 100%, $E$9)</f>
        <v>7.9694000000000003</v>
      </c>
      <c r="G675" s="11">
        <f>7.9726 * CHOOSE(CONTROL!$C$32, $C$9, 100%, $E$9)</f>
        <v>7.9725999999999999</v>
      </c>
      <c r="H675" s="11">
        <f>22.4675 * CHOOSE(CONTROL!$C$32, $C$9, 100%, $E$9)</f>
        <v>22.467500000000001</v>
      </c>
      <c r="I675" s="11">
        <f>22.4708 * CHOOSE(CONTROL!$C$32, $C$9, 100%, $E$9)</f>
        <v>22.470800000000001</v>
      </c>
      <c r="J675" s="11">
        <f>22.4675 * CHOOSE(CONTROL!$C$32, $C$9, 100%, $E$9)</f>
        <v>22.467500000000001</v>
      </c>
      <c r="K675" s="11">
        <f>22.4708 * CHOOSE(CONTROL!$C$32, $C$9, 100%, $E$9)</f>
        <v>22.470800000000001</v>
      </c>
      <c r="L675" s="11">
        <f>7.9694 * CHOOSE(CONTROL!$C$32, $C$9, 100%, $E$9)</f>
        <v>7.9694000000000003</v>
      </c>
      <c r="M675" s="11">
        <f>7.9726 * CHOOSE(CONTROL!$C$32, $C$9, 100%, $E$9)</f>
        <v>7.9725999999999999</v>
      </c>
      <c r="N675" s="11">
        <f>7.9694 * CHOOSE(CONTROL!$C$32, $C$9, 100%, $E$9)</f>
        <v>7.9694000000000003</v>
      </c>
      <c r="O675" s="11">
        <f>7.9726 * CHOOSE(CONTROL!$C$32, $C$9, 100%, $E$9)</f>
        <v>7.9725999999999999</v>
      </c>
    </row>
    <row r="676" spans="1:15" ht="15" x14ac:dyDescent="0.2">
      <c r="A676" s="13">
        <v>61423</v>
      </c>
      <c r="B676" s="9">
        <f>9.7503 * CHOOSE(CONTROL!$C$32, $C$9, 100%, $E$9)</f>
        <v>9.7502999999999993</v>
      </c>
      <c r="C676" s="9">
        <f>9.7503 * CHOOSE(CONTROL!$C$32, $C$9, 100%, $E$9)</f>
        <v>9.7502999999999993</v>
      </c>
      <c r="D676" s="9">
        <f>9.7512 * CHOOSE(CONTROL!$C$32, $C$9, 100%, $E$9)</f>
        <v>9.7512000000000008</v>
      </c>
      <c r="E676" s="11">
        <f>8.1839 * CHOOSE(CONTROL!$C$32, $C$9, 100%, $E$9)</f>
        <v>8.1838999999999995</v>
      </c>
      <c r="F676" s="11">
        <f>8.1839 * CHOOSE(CONTROL!$C$32, $C$9, 100%, $E$9)</f>
        <v>8.1838999999999995</v>
      </c>
      <c r="G676" s="11">
        <f>8.1871 * CHOOSE(CONTROL!$C$32, $C$9, 100%, $E$9)</f>
        <v>8.1870999999999992</v>
      </c>
      <c r="H676" s="11">
        <f>22.5143 * CHOOSE(CONTROL!$C$32, $C$9, 100%, $E$9)</f>
        <v>22.514299999999999</v>
      </c>
      <c r="I676" s="11">
        <f>22.5176 * CHOOSE(CONTROL!$C$32, $C$9, 100%, $E$9)</f>
        <v>22.517600000000002</v>
      </c>
      <c r="J676" s="11">
        <f>22.5143 * CHOOSE(CONTROL!$C$32, $C$9, 100%, $E$9)</f>
        <v>22.514299999999999</v>
      </c>
      <c r="K676" s="11">
        <f>22.5176 * CHOOSE(CONTROL!$C$32, $C$9, 100%, $E$9)</f>
        <v>22.517600000000002</v>
      </c>
      <c r="L676" s="11">
        <f>8.1839 * CHOOSE(CONTROL!$C$32, $C$9, 100%, $E$9)</f>
        <v>8.1838999999999995</v>
      </c>
      <c r="M676" s="11">
        <f>8.1871 * CHOOSE(CONTROL!$C$32, $C$9, 100%, $E$9)</f>
        <v>8.1870999999999992</v>
      </c>
      <c r="N676" s="11">
        <f>8.1839 * CHOOSE(CONTROL!$C$32, $C$9, 100%, $E$9)</f>
        <v>8.1838999999999995</v>
      </c>
      <c r="O676" s="11">
        <f>8.1871 * CHOOSE(CONTROL!$C$32, $C$9, 100%, $E$9)</f>
        <v>8.1870999999999992</v>
      </c>
    </row>
    <row r="677" spans="1:15" ht="15" x14ac:dyDescent="0.2">
      <c r="A677" s="13">
        <v>61454</v>
      </c>
      <c r="B677" s="9">
        <f>9.7535 * CHOOSE(CONTROL!$C$32, $C$9, 100%, $E$9)</f>
        <v>9.7535000000000007</v>
      </c>
      <c r="C677" s="9">
        <f>9.7535 * CHOOSE(CONTROL!$C$32, $C$9, 100%, $E$9)</f>
        <v>9.7535000000000007</v>
      </c>
      <c r="D677" s="9">
        <f>9.7545 * CHOOSE(CONTROL!$C$32, $C$9, 100%, $E$9)</f>
        <v>9.7545000000000002</v>
      </c>
      <c r="E677" s="11">
        <f>8.4122 * CHOOSE(CONTROL!$C$32, $C$9, 100%, $E$9)</f>
        <v>8.4122000000000003</v>
      </c>
      <c r="F677" s="11">
        <f>8.4122 * CHOOSE(CONTROL!$C$32, $C$9, 100%, $E$9)</f>
        <v>8.4122000000000003</v>
      </c>
      <c r="G677" s="11">
        <f>8.4154 * CHOOSE(CONTROL!$C$32, $C$9, 100%, $E$9)</f>
        <v>8.4154</v>
      </c>
      <c r="H677" s="11">
        <f>22.5613 * CHOOSE(CONTROL!$C$32, $C$9, 100%, $E$9)</f>
        <v>22.561299999999999</v>
      </c>
      <c r="I677" s="11">
        <f>22.5645 * CHOOSE(CONTROL!$C$32, $C$9, 100%, $E$9)</f>
        <v>22.564499999999999</v>
      </c>
      <c r="J677" s="11">
        <f>22.5613 * CHOOSE(CONTROL!$C$32, $C$9, 100%, $E$9)</f>
        <v>22.561299999999999</v>
      </c>
      <c r="K677" s="11">
        <f>22.5645 * CHOOSE(CONTROL!$C$32, $C$9, 100%, $E$9)</f>
        <v>22.564499999999999</v>
      </c>
      <c r="L677" s="11">
        <f>8.4122 * CHOOSE(CONTROL!$C$32, $C$9, 100%, $E$9)</f>
        <v>8.4122000000000003</v>
      </c>
      <c r="M677" s="11">
        <f>8.4154 * CHOOSE(CONTROL!$C$32, $C$9, 100%, $E$9)</f>
        <v>8.4154</v>
      </c>
      <c r="N677" s="11">
        <f>8.4122 * CHOOSE(CONTROL!$C$32, $C$9, 100%, $E$9)</f>
        <v>8.4122000000000003</v>
      </c>
      <c r="O677" s="11">
        <f>8.4154 * CHOOSE(CONTROL!$C$32, $C$9, 100%, $E$9)</f>
        <v>8.4154</v>
      </c>
    </row>
    <row r="678" spans="1:15" ht="15" x14ac:dyDescent="0.2">
      <c r="A678" s="13">
        <v>61484</v>
      </c>
      <c r="B678" s="9">
        <f>9.7535 * CHOOSE(CONTROL!$C$32, $C$9, 100%, $E$9)</f>
        <v>9.7535000000000007</v>
      </c>
      <c r="C678" s="9">
        <f>9.7535 * CHOOSE(CONTROL!$C$32, $C$9, 100%, $E$9)</f>
        <v>9.7535000000000007</v>
      </c>
      <c r="D678" s="9">
        <f>9.7547 * CHOOSE(CONTROL!$C$32, $C$9, 100%, $E$9)</f>
        <v>9.7546999999999997</v>
      </c>
      <c r="E678" s="11">
        <f>8.4994 * CHOOSE(CONTROL!$C$32, $C$9, 100%, $E$9)</f>
        <v>8.4993999999999996</v>
      </c>
      <c r="F678" s="11">
        <f>8.4994 * CHOOSE(CONTROL!$C$32, $C$9, 100%, $E$9)</f>
        <v>8.4993999999999996</v>
      </c>
      <c r="G678" s="11">
        <f>8.5036 * CHOOSE(CONTROL!$C$32, $C$9, 100%, $E$9)</f>
        <v>8.5036000000000005</v>
      </c>
      <c r="H678" s="11">
        <f>22.6083 * CHOOSE(CONTROL!$C$32, $C$9, 100%, $E$9)</f>
        <v>22.6083</v>
      </c>
      <c r="I678" s="11">
        <f>22.6125 * CHOOSE(CONTROL!$C$32, $C$9, 100%, $E$9)</f>
        <v>22.612500000000001</v>
      </c>
      <c r="J678" s="11">
        <f>22.6083 * CHOOSE(CONTROL!$C$32, $C$9, 100%, $E$9)</f>
        <v>22.6083</v>
      </c>
      <c r="K678" s="11">
        <f>22.6125 * CHOOSE(CONTROL!$C$32, $C$9, 100%, $E$9)</f>
        <v>22.612500000000001</v>
      </c>
      <c r="L678" s="11">
        <f>8.4994 * CHOOSE(CONTROL!$C$32, $C$9, 100%, $E$9)</f>
        <v>8.4993999999999996</v>
      </c>
      <c r="M678" s="11">
        <f>8.5036 * CHOOSE(CONTROL!$C$32, $C$9, 100%, $E$9)</f>
        <v>8.5036000000000005</v>
      </c>
      <c r="N678" s="11">
        <f>8.4994 * CHOOSE(CONTROL!$C$32, $C$9, 100%, $E$9)</f>
        <v>8.4993999999999996</v>
      </c>
      <c r="O678" s="11">
        <f>8.5036 * CHOOSE(CONTROL!$C$32, $C$9, 100%, $E$9)</f>
        <v>8.5036000000000005</v>
      </c>
    </row>
    <row r="679" spans="1:15" ht="15" x14ac:dyDescent="0.2">
      <c r="A679" s="13">
        <v>61515</v>
      </c>
      <c r="B679" s="9">
        <f>9.7596 * CHOOSE(CONTROL!$C$32, $C$9, 100%, $E$9)</f>
        <v>9.7596000000000007</v>
      </c>
      <c r="C679" s="9">
        <f>9.7596 * CHOOSE(CONTROL!$C$32, $C$9, 100%, $E$9)</f>
        <v>9.7596000000000007</v>
      </c>
      <c r="D679" s="9">
        <f>9.7608 * CHOOSE(CONTROL!$C$32, $C$9, 100%, $E$9)</f>
        <v>9.7607999999999997</v>
      </c>
      <c r="E679" s="11">
        <f>8.4165 * CHOOSE(CONTROL!$C$32, $C$9, 100%, $E$9)</f>
        <v>8.4164999999999992</v>
      </c>
      <c r="F679" s="11">
        <f>8.4165 * CHOOSE(CONTROL!$C$32, $C$9, 100%, $E$9)</f>
        <v>8.4164999999999992</v>
      </c>
      <c r="G679" s="11">
        <f>8.4207 * CHOOSE(CONTROL!$C$32, $C$9, 100%, $E$9)</f>
        <v>8.4207000000000001</v>
      </c>
      <c r="H679" s="11">
        <f>22.6554 * CHOOSE(CONTROL!$C$32, $C$9, 100%, $E$9)</f>
        <v>22.6554</v>
      </c>
      <c r="I679" s="11">
        <f>22.6596 * CHOOSE(CONTROL!$C$32, $C$9, 100%, $E$9)</f>
        <v>22.659600000000001</v>
      </c>
      <c r="J679" s="11">
        <f>22.6554 * CHOOSE(CONTROL!$C$32, $C$9, 100%, $E$9)</f>
        <v>22.6554</v>
      </c>
      <c r="K679" s="11">
        <f>22.6596 * CHOOSE(CONTROL!$C$32, $C$9, 100%, $E$9)</f>
        <v>22.659600000000001</v>
      </c>
      <c r="L679" s="11">
        <f>8.4165 * CHOOSE(CONTROL!$C$32, $C$9, 100%, $E$9)</f>
        <v>8.4164999999999992</v>
      </c>
      <c r="M679" s="11">
        <f>8.4207 * CHOOSE(CONTROL!$C$32, $C$9, 100%, $E$9)</f>
        <v>8.4207000000000001</v>
      </c>
      <c r="N679" s="11">
        <f>8.4165 * CHOOSE(CONTROL!$C$32, $C$9, 100%, $E$9)</f>
        <v>8.4164999999999992</v>
      </c>
      <c r="O679" s="11">
        <f>8.4207 * CHOOSE(CONTROL!$C$32, $C$9, 100%, $E$9)</f>
        <v>8.4207000000000001</v>
      </c>
    </row>
    <row r="680" spans="1:15" ht="15" x14ac:dyDescent="0.2">
      <c r="A680" s="13">
        <v>61545</v>
      </c>
      <c r="B680" s="9">
        <f>9.8813 * CHOOSE(CONTROL!$C$32, $C$9, 100%, $E$9)</f>
        <v>9.8812999999999995</v>
      </c>
      <c r="C680" s="9">
        <f>9.8813 * CHOOSE(CONTROL!$C$32, $C$9, 100%, $E$9)</f>
        <v>9.8812999999999995</v>
      </c>
      <c r="D680" s="9">
        <f>9.8826 * CHOOSE(CONTROL!$C$32, $C$9, 100%, $E$9)</f>
        <v>9.8826000000000001</v>
      </c>
      <c r="E680" s="11">
        <f>8.4603 * CHOOSE(CONTROL!$C$32, $C$9, 100%, $E$9)</f>
        <v>8.4603000000000002</v>
      </c>
      <c r="F680" s="11">
        <f>8.4603 * CHOOSE(CONTROL!$C$32, $C$9, 100%, $E$9)</f>
        <v>8.4603000000000002</v>
      </c>
      <c r="G680" s="11">
        <f>8.4645 * CHOOSE(CONTROL!$C$32, $C$9, 100%, $E$9)</f>
        <v>8.4644999999999992</v>
      </c>
      <c r="H680" s="11">
        <f>22.7026 * CHOOSE(CONTROL!$C$32, $C$9, 100%, $E$9)</f>
        <v>22.7026</v>
      </c>
      <c r="I680" s="11">
        <f>22.7068 * CHOOSE(CONTROL!$C$32, $C$9, 100%, $E$9)</f>
        <v>22.706800000000001</v>
      </c>
      <c r="J680" s="11">
        <f>22.7026 * CHOOSE(CONTROL!$C$32, $C$9, 100%, $E$9)</f>
        <v>22.7026</v>
      </c>
      <c r="K680" s="11">
        <f>22.7068 * CHOOSE(CONTROL!$C$32, $C$9, 100%, $E$9)</f>
        <v>22.706800000000001</v>
      </c>
      <c r="L680" s="11">
        <f>8.4603 * CHOOSE(CONTROL!$C$32, $C$9, 100%, $E$9)</f>
        <v>8.4603000000000002</v>
      </c>
      <c r="M680" s="11">
        <f>8.4645 * CHOOSE(CONTROL!$C$32, $C$9, 100%, $E$9)</f>
        <v>8.4644999999999992</v>
      </c>
      <c r="N680" s="11">
        <f>8.4603 * CHOOSE(CONTROL!$C$32, $C$9, 100%, $E$9)</f>
        <v>8.4603000000000002</v>
      </c>
      <c r="O680" s="11">
        <f>8.4645 * CHOOSE(CONTROL!$C$32, $C$9, 100%, $E$9)</f>
        <v>8.4644999999999992</v>
      </c>
    </row>
    <row r="681" spans="1:15" ht="15" x14ac:dyDescent="0.2">
      <c r="A681" s="13">
        <v>61576</v>
      </c>
      <c r="B681" s="9">
        <f>9.888 * CHOOSE(CONTROL!$C$32, $C$9, 100%, $E$9)</f>
        <v>9.8879999999999999</v>
      </c>
      <c r="C681" s="9">
        <f>9.888 * CHOOSE(CONTROL!$C$32, $C$9, 100%, $E$9)</f>
        <v>9.8879999999999999</v>
      </c>
      <c r="D681" s="9">
        <f>9.8893 * CHOOSE(CONTROL!$C$32, $C$9, 100%, $E$9)</f>
        <v>9.8893000000000004</v>
      </c>
      <c r="E681" s="11">
        <f>8.2033 * CHOOSE(CONTROL!$C$32, $C$9, 100%, $E$9)</f>
        <v>8.2033000000000005</v>
      </c>
      <c r="F681" s="11">
        <f>8.2033 * CHOOSE(CONTROL!$C$32, $C$9, 100%, $E$9)</f>
        <v>8.2033000000000005</v>
      </c>
      <c r="G681" s="11">
        <f>8.2075 * CHOOSE(CONTROL!$C$32, $C$9, 100%, $E$9)</f>
        <v>8.2074999999999996</v>
      </c>
      <c r="H681" s="11">
        <f>22.7499 * CHOOSE(CONTROL!$C$32, $C$9, 100%, $E$9)</f>
        <v>22.7499</v>
      </c>
      <c r="I681" s="11">
        <f>22.7541 * CHOOSE(CONTROL!$C$32, $C$9, 100%, $E$9)</f>
        <v>22.754100000000001</v>
      </c>
      <c r="J681" s="11">
        <f>22.7499 * CHOOSE(CONTROL!$C$32, $C$9, 100%, $E$9)</f>
        <v>22.7499</v>
      </c>
      <c r="K681" s="11">
        <f>22.7541 * CHOOSE(CONTROL!$C$32, $C$9, 100%, $E$9)</f>
        <v>22.754100000000001</v>
      </c>
      <c r="L681" s="11">
        <f>8.2033 * CHOOSE(CONTROL!$C$32, $C$9, 100%, $E$9)</f>
        <v>8.2033000000000005</v>
      </c>
      <c r="M681" s="11">
        <f>8.2075 * CHOOSE(CONTROL!$C$32, $C$9, 100%, $E$9)</f>
        <v>8.2074999999999996</v>
      </c>
      <c r="N681" s="11">
        <f>8.2033 * CHOOSE(CONTROL!$C$32, $C$9, 100%, $E$9)</f>
        <v>8.2033000000000005</v>
      </c>
      <c r="O681" s="11">
        <f>8.2075 * CHOOSE(CONTROL!$C$32, $C$9, 100%, $E$9)</f>
        <v>8.2074999999999996</v>
      </c>
    </row>
    <row r="682" spans="1:15" ht="15" x14ac:dyDescent="0.2">
      <c r="A682" s="13">
        <v>61607</v>
      </c>
      <c r="B682" s="9">
        <f>9.885 * CHOOSE(CONTROL!$C$32, $C$9, 100%, $E$9)</f>
        <v>9.8849999999999998</v>
      </c>
      <c r="C682" s="9">
        <f>9.885 * CHOOSE(CONTROL!$C$32, $C$9, 100%, $E$9)</f>
        <v>9.8849999999999998</v>
      </c>
      <c r="D682" s="9">
        <f>9.8862 * CHOOSE(CONTROL!$C$32, $C$9, 100%, $E$9)</f>
        <v>9.8862000000000005</v>
      </c>
      <c r="E682" s="11">
        <f>8.1721 * CHOOSE(CONTROL!$C$32, $C$9, 100%, $E$9)</f>
        <v>8.1721000000000004</v>
      </c>
      <c r="F682" s="11">
        <f>8.1721 * CHOOSE(CONTROL!$C$32, $C$9, 100%, $E$9)</f>
        <v>8.1721000000000004</v>
      </c>
      <c r="G682" s="11">
        <f>8.1763 * CHOOSE(CONTROL!$C$32, $C$9, 100%, $E$9)</f>
        <v>8.1762999999999995</v>
      </c>
      <c r="H682" s="11">
        <f>22.7972 * CHOOSE(CONTROL!$C$32, $C$9, 100%, $E$9)</f>
        <v>22.7972</v>
      </c>
      <c r="I682" s="11">
        <f>22.8014 * CHOOSE(CONTROL!$C$32, $C$9, 100%, $E$9)</f>
        <v>22.801400000000001</v>
      </c>
      <c r="J682" s="11">
        <f>22.7972 * CHOOSE(CONTROL!$C$32, $C$9, 100%, $E$9)</f>
        <v>22.7972</v>
      </c>
      <c r="K682" s="11">
        <f>22.8014 * CHOOSE(CONTROL!$C$32, $C$9, 100%, $E$9)</f>
        <v>22.801400000000001</v>
      </c>
      <c r="L682" s="11">
        <f>8.1721 * CHOOSE(CONTROL!$C$32, $C$9, 100%, $E$9)</f>
        <v>8.1721000000000004</v>
      </c>
      <c r="M682" s="11">
        <f>8.1763 * CHOOSE(CONTROL!$C$32, $C$9, 100%, $E$9)</f>
        <v>8.1762999999999995</v>
      </c>
      <c r="N682" s="11">
        <f>8.1721 * CHOOSE(CONTROL!$C$32, $C$9, 100%, $E$9)</f>
        <v>8.1721000000000004</v>
      </c>
      <c r="O682" s="11">
        <f>8.1763 * CHOOSE(CONTROL!$C$32, $C$9, 100%, $E$9)</f>
        <v>8.1762999999999995</v>
      </c>
    </row>
    <row r="683" spans="1:15" ht="15" x14ac:dyDescent="0.2">
      <c r="A683" s="13">
        <v>61637</v>
      </c>
      <c r="B683" s="9">
        <f>9.902 * CHOOSE(CONTROL!$C$32, $C$9, 100%, $E$9)</f>
        <v>9.9019999999999992</v>
      </c>
      <c r="C683" s="9">
        <f>9.902 * CHOOSE(CONTROL!$C$32, $C$9, 100%, $E$9)</f>
        <v>9.9019999999999992</v>
      </c>
      <c r="D683" s="9">
        <f>9.9029 * CHOOSE(CONTROL!$C$32, $C$9, 100%, $E$9)</f>
        <v>9.9029000000000007</v>
      </c>
      <c r="E683" s="11">
        <f>8.275 * CHOOSE(CONTROL!$C$32, $C$9, 100%, $E$9)</f>
        <v>8.2750000000000004</v>
      </c>
      <c r="F683" s="11">
        <f>8.275 * CHOOSE(CONTROL!$C$32, $C$9, 100%, $E$9)</f>
        <v>8.2750000000000004</v>
      </c>
      <c r="G683" s="11">
        <f>8.2782 * CHOOSE(CONTROL!$C$32, $C$9, 100%, $E$9)</f>
        <v>8.2782</v>
      </c>
      <c r="H683" s="11">
        <f>22.8447 * CHOOSE(CONTROL!$C$32, $C$9, 100%, $E$9)</f>
        <v>22.8447</v>
      </c>
      <c r="I683" s="11">
        <f>22.848 * CHOOSE(CONTROL!$C$32, $C$9, 100%, $E$9)</f>
        <v>22.847999999999999</v>
      </c>
      <c r="J683" s="11">
        <f>22.8447 * CHOOSE(CONTROL!$C$32, $C$9, 100%, $E$9)</f>
        <v>22.8447</v>
      </c>
      <c r="K683" s="11">
        <f>22.848 * CHOOSE(CONTROL!$C$32, $C$9, 100%, $E$9)</f>
        <v>22.847999999999999</v>
      </c>
      <c r="L683" s="11">
        <f>8.275 * CHOOSE(CONTROL!$C$32, $C$9, 100%, $E$9)</f>
        <v>8.2750000000000004</v>
      </c>
      <c r="M683" s="11">
        <f>8.2782 * CHOOSE(CONTROL!$C$32, $C$9, 100%, $E$9)</f>
        <v>8.2782</v>
      </c>
      <c r="N683" s="11">
        <f>8.275 * CHOOSE(CONTROL!$C$32, $C$9, 100%, $E$9)</f>
        <v>8.2750000000000004</v>
      </c>
      <c r="O683" s="11">
        <f>8.2782 * CHOOSE(CONTROL!$C$32, $C$9, 100%, $E$9)</f>
        <v>8.2782</v>
      </c>
    </row>
    <row r="684" spans="1:15" ht="15" x14ac:dyDescent="0.2">
      <c r="A684" s="13">
        <v>61668</v>
      </c>
      <c r="B684" s="9">
        <f>9.905 * CHOOSE(CONTROL!$C$32, $C$9, 100%, $E$9)</f>
        <v>9.9049999999999994</v>
      </c>
      <c r="C684" s="9">
        <f>9.905 * CHOOSE(CONTROL!$C$32, $C$9, 100%, $E$9)</f>
        <v>9.9049999999999994</v>
      </c>
      <c r="D684" s="9">
        <f>9.906 * CHOOSE(CONTROL!$C$32, $C$9, 100%, $E$9)</f>
        <v>9.9060000000000006</v>
      </c>
      <c r="E684" s="11">
        <f>8.3352 * CHOOSE(CONTROL!$C$32, $C$9, 100%, $E$9)</f>
        <v>8.3352000000000004</v>
      </c>
      <c r="F684" s="11">
        <f>8.3352 * CHOOSE(CONTROL!$C$32, $C$9, 100%, $E$9)</f>
        <v>8.3352000000000004</v>
      </c>
      <c r="G684" s="11">
        <f>8.3385 * CHOOSE(CONTROL!$C$32, $C$9, 100%, $E$9)</f>
        <v>8.3384999999999998</v>
      </c>
      <c r="H684" s="11">
        <f>22.8923 * CHOOSE(CONTROL!$C$32, $C$9, 100%, $E$9)</f>
        <v>22.892299999999999</v>
      </c>
      <c r="I684" s="11">
        <f>22.8956 * CHOOSE(CONTROL!$C$32, $C$9, 100%, $E$9)</f>
        <v>22.895600000000002</v>
      </c>
      <c r="J684" s="11">
        <f>22.8923 * CHOOSE(CONTROL!$C$32, $C$9, 100%, $E$9)</f>
        <v>22.892299999999999</v>
      </c>
      <c r="K684" s="11">
        <f>22.8956 * CHOOSE(CONTROL!$C$32, $C$9, 100%, $E$9)</f>
        <v>22.895600000000002</v>
      </c>
      <c r="L684" s="11">
        <f>8.3352 * CHOOSE(CONTROL!$C$32, $C$9, 100%, $E$9)</f>
        <v>8.3352000000000004</v>
      </c>
      <c r="M684" s="11">
        <f>8.3385 * CHOOSE(CONTROL!$C$32, $C$9, 100%, $E$9)</f>
        <v>8.3384999999999998</v>
      </c>
      <c r="N684" s="11">
        <f>8.3352 * CHOOSE(CONTROL!$C$32, $C$9, 100%, $E$9)</f>
        <v>8.3352000000000004</v>
      </c>
      <c r="O684" s="11">
        <f>8.3385 * CHOOSE(CONTROL!$C$32, $C$9, 100%, $E$9)</f>
        <v>8.3384999999999998</v>
      </c>
    </row>
    <row r="685" spans="1:15" ht="15" x14ac:dyDescent="0.2">
      <c r="A685" s="13">
        <v>61698</v>
      </c>
      <c r="B685" s="9">
        <f>9.905 * CHOOSE(CONTROL!$C$32, $C$9, 100%, $E$9)</f>
        <v>9.9049999999999994</v>
      </c>
      <c r="C685" s="9">
        <f>9.905 * CHOOSE(CONTROL!$C$32, $C$9, 100%, $E$9)</f>
        <v>9.9049999999999994</v>
      </c>
      <c r="D685" s="9">
        <f>9.906 * CHOOSE(CONTROL!$C$32, $C$9, 100%, $E$9)</f>
        <v>9.9060000000000006</v>
      </c>
      <c r="E685" s="11">
        <f>8.1899 * CHOOSE(CONTROL!$C$32, $C$9, 100%, $E$9)</f>
        <v>8.1898999999999997</v>
      </c>
      <c r="F685" s="11">
        <f>8.1899 * CHOOSE(CONTROL!$C$32, $C$9, 100%, $E$9)</f>
        <v>8.1898999999999997</v>
      </c>
      <c r="G685" s="11">
        <f>8.1931 * CHOOSE(CONTROL!$C$32, $C$9, 100%, $E$9)</f>
        <v>8.1930999999999994</v>
      </c>
      <c r="H685" s="11">
        <f>22.94 * CHOOSE(CONTROL!$C$32, $C$9, 100%, $E$9)</f>
        <v>22.94</v>
      </c>
      <c r="I685" s="11">
        <f>22.9433 * CHOOSE(CONTROL!$C$32, $C$9, 100%, $E$9)</f>
        <v>22.943300000000001</v>
      </c>
      <c r="J685" s="11">
        <f>22.94 * CHOOSE(CONTROL!$C$32, $C$9, 100%, $E$9)</f>
        <v>22.94</v>
      </c>
      <c r="K685" s="11">
        <f>22.9433 * CHOOSE(CONTROL!$C$32, $C$9, 100%, $E$9)</f>
        <v>22.943300000000001</v>
      </c>
      <c r="L685" s="11">
        <f>8.1899 * CHOOSE(CONTROL!$C$32, $C$9, 100%, $E$9)</f>
        <v>8.1898999999999997</v>
      </c>
      <c r="M685" s="11">
        <f>8.1931 * CHOOSE(CONTROL!$C$32, $C$9, 100%, $E$9)</f>
        <v>8.1930999999999994</v>
      </c>
      <c r="N685" s="11">
        <f>8.1899 * CHOOSE(CONTROL!$C$32, $C$9, 100%, $E$9)</f>
        <v>8.1898999999999997</v>
      </c>
      <c r="O685" s="11">
        <f>8.1931 * CHOOSE(CONTROL!$C$32, $C$9, 100%, $E$9)</f>
        <v>8.1930999999999994</v>
      </c>
    </row>
    <row r="686" spans="1:15" ht="15" x14ac:dyDescent="0.2">
      <c r="A686" s="13">
        <v>61729</v>
      </c>
      <c r="B686" s="9">
        <f>9.9437 * CHOOSE(CONTROL!$C$32, $C$9, 100%, $E$9)</f>
        <v>9.9436999999999998</v>
      </c>
      <c r="C686" s="9">
        <f>9.9437 * CHOOSE(CONTROL!$C$32, $C$9, 100%, $E$9)</f>
        <v>9.9436999999999998</v>
      </c>
      <c r="D686" s="9">
        <f>9.9447 * CHOOSE(CONTROL!$C$32, $C$9, 100%, $E$9)</f>
        <v>9.9446999999999992</v>
      </c>
      <c r="E686" s="11">
        <f>8.3235 * CHOOSE(CONTROL!$C$32, $C$9, 100%, $E$9)</f>
        <v>8.3234999999999992</v>
      </c>
      <c r="F686" s="11">
        <f>8.3235 * CHOOSE(CONTROL!$C$32, $C$9, 100%, $E$9)</f>
        <v>8.3234999999999992</v>
      </c>
      <c r="G686" s="11">
        <f>8.3267 * CHOOSE(CONTROL!$C$32, $C$9, 100%, $E$9)</f>
        <v>8.3267000000000007</v>
      </c>
      <c r="H686" s="11">
        <f>22.8924 * CHOOSE(CONTROL!$C$32, $C$9, 100%, $E$9)</f>
        <v>22.892399999999999</v>
      </c>
      <c r="I686" s="11">
        <f>22.8956 * CHOOSE(CONTROL!$C$32, $C$9, 100%, $E$9)</f>
        <v>22.895600000000002</v>
      </c>
      <c r="J686" s="11">
        <f>22.8924 * CHOOSE(CONTROL!$C$32, $C$9, 100%, $E$9)</f>
        <v>22.892399999999999</v>
      </c>
      <c r="K686" s="11">
        <f>22.8956 * CHOOSE(CONTROL!$C$32, $C$9, 100%, $E$9)</f>
        <v>22.895600000000002</v>
      </c>
      <c r="L686" s="11">
        <f>8.3235 * CHOOSE(CONTROL!$C$32, $C$9, 100%, $E$9)</f>
        <v>8.3234999999999992</v>
      </c>
      <c r="M686" s="11">
        <f>8.3267 * CHOOSE(CONTROL!$C$32, $C$9, 100%, $E$9)</f>
        <v>8.3267000000000007</v>
      </c>
      <c r="N686" s="11">
        <f>8.3235 * CHOOSE(CONTROL!$C$32, $C$9, 100%, $E$9)</f>
        <v>8.3234999999999992</v>
      </c>
      <c r="O686" s="11">
        <f>8.3267 * CHOOSE(CONTROL!$C$32, $C$9, 100%, $E$9)</f>
        <v>8.3267000000000007</v>
      </c>
    </row>
    <row r="687" spans="1:15" ht="15" x14ac:dyDescent="0.2">
      <c r="A687" s="13">
        <v>61760</v>
      </c>
      <c r="B687" s="9">
        <f>9.9407 * CHOOSE(CONTROL!$C$32, $C$9, 100%, $E$9)</f>
        <v>9.9406999999999996</v>
      </c>
      <c r="C687" s="9">
        <f>9.9407 * CHOOSE(CONTROL!$C$32, $C$9, 100%, $E$9)</f>
        <v>9.9406999999999996</v>
      </c>
      <c r="D687" s="9">
        <f>9.9416 * CHOOSE(CONTROL!$C$32, $C$9, 100%, $E$9)</f>
        <v>9.9415999999999993</v>
      </c>
      <c r="E687" s="11">
        <f>8.0396 * CHOOSE(CONTROL!$C$32, $C$9, 100%, $E$9)</f>
        <v>8.0396000000000001</v>
      </c>
      <c r="F687" s="11">
        <f>8.0396 * CHOOSE(CONTROL!$C$32, $C$9, 100%, $E$9)</f>
        <v>8.0396000000000001</v>
      </c>
      <c r="G687" s="11">
        <f>8.0428 * CHOOSE(CONTROL!$C$32, $C$9, 100%, $E$9)</f>
        <v>8.0427999999999997</v>
      </c>
      <c r="H687" s="11">
        <f>22.9401 * CHOOSE(CONTROL!$C$32, $C$9, 100%, $E$9)</f>
        <v>22.940100000000001</v>
      </c>
      <c r="I687" s="11">
        <f>22.9433 * CHOOSE(CONTROL!$C$32, $C$9, 100%, $E$9)</f>
        <v>22.943300000000001</v>
      </c>
      <c r="J687" s="11">
        <f>22.9401 * CHOOSE(CONTROL!$C$32, $C$9, 100%, $E$9)</f>
        <v>22.940100000000001</v>
      </c>
      <c r="K687" s="11">
        <f>22.9433 * CHOOSE(CONTROL!$C$32, $C$9, 100%, $E$9)</f>
        <v>22.943300000000001</v>
      </c>
      <c r="L687" s="11">
        <f>8.0396 * CHOOSE(CONTROL!$C$32, $C$9, 100%, $E$9)</f>
        <v>8.0396000000000001</v>
      </c>
      <c r="M687" s="11">
        <f>8.0428 * CHOOSE(CONTROL!$C$32, $C$9, 100%, $E$9)</f>
        <v>8.0427999999999997</v>
      </c>
      <c r="N687" s="11">
        <f>8.0396 * CHOOSE(CONTROL!$C$32, $C$9, 100%, $E$9)</f>
        <v>8.0396000000000001</v>
      </c>
      <c r="O687" s="11">
        <f>8.0428 * CHOOSE(CONTROL!$C$32, $C$9, 100%, $E$9)</f>
        <v>8.0427999999999997</v>
      </c>
    </row>
    <row r="688" spans="1:15" ht="15" x14ac:dyDescent="0.2">
      <c r="A688" s="13">
        <v>61788</v>
      </c>
      <c r="B688" s="9">
        <f>9.9376 * CHOOSE(CONTROL!$C$32, $C$9, 100%, $E$9)</f>
        <v>9.9375999999999998</v>
      </c>
      <c r="C688" s="9">
        <f>9.9376 * CHOOSE(CONTROL!$C$32, $C$9, 100%, $E$9)</f>
        <v>9.9375999999999998</v>
      </c>
      <c r="D688" s="9">
        <f>9.9386 * CHOOSE(CONTROL!$C$32, $C$9, 100%, $E$9)</f>
        <v>9.9385999999999992</v>
      </c>
      <c r="E688" s="11">
        <f>8.2596 * CHOOSE(CONTROL!$C$32, $C$9, 100%, $E$9)</f>
        <v>8.2596000000000007</v>
      </c>
      <c r="F688" s="11">
        <f>8.2596 * CHOOSE(CONTROL!$C$32, $C$9, 100%, $E$9)</f>
        <v>8.2596000000000007</v>
      </c>
      <c r="G688" s="11">
        <f>8.2629 * CHOOSE(CONTROL!$C$32, $C$9, 100%, $E$9)</f>
        <v>8.2629000000000001</v>
      </c>
      <c r="H688" s="11">
        <f>22.9879 * CHOOSE(CONTROL!$C$32, $C$9, 100%, $E$9)</f>
        <v>22.9879</v>
      </c>
      <c r="I688" s="11">
        <f>22.9911 * CHOOSE(CONTROL!$C$32, $C$9, 100%, $E$9)</f>
        <v>22.991099999999999</v>
      </c>
      <c r="J688" s="11">
        <f>22.9879 * CHOOSE(CONTROL!$C$32, $C$9, 100%, $E$9)</f>
        <v>22.9879</v>
      </c>
      <c r="K688" s="11">
        <f>22.9911 * CHOOSE(CONTROL!$C$32, $C$9, 100%, $E$9)</f>
        <v>22.991099999999999</v>
      </c>
      <c r="L688" s="11">
        <f>8.2596 * CHOOSE(CONTROL!$C$32, $C$9, 100%, $E$9)</f>
        <v>8.2596000000000007</v>
      </c>
      <c r="M688" s="11">
        <f>8.2629 * CHOOSE(CONTROL!$C$32, $C$9, 100%, $E$9)</f>
        <v>8.2629000000000001</v>
      </c>
      <c r="N688" s="11">
        <f>8.2596 * CHOOSE(CONTROL!$C$32, $C$9, 100%, $E$9)</f>
        <v>8.2596000000000007</v>
      </c>
      <c r="O688" s="11">
        <f>8.2629 * CHOOSE(CONTROL!$C$32, $C$9, 100%, $E$9)</f>
        <v>8.2629000000000001</v>
      </c>
    </row>
    <row r="689" spans="1:15" ht="15" x14ac:dyDescent="0.2">
      <c r="A689" s="13">
        <v>61819</v>
      </c>
      <c r="B689" s="9">
        <f>9.941 * CHOOSE(CONTROL!$C$32, $C$9, 100%, $E$9)</f>
        <v>9.9410000000000007</v>
      </c>
      <c r="C689" s="9">
        <f>9.941 * CHOOSE(CONTROL!$C$32, $C$9, 100%, $E$9)</f>
        <v>9.9410000000000007</v>
      </c>
      <c r="D689" s="9">
        <f>9.942 * CHOOSE(CONTROL!$C$32, $C$9, 100%, $E$9)</f>
        <v>9.9420000000000002</v>
      </c>
      <c r="E689" s="11">
        <f>8.494 * CHOOSE(CONTROL!$C$32, $C$9, 100%, $E$9)</f>
        <v>8.4939999999999998</v>
      </c>
      <c r="F689" s="11">
        <f>8.494 * CHOOSE(CONTROL!$C$32, $C$9, 100%, $E$9)</f>
        <v>8.4939999999999998</v>
      </c>
      <c r="G689" s="11">
        <f>8.4972 * CHOOSE(CONTROL!$C$32, $C$9, 100%, $E$9)</f>
        <v>8.4971999999999994</v>
      </c>
      <c r="H689" s="11">
        <f>23.0358 * CHOOSE(CONTROL!$C$32, $C$9, 100%, $E$9)</f>
        <v>23.035799999999998</v>
      </c>
      <c r="I689" s="11">
        <f>23.039 * CHOOSE(CONTROL!$C$32, $C$9, 100%, $E$9)</f>
        <v>23.039000000000001</v>
      </c>
      <c r="J689" s="11">
        <f>23.0358 * CHOOSE(CONTROL!$C$32, $C$9, 100%, $E$9)</f>
        <v>23.035799999999998</v>
      </c>
      <c r="K689" s="11">
        <f>23.039 * CHOOSE(CONTROL!$C$32, $C$9, 100%, $E$9)</f>
        <v>23.039000000000001</v>
      </c>
      <c r="L689" s="11">
        <f>8.494 * CHOOSE(CONTROL!$C$32, $C$9, 100%, $E$9)</f>
        <v>8.4939999999999998</v>
      </c>
      <c r="M689" s="11">
        <f>8.4972 * CHOOSE(CONTROL!$C$32, $C$9, 100%, $E$9)</f>
        <v>8.4971999999999994</v>
      </c>
      <c r="N689" s="11">
        <f>8.494 * CHOOSE(CONTROL!$C$32, $C$9, 100%, $E$9)</f>
        <v>8.4939999999999998</v>
      </c>
      <c r="O689" s="11">
        <f>8.4972 * CHOOSE(CONTROL!$C$32, $C$9, 100%, $E$9)</f>
        <v>8.4971999999999994</v>
      </c>
    </row>
    <row r="690" spans="1:15" ht="15" x14ac:dyDescent="0.2">
      <c r="A690" s="13">
        <v>61849</v>
      </c>
      <c r="B690" s="9">
        <f>9.941 * CHOOSE(CONTROL!$C$32, $C$9, 100%, $E$9)</f>
        <v>9.9410000000000007</v>
      </c>
      <c r="C690" s="9">
        <f>9.941 * CHOOSE(CONTROL!$C$32, $C$9, 100%, $E$9)</f>
        <v>9.9410000000000007</v>
      </c>
      <c r="D690" s="9">
        <f>9.9423 * CHOOSE(CONTROL!$C$32, $C$9, 100%, $E$9)</f>
        <v>9.9422999999999995</v>
      </c>
      <c r="E690" s="11">
        <f>8.5835 * CHOOSE(CONTROL!$C$32, $C$9, 100%, $E$9)</f>
        <v>8.5835000000000008</v>
      </c>
      <c r="F690" s="11">
        <f>8.5835 * CHOOSE(CONTROL!$C$32, $C$9, 100%, $E$9)</f>
        <v>8.5835000000000008</v>
      </c>
      <c r="G690" s="11">
        <f>8.5877 * CHOOSE(CONTROL!$C$32, $C$9, 100%, $E$9)</f>
        <v>8.5876999999999999</v>
      </c>
      <c r="H690" s="11">
        <f>23.0838 * CHOOSE(CONTROL!$C$32, $C$9, 100%, $E$9)</f>
        <v>23.0838</v>
      </c>
      <c r="I690" s="11">
        <f>23.088 * CHOOSE(CONTROL!$C$32, $C$9, 100%, $E$9)</f>
        <v>23.088000000000001</v>
      </c>
      <c r="J690" s="11">
        <f>23.0838 * CHOOSE(CONTROL!$C$32, $C$9, 100%, $E$9)</f>
        <v>23.0838</v>
      </c>
      <c r="K690" s="11">
        <f>23.088 * CHOOSE(CONTROL!$C$32, $C$9, 100%, $E$9)</f>
        <v>23.088000000000001</v>
      </c>
      <c r="L690" s="11">
        <f>8.5835 * CHOOSE(CONTROL!$C$32, $C$9, 100%, $E$9)</f>
        <v>8.5835000000000008</v>
      </c>
      <c r="M690" s="11">
        <f>8.5877 * CHOOSE(CONTROL!$C$32, $C$9, 100%, $E$9)</f>
        <v>8.5876999999999999</v>
      </c>
      <c r="N690" s="11">
        <f>8.5835 * CHOOSE(CONTROL!$C$32, $C$9, 100%, $E$9)</f>
        <v>8.5835000000000008</v>
      </c>
      <c r="O690" s="11">
        <f>8.5877 * CHOOSE(CONTROL!$C$32, $C$9, 100%, $E$9)</f>
        <v>8.5876999999999999</v>
      </c>
    </row>
    <row r="691" spans="1:15" ht="15" x14ac:dyDescent="0.2">
      <c r="A691" s="13">
        <v>61880</v>
      </c>
      <c r="B691" s="9">
        <f>9.9471 * CHOOSE(CONTROL!$C$32, $C$9, 100%, $E$9)</f>
        <v>9.9471000000000007</v>
      </c>
      <c r="C691" s="9">
        <f>9.9471 * CHOOSE(CONTROL!$C$32, $C$9, 100%, $E$9)</f>
        <v>9.9471000000000007</v>
      </c>
      <c r="D691" s="9">
        <f>9.9484 * CHOOSE(CONTROL!$C$32, $C$9, 100%, $E$9)</f>
        <v>9.9483999999999995</v>
      </c>
      <c r="E691" s="11">
        <f>8.4982 * CHOOSE(CONTROL!$C$32, $C$9, 100%, $E$9)</f>
        <v>8.4982000000000006</v>
      </c>
      <c r="F691" s="11">
        <f>8.4982 * CHOOSE(CONTROL!$C$32, $C$9, 100%, $E$9)</f>
        <v>8.4982000000000006</v>
      </c>
      <c r="G691" s="11">
        <f>8.5024 * CHOOSE(CONTROL!$C$32, $C$9, 100%, $E$9)</f>
        <v>8.5023999999999997</v>
      </c>
      <c r="H691" s="11">
        <f>23.1319 * CHOOSE(CONTROL!$C$32, $C$9, 100%, $E$9)</f>
        <v>23.131900000000002</v>
      </c>
      <c r="I691" s="11">
        <f>23.1361 * CHOOSE(CONTROL!$C$32, $C$9, 100%, $E$9)</f>
        <v>23.136099999999999</v>
      </c>
      <c r="J691" s="11">
        <f>23.1319 * CHOOSE(CONTROL!$C$32, $C$9, 100%, $E$9)</f>
        <v>23.131900000000002</v>
      </c>
      <c r="K691" s="11">
        <f>23.1361 * CHOOSE(CONTROL!$C$32, $C$9, 100%, $E$9)</f>
        <v>23.136099999999999</v>
      </c>
      <c r="L691" s="11">
        <f>8.4982 * CHOOSE(CONTROL!$C$32, $C$9, 100%, $E$9)</f>
        <v>8.4982000000000006</v>
      </c>
      <c r="M691" s="11">
        <f>8.5024 * CHOOSE(CONTROL!$C$32, $C$9, 100%, $E$9)</f>
        <v>8.5023999999999997</v>
      </c>
      <c r="N691" s="11">
        <f>8.4982 * CHOOSE(CONTROL!$C$32, $C$9, 100%, $E$9)</f>
        <v>8.4982000000000006</v>
      </c>
      <c r="O691" s="11">
        <f>8.5024 * CHOOSE(CONTROL!$C$32, $C$9, 100%, $E$9)</f>
        <v>8.5023999999999997</v>
      </c>
    </row>
    <row r="692" spans="1:15" ht="15" x14ac:dyDescent="0.2">
      <c r="A692" s="13">
        <v>61910</v>
      </c>
      <c r="B692" s="9">
        <f>10.0709 * CHOOSE(CONTROL!$C$32, $C$9, 100%, $E$9)</f>
        <v>10.0709</v>
      </c>
      <c r="C692" s="9">
        <f>10.0709 * CHOOSE(CONTROL!$C$32, $C$9, 100%, $E$9)</f>
        <v>10.0709</v>
      </c>
      <c r="D692" s="9">
        <f>10.0722 * CHOOSE(CONTROL!$C$32, $C$9, 100%, $E$9)</f>
        <v>10.0722</v>
      </c>
      <c r="E692" s="11">
        <f>8.5432 * CHOOSE(CONTROL!$C$32, $C$9, 100%, $E$9)</f>
        <v>8.5432000000000006</v>
      </c>
      <c r="F692" s="11">
        <f>8.5432 * CHOOSE(CONTROL!$C$32, $C$9, 100%, $E$9)</f>
        <v>8.5432000000000006</v>
      </c>
      <c r="G692" s="11">
        <f>8.5474 * CHOOSE(CONTROL!$C$32, $C$9, 100%, $E$9)</f>
        <v>8.5473999999999997</v>
      </c>
      <c r="H692" s="11">
        <f>23.1801 * CHOOSE(CONTROL!$C$32, $C$9, 100%, $E$9)</f>
        <v>23.180099999999999</v>
      </c>
      <c r="I692" s="11">
        <f>23.1843 * CHOOSE(CONTROL!$C$32, $C$9, 100%, $E$9)</f>
        <v>23.1843</v>
      </c>
      <c r="J692" s="11">
        <f>23.1801 * CHOOSE(CONTROL!$C$32, $C$9, 100%, $E$9)</f>
        <v>23.180099999999999</v>
      </c>
      <c r="K692" s="11">
        <f>23.1843 * CHOOSE(CONTROL!$C$32, $C$9, 100%, $E$9)</f>
        <v>23.1843</v>
      </c>
      <c r="L692" s="11">
        <f>8.5432 * CHOOSE(CONTROL!$C$32, $C$9, 100%, $E$9)</f>
        <v>8.5432000000000006</v>
      </c>
      <c r="M692" s="11">
        <f>8.5474 * CHOOSE(CONTROL!$C$32, $C$9, 100%, $E$9)</f>
        <v>8.5473999999999997</v>
      </c>
      <c r="N692" s="11">
        <f>8.5432 * CHOOSE(CONTROL!$C$32, $C$9, 100%, $E$9)</f>
        <v>8.5432000000000006</v>
      </c>
      <c r="O692" s="11">
        <f>8.5474 * CHOOSE(CONTROL!$C$32, $C$9, 100%, $E$9)</f>
        <v>8.5473999999999997</v>
      </c>
    </row>
    <row r="693" spans="1:15" ht="15" x14ac:dyDescent="0.2">
      <c r="A693" s="13">
        <v>61941</v>
      </c>
      <c r="B693" s="9">
        <f>10.0776 * CHOOSE(CONTROL!$C$32, $C$9, 100%, $E$9)</f>
        <v>10.0776</v>
      </c>
      <c r="C693" s="9">
        <f>10.0776 * CHOOSE(CONTROL!$C$32, $C$9, 100%, $E$9)</f>
        <v>10.0776</v>
      </c>
      <c r="D693" s="9">
        <f>10.0789 * CHOOSE(CONTROL!$C$32, $C$9, 100%, $E$9)</f>
        <v>10.078900000000001</v>
      </c>
      <c r="E693" s="11">
        <f>8.2794 * CHOOSE(CONTROL!$C$32, $C$9, 100%, $E$9)</f>
        <v>8.2794000000000008</v>
      </c>
      <c r="F693" s="11">
        <f>8.2794 * CHOOSE(CONTROL!$C$32, $C$9, 100%, $E$9)</f>
        <v>8.2794000000000008</v>
      </c>
      <c r="G693" s="11">
        <f>8.2836 * CHOOSE(CONTROL!$C$32, $C$9, 100%, $E$9)</f>
        <v>8.2835999999999999</v>
      </c>
      <c r="H693" s="11">
        <f>23.2284 * CHOOSE(CONTROL!$C$32, $C$9, 100%, $E$9)</f>
        <v>23.228400000000001</v>
      </c>
      <c r="I693" s="11">
        <f>23.2326 * CHOOSE(CONTROL!$C$32, $C$9, 100%, $E$9)</f>
        <v>23.232600000000001</v>
      </c>
      <c r="J693" s="11">
        <f>23.2284 * CHOOSE(CONTROL!$C$32, $C$9, 100%, $E$9)</f>
        <v>23.228400000000001</v>
      </c>
      <c r="K693" s="11">
        <f>23.2326 * CHOOSE(CONTROL!$C$32, $C$9, 100%, $E$9)</f>
        <v>23.232600000000001</v>
      </c>
      <c r="L693" s="11">
        <f>8.2794 * CHOOSE(CONTROL!$C$32, $C$9, 100%, $E$9)</f>
        <v>8.2794000000000008</v>
      </c>
      <c r="M693" s="11">
        <f>8.2836 * CHOOSE(CONTROL!$C$32, $C$9, 100%, $E$9)</f>
        <v>8.2835999999999999</v>
      </c>
      <c r="N693" s="11">
        <f>8.2794 * CHOOSE(CONTROL!$C$32, $C$9, 100%, $E$9)</f>
        <v>8.2794000000000008</v>
      </c>
      <c r="O693" s="11">
        <f>8.2836 * CHOOSE(CONTROL!$C$32, $C$9, 100%, $E$9)</f>
        <v>8.2835999999999999</v>
      </c>
    </row>
    <row r="694" spans="1:15" ht="15" x14ac:dyDescent="0.2">
      <c r="A694" s="13">
        <v>61972</v>
      </c>
      <c r="B694" s="9">
        <f>10.0746 * CHOOSE(CONTROL!$C$32, $C$9, 100%, $E$9)</f>
        <v>10.0746</v>
      </c>
      <c r="C694" s="9">
        <f>10.0746 * CHOOSE(CONTROL!$C$32, $C$9, 100%, $E$9)</f>
        <v>10.0746</v>
      </c>
      <c r="D694" s="9">
        <f>10.0758 * CHOOSE(CONTROL!$C$32, $C$9, 100%, $E$9)</f>
        <v>10.075799999999999</v>
      </c>
      <c r="E694" s="11">
        <f>8.2475 * CHOOSE(CONTROL!$C$32, $C$9, 100%, $E$9)</f>
        <v>8.2475000000000005</v>
      </c>
      <c r="F694" s="11">
        <f>8.2475 * CHOOSE(CONTROL!$C$32, $C$9, 100%, $E$9)</f>
        <v>8.2475000000000005</v>
      </c>
      <c r="G694" s="11">
        <f>8.2517 * CHOOSE(CONTROL!$C$32, $C$9, 100%, $E$9)</f>
        <v>8.2516999999999996</v>
      </c>
      <c r="H694" s="11">
        <f>23.2767 * CHOOSE(CONTROL!$C$32, $C$9, 100%, $E$9)</f>
        <v>23.276700000000002</v>
      </c>
      <c r="I694" s="11">
        <f>23.2809 * CHOOSE(CONTROL!$C$32, $C$9, 100%, $E$9)</f>
        <v>23.280899999999999</v>
      </c>
      <c r="J694" s="11">
        <f>23.2767 * CHOOSE(CONTROL!$C$32, $C$9, 100%, $E$9)</f>
        <v>23.276700000000002</v>
      </c>
      <c r="K694" s="11">
        <f>23.2809 * CHOOSE(CONTROL!$C$32, $C$9, 100%, $E$9)</f>
        <v>23.280899999999999</v>
      </c>
      <c r="L694" s="11">
        <f>8.2475 * CHOOSE(CONTROL!$C$32, $C$9, 100%, $E$9)</f>
        <v>8.2475000000000005</v>
      </c>
      <c r="M694" s="11">
        <f>8.2517 * CHOOSE(CONTROL!$C$32, $C$9, 100%, $E$9)</f>
        <v>8.2516999999999996</v>
      </c>
      <c r="N694" s="11">
        <f>8.2475 * CHOOSE(CONTROL!$C$32, $C$9, 100%, $E$9)</f>
        <v>8.2475000000000005</v>
      </c>
      <c r="O694" s="11">
        <f>8.2517 * CHOOSE(CONTROL!$C$32, $C$9, 100%, $E$9)</f>
        <v>8.2516999999999996</v>
      </c>
    </row>
    <row r="695" spans="1:15" ht="15" x14ac:dyDescent="0.2">
      <c r="A695" s="13">
        <v>62002</v>
      </c>
      <c r="B695" s="9">
        <f>10.0923 * CHOOSE(CONTROL!$C$32, $C$9, 100%, $E$9)</f>
        <v>10.0923</v>
      </c>
      <c r="C695" s="9">
        <f>10.0923 * CHOOSE(CONTROL!$C$32, $C$9, 100%, $E$9)</f>
        <v>10.0923</v>
      </c>
      <c r="D695" s="9">
        <f>10.0933 * CHOOSE(CONTROL!$C$32, $C$9, 100%, $E$9)</f>
        <v>10.093299999999999</v>
      </c>
      <c r="E695" s="11">
        <f>8.3534 * CHOOSE(CONTROL!$C$32, $C$9, 100%, $E$9)</f>
        <v>8.3534000000000006</v>
      </c>
      <c r="F695" s="11">
        <f>8.3534 * CHOOSE(CONTROL!$C$32, $C$9, 100%, $E$9)</f>
        <v>8.3534000000000006</v>
      </c>
      <c r="G695" s="11">
        <f>8.3566 * CHOOSE(CONTROL!$C$32, $C$9, 100%, $E$9)</f>
        <v>8.3566000000000003</v>
      </c>
      <c r="H695" s="11">
        <f>23.3252 * CHOOSE(CONTROL!$C$32, $C$9, 100%, $E$9)</f>
        <v>23.325199999999999</v>
      </c>
      <c r="I695" s="11">
        <f>23.3285 * CHOOSE(CONTROL!$C$32, $C$9, 100%, $E$9)</f>
        <v>23.328499999999998</v>
      </c>
      <c r="J695" s="11">
        <f>23.3252 * CHOOSE(CONTROL!$C$32, $C$9, 100%, $E$9)</f>
        <v>23.325199999999999</v>
      </c>
      <c r="K695" s="11">
        <f>23.3285 * CHOOSE(CONTROL!$C$32, $C$9, 100%, $E$9)</f>
        <v>23.328499999999998</v>
      </c>
      <c r="L695" s="11">
        <f>8.3534 * CHOOSE(CONTROL!$C$32, $C$9, 100%, $E$9)</f>
        <v>8.3534000000000006</v>
      </c>
      <c r="M695" s="11">
        <f>8.3566 * CHOOSE(CONTROL!$C$32, $C$9, 100%, $E$9)</f>
        <v>8.3566000000000003</v>
      </c>
      <c r="N695" s="11">
        <f>8.3534 * CHOOSE(CONTROL!$C$32, $C$9, 100%, $E$9)</f>
        <v>8.3534000000000006</v>
      </c>
      <c r="O695" s="11">
        <f>8.3566 * CHOOSE(CONTROL!$C$32, $C$9, 100%, $E$9)</f>
        <v>8.3566000000000003</v>
      </c>
    </row>
    <row r="696" spans="1:15" ht="15" x14ac:dyDescent="0.2">
      <c r="A696" s="13">
        <v>62033</v>
      </c>
      <c r="B696" s="9">
        <f>10.0953 * CHOOSE(CONTROL!$C$32, $C$9, 100%, $E$9)</f>
        <v>10.0953</v>
      </c>
      <c r="C696" s="9">
        <f>10.0953 * CHOOSE(CONTROL!$C$32, $C$9, 100%, $E$9)</f>
        <v>10.0953</v>
      </c>
      <c r="D696" s="9">
        <f>10.0963 * CHOOSE(CONTROL!$C$32, $C$9, 100%, $E$9)</f>
        <v>10.096299999999999</v>
      </c>
      <c r="E696" s="11">
        <f>8.4151 * CHOOSE(CONTROL!$C$32, $C$9, 100%, $E$9)</f>
        <v>8.4151000000000007</v>
      </c>
      <c r="F696" s="11">
        <f>8.4151 * CHOOSE(CONTROL!$C$32, $C$9, 100%, $E$9)</f>
        <v>8.4151000000000007</v>
      </c>
      <c r="G696" s="11">
        <f>8.4184 * CHOOSE(CONTROL!$C$32, $C$9, 100%, $E$9)</f>
        <v>8.4184000000000001</v>
      </c>
      <c r="H696" s="11">
        <f>23.3738 * CHOOSE(CONTROL!$C$32, $C$9, 100%, $E$9)</f>
        <v>23.373799999999999</v>
      </c>
      <c r="I696" s="11">
        <f>23.3771 * CHOOSE(CONTROL!$C$32, $C$9, 100%, $E$9)</f>
        <v>23.377099999999999</v>
      </c>
      <c r="J696" s="11">
        <f>23.3738 * CHOOSE(CONTROL!$C$32, $C$9, 100%, $E$9)</f>
        <v>23.373799999999999</v>
      </c>
      <c r="K696" s="11">
        <f>23.3771 * CHOOSE(CONTROL!$C$32, $C$9, 100%, $E$9)</f>
        <v>23.377099999999999</v>
      </c>
      <c r="L696" s="11">
        <f>8.4151 * CHOOSE(CONTROL!$C$32, $C$9, 100%, $E$9)</f>
        <v>8.4151000000000007</v>
      </c>
      <c r="M696" s="11">
        <f>8.4184 * CHOOSE(CONTROL!$C$32, $C$9, 100%, $E$9)</f>
        <v>8.4184000000000001</v>
      </c>
      <c r="N696" s="11">
        <f>8.4151 * CHOOSE(CONTROL!$C$32, $C$9, 100%, $E$9)</f>
        <v>8.4151000000000007</v>
      </c>
      <c r="O696" s="11">
        <f>8.4184 * CHOOSE(CONTROL!$C$32, $C$9, 100%, $E$9)</f>
        <v>8.4184000000000001</v>
      </c>
    </row>
    <row r="697" spans="1:15" ht="15" x14ac:dyDescent="0.2">
      <c r="A697" s="13">
        <v>62063</v>
      </c>
      <c r="B697" s="9">
        <f>10.0953 * CHOOSE(CONTROL!$C$32, $C$9, 100%, $E$9)</f>
        <v>10.0953</v>
      </c>
      <c r="C697" s="9">
        <f>10.0953 * CHOOSE(CONTROL!$C$32, $C$9, 100%, $E$9)</f>
        <v>10.0953</v>
      </c>
      <c r="D697" s="9">
        <f>10.0963 * CHOOSE(CONTROL!$C$32, $C$9, 100%, $E$9)</f>
        <v>10.096299999999999</v>
      </c>
      <c r="E697" s="11">
        <f>8.266 * CHOOSE(CONTROL!$C$32, $C$9, 100%, $E$9)</f>
        <v>8.266</v>
      </c>
      <c r="F697" s="11">
        <f>8.266 * CHOOSE(CONTROL!$C$32, $C$9, 100%, $E$9)</f>
        <v>8.266</v>
      </c>
      <c r="G697" s="11">
        <f>8.2692 * CHOOSE(CONTROL!$C$32, $C$9, 100%, $E$9)</f>
        <v>8.2691999999999997</v>
      </c>
      <c r="H697" s="11">
        <f>23.4225 * CHOOSE(CONTROL!$C$32, $C$9, 100%, $E$9)</f>
        <v>23.422499999999999</v>
      </c>
      <c r="I697" s="11">
        <f>23.4258 * CHOOSE(CONTROL!$C$32, $C$9, 100%, $E$9)</f>
        <v>23.425799999999999</v>
      </c>
      <c r="J697" s="11">
        <f>23.4225 * CHOOSE(CONTROL!$C$32, $C$9, 100%, $E$9)</f>
        <v>23.422499999999999</v>
      </c>
      <c r="K697" s="11">
        <f>23.4258 * CHOOSE(CONTROL!$C$32, $C$9, 100%, $E$9)</f>
        <v>23.425799999999999</v>
      </c>
      <c r="L697" s="11">
        <f>8.266 * CHOOSE(CONTROL!$C$32, $C$9, 100%, $E$9)</f>
        <v>8.266</v>
      </c>
      <c r="M697" s="11">
        <f>8.2692 * CHOOSE(CONTROL!$C$32, $C$9, 100%, $E$9)</f>
        <v>8.2691999999999997</v>
      </c>
      <c r="N697" s="11">
        <f>8.266 * CHOOSE(CONTROL!$C$32, $C$9, 100%, $E$9)</f>
        <v>8.266</v>
      </c>
      <c r="O697" s="11">
        <f>8.2692 * CHOOSE(CONTROL!$C$32, $C$9, 100%, $E$9)</f>
        <v>8.2691999999999997</v>
      </c>
    </row>
    <row r="698" spans="1:15" ht="15" x14ac:dyDescent="0.2">
      <c r="A698" s="13">
        <v>62094</v>
      </c>
      <c r="B698" s="9">
        <f>10.1311 * CHOOSE(CONTROL!$C$32, $C$9, 100%, $E$9)</f>
        <v>10.1311</v>
      </c>
      <c r="C698" s="9">
        <f>10.1311 * CHOOSE(CONTROL!$C$32, $C$9, 100%, $E$9)</f>
        <v>10.1311</v>
      </c>
      <c r="D698" s="9">
        <f>10.132 * CHOOSE(CONTROL!$C$32, $C$9, 100%, $E$9)</f>
        <v>10.132</v>
      </c>
      <c r="E698" s="11">
        <f>8.4008 * CHOOSE(CONTROL!$C$32, $C$9, 100%, $E$9)</f>
        <v>8.4008000000000003</v>
      </c>
      <c r="F698" s="11">
        <f>8.4008 * CHOOSE(CONTROL!$C$32, $C$9, 100%, $E$9)</f>
        <v>8.4008000000000003</v>
      </c>
      <c r="G698" s="11">
        <f>8.404 * CHOOSE(CONTROL!$C$32, $C$9, 100%, $E$9)</f>
        <v>8.4039999999999999</v>
      </c>
      <c r="H698" s="11">
        <f>23.364 * CHOOSE(CONTROL!$C$32, $C$9, 100%, $E$9)</f>
        <v>23.364000000000001</v>
      </c>
      <c r="I698" s="11">
        <f>23.3672 * CHOOSE(CONTROL!$C$32, $C$9, 100%, $E$9)</f>
        <v>23.3672</v>
      </c>
      <c r="J698" s="11">
        <f>23.364 * CHOOSE(CONTROL!$C$32, $C$9, 100%, $E$9)</f>
        <v>23.364000000000001</v>
      </c>
      <c r="K698" s="11">
        <f>23.3672 * CHOOSE(CONTROL!$C$32, $C$9, 100%, $E$9)</f>
        <v>23.3672</v>
      </c>
      <c r="L698" s="11">
        <f>8.4008 * CHOOSE(CONTROL!$C$32, $C$9, 100%, $E$9)</f>
        <v>8.4008000000000003</v>
      </c>
      <c r="M698" s="11">
        <f>8.404 * CHOOSE(CONTROL!$C$32, $C$9, 100%, $E$9)</f>
        <v>8.4039999999999999</v>
      </c>
      <c r="N698" s="11">
        <f>8.4008 * CHOOSE(CONTROL!$C$32, $C$9, 100%, $E$9)</f>
        <v>8.4008000000000003</v>
      </c>
      <c r="O698" s="11">
        <f>8.404 * CHOOSE(CONTROL!$C$32, $C$9, 100%, $E$9)</f>
        <v>8.4039999999999999</v>
      </c>
    </row>
    <row r="699" spans="1:15" ht="15" x14ac:dyDescent="0.2">
      <c r="A699" s="13">
        <v>62125</v>
      </c>
      <c r="B699" s="9">
        <f>10.128 * CHOOSE(CONTROL!$C$32, $C$9, 100%, $E$9)</f>
        <v>10.128</v>
      </c>
      <c r="C699" s="9">
        <f>10.128 * CHOOSE(CONTROL!$C$32, $C$9, 100%, $E$9)</f>
        <v>10.128</v>
      </c>
      <c r="D699" s="9">
        <f>10.129 * CHOOSE(CONTROL!$C$32, $C$9, 100%, $E$9)</f>
        <v>10.129</v>
      </c>
      <c r="E699" s="11">
        <f>8.1098 * CHOOSE(CONTROL!$C$32, $C$9, 100%, $E$9)</f>
        <v>8.1097999999999999</v>
      </c>
      <c r="F699" s="11">
        <f>8.1098 * CHOOSE(CONTROL!$C$32, $C$9, 100%, $E$9)</f>
        <v>8.1097999999999999</v>
      </c>
      <c r="G699" s="11">
        <f>8.113 * CHOOSE(CONTROL!$C$32, $C$9, 100%, $E$9)</f>
        <v>8.1129999999999995</v>
      </c>
      <c r="H699" s="11">
        <f>23.4127 * CHOOSE(CONTROL!$C$32, $C$9, 100%, $E$9)</f>
        <v>23.412700000000001</v>
      </c>
      <c r="I699" s="11">
        <f>23.4159 * CHOOSE(CONTROL!$C$32, $C$9, 100%, $E$9)</f>
        <v>23.415900000000001</v>
      </c>
      <c r="J699" s="11">
        <f>23.4127 * CHOOSE(CONTROL!$C$32, $C$9, 100%, $E$9)</f>
        <v>23.412700000000001</v>
      </c>
      <c r="K699" s="11">
        <f>23.4159 * CHOOSE(CONTROL!$C$32, $C$9, 100%, $E$9)</f>
        <v>23.415900000000001</v>
      </c>
      <c r="L699" s="11">
        <f>8.1098 * CHOOSE(CONTROL!$C$32, $C$9, 100%, $E$9)</f>
        <v>8.1097999999999999</v>
      </c>
      <c r="M699" s="11">
        <f>8.113 * CHOOSE(CONTROL!$C$32, $C$9, 100%, $E$9)</f>
        <v>8.1129999999999995</v>
      </c>
      <c r="N699" s="11">
        <f>8.1098 * CHOOSE(CONTROL!$C$32, $C$9, 100%, $E$9)</f>
        <v>8.1097999999999999</v>
      </c>
      <c r="O699" s="11">
        <f>8.113 * CHOOSE(CONTROL!$C$32, $C$9, 100%, $E$9)</f>
        <v>8.1129999999999995</v>
      </c>
    </row>
    <row r="700" spans="1:15" ht="15" x14ac:dyDescent="0.2">
      <c r="A700" s="13">
        <v>62153</v>
      </c>
      <c r="B700" s="9">
        <f>10.125 * CHOOSE(CONTROL!$C$32, $C$9, 100%, $E$9)</f>
        <v>10.125</v>
      </c>
      <c r="C700" s="9">
        <f>10.125 * CHOOSE(CONTROL!$C$32, $C$9, 100%, $E$9)</f>
        <v>10.125</v>
      </c>
      <c r="D700" s="9">
        <f>10.1259 * CHOOSE(CONTROL!$C$32, $C$9, 100%, $E$9)</f>
        <v>10.1259</v>
      </c>
      <c r="E700" s="11">
        <f>8.3354 * CHOOSE(CONTROL!$C$32, $C$9, 100%, $E$9)</f>
        <v>8.3353999999999999</v>
      </c>
      <c r="F700" s="11">
        <f>8.3354 * CHOOSE(CONTROL!$C$32, $C$9, 100%, $E$9)</f>
        <v>8.3353999999999999</v>
      </c>
      <c r="G700" s="11">
        <f>8.3386 * CHOOSE(CONTROL!$C$32, $C$9, 100%, $E$9)</f>
        <v>8.3385999999999996</v>
      </c>
      <c r="H700" s="11">
        <f>23.4614 * CHOOSE(CONTROL!$C$32, $C$9, 100%, $E$9)</f>
        <v>23.461400000000001</v>
      </c>
      <c r="I700" s="11">
        <f>23.4647 * CHOOSE(CONTROL!$C$32, $C$9, 100%, $E$9)</f>
        <v>23.464700000000001</v>
      </c>
      <c r="J700" s="11">
        <f>23.4614 * CHOOSE(CONTROL!$C$32, $C$9, 100%, $E$9)</f>
        <v>23.461400000000001</v>
      </c>
      <c r="K700" s="11">
        <f>23.4647 * CHOOSE(CONTROL!$C$32, $C$9, 100%, $E$9)</f>
        <v>23.464700000000001</v>
      </c>
      <c r="L700" s="11">
        <f>8.3354 * CHOOSE(CONTROL!$C$32, $C$9, 100%, $E$9)</f>
        <v>8.3353999999999999</v>
      </c>
      <c r="M700" s="11">
        <f>8.3386 * CHOOSE(CONTROL!$C$32, $C$9, 100%, $E$9)</f>
        <v>8.3385999999999996</v>
      </c>
      <c r="N700" s="11">
        <f>8.3354 * CHOOSE(CONTROL!$C$32, $C$9, 100%, $E$9)</f>
        <v>8.3353999999999999</v>
      </c>
      <c r="O700" s="11">
        <f>8.3386 * CHOOSE(CONTROL!$C$32, $C$9, 100%, $E$9)</f>
        <v>8.3385999999999996</v>
      </c>
    </row>
    <row r="701" spans="1:15" ht="15" x14ac:dyDescent="0.2">
      <c r="A701" s="13">
        <v>62184</v>
      </c>
      <c r="B701" s="9">
        <f>10.1286 * CHOOSE(CONTROL!$C$32, $C$9, 100%, $E$9)</f>
        <v>10.1286</v>
      </c>
      <c r="C701" s="9">
        <f>10.1286 * CHOOSE(CONTROL!$C$32, $C$9, 100%, $E$9)</f>
        <v>10.1286</v>
      </c>
      <c r="D701" s="9">
        <f>10.1295 * CHOOSE(CONTROL!$C$32, $C$9, 100%, $E$9)</f>
        <v>10.1295</v>
      </c>
      <c r="E701" s="11">
        <f>8.5758 * CHOOSE(CONTROL!$C$32, $C$9, 100%, $E$9)</f>
        <v>8.5757999999999992</v>
      </c>
      <c r="F701" s="11">
        <f>8.5758 * CHOOSE(CONTROL!$C$32, $C$9, 100%, $E$9)</f>
        <v>8.5757999999999992</v>
      </c>
      <c r="G701" s="11">
        <f>8.579 * CHOOSE(CONTROL!$C$32, $C$9, 100%, $E$9)</f>
        <v>8.5790000000000006</v>
      </c>
      <c r="H701" s="11">
        <f>23.5103 * CHOOSE(CONTROL!$C$32, $C$9, 100%, $E$9)</f>
        <v>23.510300000000001</v>
      </c>
      <c r="I701" s="11">
        <f>23.5136 * CHOOSE(CONTROL!$C$32, $C$9, 100%, $E$9)</f>
        <v>23.5136</v>
      </c>
      <c r="J701" s="11">
        <f>23.5103 * CHOOSE(CONTROL!$C$32, $C$9, 100%, $E$9)</f>
        <v>23.510300000000001</v>
      </c>
      <c r="K701" s="11">
        <f>23.5136 * CHOOSE(CONTROL!$C$32, $C$9, 100%, $E$9)</f>
        <v>23.5136</v>
      </c>
      <c r="L701" s="11">
        <f>8.5758 * CHOOSE(CONTROL!$C$32, $C$9, 100%, $E$9)</f>
        <v>8.5757999999999992</v>
      </c>
      <c r="M701" s="11">
        <f>8.579 * CHOOSE(CONTROL!$C$32, $C$9, 100%, $E$9)</f>
        <v>8.5790000000000006</v>
      </c>
      <c r="N701" s="11">
        <f>8.5758 * CHOOSE(CONTROL!$C$32, $C$9, 100%, $E$9)</f>
        <v>8.5757999999999992</v>
      </c>
      <c r="O701" s="11">
        <f>8.579 * CHOOSE(CONTROL!$C$32, $C$9, 100%, $E$9)</f>
        <v>8.5790000000000006</v>
      </c>
    </row>
    <row r="702" spans="1:15" ht="15" x14ac:dyDescent="0.2">
      <c r="A702" s="13">
        <v>62214</v>
      </c>
      <c r="B702" s="9">
        <f>10.1286 * CHOOSE(CONTROL!$C$32, $C$9, 100%, $E$9)</f>
        <v>10.1286</v>
      </c>
      <c r="C702" s="9">
        <f>10.1286 * CHOOSE(CONTROL!$C$32, $C$9, 100%, $E$9)</f>
        <v>10.1286</v>
      </c>
      <c r="D702" s="9">
        <f>10.1298 * CHOOSE(CONTROL!$C$32, $C$9, 100%, $E$9)</f>
        <v>10.129799999999999</v>
      </c>
      <c r="E702" s="11">
        <f>8.6675 * CHOOSE(CONTROL!$C$32, $C$9, 100%, $E$9)</f>
        <v>8.6675000000000004</v>
      </c>
      <c r="F702" s="11">
        <f>8.6675 * CHOOSE(CONTROL!$C$32, $C$9, 100%, $E$9)</f>
        <v>8.6675000000000004</v>
      </c>
      <c r="G702" s="11">
        <f>8.6717 * CHOOSE(CONTROL!$C$32, $C$9, 100%, $E$9)</f>
        <v>8.6716999999999995</v>
      </c>
      <c r="H702" s="11">
        <f>23.5593 * CHOOSE(CONTROL!$C$32, $C$9, 100%, $E$9)</f>
        <v>23.5593</v>
      </c>
      <c r="I702" s="11">
        <f>23.5635 * CHOOSE(CONTROL!$C$32, $C$9, 100%, $E$9)</f>
        <v>23.563500000000001</v>
      </c>
      <c r="J702" s="11">
        <f>23.5593 * CHOOSE(CONTROL!$C$32, $C$9, 100%, $E$9)</f>
        <v>23.5593</v>
      </c>
      <c r="K702" s="11">
        <f>23.5635 * CHOOSE(CONTROL!$C$32, $C$9, 100%, $E$9)</f>
        <v>23.563500000000001</v>
      </c>
      <c r="L702" s="11">
        <f>8.6675 * CHOOSE(CONTROL!$C$32, $C$9, 100%, $E$9)</f>
        <v>8.6675000000000004</v>
      </c>
      <c r="M702" s="11">
        <f>8.6717 * CHOOSE(CONTROL!$C$32, $C$9, 100%, $E$9)</f>
        <v>8.6716999999999995</v>
      </c>
      <c r="N702" s="11">
        <f>8.6675 * CHOOSE(CONTROL!$C$32, $C$9, 100%, $E$9)</f>
        <v>8.6675000000000004</v>
      </c>
      <c r="O702" s="11">
        <f>8.6717 * CHOOSE(CONTROL!$C$32, $C$9, 100%, $E$9)</f>
        <v>8.6716999999999995</v>
      </c>
    </row>
    <row r="703" spans="1:15" ht="15" x14ac:dyDescent="0.2">
      <c r="A703" s="13">
        <v>62245</v>
      </c>
      <c r="B703" s="9">
        <f>10.1347 * CHOOSE(CONTROL!$C$32, $C$9, 100%, $E$9)</f>
        <v>10.1347</v>
      </c>
      <c r="C703" s="9">
        <f>10.1347 * CHOOSE(CONTROL!$C$32, $C$9, 100%, $E$9)</f>
        <v>10.1347</v>
      </c>
      <c r="D703" s="9">
        <f>10.1359 * CHOOSE(CONTROL!$C$32, $C$9, 100%, $E$9)</f>
        <v>10.135899999999999</v>
      </c>
      <c r="E703" s="11">
        <f>8.58 * CHOOSE(CONTROL!$C$32, $C$9, 100%, $E$9)</f>
        <v>8.58</v>
      </c>
      <c r="F703" s="11">
        <f>8.58 * CHOOSE(CONTROL!$C$32, $C$9, 100%, $E$9)</f>
        <v>8.58</v>
      </c>
      <c r="G703" s="11">
        <f>8.5842 * CHOOSE(CONTROL!$C$32, $C$9, 100%, $E$9)</f>
        <v>8.5841999999999992</v>
      </c>
      <c r="H703" s="11">
        <f>23.6084 * CHOOSE(CONTROL!$C$32, $C$9, 100%, $E$9)</f>
        <v>23.6084</v>
      </c>
      <c r="I703" s="11">
        <f>23.6126 * CHOOSE(CONTROL!$C$32, $C$9, 100%, $E$9)</f>
        <v>23.6126</v>
      </c>
      <c r="J703" s="11">
        <f>23.6084 * CHOOSE(CONTROL!$C$32, $C$9, 100%, $E$9)</f>
        <v>23.6084</v>
      </c>
      <c r="K703" s="11">
        <f>23.6126 * CHOOSE(CONTROL!$C$32, $C$9, 100%, $E$9)</f>
        <v>23.6126</v>
      </c>
      <c r="L703" s="11">
        <f>8.58 * CHOOSE(CONTROL!$C$32, $C$9, 100%, $E$9)</f>
        <v>8.58</v>
      </c>
      <c r="M703" s="11">
        <f>8.5842 * CHOOSE(CONTROL!$C$32, $C$9, 100%, $E$9)</f>
        <v>8.5841999999999992</v>
      </c>
      <c r="N703" s="11">
        <f>8.58 * CHOOSE(CONTROL!$C$32, $C$9, 100%, $E$9)</f>
        <v>8.58</v>
      </c>
      <c r="O703" s="11">
        <f>8.5842 * CHOOSE(CONTROL!$C$32, $C$9, 100%, $E$9)</f>
        <v>8.5841999999999992</v>
      </c>
    </row>
    <row r="704" spans="1:15" ht="15" x14ac:dyDescent="0.2">
      <c r="A704" s="13">
        <v>62275</v>
      </c>
      <c r="B704" s="9">
        <f>10.2605 * CHOOSE(CONTROL!$C$32, $C$9, 100%, $E$9)</f>
        <v>10.2605</v>
      </c>
      <c r="C704" s="9">
        <f>10.2605 * CHOOSE(CONTROL!$C$32, $C$9, 100%, $E$9)</f>
        <v>10.2605</v>
      </c>
      <c r="D704" s="9">
        <f>10.2618 * CHOOSE(CONTROL!$C$32, $C$9, 100%, $E$9)</f>
        <v>10.261799999999999</v>
      </c>
      <c r="E704" s="11">
        <f>8.6261 * CHOOSE(CONTROL!$C$32, $C$9, 100%, $E$9)</f>
        <v>8.6260999999999992</v>
      </c>
      <c r="F704" s="11">
        <f>8.6261 * CHOOSE(CONTROL!$C$32, $C$9, 100%, $E$9)</f>
        <v>8.6260999999999992</v>
      </c>
      <c r="G704" s="11">
        <f>8.6303 * CHOOSE(CONTROL!$C$32, $C$9, 100%, $E$9)</f>
        <v>8.6303000000000001</v>
      </c>
      <c r="H704" s="11">
        <f>23.6576 * CHOOSE(CONTROL!$C$32, $C$9, 100%, $E$9)</f>
        <v>23.657599999999999</v>
      </c>
      <c r="I704" s="11">
        <f>23.6618 * CHOOSE(CONTROL!$C$32, $C$9, 100%, $E$9)</f>
        <v>23.661799999999999</v>
      </c>
      <c r="J704" s="11">
        <f>23.6576 * CHOOSE(CONTROL!$C$32, $C$9, 100%, $E$9)</f>
        <v>23.657599999999999</v>
      </c>
      <c r="K704" s="11">
        <f>23.6618 * CHOOSE(CONTROL!$C$32, $C$9, 100%, $E$9)</f>
        <v>23.661799999999999</v>
      </c>
      <c r="L704" s="11">
        <f>8.6261 * CHOOSE(CONTROL!$C$32, $C$9, 100%, $E$9)</f>
        <v>8.6260999999999992</v>
      </c>
      <c r="M704" s="11">
        <f>8.6303 * CHOOSE(CONTROL!$C$32, $C$9, 100%, $E$9)</f>
        <v>8.6303000000000001</v>
      </c>
      <c r="N704" s="11">
        <f>8.6261 * CHOOSE(CONTROL!$C$32, $C$9, 100%, $E$9)</f>
        <v>8.6260999999999992</v>
      </c>
      <c r="O704" s="11">
        <f>8.6303 * CHOOSE(CONTROL!$C$32, $C$9, 100%, $E$9)</f>
        <v>8.6303000000000001</v>
      </c>
    </row>
    <row r="705" spans="1:15" ht="15" x14ac:dyDescent="0.2">
      <c r="A705" s="13">
        <v>62306</v>
      </c>
      <c r="B705" s="9">
        <f>10.2672 * CHOOSE(CONTROL!$C$32, $C$9, 100%, $E$9)</f>
        <v>10.267200000000001</v>
      </c>
      <c r="C705" s="9">
        <f>10.2672 * CHOOSE(CONTROL!$C$32, $C$9, 100%, $E$9)</f>
        <v>10.267200000000001</v>
      </c>
      <c r="D705" s="9">
        <f>10.2685 * CHOOSE(CONTROL!$C$32, $C$9, 100%, $E$9)</f>
        <v>10.2685</v>
      </c>
      <c r="E705" s="11">
        <f>8.3556 * CHOOSE(CONTROL!$C$32, $C$9, 100%, $E$9)</f>
        <v>8.3556000000000008</v>
      </c>
      <c r="F705" s="11">
        <f>8.3556 * CHOOSE(CONTROL!$C$32, $C$9, 100%, $E$9)</f>
        <v>8.3556000000000008</v>
      </c>
      <c r="G705" s="11">
        <f>8.3598 * CHOOSE(CONTROL!$C$32, $C$9, 100%, $E$9)</f>
        <v>8.3597999999999999</v>
      </c>
      <c r="H705" s="11">
        <f>23.7069 * CHOOSE(CONTROL!$C$32, $C$9, 100%, $E$9)</f>
        <v>23.706900000000001</v>
      </c>
      <c r="I705" s="11">
        <f>23.7111 * CHOOSE(CONTROL!$C$32, $C$9, 100%, $E$9)</f>
        <v>23.711099999999998</v>
      </c>
      <c r="J705" s="11">
        <f>23.7069 * CHOOSE(CONTROL!$C$32, $C$9, 100%, $E$9)</f>
        <v>23.706900000000001</v>
      </c>
      <c r="K705" s="11">
        <f>23.7111 * CHOOSE(CONTROL!$C$32, $C$9, 100%, $E$9)</f>
        <v>23.711099999999998</v>
      </c>
      <c r="L705" s="11">
        <f>8.3556 * CHOOSE(CONTROL!$C$32, $C$9, 100%, $E$9)</f>
        <v>8.3556000000000008</v>
      </c>
      <c r="M705" s="11">
        <f>8.3598 * CHOOSE(CONTROL!$C$32, $C$9, 100%, $E$9)</f>
        <v>8.3597999999999999</v>
      </c>
      <c r="N705" s="11">
        <f>8.3556 * CHOOSE(CONTROL!$C$32, $C$9, 100%, $E$9)</f>
        <v>8.3556000000000008</v>
      </c>
      <c r="O705" s="11">
        <f>8.3598 * CHOOSE(CONTROL!$C$32, $C$9, 100%, $E$9)</f>
        <v>8.3597999999999999</v>
      </c>
    </row>
    <row r="706" spans="1:15" ht="15" x14ac:dyDescent="0.2">
      <c r="A706" s="13">
        <v>62337</v>
      </c>
      <c r="B706" s="9">
        <f>10.2642 * CHOOSE(CONTROL!$C$32, $C$9, 100%, $E$9)</f>
        <v>10.264200000000001</v>
      </c>
      <c r="C706" s="9">
        <f>10.2642 * CHOOSE(CONTROL!$C$32, $C$9, 100%, $E$9)</f>
        <v>10.264200000000001</v>
      </c>
      <c r="D706" s="9">
        <f>10.2654 * CHOOSE(CONTROL!$C$32, $C$9, 100%, $E$9)</f>
        <v>10.2654</v>
      </c>
      <c r="E706" s="11">
        <f>8.3229 * CHOOSE(CONTROL!$C$32, $C$9, 100%, $E$9)</f>
        <v>8.3229000000000006</v>
      </c>
      <c r="F706" s="11">
        <f>8.3229 * CHOOSE(CONTROL!$C$32, $C$9, 100%, $E$9)</f>
        <v>8.3229000000000006</v>
      </c>
      <c r="G706" s="11">
        <f>8.3271 * CHOOSE(CONTROL!$C$32, $C$9, 100%, $E$9)</f>
        <v>8.3270999999999997</v>
      </c>
      <c r="H706" s="11">
        <f>23.7562 * CHOOSE(CONTROL!$C$32, $C$9, 100%, $E$9)</f>
        <v>23.7562</v>
      </c>
      <c r="I706" s="11">
        <f>23.7605 * CHOOSE(CONTROL!$C$32, $C$9, 100%, $E$9)</f>
        <v>23.7605</v>
      </c>
      <c r="J706" s="11">
        <f>23.7562 * CHOOSE(CONTROL!$C$32, $C$9, 100%, $E$9)</f>
        <v>23.7562</v>
      </c>
      <c r="K706" s="11">
        <f>23.7605 * CHOOSE(CONTROL!$C$32, $C$9, 100%, $E$9)</f>
        <v>23.7605</v>
      </c>
      <c r="L706" s="11">
        <f>8.3229 * CHOOSE(CONTROL!$C$32, $C$9, 100%, $E$9)</f>
        <v>8.3229000000000006</v>
      </c>
      <c r="M706" s="11">
        <f>8.3271 * CHOOSE(CONTROL!$C$32, $C$9, 100%, $E$9)</f>
        <v>8.3270999999999997</v>
      </c>
      <c r="N706" s="11">
        <f>8.3229 * CHOOSE(CONTROL!$C$32, $C$9, 100%, $E$9)</f>
        <v>8.3229000000000006</v>
      </c>
      <c r="O706" s="11">
        <f>8.3271 * CHOOSE(CONTROL!$C$32, $C$9, 100%, $E$9)</f>
        <v>8.3270999999999997</v>
      </c>
    </row>
    <row r="707" spans="1:15" ht="15" x14ac:dyDescent="0.2">
      <c r="A707" s="13">
        <v>62367</v>
      </c>
      <c r="B707" s="9">
        <f>10.2826 * CHOOSE(CONTROL!$C$32, $C$9, 100%, $E$9)</f>
        <v>10.2826</v>
      </c>
      <c r="C707" s="9">
        <f>10.2826 * CHOOSE(CONTROL!$C$32, $C$9, 100%, $E$9)</f>
        <v>10.2826</v>
      </c>
      <c r="D707" s="9">
        <f>10.2836 * CHOOSE(CONTROL!$C$32, $C$9, 100%, $E$9)</f>
        <v>10.2836</v>
      </c>
      <c r="E707" s="11">
        <f>8.4318 * CHOOSE(CONTROL!$C$32, $C$9, 100%, $E$9)</f>
        <v>8.4318000000000008</v>
      </c>
      <c r="F707" s="11">
        <f>8.4318 * CHOOSE(CONTROL!$C$32, $C$9, 100%, $E$9)</f>
        <v>8.4318000000000008</v>
      </c>
      <c r="G707" s="11">
        <f>8.435 * CHOOSE(CONTROL!$C$32, $C$9, 100%, $E$9)</f>
        <v>8.4350000000000005</v>
      </c>
      <c r="H707" s="11">
        <f>23.8057 * CHOOSE(CONTROL!$C$32, $C$9, 100%, $E$9)</f>
        <v>23.805700000000002</v>
      </c>
      <c r="I707" s="11">
        <f>23.809 * CHOOSE(CONTROL!$C$32, $C$9, 100%, $E$9)</f>
        <v>23.809000000000001</v>
      </c>
      <c r="J707" s="11">
        <f>23.8057 * CHOOSE(CONTROL!$C$32, $C$9, 100%, $E$9)</f>
        <v>23.805700000000002</v>
      </c>
      <c r="K707" s="11">
        <f>23.809 * CHOOSE(CONTROL!$C$32, $C$9, 100%, $E$9)</f>
        <v>23.809000000000001</v>
      </c>
      <c r="L707" s="11">
        <f>8.4318 * CHOOSE(CONTROL!$C$32, $C$9, 100%, $E$9)</f>
        <v>8.4318000000000008</v>
      </c>
      <c r="M707" s="11">
        <f>8.435 * CHOOSE(CONTROL!$C$32, $C$9, 100%, $E$9)</f>
        <v>8.4350000000000005</v>
      </c>
      <c r="N707" s="11">
        <f>8.4318 * CHOOSE(CONTROL!$C$32, $C$9, 100%, $E$9)</f>
        <v>8.4318000000000008</v>
      </c>
      <c r="O707" s="11">
        <f>8.435 * CHOOSE(CONTROL!$C$32, $C$9, 100%, $E$9)</f>
        <v>8.4350000000000005</v>
      </c>
    </row>
    <row r="708" spans="1:15" ht="15" x14ac:dyDescent="0.2">
      <c r="A708" s="13">
        <v>62398</v>
      </c>
      <c r="B708" s="9">
        <f>10.2857 * CHOOSE(CONTROL!$C$32, $C$9, 100%, $E$9)</f>
        <v>10.2857</v>
      </c>
      <c r="C708" s="9">
        <f>10.2857 * CHOOSE(CONTROL!$C$32, $C$9, 100%, $E$9)</f>
        <v>10.2857</v>
      </c>
      <c r="D708" s="9">
        <f>10.2866 * CHOOSE(CONTROL!$C$32, $C$9, 100%, $E$9)</f>
        <v>10.2866</v>
      </c>
      <c r="E708" s="11">
        <f>8.4951 * CHOOSE(CONTROL!$C$32, $C$9, 100%, $E$9)</f>
        <v>8.4951000000000008</v>
      </c>
      <c r="F708" s="11">
        <f>8.4951 * CHOOSE(CONTROL!$C$32, $C$9, 100%, $E$9)</f>
        <v>8.4951000000000008</v>
      </c>
      <c r="G708" s="11">
        <f>8.4983 * CHOOSE(CONTROL!$C$32, $C$9, 100%, $E$9)</f>
        <v>8.4983000000000004</v>
      </c>
      <c r="H708" s="11">
        <f>23.8553 * CHOOSE(CONTROL!$C$32, $C$9, 100%, $E$9)</f>
        <v>23.8553</v>
      </c>
      <c r="I708" s="11">
        <f>23.8586 * CHOOSE(CONTROL!$C$32, $C$9, 100%, $E$9)</f>
        <v>23.858599999999999</v>
      </c>
      <c r="J708" s="11">
        <f>23.8553 * CHOOSE(CONTROL!$C$32, $C$9, 100%, $E$9)</f>
        <v>23.8553</v>
      </c>
      <c r="K708" s="11">
        <f>23.8586 * CHOOSE(CONTROL!$C$32, $C$9, 100%, $E$9)</f>
        <v>23.858599999999999</v>
      </c>
      <c r="L708" s="11">
        <f>8.4951 * CHOOSE(CONTROL!$C$32, $C$9, 100%, $E$9)</f>
        <v>8.4951000000000008</v>
      </c>
      <c r="M708" s="11">
        <f>8.4983 * CHOOSE(CONTROL!$C$32, $C$9, 100%, $E$9)</f>
        <v>8.4983000000000004</v>
      </c>
      <c r="N708" s="11">
        <f>8.4951 * CHOOSE(CONTROL!$C$32, $C$9, 100%, $E$9)</f>
        <v>8.4951000000000008</v>
      </c>
      <c r="O708" s="11">
        <f>8.4983 * CHOOSE(CONTROL!$C$32, $C$9, 100%, $E$9)</f>
        <v>8.4983000000000004</v>
      </c>
    </row>
    <row r="709" spans="1:15" ht="15" x14ac:dyDescent="0.2">
      <c r="A709" s="13">
        <v>62428</v>
      </c>
      <c r="B709" s="9">
        <f>10.2857 * CHOOSE(CONTROL!$C$32, $C$9, 100%, $E$9)</f>
        <v>10.2857</v>
      </c>
      <c r="C709" s="9">
        <f>10.2857 * CHOOSE(CONTROL!$C$32, $C$9, 100%, $E$9)</f>
        <v>10.2857</v>
      </c>
      <c r="D709" s="9">
        <f>10.2866 * CHOOSE(CONTROL!$C$32, $C$9, 100%, $E$9)</f>
        <v>10.2866</v>
      </c>
      <c r="E709" s="11">
        <f>8.3422 * CHOOSE(CONTROL!$C$32, $C$9, 100%, $E$9)</f>
        <v>8.3422000000000001</v>
      </c>
      <c r="F709" s="11">
        <f>8.3422 * CHOOSE(CONTROL!$C$32, $C$9, 100%, $E$9)</f>
        <v>8.3422000000000001</v>
      </c>
      <c r="G709" s="11">
        <f>8.3454 * CHOOSE(CONTROL!$C$32, $C$9, 100%, $E$9)</f>
        <v>8.3453999999999997</v>
      </c>
      <c r="H709" s="11">
        <f>23.905 * CHOOSE(CONTROL!$C$32, $C$9, 100%, $E$9)</f>
        <v>23.905000000000001</v>
      </c>
      <c r="I709" s="11">
        <f>23.9083 * CHOOSE(CONTROL!$C$32, $C$9, 100%, $E$9)</f>
        <v>23.908300000000001</v>
      </c>
      <c r="J709" s="11">
        <f>23.905 * CHOOSE(CONTROL!$C$32, $C$9, 100%, $E$9)</f>
        <v>23.905000000000001</v>
      </c>
      <c r="K709" s="11">
        <f>23.9083 * CHOOSE(CONTROL!$C$32, $C$9, 100%, $E$9)</f>
        <v>23.908300000000001</v>
      </c>
      <c r="L709" s="11">
        <f>8.3422 * CHOOSE(CONTROL!$C$32, $C$9, 100%, $E$9)</f>
        <v>8.3422000000000001</v>
      </c>
      <c r="M709" s="11">
        <f>8.3454 * CHOOSE(CONTROL!$C$32, $C$9, 100%, $E$9)</f>
        <v>8.3453999999999997</v>
      </c>
      <c r="N709" s="11">
        <f>8.3422 * CHOOSE(CONTROL!$C$32, $C$9, 100%, $E$9)</f>
        <v>8.3422000000000001</v>
      </c>
      <c r="O709" s="11">
        <f>8.3454 * CHOOSE(CONTROL!$C$32, $C$9, 100%, $E$9)</f>
        <v>8.3453999999999997</v>
      </c>
    </row>
    <row r="710" spans="1:15" ht="15" x14ac:dyDescent="0.2">
      <c r="A710" s="13">
        <v>62459</v>
      </c>
      <c r="B710" s="9">
        <f>10.3184 * CHOOSE(CONTROL!$C$32, $C$9, 100%, $E$9)</f>
        <v>10.3184</v>
      </c>
      <c r="C710" s="9">
        <f>10.3184 * CHOOSE(CONTROL!$C$32, $C$9, 100%, $E$9)</f>
        <v>10.3184</v>
      </c>
      <c r="D710" s="9">
        <f>10.3194 * CHOOSE(CONTROL!$C$32, $C$9, 100%, $E$9)</f>
        <v>10.3194</v>
      </c>
      <c r="E710" s="11">
        <f>8.4781 * CHOOSE(CONTROL!$C$32, $C$9, 100%, $E$9)</f>
        <v>8.4780999999999995</v>
      </c>
      <c r="F710" s="11">
        <f>8.4781 * CHOOSE(CONTROL!$C$32, $C$9, 100%, $E$9)</f>
        <v>8.4780999999999995</v>
      </c>
      <c r="G710" s="11">
        <f>8.4813 * CHOOSE(CONTROL!$C$32, $C$9, 100%, $E$9)</f>
        <v>8.4812999999999992</v>
      </c>
      <c r="H710" s="11">
        <f>23.8356 * CHOOSE(CONTROL!$C$32, $C$9, 100%, $E$9)</f>
        <v>23.835599999999999</v>
      </c>
      <c r="I710" s="11">
        <f>23.8388 * CHOOSE(CONTROL!$C$32, $C$9, 100%, $E$9)</f>
        <v>23.838799999999999</v>
      </c>
      <c r="J710" s="11">
        <f>23.8356 * CHOOSE(CONTROL!$C$32, $C$9, 100%, $E$9)</f>
        <v>23.835599999999999</v>
      </c>
      <c r="K710" s="11">
        <f>23.8388 * CHOOSE(CONTROL!$C$32, $C$9, 100%, $E$9)</f>
        <v>23.838799999999999</v>
      </c>
      <c r="L710" s="11">
        <f>8.4781 * CHOOSE(CONTROL!$C$32, $C$9, 100%, $E$9)</f>
        <v>8.4780999999999995</v>
      </c>
      <c r="M710" s="11">
        <f>8.4813 * CHOOSE(CONTROL!$C$32, $C$9, 100%, $E$9)</f>
        <v>8.4812999999999992</v>
      </c>
      <c r="N710" s="11">
        <f>8.4781 * CHOOSE(CONTROL!$C$32, $C$9, 100%, $E$9)</f>
        <v>8.4780999999999995</v>
      </c>
      <c r="O710" s="11">
        <f>8.4813 * CHOOSE(CONTROL!$C$32, $C$9, 100%, $E$9)</f>
        <v>8.4812999999999992</v>
      </c>
    </row>
    <row r="711" spans="1:15" ht="15" x14ac:dyDescent="0.2">
      <c r="A711" s="13">
        <v>62490</v>
      </c>
      <c r="B711" s="9">
        <f>10.3154 * CHOOSE(CONTROL!$C$32, $C$9, 100%, $E$9)</f>
        <v>10.3154</v>
      </c>
      <c r="C711" s="9">
        <f>10.3154 * CHOOSE(CONTROL!$C$32, $C$9, 100%, $E$9)</f>
        <v>10.3154</v>
      </c>
      <c r="D711" s="9">
        <f>10.3163 * CHOOSE(CONTROL!$C$32, $C$9, 100%, $E$9)</f>
        <v>10.3163</v>
      </c>
      <c r="E711" s="11">
        <f>8.18 * CHOOSE(CONTROL!$C$32, $C$9, 100%, $E$9)</f>
        <v>8.18</v>
      </c>
      <c r="F711" s="11">
        <f>8.18 * CHOOSE(CONTROL!$C$32, $C$9, 100%, $E$9)</f>
        <v>8.18</v>
      </c>
      <c r="G711" s="11">
        <f>8.1832 * CHOOSE(CONTROL!$C$32, $C$9, 100%, $E$9)</f>
        <v>8.1831999999999994</v>
      </c>
      <c r="H711" s="11">
        <f>23.8852 * CHOOSE(CONTROL!$C$32, $C$9, 100%, $E$9)</f>
        <v>23.885200000000001</v>
      </c>
      <c r="I711" s="11">
        <f>23.8885 * CHOOSE(CONTROL!$C$32, $C$9, 100%, $E$9)</f>
        <v>23.888500000000001</v>
      </c>
      <c r="J711" s="11">
        <f>23.8852 * CHOOSE(CONTROL!$C$32, $C$9, 100%, $E$9)</f>
        <v>23.885200000000001</v>
      </c>
      <c r="K711" s="11">
        <f>23.8885 * CHOOSE(CONTROL!$C$32, $C$9, 100%, $E$9)</f>
        <v>23.888500000000001</v>
      </c>
      <c r="L711" s="11">
        <f>8.18 * CHOOSE(CONTROL!$C$32, $C$9, 100%, $E$9)</f>
        <v>8.18</v>
      </c>
      <c r="M711" s="11">
        <f>8.1832 * CHOOSE(CONTROL!$C$32, $C$9, 100%, $E$9)</f>
        <v>8.1831999999999994</v>
      </c>
      <c r="N711" s="11">
        <f>8.18 * CHOOSE(CONTROL!$C$32, $C$9, 100%, $E$9)</f>
        <v>8.18</v>
      </c>
      <c r="O711" s="11">
        <f>8.1832 * CHOOSE(CONTROL!$C$32, $C$9, 100%, $E$9)</f>
        <v>8.1831999999999994</v>
      </c>
    </row>
    <row r="712" spans="1:15" ht="15" x14ac:dyDescent="0.2">
      <c r="A712" s="13">
        <v>62518</v>
      </c>
      <c r="B712" s="9">
        <f>10.3123 * CHOOSE(CONTROL!$C$32, $C$9, 100%, $E$9)</f>
        <v>10.3123</v>
      </c>
      <c r="C712" s="9">
        <f>10.3123 * CHOOSE(CONTROL!$C$32, $C$9, 100%, $E$9)</f>
        <v>10.3123</v>
      </c>
      <c r="D712" s="9">
        <f>10.3133 * CHOOSE(CONTROL!$C$32, $C$9, 100%, $E$9)</f>
        <v>10.3133</v>
      </c>
      <c r="E712" s="11">
        <f>8.4112 * CHOOSE(CONTROL!$C$32, $C$9, 100%, $E$9)</f>
        <v>8.4111999999999991</v>
      </c>
      <c r="F712" s="11">
        <f>8.4112 * CHOOSE(CONTROL!$C$32, $C$9, 100%, $E$9)</f>
        <v>8.4111999999999991</v>
      </c>
      <c r="G712" s="11">
        <f>8.4144 * CHOOSE(CONTROL!$C$32, $C$9, 100%, $E$9)</f>
        <v>8.4144000000000005</v>
      </c>
      <c r="H712" s="11">
        <f>23.935 * CHOOSE(CONTROL!$C$32, $C$9, 100%, $E$9)</f>
        <v>23.934999999999999</v>
      </c>
      <c r="I712" s="11">
        <f>23.9382 * CHOOSE(CONTROL!$C$32, $C$9, 100%, $E$9)</f>
        <v>23.938199999999998</v>
      </c>
      <c r="J712" s="11">
        <f>23.935 * CHOOSE(CONTROL!$C$32, $C$9, 100%, $E$9)</f>
        <v>23.934999999999999</v>
      </c>
      <c r="K712" s="11">
        <f>23.9382 * CHOOSE(CONTROL!$C$32, $C$9, 100%, $E$9)</f>
        <v>23.938199999999998</v>
      </c>
      <c r="L712" s="11">
        <f>8.4112 * CHOOSE(CONTROL!$C$32, $C$9, 100%, $E$9)</f>
        <v>8.4111999999999991</v>
      </c>
      <c r="M712" s="11">
        <f>8.4144 * CHOOSE(CONTROL!$C$32, $C$9, 100%, $E$9)</f>
        <v>8.4144000000000005</v>
      </c>
      <c r="N712" s="11">
        <f>8.4112 * CHOOSE(CONTROL!$C$32, $C$9, 100%, $E$9)</f>
        <v>8.4111999999999991</v>
      </c>
      <c r="O712" s="11">
        <f>8.4144 * CHOOSE(CONTROL!$C$32, $C$9, 100%, $E$9)</f>
        <v>8.4144000000000005</v>
      </c>
    </row>
    <row r="713" spans="1:15" ht="15" x14ac:dyDescent="0.2">
      <c r="A713" s="13">
        <v>62549</v>
      </c>
      <c r="B713" s="9">
        <f>10.3161 * CHOOSE(CONTROL!$C$32, $C$9, 100%, $E$9)</f>
        <v>10.3161</v>
      </c>
      <c r="C713" s="9">
        <f>10.3161 * CHOOSE(CONTROL!$C$32, $C$9, 100%, $E$9)</f>
        <v>10.3161</v>
      </c>
      <c r="D713" s="9">
        <f>10.3171 * CHOOSE(CONTROL!$C$32, $C$9, 100%, $E$9)</f>
        <v>10.3171</v>
      </c>
      <c r="E713" s="11">
        <f>8.6576 * CHOOSE(CONTROL!$C$32, $C$9, 100%, $E$9)</f>
        <v>8.6576000000000004</v>
      </c>
      <c r="F713" s="11">
        <f>8.6576 * CHOOSE(CONTROL!$C$32, $C$9, 100%, $E$9)</f>
        <v>8.6576000000000004</v>
      </c>
      <c r="G713" s="11">
        <f>8.6608 * CHOOSE(CONTROL!$C$32, $C$9, 100%, $E$9)</f>
        <v>8.6608000000000001</v>
      </c>
      <c r="H713" s="11">
        <f>23.9849 * CHOOSE(CONTROL!$C$32, $C$9, 100%, $E$9)</f>
        <v>23.9849</v>
      </c>
      <c r="I713" s="11">
        <f>23.9881 * CHOOSE(CONTROL!$C$32, $C$9, 100%, $E$9)</f>
        <v>23.988099999999999</v>
      </c>
      <c r="J713" s="11">
        <f>23.9849 * CHOOSE(CONTROL!$C$32, $C$9, 100%, $E$9)</f>
        <v>23.9849</v>
      </c>
      <c r="K713" s="11">
        <f>23.9881 * CHOOSE(CONTROL!$C$32, $C$9, 100%, $E$9)</f>
        <v>23.988099999999999</v>
      </c>
      <c r="L713" s="11">
        <f>8.6576 * CHOOSE(CONTROL!$C$32, $C$9, 100%, $E$9)</f>
        <v>8.6576000000000004</v>
      </c>
      <c r="M713" s="11">
        <f>8.6608 * CHOOSE(CONTROL!$C$32, $C$9, 100%, $E$9)</f>
        <v>8.6608000000000001</v>
      </c>
      <c r="N713" s="11">
        <f>8.6576 * CHOOSE(CONTROL!$C$32, $C$9, 100%, $E$9)</f>
        <v>8.6576000000000004</v>
      </c>
      <c r="O713" s="11">
        <f>8.6608 * CHOOSE(CONTROL!$C$32, $C$9, 100%, $E$9)</f>
        <v>8.6608000000000001</v>
      </c>
    </row>
    <row r="714" spans="1:15" ht="15" x14ac:dyDescent="0.2">
      <c r="A714" s="13">
        <v>62579</v>
      </c>
      <c r="B714" s="9">
        <f>10.3161 * CHOOSE(CONTROL!$C$32, $C$9, 100%, $E$9)</f>
        <v>10.3161</v>
      </c>
      <c r="C714" s="9">
        <f>10.3161 * CHOOSE(CONTROL!$C$32, $C$9, 100%, $E$9)</f>
        <v>10.3161</v>
      </c>
      <c r="D714" s="9">
        <f>10.3174 * CHOOSE(CONTROL!$C$32, $C$9, 100%, $E$9)</f>
        <v>10.317399999999999</v>
      </c>
      <c r="E714" s="11">
        <f>8.7515 * CHOOSE(CONTROL!$C$32, $C$9, 100%, $E$9)</f>
        <v>8.7515000000000001</v>
      </c>
      <c r="F714" s="11">
        <f>8.7515 * CHOOSE(CONTROL!$C$32, $C$9, 100%, $E$9)</f>
        <v>8.7515000000000001</v>
      </c>
      <c r="G714" s="11">
        <f>8.7557 * CHOOSE(CONTROL!$C$32, $C$9, 100%, $E$9)</f>
        <v>8.7556999999999992</v>
      </c>
      <c r="H714" s="11">
        <f>24.0348 * CHOOSE(CONTROL!$C$32, $C$9, 100%, $E$9)</f>
        <v>24.034800000000001</v>
      </c>
      <c r="I714" s="11">
        <f>24.039 * CHOOSE(CONTROL!$C$32, $C$9, 100%, $E$9)</f>
        <v>24.039000000000001</v>
      </c>
      <c r="J714" s="11">
        <f>24.0348 * CHOOSE(CONTROL!$C$32, $C$9, 100%, $E$9)</f>
        <v>24.034800000000001</v>
      </c>
      <c r="K714" s="11">
        <f>24.039 * CHOOSE(CONTROL!$C$32, $C$9, 100%, $E$9)</f>
        <v>24.039000000000001</v>
      </c>
      <c r="L714" s="11">
        <f>8.7515 * CHOOSE(CONTROL!$C$32, $C$9, 100%, $E$9)</f>
        <v>8.7515000000000001</v>
      </c>
      <c r="M714" s="11">
        <f>8.7557 * CHOOSE(CONTROL!$C$32, $C$9, 100%, $E$9)</f>
        <v>8.7556999999999992</v>
      </c>
      <c r="N714" s="11">
        <f>8.7515 * CHOOSE(CONTROL!$C$32, $C$9, 100%, $E$9)</f>
        <v>8.7515000000000001</v>
      </c>
      <c r="O714" s="11">
        <f>8.7557 * CHOOSE(CONTROL!$C$32, $C$9, 100%, $E$9)</f>
        <v>8.7556999999999992</v>
      </c>
    </row>
    <row r="715" spans="1:15" ht="15" x14ac:dyDescent="0.2">
      <c r="A715" s="13">
        <v>62610</v>
      </c>
      <c r="B715" s="9">
        <f>10.3222 * CHOOSE(CONTROL!$C$32, $C$9, 100%, $E$9)</f>
        <v>10.3222</v>
      </c>
      <c r="C715" s="9">
        <f>10.3222 * CHOOSE(CONTROL!$C$32, $C$9, 100%, $E$9)</f>
        <v>10.3222</v>
      </c>
      <c r="D715" s="9">
        <f>10.3235 * CHOOSE(CONTROL!$C$32, $C$9, 100%, $E$9)</f>
        <v>10.323499999999999</v>
      </c>
      <c r="E715" s="11">
        <f>8.6618 * CHOOSE(CONTROL!$C$32, $C$9, 100%, $E$9)</f>
        <v>8.6617999999999995</v>
      </c>
      <c r="F715" s="11">
        <f>8.6618 * CHOOSE(CONTROL!$C$32, $C$9, 100%, $E$9)</f>
        <v>8.6617999999999995</v>
      </c>
      <c r="G715" s="11">
        <f>8.666 * CHOOSE(CONTROL!$C$32, $C$9, 100%, $E$9)</f>
        <v>8.6660000000000004</v>
      </c>
      <c r="H715" s="11">
        <f>24.0849 * CHOOSE(CONTROL!$C$32, $C$9, 100%, $E$9)</f>
        <v>24.084900000000001</v>
      </c>
      <c r="I715" s="11">
        <f>24.0891 * CHOOSE(CONTROL!$C$32, $C$9, 100%, $E$9)</f>
        <v>24.089099999999998</v>
      </c>
      <c r="J715" s="11">
        <f>24.0849 * CHOOSE(CONTROL!$C$32, $C$9, 100%, $E$9)</f>
        <v>24.084900000000001</v>
      </c>
      <c r="K715" s="11">
        <f>24.0891 * CHOOSE(CONTROL!$C$32, $C$9, 100%, $E$9)</f>
        <v>24.089099999999998</v>
      </c>
      <c r="L715" s="11">
        <f>8.6618 * CHOOSE(CONTROL!$C$32, $C$9, 100%, $E$9)</f>
        <v>8.6617999999999995</v>
      </c>
      <c r="M715" s="11">
        <f>8.666 * CHOOSE(CONTROL!$C$32, $C$9, 100%, $E$9)</f>
        <v>8.6660000000000004</v>
      </c>
      <c r="N715" s="11">
        <f>8.6618 * CHOOSE(CONTROL!$C$32, $C$9, 100%, $E$9)</f>
        <v>8.6617999999999995</v>
      </c>
      <c r="O715" s="11">
        <f>8.666 * CHOOSE(CONTROL!$C$32, $C$9, 100%, $E$9)</f>
        <v>8.6660000000000004</v>
      </c>
    </row>
    <row r="716" spans="1:15" ht="15" x14ac:dyDescent="0.2">
      <c r="A716" s="13">
        <v>62640</v>
      </c>
      <c r="B716" s="9">
        <f>10.4501 * CHOOSE(CONTROL!$C$32, $C$9, 100%, $E$9)</f>
        <v>10.450100000000001</v>
      </c>
      <c r="C716" s="9">
        <f>10.4501 * CHOOSE(CONTROL!$C$32, $C$9, 100%, $E$9)</f>
        <v>10.450100000000001</v>
      </c>
      <c r="D716" s="9">
        <f>10.4514 * CHOOSE(CONTROL!$C$32, $C$9, 100%, $E$9)</f>
        <v>10.4514</v>
      </c>
      <c r="E716" s="11">
        <f>8.709 * CHOOSE(CONTROL!$C$32, $C$9, 100%, $E$9)</f>
        <v>8.7089999999999996</v>
      </c>
      <c r="F716" s="11">
        <f>8.709 * CHOOSE(CONTROL!$C$32, $C$9, 100%, $E$9)</f>
        <v>8.7089999999999996</v>
      </c>
      <c r="G716" s="11">
        <f>8.7132 * CHOOSE(CONTROL!$C$32, $C$9, 100%, $E$9)</f>
        <v>8.7132000000000005</v>
      </c>
      <c r="H716" s="11">
        <f>24.1351 * CHOOSE(CONTROL!$C$32, $C$9, 100%, $E$9)</f>
        <v>24.135100000000001</v>
      </c>
      <c r="I716" s="11">
        <f>24.1393 * CHOOSE(CONTROL!$C$32, $C$9, 100%, $E$9)</f>
        <v>24.139299999999999</v>
      </c>
      <c r="J716" s="11">
        <f>24.1351 * CHOOSE(CONTROL!$C$32, $C$9, 100%, $E$9)</f>
        <v>24.135100000000001</v>
      </c>
      <c r="K716" s="11">
        <f>24.1393 * CHOOSE(CONTROL!$C$32, $C$9, 100%, $E$9)</f>
        <v>24.139299999999999</v>
      </c>
      <c r="L716" s="11">
        <f>8.709 * CHOOSE(CONTROL!$C$32, $C$9, 100%, $E$9)</f>
        <v>8.7089999999999996</v>
      </c>
      <c r="M716" s="11">
        <f>8.7132 * CHOOSE(CONTROL!$C$32, $C$9, 100%, $E$9)</f>
        <v>8.7132000000000005</v>
      </c>
      <c r="N716" s="11">
        <f>8.709 * CHOOSE(CONTROL!$C$32, $C$9, 100%, $E$9)</f>
        <v>8.7089999999999996</v>
      </c>
      <c r="O716" s="11">
        <f>8.7132 * CHOOSE(CONTROL!$C$32, $C$9, 100%, $E$9)</f>
        <v>8.7132000000000005</v>
      </c>
    </row>
    <row r="717" spans="1:15" ht="15" x14ac:dyDescent="0.2">
      <c r="A717" s="13">
        <v>62671</v>
      </c>
      <c r="B717" s="9">
        <f>10.4568 * CHOOSE(CONTROL!$C$32, $C$9, 100%, $E$9)</f>
        <v>10.456799999999999</v>
      </c>
      <c r="C717" s="9">
        <f>10.4568 * CHOOSE(CONTROL!$C$32, $C$9, 100%, $E$9)</f>
        <v>10.456799999999999</v>
      </c>
      <c r="D717" s="9">
        <f>10.4581 * CHOOSE(CONTROL!$C$32, $C$9, 100%, $E$9)</f>
        <v>10.4581</v>
      </c>
      <c r="E717" s="11">
        <f>8.4318 * CHOOSE(CONTROL!$C$32, $C$9, 100%, $E$9)</f>
        <v>8.4318000000000008</v>
      </c>
      <c r="F717" s="11">
        <f>8.4318 * CHOOSE(CONTROL!$C$32, $C$9, 100%, $E$9)</f>
        <v>8.4318000000000008</v>
      </c>
      <c r="G717" s="11">
        <f>8.436 * CHOOSE(CONTROL!$C$32, $C$9, 100%, $E$9)</f>
        <v>8.4359999999999999</v>
      </c>
      <c r="H717" s="11">
        <f>24.1854 * CHOOSE(CONTROL!$C$32, $C$9, 100%, $E$9)</f>
        <v>24.185400000000001</v>
      </c>
      <c r="I717" s="11">
        <f>24.1896 * CHOOSE(CONTROL!$C$32, $C$9, 100%, $E$9)</f>
        <v>24.189599999999999</v>
      </c>
      <c r="J717" s="11">
        <f>24.1854 * CHOOSE(CONTROL!$C$32, $C$9, 100%, $E$9)</f>
        <v>24.185400000000001</v>
      </c>
      <c r="K717" s="11">
        <f>24.1896 * CHOOSE(CONTROL!$C$32, $C$9, 100%, $E$9)</f>
        <v>24.189599999999999</v>
      </c>
      <c r="L717" s="11">
        <f>8.4318 * CHOOSE(CONTROL!$C$32, $C$9, 100%, $E$9)</f>
        <v>8.4318000000000008</v>
      </c>
      <c r="M717" s="11">
        <f>8.436 * CHOOSE(CONTROL!$C$32, $C$9, 100%, $E$9)</f>
        <v>8.4359999999999999</v>
      </c>
      <c r="N717" s="11">
        <f>8.4318 * CHOOSE(CONTROL!$C$32, $C$9, 100%, $E$9)</f>
        <v>8.4318000000000008</v>
      </c>
      <c r="O717" s="11">
        <f>8.436 * CHOOSE(CONTROL!$C$32, $C$9, 100%, $E$9)</f>
        <v>8.4359999999999999</v>
      </c>
    </row>
    <row r="718" spans="1:15" ht="15" x14ac:dyDescent="0.2">
      <c r="A718" s="13">
        <v>62702</v>
      </c>
      <c r="B718" s="9">
        <f>10.4538 * CHOOSE(CONTROL!$C$32, $C$9, 100%, $E$9)</f>
        <v>10.453799999999999</v>
      </c>
      <c r="C718" s="9">
        <f>10.4538 * CHOOSE(CONTROL!$C$32, $C$9, 100%, $E$9)</f>
        <v>10.453799999999999</v>
      </c>
      <c r="D718" s="9">
        <f>10.455 * CHOOSE(CONTROL!$C$32, $C$9, 100%, $E$9)</f>
        <v>10.455</v>
      </c>
      <c r="E718" s="11">
        <f>8.3983 * CHOOSE(CONTROL!$C$32, $C$9, 100%, $E$9)</f>
        <v>8.3983000000000008</v>
      </c>
      <c r="F718" s="11">
        <f>8.3983 * CHOOSE(CONTROL!$C$32, $C$9, 100%, $E$9)</f>
        <v>8.3983000000000008</v>
      </c>
      <c r="G718" s="11">
        <f>8.4025 * CHOOSE(CONTROL!$C$32, $C$9, 100%, $E$9)</f>
        <v>8.4024999999999999</v>
      </c>
      <c r="H718" s="11">
        <f>24.2357 * CHOOSE(CONTROL!$C$32, $C$9, 100%, $E$9)</f>
        <v>24.235700000000001</v>
      </c>
      <c r="I718" s="11">
        <f>24.24 * CHOOSE(CONTROL!$C$32, $C$9, 100%, $E$9)</f>
        <v>24.24</v>
      </c>
      <c r="J718" s="11">
        <f>24.2357 * CHOOSE(CONTROL!$C$32, $C$9, 100%, $E$9)</f>
        <v>24.235700000000001</v>
      </c>
      <c r="K718" s="11">
        <f>24.24 * CHOOSE(CONTROL!$C$32, $C$9, 100%, $E$9)</f>
        <v>24.24</v>
      </c>
      <c r="L718" s="11">
        <f>8.3983 * CHOOSE(CONTROL!$C$32, $C$9, 100%, $E$9)</f>
        <v>8.3983000000000008</v>
      </c>
      <c r="M718" s="11">
        <f>8.4025 * CHOOSE(CONTROL!$C$32, $C$9, 100%, $E$9)</f>
        <v>8.4024999999999999</v>
      </c>
      <c r="N718" s="11">
        <f>8.3983 * CHOOSE(CONTROL!$C$32, $C$9, 100%, $E$9)</f>
        <v>8.3983000000000008</v>
      </c>
      <c r="O718" s="11">
        <f>8.4025 * CHOOSE(CONTROL!$C$32, $C$9, 100%, $E$9)</f>
        <v>8.4024999999999999</v>
      </c>
    </row>
    <row r="719" spans="1:15" ht="15" x14ac:dyDescent="0.2">
      <c r="A719" s="13">
        <v>62732</v>
      </c>
      <c r="B719" s="9">
        <f>10.4729 * CHOOSE(CONTROL!$C$32, $C$9, 100%, $E$9)</f>
        <v>10.472899999999999</v>
      </c>
      <c r="C719" s="9">
        <f>10.4729 * CHOOSE(CONTROL!$C$32, $C$9, 100%, $E$9)</f>
        <v>10.472899999999999</v>
      </c>
      <c r="D719" s="9">
        <f>10.4739 * CHOOSE(CONTROL!$C$32, $C$9, 100%, $E$9)</f>
        <v>10.4739</v>
      </c>
      <c r="E719" s="11">
        <f>8.5102 * CHOOSE(CONTROL!$C$32, $C$9, 100%, $E$9)</f>
        <v>8.5101999999999993</v>
      </c>
      <c r="F719" s="11">
        <f>8.5102 * CHOOSE(CONTROL!$C$32, $C$9, 100%, $E$9)</f>
        <v>8.5101999999999993</v>
      </c>
      <c r="G719" s="11">
        <f>8.5134 * CHOOSE(CONTROL!$C$32, $C$9, 100%, $E$9)</f>
        <v>8.5134000000000007</v>
      </c>
      <c r="H719" s="11">
        <f>24.2862 * CHOOSE(CONTROL!$C$32, $C$9, 100%, $E$9)</f>
        <v>24.286200000000001</v>
      </c>
      <c r="I719" s="11">
        <f>24.2895 * CHOOSE(CONTROL!$C$32, $C$9, 100%, $E$9)</f>
        <v>24.2895</v>
      </c>
      <c r="J719" s="11">
        <f>24.2862 * CHOOSE(CONTROL!$C$32, $C$9, 100%, $E$9)</f>
        <v>24.286200000000001</v>
      </c>
      <c r="K719" s="11">
        <f>24.2895 * CHOOSE(CONTROL!$C$32, $C$9, 100%, $E$9)</f>
        <v>24.2895</v>
      </c>
      <c r="L719" s="11">
        <f>8.5102 * CHOOSE(CONTROL!$C$32, $C$9, 100%, $E$9)</f>
        <v>8.5101999999999993</v>
      </c>
      <c r="M719" s="11">
        <f>8.5134 * CHOOSE(CONTROL!$C$32, $C$9, 100%, $E$9)</f>
        <v>8.5134000000000007</v>
      </c>
      <c r="N719" s="11">
        <f>8.5102 * CHOOSE(CONTROL!$C$32, $C$9, 100%, $E$9)</f>
        <v>8.5101999999999993</v>
      </c>
      <c r="O719" s="11">
        <f>8.5134 * CHOOSE(CONTROL!$C$32, $C$9, 100%, $E$9)</f>
        <v>8.5134000000000007</v>
      </c>
    </row>
    <row r="720" spans="1:15" ht="15" x14ac:dyDescent="0.2">
      <c r="A720" s="13">
        <v>62763</v>
      </c>
      <c r="B720" s="9">
        <f>10.476 * CHOOSE(CONTROL!$C$32, $C$9, 100%, $E$9)</f>
        <v>10.476000000000001</v>
      </c>
      <c r="C720" s="9">
        <f>10.476 * CHOOSE(CONTROL!$C$32, $C$9, 100%, $E$9)</f>
        <v>10.476000000000001</v>
      </c>
      <c r="D720" s="9">
        <f>10.4769 * CHOOSE(CONTROL!$C$32, $C$9, 100%, $E$9)</f>
        <v>10.476900000000001</v>
      </c>
      <c r="E720" s="11">
        <f>8.575 * CHOOSE(CONTROL!$C$32, $C$9, 100%, $E$9)</f>
        <v>8.5749999999999993</v>
      </c>
      <c r="F720" s="11">
        <f>8.575 * CHOOSE(CONTROL!$C$32, $C$9, 100%, $E$9)</f>
        <v>8.5749999999999993</v>
      </c>
      <c r="G720" s="11">
        <f>8.5782 * CHOOSE(CONTROL!$C$32, $C$9, 100%, $E$9)</f>
        <v>8.5782000000000007</v>
      </c>
      <c r="H720" s="11">
        <f>24.3368 * CHOOSE(CONTROL!$C$32, $C$9, 100%, $E$9)</f>
        <v>24.3368</v>
      </c>
      <c r="I720" s="11">
        <f>24.3401 * CHOOSE(CONTROL!$C$32, $C$9, 100%, $E$9)</f>
        <v>24.3401</v>
      </c>
      <c r="J720" s="11">
        <f>24.3368 * CHOOSE(CONTROL!$C$32, $C$9, 100%, $E$9)</f>
        <v>24.3368</v>
      </c>
      <c r="K720" s="11">
        <f>24.3401 * CHOOSE(CONTROL!$C$32, $C$9, 100%, $E$9)</f>
        <v>24.3401</v>
      </c>
      <c r="L720" s="11">
        <f>8.575 * CHOOSE(CONTROL!$C$32, $C$9, 100%, $E$9)</f>
        <v>8.5749999999999993</v>
      </c>
      <c r="M720" s="11">
        <f>8.5782 * CHOOSE(CONTROL!$C$32, $C$9, 100%, $E$9)</f>
        <v>8.5782000000000007</v>
      </c>
      <c r="N720" s="11">
        <f>8.575 * CHOOSE(CONTROL!$C$32, $C$9, 100%, $E$9)</f>
        <v>8.5749999999999993</v>
      </c>
      <c r="O720" s="11">
        <f>8.5782 * CHOOSE(CONTROL!$C$32, $C$9, 100%, $E$9)</f>
        <v>8.5782000000000007</v>
      </c>
    </row>
    <row r="721" spans="1:15" ht="15" x14ac:dyDescent="0.2">
      <c r="A721" s="13">
        <v>62793</v>
      </c>
      <c r="B721" s="9">
        <f>10.476 * CHOOSE(CONTROL!$C$32, $C$9, 100%, $E$9)</f>
        <v>10.476000000000001</v>
      </c>
      <c r="C721" s="9">
        <f>10.476 * CHOOSE(CONTROL!$C$32, $C$9, 100%, $E$9)</f>
        <v>10.476000000000001</v>
      </c>
      <c r="D721" s="9">
        <f>10.4769 * CHOOSE(CONTROL!$C$32, $C$9, 100%, $E$9)</f>
        <v>10.476900000000001</v>
      </c>
      <c r="E721" s="11">
        <f>8.4183 * CHOOSE(CONTROL!$C$32, $C$9, 100%, $E$9)</f>
        <v>8.4183000000000003</v>
      </c>
      <c r="F721" s="11">
        <f>8.4183 * CHOOSE(CONTROL!$C$32, $C$9, 100%, $E$9)</f>
        <v>8.4183000000000003</v>
      </c>
      <c r="G721" s="11">
        <f>8.4216 * CHOOSE(CONTROL!$C$32, $C$9, 100%, $E$9)</f>
        <v>8.4215999999999998</v>
      </c>
      <c r="H721" s="11">
        <f>24.3875 * CHOOSE(CONTROL!$C$32, $C$9, 100%, $E$9)</f>
        <v>24.387499999999999</v>
      </c>
      <c r="I721" s="11">
        <f>24.3908 * CHOOSE(CONTROL!$C$32, $C$9, 100%, $E$9)</f>
        <v>24.390799999999999</v>
      </c>
      <c r="J721" s="11">
        <f>24.3875 * CHOOSE(CONTROL!$C$32, $C$9, 100%, $E$9)</f>
        <v>24.387499999999999</v>
      </c>
      <c r="K721" s="11">
        <f>24.3908 * CHOOSE(CONTROL!$C$32, $C$9, 100%, $E$9)</f>
        <v>24.390799999999999</v>
      </c>
      <c r="L721" s="11">
        <f>8.4183 * CHOOSE(CONTROL!$C$32, $C$9, 100%, $E$9)</f>
        <v>8.4183000000000003</v>
      </c>
      <c r="M721" s="11">
        <f>8.4216 * CHOOSE(CONTROL!$C$32, $C$9, 100%, $E$9)</f>
        <v>8.4215999999999998</v>
      </c>
      <c r="N721" s="11">
        <f>8.4183 * CHOOSE(CONTROL!$C$32, $C$9, 100%, $E$9)</f>
        <v>8.4183000000000003</v>
      </c>
      <c r="O721" s="11">
        <f>8.4216 * CHOOSE(CONTROL!$C$32, $C$9, 100%, $E$9)</f>
        <v>8.4215999999999998</v>
      </c>
    </row>
    <row r="722" spans="1:15" ht="15" x14ac:dyDescent="0.2">
      <c r="A722" s="13">
        <v>62824</v>
      </c>
      <c r="B722" s="9">
        <f>10.5058 * CHOOSE(CONTROL!$C$32, $C$9, 100%, $E$9)</f>
        <v>10.505800000000001</v>
      </c>
      <c r="C722" s="9">
        <f>10.5058 * CHOOSE(CONTROL!$C$32, $C$9, 100%, $E$9)</f>
        <v>10.505800000000001</v>
      </c>
      <c r="D722" s="9">
        <f>10.5067 * CHOOSE(CONTROL!$C$32, $C$9, 100%, $E$9)</f>
        <v>10.5067</v>
      </c>
      <c r="E722" s="11">
        <f>8.5554 * CHOOSE(CONTROL!$C$32, $C$9, 100%, $E$9)</f>
        <v>8.5554000000000006</v>
      </c>
      <c r="F722" s="11">
        <f>8.5554 * CHOOSE(CONTROL!$C$32, $C$9, 100%, $E$9)</f>
        <v>8.5554000000000006</v>
      </c>
      <c r="G722" s="11">
        <f>8.5586 * CHOOSE(CONTROL!$C$32, $C$9, 100%, $E$9)</f>
        <v>8.5586000000000002</v>
      </c>
      <c r="H722" s="11">
        <f>24.3072 * CHOOSE(CONTROL!$C$32, $C$9, 100%, $E$9)</f>
        <v>24.307200000000002</v>
      </c>
      <c r="I722" s="11">
        <f>24.3104 * CHOOSE(CONTROL!$C$32, $C$9, 100%, $E$9)</f>
        <v>24.310400000000001</v>
      </c>
      <c r="J722" s="11">
        <f>24.3072 * CHOOSE(CONTROL!$C$32, $C$9, 100%, $E$9)</f>
        <v>24.307200000000002</v>
      </c>
      <c r="K722" s="11">
        <f>24.3104 * CHOOSE(CONTROL!$C$32, $C$9, 100%, $E$9)</f>
        <v>24.310400000000001</v>
      </c>
      <c r="L722" s="11">
        <f>8.5554 * CHOOSE(CONTROL!$C$32, $C$9, 100%, $E$9)</f>
        <v>8.5554000000000006</v>
      </c>
      <c r="M722" s="11">
        <f>8.5586 * CHOOSE(CONTROL!$C$32, $C$9, 100%, $E$9)</f>
        <v>8.5586000000000002</v>
      </c>
      <c r="N722" s="11">
        <f>8.5554 * CHOOSE(CONTROL!$C$32, $C$9, 100%, $E$9)</f>
        <v>8.5554000000000006</v>
      </c>
      <c r="O722" s="11">
        <f>8.5586 * CHOOSE(CONTROL!$C$32, $C$9, 100%, $E$9)</f>
        <v>8.5586000000000002</v>
      </c>
    </row>
    <row r="723" spans="1:15" ht="15" x14ac:dyDescent="0.2">
      <c r="A723" s="13">
        <v>62855</v>
      </c>
      <c r="B723" s="9">
        <f>10.5027 * CHOOSE(CONTROL!$C$32, $C$9, 100%, $E$9)</f>
        <v>10.502700000000001</v>
      </c>
      <c r="C723" s="9">
        <f>10.5027 * CHOOSE(CONTROL!$C$32, $C$9, 100%, $E$9)</f>
        <v>10.502700000000001</v>
      </c>
      <c r="D723" s="9">
        <f>10.5037 * CHOOSE(CONTROL!$C$32, $C$9, 100%, $E$9)</f>
        <v>10.5037</v>
      </c>
      <c r="E723" s="11">
        <f>8.2502 * CHOOSE(CONTROL!$C$32, $C$9, 100%, $E$9)</f>
        <v>8.2501999999999995</v>
      </c>
      <c r="F723" s="11">
        <f>8.2502 * CHOOSE(CONTROL!$C$32, $C$9, 100%, $E$9)</f>
        <v>8.2501999999999995</v>
      </c>
      <c r="G723" s="11">
        <f>8.2534 * CHOOSE(CONTROL!$C$32, $C$9, 100%, $E$9)</f>
        <v>8.2533999999999992</v>
      </c>
      <c r="H723" s="11">
        <f>24.3578 * CHOOSE(CONTROL!$C$32, $C$9, 100%, $E$9)</f>
        <v>24.357800000000001</v>
      </c>
      <c r="I723" s="11">
        <f>24.361 * CHOOSE(CONTROL!$C$32, $C$9, 100%, $E$9)</f>
        <v>24.361000000000001</v>
      </c>
      <c r="J723" s="11">
        <f>24.3578 * CHOOSE(CONTROL!$C$32, $C$9, 100%, $E$9)</f>
        <v>24.357800000000001</v>
      </c>
      <c r="K723" s="11">
        <f>24.361 * CHOOSE(CONTROL!$C$32, $C$9, 100%, $E$9)</f>
        <v>24.361000000000001</v>
      </c>
      <c r="L723" s="11">
        <f>8.2502 * CHOOSE(CONTROL!$C$32, $C$9, 100%, $E$9)</f>
        <v>8.2501999999999995</v>
      </c>
      <c r="M723" s="11">
        <f>8.2534 * CHOOSE(CONTROL!$C$32, $C$9, 100%, $E$9)</f>
        <v>8.2533999999999992</v>
      </c>
      <c r="N723" s="11">
        <f>8.2502 * CHOOSE(CONTROL!$C$32, $C$9, 100%, $E$9)</f>
        <v>8.2501999999999995</v>
      </c>
      <c r="O723" s="11">
        <f>8.2534 * CHOOSE(CONTROL!$C$32, $C$9, 100%, $E$9)</f>
        <v>8.2533999999999992</v>
      </c>
    </row>
    <row r="724" spans="1:15" ht="15" x14ac:dyDescent="0.2">
      <c r="A724" s="13">
        <v>62884</v>
      </c>
      <c r="B724" s="9">
        <f>10.4997 * CHOOSE(CONTROL!$C$32, $C$9, 100%, $E$9)</f>
        <v>10.499700000000001</v>
      </c>
      <c r="C724" s="9">
        <f>10.4997 * CHOOSE(CONTROL!$C$32, $C$9, 100%, $E$9)</f>
        <v>10.499700000000001</v>
      </c>
      <c r="D724" s="9">
        <f>10.5007 * CHOOSE(CONTROL!$C$32, $C$9, 100%, $E$9)</f>
        <v>10.5007</v>
      </c>
      <c r="E724" s="11">
        <f>8.487 * CHOOSE(CONTROL!$C$32, $C$9, 100%, $E$9)</f>
        <v>8.4870000000000001</v>
      </c>
      <c r="F724" s="11">
        <f>8.487 * CHOOSE(CONTROL!$C$32, $C$9, 100%, $E$9)</f>
        <v>8.4870000000000001</v>
      </c>
      <c r="G724" s="11">
        <f>8.4902 * CHOOSE(CONTROL!$C$32, $C$9, 100%, $E$9)</f>
        <v>8.4901999999999997</v>
      </c>
      <c r="H724" s="11">
        <f>24.4085 * CHOOSE(CONTROL!$C$32, $C$9, 100%, $E$9)</f>
        <v>24.4085</v>
      </c>
      <c r="I724" s="11">
        <f>24.4118 * CHOOSE(CONTROL!$C$32, $C$9, 100%, $E$9)</f>
        <v>24.411799999999999</v>
      </c>
      <c r="J724" s="11">
        <f>24.4085 * CHOOSE(CONTROL!$C$32, $C$9, 100%, $E$9)</f>
        <v>24.4085</v>
      </c>
      <c r="K724" s="11">
        <f>24.4118 * CHOOSE(CONTROL!$C$32, $C$9, 100%, $E$9)</f>
        <v>24.411799999999999</v>
      </c>
      <c r="L724" s="11">
        <f>8.487 * CHOOSE(CONTROL!$C$32, $C$9, 100%, $E$9)</f>
        <v>8.4870000000000001</v>
      </c>
      <c r="M724" s="11">
        <f>8.4902 * CHOOSE(CONTROL!$C$32, $C$9, 100%, $E$9)</f>
        <v>8.4901999999999997</v>
      </c>
      <c r="N724" s="11">
        <f>8.487 * CHOOSE(CONTROL!$C$32, $C$9, 100%, $E$9)</f>
        <v>8.4870000000000001</v>
      </c>
      <c r="O724" s="11">
        <f>8.4902 * CHOOSE(CONTROL!$C$32, $C$9, 100%, $E$9)</f>
        <v>8.4901999999999997</v>
      </c>
    </row>
    <row r="725" spans="1:15" ht="15" x14ac:dyDescent="0.2">
      <c r="A725" s="13">
        <v>62915</v>
      </c>
      <c r="B725" s="9">
        <f>10.5037 * CHOOSE(CONTROL!$C$32, $C$9, 100%, $E$9)</f>
        <v>10.5037</v>
      </c>
      <c r="C725" s="9">
        <f>10.5037 * CHOOSE(CONTROL!$C$32, $C$9, 100%, $E$9)</f>
        <v>10.5037</v>
      </c>
      <c r="D725" s="9">
        <f>10.5046 * CHOOSE(CONTROL!$C$32, $C$9, 100%, $E$9)</f>
        <v>10.5046</v>
      </c>
      <c r="E725" s="11">
        <f>8.7393 * CHOOSE(CONTROL!$C$32, $C$9, 100%, $E$9)</f>
        <v>8.7393000000000001</v>
      </c>
      <c r="F725" s="11">
        <f>8.7393 * CHOOSE(CONTROL!$C$32, $C$9, 100%, $E$9)</f>
        <v>8.7393000000000001</v>
      </c>
      <c r="G725" s="11">
        <f>8.7426 * CHOOSE(CONTROL!$C$32, $C$9, 100%, $E$9)</f>
        <v>8.7425999999999995</v>
      </c>
      <c r="H725" s="11">
        <f>24.4594 * CHOOSE(CONTROL!$C$32, $C$9, 100%, $E$9)</f>
        <v>24.459399999999999</v>
      </c>
      <c r="I725" s="11">
        <f>24.4626 * CHOOSE(CONTROL!$C$32, $C$9, 100%, $E$9)</f>
        <v>24.462599999999998</v>
      </c>
      <c r="J725" s="11">
        <f>24.4594 * CHOOSE(CONTROL!$C$32, $C$9, 100%, $E$9)</f>
        <v>24.459399999999999</v>
      </c>
      <c r="K725" s="11">
        <f>24.4626 * CHOOSE(CONTROL!$C$32, $C$9, 100%, $E$9)</f>
        <v>24.462599999999998</v>
      </c>
      <c r="L725" s="11">
        <f>8.7393 * CHOOSE(CONTROL!$C$32, $C$9, 100%, $E$9)</f>
        <v>8.7393000000000001</v>
      </c>
      <c r="M725" s="11">
        <f>8.7426 * CHOOSE(CONTROL!$C$32, $C$9, 100%, $E$9)</f>
        <v>8.7425999999999995</v>
      </c>
      <c r="N725" s="11">
        <f>8.7393 * CHOOSE(CONTROL!$C$32, $C$9, 100%, $E$9)</f>
        <v>8.7393000000000001</v>
      </c>
      <c r="O725" s="11">
        <f>8.7426 * CHOOSE(CONTROL!$C$32, $C$9, 100%, $E$9)</f>
        <v>8.7425999999999995</v>
      </c>
    </row>
    <row r="726" spans="1:15" ht="15" x14ac:dyDescent="0.2">
      <c r="A726" s="13">
        <v>62945</v>
      </c>
      <c r="B726" s="9">
        <f>10.5037 * CHOOSE(CONTROL!$C$32, $C$9, 100%, $E$9)</f>
        <v>10.5037</v>
      </c>
      <c r="C726" s="9">
        <f>10.5037 * CHOOSE(CONTROL!$C$32, $C$9, 100%, $E$9)</f>
        <v>10.5037</v>
      </c>
      <c r="D726" s="9">
        <f>10.5049 * CHOOSE(CONTROL!$C$32, $C$9, 100%, $E$9)</f>
        <v>10.504899999999999</v>
      </c>
      <c r="E726" s="11">
        <f>8.8356 * CHOOSE(CONTROL!$C$32, $C$9, 100%, $E$9)</f>
        <v>8.8355999999999995</v>
      </c>
      <c r="F726" s="11">
        <f>8.8356 * CHOOSE(CONTROL!$C$32, $C$9, 100%, $E$9)</f>
        <v>8.8355999999999995</v>
      </c>
      <c r="G726" s="11">
        <f>8.8398 * CHOOSE(CONTROL!$C$32, $C$9, 100%, $E$9)</f>
        <v>8.8398000000000003</v>
      </c>
      <c r="H726" s="11">
        <f>24.5104 * CHOOSE(CONTROL!$C$32, $C$9, 100%, $E$9)</f>
        <v>24.510400000000001</v>
      </c>
      <c r="I726" s="11">
        <f>24.5146 * CHOOSE(CONTROL!$C$32, $C$9, 100%, $E$9)</f>
        <v>24.514600000000002</v>
      </c>
      <c r="J726" s="11">
        <f>24.5104 * CHOOSE(CONTROL!$C$32, $C$9, 100%, $E$9)</f>
        <v>24.510400000000001</v>
      </c>
      <c r="K726" s="11">
        <f>24.5146 * CHOOSE(CONTROL!$C$32, $C$9, 100%, $E$9)</f>
        <v>24.514600000000002</v>
      </c>
      <c r="L726" s="11">
        <f>8.8356 * CHOOSE(CONTROL!$C$32, $C$9, 100%, $E$9)</f>
        <v>8.8355999999999995</v>
      </c>
      <c r="M726" s="11">
        <f>8.8398 * CHOOSE(CONTROL!$C$32, $C$9, 100%, $E$9)</f>
        <v>8.8398000000000003</v>
      </c>
      <c r="N726" s="11">
        <f>8.8356 * CHOOSE(CONTROL!$C$32, $C$9, 100%, $E$9)</f>
        <v>8.8355999999999995</v>
      </c>
      <c r="O726" s="11">
        <f>8.8398 * CHOOSE(CONTROL!$C$32, $C$9, 100%, $E$9)</f>
        <v>8.8398000000000003</v>
      </c>
    </row>
    <row r="727" spans="1:15" ht="15" x14ac:dyDescent="0.2">
      <c r="A727" s="13">
        <v>62976</v>
      </c>
      <c r="B727" s="9">
        <f>10.5097 * CHOOSE(CONTROL!$C$32, $C$9, 100%, $E$9)</f>
        <v>10.5097</v>
      </c>
      <c r="C727" s="9">
        <f>10.5097 * CHOOSE(CONTROL!$C$32, $C$9, 100%, $E$9)</f>
        <v>10.5097</v>
      </c>
      <c r="D727" s="9">
        <f>10.511 * CHOOSE(CONTROL!$C$32, $C$9, 100%, $E$9)</f>
        <v>10.510999999999999</v>
      </c>
      <c r="E727" s="11">
        <f>8.7436 * CHOOSE(CONTROL!$C$32, $C$9, 100%, $E$9)</f>
        <v>8.7436000000000007</v>
      </c>
      <c r="F727" s="11">
        <f>8.7436 * CHOOSE(CONTROL!$C$32, $C$9, 100%, $E$9)</f>
        <v>8.7436000000000007</v>
      </c>
      <c r="G727" s="11">
        <f>8.7478 * CHOOSE(CONTROL!$C$32, $C$9, 100%, $E$9)</f>
        <v>8.7477999999999998</v>
      </c>
      <c r="H727" s="11">
        <f>24.5614 * CHOOSE(CONTROL!$C$32, $C$9, 100%, $E$9)</f>
        <v>24.561399999999999</v>
      </c>
      <c r="I727" s="11">
        <f>24.5656 * CHOOSE(CONTROL!$C$32, $C$9, 100%, $E$9)</f>
        <v>24.5656</v>
      </c>
      <c r="J727" s="11">
        <f>24.5614 * CHOOSE(CONTROL!$C$32, $C$9, 100%, $E$9)</f>
        <v>24.561399999999999</v>
      </c>
      <c r="K727" s="11">
        <f>24.5656 * CHOOSE(CONTROL!$C$32, $C$9, 100%, $E$9)</f>
        <v>24.5656</v>
      </c>
      <c r="L727" s="11">
        <f>8.7436 * CHOOSE(CONTROL!$C$32, $C$9, 100%, $E$9)</f>
        <v>8.7436000000000007</v>
      </c>
      <c r="M727" s="11">
        <f>8.7478 * CHOOSE(CONTROL!$C$32, $C$9, 100%, $E$9)</f>
        <v>8.7477999999999998</v>
      </c>
      <c r="N727" s="11">
        <f>8.7436 * CHOOSE(CONTROL!$C$32, $C$9, 100%, $E$9)</f>
        <v>8.7436000000000007</v>
      </c>
      <c r="O727" s="11">
        <f>8.7478 * CHOOSE(CONTROL!$C$32, $C$9, 100%, $E$9)</f>
        <v>8.7477999999999998</v>
      </c>
    </row>
    <row r="728" spans="1:15" ht="15" x14ac:dyDescent="0.2">
      <c r="A728" s="13">
        <v>63006</v>
      </c>
      <c r="B728" s="9">
        <f>10.6397 * CHOOSE(CONTROL!$C$32, $C$9, 100%, $E$9)</f>
        <v>10.639699999999999</v>
      </c>
      <c r="C728" s="9">
        <f>10.6397 * CHOOSE(CONTROL!$C$32, $C$9, 100%, $E$9)</f>
        <v>10.639699999999999</v>
      </c>
      <c r="D728" s="9">
        <f>10.641 * CHOOSE(CONTROL!$C$32, $C$9, 100%, $E$9)</f>
        <v>10.641</v>
      </c>
      <c r="E728" s="11">
        <f>8.7919 * CHOOSE(CONTROL!$C$32, $C$9, 100%, $E$9)</f>
        <v>8.7919</v>
      </c>
      <c r="F728" s="11">
        <f>8.7919 * CHOOSE(CONTROL!$C$32, $C$9, 100%, $E$9)</f>
        <v>8.7919</v>
      </c>
      <c r="G728" s="11">
        <f>8.7961 * CHOOSE(CONTROL!$C$32, $C$9, 100%, $E$9)</f>
        <v>8.7960999999999991</v>
      </c>
      <c r="H728" s="11">
        <f>24.6126 * CHOOSE(CONTROL!$C$32, $C$9, 100%, $E$9)</f>
        <v>24.6126</v>
      </c>
      <c r="I728" s="11">
        <f>24.6168 * CHOOSE(CONTROL!$C$32, $C$9, 100%, $E$9)</f>
        <v>24.616800000000001</v>
      </c>
      <c r="J728" s="11">
        <f>24.6126 * CHOOSE(CONTROL!$C$32, $C$9, 100%, $E$9)</f>
        <v>24.6126</v>
      </c>
      <c r="K728" s="11">
        <f>24.6168 * CHOOSE(CONTROL!$C$32, $C$9, 100%, $E$9)</f>
        <v>24.616800000000001</v>
      </c>
      <c r="L728" s="11">
        <f>8.7919 * CHOOSE(CONTROL!$C$32, $C$9, 100%, $E$9)</f>
        <v>8.7919</v>
      </c>
      <c r="M728" s="11">
        <f>8.7961 * CHOOSE(CONTROL!$C$32, $C$9, 100%, $E$9)</f>
        <v>8.7960999999999991</v>
      </c>
      <c r="N728" s="11">
        <f>8.7919 * CHOOSE(CONTROL!$C$32, $C$9, 100%, $E$9)</f>
        <v>8.7919</v>
      </c>
      <c r="O728" s="11">
        <f>8.7961 * CHOOSE(CONTROL!$C$32, $C$9, 100%, $E$9)</f>
        <v>8.7960999999999991</v>
      </c>
    </row>
    <row r="729" spans="1:15" ht="15" x14ac:dyDescent="0.2">
      <c r="A729" s="13">
        <v>63037</v>
      </c>
      <c r="B729" s="9">
        <f>10.6464 * CHOOSE(CONTROL!$C$32, $C$9, 100%, $E$9)</f>
        <v>10.6464</v>
      </c>
      <c r="C729" s="9">
        <f>10.6464 * CHOOSE(CONTROL!$C$32, $C$9, 100%, $E$9)</f>
        <v>10.6464</v>
      </c>
      <c r="D729" s="9">
        <f>10.6476 * CHOOSE(CONTROL!$C$32, $C$9, 100%, $E$9)</f>
        <v>10.647600000000001</v>
      </c>
      <c r="E729" s="11">
        <f>8.5079 * CHOOSE(CONTROL!$C$32, $C$9, 100%, $E$9)</f>
        <v>8.5078999999999994</v>
      </c>
      <c r="F729" s="11">
        <f>8.5079 * CHOOSE(CONTROL!$C$32, $C$9, 100%, $E$9)</f>
        <v>8.5078999999999994</v>
      </c>
      <c r="G729" s="11">
        <f>8.5121 * CHOOSE(CONTROL!$C$32, $C$9, 100%, $E$9)</f>
        <v>8.5121000000000002</v>
      </c>
      <c r="H729" s="11">
        <f>24.6639 * CHOOSE(CONTROL!$C$32, $C$9, 100%, $E$9)</f>
        <v>24.663900000000002</v>
      </c>
      <c r="I729" s="11">
        <f>24.6681 * CHOOSE(CONTROL!$C$32, $C$9, 100%, $E$9)</f>
        <v>24.668099999999999</v>
      </c>
      <c r="J729" s="11">
        <f>24.6639 * CHOOSE(CONTROL!$C$32, $C$9, 100%, $E$9)</f>
        <v>24.663900000000002</v>
      </c>
      <c r="K729" s="11">
        <f>24.6681 * CHOOSE(CONTROL!$C$32, $C$9, 100%, $E$9)</f>
        <v>24.668099999999999</v>
      </c>
      <c r="L729" s="11">
        <f>8.5079 * CHOOSE(CONTROL!$C$32, $C$9, 100%, $E$9)</f>
        <v>8.5078999999999994</v>
      </c>
      <c r="M729" s="11">
        <f>8.5121 * CHOOSE(CONTROL!$C$32, $C$9, 100%, $E$9)</f>
        <v>8.5121000000000002</v>
      </c>
      <c r="N729" s="11">
        <f>8.5079 * CHOOSE(CONTROL!$C$32, $C$9, 100%, $E$9)</f>
        <v>8.5078999999999994</v>
      </c>
      <c r="O729" s="11">
        <f>8.5121 * CHOOSE(CONTROL!$C$32, $C$9, 100%, $E$9)</f>
        <v>8.5121000000000002</v>
      </c>
    </row>
    <row r="730" spans="1:15" ht="15" x14ac:dyDescent="0.2">
      <c r="A730" s="13">
        <v>63068</v>
      </c>
      <c r="B730" s="9">
        <f>10.6434 * CHOOSE(CONTROL!$C$32, $C$9, 100%, $E$9)</f>
        <v>10.6434</v>
      </c>
      <c r="C730" s="9">
        <f>10.6434 * CHOOSE(CONTROL!$C$32, $C$9, 100%, $E$9)</f>
        <v>10.6434</v>
      </c>
      <c r="D730" s="9">
        <f>10.6446 * CHOOSE(CONTROL!$C$32, $C$9, 100%, $E$9)</f>
        <v>10.644600000000001</v>
      </c>
      <c r="E730" s="11">
        <f>8.4737 * CHOOSE(CONTROL!$C$32, $C$9, 100%, $E$9)</f>
        <v>8.4736999999999991</v>
      </c>
      <c r="F730" s="11">
        <f>8.4737 * CHOOSE(CONTROL!$C$32, $C$9, 100%, $E$9)</f>
        <v>8.4736999999999991</v>
      </c>
      <c r="G730" s="11">
        <f>8.4779 * CHOOSE(CONTROL!$C$32, $C$9, 100%, $E$9)</f>
        <v>8.4779</v>
      </c>
      <c r="H730" s="11">
        <f>24.7152 * CHOOSE(CONTROL!$C$32, $C$9, 100%, $E$9)</f>
        <v>24.715199999999999</v>
      </c>
      <c r="I730" s="11">
        <f>24.7195 * CHOOSE(CONTROL!$C$32, $C$9, 100%, $E$9)</f>
        <v>24.7195</v>
      </c>
      <c r="J730" s="11">
        <f>24.7152 * CHOOSE(CONTROL!$C$32, $C$9, 100%, $E$9)</f>
        <v>24.715199999999999</v>
      </c>
      <c r="K730" s="11">
        <f>24.7195 * CHOOSE(CONTROL!$C$32, $C$9, 100%, $E$9)</f>
        <v>24.7195</v>
      </c>
      <c r="L730" s="11">
        <f>8.4737 * CHOOSE(CONTROL!$C$32, $C$9, 100%, $E$9)</f>
        <v>8.4736999999999991</v>
      </c>
      <c r="M730" s="11">
        <f>8.4779 * CHOOSE(CONTROL!$C$32, $C$9, 100%, $E$9)</f>
        <v>8.4779</v>
      </c>
      <c r="N730" s="11">
        <f>8.4737 * CHOOSE(CONTROL!$C$32, $C$9, 100%, $E$9)</f>
        <v>8.4736999999999991</v>
      </c>
      <c r="O730" s="11">
        <f>8.4779 * CHOOSE(CONTROL!$C$32, $C$9, 100%, $E$9)</f>
        <v>8.4779</v>
      </c>
    </row>
    <row r="731" spans="1:15" ht="15" x14ac:dyDescent="0.2">
      <c r="A731" s="13">
        <v>63098</v>
      </c>
      <c r="B731" s="9">
        <f>10.6632 * CHOOSE(CONTROL!$C$32, $C$9, 100%, $E$9)</f>
        <v>10.6632</v>
      </c>
      <c r="C731" s="9">
        <f>10.6632 * CHOOSE(CONTROL!$C$32, $C$9, 100%, $E$9)</f>
        <v>10.6632</v>
      </c>
      <c r="D731" s="9">
        <f>10.6642 * CHOOSE(CONTROL!$C$32, $C$9, 100%, $E$9)</f>
        <v>10.664199999999999</v>
      </c>
      <c r="E731" s="11">
        <f>8.5886 * CHOOSE(CONTROL!$C$32, $C$9, 100%, $E$9)</f>
        <v>8.5885999999999996</v>
      </c>
      <c r="F731" s="11">
        <f>8.5886 * CHOOSE(CONTROL!$C$32, $C$9, 100%, $E$9)</f>
        <v>8.5885999999999996</v>
      </c>
      <c r="G731" s="11">
        <f>8.5918 * CHOOSE(CONTROL!$C$32, $C$9, 100%, $E$9)</f>
        <v>8.5917999999999992</v>
      </c>
      <c r="H731" s="11">
        <f>24.7667 * CHOOSE(CONTROL!$C$32, $C$9, 100%, $E$9)</f>
        <v>24.7667</v>
      </c>
      <c r="I731" s="11">
        <f>24.77 * CHOOSE(CONTROL!$C$32, $C$9, 100%, $E$9)</f>
        <v>24.77</v>
      </c>
      <c r="J731" s="11">
        <f>24.7667 * CHOOSE(CONTROL!$C$32, $C$9, 100%, $E$9)</f>
        <v>24.7667</v>
      </c>
      <c r="K731" s="11">
        <f>24.77 * CHOOSE(CONTROL!$C$32, $C$9, 100%, $E$9)</f>
        <v>24.77</v>
      </c>
      <c r="L731" s="11">
        <f>8.5886 * CHOOSE(CONTROL!$C$32, $C$9, 100%, $E$9)</f>
        <v>8.5885999999999996</v>
      </c>
      <c r="M731" s="11">
        <f>8.5918 * CHOOSE(CONTROL!$C$32, $C$9, 100%, $E$9)</f>
        <v>8.5917999999999992</v>
      </c>
      <c r="N731" s="11">
        <f>8.5886 * CHOOSE(CONTROL!$C$32, $C$9, 100%, $E$9)</f>
        <v>8.5885999999999996</v>
      </c>
      <c r="O731" s="11">
        <f>8.5918 * CHOOSE(CONTROL!$C$32, $C$9, 100%, $E$9)</f>
        <v>8.5917999999999992</v>
      </c>
    </row>
    <row r="732" spans="1:15" ht="15" x14ac:dyDescent="0.2">
      <c r="A732" s="13">
        <v>63129</v>
      </c>
      <c r="B732" s="9">
        <f>10.6663 * CHOOSE(CONTROL!$C$32, $C$9, 100%, $E$9)</f>
        <v>10.6663</v>
      </c>
      <c r="C732" s="9">
        <f>10.6663 * CHOOSE(CONTROL!$C$32, $C$9, 100%, $E$9)</f>
        <v>10.6663</v>
      </c>
      <c r="D732" s="9">
        <f>10.6672 * CHOOSE(CONTROL!$C$32, $C$9, 100%, $E$9)</f>
        <v>10.667199999999999</v>
      </c>
      <c r="E732" s="11">
        <f>8.6549 * CHOOSE(CONTROL!$C$32, $C$9, 100%, $E$9)</f>
        <v>8.6548999999999996</v>
      </c>
      <c r="F732" s="11">
        <f>8.6549 * CHOOSE(CONTROL!$C$32, $C$9, 100%, $E$9)</f>
        <v>8.6548999999999996</v>
      </c>
      <c r="G732" s="11">
        <f>8.6581 * CHOOSE(CONTROL!$C$32, $C$9, 100%, $E$9)</f>
        <v>8.6580999999999992</v>
      </c>
      <c r="H732" s="11">
        <f>24.8183 * CHOOSE(CONTROL!$C$32, $C$9, 100%, $E$9)</f>
        <v>24.818300000000001</v>
      </c>
      <c r="I732" s="11">
        <f>24.8216 * CHOOSE(CONTROL!$C$32, $C$9, 100%, $E$9)</f>
        <v>24.8216</v>
      </c>
      <c r="J732" s="11">
        <f>24.8183 * CHOOSE(CONTROL!$C$32, $C$9, 100%, $E$9)</f>
        <v>24.818300000000001</v>
      </c>
      <c r="K732" s="11">
        <f>24.8216 * CHOOSE(CONTROL!$C$32, $C$9, 100%, $E$9)</f>
        <v>24.8216</v>
      </c>
      <c r="L732" s="11">
        <f>8.6549 * CHOOSE(CONTROL!$C$32, $C$9, 100%, $E$9)</f>
        <v>8.6548999999999996</v>
      </c>
      <c r="M732" s="11">
        <f>8.6581 * CHOOSE(CONTROL!$C$32, $C$9, 100%, $E$9)</f>
        <v>8.6580999999999992</v>
      </c>
      <c r="N732" s="11">
        <f>8.6549 * CHOOSE(CONTROL!$C$32, $C$9, 100%, $E$9)</f>
        <v>8.6548999999999996</v>
      </c>
      <c r="O732" s="11">
        <f>8.6581 * CHOOSE(CONTROL!$C$32, $C$9, 100%, $E$9)</f>
        <v>8.6580999999999992</v>
      </c>
    </row>
    <row r="733" spans="1:15" ht="15" x14ac:dyDescent="0.2">
      <c r="A733" s="13">
        <v>63159</v>
      </c>
      <c r="B733" s="9">
        <f>10.6663 * CHOOSE(CONTROL!$C$32, $C$9, 100%, $E$9)</f>
        <v>10.6663</v>
      </c>
      <c r="C733" s="9">
        <f>10.6663 * CHOOSE(CONTROL!$C$32, $C$9, 100%, $E$9)</f>
        <v>10.6663</v>
      </c>
      <c r="D733" s="9">
        <f>10.6672 * CHOOSE(CONTROL!$C$32, $C$9, 100%, $E$9)</f>
        <v>10.667199999999999</v>
      </c>
      <c r="E733" s="11">
        <f>8.4945 * CHOOSE(CONTROL!$C$32, $C$9, 100%, $E$9)</f>
        <v>8.4945000000000004</v>
      </c>
      <c r="F733" s="11">
        <f>8.4945 * CHOOSE(CONTROL!$C$32, $C$9, 100%, $E$9)</f>
        <v>8.4945000000000004</v>
      </c>
      <c r="G733" s="11">
        <f>8.4977 * CHOOSE(CONTROL!$C$32, $C$9, 100%, $E$9)</f>
        <v>8.4977</v>
      </c>
      <c r="H733" s="11">
        <f>24.87 * CHOOSE(CONTROL!$C$32, $C$9, 100%, $E$9)</f>
        <v>24.87</v>
      </c>
      <c r="I733" s="11">
        <f>24.8733 * CHOOSE(CONTROL!$C$32, $C$9, 100%, $E$9)</f>
        <v>24.8733</v>
      </c>
      <c r="J733" s="11">
        <f>24.87 * CHOOSE(CONTROL!$C$32, $C$9, 100%, $E$9)</f>
        <v>24.87</v>
      </c>
      <c r="K733" s="11">
        <f>24.8733 * CHOOSE(CONTROL!$C$32, $C$9, 100%, $E$9)</f>
        <v>24.8733</v>
      </c>
      <c r="L733" s="11">
        <f>8.4945 * CHOOSE(CONTROL!$C$32, $C$9, 100%, $E$9)</f>
        <v>8.4945000000000004</v>
      </c>
      <c r="M733" s="11">
        <f>8.4977 * CHOOSE(CONTROL!$C$32, $C$9, 100%, $E$9)</f>
        <v>8.4977</v>
      </c>
      <c r="N733" s="11">
        <f>8.4945 * CHOOSE(CONTROL!$C$32, $C$9, 100%, $E$9)</f>
        <v>8.4945000000000004</v>
      </c>
      <c r="O733" s="11">
        <f>8.4977 * CHOOSE(CONTROL!$C$32, $C$9, 100%, $E$9)</f>
        <v>8.4977</v>
      </c>
    </row>
    <row r="734" spans="1:15" ht="15" x14ac:dyDescent="0.2">
      <c r="A734" s="13">
        <v>63190</v>
      </c>
      <c r="B734" s="9">
        <f>10.6931 * CHOOSE(CONTROL!$C$32, $C$9, 100%, $E$9)</f>
        <v>10.693099999999999</v>
      </c>
      <c r="C734" s="9">
        <f>10.6931 * CHOOSE(CONTROL!$C$32, $C$9, 100%, $E$9)</f>
        <v>10.693099999999999</v>
      </c>
      <c r="D734" s="9">
        <f>10.6941 * CHOOSE(CONTROL!$C$32, $C$9, 100%, $E$9)</f>
        <v>10.694100000000001</v>
      </c>
      <c r="E734" s="11">
        <f>8.6326 * CHOOSE(CONTROL!$C$32, $C$9, 100%, $E$9)</f>
        <v>8.6326000000000001</v>
      </c>
      <c r="F734" s="11">
        <f>8.6326 * CHOOSE(CONTROL!$C$32, $C$9, 100%, $E$9)</f>
        <v>8.6326000000000001</v>
      </c>
      <c r="G734" s="11">
        <f>8.6359 * CHOOSE(CONTROL!$C$32, $C$9, 100%, $E$9)</f>
        <v>8.6358999999999995</v>
      </c>
      <c r="H734" s="11">
        <f>24.7787 * CHOOSE(CONTROL!$C$32, $C$9, 100%, $E$9)</f>
        <v>24.778700000000001</v>
      </c>
      <c r="I734" s="11">
        <f>24.782 * CHOOSE(CONTROL!$C$32, $C$9, 100%, $E$9)</f>
        <v>24.782</v>
      </c>
      <c r="J734" s="11">
        <f>24.7787 * CHOOSE(CONTROL!$C$32, $C$9, 100%, $E$9)</f>
        <v>24.778700000000001</v>
      </c>
      <c r="K734" s="11">
        <f>24.782 * CHOOSE(CONTROL!$C$32, $C$9, 100%, $E$9)</f>
        <v>24.782</v>
      </c>
      <c r="L734" s="11">
        <f>8.6326 * CHOOSE(CONTROL!$C$32, $C$9, 100%, $E$9)</f>
        <v>8.6326000000000001</v>
      </c>
      <c r="M734" s="11">
        <f>8.6359 * CHOOSE(CONTROL!$C$32, $C$9, 100%, $E$9)</f>
        <v>8.6358999999999995</v>
      </c>
      <c r="N734" s="11">
        <f>8.6326 * CHOOSE(CONTROL!$C$32, $C$9, 100%, $E$9)</f>
        <v>8.6326000000000001</v>
      </c>
      <c r="O734" s="11">
        <f>8.6359 * CHOOSE(CONTROL!$C$32, $C$9, 100%, $E$9)</f>
        <v>8.6358999999999995</v>
      </c>
    </row>
    <row r="735" spans="1:15" ht="15" x14ac:dyDescent="0.2">
      <c r="A735" s="13">
        <v>63221</v>
      </c>
      <c r="B735" s="9">
        <f>10.6901 * CHOOSE(CONTROL!$C$32, $C$9, 100%, $E$9)</f>
        <v>10.690099999999999</v>
      </c>
      <c r="C735" s="9">
        <f>10.6901 * CHOOSE(CONTROL!$C$32, $C$9, 100%, $E$9)</f>
        <v>10.690099999999999</v>
      </c>
      <c r="D735" s="9">
        <f>10.6911 * CHOOSE(CONTROL!$C$32, $C$9, 100%, $E$9)</f>
        <v>10.6911</v>
      </c>
      <c r="E735" s="11">
        <f>8.3204 * CHOOSE(CONTROL!$C$32, $C$9, 100%, $E$9)</f>
        <v>8.3203999999999994</v>
      </c>
      <c r="F735" s="11">
        <f>8.3204 * CHOOSE(CONTROL!$C$32, $C$9, 100%, $E$9)</f>
        <v>8.3203999999999994</v>
      </c>
      <c r="G735" s="11">
        <f>8.3236 * CHOOSE(CONTROL!$C$32, $C$9, 100%, $E$9)</f>
        <v>8.3236000000000008</v>
      </c>
      <c r="H735" s="11">
        <f>24.8304 * CHOOSE(CONTROL!$C$32, $C$9, 100%, $E$9)</f>
        <v>24.830400000000001</v>
      </c>
      <c r="I735" s="11">
        <f>24.8336 * CHOOSE(CONTROL!$C$32, $C$9, 100%, $E$9)</f>
        <v>24.833600000000001</v>
      </c>
      <c r="J735" s="11">
        <f>24.8304 * CHOOSE(CONTROL!$C$32, $C$9, 100%, $E$9)</f>
        <v>24.830400000000001</v>
      </c>
      <c r="K735" s="11">
        <f>24.8336 * CHOOSE(CONTROL!$C$32, $C$9, 100%, $E$9)</f>
        <v>24.833600000000001</v>
      </c>
      <c r="L735" s="11">
        <f>8.3204 * CHOOSE(CONTROL!$C$32, $C$9, 100%, $E$9)</f>
        <v>8.3203999999999994</v>
      </c>
      <c r="M735" s="11">
        <f>8.3236 * CHOOSE(CONTROL!$C$32, $C$9, 100%, $E$9)</f>
        <v>8.3236000000000008</v>
      </c>
      <c r="N735" s="11">
        <f>8.3204 * CHOOSE(CONTROL!$C$32, $C$9, 100%, $E$9)</f>
        <v>8.3203999999999994</v>
      </c>
      <c r="O735" s="11">
        <f>8.3236 * CHOOSE(CONTROL!$C$32, $C$9, 100%, $E$9)</f>
        <v>8.3236000000000008</v>
      </c>
    </row>
    <row r="736" spans="1:15" ht="15" x14ac:dyDescent="0.2">
      <c r="A736" s="13">
        <v>63249</v>
      </c>
      <c r="B736" s="9">
        <f>10.6871 * CHOOSE(CONTROL!$C$32, $C$9, 100%, $E$9)</f>
        <v>10.687099999999999</v>
      </c>
      <c r="C736" s="9">
        <f>10.6871 * CHOOSE(CONTROL!$C$32, $C$9, 100%, $E$9)</f>
        <v>10.687099999999999</v>
      </c>
      <c r="D736" s="9">
        <f>10.688 * CHOOSE(CONTROL!$C$32, $C$9, 100%, $E$9)</f>
        <v>10.688000000000001</v>
      </c>
      <c r="E736" s="11">
        <f>8.5628 * CHOOSE(CONTROL!$C$32, $C$9, 100%, $E$9)</f>
        <v>8.5627999999999993</v>
      </c>
      <c r="F736" s="11">
        <f>8.5628 * CHOOSE(CONTROL!$C$32, $C$9, 100%, $E$9)</f>
        <v>8.5627999999999993</v>
      </c>
      <c r="G736" s="11">
        <f>8.566 * CHOOSE(CONTROL!$C$32, $C$9, 100%, $E$9)</f>
        <v>8.5660000000000007</v>
      </c>
      <c r="H736" s="11">
        <f>24.8821 * CHOOSE(CONTROL!$C$32, $C$9, 100%, $E$9)</f>
        <v>24.882100000000001</v>
      </c>
      <c r="I736" s="11">
        <f>24.8853 * CHOOSE(CONTROL!$C$32, $C$9, 100%, $E$9)</f>
        <v>24.885300000000001</v>
      </c>
      <c r="J736" s="11">
        <f>24.8821 * CHOOSE(CONTROL!$C$32, $C$9, 100%, $E$9)</f>
        <v>24.882100000000001</v>
      </c>
      <c r="K736" s="11">
        <f>24.8853 * CHOOSE(CONTROL!$C$32, $C$9, 100%, $E$9)</f>
        <v>24.885300000000001</v>
      </c>
      <c r="L736" s="11">
        <f>8.5628 * CHOOSE(CONTROL!$C$32, $C$9, 100%, $E$9)</f>
        <v>8.5627999999999993</v>
      </c>
      <c r="M736" s="11">
        <f>8.566 * CHOOSE(CONTROL!$C$32, $C$9, 100%, $E$9)</f>
        <v>8.5660000000000007</v>
      </c>
      <c r="N736" s="11">
        <f>8.5628 * CHOOSE(CONTROL!$C$32, $C$9, 100%, $E$9)</f>
        <v>8.5627999999999993</v>
      </c>
      <c r="O736" s="11">
        <f>8.566 * CHOOSE(CONTROL!$C$32, $C$9, 100%, $E$9)</f>
        <v>8.5660000000000007</v>
      </c>
    </row>
    <row r="737" spans="1:15" ht="15" x14ac:dyDescent="0.2">
      <c r="A737" s="13">
        <v>63280</v>
      </c>
      <c r="B737" s="9">
        <f>10.6912 * CHOOSE(CONTROL!$C$32, $C$9, 100%, $E$9)</f>
        <v>10.6912</v>
      </c>
      <c r="C737" s="9">
        <f>10.6912 * CHOOSE(CONTROL!$C$32, $C$9, 100%, $E$9)</f>
        <v>10.6912</v>
      </c>
      <c r="D737" s="9">
        <f>10.6922 * CHOOSE(CONTROL!$C$32, $C$9, 100%, $E$9)</f>
        <v>10.6922</v>
      </c>
      <c r="E737" s="11">
        <f>8.8211 * CHOOSE(CONTROL!$C$32, $C$9, 100%, $E$9)</f>
        <v>8.8210999999999995</v>
      </c>
      <c r="F737" s="11">
        <f>8.8211 * CHOOSE(CONTROL!$C$32, $C$9, 100%, $E$9)</f>
        <v>8.8210999999999995</v>
      </c>
      <c r="G737" s="11">
        <f>8.8243 * CHOOSE(CONTROL!$C$32, $C$9, 100%, $E$9)</f>
        <v>8.8242999999999991</v>
      </c>
      <c r="H737" s="11">
        <f>24.9339 * CHOOSE(CONTROL!$C$32, $C$9, 100%, $E$9)</f>
        <v>24.933900000000001</v>
      </c>
      <c r="I737" s="11">
        <f>24.9372 * CHOOSE(CONTROL!$C$32, $C$9, 100%, $E$9)</f>
        <v>24.937200000000001</v>
      </c>
      <c r="J737" s="11">
        <f>24.9339 * CHOOSE(CONTROL!$C$32, $C$9, 100%, $E$9)</f>
        <v>24.933900000000001</v>
      </c>
      <c r="K737" s="11">
        <f>24.9372 * CHOOSE(CONTROL!$C$32, $C$9, 100%, $E$9)</f>
        <v>24.937200000000001</v>
      </c>
      <c r="L737" s="11">
        <f>8.8211 * CHOOSE(CONTROL!$C$32, $C$9, 100%, $E$9)</f>
        <v>8.8210999999999995</v>
      </c>
      <c r="M737" s="11">
        <f>8.8243 * CHOOSE(CONTROL!$C$32, $C$9, 100%, $E$9)</f>
        <v>8.8242999999999991</v>
      </c>
      <c r="N737" s="11">
        <f>8.8211 * CHOOSE(CONTROL!$C$32, $C$9, 100%, $E$9)</f>
        <v>8.8210999999999995</v>
      </c>
      <c r="O737" s="11">
        <f>8.8243 * CHOOSE(CONTROL!$C$32, $C$9, 100%, $E$9)</f>
        <v>8.8242999999999991</v>
      </c>
    </row>
    <row r="738" spans="1:15" ht="15" x14ac:dyDescent="0.2">
      <c r="A738" s="13">
        <v>63310</v>
      </c>
      <c r="B738" s="9">
        <f>10.6912 * CHOOSE(CONTROL!$C$32, $C$9, 100%, $E$9)</f>
        <v>10.6912</v>
      </c>
      <c r="C738" s="9">
        <f>10.6912 * CHOOSE(CONTROL!$C$32, $C$9, 100%, $E$9)</f>
        <v>10.6912</v>
      </c>
      <c r="D738" s="9">
        <f>10.6925 * CHOOSE(CONTROL!$C$32, $C$9, 100%, $E$9)</f>
        <v>10.692500000000001</v>
      </c>
      <c r="E738" s="11">
        <f>8.9196 * CHOOSE(CONTROL!$C$32, $C$9, 100%, $E$9)</f>
        <v>8.9196000000000009</v>
      </c>
      <c r="F738" s="11">
        <f>8.9196 * CHOOSE(CONTROL!$C$32, $C$9, 100%, $E$9)</f>
        <v>8.9196000000000009</v>
      </c>
      <c r="G738" s="11">
        <f>8.9238 * CHOOSE(CONTROL!$C$32, $C$9, 100%, $E$9)</f>
        <v>8.9238</v>
      </c>
      <c r="H738" s="11">
        <f>24.9859 * CHOOSE(CONTROL!$C$32, $C$9, 100%, $E$9)</f>
        <v>24.985900000000001</v>
      </c>
      <c r="I738" s="11">
        <f>24.9901 * CHOOSE(CONTROL!$C$32, $C$9, 100%, $E$9)</f>
        <v>24.990100000000002</v>
      </c>
      <c r="J738" s="11">
        <f>24.9859 * CHOOSE(CONTROL!$C$32, $C$9, 100%, $E$9)</f>
        <v>24.985900000000001</v>
      </c>
      <c r="K738" s="11">
        <f>24.9901 * CHOOSE(CONTROL!$C$32, $C$9, 100%, $E$9)</f>
        <v>24.990100000000002</v>
      </c>
      <c r="L738" s="11">
        <f>8.9196 * CHOOSE(CONTROL!$C$32, $C$9, 100%, $E$9)</f>
        <v>8.9196000000000009</v>
      </c>
      <c r="M738" s="11">
        <f>8.9238 * CHOOSE(CONTROL!$C$32, $C$9, 100%, $E$9)</f>
        <v>8.9238</v>
      </c>
      <c r="N738" s="11">
        <f>8.9196 * CHOOSE(CONTROL!$C$32, $C$9, 100%, $E$9)</f>
        <v>8.9196000000000009</v>
      </c>
      <c r="O738" s="11">
        <f>8.9238 * CHOOSE(CONTROL!$C$32, $C$9, 100%, $E$9)</f>
        <v>8.9238</v>
      </c>
    </row>
    <row r="739" spans="1:15" ht="15" x14ac:dyDescent="0.2">
      <c r="A739" s="13">
        <v>63341</v>
      </c>
      <c r="B739" s="9">
        <f>10.6973 * CHOOSE(CONTROL!$C$32, $C$9, 100%, $E$9)</f>
        <v>10.6973</v>
      </c>
      <c r="C739" s="9">
        <f>10.6973 * CHOOSE(CONTROL!$C$32, $C$9, 100%, $E$9)</f>
        <v>10.6973</v>
      </c>
      <c r="D739" s="9">
        <f>10.6985 * CHOOSE(CONTROL!$C$32, $C$9, 100%, $E$9)</f>
        <v>10.698499999999999</v>
      </c>
      <c r="E739" s="11">
        <f>8.8254 * CHOOSE(CONTROL!$C$32, $C$9, 100%, $E$9)</f>
        <v>8.8254000000000001</v>
      </c>
      <c r="F739" s="11">
        <f>8.8254 * CHOOSE(CONTROL!$C$32, $C$9, 100%, $E$9)</f>
        <v>8.8254000000000001</v>
      </c>
      <c r="G739" s="11">
        <f>8.8296 * CHOOSE(CONTROL!$C$32, $C$9, 100%, $E$9)</f>
        <v>8.8295999999999992</v>
      </c>
      <c r="H739" s="11">
        <f>25.0379 * CHOOSE(CONTROL!$C$32, $C$9, 100%, $E$9)</f>
        <v>25.0379</v>
      </c>
      <c r="I739" s="11">
        <f>25.0421 * CHOOSE(CONTROL!$C$32, $C$9, 100%, $E$9)</f>
        <v>25.042100000000001</v>
      </c>
      <c r="J739" s="11">
        <f>25.0379 * CHOOSE(CONTROL!$C$32, $C$9, 100%, $E$9)</f>
        <v>25.0379</v>
      </c>
      <c r="K739" s="11">
        <f>25.0421 * CHOOSE(CONTROL!$C$32, $C$9, 100%, $E$9)</f>
        <v>25.042100000000001</v>
      </c>
      <c r="L739" s="11">
        <f>8.8254 * CHOOSE(CONTROL!$C$32, $C$9, 100%, $E$9)</f>
        <v>8.8254000000000001</v>
      </c>
      <c r="M739" s="11">
        <f>8.8296 * CHOOSE(CONTROL!$C$32, $C$9, 100%, $E$9)</f>
        <v>8.8295999999999992</v>
      </c>
      <c r="N739" s="11">
        <f>8.8254 * CHOOSE(CONTROL!$C$32, $C$9, 100%, $E$9)</f>
        <v>8.8254000000000001</v>
      </c>
      <c r="O739" s="11">
        <f>8.8296 * CHOOSE(CONTROL!$C$32, $C$9, 100%, $E$9)</f>
        <v>8.8295999999999992</v>
      </c>
    </row>
    <row r="740" spans="1:15" ht="15" x14ac:dyDescent="0.2">
      <c r="A740" s="13">
        <v>63371</v>
      </c>
      <c r="B740" s="9">
        <f>10.8293 * CHOOSE(CONTROL!$C$32, $C$9, 100%, $E$9)</f>
        <v>10.8293</v>
      </c>
      <c r="C740" s="9">
        <f>10.8293 * CHOOSE(CONTROL!$C$32, $C$9, 100%, $E$9)</f>
        <v>10.8293</v>
      </c>
      <c r="D740" s="9">
        <f>10.8306 * CHOOSE(CONTROL!$C$32, $C$9, 100%, $E$9)</f>
        <v>10.8306</v>
      </c>
      <c r="E740" s="11">
        <f>8.8748 * CHOOSE(CONTROL!$C$32, $C$9, 100%, $E$9)</f>
        <v>8.8748000000000005</v>
      </c>
      <c r="F740" s="11">
        <f>8.8748 * CHOOSE(CONTROL!$C$32, $C$9, 100%, $E$9)</f>
        <v>8.8748000000000005</v>
      </c>
      <c r="G740" s="11">
        <f>8.879 * CHOOSE(CONTROL!$C$32, $C$9, 100%, $E$9)</f>
        <v>8.8789999999999996</v>
      </c>
      <c r="H740" s="11">
        <f>25.0901 * CHOOSE(CONTROL!$C$32, $C$9, 100%, $E$9)</f>
        <v>25.0901</v>
      </c>
      <c r="I740" s="11">
        <f>25.0943 * CHOOSE(CONTROL!$C$32, $C$9, 100%, $E$9)</f>
        <v>25.0943</v>
      </c>
      <c r="J740" s="11">
        <f>25.0901 * CHOOSE(CONTROL!$C$32, $C$9, 100%, $E$9)</f>
        <v>25.0901</v>
      </c>
      <c r="K740" s="11">
        <f>25.0943 * CHOOSE(CONTROL!$C$32, $C$9, 100%, $E$9)</f>
        <v>25.0943</v>
      </c>
      <c r="L740" s="11">
        <f>8.8748 * CHOOSE(CONTROL!$C$32, $C$9, 100%, $E$9)</f>
        <v>8.8748000000000005</v>
      </c>
      <c r="M740" s="11">
        <f>8.879 * CHOOSE(CONTROL!$C$32, $C$9, 100%, $E$9)</f>
        <v>8.8789999999999996</v>
      </c>
      <c r="N740" s="11">
        <f>8.8748 * CHOOSE(CONTROL!$C$32, $C$9, 100%, $E$9)</f>
        <v>8.8748000000000005</v>
      </c>
      <c r="O740" s="11">
        <f>8.879 * CHOOSE(CONTROL!$C$32, $C$9, 100%, $E$9)</f>
        <v>8.8789999999999996</v>
      </c>
    </row>
    <row r="741" spans="1:15" ht="15" x14ac:dyDescent="0.2">
      <c r="A741" s="13">
        <v>63402</v>
      </c>
      <c r="B741" s="9">
        <f>10.836 * CHOOSE(CONTROL!$C$32, $C$9, 100%, $E$9)</f>
        <v>10.836</v>
      </c>
      <c r="C741" s="9">
        <f>10.836 * CHOOSE(CONTROL!$C$32, $C$9, 100%, $E$9)</f>
        <v>10.836</v>
      </c>
      <c r="D741" s="9">
        <f>10.8372 * CHOOSE(CONTROL!$C$32, $C$9, 100%, $E$9)</f>
        <v>10.837199999999999</v>
      </c>
      <c r="E741" s="11">
        <f>8.5841 * CHOOSE(CONTROL!$C$32, $C$9, 100%, $E$9)</f>
        <v>8.5840999999999994</v>
      </c>
      <c r="F741" s="11">
        <f>8.5841 * CHOOSE(CONTROL!$C$32, $C$9, 100%, $E$9)</f>
        <v>8.5840999999999994</v>
      </c>
      <c r="G741" s="11">
        <f>8.5883 * CHOOSE(CONTROL!$C$32, $C$9, 100%, $E$9)</f>
        <v>8.5883000000000003</v>
      </c>
      <c r="H741" s="11">
        <f>25.1424 * CHOOSE(CONTROL!$C$32, $C$9, 100%, $E$9)</f>
        <v>25.142399999999999</v>
      </c>
      <c r="I741" s="11">
        <f>25.1466 * CHOOSE(CONTROL!$C$32, $C$9, 100%, $E$9)</f>
        <v>25.146599999999999</v>
      </c>
      <c r="J741" s="11">
        <f>25.1424 * CHOOSE(CONTROL!$C$32, $C$9, 100%, $E$9)</f>
        <v>25.142399999999999</v>
      </c>
      <c r="K741" s="11">
        <f>25.1466 * CHOOSE(CONTROL!$C$32, $C$9, 100%, $E$9)</f>
        <v>25.146599999999999</v>
      </c>
      <c r="L741" s="11">
        <f>8.5841 * CHOOSE(CONTROL!$C$32, $C$9, 100%, $E$9)</f>
        <v>8.5840999999999994</v>
      </c>
      <c r="M741" s="11">
        <f>8.5883 * CHOOSE(CONTROL!$C$32, $C$9, 100%, $E$9)</f>
        <v>8.5883000000000003</v>
      </c>
      <c r="N741" s="11">
        <f>8.5841 * CHOOSE(CONTROL!$C$32, $C$9, 100%, $E$9)</f>
        <v>8.5840999999999994</v>
      </c>
      <c r="O741" s="11">
        <f>8.5883 * CHOOSE(CONTROL!$C$32, $C$9, 100%, $E$9)</f>
        <v>8.5883000000000003</v>
      </c>
    </row>
    <row r="742" spans="1:15" ht="15" x14ac:dyDescent="0.2">
      <c r="A742" s="13">
        <v>63433</v>
      </c>
      <c r="B742" s="9">
        <f>10.833 * CHOOSE(CONTROL!$C$32, $C$9, 100%, $E$9)</f>
        <v>10.833</v>
      </c>
      <c r="C742" s="9">
        <f>10.833 * CHOOSE(CONTROL!$C$32, $C$9, 100%, $E$9)</f>
        <v>10.833</v>
      </c>
      <c r="D742" s="9">
        <f>10.8342 * CHOOSE(CONTROL!$C$32, $C$9, 100%, $E$9)</f>
        <v>10.834199999999999</v>
      </c>
      <c r="E742" s="11">
        <f>8.5491 * CHOOSE(CONTROL!$C$32, $C$9, 100%, $E$9)</f>
        <v>8.5490999999999993</v>
      </c>
      <c r="F742" s="11">
        <f>8.5491 * CHOOSE(CONTROL!$C$32, $C$9, 100%, $E$9)</f>
        <v>8.5490999999999993</v>
      </c>
      <c r="G742" s="11">
        <f>8.5533 * CHOOSE(CONTROL!$C$32, $C$9, 100%, $E$9)</f>
        <v>8.5533000000000001</v>
      </c>
      <c r="H742" s="11">
        <f>25.1947 * CHOOSE(CONTROL!$C$32, $C$9, 100%, $E$9)</f>
        <v>25.194700000000001</v>
      </c>
      <c r="I742" s="11">
        <f>25.199 * CHOOSE(CONTROL!$C$32, $C$9, 100%, $E$9)</f>
        <v>25.199000000000002</v>
      </c>
      <c r="J742" s="11">
        <f>25.1947 * CHOOSE(CONTROL!$C$32, $C$9, 100%, $E$9)</f>
        <v>25.194700000000001</v>
      </c>
      <c r="K742" s="11">
        <f>25.199 * CHOOSE(CONTROL!$C$32, $C$9, 100%, $E$9)</f>
        <v>25.199000000000002</v>
      </c>
      <c r="L742" s="11">
        <f>8.5491 * CHOOSE(CONTROL!$C$32, $C$9, 100%, $E$9)</f>
        <v>8.5490999999999993</v>
      </c>
      <c r="M742" s="11">
        <f>8.5533 * CHOOSE(CONTROL!$C$32, $C$9, 100%, $E$9)</f>
        <v>8.5533000000000001</v>
      </c>
      <c r="N742" s="11">
        <f>8.5491 * CHOOSE(CONTROL!$C$32, $C$9, 100%, $E$9)</f>
        <v>8.5490999999999993</v>
      </c>
      <c r="O742" s="11">
        <f>8.5533 * CHOOSE(CONTROL!$C$32, $C$9, 100%, $E$9)</f>
        <v>8.5533000000000001</v>
      </c>
    </row>
    <row r="743" spans="1:15" ht="15" x14ac:dyDescent="0.2">
      <c r="A743" s="13">
        <v>63463</v>
      </c>
      <c r="B743" s="9">
        <f>10.8535 * CHOOSE(CONTROL!$C$32, $C$9, 100%, $E$9)</f>
        <v>10.8535</v>
      </c>
      <c r="C743" s="9">
        <f>10.8535 * CHOOSE(CONTROL!$C$32, $C$9, 100%, $E$9)</f>
        <v>10.8535</v>
      </c>
      <c r="D743" s="9">
        <f>10.8545 * CHOOSE(CONTROL!$C$32, $C$9, 100%, $E$9)</f>
        <v>10.8545</v>
      </c>
      <c r="E743" s="11">
        <f>8.667 * CHOOSE(CONTROL!$C$32, $C$9, 100%, $E$9)</f>
        <v>8.6669999999999998</v>
      </c>
      <c r="F743" s="11">
        <f>8.667 * CHOOSE(CONTROL!$C$32, $C$9, 100%, $E$9)</f>
        <v>8.6669999999999998</v>
      </c>
      <c r="G743" s="11">
        <f>8.6702 * CHOOSE(CONTROL!$C$32, $C$9, 100%, $E$9)</f>
        <v>8.6701999999999995</v>
      </c>
      <c r="H743" s="11">
        <f>25.2472 * CHOOSE(CONTROL!$C$32, $C$9, 100%, $E$9)</f>
        <v>25.247199999999999</v>
      </c>
      <c r="I743" s="11">
        <f>25.2505 * CHOOSE(CONTROL!$C$32, $C$9, 100%, $E$9)</f>
        <v>25.250499999999999</v>
      </c>
      <c r="J743" s="11">
        <f>25.2472 * CHOOSE(CONTROL!$C$32, $C$9, 100%, $E$9)</f>
        <v>25.247199999999999</v>
      </c>
      <c r="K743" s="11">
        <f>25.2505 * CHOOSE(CONTROL!$C$32, $C$9, 100%, $E$9)</f>
        <v>25.250499999999999</v>
      </c>
      <c r="L743" s="11">
        <f>8.667 * CHOOSE(CONTROL!$C$32, $C$9, 100%, $E$9)</f>
        <v>8.6669999999999998</v>
      </c>
      <c r="M743" s="11">
        <f>8.6702 * CHOOSE(CONTROL!$C$32, $C$9, 100%, $E$9)</f>
        <v>8.6701999999999995</v>
      </c>
      <c r="N743" s="11">
        <f>8.667 * CHOOSE(CONTROL!$C$32, $C$9, 100%, $E$9)</f>
        <v>8.6669999999999998</v>
      </c>
      <c r="O743" s="11">
        <f>8.6702 * CHOOSE(CONTROL!$C$32, $C$9, 100%, $E$9)</f>
        <v>8.6701999999999995</v>
      </c>
    </row>
    <row r="744" spans="1:15" ht="15" x14ac:dyDescent="0.2">
      <c r="A744" s="13">
        <v>63494</v>
      </c>
      <c r="B744" s="9">
        <f>10.8566 * CHOOSE(CONTROL!$C$32, $C$9, 100%, $E$9)</f>
        <v>10.8566</v>
      </c>
      <c r="C744" s="9">
        <f>10.8566 * CHOOSE(CONTROL!$C$32, $C$9, 100%, $E$9)</f>
        <v>10.8566</v>
      </c>
      <c r="D744" s="9">
        <f>10.8575 * CHOOSE(CONTROL!$C$32, $C$9, 100%, $E$9)</f>
        <v>10.8575</v>
      </c>
      <c r="E744" s="11">
        <f>8.7348 * CHOOSE(CONTROL!$C$32, $C$9, 100%, $E$9)</f>
        <v>8.7347999999999999</v>
      </c>
      <c r="F744" s="11">
        <f>8.7348 * CHOOSE(CONTROL!$C$32, $C$9, 100%, $E$9)</f>
        <v>8.7347999999999999</v>
      </c>
      <c r="G744" s="11">
        <f>8.738 * CHOOSE(CONTROL!$C$32, $C$9, 100%, $E$9)</f>
        <v>8.7379999999999995</v>
      </c>
      <c r="H744" s="11">
        <f>25.2998 * CHOOSE(CONTROL!$C$32, $C$9, 100%, $E$9)</f>
        <v>25.299800000000001</v>
      </c>
      <c r="I744" s="11">
        <f>25.3031 * CHOOSE(CONTROL!$C$32, $C$9, 100%, $E$9)</f>
        <v>25.303100000000001</v>
      </c>
      <c r="J744" s="11">
        <f>25.2998 * CHOOSE(CONTROL!$C$32, $C$9, 100%, $E$9)</f>
        <v>25.299800000000001</v>
      </c>
      <c r="K744" s="11">
        <f>25.3031 * CHOOSE(CONTROL!$C$32, $C$9, 100%, $E$9)</f>
        <v>25.303100000000001</v>
      </c>
      <c r="L744" s="11">
        <f>8.7348 * CHOOSE(CONTROL!$C$32, $C$9, 100%, $E$9)</f>
        <v>8.7347999999999999</v>
      </c>
      <c r="M744" s="11">
        <f>8.738 * CHOOSE(CONTROL!$C$32, $C$9, 100%, $E$9)</f>
        <v>8.7379999999999995</v>
      </c>
      <c r="N744" s="11">
        <f>8.7348 * CHOOSE(CONTROL!$C$32, $C$9, 100%, $E$9)</f>
        <v>8.7347999999999999</v>
      </c>
      <c r="O744" s="11">
        <f>8.738 * CHOOSE(CONTROL!$C$32, $C$9, 100%, $E$9)</f>
        <v>8.7379999999999995</v>
      </c>
    </row>
    <row r="745" spans="1:15" ht="15" x14ac:dyDescent="0.2">
      <c r="A745" s="13">
        <v>63524</v>
      </c>
      <c r="B745" s="9">
        <f>10.8566 * CHOOSE(CONTROL!$C$32, $C$9, 100%, $E$9)</f>
        <v>10.8566</v>
      </c>
      <c r="C745" s="9">
        <f>10.8566 * CHOOSE(CONTROL!$C$32, $C$9, 100%, $E$9)</f>
        <v>10.8566</v>
      </c>
      <c r="D745" s="9">
        <f>10.8575 * CHOOSE(CONTROL!$C$32, $C$9, 100%, $E$9)</f>
        <v>10.8575</v>
      </c>
      <c r="E745" s="11">
        <f>8.5707 * CHOOSE(CONTROL!$C$32, $C$9, 100%, $E$9)</f>
        <v>8.5707000000000004</v>
      </c>
      <c r="F745" s="11">
        <f>8.5707 * CHOOSE(CONTROL!$C$32, $C$9, 100%, $E$9)</f>
        <v>8.5707000000000004</v>
      </c>
      <c r="G745" s="11">
        <f>8.5739 * CHOOSE(CONTROL!$C$32, $C$9, 100%, $E$9)</f>
        <v>8.5739000000000001</v>
      </c>
      <c r="H745" s="11">
        <f>25.3525 * CHOOSE(CONTROL!$C$32, $C$9, 100%, $E$9)</f>
        <v>25.352499999999999</v>
      </c>
      <c r="I745" s="11">
        <f>25.3558 * CHOOSE(CONTROL!$C$32, $C$9, 100%, $E$9)</f>
        <v>25.355799999999999</v>
      </c>
      <c r="J745" s="11">
        <f>25.3525 * CHOOSE(CONTROL!$C$32, $C$9, 100%, $E$9)</f>
        <v>25.352499999999999</v>
      </c>
      <c r="K745" s="11">
        <f>25.3558 * CHOOSE(CONTROL!$C$32, $C$9, 100%, $E$9)</f>
        <v>25.355799999999999</v>
      </c>
      <c r="L745" s="11">
        <f>8.5707 * CHOOSE(CONTROL!$C$32, $C$9, 100%, $E$9)</f>
        <v>8.5707000000000004</v>
      </c>
      <c r="M745" s="11">
        <f>8.5739 * CHOOSE(CONTROL!$C$32, $C$9, 100%, $E$9)</f>
        <v>8.5739000000000001</v>
      </c>
      <c r="N745" s="11">
        <f>8.5707 * CHOOSE(CONTROL!$C$32, $C$9, 100%, $E$9)</f>
        <v>8.5707000000000004</v>
      </c>
      <c r="O745" s="11">
        <f>8.5739 * CHOOSE(CONTROL!$C$32, $C$9, 100%, $E$9)</f>
        <v>8.5739000000000001</v>
      </c>
    </row>
    <row r="746" spans="1:15" ht="15" x14ac:dyDescent="0.2">
      <c r="A746" s="13">
        <v>63555</v>
      </c>
      <c r="B746" s="9">
        <f>10.8805 * CHOOSE(CONTROL!$C$32, $C$9, 100%, $E$9)</f>
        <v>10.8805</v>
      </c>
      <c r="C746" s="9">
        <f>10.8805 * CHOOSE(CONTROL!$C$32, $C$9, 100%, $E$9)</f>
        <v>10.8805</v>
      </c>
      <c r="D746" s="9">
        <f>10.8815 * CHOOSE(CONTROL!$C$32, $C$9, 100%, $E$9)</f>
        <v>10.881500000000001</v>
      </c>
      <c r="E746" s="11">
        <f>8.7099 * CHOOSE(CONTROL!$C$32, $C$9, 100%, $E$9)</f>
        <v>8.7098999999999993</v>
      </c>
      <c r="F746" s="11">
        <f>8.7099 * CHOOSE(CONTROL!$C$32, $C$9, 100%, $E$9)</f>
        <v>8.7098999999999993</v>
      </c>
      <c r="G746" s="11">
        <f>8.7132 * CHOOSE(CONTROL!$C$32, $C$9, 100%, $E$9)</f>
        <v>8.7132000000000005</v>
      </c>
      <c r="H746" s="11">
        <f>25.2503 * CHOOSE(CONTROL!$C$32, $C$9, 100%, $E$9)</f>
        <v>25.250299999999999</v>
      </c>
      <c r="I746" s="11">
        <f>25.2536 * CHOOSE(CONTROL!$C$32, $C$9, 100%, $E$9)</f>
        <v>25.253599999999999</v>
      </c>
      <c r="J746" s="11">
        <f>25.2503 * CHOOSE(CONTROL!$C$32, $C$9, 100%, $E$9)</f>
        <v>25.250299999999999</v>
      </c>
      <c r="K746" s="11">
        <f>25.2536 * CHOOSE(CONTROL!$C$32, $C$9, 100%, $E$9)</f>
        <v>25.253599999999999</v>
      </c>
      <c r="L746" s="11">
        <f>8.7099 * CHOOSE(CONTROL!$C$32, $C$9, 100%, $E$9)</f>
        <v>8.7098999999999993</v>
      </c>
      <c r="M746" s="11">
        <f>8.7132 * CHOOSE(CONTROL!$C$32, $C$9, 100%, $E$9)</f>
        <v>8.7132000000000005</v>
      </c>
      <c r="N746" s="11">
        <f>8.7099 * CHOOSE(CONTROL!$C$32, $C$9, 100%, $E$9)</f>
        <v>8.7098999999999993</v>
      </c>
      <c r="O746" s="11">
        <f>8.7132 * CHOOSE(CONTROL!$C$32, $C$9, 100%, $E$9)</f>
        <v>8.7132000000000005</v>
      </c>
    </row>
    <row r="747" spans="1:15" ht="15" x14ac:dyDescent="0.2">
      <c r="A747" s="13">
        <v>63586</v>
      </c>
      <c r="B747" s="9">
        <f>10.8775 * CHOOSE(CONTROL!$C$32, $C$9, 100%, $E$9)</f>
        <v>10.8775</v>
      </c>
      <c r="C747" s="9">
        <f>10.8775 * CHOOSE(CONTROL!$C$32, $C$9, 100%, $E$9)</f>
        <v>10.8775</v>
      </c>
      <c r="D747" s="9">
        <f>10.8784 * CHOOSE(CONTROL!$C$32, $C$9, 100%, $E$9)</f>
        <v>10.878399999999999</v>
      </c>
      <c r="E747" s="11">
        <f>8.3906 * CHOOSE(CONTROL!$C$32, $C$9, 100%, $E$9)</f>
        <v>8.3905999999999992</v>
      </c>
      <c r="F747" s="11">
        <f>8.3906 * CHOOSE(CONTROL!$C$32, $C$9, 100%, $E$9)</f>
        <v>8.3905999999999992</v>
      </c>
      <c r="G747" s="11">
        <f>8.3938 * CHOOSE(CONTROL!$C$32, $C$9, 100%, $E$9)</f>
        <v>8.3938000000000006</v>
      </c>
      <c r="H747" s="11">
        <f>25.3029 * CHOOSE(CONTROL!$C$32, $C$9, 100%, $E$9)</f>
        <v>25.302900000000001</v>
      </c>
      <c r="I747" s="11">
        <f>25.3062 * CHOOSE(CONTROL!$C$32, $C$9, 100%, $E$9)</f>
        <v>25.3062</v>
      </c>
      <c r="J747" s="11">
        <f>25.3029 * CHOOSE(CONTROL!$C$32, $C$9, 100%, $E$9)</f>
        <v>25.302900000000001</v>
      </c>
      <c r="K747" s="11">
        <f>25.3062 * CHOOSE(CONTROL!$C$32, $C$9, 100%, $E$9)</f>
        <v>25.3062</v>
      </c>
      <c r="L747" s="11">
        <f>8.3906 * CHOOSE(CONTROL!$C$32, $C$9, 100%, $E$9)</f>
        <v>8.3905999999999992</v>
      </c>
      <c r="M747" s="11">
        <f>8.3938 * CHOOSE(CONTROL!$C$32, $C$9, 100%, $E$9)</f>
        <v>8.3938000000000006</v>
      </c>
      <c r="N747" s="11">
        <f>8.3906 * CHOOSE(CONTROL!$C$32, $C$9, 100%, $E$9)</f>
        <v>8.3905999999999992</v>
      </c>
      <c r="O747" s="11">
        <f>8.3938 * CHOOSE(CONTROL!$C$32, $C$9, 100%, $E$9)</f>
        <v>8.3938000000000006</v>
      </c>
    </row>
    <row r="748" spans="1:15" ht="15" x14ac:dyDescent="0.2">
      <c r="A748" s="13">
        <v>63614</v>
      </c>
      <c r="B748" s="9">
        <f>10.8744 * CHOOSE(CONTROL!$C$32, $C$9, 100%, $E$9)</f>
        <v>10.8744</v>
      </c>
      <c r="C748" s="9">
        <f>10.8744 * CHOOSE(CONTROL!$C$32, $C$9, 100%, $E$9)</f>
        <v>10.8744</v>
      </c>
      <c r="D748" s="9">
        <f>10.8754 * CHOOSE(CONTROL!$C$32, $C$9, 100%, $E$9)</f>
        <v>10.875400000000001</v>
      </c>
      <c r="E748" s="11">
        <f>8.6385 * CHOOSE(CONTROL!$C$32, $C$9, 100%, $E$9)</f>
        <v>8.6385000000000005</v>
      </c>
      <c r="F748" s="11">
        <f>8.6385 * CHOOSE(CONTROL!$C$32, $C$9, 100%, $E$9)</f>
        <v>8.6385000000000005</v>
      </c>
      <c r="G748" s="11">
        <f>8.6418 * CHOOSE(CONTROL!$C$32, $C$9, 100%, $E$9)</f>
        <v>8.6417999999999999</v>
      </c>
      <c r="H748" s="11">
        <f>25.3556 * CHOOSE(CONTROL!$C$32, $C$9, 100%, $E$9)</f>
        <v>25.355599999999999</v>
      </c>
      <c r="I748" s="11">
        <f>25.3589 * CHOOSE(CONTROL!$C$32, $C$9, 100%, $E$9)</f>
        <v>25.358899999999998</v>
      </c>
      <c r="J748" s="11">
        <f>25.3556 * CHOOSE(CONTROL!$C$32, $C$9, 100%, $E$9)</f>
        <v>25.355599999999999</v>
      </c>
      <c r="K748" s="11">
        <f>25.3589 * CHOOSE(CONTROL!$C$32, $C$9, 100%, $E$9)</f>
        <v>25.358899999999998</v>
      </c>
      <c r="L748" s="11">
        <f>8.6385 * CHOOSE(CONTROL!$C$32, $C$9, 100%, $E$9)</f>
        <v>8.6385000000000005</v>
      </c>
      <c r="M748" s="11">
        <f>8.6418 * CHOOSE(CONTROL!$C$32, $C$9, 100%, $E$9)</f>
        <v>8.6417999999999999</v>
      </c>
      <c r="N748" s="11">
        <f>8.6385 * CHOOSE(CONTROL!$C$32, $C$9, 100%, $E$9)</f>
        <v>8.6385000000000005</v>
      </c>
      <c r="O748" s="11">
        <f>8.6418 * CHOOSE(CONTROL!$C$32, $C$9, 100%, $E$9)</f>
        <v>8.6417999999999999</v>
      </c>
    </row>
    <row r="749" spans="1:15" ht="15" x14ac:dyDescent="0.2">
      <c r="A749" s="13">
        <v>63645</v>
      </c>
      <c r="B749" s="9">
        <f>10.8787 * CHOOSE(CONTROL!$C$32, $C$9, 100%, $E$9)</f>
        <v>10.8787</v>
      </c>
      <c r="C749" s="9">
        <f>10.8787 * CHOOSE(CONTROL!$C$32, $C$9, 100%, $E$9)</f>
        <v>10.8787</v>
      </c>
      <c r="D749" s="9">
        <f>10.8797 * CHOOSE(CONTROL!$C$32, $C$9, 100%, $E$9)</f>
        <v>10.8797</v>
      </c>
      <c r="E749" s="11">
        <f>8.9029 * CHOOSE(CONTROL!$C$32, $C$9, 100%, $E$9)</f>
        <v>8.9029000000000007</v>
      </c>
      <c r="F749" s="11">
        <f>8.9029 * CHOOSE(CONTROL!$C$32, $C$9, 100%, $E$9)</f>
        <v>8.9029000000000007</v>
      </c>
      <c r="G749" s="11">
        <f>8.9061 * CHOOSE(CONTROL!$C$32, $C$9, 100%, $E$9)</f>
        <v>8.9061000000000003</v>
      </c>
      <c r="H749" s="11">
        <f>25.4085 * CHOOSE(CONTROL!$C$32, $C$9, 100%, $E$9)</f>
        <v>25.4085</v>
      </c>
      <c r="I749" s="11">
        <f>25.4117 * CHOOSE(CONTROL!$C$32, $C$9, 100%, $E$9)</f>
        <v>25.4117</v>
      </c>
      <c r="J749" s="11">
        <f>25.4085 * CHOOSE(CONTROL!$C$32, $C$9, 100%, $E$9)</f>
        <v>25.4085</v>
      </c>
      <c r="K749" s="11">
        <f>25.4117 * CHOOSE(CONTROL!$C$32, $C$9, 100%, $E$9)</f>
        <v>25.4117</v>
      </c>
      <c r="L749" s="11">
        <f>8.9029 * CHOOSE(CONTROL!$C$32, $C$9, 100%, $E$9)</f>
        <v>8.9029000000000007</v>
      </c>
      <c r="M749" s="11">
        <f>8.9061 * CHOOSE(CONTROL!$C$32, $C$9, 100%, $E$9)</f>
        <v>8.9061000000000003</v>
      </c>
      <c r="N749" s="11">
        <f>8.9029 * CHOOSE(CONTROL!$C$32, $C$9, 100%, $E$9)</f>
        <v>8.9029000000000007</v>
      </c>
      <c r="O749" s="11">
        <f>8.9061 * CHOOSE(CONTROL!$C$32, $C$9, 100%, $E$9)</f>
        <v>8.9061000000000003</v>
      </c>
    </row>
    <row r="750" spans="1:15" ht="15" x14ac:dyDescent="0.2">
      <c r="A750" s="13">
        <v>63675</v>
      </c>
      <c r="B750" s="9">
        <f>10.8787 * CHOOSE(CONTROL!$C$32, $C$9, 100%, $E$9)</f>
        <v>10.8787</v>
      </c>
      <c r="C750" s="9">
        <f>10.8787 * CHOOSE(CONTROL!$C$32, $C$9, 100%, $E$9)</f>
        <v>10.8787</v>
      </c>
      <c r="D750" s="9">
        <f>10.88 * CHOOSE(CONTROL!$C$32, $C$9, 100%, $E$9)</f>
        <v>10.88</v>
      </c>
      <c r="E750" s="11">
        <f>9.0036 * CHOOSE(CONTROL!$C$32, $C$9, 100%, $E$9)</f>
        <v>9.0036000000000005</v>
      </c>
      <c r="F750" s="11">
        <f>9.0036 * CHOOSE(CONTROL!$C$32, $C$9, 100%, $E$9)</f>
        <v>9.0036000000000005</v>
      </c>
      <c r="G750" s="11">
        <f>9.0078 * CHOOSE(CONTROL!$C$32, $C$9, 100%, $E$9)</f>
        <v>9.0077999999999996</v>
      </c>
      <c r="H750" s="11">
        <f>25.4614 * CHOOSE(CONTROL!$C$32, $C$9, 100%, $E$9)</f>
        <v>25.461400000000001</v>
      </c>
      <c r="I750" s="11">
        <f>25.4656 * CHOOSE(CONTROL!$C$32, $C$9, 100%, $E$9)</f>
        <v>25.465599999999998</v>
      </c>
      <c r="J750" s="11">
        <f>25.4614 * CHOOSE(CONTROL!$C$32, $C$9, 100%, $E$9)</f>
        <v>25.461400000000001</v>
      </c>
      <c r="K750" s="11">
        <f>25.4656 * CHOOSE(CONTROL!$C$32, $C$9, 100%, $E$9)</f>
        <v>25.465599999999998</v>
      </c>
      <c r="L750" s="11">
        <f>9.0036 * CHOOSE(CONTROL!$C$32, $C$9, 100%, $E$9)</f>
        <v>9.0036000000000005</v>
      </c>
      <c r="M750" s="11">
        <f>9.0078 * CHOOSE(CONTROL!$C$32, $C$9, 100%, $E$9)</f>
        <v>9.0077999999999996</v>
      </c>
      <c r="N750" s="11">
        <f>9.0036 * CHOOSE(CONTROL!$C$32, $C$9, 100%, $E$9)</f>
        <v>9.0036000000000005</v>
      </c>
      <c r="O750" s="11">
        <f>9.0078 * CHOOSE(CONTROL!$C$32, $C$9, 100%, $E$9)</f>
        <v>9.0077999999999996</v>
      </c>
    </row>
    <row r="751" spans="1:15" ht="15" x14ac:dyDescent="0.2">
      <c r="A751" s="13">
        <v>63706</v>
      </c>
      <c r="B751" s="9">
        <f>10.8848 * CHOOSE(CONTROL!$C$32, $C$9, 100%, $E$9)</f>
        <v>10.8848</v>
      </c>
      <c r="C751" s="9">
        <f>10.8848 * CHOOSE(CONTROL!$C$32, $C$9, 100%, $E$9)</f>
        <v>10.8848</v>
      </c>
      <c r="D751" s="9">
        <f>10.8861 * CHOOSE(CONTROL!$C$32, $C$9, 100%, $E$9)</f>
        <v>10.886100000000001</v>
      </c>
      <c r="E751" s="11">
        <f>8.9071 * CHOOSE(CONTROL!$C$32, $C$9, 100%, $E$9)</f>
        <v>8.9070999999999998</v>
      </c>
      <c r="F751" s="11">
        <f>8.9071 * CHOOSE(CONTROL!$C$32, $C$9, 100%, $E$9)</f>
        <v>8.9070999999999998</v>
      </c>
      <c r="G751" s="11">
        <f>8.9113 * CHOOSE(CONTROL!$C$32, $C$9, 100%, $E$9)</f>
        <v>8.9113000000000007</v>
      </c>
      <c r="H751" s="11">
        <f>25.5145 * CHOOSE(CONTROL!$C$32, $C$9, 100%, $E$9)</f>
        <v>25.514500000000002</v>
      </c>
      <c r="I751" s="11">
        <f>25.5187 * CHOOSE(CONTROL!$C$32, $C$9, 100%, $E$9)</f>
        <v>25.518699999999999</v>
      </c>
      <c r="J751" s="11">
        <f>25.5145 * CHOOSE(CONTROL!$C$32, $C$9, 100%, $E$9)</f>
        <v>25.514500000000002</v>
      </c>
      <c r="K751" s="11">
        <f>25.5187 * CHOOSE(CONTROL!$C$32, $C$9, 100%, $E$9)</f>
        <v>25.518699999999999</v>
      </c>
      <c r="L751" s="11">
        <f>8.9071 * CHOOSE(CONTROL!$C$32, $C$9, 100%, $E$9)</f>
        <v>8.9070999999999998</v>
      </c>
      <c r="M751" s="11">
        <f>8.9113 * CHOOSE(CONTROL!$C$32, $C$9, 100%, $E$9)</f>
        <v>8.9113000000000007</v>
      </c>
      <c r="N751" s="11">
        <f>8.9071 * CHOOSE(CONTROL!$C$32, $C$9, 100%, $E$9)</f>
        <v>8.9070999999999998</v>
      </c>
      <c r="O751" s="11">
        <f>8.9113 * CHOOSE(CONTROL!$C$32, $C$9, 100%, $E$9)</f>
        <v>8.9113000000000007</v>
      </c>
    </row>
    <row r="752" spans="1:15" ht="15" x14ac:dyDescent="0.2">
      <c r="A752" s="13">
        <v>63736</v>
      </c>
      <c r="B752" s="9">
        <f>11.0189 * CHOOSE(CONTROL!$C$32, $C$9, 100%, $E$9)</f>
        <v>11.0189</v>
      </c>
      <c r="C752" s="9">
        <f>11.0189 * CHOOSE(CONTROL!$C$32, $C$9, 100%, $E$9)</f>
        <v>11.0189</v>
      </c>
      <c r="D752" s="9">
        <f>11.0202 * CHOOSE(CONTROL!$C$32, $C$9, 100%, $E$9)</f>
        <v>11.020200000000001</v>
      </c>
      <c r="E752" s="11">
        <f>8.9578 * CHOOSE(CONTROL!$C$32, $C$9, 100%, $E$9)</f>
        <v>8.9578000000000007</v>
      </c>
      <c r="F752" s="11">
        <f>8.9578 * CHOOSE(CONTROL!$C$32, $C$9, 100%, $E$9)</f>
        <v>8.9578000000000007</v>
      </c>
      <c r="G752" s="11">
        <f>8.962 * CHOOSE(CONTROL!$C$32, $C$9, 100%, $E$9)</f>
        <v>8.9619999999999997</v>
      </c>
      <c r="H752" s="11">
        <f>25.5676 * CHOOSE(CONTROL!$C$32, $C$9, 100%, $E$9)</f>
        <v>25.567599999999999</v>
      </c>
      <c r="I752" s="11">
        <f>25.5718 * CHOOSE(CONTROL!$C$32, $C$9, 100%, $E$9)</f>
        <v>25.5718</v>
      </c>
      <c r="J752" s="11">
        <f>25.5676 * CHOOSE(CONTROL!$C$32, $C$9, 100%, $E$9)</f>
        <v>25.567599999999999</v>
      </c>
      <c r="K752" s="11">
        <f>25.5718 * CHOOSE(CONTROL!$C$32, $C$9, 100%, $E$9)</f>
        <v>25.5718</v>
      </c>
      <c r="L752" s="11">
        <f>8.9578 * CHOOSE(CONTROL!$C$32, $C$9, 100%, $E$9)</f>
        <v>8.9578000000000007</v>
      </c>
      <c r="M752" s="11">
        <f>8.962 * CHOOSE(CONTROL!$C$32, $C$9, 100%, $E$9)</f>
        <v>8.9619999999999997</v>
      </c>
      <c r="N752" s="11">
        <f>8.9578 * CHOOSE(CONTROL!$C$32, $C$9, 100%, $E$9)</f>
        <v>8.9578000000000007</v>
      </c>
      <c r="O752" s="11">
        <f>8.962 * CHOOSE(CONTROL!$C$32, $C$9, 100%, $E$9)</f>
        <v>8.9619999999999997</v>
      </c>
    </row>
    <row r="753" spans="1:15" ht="15" x14ac:dyDescent="0.2">
      <c r="A753" s="13">
        <v>63767</v>
      </c>
      <c r="B753" s="9">
        <f>11.0256 * CHOOSE(CONTROL!$C$32, $C$9, 100%, $E$9)</f>
        <v>11.025600000000001</v>
      </c>
      <c r="C753" s="9">
        <f>11.0256 * CHOOSE(CONTROL!$C$32, $C$9, 100%, $E$9)</f>
        <v>11.025600000000001</v>
      </c>
      <c r="D753" s="9">
        <f>11.0268 * CHOOSE(CONTROL!$C$32, $C$9, 100%, $E$9)</f>
        <v>11.0268</v>
      </c>
      <c r="E753" s="11">
        <f>8.6602 * CHOOSE(CONTROL!$C$32, $C$9, 100%, $E$9)</f>
        <v>8.6601999999999997</v>
      </c>
      <c r="F753" s="11">
        <f>8.6602 * CHOOSE(CONTROL!$C$32, $C$9, 100%, $E$9)</f>
        <v>8.6601999999999997</v>
      </c>
      <c r="G753" s="11">
        <f>8.6644 * CHOOSE(CONTROL!$C$32, $C$9, 100%, $E$9)</f>
        <v>8.6644000000000005</v>
      </c>
      <c r="H753" s="11">
        <f>25.6209 * CHOOSE(CONTROL!$C$32, $C$9, 100%, $E$9)</f>
        <v>25.620899999999999</v>
      </c>
      <c r="I753" s="11">
        <f>25.6251 * CHOOSE(CONTROL!$C$32, $C$9, 100%, $E$9)</f>
        <v>25.6251</v>
      </c>
      <c r="J753" s="11">
        <f>25.6209 * CHOOSE(CONTROL!$C$32, $C$9, 100%, $E$9)</f>
        <v>25.620899999999999</v>
      </c>
      <c r="K753" s="11">
        <f>25.6251 * CHOOSE(CONTROL!$C$32, $C$9, 100%, $E$9)</f>
        <v>25.6251</v>
      </c>
      <c r="L753" s="11">
        <f>8.6602 * CHOOSE(CONTROL!$C$32, $C$9, 100%, $E$9)</f>
        <v>8.6601999999999997</v>
      </c>
      <c r="M753" s="11">
        <f>8.6644 * CHOOSE(CONTROL!$C$32, $C$9, 100%, $E$9)</f>
        <v>8.6644000000000005</v>
      </c>
      <c r="N753" s="11">
        <f>8.6602 * CHOOSE(CONTROL!$C$32, $C$9, 100%, $E$9)</f>
        <v>8.6601999999999997</v>
      </c>
      <c r="O753" s="11">
        <f>8.6644 * CHOOSE(CONTROL!$C$32, $C$9, 100%, $E$9)</f>
        <v>8.6644000000000005</v>
      </c>
    </row>
    <row r="754" spans="1:15" ht="15" x14ac:dyDescent="0.2">
      <c r="A754" s="13">
        <v>63798</v>
      </c>
      <c r="B754" s="9">
        <f>11.0226 * CHOOSE(CONTROL!$C$32, $C$9, 100%, $E$9)</f>
        <v>11.022600000000001</v>
      </c>
      <c r="C754" s="9">
        <f>11.0226 * CHOOSE(CONTROL!$C$32, $C$9, 100%, $E$9)</f>
        <v>11.022600000000001</v>
      </c>
      <c r="D754" s="9">
        <f>11.0238 * CHOOSE(CONTROL!$C$32, $C$9, 100%, $E$9)</f>
        <v>11.0238</v>
      </c>
      <c r="E754" s="11">
        <f>8.6245 * CHOOSE(CONTROL!$C$32, $C$9, 100%, $E$9)</f>
        <v>8.6244999999999994</v>
      </c>
      <c r="F754" s="11">
        <f>8.6245 * CHOOSE(CONTROL!$C$32, $C$9, 100%, $E$9)</f>
        <v>8.6244999999999994</v>
      </c>
      <c r="G754" s="11">
        <f>8.6288 * CHOOSE(CONTROL!$C$32, $C$9, 100%, $E$9)</f>
        <v>8.6288</v>
      </c>
      <c r="H754" s="11">
        <f>25.6743 * CHOOSE(CONTROL!$C$32, $C$9, 100%, $E$9)</f>
        <v>25.674299999999999</v>
      </c>
      <c r="I754" s="11">
        <f>25.6785 * CHOOSE(CONTROL!$C$32, $C$9, 100%, $E$9)</f>
        <v>25.6785</v>
      </c>
      <c r="J754" s="11">
        <f>25.6743 * CHOOSE(CONTROL!$C$32, $C$9, 100%, $E$9)</f>
        <v>25.674299999999999</v>
      </c>
      <c r="K754" s="11">
        <f>25.6785 * CHOOSE(CONTROL!$C$32, $C$9, 100%, $E$9)</f>
        <v>25.6785</v>
      </c>
      <c r="L754" s="11">
        <f>8.6245 * CHOOSE(CONTROL!$C$32, $C$9, 100%, $E$9)</f>
        <v>8.6244999999999994</v>
      </c>
      <c r="M754" s="11">
        <f>8.6288 * CHOOSE(CONTROL!$C$32, $C$9, 100%, $E$9)</f>
        <v>8.6288</v>
      </c>
      <c r="N754" s="11">
        <f>8.6245 * CHOOSE(CONTROL!$C$32, $C$9, 100%, $E$9)</f>
        <v>8.6244999999999994</v>
      </c>
      <c r="O754" s="11">
        <f>8.6288 * CHOOSE(CONTROL!$C$32, $C$9, 100%, $E$9)</f>
        <v>8.6288</v>
      </c>
    </row>
    <row r="755" spans="1:15" ht="15" x14ac:dyDescent="0.2">
      <c r="A755" s="13">
        <v>63828</v>
      </c>
      <c r="B755" s="9">
        <f>11.0438 * CHOOSE(CONTROL!$C$32, $C$9, 100%, $E$9)</f>
        <v>11.043799999999999</v>
      </c>
      <c r="C755" s="9">
        <f>11.0438 * CHOOSE(CONTROL!$C$32, $C$9, 100%, $E$9)</f>
        <v>11.043799999999999</v>
      </c>
      <c r="D755" s="9">
        <f>11.0448 * CHOOSE(CONTROL!$C$32, $C$9, 100%, $E$9)</f>
        <v>11.0448</v>
      </c>
      <c r="E755" s="11">
        <f>8.7454 * CHOOSE(CONTROL!$C$32, $C$9, 100%, $E$9)</f>
        <v>8.7454000000000001</v>
      </c>
      <c r="F755" s="11">
        <f>8.7454 * CHOOSE(CONTROL!$C$32, $C$9, 100%, $E$9)</f>
        <v>8.7454000000000001</v>
      </c>
      <c r="G755" s="11">
        <f>8.7487 * CHOOSE(CONTROL!$C$32, $C$9, 100%, $E$9)</f>
        <v>8.7486999999999995</v>
      </c>
      <c r="H755" s="11">
        <f>25.7277 * CHOOSE(CONTROL!$C$32, $C$9, 100%, $E$9)</f>
        <v>25.727699999999999</v>
      </c>
      <c r="I755" s="11">
        <f>25.731 * CHOOSE(CONTROL!$C$32, $C$9, 100%, $E$9)</f>
        <v>25.731000000000002</v>
      </c>
      <c r="J755" s="11">
        <f>25.7277 * CHOOSE(CONTROL!$C$32, $C$9, 100%, $E$9)</f>
        <v>25.727699999999999</v>
      </c>
      <c r="K755" s="11">
        <f>25.731 * CHOOSE(CONTROL!$C$32, $C$9, 100%, $E$9)</f>
        <v>25.731000000000002</v>
      </c>
      <c r="L755" s="11">
        <f>8.7454 * CHOOSE(CONTROL!$C$32, $C$9, 100%, $E$9)</f>
        <v>8.7454000000000001</v>
      </c>
      <c r="M755" s="11">
        <f>8.7487 * CHOOSE(CONTROL!$C$32, $C$9, 100%, $E$9)</f>
        <v>8.7486999999999995</v>
      </c>
      <c r="N755" s="11">
        <f>8.7454 * CHOOSE(CONTROL!$C$32, $C$9, 100%, $E$9)</f>
        <v>8.7454000000000001</v>
      </c>
      <c r="O755" s="11">
        <f>8.7487 * CHOOSE(CONTROL!$C$32, $C$9, 100%, $E$9)</f>
        <v>8.7486999999999995</v>
      </c>
    </row>
    <row r="756" spans="1:15" ht="15" x14ac:dyDescent="0.2">
      <c r="A756" s="13">
        <v>63859</v>
      </c>
      <c r="B756" s="9">
        <f>11.0469 * CHOOSE(CONTROL!$C$32, $C$9, 100%, $E$9)</f>
        <v>11.046900000000001</v>
      </c>
      <c r="C756" s="9">
        <f>11.0469 * CHOOSE(CONTROL!$C$32, $C$9, 100%, $E$9)</f>
        <v>11.046900000000001</v>
      </c>
      <c r="D756" s="9">
        <f>11.0478 * CHOOSE(CONTROL!$C$32, $C$9, 100%, $E$9)</f>
        <v>11.047800000000001</v>
      </c>
      <c r="E756" s="11">
        <f>8.8147 * CHOOSE(CONTROL!$C$32, $C$9, 100%, $E$9)</f>
        <v>8.8147000000000002</v>
      </c>
      <c r="F756" s="11">
        <f>8.8147 * CHOOSE(CONTROL!$C$32, $C$9, 100%, $E$9)</f>
        <v>8.8147000000000002</v>
      </c>
      <c r="G756" s="11">
        <f>8.8179 * CHOOSE(CONTROL!$C$32, $C$9, 100%, $E$9)</f>
        <v>8.8178999999999998</v>
      </c>
      <c r="H756" s="11">
        <f>25.7813 * CHOOSE(CONTROL!$C$32, $C$9, 100%, $E$9)</f>
        <v>25.781300000000002</v>
      </c>
      <c r="I756" s="11">
        <f>25.7846 * CHOOSE(CONTROL!$C$32, $C$9, 100%, $E$9)</f>
        <v>25.784600000000001</v>
      </c>
      <c r="J756" s="11">
        <f>25.7813 * CHOOSE(CONTROL!$C$32, $C$9, 100%, $E$9)</f>
        <v>25.781300000000002</v>
      </c>
      <c r="K756" s="11">
        <f>25.7846 * CHOOSE(CONTROL!$C$32, $C$9, 100%, $E$9)</f>
        <v>25.784600000000001</v>
      </c>
      <c r="L756" s="11">
        <f>8.8147 * CHOOSE(CONTROL!$C$32, $C$9, 100%, $E$9)</f>
        <v>8.8147000000000002</v>
      </c>
      <c r="M756" s="11">
        <f>8.8179 * CHOOSE(CONTROL!$C$32, $C$9, 100%, $E$9)</f>
        <v>8.8178999999999998</v>
      </c>
      <c r="N756" s="11">
        <f>8.8147 * CHOOSE(CONTROL!$C$32, $C$9, 100%, $E$9)</f>
        <v>8.8147000000000002</v>
      </c>
      <c r="O756" s="11">
        <f>8.8179 * CHOOSE(CONTROL!$C$32, $C$9, 100%, $E$9)</f>
        <v>8.8178999999999998</v>
      </c>
    </row>
    <row r="757" spans="1:15" ht="15" x14ac:dyDescent="0.2">
      <c r="A757" s="13">
        <v>63889</v>
      </c>
      <c r="B757" s="9">
        <f>11.0469 * CHOOSE(CONTROL!$C$32, $C$9, 100%, $E$9)</f>
        <v>11.046900000000001</v>
      </c>
      <c r="C757" s="9">
        <f>11.0469 * CHOOSE(CONTROL!$C$32, $C$9, 100%, $E$9)</f>
        <v>11.046900000000001</v>
      </c>
      <c r="D757" s="9">
        <f>11.0478 * CHOOSE(CONTROL!$C$32, $C$9, 100%, $E$9)</f>
        <v>11.047800000000001</v>
      </c>
      <c r="E757" s="11">
        <f>8.6468 * CHOOSE(CONTROL!$C$32, $C$9, 100%, $E$9)</f>
        <v>8.6468000000000007</v>
      </c>
      <c r="F757" s="11">
        <f>8.6468 * CHOOSE(CONTROL!$C$32, $C$9, 100%, $E$9)</f>
        <v>8.6468000000000007</v>
      </c>
      <c r="G757" s="11">
        <f>8.6501 * CHOOSE(CONTROL!$C$32, $C$9, 100%, $E$9)</f>
        <v>8.6501000000000001</v>
      </c>
      <c r="H757" s="11">
        <f>25.835 * CHOOSE(CONTROL!$C$32, $C$9, 100%, $E$9)</f>
        <v>25.835000000000001</v>
      </c>
      <c r="I757" s="11">
        <f>25.8383 * CHOOSE(CONTROL!$C$32, $C$9, 100%, $E$9)</f>
        <v>25.8383</v>
      </c>
      <c r="J757" s="11">
        <f>25.835 * CHOOSE(CONTROL!$C$32, $C$9, 100%, $E$9)</f>
        <v>25.835000000000001</v>
      </c>
      <c r="K757" s="11">
        <f>25.8383 * CHOOSE(CONTROL!$C$32, $C$9, 100%, $E$9)</f>
        <v>25.8383</v>
      </c>
      <c r="L757" s="11">
        <f>8.6468 * CHOOSE(CONTROL!$C$32, $C$9, 100%, $E$9)</f>
        <v>8.6468000000000007</v>
      </c>
      <c r="M757" s="11">
        <f>8.6501 * CHOOSE(CONTROL!$C$32, $C$9, 100%, $E$9)</f>
        <v>8.6501000000000001</v>
      </c>
      <c r="N757" s="11">
        <f>8.6468 * CHOOSE(CONTROL!$C$32, $C$9, 100%, $E$9)</f>
        <v>8.6468000000000007</v>
      </c>
      <c r="O757" s="11">
        <f>8.6501 * CHOOSE(CONTROL!$C$32, $C$9, 100%, $E$9)</f>
        <v>8.6501000000000001</v>
      </c>
    </row>
    <row r="758" spans="1:15" ht="15" x14ac:dyDescent="0.2">
      <c r="A758" s="13">
        <v>63920</v>
      </c>
      <c r="B758" s="9">
        <f>11.0679 * CHOOSE(CONTROL!$C$32, $C$9, 100%, $E$9)</f>
        <v>11.0679</v>
      </c>
      <c r="C758" s="9">
        <f>11.0679 * CHOOSE(CONTROL!$C$32, $C$9, 100%, $E$9)</f>
        <v>11.0679</v>
      </c>
      <c r="D758" s="9">
        <f>11.0688 * CHOOSE(CONTROL!$C$32, $C$9, 100%, $E$9)</f>
        <v>11.0688</v>
      </c>
      <c r="E758" s="11">
        <f>8.7872 * CHOOSE(CONTROL!$C$32, $C$9, 100%, $E$9)</f>
        <v>8.7872000000000003</v>
      </c>
      <c r="F758" s="11">
        <f>8.7872 * CHOOSE(CONTROL!$C$32, $C$9, 100%, $E$9)</f>
        <v>8.7872000000000003</v>
      </c>
      <c r="G758" s="11">
        <f>8.7904 * CHOOSE(CONTROL!$C$32, $C$9, 100%, $E$9)</f>
        <v>8.7904</v>
      </c>
      <c r="H758" s="11">
        <f>25.7219 * CHOOSE(CONTROL!$C$32, $C$9, 100%, $E$9)</f>
        <v>25.721900000000002</v>
      </c>
      <c r="I758" s="11">
        <f>25.7251 * CHOOSE(CONTROL!$C$32, $C$9, 100%, $E$9)</f>
        <v>25.725100000000001</v>
      </c>
      <c r="J758" s="11">
        <f>25.7219 * CHOOSE(CONTROL!$C$32, $C$9, 100%, $E$9)</f>
        <v>25.721900000000002</v>
      </c>
      <c r="K758" s="11">
        <f>25.7251 * CHOOSE(CONTROL!$C$32, $C$9, 100%, $E$9)</f>
        <v>25.725100000000001</v>
      </c>
      <c r="L758" s="11">
        <f>8.7872 * CHOOSE(CONTROL!$C$32, $C$9, 100%, $E$9)</f>
        <v>8.7872000000000003</v>
      </c>
      <c r="M758" s="11">
        <f>8.7904 * CHOOSE(CONTROL!$C$32, $C$9, 100%, $E$9)</f>
        <v>8.7904</v>
      </c>
      <c r="N758" s="11">
        <f>8.7872 * CHOOSE(CONTROL!$C$32, $C$9, 100%, $E$9)</f>
        <v>8.7872000000000003</v>
      </c>
      <c r="O758" s="11">
        <f>8.7904 * CHOOSE(CONTROL!$C$32, $C$9, 100%, $E$9)</f>
        <v>8.7904</v>
      </c>
    </row>
    <row r="759" spans="1:15" ht="15" x14ac:dyDescent="0.2">
      <c r="A759" s="13">
        <v>63951</v>
      </c>
      <c r="B759" s="9">
        <f>11.0648 * CHOOSE(CONTROL!$C$32, $C$9, 100%, $E$9)</f>
        <v>11.0648</v>
      </c>
      <c r="C759" s="9">
        <f>11.0648 * CHOOSE(CONTROL!$C$32, $C$9, 100%, $E$9)</f>
        <v>11.0648</v>
      </c>
      <c r="D759" s="9">
        <f>11.0658 * CHOOSE(CONTROL!$C$32, $C$9, 100%, $E$9)</f>
        <v>11.065799999999999</v>
      </c>
      <c r="E759" s="11">
        <f>8.4608 * CHOOSE(CONTROL!$C$32, $C$9, 100%, $E$9)</f>
        <v>8.4608000000000008</v>
      </c>
      <c r="F759" s="11">
        <f>8.4608 * CHOOSE(CONTROL!$C$32, $C$9, 100%, $E$9)</f>
        <v>8.4608000000000008</v>
      </c>
      <c r="G759" s="11">
        <f>8.464 * CHOOSE(CONTROL!$C$32, $C$9, 100%, $E$9)</f>
        <v>8.4640000000000004</v>
      </c>
      <c r="H759" s="11">
        <f>25.7755 * CHOOSE(CONTROL!$C$32, $C$9, 100%, $E$9)</f>
        <v>25.775500000000001</v>
      </c>
      <c r="I759" s="11">
        <f>25.7787 * CHOOSE(CONTROL!$C$32, $C$9, 100%, $E$9)</f>
        <v>25.778700000000001</v>
      </c>
      <c r="J759" s="11">
        <f>25.7755 * CHOOSE(CONTROL!$C$32, $C$9, 100%, $E$9)</f>
        <v>25.775500000000001</v>
      </c>
      <c r="K759" s="11">
        <f>25.7787 * CHOOSE(CONTROL!$C$32, $C$9, 100%, $E$9)</f>
        <v>25.778700000000001</v>
      </c>
      <c r="L759" s="11">
        <f>8.4608 * CHOOSE(CONTROL!$C$32, $C$9, 100%, $E$9)</f>
        <v>8.4608000000000008</v>
      </c>
      <c r="M759" s="11">
        <f>8.464 * CHOOSE(CONTROL!$C$32, $C$9, 100%, $E$9)</f>
        <v>8.4640000000000004</v>
      </c>
      <c r="N759" s="11">
        <f>8.4608 * CHOOSE(CONTROL!$C$32, $C$9, 100%, $E$9)</f>
        <v>8.4608000000000008</v>
      </c>
      <c r="O759" s="11">
        <f>8.464 * CHOOSE(CONTROL!$C$32, $C$9, 100%, $E$9)</f>
        <v>8.4640000000000004</v>
      </c>
    </row>
    <row r="760" spans="1:15" ht="15" x14ac:dyDescent="0.2">
      <c r="A760" s="13">
        <v>63979</v>
      </c>
      <c r="B760" s="9">
        <f>11.0618 * CHOOSE(CONTROL!$C$32, $C$9, 100%, $E$9)</f>
        <v>11.0618</v>
      </c>
      <c r="C760" s="9">
        <f>11.0618 * CHOOSE(CONTROL!$C$32, $C$9, 100%, $E$9)</f>
        <v>11.0618</v>
      </c>
      <c r="D760" s="9">
        <f>11.0627 * CHOOSE(CONTROL!$C$32, $C$9, 100%, $E$9)</f>
        <v>11.0627</v>
      </c>
      <c r="E760" s="11">
        <f>8.7143 * CHOOSE(CONTROL!$C$32, $C$9, 100%, $E$9)</f>
        <v>8.7142999999999997</v>
      </c>
      <c r="F760" s="11">
        <f>8.7143 * CHOOSE(CONTROL!$C$32, $C$9, 100%, $E$9)</f>
        <v>8.7142999999999997</v>
      </c>
      <c r="G760" s="11">
        <f>8.7175 * CHOOSE(CONTROL!$C$32, $C$9, 100%, $E$9)</f>
        <v>8.7174999999999994</v>
      </c>
      <c r="H760" s="11">
        <f>25.8292 * CHOOSE(CONTROL!$C$32, $C$9, 100%, $E$9)</f>
        <v>25.8292</v>
      </c>
      <c r="I760" s="11">
        <f>25.8324 * CHOOSE(CONTROL!$C$32, $C$9, 100%, $E$9)</f>
        <v>25.8324</v>
      </c>
      <c r="J760" s="11">
        <f>25.8292 * CHOOSE(CONTROL!$C$32, $C$9, 100%, $E$9)</f>
        <v>25.8292</v>
      </c>
      <c r="K760" s="11">
        <f>25.8324 * CHOOSE(CONTROL!$C$32, $C$9, 100%, $E$9)</f>
        <v>25.8324</v>
      </c>
      <c r="L760" s="11">
        <f>8.7143 * CHOOSE(CONTROL!$C$32, $C$9, 100%, $E$9)</f>
        <v>8.7142999999999997</v>
      </c>
      <c r="M760" s="11">
        <f>8.7175 * CHOOSE(CONTROL!$C$32, $C$9, 100%, $E$9)</f>
        <v>8.7174999999999994</v>
      </c>
      <c r="N760" s="11">
        <f>8.7143 * CHOOSE(CONTROL!$C$32, $C$9, 100%, $E$9)</f>
        <v>8.7142999999999997</v>
      </c>
      <c r="O760" s="11">
        <f>8.7175 * CHOOSE(CONTROL!$C$32, $C$9, 100%, $E$9)</f>
        <v>8.7174999999999994</v>
      </c>
    </row>
    <row r="761" spans="1:15" ht="15" x14ac:dyDescent="0.2">
      <c r="A761" s="13">
        <v>64010</v>
      </c>
      <c r="B761" s="9">
        <f>11.0663 * CHOOSE(CONTROL!$C$32, $C$9, 100%, $E$9)</f>
        <v>11.0663</v>
      </c>
      <c r="C761" s="9">
        <f>11.0663 * CHOOSE(CONTROL!$C$32, $C$9, 100%, $E$9)</f>
        <v>11.0663</v>
      </c>
      <c r="D761" s="9">
        <f>11.0672 * CHOOSE(CONTROL!$C$32, $C$9, 100%, $E$9)</f>
        <v>11.0672</v>
      </c>
      <c r="E761" s="11">
        <f>8.9847 * CHOOSE(CONTROL!$C$32, $C$9, 100%, $E$9)</f>
        <v>8.9847000000000001</v>
      </c>
      <c r="F761" s="11">
        <f>8.9847 * CHOOSE(CONTROL!$C$32, $C$9, 100%, $E$9)</f>
        <v>8.9847000000000001</v>
      </c>
      <c r="G761" s="11">
        <f>8.9879 * CHOOSE(CONTROL!$C$32, $C$9, 100%, $E$9)</f>
        <v>8.9878999999999998</v>
      </c>
      <c r="H761" s="11">
        <f>25.883 * CHOOSE(CONTROL!$C$32, $C$9, 100%, $E$9)</f>
        <v>25.882999999999999</v>
      </c>
      <c r="I761" s="11">
        <f>25.8862 * CHOOSE(CONTROL!$C$32, $C$9, 100%, $E$9)</f>
        <v>25.886199999999999</v>
      </c>
      <c r="J761" s="11">
        <f>25.883 * CHOOSE(CONTROL!$C$32, $C$9, 100%, $E$9)</f>
        <v>25.882999999999999</v>
      </c>
      <c r="K761" s="11">
        <f>25.8862 * CHOOSE(CONTROL!$C$32, $C$9, 100%, $E$9)</f>
        <v>25.886199999999999</v>
      </c>
      <c r="L761" s="11">
        <f>8.9847 * CHOOSE(CONTROL!$C$32, $C$9, 100%, $E$9)</f>
        <v>8.9847000000000001</v>
      </c>
      <c r="M761" s="11">
        <f>8.9879 * CHOOSE(CONTROL!$C$32, $C$9, 100%, $E$9)</f>
        <v>8.9878999999999998</v>
      </c>
      <c r="N761" s="11">
        <f>8.9847 * CHOOSE(CONTROL!$C$32, $C$9, 100%, $E$9)</f>
        <v>8.9847000000000001</v>
      </c>
      <c r="O761" s="11">
        <f>8.9879 * CHOOSE(CONTROL!$C$32, $C$9, 100%, $E$9)</f>
        <v>8.9878999999999998</v>
      </c>
    </row>
    <row r="762" spans="1:15" ht="15" x14ac:dyDescent="0.2">
      <c r="A762" s="13">
        <v>64040</v>
      </c>
      <c r="B762" s="9">
        <f>11.0663 * CHOOSE(CONTROL!$C$32, $C$9, 100%, $E$9)</f>
        <v>11.0663</v>
      </c>
      <c r="C762" s="9">
        <f>11.0663 * CHOOSE(CONTROL!$C$32, $C$9, 100%, $E$9)</f>
        <v>11.0663</v>
      </c>
      <c r="D762" s="9">
        <f>11.0675 * CHOOSE(CONTROL!$C$32, $C$9, 100%, $E$9)</f>
        <v>11.067500000000001</v>
      </c>
      <c r="E762" s="11">
        <f>9.0877 * CHOOSE(CONTROL!$C$32, $C$9, 100%, $E$9)</f>
        <v>9.0876999999999999</v>
      </c>
      <c r="F762" s="11">
        <f>9.0877 * CHOOSE(CONTROL!$C$32, $C$9, 100%, $E$9)</f>
        <v>9.0876999999999999</v>
      </c>
      <c r="G762" s="11">
        <f>9.0919 * CHOOSE(CONTROL!$C$32, $C$9, 100%, $E$9)</f>
        <v>9.0919000000000008</v>
      </c>
      <c r="H762" s="11">
        <f>25.9369 * CHOOSE(CONTROL!$C$32, $C$9, 100%, $E$9)</f>
        <v>25.936900000000001</v>
      </c>
      <c r="I762" s="11">
        <f>25.9411 * CHOOSE(CONTROL!$C$32, $C$9, 100%, $E$9)</f>
        <v>25.941099999999999</v>
      </c>
      <c r="J762" s="11">
        <f>25.9369 * CHOOSE(CONTROL!$C$32, $C$9, 100%, $E$9)</f>
        <v>25.936900000000001</v>
      </c>
      <c r="K762" s="11">
        <f>25.9411 * CHOOSE(CONTROL!$C$32, $C$9, 100%, $E$9)</f>
        <v>25.941099999999999</v>
      </c>
      <c r="L762" s="11">
        <f>9.0877 * CHOOSE(CONTROL!$C$32, $C$9, 100%, $E$9)</f>
        <v>9.0876999999999999</v>
      </c>
      <c r="M762" s="11">
        <f>9.0919 * CHOOSE(CONTROL!$C$32, $C$9, 100%, $E$9)</f>
        <v>9.0919000000000008</v>
      </c>
      <c r="N762" s="11">
        <f>9.0877 * CHOOSE(CONTROL!$C$32, $C$9, 100%, $E$9)</f>
        <v>9.0876999999999999</v>
      </c>
      <c r="O762" s="11">
        <f>9.0919 * CHOOSE(CONTROL!$C$32, $C$9, 100%, $E$9)</f>
        <v>9.0919000000000008</v>
      </c>
    </row>
    <row r="763" spans="1:15" ht="15" x14ac:dyDescent="0.2">
      <c r="A763" s="13">
        <v>64071</v>
      </c>
      <c r="B763" s="9">
        <f>11.0724 * CHOOSE(CONTROL!$C$32, $C$9, 100%, $E$9)</f>
        <v>11.0724</v>
      </c>
      <c r="C763" s="9">
        <f>11.0724 * CHOOSE(CONTROL!$C$32, $C$9, 100%, $E$9)</f>
        <v>11.0724</v>
      </c>
      <c r="D763" s="9">
        <f>11.0736 * CHOOSE(CONTROL!$C$32, $C$9, 100%, $E$9)</f>
        <v>11.073600000000001</v>
      </c>
      <c r="E763" s="11">
        <f>8.9889 * CHOOSE(CONTROL!$C$32, $C$9, 100%, $E$9)</f>
        <v>8.9888999999999992</v>
      </c>
      <c r="F763" s="11">
        <f>8.9889 * CHOOSE(CONTROL!$C$32, $C$9, 100%, $E$9)</f>
        <v>8.9888999999999992</v>
      </c>
      <c r="G763" s="11">
        <f>8.9931 * CHOOSE(CONTROL!$C$32, $C$9, 100%, $E$9)</f>
        <v>8.9931000000000001</v>
      </c>
      <c r="H763" s="11">
        <f>25.991 * CHOOSE(CONTROL!$C$32, $C$9, 100%, $E$9)</f>
        <v>25.991</v>
      </c>
      <c r="I763" s="11">
        <f>25.9952 * CHOOSE(CONTROL!$C$32, $C$9, 100%, $E$9)</f>
        <v>25.995200000000001</v>
      </c>
      <c r="J763" s="11">
        <f>25.991 * CHOOSE(CONTROL!$C$32, $C$9, 100%, $E$9)</f>
        <v>25.991</v>
      </c>
      <c r="K763" s="11">
        <f>25.9952 * CHOOSE(CONTROL!$C$32, $C$9, 100%, $E$9)</f>
        <v>25.995200000000001</v>
      </c>
      <c r="L763" s="11">
        <f>8.9889 * CHOOSE(CONTROL!$C$32, $C$9, 100%, $E$9)</f>
        <v>8.9888999999999992</v>
      </c>
      <c r="M763" s="11">
        <f>8.9931 * CHOOSE(CONTROL!$C$32, $C$9, 100%, $E$9)</f>
        <v>8.9931000000000001</v>
      </c>
      <c r="N763" s="11">
        <f>8.9889 * CHOOSE(CONTROL!$C$32, $C$9, 100%, $E$9)</f>
        <v>8.9888999999999992</v>
      </c>
      <c r="O763" s="11">
        <f>8.9931 * CHOOSE(CONTROL!$C$32, $C$9, 100%, $E$9)</f>
        <v>8.9931000000000001</v>
      </c>
    </row>
    <row r="764" spans="1:15" ht="15" x14ac:dyDescent="0.2">
      <c r="A764" s="13">
        <v>64101</v>
      </c>
      <c r="B764" s="9">
        <f>11.2085 * CHOOSE(CONTROL!$C$32, $C$9, 100%, $E$9)</f>
        <v>11.208500000000001</v>
      </c>
      <c r="C764" s="9">
        <f>11.2085 * CHOOSE(CONTROL!$C$32, $C$9, 100%, $E$9)</f>
        <v>11.208500000000001</v>
      </c>
      <c r="D764" s="9">
        <f>11.2098 * CHOOSE(CONTROL!$C$32, $C$9, 100%, $E$9)</f>
        <v>11.2098</v>
      </c>
      <c r="E764" s="11">
        <f>9.0407 * CHOOSE(CONTROL!$C$32, $C$9, 100%, $E$9)</f>
        <v>9.0406999999999993</v>
      </c>
      <c r="F764" s="11">
        <f>9.0407 * CHOOSE(CONTROL!$C$32, $C$9, 100%, $E$9)</f>
        <v>9.0406999999999993</v>
      </c>
      <c r="G764" s="11">
        <f>9.0449 * CHOOSE(CONTROL!$C$32, $C$9, 100%, $E$9)</f>
        <v>9.0449000000000002</v>
      </c>
      <c r="H764" s="11">
        <f>26.0451 * CHOOSE(CONTROL!$C$32, $C$9, 100%, $E$9)</f>
        <v>26.045100000000001</v>
      </c>
      <c r="I764" s="11">
        <f>26.0493 * CHOOSE(CONTROL!$C$32, $C$9, 100%, $E$9)</f>
        <v>26.049299999999999</v>
      </c>
      <c r="J764" s="11">
        <f>26.0451 * CHOOSE(CONTROL!$C$32, $C$9, 100%, $E$9)</f>
        <v>26.045100000000001</v>
      </c>
      <c r="K764" s="11">
        <f>26.0493 * CHOOSE(CONTROL!$C$32, $C$9, 100%, $E$9)</f>
        <v>26.049299999999999</v>
      </c>
      <c r="L764" s="11">
        <f>9.0407 * CHOOSE(CONTROL!$C$32, $C$9, 100%, $E$9)</f>
        <v>9.0406999999999993</v>
      </c>
      <c r="M764" s="11">
        <f>9.0449 * CHOOSE(CONTROL!$C$32, $C$9, 100%, $E$9)</f>
        <v>9.0449000000000002</v>
      </c>
      <c r="N764" s="11">
        <f>9.0407 * CHOOSE(CONTROL!$C$32, $C$9, 100%, $E$9)</f>
        <v>9.0406999999999993</v>
      </c>
      <c r="O764" s="11">
        <f>9.0449 * CHOOSE(CONTROL!$C$32, $C$9, 100%, $E$9)</f>
        <v>9.0449000000000002</v>
      </c>
    </row>
    <row r="765" spans="1:15" ht="15" x14ac:dyDescent="0.2">
      <c r="A765" s="13">
        <v>64132</v>
      </c>
      <c r="B765" s="9">
        <f>11.2152 * CHOOSE(CONTROL!$C$32, $C$9, 100%, $E$9)</f>
        <v>11.215199999999999</v>
      </c>
      <c r="C765" s="9">
        <f>11.2152 * CHOOSE(CONTROL!$C$32, $C$9, 100%, $E$9)</f>
        <v>11.215199999999999</v>
      </c>
      <c r="D765" s="9">
        <f>11.2164 * CHOOSE(CONTROL!$C$32, $C$9, 100%, $E$9)</f>
        <v>11.2164</v>
      </c>
      <c r="E765" s="11">
        <f>8.7364 * CHOOSE(CONTROL!$C$32, $C$9, 100%, $E$9)</f>
        <v>8.7363999999999997</v>
      </c>
      <c r="F765" s="11">
        <f>8.7364 * CHOOSE(CONTROL!$C$32, $C$9, 100%, $E$9)</f>
        <v>8.7363999999999997</v>
      </c>
      <c r="G765" s="11">
        <f>8.7406 * CHOOSE(CONTROL!$C$32, $C$9, 100%, $E$9)</f>
        <v>8.7406000000000006</v>
      </c>
      <c r="H765" s="11">
        <f>26.0994 * CHOOSE(CONTROL!$C$32, $C$9, 100%, $E$9)</f>
        <v>26.099399999999999</v>
      </c>
      <c r="I765" s="11">
        <f>26.1036 * CHOOSE(CONTROL!$C$32, $C$9, 100%, $E$9)</f>
        <v>26.1036</v>
      </c>
      <c r="J765" s="11">
        <f>26.0994 * CHOOSE(CONTROL!$C$32, $C$9, 100%, $E$9)</f>
        <v>26.099399999999999</v>
      </c>
      <c r="K765" s="11">
        <f>26.1036 * CHOOSE(CONTROL!$C$32, $C$9, 100%, $E$9)</f>
        <v>26.1036</v>
      </c>
      <c r="L765" s="11">
        <f>8.7364 * CHOOSE(CONTROL!$C$32, $C$9, 100%, $E$9)</f>
        <v>8.7363999999999997</v>
      </c>
      <c r="M765" s="11">
        <f>8.7406 * CHOOSE(CONTROL!$C$32, $C$9, 100%, $E$9)</f>
        <v>8.7406000000000006</v>
      </c>
      <c r="N765" s="11">
        <f>8.7364 * CHOOSE(CONTROL!$C$32, $C$9, 100%, $E$9)</f>
        <v>8.7363999999999997</v>
      </c>
      <c r="O765" s="11">
        <f>8.7406 * CHOOSE(CONTROL!$C$32, $C$9, 100%, $E$9)</f>
        <v>8.7406000000000006</v>
      </c>
    </row>
    <row r="766" spans="1:15" ht="15" x14ac:dyDescent="0.2">
      <c r="A766" s="13">
        <v>64163</v>
      </c>
      <c r="B766" s="9">
        <f>11.2122 * CHOOSE(CONTROL!$C$32, $C$9, 100%, $E$9)</f>
        <v>11.212199999999999</v>
      </c>
      <c r="C766" s="9">
        <f>11.2122 * CHOOSE(CONTROL!$C$32, $C$9, 100%, $E$9)</f>
        <v>11.212199999999999</v>
      </c>
      <c r="D766" s="9">
        <f>11.2134 * CHOOSE(CONTROL!$C$32, $C$9, 100%, $E$9)</f>
        <v>11.2134</v>
      </c>
      <c r="E766" s="11">
        <f>8.7 * CHOOSE(CONTROL!$C$32, $C$9, 100%, $E$9)</f>
        <v>8.6999999999999993</v>
      </c>
      <c r="F766" s="11">
        <f>8.7 * CHOOSE(CONTROL!$C$32, $C$9, 100%, $E$9)</f>
        <v>8.6999999999999993</v>
      </c>
      <c r="G766" s="11">
        <f>8.7042 * CHOOSE(CONTROL!$C$32, $C$9, 100%, $E$9)</f>
        <v>8.7042000000000002</v>
      </c>
      <c r="H766" s="11">
        <f>26.1538 * CHOOSE(CONTROL!$C$32, $C$9, 100%, $E$9)</f>
        <v>26.1538</v>
      </c>
      <c r="I766" s="11">
        <f>26.158 * CHOOSE(CONTROL!$C$32, $C$9, 100%, $E$9)</f>
        <v>26.158000000000001</v>
      </c>
      <c r="J766" s="11">
        <f>26.1538 * CHOOSE(CONTROL!$C$32, $C$9, 100%, $E$9)</f>
        <v>26.1538</v>
      </c>
      <c r="K766" s="11">
        <f>26.158 * CHOOSE(CONTROL!$C$32, $C$9, 100%, $E$9)</f>
        <v>26.158000000000001</v>
      </c>
      <c r="L766" s="11">
        <f>8.7 * CHOOSE(CONTROL!$C$32, $C$9, 100%, $E$9)</f>
        <v>8.6999999999999993</v>
      </c>
      <c r="M766" s="11">
        <f>8.7042 * CHOOSE(CONTROL!$C$32, $C$9, 100%, $E$9)</f>
        <v>8.7042000000000002</v>
      </c>
      <c r="N766" s="11">
        <f>8.7 * CHOOSE(CONTROL!$C$32, $C$9, 100%, $E$9)</f>
        <v>8.6999999999999993</v>
      </c>
      <c r="O766" s="11">
        <f>8.7042 * CHOOSE(CONTROL!$C$32, $C$9, 100%, $E$9)</f>
        <v>8.7042000000000002</v>
      </c>
    </row>
    <row r="767" spans="1:15" ht="15" x14ac:dyDescent="0.2">
      <c r="A767" s="13">
        <v>64193</v>
      </c>
      <c r="B767" s="9">
        <f>11.2342 * CHOOSE(CONTROL!$C$32, $C$9, 100%, $E$9)</f>
        <v>11.2342</v>
      </c>
      <c r="C767" s="9">
        <f>11.2342 * CHOOSE(CONTROL!$C$32, $C$9, 100%, $E$9)</f>
        <v>11.2342</v>
      </c>
      <c r="D767" s="9">
        <f>11.2351 * CHOOSE(CONTROL!$C$32, $C$9, 100%, $E$9)</f>
        <v>11.235099999999999</v>
      </c>
      <c r="E767" s="11">
        <f>8.8238 * CHOOSE(CONTROL!$C$32, $C$9, 100%, $E$9)</f>
        <v>8.8238000000000003</v>
      </c>
      <c r="F767" s="11">
        <f>8.8238 * CHOOSE(CONTROL!$C$32, $C$9, 100%, $E$9)</f>
        <v>8.8238000000000003</v>
      </c>
      <c r="G767" s="11">
        <f>8.8271 * CHOOSE(CONTROL!$C$32, $C$9, 100%, $E$9)</f>
        <v>8.8270999999999997</v>
      </c>
      <c r="H767" s="11">
        <f>26.2082 * CHOOSE(CONTROL!$C$32, $C$9, 100%, $E$9)</f>
        <v>26.208200000000001</v>
      </c>
      <c r="I767" s="11">
        <f>26.2115 * CHOOSE(CONTROL!$C$32, $C$9, 100%, $E$9)</f>
        <v>26.211500000000001</v>
      </c>
      <c r="J767" s="11">
        <f>26.2082 * CHOOSE(CONTROL!$C$32, $C$9, 100%, $E$9)</f>
        <v>26.208200000000001</v>
      </c>
      <c r="K767" s="11">
        <f>26.2115 * CHOOSE(CONTROL!$C$32, $C$9, 100%, $E$9)</f>
        <v>26.211500000000001</v>
      </c>
      <c r="L767" s="11">
        <f>8.8238 * CHOOSE(CONTROL!$C$32, $C$9, 100%, $E$9)</f>
        <v>8.8238000000000003</v>
      </c>
      <c r="M767" s="11">
        <f>8.8271 * CHOOSE(CONTROL!$C$32, $C$9, 100%, $E$9)</f>
        <v>8.8270999999999997</v>
      </c>
      <c r="N767" s="11">
        <f>8.8238 * CHOOSE(CONTROL!$C$32, $C$9, 100%, $E$9)</f>
        <v>8.8238000000000003</v>
      </c>
      <c r="O767" s="11">
        <f>8.8271 * CHOOSE(CONTROL!$C$32, $C$9, 100%, $E$9)</f>
        <v>8.8270999999999997</v>
      </c>
    </row>
    <row r="768" spans="1:15" ht="15" x14ac:dyDescent="0.2">
      <c r="A768" s="13">
        <v>64224</v>
      </c>
      <c r="B768" s="9">
        <f>11.2372 * CHOOSE(CONTROL!$C$32, $C$9, 100%, $E$9)</f>
        <v>11.2372</v>
      </c>
      <c r="C768" s="9">
        <f>11.2372 * CHOOSE(CONTROL!$C$32, $C$9, 100%, $E$9)</f>
        <v>11.2372</v>
      </c>
      <c r="D768" s="9">
        <f>11.2381 * CHOOSE(CONTROL!$C$32, $C$9, 100%, $E$9)</f>
        <v>11.238099999999999</v>
      </c>
      <c r="E768" s="11">
        <f>8.8946 * CHOOSE(CONTROL!$C$32, $C$9, 100%, $E$9)</f>
        <v>8.8946000000000005</v>
      </c>
      <c r="F768" s="11">
        <f>8.8946 * CHOOSE(CONTROL!$C$32, $C$9, 100%, $E$9)</f>
        <v>8.8946000000000005</v>
      </c>
      <c r="G768" s="11">
        <f>8.8978 * CHOOSE(CONTROL!$C$32, $C$9, 100%, $E$9)</f>
        <v>8.8978000000000002</v>
      </c>
      <c r="H768" s="11">
        <f>26.2628 * CHOOSE(CONTROL!$C$32, $C$9, 100%, $E$9)</f>
        <v>26.262799999999999</v>
      </c>
      <c r="I768" s="11">
        <f>26.2661 * CHOOSE(CONTROL!$C$32, $C$9, 100%, $E$9)</f>
        <v>26.266100000000002</v>
      </c>
      <c r="J768" s="11">
        <f>26.2628 * CHOOSE(CONTROL!$C$32, $C$9, 100%, $E$9)</f>
        <v>26.262799999999999</v>
      </c>
      <c r="K768" s="11">
        <f>26.2661 * CHOOSE(CONTROL!$C$32, $C$9, 100%, $E$9)</f>
        <v>26.266100000000002</v>
      </c>
      <c r="L768" s="11">
        <f>8.8946 * CHOOSE(CONTROL!$C$32, $C$9, 100%, $E$9)</f>
        <v>8.8946000000000005</v>
      </c>
      <c r="M768" s="11">
        <f>8.8978 * CHOOSE(CONTROL!$C$32, $C$9, 100%, $E$9)</f>
        <v>8.8978000000000002</v>
      </c>
      <c r="N768" s="11">
        <f>8.8946 * CHOOSE(CONTROL!$C$32, $C$9, 100%, $E$9)</f>
        <v>8.8946000000000005</v>
      </c>
      <c r="O768" s="11">
        <f>8.8978 * CHOOSE(CONTROL!$C$32, $C$9, 100%, $E$9)</f>
        <v>8.8978000000000002</v>
      </c>
    </row>
    <row r="769" spans="1:15" ht="15" x14ac:dyDescent="0.2">
      <c r="A769" s="13">
        <v>64254</v>
      </c>
      <c r="B769" s="9">
        <f>11.2372 * CHOOSE(CONTROL!$C$32, $C$9, 100%, $E$9)</f>
        <v>11.2372</v>
      </c>
      <c r="C769" s="9">
        <f>11.2372 * CHOOSE(CONTROL!$C$32, $C$9, 100%, $E$9)</f>
        <v>11.2372</v>
      </c>
      <c r="D769" s="9">
        <f>11.2381 * CHOOSE(CONTROL!$C$32, $C$9, 100%, $E$9)</f>
        <v>11.238099999999999</v>
      </c>
      <c r="E769" s="11">
        <f>8.723 * CHOOSE(CONTROL!$C$32, $C$9, 100%, $E$9)</f>
        <v>8.7230000000000008</v>
      </c>
      <c r="F769" s="11">
        <f>8.723 * CHOOSE(CONTROL!$C$32, $C$9, 100%, $E$9)</f>
        <v>8.7230000000000008</v>
      </c>
      <c r="G769" s="11">
        <f>8.7262 * CHOOSE(CONTROL!$C$32, $C$9, 100%, $E$9)</f>
        <v>8.7262000000000004</v>
      </c>
      <c r="H769" s="11">
        <f>26.3176 * CHOOSE(CONTROL!$C$32, $C$9, 100%, $E$9)</f>
        <v>26.317599999999999</v>
      </c>
      <c r="I769" s="11">
        <f>26.3208 * CHOOSE(CONTROL!$C$32, $C$9, 100%, $E$9)</f>
        <v>26.320799999999998</v>
      </c>
      <c r="J769" s="11">
        <f>26.3176 * CHOOSE(CONTROL!$C$32, $C$9, 100%, $E$9)</f>
        <v>26.317599999999999</v>
      </c>
      <c r="K769" s="11">
        <f>26.3208 * CHOOSE(CONTROL!$C$32, $C$9, 100%, $E$9)</f>
        <v>26.320799999999998</v>
      </c>
      <c r="L769" s="11">
        <f>8.723 * CHOOSE(CONTROL!$C$32, $C$9, 100%, $E$9)</f>
        <v>8.7230000000000008</v>
      </c>
      <c r="M769" s="11">
        <f>8.7262 * CHOOSE(CONTROL!$C$32, $C$9, 100%, $E$9)</f>
        <v>8.7262000000000004</v>
      </c>
      <c r="N769" s="11">
        <f>8.723 * CHOOSE(CONTROL!$C$32, $C$9, 100%, $E$9)</f>
        <v>8.7230000000000008</v>
      </c>
      <c r="O769" s="11">
        <f>8.7262 * CHOOSE(CONTROL!$C$32, $C$9, 100%, $E$9)</f>
        <v>8.7262000000000004</v>
      </c>
    </row>
    <row r="770" spans="1:15" ht="15" x14ac:dyDescent="0.2">
      <c r="A770" s="13">
        <v>64285</v>
      </c>
      <c r="B770" s="9">
        <f>11.2552 * CHOOSE(CONTROL!$C$32, $C$9, 100%, $E$9)</f>
        <v>11.2552</v>
      </c>
      <c r="C770" s="9">
        <f>11.2552 * CHOOSE(CONTROL!$C$32, $C$9, 100%, $E$9)</f>
        <v>11.2552</v>
      </c>
      <c r="D770" s="9">
        <f>11.2562 * CHOOSE(CONTROL!$C$32, $C$9, 100%, $E$9)</f>
        <v>11.2562</v>
      </c>
      <c r="E770" s="11">
        <f>8.8645 * CHOOSE(CONTROL!$C$32, $C$9, 100%, $E$9)</f>
        <v>8.8644999999999996</v>
      </c>
      <c r="F770" s="11">
        <f>8.8645 * CHOOSE(CONTROL!$C$32, $C$9, 100%, $E$9)</f>
        <v>8.8644999999999996</v>
      </c>
      <c r="G770" s="11">
        <f>8.8677 * CHOOSE(CONTROL!$C$32, $C$9, 100%, $E$9)</f>
        <v>8.8676999999999992</v>
      </c>
      <c r="H770" s="11">
        <f>26.1935 * CHOOSE(CONTROL!$C$32, $C$9, 100%, $E$9)</f>
        <v>26.1935</v>
      </c>
      <c r="I770" s="11">
        <f>26.1967 * CHOOSE(CONTROL!$C$32, $C$9, 100%, $E$9)</f>
        <v>26.1967</v>
      </c>
      <c r="J770" s="11">
        <f>26.1935 * CHOOSE(CONTROL!$C$32, $C$9, 100%, $E$9)</f>
        <v>26.1935</v>
      </c>
      <c r="K770" s="11">
        <f>26.1967 * CHOOSE(CONTROL!$C$32, $C$9, 100%, $E$9)</f>
        <v>26.1967</v>
      </c>
      <c r="L770" s="11">
        <f>8.8645 * CHOOSE(CONTROL!$C$32, $C$9, 100%, $E$9)</f>
        <v>8.8644999999999996</v>
      </c>
      <c r="M770" s="11">
        <f>8.8677 * CHOOSE(CONTROL!$C$32, $C$9, 100%, $E$9)</f>
        <v>8.8676999999999992</v>
      </c>
      <c r="N770" s="11">
        <f>8.8645 * CHOOSE(CONTROL!$C$32, $C$9, 100%, $E$9)</f>
        <v>8.8644999999999996</v>
      </c>
      <c r="O770" s="11">
        <f>8.8677 * CHOOSE(CONTROL!$C$32, $C$9, 100%, $E$9)</f>
        <v>8.8676999999999992</v>
      </c>
    </row>
    <row r="771" spans="1:15" ht="15" x14ac:dyDescent="0.2">
      <c r="A771" s="13">
        <v>64316</v>
      </c>
      <c r="B771" s="9">
        <f>11.2522 * CHOOSE(CONTROL!$C$32, $C$9, 100%, $E$9)</f>
        <v>11.2522</v>
      </c>
      <c r="C771" s="9">
        <f>11.2522 * CHOOSE(CONTROL!$C$32, $C$9, 100%, $E$9)</f>
        <v>11.2522</v>
      </c>
      <c r="D771" s="9">
        <f>11.2531 * CHOOSE(CONTROL!$C$32, $C$9, 100%, $E$9)</f>
        <v>11.2531</v>
      </c>
      <c r="E771" s="11">
        <f>8.5309 * CHOOSE(CONTROL!$C$32, $C$9, 100%, $E$9)</f>
        <v>8.5309000000000008</v>
      </c>
      <c r="F771" s="11">
        <f>8.5309 * CHOOSE(CONTROL!$C$32, $C$9, 100%, $E$9)</f>
        <v>8.5309000000000008</v>
      </c>
      <c r="G771" s="11">
        <f>8.5342 * CHOOSE(CONTROL!$C$32, $C$9, 100%, $E$9)</f>
        <v>8.5342000000000002</v>
      </c>
      <c r="H771" s="11">
        <f>26.2481 * CHOOSE(CONTROL!$C$32, $C$9, 100%, $E$9)</f>
        <v>26.248100000000001</v>
      </c>
      <c r="I771" s="11">
        <f>26.2513 * CHOOSE(CONTROL!$C$32, $C$9, 100%, $E$9)</f>
        <v>26.251300000000001</v>
      </c>
      <c r="J771" s="11">
        <f>26.2481 * CHOOSE(CONTROL!$C$32, $C$9, 100%, $E$9)</f>
        <v>26.248100000000001</v>
      </c>
      <c r="K771" s="11">
        <f>26.2513 * CHOOSE(CONTROL!$C$32, $C$9, 100%, $E$9)</f>
        <v>26.251300000000001</v>
      </c>
      <c r="L771" s="11">
        <f>8.5309 * CHOOSE(CONTROL!$C$32, $C$9, 100%, $E$9)</f>
        <v>8.5309000000000008</v>
      </c>
      <c r="M771" s="11">
        <f>8.5342 * CHOOSE(CONTROL!$C$32, $C$9, 100%, $E$9)</f>
        <v>8.5342000000000002</v>
      </c>
      <c r="N771" s="11">
        <f>8.5309 * CHOOSE(CONTROL!$C$32, $C$9, 100%, $E$9)</f>
        <v>8.5309000000000008</v>
      </c>
      <c r="O771" s="11">
        <f>8.5342 * CHOOSE(CONTROL!$C$32, $C$9, 100%, $E$9)</f>
        <v>8.5342000000000002</v>
      </c>
    </row>
    <row r="772" spans="1:15" ht="15" x14ac:dyDescent="0.2">
      <c r="A772" s="13">
        <v>64345</v>
      </c>
      <c r="B772" s="9">
        <f>11.2491 * CHOOSE(CONTROL!$C$32, $C$9, 100%, $E$9)</f>
        <v>11.2491</v>
      </c>
      <c r="C772" s="9">
        <f>11.2491 * CHOOSE(CONTROL!$C$32, $C$9, 100%, $E$9)</f>
        <v>11.2491</v>
      </c>
      <c r="D772" s="9">
        <f>11.2501 * CHOOSE(CONTROL!$C$32, $C$9, 100%, $E$9)</f>
        <v>11.2501</v>
      </c>
      <c r="E772" s="11">
        <f>8.7901 * CHOOSE(CONTROL!$C$32, $C$9, 100%, $E$9)</f>
        <v>8.7901000000000007</v>
      </c>
      <c r="F772" s="11">
        <f>8.7901 * CHOOSE(CONTROL!$C$32, $C$9, 100%, $E$9)</f>
        <v>8.7901000000000007</v>
      </c>
      <c r="G772" s="11">
        <f>8.7933 * CHOOSE(CONTROL!$C$32, $C$9, 100%, $E$9)</f>
        <v>8.7933000000000003</v>
      </c>
      <c r="H772" s="11">
        <f>26.3027 * CHOOSE(CONTROL!$C$32, $C$9, 100%, $E$9)</f>
        <v>26.302700000000002</v>
      </c>
      <c r="I772" s="11">
        <f>26.306 * CHOOSE(CONTROL!$C$32, $C$9, 100%, $E$9)</f>
        <v>26.306000000000001</v>
      </c>
      <c r="J772" s="11">
        <f>26.3027 * CHOOSE(CONTROL!$C$32, $C$9, 100%, $E$9)</f>
        <v>26.302700000000002</v>
      </c>
      <c r="K772" s="11">
        <f>26.306 * CHOOSE(CONTROL!$C$32, $C$9, 100%, $E$9)</f>
        <v>26.306000000000001</v>
      </c>
      <c r="L772" s="11">
        <f>8.7901 * CHOOSE(CONTROL!$C$32, $C$9, 100%, $E$9)</f>
        <v>8.7901000000000007</v>
      </c>
      <c r="M772" s="11">
        <f>8.7933 * CHOOSE(CONTROL!$C$32, $C$9, 100%, $E$9)</f>
        <v>8.7933000000000003</v>
      </c>
      <c r="N772" s="11">
        <f>8.7901 * CHOOSE(CONTROL!$C$32, $C$9, 100%, $E$9)</f>
        <v>8.7901000000000007</v>
      </c>
      <c r="O772" s="11">
        <f>8.7933 * CHOOSE(CONTROL!$C$32, $C$9, 100%, $E$9)</f>
        <v>8.7933000000000003</v>
      </c>
    </row>
    <row r="773" spans="1:15" ht="15" x14ac:dyDescent="0.2">
      <c r="A773" s="13">
        <v>64376</v>
      </c>
      <c r="B773" s="9">
        <f>11.2538 * CHOOSE(CONTROL!$C$32, $C$9, 100%, $E$9)</f>
        <v>11.2538</v>
      </c>
      <c r="C773" s="9">
        <f>11.2538 * CHOOSE(CONTROL!$C$32, $C$9, 100%, $E$9)</f>
        <v>11.2538</v>
      </c>
      <c r="D773" s="9">
        <f>11.2548 * CHOOSE(CONTROL!$C$32, $C$9, 100%, $E$9)</f>
        <v>11.254799999999999</v>
      </c>
      <c r="E773" s="11">
        <f>9.0665 * CHOOSE(CONTROL!$C$32, $C$9, 100%, $E$9)</f>
        <v>9.0664999999999996</v>
      </c>
      <c r="F773" s="11">
        <f>9.0665 * CHOOSE(CONTROL!$C$32, $C$9, 100%, $E$9)</f>
        <v>9.0664999999999996</v>
      </c>
      <c r="G773" s="11">
        <f>9.0697 * CHOOSE(CONTROL!$C$32, $C$9, 100%, $E$9)</f>
        <v>9.0696999999999992</v>
      </c>
      <c r="H773" s="11">
        <f>26.3575 * CHOOSE(CONTROL!$C$32, $C$9, 100%, $E$9)</f>
        <v>26.357500000000002</v>
      </c>
      <c r="I773" s="11">
        <f>26.3608 * CHOOSE(CONTROL!$C$32, $C$9, 100%, $E$9)</f>
        <v>26.360800000000001</v>
      </c>
      <c r="J773" s="11">
        <f>26.3575 * CHOOSE(CONTROL!$C$32, $C$9, 100%, $E$9)</f>
        <v>26.357500000000002</v>
      </c>
      <c r="K773" s="11">
        <f>26.3608 * CHOOSE(CONTROL!$C$32, $C$9, 100%, $E$9)</f>
        <v>26.360800000000001</v>
      </c>
      <c r="L773" s="11">
        <f>9.0665 * CHOOSE(CONTROL!$C$32, $C$9, 100%, $E$9)</f>
        <v>9.0664999999999996</v>
      </c>
      <c r="M773" s="11">
        <f>9.0697 * CHOOSE(CONTROL!$C$32, $C$9, 100%, $E$9)</f>
        <v>9.0696999999999992</v>
      </c>
      <c r="N773" s="11">
        <f>9.0665 * CHOOSE(CONTROL!$C$32, $C$9, 100%, $E$9)</f>
        <v>9.0664999999999996</v>
      </c>
      <c r="O773" s="11">
        <f>9.0697 * CHOOSE(CONTROL!$C$32, $C$9, 100%, $E$9)</f>
        <v>9.0696999999999992</v>
      </c>
    </row>
    <row r="774" spans="1:15" ht="15" x14ac:dyDescent="0.2">
      <c r="A774" s="13">
        <v>64406</v>
      </c>
      <c r="B774" s="9">
        <f>11.2538 * CHOOSE(CONTROL!$C$32, $C$9, 100%, $E$9)</f>
        <v>11.2538</v>
      </c>
      <c r="C774" s="9">
        <f>11.2538 * CHOOSE(CONTROL!$C$32, $C$9, 100%, $E$9)</f>
        <v>11.2538</v>
      </c>
      <c r="D774" s="9">
        <f>11.2551 * CHOOSE(CONTROL!$C$32, $C$9, 100%, $E$9)</f>
        <v>11.255100000000001</v>
      </c>
      <c r="E774" s="11">
        <f>9.1717 * CHOOSE(CONTROL!$C$32, $C$9, 100%, $E$9)</f>
        <v>9.1716999999999995</v>
      </c>
      <c r="F774" s="11">
        <f>9.1717 * CHOOSE(CONTROL!$C$32, $C$9, 100%, $E$9)</f>
        <v>9.1716999999999995</v>
      </c>
      <c r="G774" s="11">
        <f>9.1759 * CHOOSE(CONTROL!$C$32, $C$9, 100%, $E$9)</f>
        <v>9.1759000000000004</v>
      </c>
      <c r="H774" s="11">
        <f>26.4125 * CHOOSE(CONTROL!$C$32, $C$9, 100%, $E$9)</f>
        <v>26.412500000000001</v>
      </c>
      <c r="I774" s="11">
        <f>26.4167 * CHOOSE(CONTROL!$C$32, $C$9, 100%, $E$9)</f>
        <v>26.416699999999999</v>
      </c>
      <c r="J774" s="11">
        <f>26.4125 * CHOOSE(CONTROL!$C$32, $C$9, 100%, $E$9)</f>
        <v>26.412500000000001</v>
      </c>
      <c r="K774" s="11">
        <f>26.4167 * CHOOSE(CONTROL!$C$32, $C$9, 100%, $E$9)</f>
        <v>26.416699999999999</v>
      </c>
      <c r="L774" s="11">
        <f>9.1717 * CHOOSE(CONTROL!$C$32, $C$9, 100%, $E$9)</f>
        <v>9.1716999999999995</v>
      </c>
      <c r="M774" s="11">
        <f>9.1759 * CHOOSE(CONTROL!$C$32, $C$9, 100%, $E$9)</f>
        <v>9.1759000000000004</v>
      </c>
      <c r="N774" s="11">
        <f>9.1717 * CHOOSE(CONTROL!$C$32, $C$9, 100%, $E$9)</f>
        <v>9.1716999999999995</v>
      </c>
      <c r="O774" s="11">
        <f>9.1759 * CHOOSE(CONTROL!$C$32, $C$9, 100%, $E$9)</f>
        <v>9.1759000000000004</v>
      </c>
    </row>
    <row r="775" spans="1:15" ht="15" x14ac:dyDescent="0.2">
      <c r="A775" s="13">
        <v>64437</v>
      </c>
      <c r="B775" s="9">
        <f>11.2599 * CHOOSE(CONTROL!$C$32, $C$9, 100%, $E$9)</f>
        <v>11.2599</v>
      </c>
      <c r="C775" s="9">
        <f>11.2599 * CHOOSE(CONTROL!$C$32, $C$9, 100%, $E$9)</f>
        <v>11.2599</v>
      </c>
      <c r="D775" s="9">
        <f>11.2612 * CHOOSE(CONTROL!$C$32, $C$9, 100%, $E$9)</f>
        <v>11.261200000000001</v>
      </c>
      <c r="E775" s="11">
        <f>9.0707 * CHOOSE(CONTROL!$C$32, $C$9, 100%, $E$9)</f>
        <v>9.0707000000000004</v>
      </c>
      <c r="F775" s="11">
        <f>9.0707 * CHOOSE(CONTROL!$C$32, $C$9, 100%, $E$9)</f>
        <v>9.0707000000000004</v>
      </c>
      <c r="G775" s="11">
        <f>9.0749 * CHOOSE(CONTROL!$C$32, $C$9, 100%, $E$9)</f>
        <v>9.0748999999999995</v>
      </c>
      <c r="H775" s="11">
        <f>26.4675 * CHOOSE(CONTROL!$C$32, $C$9, 100%, $E$9)</f>
        <v>26.467500000000001</v>
      </c>
      <c r="I775" s="11">
        <f>26.4717 * CHOOSE(CONTROL!$C$32, $C$9, 100%, $E$9)</f>
        <v>26.471699999999998</v>
      </c>
      <c r="J775" s="11">
        <f>26.4675 * CHOOSE(CONTROL!$C$32, $C$9, 100%, $E$9)</f>
        <v>26.467500000000001</v>
      </c>
      <c r="K775" s="11">
        <f>26.4717 * CHOOSE(CONTROL!$C$32, $C$9, 100%, $E$9)</f>
        <v>26.471699999999998</v>
      </c>
      <c r="L775" s="11">
        <f>9.0707 * CHOOSE(CONTROL!$C$32, $C$9, 100%, $E$9)</f>
        <v>9.0707000000000004</v>
      </c>
      <c r="M775" s="11">
        <f>9.0749 * CHOOSE(CONTROL!$C$32, $C$9, 100%, $E$9)</f>
        <v>9.0748999999999995</v>
      </c>
      <c r="N775" s="11">
        <f>9.0707 * CHOOSE(CONTROL!$C$32, $C$9, 100%, $E$9)</f>
        <v>9.0707000000000004</v>
      </c>
      <c r="O775" s="11">
        <f>9.0749 * CHOOSE(CONTROL!$C$32, $C$9, 100%, $E$9)</f>
        <v>9.0748999999999995</v>
      </c>
    </row>
    <row r="776" spans="1:15" ht="15" x14ac:dyDescent="0.2">
      <c r="A776" s="13">
        <v>64467</v>
      </c>
      <c r="B776" s="9">
        <f>11.3981 * CHOOSE(CONTROL!$C$32, $C$9, 100%, $E$9)</f>
        <v>11.398099999999999</v>
      </c>
      <c r="C776" s="9">
        <f>11.3981 * CHOOSE(CONTROL!$C$32, $C$9, 100%, $E$9)</f>
        <v>11.398099999999999</v>
      </c>
      <c r="D776" s="9">
        <f>11.3994 * CHOOSE(CONTROL!$C$32, $C$9, 100%, $E$9)</f>
        <v>11.3994</v>
      </c>
      <c r="E776" s="11">
        <f>9.1236 * CHOOSE(CONTROL!$C$32, $C$9, 100%, $E$9)</f>
        <v>9.1235999999999997</v>
      </c>
      <c r="F776" s="11">
        <f>9.1236 * CHOOSE(CONTROL!$C$32, $C$9, 100%, $E$9)</f>
        <v>9.1235999999999997</v>
      </c>
      <c r="G776" s="11">
        <f>9.1278 * CHOOSE(CONTROL!$C$32, $C$9, 100%, $E$9)</f>
        <v>9.1278000000000006</v>
      </c>
      <c r="H776" s="11">
        <f>26.5226 * CHOOSE(CONTROL!$C$32, $C$9, 100%, $E$9)</f>
        <v>26.522600000000001</v>
      </c>
      <c r="I776" s="11">
        <f>26.5268 * CHOOSE(CONTROL!$C$32, $C$9, 100%, $E$9)</f>
        <v>26.526800000000001</v>
      </c>
      <c r="J776" s="11">
        <f>26.5226 * CHOOSE(CONTROL!$C$32, $C$9, 100%, $E$9)</f>
        <v>26.522600000000001</v>
      </c>
      <c r="K776" s="11">
        <f>26.5268 * CHOOSE(CONTROL!$C$32, $C$9, 100%, $E$9)</f>
        <v>26.526800000000001</v>
      </c>
      <c r="L776" s="11">
        <f>9.1236 * CHOOSE(CONTROL!$C$32, $C$9, 100%, $E$9)</f>
        <v>9.1235999999999997</v>
      </c>
      <c r="M776" s="11">
        <f>9.1278 * CHOOSE(CONTROL!$C$32, $C$9, 100%, $E$9)</f>
        <v>9.1278000000000006</v>
      </c>
      <c r="N776" s="11">
        <f>9.1236 * CHOOSE(CONTROL!$C$32, $C$9, 100%, $E$9)</f>
        <v>9.1235999999999997</v>
      </c>
      <c r="O776" s="11">
        <f>9.1278 * CHOOSE(CONTROL!$C$32, $C$9, 100%, $E$9)</f>
        <v>9.1278000000000006</v>
      </c>
    </row>
    <row r="777" spans="1:15" ht="15" x14ac:dyDescent="0.2">
      <c r="A777" s="13">
        <v>64498</v>
      </c>
      <c r="B777" s="9">
        <f>11.4048 * CHOOSE(CONTROL!$C$32, $C$9, 100%, $E$9)</f>
        <v>11.4048</v>
      </c>
      <c r="C777" s="9">
        <f>11.4048 * CHOOSE(CONTROL!$C$32, $C$9, 100%, $E$9)</f>
        <v>11.4048</v>
      </c>
      <c r="D777" s="9">
        <f>11.406 * CHOOSE(CONTROL!$C$32, $C$9, 100%, $E$9)</f>
        <v>11.406000000000001</v>
      </c>
      <c r="E777" s="11">
        <f>8.8126 * CHOOSE(CONTROL!$C$32, $C$9, 100%, $E$9)</f>
        <v>8.8125999999999998</v>
      </c>
      <c r="F777" s="11">
        <f>8.8126 * CHOOSE(CONTROL!$C$32, $C$9, 100%, $E$9)</f>
        <v>8.8125999999999998</v>
      </c>
      <c r="G777" s="11">
        <f>8.8168 * CHOOSE(CONTROL!$C$32, $C$9, 100%, $E$9)</f>
        <v>8.8168000000000006</v>
      </c>
      <c r="H777" s="11">
        <f>26.5779 * CHOOSE(CONTROL!$C$32, $C$9, 100%, $E$9)</f>
        <v>26.5779</v>
      </c>
      <c r="I777" s="11">
        <f>26.5821 * CHOOSE(CONTROL!$C$32, $C$9, 100%, $E$9)</f>
        <v>26.582100000000001</v>
      </c>
      <c r="J777" s="11">
        <f>26.5779 * CHOOSE(CONTROL!$C$32, $C$9, 100%, $E$9)</f>
        <v>26.5779</v>
      </c>
      <c r="K777" s="11">
        <f>26.5821 * CHOOSE(CONTROL!$C$32, $C$9, 100%, $E$9)</f>
        <v>26.582100000000001</v>
      </c>
      <c r="L777" s="11">
        <f>8.8126 * CHOOSE(CONTROL!$C$32, $C$9, 100%, $E$9)</f>
        <v>8.8125999999999998</v>
      </c>
      <c r="M777" s="11">
        <f>8.8168 * CHOOSE(CONTROL!$C$32, $C$9, 100%, $E$9)</f>
        <v>8.8168000000000006</v>
      </c>
      <c r="N777" s="11">
        <f>8.8126 * CHOOSE(CONTROL!$C$32, $C$9, 100%, $E$9)</f>
        <v>8.8125999999999998</v>
      </c>
      <c r="O777" s="11">
        <f>8.8168 * CHOOSE(CONTROL!$C$32, $C$9, 100%, $E$9)</f>
        <v>8.8168000000000006</v>
      </c>
    </row>
    <row r="778" spans="1:15" ht="15" x14ac:dyDescent="0.2">
      <c r="A778" s="13">
        <v>64529</v>
      </c>
      <c r="B778" s="9">
        <f>11.4018 * CHOOSE(CONTROL!$C$32, $C$9, 100%, $E$9)</f>
        <v>11.4018</v>
      </c>
      <c r="C778" s="9">
        <f>11.4018 * CHOOSE(CONTROL!$C$32, $C$9, 100%, $E$9)</f>
        <v>11.4018</v>
      </c>
      <c r="D778" s="9">
        <f>11.403 * CHOOSE(CONTROL!$C$32, $C$9, 100%, $E$9)</f>
        <v>11.403</v>
      </c>
      <c r="E778" s="11">
        <f>8.7754 * CHOOSE(CONTROL!$C$32, $C$9, 100%, $E$9)</f>
        <v>8.7753999999999994</v>
      </c>
      <c r="F778" s="11">
        <f>8.7754 * CHOOSE(CONTROL!$C$32, $C$9, 100%, $E$9)</f>
        <v>8.7753999999999994</v>
      </c>
      <c r="G778" s="11">
        <f>8.7796 * CHOOSE(CONTROL!$C$32, $C$9, 100%, $E$9)</f>
        <v>8.7796000000000003</v>
      </c>
      <c r="H778" s="11">
        <f>26.6333 * CHOOSE(CONTROL!$C$32, $C$9, 100%, $E$9)</f>
        <v>26.633299999999998</v>
      </c>
      <c r="I778" s="11">
        <f>26.6375 * CHOOSE(CONTROL!$C$32, $C$9, 100%, $E$9)</f>
        <v>26.637499999999999</v>
      </c>
      <c r="J778" s="11">
        <f>26.6333 * CHOOSE(CONTROL!$C$32, $C$9, 100%, $E$9)</f>
        <v>26.633299999999998</v>
      </c>
      <c r="K778" s="11">
        <f>26.6375 * CHOOSE(CONTROL!$C$32, $C$9, 100%, $E$9)</f>
        <v>26.637499999999999</v>
      </c>
      <c r="L778" s="11">
        <f>8.7754 * CHOOSE(CONTROL!$C$32, $C$9, 100%, $E$9)</f>
        <v>8.7753999999999994</v>
      </c>
      <c r="M778" s="11">
        <f>8.7796 * CHOOSE(CONTROL!$C$32, $C$9, 100%, $E$9)</f>
        <v>8.7796000000000003</v>
      </c>
      <c r="N778" s="11">
        <f>8.7754 * CHOOSE(CONTROL!$C$32, $C$9, 100%, $E$9)</f>
        <v>8.7753999999999994</v>
      </c>
      <c r="O778" s="11">
        <f>8.7796 * CHOOSE(CONTROL!$C$32, $C$9, 100%, $E$9)</f>
        <v>8.7796000000000003</v>
      </c>
    </row>
    <row r="779" spans="1:15" ht="15" x14ac:dyDescent="0.2">
      <c r="A779" s="13">
        <v>64559</v>
      </c>
      <c r="B779" s="9">
        <f>11.4245 * CHOOSE(CONTROL!$C$32, $C$9, 100%, $E$9)</f>
        <v>11.4245</v>
      </c>
      <c r="C779" s="9">
        <f>11.4245 * CHOOSE(CONTROL!$C$32, $C$9, 100%, $E$9)</f>
        <v>11.4245</v>
      </c>
      <c r="D779" s="9">
        <f>11.4254 * CHOOSE(CONTROL!$C$32, $C$9, 100%, $E$9)</f>
        <v>11.4254</v>
      </c>
      <c r="E779" s="11">
        <f>8.9023 * CHOOSE(CONTROL!$C$32, $C$9, 100%, $E$9)</f>
        <v>8.9023000000000003</v>
      </c>
      <c r="F779" s="11">
        <f>8.9023 * CHOOSE(CONTROL!$C$32, $C$9, 100%, $E$9)</f>
        <v>8.9023000000000003</v>
      </c>
      <c r="G779" s="11">
        <f>8.9055 * CHOOSE(CONTROL!$C$32, $C$9, 100%, $E$9)</f>
        <v>8.9055</v>
      </c>
      <c r="H779" s="11">
        <f>26.6887 * CHOOSE(CONTROL!$C$32, $C$9, 100%, $E$9)</f>
        <v>26.688700000000001</v>
      </c>
      <c r="I779" s="11">
        <f>26.692 * CHOOSE(CONTROL!$C$32, $C$9, 100%, $E$9)</f>
        <v>26.692</v>
      </c>
      <c r="J779" s="11">
        <f>26.6887 * CHOOSE(CONTROL!$C$32, $C$9, 100%, $E$9)</f>
        <v>26.688700000000001</v>
      </c>
      <c r="K779" s="11">
        <f>26.692 * CHOOSE(CONTROL!$C$32, $C$9, 100%, $E$9)</f>
        <v>26.692</v>
      </c>
      <c r="L779" s="11">
        <f>8.9023 * CHOOSE(CONTROL!$C$32, $C$9, 100%, $E$9)</f>
        <v>8.9023000000000003</v>
      </c>
      <c r="M779" s="11">
        <f>8.9055 * CHOOSE(CONTROL!$C$32, $C$9, 100%, $E$9)</f>
        <v>8.9055</v>
      </c>
      <c r="N779" s="11">
        <f>8.9023 * CHOOSE(CONTROL!$C$32, $C$9, 100%, $E$9)</f>
        <v>8.9023000000000003</v>
      </c>
      <c r="O779" s="11">
        <f>8.9055 * CHOOSE(CONTROL!$C$32, $C$9, 100%, $E$9)</f>
        <v>8.9055</v>
      </c>
    </row>
    <row r="780" spans="1:15" ht="15" x14ac:dyDescent="0.2">
      <c r="A780" s="13">
        <v>64590</v>
      </c>
      <c r="B780" s="9">
        <f>11.4275 * CHOOSE(CONTROL!$C$32, $C$9, 100%, $E$9)</f>
        <v>11.4275</v>
      </c>
      <c r="C780" s="9">
        <f>11.4275 * CHOOSE(CONTROL!$C$32, $C$9, 100%, $E$9)</f>
        <v>11.4275</v>
      </c>
      <c r="D780" s="9">
        <f>11.4285 * CHOOSE(CONTROL!$C$32, $C$9, 100%, $E$9)</f>
        <v>11.4285</v>
      </c>
      <c r="E780" s="11">
        <f>8.9745 * CHOOSE(CONTROL!$C$32, $C$9, 100%, $E$9)</f>
        <v>8.9745000000000008</v>
      </c>
      <c r="F780" s="11">
        <f>8.9745 * CHOOSE(CONTROL!$C$32, $C$9, 100%, $E$9)</f>
        <v>8.9745000000000008</v>
      </c>
      <c r="G780" s="11">
        <f>8.9777 * CHOOSE(CONTROL!$C$32, $C$9, 100%, $E$9)</f>
        <v>8.9777000000000005</v>
      </c>
      <c r="H780" s="11">
        <f>26.7443 * CHOOSE(CONTROL!$C$32, $C$9, 100%, $E$9)</f>
        <v>26.744299999999999</v>
      </c>
      <c r="I780" s="11">
        <f>26.7476 * CHOOSE(CONTROL!$C$32, $C$9, 100%, $E$9)</f>
        <v>26.747599999999998</v>
      </c>
      <c r="J780" s="11">
        <f>26.7443 * CHOOSE(CONTROL!$C$32, $C$9, 100%, $E$9)</f>
        <v>26.744299999999999</v>
      </c>
      <c r="K780" s="11">
        <f>26.7476 * CHOOSE(CONTROL!$C$32, $C$9, 100%, $E$9)</f>
        <v>26.747599999999998</v>
      </c>
      <c r="L780" s="11">
        <f>8.9745 * CHOOSE(CONTROL!$C$32, $C$9, 100%, $E$9)</f>
        <v>8.9745000000000008</v>
      </c>
      <c r="M780" s="11">
        <f>8.9777 * CHOOSE(CONTROL!$C$32, $C$9, 100%, $E$9)</f>
        <v>8.9777000000000005</v>
      </c>
      <c r="N780" s="11">
        <f>8.9745 * CHOOSE(CONTROL!$C$32, $C$9, 100%, $E$9)</f>
        <v>8.9745000000000008</v>
      </c>
      <c r="O780" s="11">
        <f>8.9777 * CHOOSE(CONTROL!$C$32, $C$9, 100%, $E$9)</f>
        <v>8.9777000000000005</v>
      </c>
    </row>
    <row r="781" spans="1:15" ht="15" x14ac:dyDescent="0.2">
      <c r="A781" s="13">
        <v>64620</v>
      </c>
      <c r="B781" s="9">
        <f>11.4275 * CHOOSE(CONTROL!$C$32, $C$9, 100%, $E$9)</f>
        <v>11.4275</v>
      </c>
      <c r="C781" s="9">
        <f>11.4275 * CHOOSE(CONTROL!$C$32, $C$9, 100%, $E$9)</f>
        <v>11.4275</v>
      </c>
      <c r="D781" s="9">
        <f>11.4285 * CHOOSE(CONTROL!$C$32, $C$9, 100%, $E$9)</f>
        <v>11.4285</v>
      </c>
      <c r="E781" s="11">
        <f>8.7991 * CHOOSE(CONTROL!$C$32, $C$9, 100%, $E$9)</f>
        <v>8.7990999999999993</v>
      </c>
      <c r="F781" s="11">
        <f>8.7991 * CHOOSE(CONTROL!$C$32, $C$9, 100%, $E$9)</f>
        <v>8.7990999999999993</v>
      </c>
      <c r="G781" s="11">
        <f>8.8024 * CHOOSE(CONTROL!$C$32, $C$9, 100%, $E$9)</f>
        <v>8.8024000000000004</v>
      </c>
      <c r="H781" s="11">
        <f>26.8001 * CHOOSE(CONTROL!$C$32, $C$9, 100%, $E$9)</f>
        <v>26.8001</v>
      </c>
      <c r="I781" s="11">
        <f>26.8033 * CHOOSE(CONTROL!$C$32, $C$9, 100%, $E$9)</f>
        <v>26.8033</v>
      </c>
      <c r="J781" s="11">
        <f>26.8001 * CHOOSE(CONTROL!$C$32, $C$9, 100%, $E$9)</f>
        <v>26.8001</v>
      </c>
      <c r="K781" s="11">
        <f>26.8033 * CHOOSE(CONTROL!$C$32, $C$9, 100%, $E$9)</f>
        <v>26.8033</v>
      </c>
      <c r="L781" s="11">
        <f>8.7991 * CHOOSE(CONTROL!$C$32, $C$9, 100%, $E$9)</f>
        <v>8.7990999999999993</v>
      </c>
      <c r="M781" s="11">
        <f>8.8024 * CHOOSE(CONTROL!$C$32, $C$9, 100%, $E$9)</f>
        <v>8.8024000000000004</v>
      </c>
      <c r="N781" s="11">
        <f>8.7991 * CHOOSE(CONTROL!$C$32, $C$9, 100%, $E$9)</f>
        <v>8.7990999999999993</v>
      </c>
      <c r="O781" s="11">
        <f>8.8024 * CHOOSE(CONTROL!$C$32, $C$9, 100%, $E$9)</f>
        <v>8.8024000000000004</v>
      </c>
    </row>
    <row r="782" spans="1:15" ht="15" x14ac:dyDescent="0.2">
      <c r="A782" s="13">
        <v>64651</v>
      </c>
      <c r="B782" s="9">
        <f>11.4426 * CHOOSE(CONTROL!$C$32, $C$9, 100%, $E$9)</f>
        <v>11.442600000000001</v>
      </c>
      <c r="C782" s="9">
        <f>11.4426 * CHOOSE(CONTROL!$C$32, $C$9, 100%, $E$9)</f>
        <v>11.442600000000001</v>
      </c>
      <c r="D782" s="9">
        <f>11.4435 * CHOOSE(CONTROL!$C$32, $C$9, 100%, $E$9)</f>
        <v>11.4435</v>
      </c>
      <c r="E782" s="11">
        <f>8.9418 * CHOOSE(CONTROL!$C$32, $C$9, 100%, $E$9)</f>
        <v>8.9418000000000006</v>
      </c>
      <c r="F782" s="11">
        <f>8.9418 * CHOOSE(CONTROL!$C$32, $C$9, 100%, $E$9)</f>
        <v>8.9418000000000006</v>
      </c>
      <c r="G782" s="11">
        <f>8.945 * CHOOSE(CONTROL!$C$32, $C$9, 100%, $E$9)</f>
        <v>8.9450000000000003</v>
      </c>
      <c r="H782" s="11">
        <f>26.6651 * CHOOSE(CONTROL!$C$32, $C$9, 100%, $E$9)</f>
        <v>26.665099999999999</v>
      </c>
      <c r="I782" s="11">
        <f>26.6683 * CHOOSE(CONTROL!$C$32, $C$9, 100%, $E$9)</f>
        <v>26.668299999999999</v>
      </c>
      <c r="J782" s="11">
        <f>26.6651 * CHOOSE(CONTROL!$C$32, $C$9, 100%, $E$9)</f>
        <v>26.665099999999999</v>
      </c>
      <c r="K782" s="11">
        <f>26.6683 * CHOOSE(CONTROL!$C$32, $C$9, 100%, $E$9)</f>
        <v>26.668299999999999</v>
      </c>
      <c r="L782" s="11">
        <f>8.9418 * CHOOSE(CONTROL!$C$32, $C$9, 100%, $E$9)</f>
        <v>8.9418000000000006</v>
      </c>
      <c r="M782" s="11">
        <f>8.945 * CHOOSE(CONTROL!$C$32, $C$9, 100%, $E$9)</f>
        <v>8.9450000000000003</v>
      </c>
      <c r="N782" s="11">
        <f>8.9418 * CHOOSE(CONTROL!$C$32, $C$9, 100%, $E$9)</f>
        <v>8.9418000000000006</v>
      </c>
      <c r="O782" s="11">
        <f>8.945 * CHOOSE(CONTROL!$C$32, $C$9, 100%, $E$9)</f>
        <v>8.9450000000000003</v>
      </c>
    </row>
    <row r="783" spans="1:15" ht="15" x14ac:dyDescent="0.2">
      <c r="A783" s="13">
        <v>64682</v>
      </c>
      <c r="B783" s="9">
        <f>11.4395 * CHOOSE(CONTROL!$C$32, $C$9, 100%, $E$9)</f>
        <v>11.439500000000001</v>
      </c>
      <c r="C783" s="9">
        <f>11.4395 * CHOOSE(CONTROL!$C$32, $C$9, 100%, $E$9)</f>
        <v>11.439500000000001</v>
      </c>
      <c r="D783" s="9">
        <f>11.4405 * CHOOSE(CONTROL!$C$32, $C$9, 100%, $E$9)</f>
        <v>11.4405</v>
      </c>
      <c r="E783" s="11">
        <f>8.6011 * CHOOSE(CONTROL!$C$32, $C$9, 100%, $E$9)</f>
        <v>8.6011000000000006</v>
      </c>
      <c r="F783" s="11">
        <f>8.6011 * CHOOSE(CONTROL!$C$32, $C$9, 100%, $E$9)</f>
        <v>8.6011000000000006</v>
      </c>
      <c r="G783" s="11">
        <f>8.6044 * CHOOSE(CONTROL!$C$32, $C$9, 100%, $E$9)</f>
        <v>8.6044</v>
      </c>
      <c r="H783" s="11">
        <f>26.7206 * CHOOSE(CONTROL!$C$32, $C$9, 100%, $E$9)</f>
        <v>26.720600000000001</v>
      </c>
      <c r="I783" s="11">
        <f>26.7239 * CHOOSE(CONTROL!$C$32, $C$9, 100%, $E$9)</f>
        <v>26.7239</v>
      </c>
      <c r="J783" s="11">
        <f>26.7206 * CHOOSE(CONTROL!$C$32, $C$9, 100%, $E$9)</f>
        <v>26.720600000000001</v>
      </c>
      <c r="K783" s="11">
        <f>26.7239 * CHOOSE(CONTROL!$C$32, $C$9, 100%, $E$9)</f>
        <v>26.7239</v>
      </c>
      <c r="L783" s="11">
        <f>8.6011 * CHOOSE(CONTROL!$C$32, $C$9, 100%, $E$9)</f>
        <v>8.6011000000000006</v>
      </c>
      <c r="M783" s="11">
        <f>8.6044 * CHOOSE(CONTROL!$C$32, $C$9, 100%, $E$9)</f>
        <v>8.6044</v>
      </c>
      <c r="N783" s="11">
        <f>8.6011 * CHOOSE(CONTROL!$C$32, $C$9, 100%, $E$9)</f>
        <v>8.6011000000000006</v>
      </c>
      <c r="O783" s="11">
        <f>8.6044 * CHOOSE(CONTROL!$C$32, $C$9, 100%, $E$9)</f>
        <v>8.6044</v>
      </c>
    </row>
    <row r="784" spans="1:15" ht="15" x14ac:dyDescent="0.2">
      <c r="A784" s="13">
        <v>64710</v>
      </c>
      <c r="B784" s="9">
        <f>11.4365 * CHOOSE(CONTROL!$C$32, $C$9, 100%, $E$9)</f>
        <v>11.436500000000001</v>
      </c>
      <c r="C784" s="9">
        <f>11.4365 * CHOOSE(CONTROL!$C$32, $C$9, 100%, $E$9)</f>
        <v>11.436500000000001</v>
      </c>
      <c r="D784" s="9">
        <f>11.4375 * CHOOSE(CONTROL!$C$32, $C$9, 100%, $E$9)</f>
        <v>11.4375</v>
      </c>
      <c r="E784" s="11">
        <f>8.8659 * CHOOSE(CONTROL!$C$32, $C$9, 100%, $E$9)</f>
        <v>8.8658999999999999</v>
      </c>
      <c r="F784" s="11">
        <f>8.8659 * CHOOSE(CONTROL!$C$32, $C$9, 100%, $E$9)</f>
        <v>8.8658999999999999</v>
      </c>
      <c r="G784" s="11">
        <f>8.8691 * CHOOSE(CONTROL!$C$32, $C$9, 100%, $E$9)</f>
        <v>8.8690999999999995</v>
      </c>
      <c r="H784" s="11">
        <f>26.7763 * CHOOSE(CONTROL!$C$32, $C$9, 100%, $E$9)</f>
        <v>26.776299999999999</v>
      </c>
      <c r="I784" s="11">
        <f>26.7795 * CHOOSE(CONTROL!$C$32, $C$9, 100%, $E$9)</f>
        <v>26.779499999999999</v>
      </c>
      <c r="J784" s="11">
        <f>26.7763 * CHOOSE(CONTROL!$C$32, $C$9, 100%, $E$9)</f>
        <v>26.776299999999999</v>
      </c>
      <c r="K784" s="11">
        <f>26.7795 * CHOOSE(CONTROL!$C$32, $C$9, 100%, $E$9)</f>
        <v>26.779499999999999</v>
      </c>
      <c r="L784" s="11">
        <f>8.8659 * CHOOSE(CONTROL!$C$32, $C$9, 100%, $E$9)</f>
        <v>8.8658999999999999</v>
      </c>
      <c r="M784" s="11">
        <f>8.8691 * CHOOSE(CONTROL!$C$32, $C$9, 100%, $E$9)</f>
        <v>8.8690999999999995</v>
      </c>
      <c r="N784" s="11">
        <f>8.8659 * CHOOSE(CONTROL!$C$32, $C$9, 100%, $E$9)</f>
        <v>8.8658999999999999</v>
      </c>
      <c r="O784" s="11">
        <f>8.8691 * CHOOSE(CONTROL!$C$32, $C$9, 100%, $E$9)</f>
        <v>8.8690999999999995</v>
      </c>
    </row>
    <row r="785" spans="1:15" ht="15" x14ac:dyDescent="0.2">
      <c r="A785" s="13">
        <v>64741</v>
      </c>
      <c r="B785" s="9">
        <f>11.4414 * CHOOSE(CONTROL!$C$32, $C$9, 100%, $E$9)</f>
        <v>11.4414</v>
      </c>
      <c r="C785" s="9">
        <f>11.4414 * CHOOSE(CONTROL!$C$32, $C$9, 100%, $E$9)</f>
        <v>11.4414</v>
      </c>
      <c r="D785" s="9">
        <f>11.4423 * CHOOSE(CONTROL!$C$32, $C$9, 100%, $E$9)</f>
        <v>11.442299999999999</v>
      </c>
      <c r="E785" s="11">
        <f>9.1482 * CHOOSE(CONTROL!$C$32, $C$9, 100%, $E$9)</f>
        <v>9.1481999999999992</v>
      </c>
      <c r="F785" s="11">
        <f>9.1482 * CHOOSE(CONTROL!$C$32, $C$9, 100%, $E$9)</f>
        <v>9.1481999999999992</v>
      </c>
      <c r="G785" s="11">
        <f>9.1515 * CHOOSE(CONTROL!$C$32, $C$9, 100%, $E$9)</f>
        <v>9.1515000000000004</v>
      </c>
      <c r="H785" s="11">
        <f>26.8321 * CHOOSE(CONTROL!$C$32, $C$9, 100%, $E$9)</f>
        <v>26.832100000000001</v>
      </c>
      <c r="I785" s="11">
        <f>26.8353 * CHOOSE(CONTROL!$C$32, $C$9, 100%, $E$9)</f>
        <v>26.8353</v>
      </c>
      <c r="J785" s="11">
        <f>26.8321 * CHOOSE(CONTROL!$C$32, $C$9, 100%, $E$9)</f>
        <v>26.832100000000001</v>
      </c>
      <c r="K785" s="11">
        <f>26.8353 * CHOOSE(CONTROL!$C$32, $C$9, 100%, $E$9)</f>
        <v>26.8353</v>
      </c>
      <c r="L785" s="11">
        <f>9.1482 * CHOOSE(CONTROL!$C$32, $C$9, 100%, $E$9)</f>
        <v>9.1481999999999992</v>
      </c>
      <c r="M785" s="11">
        <f>9.1515 * CHOOSE(CONTROL!$C$32, $C$9, 100%, $E$9)</f>
        <v>9.1515000000000004</v>
      </c>
      <c r="N785" s="11">
        <f>9.1482 * CHOOSE(CONTROL!$C$32, $C$9, 100%, $E$9)</f>
        <v>9.1481999999999992</v>
      </c>
      <c r="O785" s="11">
        <f>9.1515 * CHOOSE(CONTROL!$C$32, $C$9, 100%, $E$9)</f>
        <v>9.1515000000000004</v>
      </c>
    </row>
    <row r="786" spans="1:15" ht="15" x14ac:dyDescent="0.2">
      <c r="A786" s="13">
        <v>64771</v>
      </c>
      <c r="B786" s="9">
        <f>11.4414 * CHOOSE(CONTROL!$C$32, $C$9, 100%, $E$9)</f>
        <v>11.4414</v>
      </c>
      <c r="C786" s="9">
        <f>11.4414 * CHOOSE(CONTROL!$C$32, $C$9, 100%, $E$9)</f>
        <v>11.4414</v>
      </c>
      <c r="D786" s="9">
        <f>11.4426 * CHOOSE(CONTROL!$C$32, $C$9, 100%, $E$9)</f>
        <v>11.442600000000001</v>
      </c>
      <c r="E786" s="11">
        <f>9.2557 * CHOOSE(CONTROL!$C$32, $C$9, 100%, $E$9)</f>
        <v>9.2556999999999992</v>
      </c>
      <c r="F786" s="11">
        <f>9.2557 * CHOOSE(CONTROL!$C$32, $C$9, 100%, $E$9)</f>
        <v>9.2556999999999992</v>
      </c>
      <c r="G786" s="11">
        <f>9.2599 * CHOOSE(CONTROL!$C$32, $C$9, 100%, $E$9)</f>
        <v>9.2599</v>
      </c>
      <c r="H786" s="11">
        <f>26.888 * CHOOSE(CONTROL!$C$32, $C$9, 100%, $E$9)</f>
        <v>26.888000000000002</v>
      </c>
      <c r="I786" s="11">
        <f>26.8922 * CHOOSE(CONTROL!$C$32, $C$9, 100%, $E$9)</f>
        <v>26.892199999999999</v>
      </c>
      <c r="J786" s="11">
        <f>26.888 * CHOOSE(CONTROL!$C$32, $C$9, 100%, $E$9)</f>
        <v>26.888000000000002</v>
      </c>
      <c r="K786" s="11">
        <f>26.8922 * CHOOSE(CONTROL!$C$32, $C$9, 100%, $E$9)</f>
        <v>26.892199999999999</v>
      </c>
      <c r="L786" s="11">
        <f>9.2557 * CHOOSE(CONTROL!$C$32, $C$9, 100%, $E$9)</f>
        <v>9.2556999999999992</v>
      </c>
      <c r="M786" s="11">
        <f>9.2599 * CHOOSE(CONTROL!$C$32, $C$9, 100%, $E$9)</f>
        <v>9.2599</v>
      </c>
      <c r="N786" s="11">
        <f>9.2557 * CHOOSE(CONTROL!$C$32, $C$9, 100%, $E$9)</f>
        <v>9.2556999999999992</v>
      </c>
      <c r="O786" s="11">
        <f>9.2599 * CHOOSE(CONTROL!$C$32, $C$9, 100%, $E$9)</f>
        <v>9.2599</v>
      </c>
    </row>
    <row r="787" spans="1:15" ht="15" x14ac:dyDescent="0.2">
      <c r="A787" s="13">
        <v>64802</v>
      </c>
      <c r="B787" s="9">
        <f>11.4474 * CHOOSE(CONTROL!$C$32, $C$9, 100%, $E$9)</f>
        <v>11.4474</v>
      </c>
      <c r="C787" s="9">
        <f>11.4474 * CHOOSE(CONTROL!$C$32, $C$9, 100%, $E$9)</f>
        <v>11.4474</v>
      </c>
      <c r="D787" s="9">
        <f>11.4487 * CHOOSE(CONTROL!$C$32, $C$9, 100%, $E$9)</f>
        <v>11.448700000000001</v>
      </c>
      <c r="E787" s="11">
        <f>9.1525 * CHOOSE(CONTROL!$C$32, $C$9, 100%, $E$9)</f>
        <v>9.1524999999999999</v>
      </c>
      <c r="F787" s="11">
        <f>9.1525 * CHOOSE(CONTROL!$C$32, $C$9, 100%, $E$9)</f>
        <v>9.1524999999999999</v>
      </c>
      <c r="G787" s="11">
        <f>9.1567 * CHOOSE(CONTROL!$C$32, $C$9, 100%, $E$9)</f>
        <v>9.1567000000000007</v>
      </c>
      <c r="H787" s="11">
        <f>26.944 * CHOOSE(CONTROL!$C$32, $C$9, 100%, $E$9)</f>
        <v>26.943999999999999</v>
      </c>
      <c r="I787" s="11">
        <f>26.9482 * CHOOSE(CONTROL!$C$32, $C$9, 100%, $E$9)</f>
        <v>26.9482</v>
      </c>
      <c r="J787" s="11">
        <f>26.944 * CHOOSE(CONTROL!$C$32, $C$9, 100%, $E$9)</f>
        <v>26.943999999999999</v>
      </c>
      <c r="K787" s="11">
        <f>26.9482 * CHOOSE(CONTROL!$C$32, $C$9, 100%, $E$9)</f>
        <v>26.9482</v>
      </c>
      <c r="L787" s="11">
        <f>9.1525 * CHOOSE(CONTROL!$C$32, $C$9, 100%, $E$9)</f>
        <v>9.1524999999999999</v>
      </c>
      <c r="M787" s="11">
        <f>9.1567 * CHOOSE(CONTROL!$C$32, $C$9, 100%, $E$9)</f>
        <v>9.1567000000000007</v>
      </c>
      <c r="N787" s="11">
        <f>9.1525 * CHOOSE(CONTROL!$C$32, $C$9, 100%, $E$9)</f>
        <v>9.1524999999999999</v>
      </c>
      <c r="O787" s="11">
        <f>9.1567 * CHOOSE(CONTROL!$C$32, $C$9, 100%, $E$9)</f>
        <v>9.1567000000000007</v>
      </c>
    </row>
    <row r="788" spans="1:15" ht="15" x14ac:dyDescent="0.2">
      <c r="A788" s="13">
        <v>64832</v>
      </c>
      <c r="B788" s="9">
        <f>11.5877 * CHOOSE(CONTROL!$C$32, $C$9, 100%, $E$9)</f>
        <v>11.5877</v>
      </c>
      <c r="C788" s="9">
        <f>11.5877 * CHOOSE(CONTROL!$C$32, $C$9, 100%, $E$9)</f>
        <v>11.5877</v>
      </c>
      <c r="D788" s="9">
        <f>11.5889 * CHOOSE(CONTROL!$C$32, $C$9, 100%, $E$9)</f>
        <v>11.588900000000001</v>
      </c>
      <c r="E788" s="11">
        <f>9.2065 * CHOOSE(CONTROL!$C$32, $C$9, 100%, $E$9)</f>
        <v>9.2065000000000001</v>
      </c>
      <c r="F788" s="11">
        <f>9.2065 * CHOOSE(CONTROL!$C$32, $C$9, 100%, $E$9)</f>
        <v>9.2065000000000001</v>
      </c>
      <c r="G788" s="11">
        <f>9.2107 * CHOOSE(CONTROL!$C$32, $C$9, 100%, $E$9)</f>
        <v>9.2106999999999992</v>
      </c>
      <c r="H788" s="11">
        <f>27.0001 * CHOOSE(CONTROL!$C$32, $C$9, 100%, $E$9)</f>
        <v>27.0001</v>
      </c>
      <c r="I788" s="11">
        <f>27.0043 * CHOOSE(CONTROL!$C$32, $C$9, 100%, $E$9)</f>
        <v>27.004300000000001</v>
      </c>
      <c r="J788" s="11">
        <f>27.0001 * CHOOSE(CONTROL!$C$32, $C$9, 100%, $E$9)</f>
        <v>27.0001</v>
      </c>
      <c r="K788" s="11">
        <f>27.0043 * CHOOSE(CONTROL!$C$32, $C$9, 100%, $E$9)</f>
        <v>27.004300000000001</v>
      </c>
      <c r="L788" s="11">
        <f>9.2065 * CHOOSE(CONTROL!$C$32, $C$9, 100%, $E$9)</f>
        <v>9.2065000000000001</v>
      </c>
      <c r="M788" s="11">
        <f>9.2107 * CHOOSE(CONTROL!$C$32, $C$9, 100%, $E$9)</f>
        <v>9.2106999999999992</v>
      </c>
      <c r="N788" s="11">
        <f>9.2065 * CHOOSE(CONTROL!$C$32, $C$9, 100%, $E$9)</f>
        <v>9.2065000000000001</v>
      </c>
      <c r="O788" s="11">
        <f>9.2107 * CHOOSE(CONTROL!$C$32, $C$9, 100%, $E$9)</f>
        <v>9.2106999999999992</v>
      </c>
    </row>
    <row r="789" spans="1:15" ht="15" x14ac:dyDescent="0.2">
      <c r="A789" s="13">
        <v>64863</v>
      </c>
      <c r="B789" s="9">
        <f>11.5944 * CHOOSE(CONTROL!$C$32, $C$9, 100%, $E$9)</f>
        <v>11.5944</v>
      </c>
      <c r="C789" s="9">
        <f>11.5944 * CHOOSE(CONTROL!$C$32, $C$9, 100%, $E$9)</f>
        <v>11.5944</v>
      </c>
      <c r="D789" s="9">
        <f>11.5956 * CHOOSE(CONTROL!$C$32, $C$9, 100%, $E$9)</f>
        <v>11.595599999999999</v>
      </c>
      <c r="E789" s="11">
        <f>8.8887 * CHOOSE(CONTROL!$C$32, $C$9, 100%, $E$9)</f>
        <v>8.8887</v>
      </c>
      <c r="F789" s="11">
        <f>8.8887 * CHOOSE(CONTROL!$C$32, $C$9, 100%, $E$9)</f>
        <v>8.8887</v>
      </c>
      <c r="G789" s="11">
        <f>8.8929 * CHOOSE(CONTROL!$C$32, $C$9, 100%, $E$9)</f>
        <v>8.8928999999999991</v>
      </c>
      <c r="H789" s="11">
        <f>27.0564 * CHOOSE(CONTROL!$C$32, $C$9, 100%, $E$9)</f>
        <v>27.0564</v>
      </c>
      <c r="I789" s="11">
        <f>27.0606 * CHOOSE(CONTROL!$C$32, $C$9, 100%, $E$9)</f>
        <v>27.060600000000001</v>
      </c>
      <c r="J789" s="11">
        <f>27.0564 * CHOOSE(CONTROL!$C$32, $C$9, 100%, $E$9)</f>
        <v>27.0564</v>
      </c>
      <c r="K789" s="11">
        <f>27.0606 * CHOOSE(CONTROL!$C$32, $C$9, 100%, $E$9)</f>
        <v>27.060600000000001</v>
      </c>
      <c r="L789" s="11">
        <f>8.8887 * CHOOSE(CONTROL!$C$32, $C$9, 100%, $E$9)</f>
        <v>8.8887</v>
      </c>
      <c r="M789" s="11">
        <f>8.8929 * CHOOSE(CONTROL!$C$32, $C$9, 100%, $E$9)</f>
        <v>8.8928999999999991</v>
      </c>
      <c r="N789" s="11">
        <f>8.8887 * CHOOSE(CONTROL!$C$32, $C$9, 100%, $E$9)</f>
        <v>8.8887</v>
      </c>
      <c r="O789" s="11">
        <f>8.8929 * CHOOSE(CONTROL!$C$32, $C$9, 100%, $E$9)</f>
        <v>8.8928999999999991</v>
      </c>
    </row>
    <row r="790" spans="1:15" ht="15" x14ac:dyDescent="0.2">
      <c r="A790" s="13">
        <v>64894</v>
      </c>
      <c r="B790" s="9">
        <f>11.5913 * CHOOSE(CONTROL!$C$32, $C$9, 100%, $E$9)</f>
        <v>11.5913</v>
      </c>
      <c r="C790" s="9">
        <f>11.5913 * CHOOSE(CONTROL!$C$32, $C$9, 100%, $E$9)</f>
        <v>11.5913</v>
      </c>
      <c r="D790" s="9">
        <f>11.5926 * CHOOSE(CONTROL!$C$32, $C$9, 100%, $E$9)</f>
        <v>11.592599999999999</v>
      </c>
      <c r="E790" s="11">
        <f>8.8508 * CHOOSE(CONTROL!$C$32, $C$9, 100%, $E$9)</f>
        <v>8.8507999999999996</v>
      </c>
      <c r="F790" s="11">
        <f>8.8508 * CHOOSE(CONTROL!$C$32, $C$9, 100%, $E$9)</f>
        <v>8.8507999999999996</v>
      </c>
      <c r="G790" s="11">
        <f>8.855 * CHOOSE(CONTROL!$C$32, $C$9, 100%, $E$9)</f>
        <v>8.8550000000000004</v>
      </c>
      <c r="H790" s="11">
        <f>27.1128 * CHOOSE(CONTROL!$C$32, $C$9, 100%, $E$9)</f>
        <v>27.1128</v>
      </c>
      <c r="I790" s="11">
        <f>27.117 * CHOOSE(CONTROL!$C$32, $C$9, 100%, $E$9)</f>
        <v>27.117000000000001</v>
      </c>
      <c r="J790" s="11">
        <f>27.1128 * CHOOSE(CONTROL!$C$32, $C$9, 100%, $E$9)</f>
        <v>27.1128</v>
      </c>
      <c r="K790" s="11">
        <f>27.117 * CHOOSE(CONTROL!$C$32, $C$9, 100%, $E$9)</f>
        <v>27.117000000000001</v>
      </c>
      <c r="L790" s="11">
        <f>8.8508 * CHOOSE(CONTROL!$C$32, $C$9, 100%, $E$9)</f>
        <v>8.8507999999999996</v>
      </c>
      <c r="M790" s="11">
        <f>8.855 * CHOOSE(CONTROL!$C$32, $C$9, 100%, $E$9)</f>
        <v>8.8550000000000004</v>
      </c>
      <c r="N790" s="11">
        <f>8.8508 * CHOOSE(CONTROL!$C$32, $C$9, 100%, $E$9)</f>
        <v>8.8507999999999996</v>
      </c>
      <c r="O790" s="11">
        <f>8.855 * CHOOSE(CONTROL!$C$32, $C$9, 100%, $E$9)</f>
        <v>8.8550000000000004</v>
      </c>
    </row>
    <row r="791" spans="1:15" ht="15" x14ac:dyDescent="0.2">
      <c r="A791" s="13">
        <v>64924</v>
      </c>
      <c r="B791" s="9">
        <f>11.6148 * CHOOSE(CONTROL!$C$32, $C$9, 100%, $E$9)</f>
        <v>11.614800000000001</v>
      </c>
      <c r="C791" s="9">
        <f>11.6148 * CHOOSE(CONTROL!$C$32, $C$9, 100%, $E$9)</f>
        <v>11.614800000000001</v>
      </c>
      <c r="D791" s="9">
        <f>11.6157 * CHOOSE(CONTROL!$C$32, $C$9, 100%, $E$9)</f>
        <v>11.6157</v>
      </c>
      <c r="E791" s="11">
        <f>8.9807 * CHOOSE(CONTROL!$C$32, $C$9, 100%, $E$9)</f>
        <v>8.9807000000000006</v>
      </c>
      <c r="F791" s="11">
        <f>8.9807 * CHOOSE(CONTROL!$C$32, $C$9, 100%, $E$9)</f>
        <v>8.9807000000000006</v>
      </c>
      <c r="G791" s="11">
        <f>8.9839 * CHOOSE(CONTROL!$C$32, $C$9, 100%, $E$9)</f>
        <v>8.9839000000000002</v>
      </c>
      <c r="H791" s="11">
        <f>27.1692 * CHOOSE(CONTROL!$C$32, $C$9, 100%, $E$9)</f>
        <v>27.1692</v>
      </c>
      <c r="I791" s="11">
        <f>27.1725 * CHOOSE(CONTROL!$C$32, $C$9, 100%, $E$9)</f>
        <v>27.172499999999999</v>
      </c>
      <c r="J791" s="11">
        <f>27.1692 * CHOOSE(CONTROL!$C$32, $C$9, 100%, $E$9)</f>
        <v>27.1692</v>
      </c>
      <c r="K791" s="11">
        <f>27.1725 * CHOOSE(CONTROL!$C$32, $C$9, 100%, $E$9)</f>
        <v>27.172499999999999</v>
      </c>
      <c r="L791" s="11">
        <f>8.9807 * CHOOSE(CONTROL!$C$32, $C$9, 100%, $E$9)</f>
        <v>8.9807000000000006</v>
      </c>
      <c r="M791" s="11">
        <f>8.9839 * CHOOSE(CONTROL!$C$32, $C$9, 100%, $E$9)</f>
        <v>8.9839000000000002</v>
      </c>
      <c r="N791" s="11">
        <f>8.9807 * CHOOSE(CONTROL!$C$32, $C$9, 100%, $E$9)</f>
        <v>8.9807000000000006</v>
      </c>
      <c r="O791" s="11">
        <f>8.9839 * CHOOSE(CONTROL!$C$32, $C$9, 100%, $E$9)</f>
        <v>8.9839000000000002</v>
      </c>
    </row>
    <row r="792" spans="1:15" ht="15" x14ac:dyDescent="0.2">
      <c r="A792" s="13">
        <v>64955</v>
      </c>
      <c r="B792" s="9">
        <f>11.6178 * CHOOSE(CONTROL!$C$32, $C$9, 100%, $E$9)</f>
        <v>11.617800000000001</v>
      </c>
      <c r="C792" s="9">
        <f>11.6178 * CHOOSE(CONTROL!$C$32, $C$9, 100%, $E$9)</f>
        <v>11.617800000000001</v>
      </c>
      <c r="D792" s="9">
        <f>11.6188 * CHOOSE(CONTROL!$C$32, $C$9, 100%, $E$9)</f>
        <v>11.6188</v>
      </c>
      <c r="E792" s="11">
        <f>9.0544 * CHOOSE(CONTROL!$C$32, $C$9, 100%, $E$9)</f>
        <v>9.0543999999999993</v>
      </c>
      <c r="F792" s="11">
        <f>9.0544 * CHOOSE(CONTROL!$C$32, $C$9, 100%, $E$9)</f>
        <v>9.0543999999999993</v>
      </c>
      <c r="G792" s="11">
        <f>9.0577 * CHOOSE(CONTROL!$C$32, $C$9, 100%, $E$9)</f>
        <v>9.0577000000000005</v>
      </c>
      <c r="H792" s="11">
        <f>27.2258 * CHOOSE(CONTROL!$C$32, $C$9, 100%, $E$9)</f>
        <v>27.2258</v>
      </c>
      <c r="I792" s="11">
        <f>27.2291 * CHOOSE(CONTROL!$C$32, $C$9, 100%, $E$9)</f>
        <v>27.229099999999999</v>
      </c>
      <c r="J792" s="11">
        <f>27.2258 * CHOOSE(CONTROL!$C$32, $C$9, 100%, $E$9)</f>
        <v>27.2258</v>
      </c>
      <c r="K792" s="11">
        <f>27.2291 * CHOOSE(CONTROL!$C$32, $C$9, 100%, $E$9)</f>
        <v>27.229099999999999</v>
      </c>
      <c r="L792" s="11">
        <f>9.0544 * CHOOSE(CONTROL!$C$32, $C$9, 100%, $E$9)</f>
        <v>9.0543999999999993</v>
      </c>
      <c r="M792" s="11">
        <f>9.0577 * CHOOSE(CONTROL!$C$32, $C$9, 100%, $E$9)</f>
        <v>9.0577000000000005</v>
      </c>
      <c r="N792" s="11">
        <f>9.0544 * CHOOSE(CONTROL!$C$32, $C$9, 100%, $E$9)</f>
        <v>9.0543999999999993</v>
      </c>
      <c r="O792" s="11">
        <f>9.0577 * CHOOSE(CONTROL!$C$32, $C$9, 100%, $E$9)</f>
        <v>9.0577000000000005</v>
      </c>
    </row>
    <row r="793" spans="1:15" ht="15" x14ac:dyDescent="0.2">
      <c r="A793" s="13">
        <v>64985</v>
      </c>
      <c r="B793" s="9">
        <f>11.6178 * CHOOSE(CONTROL!$C$32, $C$9, 100%, $E$9)</f>
        <v>11.617800000000001</v>
      </c>
      <c r="C793" s="9">
        <f>11.6178 * CHOOSE(CONTROL!$C$32, $C$9, 100%, $E$9)</f>
        <v>11.617800000000001</v>
      </c>
      <c r="D793" s="9">
        <f>11.6188 * CHOOSE(CONTROL!$C$32, $C$9, 100%, $E$9)</f>
        <v>11.6188</v>
      </c>
      <c r="E793" s="11">
        <f>8.8753 * CHOOSE(CONTROL!$C$32, $C$9, 100%, $E$9)</f>
        <v>8.8752999999999993</v>
      </c>
      <c r="F793" s="11">
        <f>8.8753 * CHOOSE(CONTROL!$C$32, $C$9, 100%, $E$9)</f>
        <v>8.8752999999999993</v>
      </c>
      <c r="G793" s="11">
        <f>8.8785 * CHOOSE(CONTROL!$C$32, $C$9, 100%, $E$9)</f>
        <v>8.8785000000000007</v>
      </c>
      <c r="H793" s="11">
        <f>27.2826 * CHOOSE(CONTROL!$C$32, $C$9, 100%, $E$9)</f>
        <v>27.282599999999999</v>
      </c>
      <c r="I793" s="11">
        <f>27.2858 * CHOOSE(CONTROL!$C$32, $C$9, 100%, $E$9)</f>
        <v>27.285799999999998</v>
      </c>
      <c r="J793" s="11">
        <f>27.2826 * CHOOSE(CONTROL!$C$32, $C$9, 100%, $E$9)</f>
        <v>27.282599999999999</v>
      </c>
      <c r="K793" s="11">
        <f>27.2858 * CHOOSE(CONTROL!$C$32, $C$9, 100%, $E$9)</f>
        <v>27.285799999999998</v>
      </c>
      <c r="L793" s="11">
        <f>8.8753 * CHOOSE(CONTROL!$C$32, $C$9, 100%, $E$9)</f>
        <v>8.8752999999999993</v>
      </c>
      <c r="M793" s="11">
        <f>8.8785 * CHOOSE(CONTROL!$C$32, $C$9, 100%, $E$9)</f>
        <v>8.8785000000000007</v>
      </c>
      <c r="N793" s="11">
        <f>8.8753 * CHOOSE(CONTROL!$C$32, $C$9, 100%, $E$9)</f>
        <v>8.8752999999999993</v>
      </c>
      <c r="O793" s="11">
        <f>8.8785 * CHOOSE(CONTROL!$C$32, $C$9, 100%, $E$9)</f>
        <v>8.8785000000000007</v>
      </c>
    </row>
    <row r="794" spans="1:15" ht="15" x14ac:dyDescent="0.2">
      <c r="A794" s="13">
        <v>65016</v>
      </c>
      <c r="B794" s="9">
        <f>11.6299 * CHOOSE(CONTROL!$C$32, $C$9, 100%, $E$9)</f>
        <v>11.629899999999999</v>
      </c>
      <c r="C794" s="9">
        <f>11.6299 * CHOOSE(CONTROL!$C$32, $C$9, 100%, $E$9)</f>
        <v>11.629899999999999</v>
      </c>
      <c r="D794" s="9">
        <f>11.6309 * CHOOSE(CONTROL!$C$32, $C$9, 100%, $E$9)</f>
        <v>11.6309</v>
      </c>
      <c r="E794" s="11">
        <f>9.0191 * CHOOSE(CONTROL!$C$32, $C$9, 100%, $E$9)</f>
        <v>9.0190999999999999</v>
      </c>
      <c r="F794" s="11">
        <f>9.0191 * CHOOSE(CONTROL!$C$32, $C$9, 100%, $E$9)</f>
        <v>9.0190999999999999</v>
      </c>
      <c r="G794" s="11">
        <f>9.0223 * CHOOSE(CONTROL!$C$32, $C$9, 100%, $E$9)</f>
        <v>9.0222999999999995</v>
      </c>
      <c r="H794" s="11">
        <f>27.1367 * CHOOSE(CONTROL!$C$32, $C$9, 100%, $E$9)</f>
        <v>27.136700000000001</v>
      </c>
      <c r="I794" s="11">
        <f>27.1399 * CHOOSE(CONTROL!$C$32, $C$9, 100%, $E$9)</f>
        <v>27.139900000000001</v>
      </c>
      <c r="J794" s="11">
        <f>27.1367 * CHOOSE(CONTROL!$C$32, $C$9, 100%, $E$9)</f>
        <v>27.136700000000001</v>
      </c>
      <c r="K794" s="11">
        <f>27.1399 * CHOOSE(CONTROL!$C$32, $C$9, 100%, $E$9)</f>
        <v>27.139900000000001</v>
      </c>
      <c r="L794" s="11">
        <f>9.0191 * CHOOSE(CONTROL!$C$32, $C$9, 100%, $E$9)</f>
        <v>9.0190999999999999</v>
      </c>
      <c r="M794" s="11">
        <f>9.0223 * CHOOSE(CONTROL!$C$32, $C$9, 100%, $E$9)</f>
        <v>9.0222999999999995</v>
      </c>
      <c r="N794" s="11">
        <f>9.0191 * CHOOSE(CONTROL!$C$32, $C$9, 100%, $E$9)</f>
        <v>9.0190999999999999</v>
      </c>
      <c r="O794" s="11">
        <f>9.0223 * CHOOSE(CONTROL!$C$32, $C$9, 100%, $E$9)</f>
        <v>9.0222999999999995</v>
      </c>
    </row>
    <row r="795" spans="1:15" ht="15" x14ac:dyDescent="0.2">
      <c r="A795" s="13">
        <v>65047</v>
      </c>
      <c r="B795" s="9">
        <f>11.6269 * CHOOSE(CONTROL!$C$32, $C$9, 100%, $E$9)</f>
        <v>11.626899999999999</v>
      </c>
      <c r="C795" s="9">
        <f>11.6269 * CHOOSE(CONTROL!$C$32, $C$9, 100%, $E$9)</f>
        <v>11.626899999999999</v>
      </c>
      <c r="D795" s="9">
        <f>11.6279 * CHOOSE(CONTROL!$C$32, $C$9, 100%, $E$9)</f>
        <v>11.6279</v>
      </c>
      <c r="E795" s="11">
        <f>8.6713 * CHOOSE(CONTROL!$C$32, $C$9, 100%, $E$9)</f>
        <v>8.6713000000000005</v>
      </c>
      <c r="F795" s="11">
        <f>8.6713 * CHOOSE(CONTROL!$C$32, $C$9, 100%, $E$9)</f>
        <v>8.6713000000000005</v>
      </c>
      <c r="G795" s="11">
        <f>8.6746 * CHOOSE(CONTROL!$C$32, $C$9, 100%, $E$9)</f>
        <v>8.6745999999999999</v>
      </c>
      <c r="H795" s="11">
        <f>27.1932 * CHOOSE(CONTROL!$C$32, $C$9, 100%, $E$9)</f>
        <v>27.193200000000001</v>
      </c>
      <c r="I795" s="11">
        <f>27.1964 * CHOOSE(CONTROL!$C$32, $C$9, 100%, $E$9)</f>
        <v>27.196400000000001</v>
      </c>
      <c r="J795" s="11">
        <f>27.1932 * CHOOSE(CONTROL!$C$32, $C$9, 100%, $E$9)</f>
        <v>27.193200000000001</v>
      </c>
      <c r="K795" s="11">
        <f>27.1964 * CHOOSE(CONTROL!$C$32, $C$9, 100%, $E$9)</f>
        <v>27.196400000000001</v>
      </c>
      <c r="L795" s="11">
        <f>8.6713 * CHOOSE(CONTROL!$C$32, $C$9, 100%, $E$9)</f>
        <v>8.6713000000000005</v>
      </c>
      <c r="M795" s="11">
        <f>8.6746 * CHOOSE(CONTROL!$C$32, $C$9, 100%, $E$9)</f>
        <v>8.6745999999999999</v>
      </c>
      <c r="N795" s="11">
        <f>8.6713 * CHOOSE(CONTROL!$C$32, $C$9, 100%, $E$9)</f>
        <v>8.6713000000000005</v>
      </c>
      <c r="O795" s="11">
        <f>8.6746 * CHOOSE(CONTROL!$C$32, $C$9, 100%, $E$9)</f>
        <v>8.6745999999999999</v>
      </c>
    </row>
    <row r="796" spans="1:15" ht="15" x14ac:dyDescent="0.2">
      <c r="A796" s="13">
        <v>65075</v>
      </c>
      <c r="B796" s="9">
        <f>11.6239 * CHOOSE(CONTROL!$C$32, $C$9, 100%, $E$9)</f>
        <v>11.623900000000001</v>
      </c>
      <c r="C796" s="9">
        <f>11.6239 * CHOOSE(CONTROL!$C$32, $C$9, 100%, $E$9)</f>
        <v>11.623900000000001</v>
      </c>
      <c r="D796" s="9">
        <f>11.6248 * CHOOSE(CONTROL!$C$32, $C$9, 100%, $E$9)</f>
        <v>11.6248</v>
      </c>
      <c r="E796" s="11">
        <f>8.9417 * CHOOSE(CONTROL!$C$32, $C$9, 100%, $E$9)</f>
        <v>8.9417000000000009</v>
      </c>
      <c r="F796" s="11">
        <f>8.9417 * CHOOSE(CONTROL!$C$32, $C$9, 100%, $E$9)</f>
        <v>8.9417000000000009</v>
      </c>
      <c r="G796" s="11">
        <f>8.9449 * CHOOSE(CONTROL!$C$32, $C$9, 100%, $E$9)</f>
        <v>8.9449000000000005</v>
      </c>
      <c r="H796" s="11">
        <f>27.2499 * CHOOSE(CONTROL!$C$32, $C$9, 100%, $E$9)</f>
        <v>27.2499</v>
      </c>
      <c r="I796" s="11">
        <f>27.2531 * CHOOSE(CONTROL!$C$32, $C$9, 100%, $E$9)</f>
        <v>27.2531</v>
      </c>
      <c r="J796" s="11">
        <f>27.2499 * CHOOSE(CONTROL!$C$32, $C$9, 100%, $E$9)</f>
        <v>27.2499</v>
      </c>
      <c r="K796" s="11">
        <f>27.2531 * CHOOSE(CONTROL!$C$32, $C$9, 100%, $E$9)</f>
        <v>27.2531</v>
      </c>
      <c r="L796" s="11">
        <f>8.9417 * CHOOSE(CONTROL!$C$32, $C$9, 100%, $E$9)</f>
        <v>8.9417000000000009</v>
      </c>
      <c r="M796" s="11">
        <f>8.9449 * CHOOSE(CONTROL!$C$32, $C$9, 100%, $E$9)</f>
        <v>8.9449000000000005</v>
      </c>
      <c r="N796" s="11">
        <f>8.9417 * CHOOSE(CONTROL!$C$32, $C$9, 100%, $E$9)</f>
        <v>8.9417000000000009</v>
      </c>
      <c r="O796" s="11">
        <f>8.9449 * CHOOSE(CONTROL!$C$32, $C$9, 100%, $E$9)</f>
        <v>8.9449000000000005</v>
      </c>
    </row>
    <row r="797" spans="1:15" ht="15" x14ac:dyDescent="0.2">
      <c r="A797" s="13">
        <v>65106</v>
      </c>
      <c r="B797" s="9">
        <f>11.6289 * CHOOSE(CONTROL!$C$32, $C$9, 100%, $E$9)</f>
        <v>11.6289</v>
      </c>
      <c r="C797" s="9">
        <f>11.6289 * CHOOSE(CONTROL!$C$32, $C$9, 100%, $E$9)</f>
        <v>11.6289</v>
      </c>
      <c r="D797" s="9">
        <f>11.6299 * CHOOSE(CONTROL!$C$32, $C$9, 100%, $E$9)</f>
        <v>11.629899999999999</v>
      </c>
      <c r="E797" s="11">
        <f>9.23 * CHOOSE(CONTROL!$C$32, $C$9, 100%, $E$9)</f>
        <v>9.23</v>
      </c>
      <c r="F797" s="11">
        <f>9.23 * CHOOSE(CONTROL!$C$32, $C$9, 100%, $E$9)</f>
        <v>9.23</v>
      </c>
      <c r="G797" s="11">
        <f>9.2332 * CHOOSE(CONTROL!$C$32, $C$9, 100%, $E$9)</f>
        <v>9.2332000000000001</v>
      </c>
      <c r="H797" s="11">
        <f>27.3066 * CHOOSE(CONTROL!$C$32, $C$9, 100%, $E$9)</f>
        <v>27.3066</v>
      </c>
      <c r="I797" s="11">
        <f>27.3098 * CHOOSE(CONTROL!$C$32, $C$9, 100%, $E$9)</f>
        <v>27.309799999999999</v>
      </c>
      <c r="J797" s="11">
        <f>27.3066 * CHOOSE(CONTROL!$C$32, $C$9, 100%, $E$9)</f>
        <v>27.3066</v>
      </c>
      <c r="K797" s="11">
        <f>27.3098 * CHOOSE(CONTROL!$C$32, $C$9, 100%, $E$9)</f>
        <v>27.309799999999999</v>
      </c>
      <c r="L797" s="11">
        <f>9.23 * CHOOSE(CONTROL!$C$32, $C$9, 100%, $E$9)</f>
        <v>9.23</v>
      </c>
      <c r="M797" s="11">
        <f>9.2332 * CHOOSE(CONTROL!$C$32, $C$9, 100%, $E$9)</f>
        <v>9.2332000000000001</v>
      </c>
      <c r="N797" s="11">
        <f>9.23 * CHOOSE(CONTROL!$C$32, $C$9, 100%, $E$9)</f>
        <v>9.23</v>
      </c>
      <c r="O797" s="11">
        <f>9.2332 * CHOOSE(CONTROL!$C$32, $C$9, 100%, $E$9)</f>
        <v>9.2332000000000001</v>
      </c>
    </row>
    <row r="798" spans="1:15" ht="15" x14ac:dyDescent="0.2">
      <c r="A798" s="13">
        <v>65136</v>
      </c>
      <c r="B798" s="9">
        <f>11.6289 * CHOOSE(CONTROL!$C$32, $C$9, 100%, $E$9)</f>
        <v>11.6289</v>
      </c>
      <c r="C798" s="9">
        <f>11.6289 * CHOOSE(CONTROL!$C$32, $C$9, 100%, $E$9)</f>
        <v>11.6289</v>
      </c>
      <c r="D798" s="9">
        <f>11.6302 * CHOOSE(CONTROL!$C$32, $C$9, 100%, $E$9)</f>
        <v>11.6302</v>
      </c>
      <c r="E798" s="11">
        <f>9.3397 * CHOOSE(CONTROL!$C$32, $C$9, 100%, $E$9)</f>
        <v>9.3397000000000006</v>
      </c>
      <c r="F798" s="11">
        <f>9.3397 * CHOOSE(CONTROL!$C$32, $C$9, 100%, $E$9)</f>
        <v>9.3397000000000006</v>
      </c>
      <c r="G798" s="11">
        <f>9.3439 * CHOOSE(CONTROL!$C$32, $C$9, 100%, $E$9)</f>
        <v>9.3438999999999997</v>
      </c>
      <c r="H798" s="11">
        <f>27.3635 * CHOOSE(CONTROL!$C$32, $C$9, 100%, $E$9)</f>
        <v>27.363499999999998</v>
      </c>
      <c r="I798" s="11">
        <f>27.3677 * CHOOSE(CONTROL!$C$32, $C$9, 100%, $E$9)</f>
        <v>27.367699999999999</v>
      </c>
      <c r="J798" s="11">
        <f>27.3635 * CHOOSE(CONTROL!$C$32, $C$9, 100%, $E$9)</f>
        <v>27.363499999999998</v>
      </c>
      <c r="K798" s="11">
        <f>27.3677 * CHOOSE(CONTROL!$C$32, $C$9, 100%, $E$9)</f>
        <v>27.367699999999999</v>
      </c>
      <c r="L798" s="11">
        <f>9.3397 * CHOOSE(CONTROL!$C$32, $C$9, 100%, $E$9)</f>
        <v>9.3397000000000006</v>
      </c>
      <c r="M798" s="11">
        <f>9.3439 * CHOOSE(CONTROL!$C$32, $C$9, 100%, $E$9)</f>
        <v>9.3438999999999997</v>
      </c>
      <c r="N798" s="11">
        <f>9.3397 * CHOOSE(CONTROL!$C$32, $C$9, 100%, $E$9)</f>
        <v>9.3397000000000006</v>
      </c>
      <c r="O798" s="11">
        <f>9.3439 * CHOOSE(CONTROL!$C$32, $C$9, 100%, $E$9)</f>
        <v>9.3438999999999997</v>
      </c>
    </row>
    <row r="799" spans="1:15" ht="15" x14ac:dyDescent="0.2">
      <c r="A799" s="13">
        <v>65167</v>
      </c>
      <c r="B799" s="9">
        <f>11.635 * CHOOSE(CONTROL!$C$32, $C$9, 100%, $E$9)</f>
        <v>11.635</v>
      </c>
      <c r="C799" s="9">
        <f>11.635 * CHOOSE(CONTROL!$C$32, $C$9, 100%, $E$9)</f>
        <v>11.635</v>
      </c>
      <c r="D799" s="9">
        <f>11.6362 * CHOOSE(CONTROL!$C$32, $C$9, 100%, $E$9)</f>
        <v>11.636200000000001</v>
      </c>
      <c r="E799" s="11">
        <f>9.2343 * CHOOSE(CONTROL!$C$32, $C$9, 100%, $E$9)</f>
        <v>9.2342999999999993</v>
      </c>
      <c r="F799" s="11">
        <f>9.2343 * CHOOSE(CONTROL!$C$32, $C$9, 100%, $E$9)</f>
        <v>9.2342999999999993</v>
      </c>
      <c r="G799" s="11">
        <f>9.2385 * CHOOSE(CONTROL!$C$32, $C$9, 100%, $E$9)</f>
        <v>9.2385000000000002</v>
      </c>
      <c r="H799" s="11">
        <f>27.4205 * CHOOSE(CONTROL!$C$32, $C$9, 100%, $E$9)</f>
        <v>27.420500000000001</v>
      </c>
      <c r="I799" s="11">
        <f>27.4247 * CHOOSE(CONTROL!$C$32, $C$9, 100%, $E$9)</f>
        <v>27.424700000000001</v>
      </c>
      <c r="J799" s="11">
        <f>27.4205 * CHOOSE(CONTROL!$C$32, $C$9, 100%, $E$9)</f>
        <v>27.420500000000001</v>
      </c>
      <c r="K799" s="11">
        <f>27.4247 * CHOOSE(CONTROL!$C$32, $C$9, 100%, $E$9)</f>
        <v>27.424700000000001</v>
      </c>
      <c r="L799" s="11">
        <f>9.2343 * CHOOSE(CONTROL!$C$32, $C$9, 100%, $E$9)</f>
        <v>9.2342999999999993</v>
      </c>
      <c r="M799" s="11">
        <f>9.2385 * CHOOSE(CONTROL!$C$32, $C$9, 100%, $E$9)</f>
        <v>9.2385000000000002</v>
      </c>
      <c r="N799" s="11">
        <f>9.2343 * CHOOSE(CONTROL!$C$32, $C$9, 100%, $E$9)</f>
        <v>9.2342999999999993</v>
      </c>
      <c r="O799" s="11">
        <f>9.2385 * CHOOSE(CONTROL!$C$32, $C$9, 100%, $E$9)</f>
        <v>9.2385000000000002</v>
      </c>
    </row>
    <row r="800" spans="1:15" ht="15" x14ac:dyDescent="0.2">
      <c r="A800" s="13">
        <v>65197</v>
      </c>
      <c r="B800" s="9">
        <f>11.7773 * CHOOSE(CONTROL!$C$32, $C$9, 100%, $E$9)</f>
        <v>11.7773</v>
      </c>
      <c r="C800" s="9">
        <f>11.7773 * CHOOSE(CONTROL!$C$32, $C$9, 100%, $E$9)</f>
        <v>11.7773</v>
      </c>
      <c r="D800" s="9">
        <f>11.7785 * CHOOSE(CONTROL!$C$32, $C$9, 100%, $E$9)</f>
        <v>11.778499999999999</v>
      </c>
      <c r="E800" s="11">
        <f>9.2894 * CHOOSE(CONTROL!$C$32, $C$9, 100%, $E$9)</f>
        <v>9.2894000000000005</v>
      </c>
      <c r="F800" s="11">
        <f>9.2894 * CHOOSE(CONTROL!$C$32, $C$9, 100%, $E$9)</f>
        <v>9.2894000000000005</v>
      </c>
      <c r="G800" s="11">
        <f>9.2936 * CHOOSE(CONTROL!$C$32, $C$9, 100%, $E$9)</f>
        <v>9.2935999999999996</v>
      </c>
      <c r="H800" s="11">
        <f>27.4776 * CHOOSE(CONTROL!$C$32, $C$9, 100%, $E$9)</f>
        <v>27.477599999999999</v>
      </c>
      <c r="I800" s="11">
        <f>27.4818 * CHOOSE(CONTROL!$C$32, $C$9, 100%, $E$9)</f>
        <v>27.4818</v>
      </c>
      <c r="J800" s="11">
        <f>27.4776 * CHOOSE(CONTROL!$C$32, $C$9, 100%, $E$9)</f>
        <v>27.477599999999999</v>
      </c>
      <c r="K800" s="11">
        <f>27.4818 * CHOOSE(CONTROL!$C$32, $C$9, 100%, $E$9)</f>
        <v>27.4818</v>
      </c>
      <c r="L800" s="11">
        <f>9.2894 * CHOOSE(CONTROL!$C$32, $C$9, 100%, $E$9)</f>
        <v>9.2894000000000005</v>
      </c>
      <c r="M800" s="11">
        <f>9.2936 * CHOOSE(CONTROL!$C$32, $C$9, 100%, $E$9)</f>
        <v>9.2935999999999996</v>
      </c>
      <c r="N800" s="11">
        <f>9.2894 * CHOOSE(CONTROL!$C$32, $C$9, 100%, $E$9)</f>
        <v>9.2894000000000005</v>
      </c>
      <c r="O800" s="11">
        <f>9.2936 * CHOOSE(CONTROL!$C$32, $C$9, 100%, $E$9)</f>
        <v>9.2935999999999996</v>
      </c>
    </row>
    <row r="801" spans="1:15" ht="15" x14ac:dyDescent="0.2">
      <c r="A801" s="13">
        <v>65228</v>
      </c>
      <c r="B801" s="9">
        <f>11.784 * CHOOSE(CONTROL!$C$32, $C$9, 100%, $E$9)</f>
        <v>11.784000000000001</v>
      </c>
      <c r="C801" s="9">
        <f>11.784 * CHOOSE(CONTROL!$C$32, $C$9, 100%, $E$9)</f>
        <v>11.784000000000001</v>
      </c>
      <c r="D801" s="9">
        <f>11.7852 * CHOOSE(CONTROL!$C$32, $C$9, 100%, $E$9)</f>
        <v>11.7852</v>
      </c>
      <c r="E801" s="11">
        <f>8.9649 * CHOOSE(CONTROL!$C$32, $C$9, 100%, $E$9)</f>
        <v>8.9649000000000001</v>
      </c>
      <c r="F801" s="11">
        <f>8.9649 * CHOOSE(CONTROL!$C$32, $C$9, 100%, $E$9)</f>
        <v>8.9649000000000001</v>
      </c>
      <c r="G801" s="11">
        <f>8.9691 * CHOOSE(CONTROL!$C$32, $C$9, 100%, $E$9)</f>
        <v>8.9690999999999992</v>
      </c>
      <c r="H801" s="11">
        <f>27.5349 * CHOOSE(CONTROL!$C$32, $C$9, 100%, $E$9)</f>
        <v>27.5349</v>
      </c>
      <c r="I801" s="11">
        <f>27.5391 * CHOOSE(CONTROL!$C$32, $C$9, 100%, $E$9)</f>
        <v>27.539100000000001</v>
      </c>
      <c r="J801" s="11">
        <f>27.5349 * CHOOSE(CONTROL!$C$32, $C$9, 100%, $E$9)</f>
        <v>27.5349</v>
      </c>
      <c r="K801" s="11">
        <f>27.5391 * CHOOSE(CONTROL!$C$32, $C$9, 100%, $E$9)</f>
        <v>27.539100000000001</v>
      </c>
      <c r="L801" s="11">
        <f>8.9649 * CHOOSE(CONTROL!$C$32, $C$9, 100%, $E$9)</f>
        <v>8.9649000000000001</v>
      </c>
      <c r="M801" s="11">
        <f>8.9691 * CHOOSE(CONTROL!$C$32, $C$9, 100%, $E$9)</f>
        <v>8.9690999999999992</v>
      </c>
      <c r="N801" s="11">
        <f>8.9649 * CHOOSE(CONTROL!$C$32, $C$9, 100%, $E$9)</f>
        <v>8.9649000000000001</v>
      </c>
      <c r="O801" s="11">
        <f>8.9691 * CHOOSE(CONTROL!$C$32, $C$9, 100%, $E$9)</f>
        <v>8.9690999999999992</v>
      </c>
    </row>
    <row r="802" spans="1:15" ht="15" x14ac:dyDescent="0.2">
      <c r="A802" s="13">
        <v>65259</v>
      </c>
      <c r="B802" s="9">
        <f>11.7809 * CHOOSE(CONTROL!$C$32, $C$9, 100%, $E$9)</f>
        <v>11.780900000000001</v>
      </c>
      <c r="C802" s="9">
        <f>11.7809 * CHOOSE(CONTROL!$C$32, $C$9, 100%, $E$9)</f>
        <v>11.780900000000001</v>
      </c>
      <c r="D802" s="9">
        <f>11.7822 * CHOOSE(CONTROL!$C$32, $C$9, 100%, $E$9)</f>
        <v>11.7822</v>
      </c>
      <c r="E802" s="11">
        <f>8.9262 * CHOOSE(CONTROL!$C$32, $C$9, 100%, $E$9)</f>
        <v>8.9261999999999997</v>
      </c>
      <c r="F802" s="11">
        <f>8.9262 * CHOOSE(CONTROL!$C$32, $C$9, 100%, $E$9)</f>
        <v>8.9261999999999997</v>
      </c>
      <c r="G802" s="11">
        <f>8.9304 * CHOOSE(CONTROL!$C$32, $C$9, 100%, $E$9)</f>
        <v>8.9304000000000006</v>
      </c>
      <c r="H802" s="11">
        <f>27.5923 * CHOOSE(CONTROL!$C$32, $C$9, 100%, $E$9)</f>
        <v>27.592300000000002</v>
      </c>
      <c r="I802" s="11">
        <f>27.5965 * CHOOSE(CONTROL!$C$32, $C$9, 100%, $E$9)</f>
        <v>27.596499999999999</v>
      </c>
      <c r="J802" s="11">
        <f>27.5923 * CHOOSE(CONTROL!$C$32, $C$9, 100%, $E$9)</f>
        <v>27.592300000000002</v>
      </c>
      <c r="K802" s="11">
        <f>27.5965 * CHOOSE(CONTROL!$C$32, $C$9, 100%, $E$9)</f>
        <v>27.596499999999999</v>
      </c>
      <c r="L802" s="11">
        <f>8.9262 * CHOOSE(CONTROL!$C$32, $C$9, 100%, $E$9)</f>
        <v>8.9261999999999997</v>
      </c>
      <c r="M802" s="11">
        <f>8.9304 * CHOOSE(CONTROL!$C$32, $C$9, 100%, $E$9)</f>
        <v>8.9304000000000006</v>
      </c>
      <c r="N802" s="11">
        <f>8.9262 * CHOOSE(CONTROL!$C$32, $C$9, 100%, $E$9)</f>
        <v>8.9261999999999997</v>
      </c>
      <c r="O802" s="11">
        <f>8.9304 * CHOOSE(CONTROL!$C$32, $C$9, 100%, $E$9)</f>
        <v>8.9304000000000006</v>
      </c>
    </row>
    <row r="803" spans="1:15" ht="15" x14ac:dyDescent="0.2">
      <c r="A803" s="13">
        <v>65289</v>
      </c>
      <c r="B803" s="9">
        <f>11.8051 * CHOOSE(CONTROL!$C$32, $C$9, 100%, $E$9)</f>
        <v>11.805099999999999</v>
      </c>
      <c r="C803" s="9">
        <f>11.8051 * CHOOSE(CONTROL!$C$32, $C$9, 100%, $E$9)</f>
        <v>11.805099999999999</v>
      </c>
      <c r="D803" s="9">
        <f>11.806 * CHOOSE(CONTROL!$C$32, $C$9, 100%, $E$9)</f>
        <v>11.805999999999999</v>
      </c>
      <c r="E803" s="11">
        <f>9.0591 * CHOOSE(CONTROL!$C$32, $C$9, 100%, $E$9)</f>
        <v>9.0591000000000008</v>
      </c>
      <c r="F803" s="11">
        <f>9.0591 * CHOOSE(CONTROL!$C$32, $C$9, 100%, $E$9)</f>
        <v>9.0591000000000008</v>
      </c>
      <c r="G803" s="11">
        <f>9.0623 * CHOOSE(CONTROL!$C$32, $C$9, 100%, $E$9)</f>
        <v>9.0623000000000005</v>
      </c>
      <c r="H803" s="11">
        <f>27.6497 * CHOOSE(CONTROL!$C$32, $C$9, 100%, $E$9)</f>
        <v>27.649699999999999</v>
      </c>
      <c r="I803" s="11">
        <f>27.653 * CHOOSE(CONTROL!$C$32, $C$9, 100%, $E$9)</f>
        <v>27.652999999999999</v>
      </c>
      <c r="J803" s="11">
        <f>27.6497 * CHOOSE(CONTROL!$C$32, $C$9, 100%, $E$9)</f>
        <v>27.649699999999999</v>
      </c>
      <c r="K803" s="11">
        <f>27.653 * CHOOSE(CONTROL!$C$32, $C$9, 100%, $E$9)</f>
        <v>27.652999999999999</v>
      </c>
      <c r="L803" s="11">
        <f>9.0591 * CHOOSE(CONTROL!$C$32, $C$9, 100%, $E$9)</f>
        <v>9.0591000000000008</v>
      </c>
      <c r="M803" s="11">
        <f>9.0623 * CHOOSE(CONTROL!$C$32, $C$9, 100%, $E$9)</f>
        <v>9.0623000000000005</v>
      </c>
      <c r="N803" s="11">
        <f>9.0591 * CHOOSE(CONTROL!$C$32, $C$9, 100%, $E$9)</f>
        <v>9.0591000000000008</v>
      </c>
      <c r="O803" s="11">
        <f>9.0623 * CHOOSE(CONTROL!$C$32, $C$9, 100%, $E$9)</f>
        <v>9.0623000000000005</v>
      </c>
    </row>
    <row r="804" spans="1:15" ht="15" x14ac:dyDescent="0.2">
      <c r="A804" s="13">
        <v>65320</v>
      </c>
      <c r="B804" s="9">
        <f>11.8081 * CHOOSE(CONTROL!$C$32, $C$9, 100%, $E$9)</f>
        <v>11.8081</v>
      </c>
      <c r="C804" s="9">
        <f>11.8081 * CHOOSE(CONTROL!$C$32, $C$9, 100%, $E$9)</f>
        <v>11.8081</v>
      </c>
      <c r="D804" s="9">
        <f>11.8091 * CHOOSE(CONTROL!$C$32, $C$9, 100%, $E$9)</f>
        <v>11.809100000000001</v>
      </c>
      <c r="E804" s="11">
        <f>9.1343 * CHOOSE(CONTROL!$C$32, $C$9, 100%, $E$9)</f>
        <v>9.1342999999999996</v>
      </c>
      <c r="F804" s="11">
        <f>9.1343 * CHOOSE(CONTROL!$C$32, $C$9, 100%, $E$9)</f>
        <v>9.1342999999999996</v>
      </c>
      <c r="G804" s="11">
        <f>9.1376 * CHOOSE(CONTROL!$C$32, $C$9, 100%, $E$9)</f>
        <v>9.1376000000000008</v>
      </c>
      <c r="H804" s="11">
        <f>27.7073 * CHOOSE(CONTROL!$C$32, $C$9, 100%, $E$9)</f>
        <v>27.7073</v>
      </c>
      <c r="I804" s="11">
        <f>27.7106 * CHOOSE(CONTROL!$C$32, $C$9, 100%, $E$9)</f>
        <v>27.710599999999999</v>
      </c>
      <c r="J804" s="11">
        <f>27.7073 * CHOOSE(CONTROL!$C$32, $C$9, 100%, $E$9)</f>
        <v>27.7073</v>
      </c>
      <c r="K804" s="11">
        <f>27.7106 * CHOOSE(CONTROL!$C$32, $C$9, 100%, $E$9)</f>
        <v>27.710599999999999</v>
      </c>
      <c r="L804" s="11">
        <f>9.1343 * CHOOSE(CONTROL!$C$32, $C$9, 100%, $E$9)</f>
        <v>9.1342999999999996</v>
      </c>
      <c r="M804" s="11">
        <f>9.1376 * CHOOSE(CONTROL!$C$32, $C$9, 100%, $E$9)</f>
        <v>9.1376000000000008</v>
      </c>
      <c r="N804" s="11">
        <f>9.1343 * CHOOSE(CONTROL!$C$32, $C$9, 100%, $E$9)</f>
        <v>9.1342999999999996</v>
      </c>
      <c r="O804" s="11">
        <f>9.1376 * CHOOSE(CONTROL!$C$32, $C$9, 100%, $E$9)</f>
        <v>9.1376000000000008</v>
      </c>
    </row>
    <row r="805" spans="1:15" ht="15" x14ac:dyDescent="0.2">
      <c r="A805" s="13">
        <v>65350</v>
      </c>
      <c r="B805" s="9">
        <f>11.8081 * CHOOSE(CONTROL!$C$32, $C$9, 100%, $E$9)</f>
        <v>11.8081</v>
      </c>
      <c r="C805" s="9">
        <f>11.8081 * CHOOSE(CONTROL!$C$32, $C$9, 100%, $E$9)</f>
        <v>11.8081</v>
      </c>
      <c r="D805" s="9">
        <f>11.8091 * CHOOSE(CONTROL!$C$32, $C$9, 100%, $E$9)</f>
        <v>11.809100000000001</v>
      </c>
      <c r="E805" s="11">
        <f>8.9515 * CHOOSE(CONTROL!$C$32, $C$9, 100%, $E$9)</f>
        <v>8.9514999999999993</v>
      </c>
      <c r="F805" s="11">
        <f>8.9515 * CHOOSE(CONTROL!$C$32, $C$9, 100%, $E$9)</f>
        <v>8.9514999999999993</v>
      </c>
      <c r="G805" s="11">
        <f>8.9547 * CHOOSE(CONTROL!$C$32, $C$9, 100%, $E$9)</f>
        <v>8.9547000000000008</v>
      </c>
      <c r="H805" s="11">
        <f>27.7651 * CHOOSE(CONTROL!$C$32, $C$9, 100%, $E$9)</f>
        <v>27.7651</v>
      </c>
      <c r="I805" s="11">
        <f>27.7683 * CHOOSE(CONTROL!$C$32, $C$9, 100%, $E$9)</f>
        <v>27.7683</v>
      </c>
      <c r="J805" s="11">
        <f>27.7651 * CHOOSE(CONTROL!$C$32, $C$9, 100%, $E$9)</f>
        <v>27.7651</v>
      </c>
      <c r="K805" s="11">
        <f>27.7683 * CHOOSE(CONTROL!$C$32, $C$9, 100%, $E$9)</f>
        <v>27.7683</v>
      </c>
      <c r="L805" s="11">
        <f>8.9515 * CHOOSE(CONTROL!$C$32, $C$9, 100%, $E$9)</f>
        <v>8.9514999999999993</v>
      </c>
      <c r="M805" s="11">
        <f>8.9547 * CHOOSE(CONTROL!$C$32, $C$9, 100%, $E$9)</f>
        <v>8.9547000000000008</v>
      </c>
      <c r="N805" s="11">
        <f>8.9515 * CHOOSE(CONTROL!$C$32, $C$9, 100%, $E$9)</f>
        <v>8.9514999999999993</v>
      </c>
      <c r="O805" s="11">
        <f>8.9547 * CHOOSE(CONTROL!$C$32, $C$9, 100%, $E$9)</f>
        <v>8.9547000000000008</v>
      </c>
    </row>
    <row r="806" spans="1:15" ht="15" x14ac:dyDescent="0.2">
      <c r="A806" s="13">
        <v>65381</v>
      </c>
      <c r="B806" s="9">
        <f>11.8173 * CHOOSE(CONTROL!$C$32, $C$9, 100%, $E$9)</f>
        <v>11.817299999999999</v>
      </c>
      <c r="C806" s="9">
        <f>11.8173 * CHOOSE(CONTROL!$C$32, $C$9, 100%, $E$9)</f>
        <v>11.817299999999999</v>
      </c>
      <c r="D806" s="9">
        <f>11.8182 * CHOOSE(CONTROL!$C$32, $C$9, 100%, $E$9)</f>
        <v>11.818199999999999</v>
      </c>
      <c r="E806" s="11">
        <f>9.0963 * CHOOSE(CONTROL!$C$32, $C$9, 100%, $E$9)</f>
        <v>9.0962999999999994</v>
      </c>
      <c r="F806" s="11">
        <f>9.0963 * CHOOSE(CONTROL!$C$32, $C$9, 100%, $E$9)</f>
        <v>9.0962999999999994</v>
      </c>
      <c r="G806" s="11">
        <f>9.0996 * CHOOSE(CONTROL!$C$32, $C$9, 100%, $E$9)</f>
        <v>9.0996000000000006</v>
      </c>
      <c r="H806" s="11">
        <f>27.6082 * CHOOSE(CONTROL!$C$32, $C$9, 100%, $E$9)</f>
        <v>27.6082</v>
      </c>
      <c r="I806" s="11">
        <f>27.6115 * CHOOSE(CONTROL!$C$32, $C$9, 100%, $E$9)</f>
        <v>27.611499999999999</v>
      </c>
      <c r="J806" s="11">
        <f>27.6082 * CHOOSE(CONTROL!$C$32, $C$9, 100%, $E$9)</f>
        <v>27.6082</v>
      </c>
      <c r="K806" s="11">
        <f>27.6115 * CHOOSE(CONTROL!$C$32, $C$9, 100%, $E$9)</f>
        <v>27.611499999999999</v>
      </c>
      <c r="L806" s="11">
        <f>9.0963 * CHOOSE(CONTROL!$C$32, $C$9, 100%, $E$9)</f>
        <v>9.0962999999999994</v>
      </c>
      <c r="M806" s="11">
        <f>9.0996 * CHOOSE(CONTROL!$C$32, $C$9, 100%, $E$9)</f>
        <v>9.0996000000000006</v>
      </c>
      <c r="N806" s="11">
        <f>9.0963 * CHOOSE(CONTROL!$C$32, $C$9, 100%, $E$9)</f>
        <v>9.0962999999999994</v>
      </c>
      <c r="O806" s="11">
        <f>9.0996 * CHOOSE(CONTROL!$C$32, $C$9, 100%, $E$9)</f>
        <v>9.0996000000000006</v>
      </c>
    </row>
    <row r="807" spans="1:15" ht="15" x14ac:dyDescent="0.2">
      <c r="A807" s="13">
        <v>65412</v>
      </c>
      <c r="B807" s="9">
        <f>11.8143 * CHOOSE(CONTROL!$C$32, $C$9, 100%, $E$9)</f>
        <v>11.814299999999999</v>
      </c>
      <c r="C807" s="9">
        <f>11.8143 * CHOOSE(CONTROL!$C$32, $C$9, 100%, $E$9)</f>
        <v>11.814299999999999</v>
      </c>
      <c r="D807" s="9">
        <f>11.8152 * CHOOSE(CONTROL!$C$32, $C$9, 100%, $E$9)</f>
        <v>11.815200000000001</v>
      </c>
      <c r="E807" s="11">
        <f>8.7415 * CHOOSE(CONTROL!$C$32, $C$9, 100%, $E$9)</f>
        <v>8.7415000000000003</v>
      </c>
      <c r="F807" s="11">
        <f>8.7415 * CHOOSE(CONTROL!$C$32, $C$9, 100%, $E$9)</f>
        <v>8.7415000000000003</v>
      </c>
      <c r="G807" s="11">
        <f>8.7448 * CHOOSE(CONTROL!$C$32, $C$9, 100%, $E$9)</f>
        <v>8.7447999999999997</v>
      </c>
      <c r="H807" s="11">
        <f>27.6658 * CHOOSE(CONTROL!$C$32, $C$9, 100%, $E$9)</f>
        <v>27.665800000000001</v>
      </c>
      <c r="I807" s="11">
        <f>27.669 * CHOOSE(CONTROL!$C$32, $C$9, 100%, $E$9)</f>
        <v>27.669</v>
      </c>
      <c r="J807" s="11">
        <f>27.6658 * CHOOSE(CONTROL!$C$32, $C$9, 100%, $E$9)</f>
        <v>27.665800000000001</v>
      </c>
      <c r="K807" s="11">
        <f>27.669 * CHOOSE(CONTROL!$C$32, $C$9, 100%, $E$9)</f>
        <v>27.669</v>
      </c>
      <c r="L807" s="11">
        <f>8.7415 * CHOOSE(CONTROL!$C$32, $C$9, 100%, $E$9)</f>
        <v>8.7415000000000003</v>
      </c>
      <c r="M807" s="11">
        <f>8.7448 * CHOOSE(CONTROL!$C$32, $C$9, 100%, $E$9)</f>
        <v>8.7447999999999997</v>
      </c>
      <c r="N807" s="11">
        <f>8.7415 * CHOOSE(CONTROL!$C$32, $C$9, 100%, $E$9)</f>
        <v>8.7415000000000003</v>
      </c>
      <c r="O807" s="11">
        <f>8.7448 * CHOOSE(CONTROL!$C$32, $C$9, 100%, $E$9)</f>
        <v>8.7447999999999997</v>
      </c>
    </row>
    <row r="808" spans="1:15" ht="15" x14ac:dyDescent="0.2">
      <c r="A808" s="13">
        <v>65440</v>
      </c>
      <c r="B808" s="9">
        <f>11.8112 * CHOOSE(CONTROL!$C$32, $C$9, 100%, $E$9)</f>
        <v>11.811199999999999</v>
      </c>
      <c r="C808" s="9">
        <f>11.8112 * CHOOSE(CONTROL!$C$32, $C$9, 100%, $E$9)</f>
        <v>11.811199999999999</v>
      </c>
      <c r="D808" s="9">
        <f>11.8122 * CHOOSE(CONTROL!$C$32, $C$9, 100%, $E$9)</f>
        <v>11.812200000000001</v>
      </c>
      <c r="E808" s="11">
        <f>9.0174 * CHOOSE(CONTROL!$C$32, $C$9, 100%, $E$9)</f>
        <v>9.0174000000000003</v>
      </c>
      <c r="F808" s="11">
        <f>9.0174 * CHOOSE(CONTROL!$C$32, $C$9, 100%, $E$9)</f>
        <v>9.0174000000000003</v>
      </c>
      <c r="G808" s="11">
        <f>9.0207 * CHOOSE(CONTROL!$C$32, $C$9, 100%, $E$9)</f>
        <v>9.0206999999999997</v>
      </c>
      <c r="H808" s="11">
        <f>27.7234 * CHOOSE(CONTROL!$C$32, $C$9, 100%, $E$9)</f>
        <v>27.723400000000002</v>
      </c>
      <c r="I808" s="11">
        <f>27.7266 * CHOOSE(CONTROL!$C$32, $C$9, 100%, $E$9)</f>
        <v>27.726600000000001</v>
      </c>
      <c r="J808" s="11">
        <f>27.7234 * CHOOSE(CONTROL!$C$32, $C$9, 100%, $E$9)</f>
        <v>27.723400000000002</v>
      </c>
      <c r="K808" s="11">
        <f>27.7266 * CHOOSE(CONTROL!$C$32, $C$9, 100%, $E$9)</f>
        <v>27.726600000000001</v>
      </c>
      <c r="L808" s="11">
        <f>9.0174 * CHOOSE(CONTROL!$C$32, $C$9, 100%, $E$9)</f>
        <v>9.0174000000000003</v>
      </c>
      <c r="M808" s="11">
        <f>9.0207 * CHOOSE(CONTROL!$C$32, $C$9, 100%, $E$9)</f>
        <v>9.0206999999999997</v>
      </c>
      <c r="N808" s="11">
        <f>9.0174 * CHOOSE(CONTROL!$C$32, $C$9, 100%, $E$9)</f>
        <v>9.0174000000000003</v>
      </c>
      <c r="O808" s="11">
        <f>9.0207 * CHOOSE(CONTROL!$C$32, $C$9, 100%, $E$9)</f>
        <v>9.0206999999999997</v>
      </c>
    </row>
    <row r="809" spans="1:15" ht="15" x14ac:dyDescent="0.2">
      <c r="A809" s="13">
        <v>65471</v>
      </c>
      <c r="B809" s="9">
        <f>11.8164 * CHOOSE(CONTROL!$C$32, $C$9, 100%, $E$9)</f>
        <v>11.8164</v>
      </c>
      <c r="C809" s="9">
        <f>11.8164 * CHOOSE(CONTROL!$C$32, $C$9, 100%, $E$9)</f>
        <v>11.8164</v>
      </c>
      <c r="D809" s="9">
        <f>11.8174 * CHOOSE(CONTROL!$C$32, $C$9, 100%, $E$9)</f>
        <v>11.817399999999999</v>
      </c>
      <c r="E809" s="11">
        <f>9.3118 * CHOOSE(CONTROL!$C$32, $C$9, 100%, $E$9)</f>
        <v>9.3117999999999999</v>
      </c>
      <c r="F809" s="11">
        <f>9.3118 * CHOOSE(CONTROL!$C$32, $C$9, 100%, $E$9)</f>
        <v>9.3117999999999999</v>
      </c>
      <c r="G809" s="11">
        <f>9.315 * CHOOSE(CONTROL!$C$32, $C$9, 100%, $E$9)</f>
        <v>9.3149999999999995</v>
      </c>
      <c r="H809" s="11">
        <f>27.7812 * CHOOSE(CONTROL!$C$32, $C$9, 100%, $E$9)</f>
        <v>27.781199999999998</v>
      </c>
      <c r="I809" s="11">
        <f>27.7844 * CHOOSE(CONTROL!$C$32, $C$9, 100%, $E$9)</f>
        <v>27.784400000000002</v>
      </c>
      <c r="J809" s="11">
        <f>27.7812 * CHOOSE(CONTROL!$C$32, $C$9, 100%, $E$9)</f>
        <v>27.781199999999998</v>
      </c>
      <c r="K809" s="11">
        <f>27.7844 * CHOOSE(CONTROL!$C$32, $C$9, 100%, $E$9)</f>
        <v>27.784400000000002</v>
      </c>
      <c r="L809" s="11">
        <f>9.3118 * CHOOSE(CONTROL!$C$32, $C$9, 100%, $E$9)</f>
        <v>9.3117999999999999</v>
      </c>
      <c r="M809" s="11">
        <f>9.315 * CHOOSE(CONTROL!$C$32, $C$9, 100%, $E$9)</f>
        <v>9.3149999999999995</v>
      </c>
      <c r="N809" s="11">
        <f>9.3118 * CHOOSE(CONTROL!$C$32, $C$9, 100%, $E$9)</f>
        <v>9.3117999999999999</v>
      </c>
      <c r="O809" s="11">
        <f>9.315 * CHOOSE(CONTROL!$C$32, $C$9, 100%, $E$9)</f>
        <v>9.3149999999999995</v>
      </c>
    </row>
    <row r="810" spans="1:15" ht="15" x14ac:dyDescent="0.2">
      <c r="A810" s="13">
        <v>65501</v>
      </c>
      <c r="B810" s="9">
        <f>11.8164 * CHOOSE(CONTROL!$C$32, $C$9, 100%, $E$9)</f>
        <v>11.8164</v>
      </c>
      <c r="C810" s="9">
        <f>11.8164 * CHOOSE(CONTROL!$C$32, $C$9, 100%, $E$9)</f>
        <v>11.8164</v>
      </c>
      <c r="D810" s="9">
        <f>11.8177 * CHOOSE(CONTROL!$C$32, $C$9, 100%, $E$9)</f>
        <v>11.8177</v>
      </c>
      <c r="E810" s="11">
        <f>9.4238 * CHOOSE(CONTROL!$C$32, $C$9, 100%, $E$9)</f>
        <v>9.4238</v>
      </c>
      <c r="F810" s="11">
        <f>9.4238 * CHOOSE(CONTROL!$C$32, $C$9, 100%, $E$9)</f>
        <v>9.4238</v>
      </c>
      <c r="G810" s="11">
        <f>9.428 * CHOOSE(CONTROL!$C$32, $C$9, 100%, $E$9)</f>
        <v>9.4280000000000008</v>
      </c>
      <c r="H810" s="11">
        <f>27.839 * CHOOSE(CONTROL!$C$32, $C$9, 100%, $E$9)</f>
        <v>27.838999999999999</v>
      </c>
      <c r="I810" s="11">
        <f>27.8432 * CHOOSE(CONTROL!$C$32, $C$9, 100%, $E$9)</f>
        <v>27.8432</v>
      </c>
      <c r="J810" s="11">
        <f>27.839 * CHOOSE(CONTROL!$C$32, $C$9, 100%, $E$9)</f>
        <v>27.838999999999999</v>
      </c>
      <c r="K810" s="11">
        <f>27.8432 * CHOOSE(CONTROL!$C$32, $C$9, 100%, $E$9)</f>
        <v>27.8432</v>
      </c>
      <c r="L810" s="11">
        <f>9.4238 * CHOOSE(CONTROL!$C$32, $C$9, 100%, $E$9)</f>
        <v>9.4238</v>
      </c>
      <c r="M810" s="11">
        <f>9.428 * CHOOSE(CONTROL!$C$32, $C$9, 100%, $E$9)</f>
        <v>9.4280000000000008</v>
      </c>
      <c r="N810" s="11">
        <f>9.4238 * CHOOSE(CONTROL!$C$32, $C$9, 100%, $E$9)</f>
        <v>9.4238</v>
      </c>
      <c r="O810" s="11">
        <f>9.428 * CHOOSE(CONTROL!$C$32, $C$9, 100%, $E$9)</f>
        <v>9.4280000000000008</v>
      </c>
    </row>
    <row r="811" spans="1:15" ht="15" x14ac:dyDescent="0.2">
      <c r="A811" s="13">
        <v>65532</v>
      </c>
      <c r="B811" s="9">
        <f>11.8225 * CHOOSE(CONTROL!$C$32, $C$9, 100%, $E$9)</f>
        <v>11.8225</v>
      </c>
      <c r="C811" s="9">
        <f>11.8225 * CHOOSE(CONTROL!$C$32, $C$9, 100%, $E$9)</f>
        <v>11.8225</v>
      </c>
      <c r="D811" s="9">
        <f>11.8238 * CHOOSE(CONTROL!$C$32, $C$9, 100%, $E$9)</f>
        <v>11.8238</v>
      </c>
      <c r="E811" s="11">
        <f>9.316 * CHOOSE(CONTROL!$C$32, $C$9, 100%, $E$9)</f>
        <v>9.3160000000000007</v>
      </c>
      <c r="F811" s="11">
        <f>9.316 * CHOOSE(CONTROL!$C$32, $C$9, 100%, $E$9)</f>
        <v>9.3160000000000007</v>
      </c>
      <c r="G811" s="11">
        <f>9.3202 * CHOOSE(CONTROL!$C$32, $C$9, 100%, $E$9)</f>
        <v>9.3201999999999998</v>
      </c>
      <c r="H811" s="11">
        <f>27.897 * CHOOSE(CONTROL!$C$32, $C$9, 100%, $E$9)</f>
        <v>27.896999999999998</v>
      </c>
      <c r="I811" s="11">
        <f>27.9012 * CHOOSE(CONTROL!$C$32, $C$9, 100%, $E$9)</f>
        <v>27.901199999999999</v>
      </c>
      <c r="J811" s="11">
        <f>27.897 * CHOOSE(CONTROL!$C$32, $C$9, 100%, $E$9)</f>
        <v>27.896999999999998</v>
      </c>
      <c r="K811" s="11">
        <f>27.9012 * CHOOSE(CONTROL!$C$32, $C$9, 100%, $E$9)</f>
        <v>27.901199999999999</v>
      </c>
      <c r="L811" s="11">
        <f>9.316 * CHOOSE(CONTROL!$C$32, $C$9, 100%, $E$9)</f>
        <v>9.3160000000000007</v>
      </c>
      <c r="M811" s="11">
        <f>9.3202 * CHOOSE(CONTROL!$C$32, $C$9, 100%, $E$9)</f>
        <v>9.3201999999999998</v>
      </c>
      <c r="N811" s="11">
        <f>9.316 * CHOOSE(CONTROL!$C$32, $C$9, 100%, $E$9)</f>
        <v>9.3160000000000007</v>
      </c>
      <c r="O811" s="11">
        <f>9.3202 * CHOOSE(CONTROL!$C$32, $C$9, 100%, $E$9)</f>
        <v>9.3201999999999998</v>
      </c>
    </row>
    <row r="812" spans="1:15" ht="15" x14ac:dyDescent="0.2">
      <c r="A812" s="13">
        <v>65562</v>
      </c>
      <c r="B812" s="9">
        <f>11.9669 * CHOOSE(CONTROL!$C$32, $C$9, 100%, $E$9)</f>
        <v>11.966900000000001</v>
      </c>
      <c r="C812" s="9">
        <f>11.9669 * CHOOSE(CONTROL!$C$32, $C$9, 100%, $E$9)</f>
        <v>11.966900000000001</v>
      </c>
      <c r="D812" s="9">
        <f>11.9681 * CHOOSE(CONTROL!$C$32, $C$9, 100%, $E$9)</f>
        <v>11.9681</v>
      </c>
      <c r="E812" s="11">
        <f>9.3723 * CHOOSE(CONTROL!$C$32, $C$9, 100%, $E$9)</f>
        <v>9.3722999999999992</v>
      </c>
      <c r="F812" s="11">
        <f>9.3723 * CHOOSE(CONTROL!$C$32, $C$9, 100%, $E$9)</f>
        <v>9.3722999999999992</v>
      </c>
      <c r="G812" s="11">
        <f>9.3765 * CHOOSE(CONTROL!$C$32, $C$9, 100%, $E$9)</f>
        <v>9.3765000000000001</v>
      </c>
      <c r="H812" s="11">
        <f>27.9552 * CHOOSE(CONTROL!$C$32, $C$9, 100%, $E$9)</f>
        <v>27.955200000000001</v>
      </c>
      <c r="I812" s="11">
        <f>27.9594 * CHOOSE(CONTROL!$C$32, $C$9, 100%, $E$9)</f>
        <v>27.959399999999999</v>
      </c>
      <c r="J812" s="11">
        <f>27.9552 * CHOOSE(CONTROL!$C$32, $C$9, 100%, $E$9)</f>
        <v>27.955200000000001</v>
      </c>
      <c r="K812" s="11">
        <f>27.9594 * CHOOSE(CONTROL!$C$32, $C$9, 100%, $E$9)</f>
        <v>27.959399999999999</v>
      </c>
      <c r="L812" s="11">
        <f>9.3723 * CHOOSE(CONTROL!$C$32, $C$9, 100%, $E$9)</f>
        <v>9.3722999999999992</v>
      </c>
      <c r="M812" s="11">
        <f>9.3765 * CHOOSE(CONTROL!$C$32, $C$9, 100%, $E$9)</f>
        <v>9.3765000000000001</v>
      </c>
      <c r="N812" s="11">
        <f>9.3723 * CHOOSE(CONTROL!$C$32, $C$9, 100%, $E$9)</f>
        <v>9.3722999999999992</v>
      </c>
      <c r="O812" s="11">
        <f>9.3765 * CHOOSE(CONTROL!$C$32, $C$9, 100%, $E$9)</f>
        <v>9.3765000000000001</v>
      </c>
    </row>
    <row r="813" spans="1:15" ht="15" x14ac:dyDescent="0.2">
      <c r="A813" s="13">
        <v>65593</v>
      </c>
      <c r="B813" s="9">
        <f>11.9736 * CHOOSE(CONTROL!$C$32, $C$9, 100%, $E$9)</f>
        <v>11.973599999999999</v>
      </c>
      <c r="C813" s="9">
        <f>11.9736 * CHOOSE(CONTROL!$C$32, $C$9, 100%, $E$9)</f>
        <v>11.973599999999999</v>
      </c>
      <c r="D813" s="9">
        <f>11.9748 * CHOOSE(CONTROL!$C$32, $C$9, 100%, $E$9)</f>
        <v>11.9748</v>
      </c>
      <c r="E813" s="11">
        <f>9.0411 * CHOOSE(CONTROL!$C$32, $C$9, 100%, $E$9)</f>
        <v>9.0411000000000001</v>
      </c>
      <c r="F813" s="11">
        <f>9.0411 * CHOOSE(CONTROL!$C$32, $C$9, 100%, $E$9)</f>
        <v>9.0411000000000001</v>
      </c>
      <c r="G813" s="11">
        <f>9.0453 * CHOOSE(CONTROL!$C$32, $C$9, 100%, $E$9)</f>
        <v>9.0452999999999992</v>
      </c>
      <c r="H813" s="11">
        <f>28.0134 * CHOOSE(CONTROL!$C$32, $C$9, 100%, $E$9)</f>
        <v>28.013400000000001</v>
      </c>
      <c r="I813" s="11">
        <f>28.0176 * CHOOSE(CONTROL!$C$32, $C$9, 100%, $E$9)</f>
        <v>28.017600000000002</v>
      </c>
      <c r="J813" s="11">
        <f>28.0134 * CHOOSE(CONTROL!$C$32, $C$9, 100%, $E$9)</f>
        <v>28.013400000000001</v>
      </c>
      <c r="K813" s="11">
        <f>28.0176 * CHOOSE(CONTROL!$C$32, $C$9, 100%, $E$9)</f>
        <v>28.017600000000002</v>
      </c>
      <c r="L813" s="11">
        <f>9.0411 * CHOOSE(CONTROL!$C$32, $C$9, 100%, $E$9)</f>
        <v>9.0411000000000001</v>
      </c>
      <c r="M813" s="11">
        <f>9.0453 * CHOOSE(CONTROL!$C$32, $C$9, 100%, $E$9)</f>
        <v>9.0452999999999992</v>
      </c>
      <c r="N813" s="11">
        <f>9.0411 * CHOOSE(CONTROL!$C$32, $C$9, 100%, $E$9)</f>
        <v>9.0411000000000001</v>
      </c>
      <c r="O813" s="11">
        <f>9.0453 * CHOOSE(CONTROL!$C$32, $C$9, 100%, $E$9)</f>
        <v>9.0452999999999992</v>
      </c>
    </row>
    <row r="814" spans="1:15" ht="15" x14ac:dyDescent="0.2">
      <c r="A814" s="13">
        <v>65624</v>
      </c>
      <c r="B814" s="9">
        <f>11.9705 * CHOOSE(CONTROL!$C$32, $C$9, 100%, $E$9)</f>
        <v>11.970499999999999</v>
      </c>
      <c r="C814" s="9">
        <f>11.9705 * CHOOSE(CONTROL!$C$32, $C$9, 100%, $E$9)</f>
        <v>11.970499999999999</v>
      </c>
      <c r="D814" s="9">
        <f>11.9718 * CHOOSE(CONTROL!$C$32, $C$9, 100%, $E$9)</f>
        <v>11.9718</v>
      </c>
      <c r="E814" s="11">
        <f>9.0016 * CHOOSE(CONTROL!$C$32, $C$9, 100%, $E$9)</f>
        <v>9.0015999999999998</v>
      </c>
      <c r="F814" s="11">
        <f>9.0016 * CHOOSE(CONTROL!$C$32, $C$9, 100%, $E$9)</f>
        <v>9.0015999999999998</v>
      </c>
      <c r="G814" s="11">
        <f>9.0058 * CHOOSE(CONTROL!$C$32, $C$9, 100%, $E$9)</f>
        <v>9.0058000000000007</v>
      </c>
      <c r="H814" s="11">
        <f>28.0718 * CHOOSE(CONTROL!$C$32, $C$9, 100%, $E$9)</f>
        <v>28.0718</v>
      </c>
      <c r="I814" s="11">
        <f>28.076 * CHOOSE(CONTROL!$C$32, $C$9, 100%, $E$9)</f>
        <v>28.076000000000001</v>
      </c>
      <c r="J814" s="11">
        <f>28.0718 * CHOOSE(CONTROL!$C$32, $C$9, 100%, $E$9)</f>
        <v>28.0718</v>
      </c>
      <c r="K814" s="11">
        <f>28.076 * CHOOSE(CONTROL!$C$32, $C$9, 100%, $E$9)</f>
        <v>28.076000000000001</v>
      </c>
      <c r="L814" s="11">
        <f>9.0016 * CHOOSE(CONTROL!$C$32, $C$9, 100%, $E$9)</f>
        <v>9.0015999999999998</v>
      </c>
      <c r="M814" s="11">
        <f>9.0058 * CHOOSE(CONTROL!$C$32, $C$9, 100%, $E$9)</f>
        <v>9.0058000000000007</v>
      </c>
      <c r="N814" s="11">
        <f>9.0016 * CHOOSE(CONTROL!$C$32, $C$9, 100%, $E$9)</f>
        <v>9.0015999999999998</v>
      </c>
      <c r="O814" s="11">
        <f>9.0058 * CHOOSE(CONTROL!$C$32, $C$9, 100%, $E$9)</f>
        <v>9.0058000000000007</v>
      </c>
    </row>
    <row r="815" spans="1:15" ht="15" x14ac:dyDescent="0.2">
      <c r="A815" s="13">
        <v>65654</v>
      </c>
      <c r="B815" s="9">
        <f>11.9954 * CHOOSE(CONTROL!$C$32, $C$9, 100%, $E$9)</f>
        <v>11.9954</v>
      </c>
      <c r="C815" s="9">
        <f>11.9954 * CHOOSE(CONTROL!$C$32, $C$9, 100%, $E$9)</f>
        <v>11.9954</v>
      </c>
      <c r="D815" s="9">
        <f>11.9963 * CHOOSE(CONTROL!$C$32, $C$9, 100%, $E$9)</f>
        <v>11.9963</v>
      </c>
      <c r="E815" s="11">
        <f>9.1375 * CHOOSE(CONTROL!$C$32, $C$9, 100%, $E$9)</f>
        <v>9.1374999999999993</v>
      </c>
      <c r="F815" s="11">
        <f>9.1375 * CHOOSE(CONTROL!$C$32, $C$9, 100%, $E$9)</f>
        <v>9.1374999999999993</v>
      </c>
      <c r="G815" s="11">
        <f>9.1407 * CHOOSE(CONTROL!$C$32, $C$9, 100%, $E$9)</f>
        <v>9.1407000000000007</v>
      </c>
      <c r="H815" s="11">
        <f>28.1302 * CHOOSE(CONTROL!$C$32, $C$9, 100%, $E$9)</f>
        <v>28.130199999999999</v>
      </c>
      <c r="I815" s="11">
        <f>28.1335 * CHOOSE(CONTROL!$C$32, $C$9, 100%, $E$9)</f>
        <v>28.133500000000002</v>
      </c>
      <c r="J815" s="11">
        <f>28.1302 * CHOOSE(CONTROL!$C$32, $C$9, 100%, $E$9)</f>
        <v>28.130199999999999</v>
      </c>
      <c r="K815" s="11">
        <f>28.1335 * CHOOSE(CONTROL!$C$32, $C$9, 100%, $E$9)</f>
        <v>28.133500000000002</v>
      </c>
      <c r="L815" s="11">
        <f>9.1375 * CHOOSE(CONTROL!$C$32, $C$9, 100%, $E$9)</f>
        <v>9.1374999999999993</v>
      </c>
      <c r="M815" s="11">
        <f>9.1407 * CHOOSE(CONTROL!$C$32, $C$9, 100%, $E$9)</f>
        <v>9.1407000000000007</v>
      </c>
      <c r="N815" s="11">
        <f>9.1375 * CHOOSE(CONTROL!$C$32, $C$9, 100%, $E$9)</f>
        <v>9.1374999999999993</v>
      </c>
      <c r="O815" s="11">
        <f>9.1407 * CHOOSE(CONTROL!$C$32, $C$9, 100%, $E$9)</f>
        <v>9.1407000000000007</v>
      </c>
    </row>
    <row r="816" spans="1:15" ht="15" x14ac:dyDescent="0.2">
      <c r="A816" s="13">
        <v>65685</v>
      </c>
      <c r="B816" s="9">
        <f>11.9984 * CHOOSE(CONTROL!$C$32, $C$9, 100%, $E$9)</f>
        <v>11.9984</v>
      </c>
      <c r="C816" s="9">
        <f>11.9984 * CHOOSE(CONTROL!$C$32, $C$9, 100%, $E$9)</f>
        <v>11.9984</v>
      </c>
      <c r="D816" s="9">
        <f>11.9994 * CHOOSE(CONTROL!$C$32, $C$9, 100%, $E$9)</f>
        <v>11.9994</v>
      </c>
      <c r="E816" s="11">
        <f>9.2143 * CHOOSE(CONTROL!$C$32, $C$9, 100%, $E$9)</f>
        <v>9.2142999999999997</v>
      </c>
      <c r="F816" s="11">
        <f>9.2143 * CHOOSE(CONTROL!$C$32, $C$9, 100%, $E$9)</f>
        <v>9.2142999999999997</v>
      </c>
      <c r="G816" s="11">
        <f>9.2175 * CHOOSE(CONTROL!$C$32, $C$9, 100%, $E$9)</f>
        <v>9.2174999999999994</v>
      </c>
      <c r="H816" s="11">
        <f>28.1888 * CHOOSE(CONTROL!$C$32, $C$9, 100%, $E$9)</f>
        <v>28.188800000000001</v>
      </c>
      <c r="I816" s="11">
        <f>28.1921 * CHOOSE(CONTROL!$C$32, $C$9, 100%, $E$9)</f>
        <v>28.1921</v>
      </c>
      <c r="J816" s="11">
        <f>28.1888 * CHOOSE(CONTROL!$C$32, $C$9, 100%, $E$9)</f>
        <v>28.188800000000001</v>
      </c>
      <c r="K816" s="11">
        <f>28.1921 * CHOOSE(CONTROL!$C$32, $C$9, 100%, $E$9)</f>
        <v>28.1921</v>
      </c>
      <c r="L816" s="11">
        <f>9.2143 * CHOOSE(CONTROL!$C$32, $C$9, 100%, $E$9)</f>
        <v>9.2142999999999997</v>
      </c>
      <c r="M816" s="11">
        <f>9.2175 * CHOOSE(CONTROL!$C$32, $C$9, 100%, $E$9)</f>
        <v>9.2174999999999994</v>
      </c>
      <c r="N816" s="11">
        <f>9.2143 * CHOOSE(CONTROL!$C$32, $C$9, 100%, $E$9)</f>
        <v>9.2142999999999997</v>
      </c>
      <c r="O816" s="11">
        <f>9.2175 * CHOOSE(CONTROL!$C$32, $C$9, 100%, $E$9)</f>
        <v>9.2174999999999994</v>
      </c>
    </row>
    <row r="817" spans="1:15" ht="15" x14ac:dyDescent="0.2">
      <c r="A817" s="13">
        <v>65715</v>
      </c>
      <c r="B817" s="9">
        <f>11.9984 * CHOOSE(CONTROL!$C$32, $C$9, 100%, $E$9)</f>
        <v>11.9984</v>
      </c>
      <c r="C817" s="9">
        <f>11.9984 * CHOOSE(CONTROL!$C$32, $C$9, 100%, $E$9)</f>
        <v>11.9984</v>
      </c>
      <c r="D817" s="9">
        <f>11.9994 * CHOOSE(CONTROL!$C$32, $C$9, 100%, $E$9)</f>
        <v>11.9994</v>
      </c>
      <c r="E817" s="11">
        <f>9.0276 * CHOOSE(CONTROL!$C$32, $C$9, 100%, $E$9)</f>
        <v>9.0275999999999996</v>
      </c>
      <c r="F817" s="11">
        <f>9.0276 * CHOOSE(CONTROL!$C$32, $C$9, 100%, $E$9)</f>
        <v>9.0275999999999996</v>
      </c>
      <c r="G817" s="11">
        <f>9.0309 * CHOOSE(CONTROL!$C$32, $C$9, 100%, $E$9)</f>
        <v>9.0309000000000008</v>
      </c>
      <c r="H817" s="11">
        <f>28.2476 * CHOOSE(CONTROL!$C$32, $C$9, 100%, $E$9)</f>
        <v>28.247599999999998</v>
      </c>
      <c r="I817" s="11">
        <f>28.2508 * CHOOSE(CONTROL!$C$32, $C$9, 100%, $E$9)</f>
        <v>28.250800000000002</v>
      </c>
      <c r="J817" s="11">
        <f>28.2476 * CHOOSE(CONTROL!$C$32, $C$9, 100%, $E$9)</f>
        <v>28.247599999999998</v>
      </c>
      <c r="K817" s="11">
        <f>28.2508 * CHOOSE(CONTROL!$C$32, $C$9, 100%, $E$9)</f>
        <v>28.250800000000002</v>
      </c>
      <c r="L817" s="11">
        <f>9.0276 * CHOOSE(CONTROL!$C$32, $C$9, 100%, $E$9)</f>
        <v>9.0275999999999996</v>
      </c>
      <c r="M817" s="11">
        <f>9.0309 * CHOOSE(CONTROL!$C$32, $C$9, 100%, $E$9)</f>
        <v>9.0309000000000008</v>
      </c>
      <c r="N817" s="11">
        <f>9.0276 * CHOOSE(CONTROL!$C$32, $C$9, 100%, $E$9)</f>
        <v>9.0275999999999996</v>
      </c>
      <c r="O817" s="11">
        <f>9.0309 * CHOOSE(CONTROL!$C$32, $C$9, 100%, $E$9)</f>
        <v>9.0309000000000008</v>
      </c>
    </row>
    <row r="818" spans="1:15" ht="15" x14ac:dyDescent="0.2">
      <c r="A818" s="13">
        <v>65746</v>
      </c>
      <c r="B818" s="9">
        <f>12.0047 * CHOOSE(CONTROL!$C$32, $C$9, 100%, $E$9)</f>
        <v>12.0047</v>
      </c>
      <c r="C818" s="9">
        <f>12.0047 * CHOOSE(CONTROL!$C$32, $C$9, 100%, $E$9)</f>
        <v>12.0047</v>
      </c>
      <c r="D818" s="9">
        <f>12.0056 * CHOOSE(CONTROL!$C$32, $C$9, 100%, $E$9)</f>
        <v>12.005599999999999</v>
      </c>
      <c r="E818" s="11">
        <f>9.1736 * CHOOSE(CONTROL!$C$32, $C$9, 100%, $E$9)</f>
        <v>9.1736000000000004</v>
      </c>
      <c r="F818" s="11">
        <f>9.1736 * CHOOSE(CONTROL!$C$32, $C$9, 100%, $E$9)</f>
        <v>9.1736000000000004</v>
      </c>
      <c r="G818" s="11">
        <f>9.1768 * CHOOSE(CONTROL!$C$32, $C$9, 100%, $E$9)</f>
        <v>9.1768000000000001</v>
      </c>
      <c r="H818" s="11">
        <f>28.0798 * CHOOSE(CONTROL!$C$32, $C$9, 100%, $E$9)</f>
        <v>28.079799999999999</v>
      </c>
      <c r="I818" s="11">
        <f>28.0831 * CHOOSE(CONTROL!$C$32, $C$9, 100%, $E$9)</f>
        <v>28.083100000000002</v>
      </c>
      <c r="J818" s="11">
        <f>28.0798 * CHOOSE(CONTROL!$C$32, $C$9, 100%, $E$9)</f>
        <v>28.079799999999999</v>
      </c>
      <c r="K818" s="11">
        <f>28.0831 * CHOOSE(CONTROL!$C$32, $C$9, 100%, $E$9)</f>
        <v>28.083100000000002</v>
      </c>
      <c r="L818" s="11">
        <f>9.1736 * CHOOSE(CONTROL!$C$32, $C$9, 100%, $E$9)</f>
        <v>9.1736000000000004</v>
      </c>
      <c r="M818" s="11">
        <f>9.1768 * CHOOSE(CONTROL!$C$32, $C$9, 100%, $E$9)</f>
        <v>9.1768000000000001</v>
      </c>
      <c r="N818" s="11">
        <f>9.1736 * CHOOSE(CONTROL!$C$32, $C$9, 100%, $E$9)</f>
        <v>9.1736000000000004</v>
      </c>
      <c r="O818" s="11">
        <f>9.1768 * CHOOSE(CONTROL!$C$32, $C$9, 100%, $E$9)</f>
        <v>9.1768000000000001</v>
      </c>
    </row>
    <row r="819" spans="1:15" ht="15" x14ac:dyDescent="0.2">
      <c r="A819" s="13">
        <v>65777</v>
      </c>
      <c r="B819" s="9">
        <f>12.0016 * CHOOSE(CONTROL!$C$32, $C$9, 100%, $E$9)</f>
        <v>12.0016</v>
      </c>
      <c r="C819" s="9">
        <f>12.0016 * CHOOSE(CONTROL!$C$32, $C$9, 100%, $E$9)</f>
        <v>12.0016</v>
      </c>
      <c r="D819" s="9">
        <f>12.0026 * CHOOSE(CONTROL!$C$32, $C$9, 100%, $E$9)</f>
        <v>12.002599999999999</v>
      </c>
      <c r="E819" s="11">
        <f>8.8117 * CHOOSE(CONTROL!$C$32, $C$9, 100%, $E$9)</f>
        <v>8.8117000000000001</v>
      </c>
      <c r="F819" s="11">
        <f>8.8117 * CHOOSE(CONTROL!$C$32, $C$9, 100%, $E$9)</f>
        <v>8.8117000000000001</v>
      </c>
      <c r="G819" s="11">
        <f>8.815 * CHOOSE(CONTROL!$C$32, $C$9, 100%, $E$9)</f>
        <v>8.8149999999999995</v>
      </c>
      <c r="H819" s="11">
        <f>28.1383 * CHOOSE(CONTROL!$C$32, $C$9, 100%, $E$9)</f>
        <v>28.138300000000001</v>
      </c>
      <c r="I819" s="11">
        <f>28.1416 * CHOOSE(CONTROL!$C$32, $C$9, 100%, $E$9)</f>
        <v>28.1416</v>
      </c>
      <c r="J819" s="11">
        <f>28.1383 * CHOOSE(CONTROL!$C$32, $C$9, 100%, $E$9)</f>
        <v>28.138300000000001</v>
      </c>
      <c r="K819" s="11">
        <f>28.1416 * CHOOSE(CONTROL!$C$32, $C$9, 100%, $E$9)</f>
        <v>28.1416</v>
      </c>
      <c r="L819" s="11">
        <f>8.8117 * CHOOSE(CONTROL!$C$32, $C$9, 100%, $E$9)</f>
        <v>8.8117000000000001</v>
      </c>
      <c r="M819" s="11">
        <f>8.815 * CHOOSE(CONTROL!$C$32, $C$9, 100%, $E$9)</f>
        <v>8.8149999999999995</v>
      </c>
      <c r="N819" s="11">
        <f>8.8117 * CHOOSE(CONTROL!$C$32, $C$9, 100%, $E$9)</f>
        <v>8.8117000000000001</v>
      </c>
      <c r="O819" s="11">
        <f>8.815 * CHOOSE(CONTROL!$C$32, $C$9, 100%, $E$9)</f>
        <v>8.8149999999999995</v>
      </c>
    </row>
    <row r="820" spans="1:15" ht="15" x14ac:dyDescent="0.2">
      <c r="A820" s="13">
        <v>65806</v>
      </c>
      <c r="B820" s="9">
        <f>11.9986 * CHOOSE(CONTROL!$C$32, $C$9, 100%, $E$9)</f>
        <v>11.9986</v>
      </c>
      <c r="C820" s="9">
        <f>11.9986 * CHOOSE(CONTROL!$C$32, $C$9, 100%, $E$9)</f>
        <v>11.9986</v>
      </c>
      <c r="D820" s="9">
        <f>11.9995 * CHOOSE(CONTROL!$C$32, $C$9, 100%, $E$9)</f>
        <v>11.999499999999999</v>
      </c>
      <c r="E820" s="11">
        <f>9.0932 * CHOOSE(CONTROL!$C$32, $C$9, 100%, $E$9)</f>
        <v>9.0931999999999995</v>
      </c>
      <c r="F820" s="11">
        <f>9.0932 * CHOOSE(CONTROL!$C$32, $C$9, 100%, $E$9)</f>
        <v>9.0931999999999995</v>
      </c>
      <c r="G820" s="11">
        <f>9.0965 * CHOOSE(CONTROL!$C$32, $C$9, 100%, $E$9)</f>
        <v>9.0965000000000007</v>
      </c>
      <c r="H820" s="11">
        <f>28.197 * CHOOSE(CONTROL!$C$32, $C$9, 100%, $E$9)</f>
        <v>28.196999999999999</v>
      </c>
      <c r="I820" s="11">
        <f>28.2002 * CHOOSE(CONTROL!$C$32, $C$9, 100%, $E$9)</f>
        <v>28.200199999999999</v>
      </c>
      <c r="J820" s="11">
        <f>28.197 * CHOOSE(CONTROL!$C$32, $C$9, 100%, $E$9)</f>
        <v>28.196999999999999</v>
      </c>
      <c r="K820" s="11">
        <f>28.2002 * CHOOSE(CONTROL!$C$32, $C$9, 100%, $E$9)</f>
        <v>28.200199999999999</v>
      </c>
      <c r="L820" s="11">
        <f>9.0932 * CHOOSE(CONTROL!$C$32, $C$9, 100%, $E$9)</f>
        <v>9.0931999999999995</v>
      </c>
      <c r="M820" s="11">
        <f>9.0965 * CHOOSE(CONTROL!$C$32, $C$9, 100%, $E$9)</f>
        <v>9.0965000000000007</v>
      </c>
      <c r="N820" s="11">
        <f>9.0932 * CHOOSE(CONTROL!$C$32, $C$9, 100%, $E$9)</f>
        <v>9.0931999999999995</v>
      </c>
      <c r="O820" s="11">
        <f>9.0965 * CHOOSE(CONTROL!$C$32, $C$9, 100%, $E$9)</f>
        <v>9.0965000000000007</v>
      </c>
    </row>
    <row r="821" spans="1:15" ht="15" x14ac:dyDescent="0.2">
      <c r="A821" s="13">
        <v>65837</v>
      </c>
      <c r="B821" s="9">
        <f>12.004 * CHOOSE(CONTROL!$C$32, $C$9, 100%, $E$9)</f>
        <v>12.004</v>
      </c>
      <c r="C821" s="9">
        <f>12.004 * CHOOSE(CONTROL!$C$32, $C$9, 100%, $E$9)</f>
        <v>12.004</v>
      </c>
      <c r="D821" s="9">
        <f>12.0049 * CHOOSE(CONTROL!$C$32, $C$9, 100%, $E$9)</f>
        <v>12.004899999999999</v>
      </c>
      <c r="E821" s="11">
        <f>9.3936 * CHOOSE(CONTROL!$C$32, $C$9, 100%, $E$9)</f>
        <v>9.3935999999999993</v>
      </c>
      <c r="F821" s="11">
        <f>9.3936 * CHOOSE(CONTROL!$C$32, $C$9, 100%, $E$9)</f>
        <v>9.3935999999999993</v>
      </c>
      <c r="G821" s="11">
        <f>9.3968 * CHOOSE(CONTROL!$C$32, $C$9, 100%, $E$9)</f>
        <v>9.3968000000000007</v>
      </c>
      <c r="H821" s="11">
        <f>28.2557 * CHOOSE(CONTROL!$C$32, $C$9, 100%, $E$9)</f>
        <v>28.255700000000001</v>
      </c>
      <c r="I821" s="11">
        <f>28.2589 * CHOOSE(CONTROL!$C$32, $C$9, 100%, $E$9)</f>
        <v>28.258900000000001</v>
      </c>
      <c r="J821" s="11">
        <f>28.2557 * CHOOSE(CONTROL!$C$32, $C$9, 100%, $E$9)</f>
        <v>28.255700000000001</v>
      </c>
      <c r="K821" s="11">
        <f>28.2589 * CHOOSE(CONTROL!$C$32, $C$9, 100%, $E$9)</f>
        <v>28.258900000000001</v>
      </c>
      <c r="L821" s="11">
        <f>9.3936 * CHOOSE(CONTROL!$C$32, $C$9, 100%, $E$9)</f>
        <v>9.3935999999999993</v>
      </c>
      <c r="M821" s="11">
        <f>9.3968 * CHOOSE(CONTROL!$C$32, $C$9, 100%, $E$9)</f>
        <v>9.3968000000000007</v>
      </c>
      <c r="N821" s="11">
        <f>9.3936 * CHOOSE(CONTROL!$C$32, $C$9, 100%, $E$9)</f>
        <v>9.3935999999999993</v>
      </c>
      <c r="O821" s="11">
        <f>9.3968 * CHOOSE(CONTROL!$C$32, $C$9, 100%, $E$9)</f>
        <v>9.3968000000000007</v>
      </c>
    </row>
    <row r="822" spans="1:15" ht="15" x14ac:dyDescent="0.2">
      <c r="A822" s="13">
        <v>65867</v>
      </c>
      <c r="B822" s="9">
        <f>12.004 * CHOOSE(CONTROL!$C$32, $C$9, 100%, $E$9)</f>
        <v>12.004</v>
      </c>
      <c r="C822" s="9">
        <f>12.004 * CHOOSE(CONTROL!$C$32, $C$9, 100%, $E$9)</f>
        <v>12.004</v>
      </c>
      <c r="D822" s="9">
        <f>12.0052 * CHOOSE(CONTROL!$C$32, $C$9, 100%, $E$9)</f>
        <v>12.0052</v>
      </c>
      <c r="E822" s="11">
        <f>9.5078 * CHOOSE(CONTROL!$C$32, $C$9, 100%, $E$9)</f>
        <v>9.5077999999999996</v>
      </c>
      <c r="F822" s="11">
        <f>9.5078 * CHOOSE(CONTROL!$C$32, $C$9, 100%, $E$9)</f>
        <v>9.5077999999999996</v>
      </c>
      <c r="G822" s="11">
        <f>9.512 * CHOOSE(CONTROL!$C$32, $C$9, 100%, $E$9)</f>
        <v>9.5120000000000005</v>
      </c>
      <c r="H822" s="11">
        <f>28.3146 * CHOOSE(CONTROL!$C$32, $C$9, 100%, $E$9)</f>
        <v>28.314599999999999</v>
      </c>
      <c r="I822" s="11">
        <f>28.3188 * CHOOSE(CONTROL!$C$32, $C$9, 100%, $E$9)</f>
        <v>28.3188</v>
      </c>
      <c r="J822" s="11">
        <f>28.3146 * CHOOSE(CONTROL!$C$32, $C$9, 100%, $E$9)</f>
        <v>28.314599999999999</v>
      </c>
      <c r="K822" s="11">
        <f>28.3188 * CHOOSE(CONTROL!$C$32, $C$9, 100%, $E$9)</f>
        <v>28.3188</v>
      </c>
      <c r="L822" s="11">
        <f>9.5078 * CHOOSE(CONTROL!$C$32, $C$9, 100%, $E$9)</f>
        <v>9.5077999999999996</v>
      </c>
      <c r="M822" s="11">
        <f>9.512 * CHOOSE(CONTROL!$C$32, $C$9, 100%, $E$9)</f>
        <v>9.5120000000000005</v>
      </c>
      <c r="N822" s="11">
        <f>9.5078 * CHOOSE(CONTROL!$C$32, $C$9, 100%, $E$9)</f>
        <v>9.5077999999999996</v>
      </c>
      <c r="O822" s="11">
        <f>9.512 * CHOOSE(CONTROL!$C$32, $C$9, 100%, $E$9)</f>
        <v>9.5120000000000005</v>
      </c>
    </row>
    <row r="823" spans="1:15" ht="15" x14ac:dyDescent="0.2">
      <c r="A823" s="13">
        <v>65898</v>
      </c>
      <c r="B823" s="9">
        <f>12.0101 * CHOOSE(CONTROL!$C$32, $C$9, 100%, $E$9)</f>
        <v>12.0101</v>
      </c>
      <c r="C823" s="9">
        <f>12.0101 * CHOOSE(CONTROL!$C$32, $C$9, 100%, $E$9)</f>
        <v>12.0101</v>
      </c>
      <c r="D823" s="9">
        <f>12.0113 * CHOOSE(CONTROL!$C$32, $C$9, 100%, $E$9)</f>
        <v>12.0113</v>
      </c>
      <c r="E823" s="11">
        <f>9.3978 * CHOOSE(CONTROL!$C$32, $C$9, 100%, $E$9)</f>
        <v>9.3978000000000002</v>
      </c>
      <c r="F823" s="11">
        <f>9.3978 * CHOOSE(CONTROL!$C$32, $C$9, 100%, $E$9)</f>
        <v>9.3978000000000002</v>
      </c>
      <c r="G823" s="11">
        <f>9.402 * CHOOSE(CONTROL!$C$32, $C$9, 100%, $E$9)</f>
        <v>9.4019999999999992</v>
      </c>
      <c r="H823" s="11">
        <f>28.3735 * CHOOSE(CONTROL!$C$32, $C$9, 100%, $E$9)</f>
        <v>28.3735</v>
      </c>
      <c r="I823" s="11">
        <f>28.3778 * CHOOSE(CONTROL!$C$32, $C$9, 100%, $E$9)</f>
        <v>28.377800000000001</v>
      </c>
      <c r="J823" s="11">
        <f>28.3735 * CHOOSE(CONTROL!$C$32, $C$9, 100%, $E$9)</f>
        <v>28.3735</v>
      </c>
      <c r="K823" s="11">
        <f>28.3778 * CHOOSE(CONTROL!$C$32, $C$9, 100%, $E$9)</f>
        <v>28.377800000000001</v>
      </c>
      <c r="L823" s="11">
        <f>9.3978 * CHOOSE(CONTROL!$C$32, $C$9, 100%, $E$9)</f>
        <v>9.3978000000000002</v>
      </c>
      <c r="M823" s="11">
        <f>9.402 * CHOOSE(CONTROL!$C$32, $C$9, 100%, $E$9)</f>
        <v>9.4019999999999992</v>
      </c>
      <c r="N823" s="11">
        <f>9.3978 * CHOOSE(CONTROL!$C$32, $C$9, 100%, $E$9)</f>
        <v>9.3978000000000002</v>
      </c>
      <c r="O823" s="11">
        <f>9.402 * CHOOSE(CONTROL!$C$32, $C$9, 100%, $E$9)</f>
        <v>9.4019999999999992</v>
      </c>
    </row>
    <row r="824" spans="1:15" ht="15" x14ac:dyDescent="0.2">
      <c r="A824" s="13">
        <v>65928</v>
      </c>
      <c r="B824" s="9">
        <f>12.1565 * CHOOSE(CONTROL!$C$32, $C$9, 100%, $E$9)</f>
        <v>12.156499999999999</v>
      </c>
      <c r="C824" s="9">
        <f>12.1565 * CHOOSE(CONTROL!$C$32, $C$9, 100%, $E$9)</f>
        <v>12.156499999999999</v>
      </c>
      <c r="D824" s="9">
        <f>12.1577 * CHOOSE(CONTROL!$C$32, $C$9, 100%, $E$9)</f>
        <v>12.1577</v>
      </c>
      <c r="E824" s="11">
        <f>9.4552 * CHOOSE(CONTROL!$C$32, $C$9, 100%, $E$9)</f>
        <v>9.4551999999999996</v>
      </c>
      <c r="F824" s="11">
        <f>9.4552 * CHOOSE(CONTROL!$C$32, $C$9, 100%, $E$9)</f>
        <v>9.4551999999999996</v>
      </c>
      <c r="G824" s="11">
        <f>9.4594 * CHOOSE(CONTROL!$C$32, $C$9, 100%, $E$9)</f>
        <v>9.4594000000000005</v>
      </c>
      <c r="H824" s="11">
        <f>28.4327 * CHOOSE(CONTROL!$C$32, $C$9, 100%, $E$9)</f>
        <v>28.432700000000001</v>
      </c>
      <c r="I824" s="11">
        <f>28.4369 * CHOOSE(CONTROL!$C$32, $C$9, 100%, $E$9)</f>
        <v>28.436900000000001</v>
      </c>
      <c r="J824" s="11">
        <f>28.4327 * CHOOSE(CONTROL!$C$32, $C$9, 100%, $E$9)</f>
        <v>28.432700000000001</v>
      </c>
      <c r="K824" s="11">
        <f>28.4369 * CHOOSE(CONTROL!$C$32, $C$9, 100%, $E$9)</f>
        <v>28.436900000000001</v>
      </c>
      <c r="L824" s="11">
        <f>9.4552 * CHOOSE(CONTROL!$C$32, $C$9, 100%, $E$9)</f>
        <v>9.4551999999999996</v>
      </c>
      <c r="M824" s="11">
        <f>9.4594 * CHOOSE(CONTROL!$C$32, $C$9, 100%, $E$9)</f>
        <v>9.4594000000000005</v>
      </c>
      <c r="N824" s="11">
        <f>9.4552 * CHOOSE(CONTROL!$C$32, $C$9, 100%, $E$9)</f>
        <v>9.4551999999999996</v>
      </c>
      <c r="O824" s="11">
        <f>9.4594 * CHOOSE(CONTROL!$C$32, $C$9, 100%, $E$9)</f>
        <v>9.4594000000000005</v>
      </c>
    </row>
    <row r="825" spans="1:15" ht="15" x14ac:dyDescent="0.2">
      <c r="A825" s="13">
        <v>65959</v>
      </c>
      <c r="B825" s="9">
        <f>12.1632 * CHOOSE(CONTROL!$C$32, $C$9, 100%, $E$9)</f>
        <v>12.1632</v>
      </c>
      <c r="C825" s="9">
        <f>12.1632 * CHOOSE(CONTROL!$C$32, $C$9, 100%, $E$9)</f>
        <v>12.1632</v>
      </c>
      <c r="D825" s="9">
        <f>12.1644 * CHOOSE(CONTROL!$C$32, $C$9, 100%, $E$9)</f>
        <v>12.164400000000001</v>
      </c>
      <c r="E825" s="11">
        <f>9.1172 * CHOOSE(CONTROL!$C$32, $C$9, 100%, $E$9)</f>
        <v>9.1172000000000004</v>
      </c>
      <c r="F825" s="11">
        <f>9.1172 * CHOOSE(CONTROL!$C$32, $C$9, 100%, $E$9)</f>
        <v>9.1172000000000004</v>
      </c>
      <c r="G825" s="11">
        <f>9.1214 * CHOOSE(CONTROL!$C$32, $C$9, 100%, $E$9)</f>
        <v>9.1213999999999995</v>
      </c>
      <c r="H825" s="11">
        <f>28.4919 * CHOOSE(CONTROL!$C$32, $C$9, 100%, $E$9)</f>
        <v>28.491900000000001</v>
      </c>
      <c r="I825" s="11">
        <f>28.4961 * CHOOSE(CONTROL!$C$32, $C$9, 100%, $E$9)</f>
        <v>28.496099999999998</v>
      </c>
      <c r="J825" s="11">
        <f>28.4919 * CHOOSE(CONTROL!$C$32, $C$9, 100%, $E$9)</f>
        <v>28.491900000000001</v>
      </c>
      <c r="K825" s="11">
        <f>28.4961 * CHOOSE(CONTROL!$C$32, $C$9, 100%, $E$9)</f>
        <v>28.496099999999998</v>
      </c>
      <c r="L825" s="11">
        <f>9.1172 * CHOOSE(CONTROL!$C$32, $C$9, 100%, $E$9)</f>
        <v>9.1172000000000004</v>
      </c>
      <c r="M825" s="11">
        <f>9.1214 * CHOOSE(CONTROL!$C$32, $C$9, 100%, $E$9)</f>
        <v>9.1213999999999995</v>
      </c>
      <c r="N825" s="11">
        <f>9.1172 * CHOOSE(CONTROL!$C$32, $C$9, 100%, $E$9)</f>
        <v>9.1172000000000004</v>
      </c>
      <c r="O825" s="11">
        <f>9.1214 * CHOOSE(CONTROL!$C$32, $C$9, 100%, $E$9)</f>
        <v>9.1213999999999995</v>
      </c>
    </row>
    <row r="826" spans="1:15" ht="15" x14ac:dyDescent="0.2">
      <c r="A826" s="13">
        <v>65990</v>
      </c>
      <c r="B826" s="9">
        <f>12.1601 * CHOOSE(CONTROL!$C$32, $C$9, 100%, $E$9)</f>
        <v>12.1601</v>
      </c>
      <c r="C826" s="9">
        <f>12.1601 * CHOOSE(CONTROL!$C$32, $C$9, 100%, $E$9)</f>
        <v>12.1601</v>
      </c>
      <c r="D826" s="9">
        <f>12.1614 * CHOOSE(CONTROL!$C$32, $C$9, 100%, $E$9)</f>
        <v>12.1614</v>
      </c>
      <c r="E826" s="11">
        <f>9.077 * CHOOSE(CONTROL!$C$32, $C$9, 100%, $E$9)</f>
        <v>9.077</v>
      </c>
      <c r="F826" s="11">
        <f>9.077 * CHOOSE(CONTROL!$C$32, $C$9, 100%, $E$9)</f>
        <v>9.077</v>
      </c>
      <c r="G826" s="11">
        <f>9.0812 * CHOOSE(CONTROL!$C$32, $C$9, 100%, $E$9)</f>
        <v>9.0812000000000008</v>
      </c>
      <c r="H826" s="11">
        <f>28.5513 * CHOOSE(CONTROL!$C$32, $C$9, 100%, $E$9)</f>
        <v>28.551300000000001</v>
      </c>
      <c r="I826" s="11">
        <f>28.5555 * CHOOSE(CONTROL!$C$32, $C$9, 100%, $E$9)</f>
        <v>28.555499999999999</v>
      </c>
      <c r="J826" s="11">
        <f>28.5513 * CHOOSE(CONTROL!$C$32, $C$9, 100%, $E$9)</f>
        <v>28.551300000000001</v>
      </c>
      <c r="K826" s="11">
        <f>28.5555 * CHOOSE(CONTROL!$C$32, $C$9, 100%, $E$9)</f>
        <v>28.555499999999999</v>
      </c>
      <c r="L826" s="11">
        <f>9.077 * CHOOSE(CONTROL!$C$32, $C$9, 100%, $E$9)</f>
        <v>9.077</v>
      </c>
      <c r="M826" s="11">
        <f>9.0812 * CHOOSE(CONTROL!$C$32, $C$9, 100%, $E$9)</f>
        <v>9.0812000000000008</v>
      </c>
      <c r="N826" s="11">
        <f>9.077 * CHOOSE(CONTROL!$C$32, $C$9, 100%, $E$9)</f>
        <v>9.077</v>
      </c>
      <c r="O826" s="11">
        <f>9.0812 * CHOOSE(CONTROL!$C$32, $C$9, 100%, $E$9)</f>
        <v>9.0812000000000008</v>
      </c>
    </row>
    <row r="827" spans="1:15" ht="15" x14ac:dyDescent="0.2">
      <c r="A827" s="13">
        <v>66020</v>
      </c>
      <c r="B827" s="9">
        <f>12.1857 * CHOOSE(CONTROL!$C$32, $C$9, 100%, $E$9)</f>
        <v>12.185700000000001</v>
      </c>
      <c r="C827" s="9">
        <f>12.1857 * CHOOSE(CONTROL!$C$32, $C$9, 100%, $E$9)</f>
        <v>12.185700000000001</v>
      </c>
      <c r="D827" s="9">
        <f>12.1867 * CHOOSE(CONTROL!$C$32, $C$9, 100%, $E$9)</f>
        <v>12.1867</v>
      </c>
      <c r="E827" s="11">
        <f>9.2159 * CHOOSE(CONTROL!$C$32, $C$9, 100%, $E$9)</f>
        <v>9.2158999999999995</v>
      </c>
      <c r="F827" s="11">
        <f>9.2159 * CHOOSE(CONTROL!$C$32, $C$9, 100%, $E$9)</f>
        <v>9.2158999999999995</v>
      </c>
      <c r="G827" s="11">
        <f>9.2191 * CHOOSE(CONTROL!$C$32, $C$9, 100%, $E$9)</f>
        <v>9.2190999999999992</v>
      </c>
      <c r="H827" s="11">
        <f>28.6107 * CHOOSE(CONTROL!$C$32, $C$9, 100%, $E$9)</f>
        <v>28.610700000000001</v>
      </c>
      <c r="I827" s="11">
        <f>28.614 * CHOOSE(CONTROL!$C$32, $C$9, 100%, $E$9)</f>
        <v>28.614000000000001</v>
      </c>
      <c r="J827" s="11">
        <f>28.6107 * CHOOSE(CONTROL!$C$32, $C$9, 100%, $E$9)</f>
        <v>28.610700000000001</v>
      </c>
      <c r="K827" s="11">
        <f>28.614 * CHOOSE(CONTROL!$C$32, $C$9, 100%, $E$9)</f>
        <v>28.614000000000001</v>
      </c>
      <c r="L827" s="11">
        <f>9.2159 * CHOOSE(CONTROL!$C$32, $C$9, 100%, $E$9)</f>
        <v>9.2158999999999995</v>
      </c>
      <c r="M827" s="11">
        <f>9.2191 * CHOOSE(CONTROL!$C$32, $C$9, 100%, $E$9)</f>
        <v>9.2190999999999992</v>
      </c>
      <c r="N827" s="11">
        <f>9.2159 * CHOOSE(CONTROL!$C$32, $C$9, 100%, $E$9)</f>
        <v>9.2158999999999995</v>
      </c>
      <c r="O827" s="11">
        <f>9.2191 * CHOOSE(CONTROL!$C$32, $C$9, 100%, $E$9)</f>
        <v>9.2190999999999992</v>
      </c>
    </row>
    <row r="828" spans="1:15" ht="15" x14ac:dyDescent="0.2">
      <c r="A828" s="13">
        <v>66051</v>
      </c>
      <c r="B828" s="9">
        <f>12.1887 * CHOOSE(CONTROL!$C$32, $C$9, 100%, $E$9)</f>
        <v>12.188700000000001</v>
      </c>
      <c r="C828" s="9">
        <f>12.1887 * CHOOSE(CONTROL!$C$32, $C$9, 100%, $E$9)</f>
        <v>12.188700000000001</v>
      </c>
      <c r="D828" s="9">
        <f>12.1897 * CHOOSE(CONTROL!$C$32, $C$9, 100%, $E$9)</f>
        <v>12.1897</v>
      </c>
      <c r="E828" s="11">
        <f>9.2942 * CHOOSE(CONTROL!$C$32, $C$9, 100%, $E$9)</f>
        <v>9.2942</v>
      </c>
      <c r="F828" s="11">
        <f>9.2942 * CHOOSE(CONTROL!$C$32, $C$9, 100%, $E$9)</f>
        <v>9.2942</v>
      </c>
      <c r="G828" s="11">
        <f>9.2974 * CHOOSE(CONTROL!$C$32, $C$9, 100%, $E$9)</f>
        <v>9.2973999999999997</v>
      </c>
      <c r="H828" s="11">
        <f>28.6703 * CHOOSE(CONTROL!$C$32, $C$9, 100%, $E$9)</f>
        <v>28.670300000000001</v>
      </c>
      <c r="I828" s="11">
        <f>28.6736 * CHOOSE(CONTROL!$C$32, $C$9, 100%, $E$9)</f>
        <v>28.6736</v>
      </c>
      <c r="J828" s="11">
        <f>28.6703 * CHOOSE(CONTROL!$C$32, $C$9, 100%, $E$9)</f>
        <v>28.670300000000001</v>
      </c>
      <c r="K828" s="11">
        <f>28.6736 * CHOOSE(CONTROL!$C$32, $C$9, 100%, $E$9)</f>
        <v>28.6736</v>
      </c>
      <c r="L828" s="11">
        <f>9.2942 * CHOOSE(CONTROL!$C$32, $C$9, 100%, $E$9)</f>
        <v>9.2942</v>
      </c>
      <c r="M828" s="11">
        <f>9.2974 * CHOOSE(CONTROL!$C$32, $C$9, 100%, $E$9)</f>
        <v>9.2973999999999997</v>
      </c>
      <c r="N828" s="11">
        <f>9.2942 * CHOOSE(CONTROL!$C$32, $C$9, 100%, $E$9)</f>
        <v>9.2942</v>
      </c>
      <c r="O828" s="11">
        <f>9.2974 * CHOOSE(CONTROL!$C$32, $C$9, 100%, $E$9)</f>
        <v>9.2973999999999997</v>
      </c>
    </row>
    <row r="829" spans="1:15" ht="15" x14ac:dyDescent="0.2">
      <c r="A829" s="13">
        <v>66081</v>
      </c>
      <c r="B829" s="9">
        <f>12.1887 * CHOOSE(CONTROL!$C$32, $C$9, 100%, $E$9)</f>
        <v>12.188700000000001</v>
      </c>
      <c r="C829" s="9">
        <f>12.1887 * CHOOSE(CONTROL!$C$32, $C$9, 100%, $E$9)</f>
        <v>12.188700000000001</v>
      </c>
      <c r="D829" s="9">
        <f>12.1897 * CHOOSE(CONTROL!$C$32, $C$9, 100%, $E$9)</f>
        <v>12.1897</v>
      </c>
      <c r="E829" s="11">
        <f>9.1038 * CHOOSE(CONTROL!$C$32, $C$9, 100%, $E$9)</f>
        <v>9.1037999999999997</v>
      </c>
      <c r="F829" s="11">
        <f>9.1038 * CHOOSE(CONTROL!$C$32, $C$9, 100%, $E$9)</f>
        <v>9.1037999999999997</v>
      </c>
      <c r="G829" s="11">
        <f>9.107 * CHOOSE(CONTROL!$C$32, $C$9, 100%, $E$9)</f>
        <v>9.1069999999999993</v>
      </c>
      <c r="H829" s="11">
        <f>28.7301 * CHOOSE(CONTROL!$C$32, $C$9, 100%, $E$9)</f>
        <v>28.7301</v>
      </c>
      <c r="I829" s="11">
        <f>28.7333 * CHOOSE(CONTROL!$C$32, $C$9, 100%, $E$9)</f>
        <v>28.7333</v>
      </c>
      <c r="J829" s="11">
        <f>28.7301 * CHOOSE(CONTROL!$C$32, $C$9, 100%, $E$9)</f>
        <v>28.7301</v>
      </c>
      <c r="K829" s="11">
        <f>28.7333 * CHOOSE(CONTROL!$C$32, $C$9, 100%, $E$9)</f>
        <v>28.7333</v>
      </c>
      <c r="L829" s="11">
        <f>9.1038 * CHOOSE(CONTROL!$C$32, $C$9, 100%, $E$9)</f>
        <v>9.1037999999999997</v>
      </c>
      <c r="M829" s="11">
        <f>9.107 * CHOOSE(CONTROL!$C$32, $C$9, 100%, $E$9)</f>
        <v>9.1069999999999993</v>
      </c>
      <c r="N829" s="11">
        <f>9.1038 * CHOOSE(CONTROL!$C$32, $C$9, 100%, $E$9)</f>
        <v>9.1037999999999997</v>
      </c>
      <c r="O829" s="11">
        <f>9.107 * CHOOSE(CONTROL!$C$32, $C$9, 100%, $E$9)</f>
        <v>9.1069999999999993</v>
      </c>
    </row>
    <row r="830" spans="1:15" ht="15" x14ac:dyDescent="0.2">
      <c r="A830" s="13">
        <v>66112</v>
      </c>
      <c r="B830" s="9">
        <f>12.192 * CHOOSE(CONTROL!$C$32, $C$9, 100%, $E$9)</f>
        <v>12.192</v>
      </c>
      <c r="C830" s="9">
        <f>12.192 * CHOOSE(CONTROL!$C$32, $C$9, 100%, $E$9)</f>
        <v>12.192</v>
      </c>
      <c r="D830" s="9">
        <f>12.193 * CHOOSE(CONTROL!$C$32, $C$9, 100%, $E$9)</f>
        <v>12.193</v>
      </c>
      <c r="E830" s="11">
        <f>9.2509 * CHOOSE(CONTROL!$C$32, $C$9, 100%, $E$9)</f>
        <v>9.2508999999999997</v>
      </c>
      <c r="F830" s="11">
        <f>9.2509 * CHOOSE(CONTROL!$C$32, $C$9, 100%, $E$9)</f>
        <v>9.2508999999999997</v>
      </c>
      <c r="G830" s="11">
        <f>9.2541 * CHOOSE(CONTROL!$C$32, $C$9, 100%, $E$9)</f>
        <v>9.2540999999999993</v>
      </c>
      <c r="H830" s="11">
        <f>28.5514 * CHOOSE(CONTROL!$C$32, $C$9, 100%, $E$9)</f>
        <v>28.551400000000001</v>
      </c>
      <c r="I830" s="11">
        <f>28.5546 * CHOOSE(CONTROL!$C$32, $C$9, 100%, $E$9)</f>
        <v>28.554600000000001</v>
      </c>
      <c r="J830" s="11">
        <f>28.5514 * CHOOSE(CONTROL!$C$32, $C$9, 100%, $E$9)</f>
        <v>28.551400000000001</v>
      </c>
      <c r="K830" s="11">
        <f>28.5546 * CHOOSE(CONTROL!$C$32, $C$9, 100%, $E$9)</f>
        <v>28.554600000000001</v>
      </c>
      <c r="L830" s="11">
        <f>9.2509 * CHOOSE(CONTROL!$C$32, $C$9, 100%, $E$9)</f>
        <v>9.2508999999999997</v>
      </c>
      <c r="M830" s="11">
        <f>9.2541 * CHOOSE(CONTROL!$C$32, $C$9, 100%, $E$9)</f>
        <v>9.2540999999999993</v>
      </c>
      <c r="N830" s="11">
        <f>9.2509 * CHOOSE(CONTROL!$C$32, $C$9, 100%, $E$9)</f>
        <v>9.2508999999999997</v>
      </c>
      <c r="O830" s="11">
        <f>9.2541 * CHOOSE(CONTROL!$C$32, $C$9, 100%, $E$9)</f>
        <v>9.2540999999999993</v>
      </c>
    </row>
    <row r="831" spans="1:15" ht="15" x14ac:dyDescent="0.2">
      <c r="A831" s="13">
        <v>66143</v>
      </c>
      <c r="B831" s="9">
        <f>12.189 * CHOOSE(CONTROL!$C$32, $C$9, 100%, $E$9)</f>
        <v>12.189</v>
      </c>
      <c r="C831" s="9">
        <f>12.189 * CHOOSE(CONTROL!$C$32, $C$9, 100%, $E$9)</f>
        <v>12.189</v>
      </c>
      <c r="D831" s="9">
        <f>12.1899 * CHOOSE(CONTROL!$C$32, $C$9, 100%, $E$9)</f>
        <v>12.1899</v>
      </c>
      <c r="E831" s="11">
        <f>8.8819 * CHOOSE(CONTROL!$C$32, $C$9, 100%, $E$9)</f>
        <v>8.8818999999999999</v>
      </c>
      <c r="F831" s="11">
        <f>8.8819 * CHOOSE(CONTROL!$C$32, $C$9, 100%, $E$9)</f>
        <v>8.8818999999999999</v>
      </c>
      <c r="G831" s="11">
        <f>8.8852 * CHOOSE(CONTROL!$C$32, $C$9, 100%, $E$9)</f>
        <v>8.8851999999999993</v>
      </c>
      <c r="H831" s="11">
        <f>28.6109 * CHOOSE(CONTROL!$C$32, $C$9, 100%, $E$9)</f>
        <v>28.610900000000001</v>
      </c>
      <c r="I831" s="11">
        <f>28.6141 * CHOOSE(CONTROL!$C$32, $C$9, 100%, $E$9)</f>
        <v>28.614100000000001</v>
      </c>
      <c r="J831" s="11">
        <f>28.6109 * CHOOSE(CONTROL!$C$32, $C$9, 100%, $E$9)</f>
        <v>28.610900000000001</v>
      </c>
      <c r="K831" s="11">
        <f>28.6141 * CHOOSE(CONTROL!$C$32, $C$9, 100%, $E$9)</f>
        <v>28.614100000000001</v>
      </c>
      <c r="L831" s="11">
        <f>8.8819 * CHOOSE(CONTROL!$C$32, $C$9, 100%, $E$9)</f>
        <v>8.8818999999999999</v>
      </c>
      <c r="M831" s="11">
        <f>8.8852 * CHOOSE(CONTROL!$C$32, $C$9, 100%, $E$9)</f>
        <v>8.8851999999999993</v>
      </c>
      <c r="N831" s="11">
        <f>8.8819 * CHOOSE(CONTROL!$C$32, $C$9, 100%, $E$9)</f>
        <v>8.8818999999999999</v>
      </c>
      <c r="O831" s="11">
        <f>8.8852 * CHOOSE(CONTROL!$C$32, $C$9, 100%, $E$9)</f>
        <v>8.8851999999999993</v>
      </c>
    </row>
    <row r="832" spans="1:15" ht="15" x14ac:dyDescent="0.2">
      <c r="A832" s="13">
        <v>66171</v>
      </c>
      <c r="B832" s="9">
        <f>12.1859 * CHOOSE(CONTROL!$C$32, $C$9, 100%, $E$9)</f>
        <v>12.1859</v>
      </c>
      <c r="C832" s="9">
        <f>12.1859 * CHOOSE(CONTROL!$C$32, $C$9, 100%, $E$9)</f>
        <v>12.1859</v>
      </c>
      <c r="D832" s="9">
        <f>12.1869 * CHOOSE(CONTROL!$C$32, $C$9, 100%, $E$9)</f>
        <v>12.1869</v>
      </c>
      <c r="E832" s="11">
        <f>9.169 * CHOOSE(CONTROL!$C$32, $C$9, 100%, $E$9)</f>
        <v>9.1690000000000005</v>
      </c>
      <c r="F832" s="11">
        <f>9.169 * CHOOSE(CONTROL!$C$32, $C$9, 100%, $E$9)</f>
        <v>9.1690000000000005</v>
      </c>
      <c r="G832" s="11">
        <f>9.1722 * CHOOSE(CONTROL!$C$32, $C$9, 100%, $E$9)</f>
        <v>9.1722000000000001</v>
      </c>
      <c r="H832" s="11">
        <f>28.6705 * CHOOSE(CONTROL!$C$32, $C$9, 100%, $E$9)</f>
        <v>28.670500000000001</v>
      </c>
      <c r="I832" s="11">
        <f>28.6737 * CHOOSE(CONTROL!$C$32, $C$9, 100%, $E$9)</f>
        <v>28.6737</v>
      </c>
      <c r="J832" s="11">
        <f>28.6705 * CHOOSE(CONTROL!$C$32, $C$9, 100%, $E$9)</f>
        <v>28.670500000000001</v>
      </c>
      <c r="K832" s="11">
        <f>28.6737 * CHOOSE(CONTROL!$C$32, $C$9, 100%, $E$9)</f>
        <v>28.6737</v>
      </c>
      <c r="L832" s="11">
        <f>9.169 * CHOOSE(CONTROL!$C$32, $C$9, 100%, $E$9)</f>
        <v>9.1690000000000005</v>
      </c>
      <c r="M832" s="11">
        <f>9.1722 * CHOOSE(CONTROL!$C$32, $C$9, 100%, $E$9)</f>
        <v>9.1722000000000001</v>
      </c>
      <c r="N832" s="11">
        <f>9.169 * CHOOSE(CONTROL!$C$32, $C$9, 100%, $E$9)</f>
        <v>9.1690000000000005</v>
      </c>
      <c r="O832" s="11">
        <f>9.1722 * CHOOSE(CONTROL!$C$32, $C$9, 100%, $E$9)</f>
        <v>9.1722000000000001</v>
      </c>
    </row>
    <row r="833" spans="1:15" ht="15" x14ac:dyDescent="0.2">
      <c r="A833" s="13">
        <v>66202</v>
      </c>
      <c r="B833" s="9">
        <f>12.1915 * CHOOSE(CONTROL!$C$32, $C$9, 100%, $E$9)</f>
        <v>12.1915</v>
      </c>
      <c r="C833" s="9">
        <f>12.1915 * CHOOSE(CONTROL!$C$32, $C$9, 100%, $E$9)</f>
        <v>12.1915</v>
      </c>
      <c r="D833" s="9">
        <f>12.1925 * CHOOSE(CONTROL!$C$32, $C$9, 100%, $E$9)</f>
        <v>12.192500000000001</v>
      </c>
      <c r="E833" s="11">
        <f>9.4754 * CHOOSE(CONTROL!$C$32, $C$9, 100%, $E$9)</f>
        <v>9.4754000000000005</v>
      </c>
      <c r="F833" s="11">
        <f>9.4754 * CHOOSE(CONTROL!$C$32, $C$9, 100%, $E$9)</f>
        <v>9.4754000000000005</v>
      </c>
      <c r="G833" s="11">
        <f>9.4786 * CHOOSE(CONTROL!$C$32, $C$9, 100%, $E$9)</f>
        <v>9.4786000000000001</v>
      </c>
      <c r="H833" s="11">
        <f>28.7302 * CHOOSE(CONTROL!$C$32, $C$9, 100%, $E$9)</f>
        <v>28.7302</v>
      </c>
      <c r="I833" s="11">
        <f>28.7335 * CHOOSE(CONTROL!$C$32, $C$9, 100%, $E$9)</f>
        <v>28.733499999999999</v>
      </c>
      <c r="J833" s="11">
        <f>28.7302 * CHOOSE(CONTROL!$C$32, $C$9, 100%, $E$9)</f>
        <v>28.7302</v>
      </c>
      <c r="K833" s="11">
        <f>28.7335 * CHOOSE(CONTROL!$C$32, $C$9, 100%, $E$9)</f>
        <v>28.733499999999999</v>
      </c>
      <c r="L833" s="11">
        <f>9.4754 * CHOOSE(CONTROL!$C$32, $C$9, 100%, $E$9)</f>
        <v>9.4754000000000005</v>
      </c>
      <c r="M833" s="11">
        <f>9.4786 * CHOOSE(CONTROL!$C$32, $C$9, 100%, $E$9)</f>
        <v>9.4786000000000001</v>
      </c>
      <c r="N833" s="11">
        <f>9.4754 * CHOOSE(CONTROL!$C$32, $C$9, 100%, $E$9)</f>
        <v>9.4754000000000005</v>
      </c>
      <c r="O833" s="11">
        <f>9.4786 * CHOOSE(CONTROL!$C$32, $C$9, 100%, $E$9)</f>
        <v>9.4786000000000001</v>
      </c>
    </row>
    <row r="834" spans="1:15" ht="15" x14ac:dyDescent="0.2">
      <c r="A834" s="13">
        <v>66232</v>
      </c>
      <c r="B834" s="9">
        <f>12.1915 * CHOOSE(CONTROL!$C$32, $C$9, 100%, $E$9)</f>
        <v>12.1915</v>
      </c>
      <c r="C834" s="9">
        <f>12.1915 * CHOOSE(CONTROL!$C$32, $C$9, 100%, $E$9)</f>
        <v>12.1915</v>
      </c>
      <c r="D834" s="9">
        <f>12.1928 * CHOOSE(CONTROL!$C$32, $C$9, 100%, $E$9)</f>
        <v>12.1928</v>
      </c>
      <c r="E834" s="11">
        <f>9.5918 * CHOOSE(CONTROL!$C$32, $C$9, 100%, $E$9)</f>
        <v>9.5917999999999992</v>
      </c>
      <c r="F834" s="11">
        <f>9.5918 * CHOOSE(CONTROL!$C$32, $C$9, 100%, $E$9)</f>
        <v>9.5917999999999992</v>
      </c>
      <c r="G834" s="11">
        <f>9.596 * CHOOSE(CONTROL!$C$32, $C$9, 100%, $E$9)</f>
        <v>9.5960000000000001</v>
      </c>
      <c r="H834" s="11">
        <f>28.7901 * CHOOSE(CONTROL!$C$32, $C$9, 100%, $E$9)</f>
        <v>28.790099999999999</v>
      </c>
      <c r="I834" s="11">
        <f>28.7943 * CHOOSE(CONTROL!$C$32, $C$9, 100%, $E$9)</f>
        <v>28.7943</v>
      </c>
      <c r="J834" s="11">
        <f>28.7901 * CHOOSE(CONTROL!$C$32, $C$9, 100%, $E$9)</f>
        <v>28.790099999999999</v>
      </c>
      <c r="K834" s="11">
        <f>28.7943 * CHOOSE(CONTROL!$C$32, $C$9, 100%, $E$9)</f>
        <v>28.7943</v>
      </c>
      <c r="L834" s="11">
        <f>9.5918 * CHOOSE(CONTROL!$C$32, $C$9, 100%, $E$9)</f>
        <v>9.5917999999999992</v>
      </c>
      <c r="M834" s="11">
        <f>9.596 * CHOOSE(CONTROL!$C$32, $C$9, 100%, $E$9)</f>
        <v>9.5960000000000001</v>
      </c>
      <c r="N834" s="11">
        <f>9.5918 * CHOOSE(CONTROL!$C$32, $C$9, 100%, $E$9)</f>
        <v>9.5917999999999992</v>
      </c>
      <c r="O834" s="11">
        <f>9.596 * CHOOSE(CONTROL!$C$32, $C$9, 100%, $E$9)</f>
        <v>9.5960000000000001</v>
      </c>
    </row>
    <row r="835" spans="1:15" ht="15" x14ac:dyDescent="0.2">
      <c r="A835" s="13">
        <v>66263</v>
      </c>
      <c r="B835" s="9">
        <f>12.1976 * CHOOSE(CONTROL!$C$32, $C$9, 100%, $E$9)</f>
        <v>12.1976</v>
      </c>
      <c r="C835" s="9">
        <f>12.1976 * CHOOSE(CONTROL!$C$32, $C$9, 100%, $E$9)</f>
        <v>12.1976</v>
      </c>
      <c r="D835" s="9">
        <f>12.1989 * CHOOSE(CONTROL!$C$32, $C$9, 100%, $E$9)</f>
        <v>12.1989</v>
      </c>
      <c r="E835" s="11">
        <f>9.4796 * CHOOSE(CONTROL!$C$32, $C$9, 100%, $E$9)</f>
        <v>9.4795999999999996</v>
      </c>
      <c r="F835" s="11">
        <f>9.4796 * CHOOSE(CONTROL!$C$32, $C$9, 100%, $E$9)</f>
        <v>9.4795999999999996</v>
      </c>
      <c r="G835" s="11">
        <f>9.4838 * CHOOSE(CONTROL!$C$32, $C$9, 100%, $E$9)</f>
        <v>9.4838000000000005</v>
      </c>
      <c r="H835" s="11">
        <f>28.8501 * CHOOSE(CONTROL!$C$32, $C$9, 100%, $E$9)</f>
        <v>28.850100000000001</v>
      </c>
      <c r="I835" s="11">
        <f>28.8543 * CHOOSE(CONTROL!$C$32, $C$9, 100%, $E$9)</f>
        <v>28.854299999999999</v>
      </c>
      <c r="J835" s="11">
        <f>28.8501 * CHOOSE(CONTROL!$C$32, $C$9, 100%, $E$9)</f>
        <v>28.850100000000001</v>
      </c>
      <c r="K835" s="11">
        <f>28.8543 * CHOOSE(CONTROL!$C$32, $C$9, 100%, $E$9)</f>
        <v>28.854299999999999</v>
      </c>
      <c r="L835" s="11">
        <f>9.4796 * CHOOSE(CONTROL!$C$32, $C$9, 100%, $E$9)</f>
        <v>9.4795999999999996</v>
      </c>
      <c r="M835" s="11">
        <f>9.4838 * CHOOSE(CONTROL!$C$32, $C$9, 100%, $E$9)</f>
        <v>9.4838000000000005</v>
      </c>
      <c r="N835" s="11">
        <f>9.4796 * CHOOSE(CONTROL!$C$32, $C$9, 100%, $E$9)</f>
        <v>9.4795999999999996</v>
      </c>
      <c r="O835" s="11">
        <f>9.4838 * CHOOSE(CONTROL!$C$32, $C$9, 100%, $E$9)</f>
        <v>9.4838000000000005</v>
      </c>
    </row>
    <row r="836" spans="1:15" ht="15" x14ac:dyDescent="0.2">
      <c r="A836" s="13">
        <v>66293</v>
      </c>
      <c r="B836" s="9">
        <f>12.3461 * CHOOSE(CONTROL!$C$32, $C$9, 100%, $E$9)</f>
        <v>12.3461</v>
      </c>
      <c r="C836" s="9">
        <f>12.3461 * CHOOSE(CONTROL!$C$32, $C$9, 100%, $E$9)</f>
        <v>12.3461</v>
      </c>
      <c r="D836" s="9">
        <f>12.3473 * CHOOSE(CONTROL!$C$32, $C$9, 100%, $E$9)</f>
        <v>12.347300000000001</v>
      </c>
      <c r="E836" s="11">
        <f>9.5381 * CHOOSE(CONTROL!$C$32, $C$9, 100%, $E$9)</f>
        <v>9.5381</v>
      </c>
      <c r="F836" s="11">
        <f>9.5381 * CHOOSE(CONTROL!$C$32, $C$9, 100%, $E$9)</f>
        <v>9.5381</v>
      </c>
      <c r="G836" s="11">
        <f>9.5423 * CHOOSE(CONTROL!$C$32, $C$9, 100%, $E$9)</f>
        <v>9.5422999999999991</v>
      </c>
      <c r="H836" s="11">
        <f>28.9102 * CHOOSE(CONTROL!$C$32, $C$9, 100%, $E$9)</f>
        <v>28.9102</v>
      </c>
      <c r="I836" s="11">
        <f>28.9144 * CHOOSE(CONTROL!$C$32, $C$9, 100%, $E$9)</f>
        <v>28.914400000000001</v>
      </c>
      <c r="J836" s="11">
        <f>28.9102 * CHOOSE(CONTROL!$C$32, $C$9, 100%, $E$9)</f>
        <v>28.9102</v>
      </c>
      <c r="K836" s="11">
        <f>28.9144 * CHOOSE(CONTROL!$C$32, $C$9, 100%, $E$9)</f>
        <v>28.914400000000001</v>
      </c>
      <c r="L836" s="11">
        <f>9.5381 * CHOOSE(CONTROL!$C$32, $C$9, 100%, $E$9)</f>
        <v>9.5381</v>
      </c>
      <c r="M836" s="11">
        <f>9.5423 * CHOOSE(CONTROL!$C$32, $C$9, 100%, $E$9)</f>
        <v>9.5422999999999991</v>
      </c>
      <c r="N836" s="11">
        <f>9.5381 * CHOOSE(CONTROL!$C$32, $C$9, 100%, $E$9)</f>
        <v>9.5381</v>
      </c>
      <c r="O836" s="11">
        <f>9.5423 * CHOOSE(CONTROL!$C$32, $C$9, 100%, $E$9)</f>
        <v>9.5422999999999991</v>
      </c>
    </row>
    <row r="837" spans="1:15" ht="15" x14ac:dyDescent="0.2">
      <c r="A837" s="13">
        <v>66324</v>
      </c>
      <c r="B837" s="9">
        <f>12.3528 * CHOOSE(CONTROL!$C$32, $C$9, 100%, $E$9)</f>
        <v>12.3528</v>
      </c>
      <c r="C837" s="9">
        <f>12.3528 * CHOOSE(CONTROL!$C$32, $C$9, 100%, $E$9)</f>
        <v>12.3528</v>
      </c>
      <c r="D837" s="9">
        <f>12.354 * CHOOSE(CONTROL!$C$32, $C$9, 100%, $E$9)</f>
        <v>12.353999999999999</v>
      </c>
      <c r="E837" s="11">
        <f>9.1934 * CHOOSE(CONTROL!$C$32, $C$9, 100%, $E$9)</f>
        <v>9.1934000000000005</v>
      </c>
      <c r="F837" s="11">
        <f>9.1934 * CHOOSE(CONTROL!$C$32, $C$9, 100%, $E$9)</f>
        <v>9.1934000000000005</v>
      </c>
      <c r="G837" s="11">
        <f>9.1976 * CHOOSE(CONTROL!$C$32, $C$9, 100%, $E$9)</f>
        <v>9.1975999999999996</v>
      </c>
      <c r="H837" s="11">
        <f>28.9704 * CHOOSE(CONTROL!$C$32, $C$9, 100%, $E$9)</f>
        <v>28.970400000000001</v>
      </c>
      <c r="I837" s="11">
        <f>28.9746 * CHOOSE(CONTROL!$C$32, $C$9, 100%, $E$9)</f>
        <v>28.974599999999999</v>
      </c>
      <c r="J837" s="11">
        <f>28.9704 * CHOOSE(CONTROL!$C$32, $C$9, 100%, $E$9)</f>
        <v>28.970400000000001</v>
      </c>
      <c r="K837" s="11">
        <f>28.9746 * CHOOSE(CONTROL!$C$32, $C$9, 100%, $E$9)</f>
        <v>28.974599999999999</v>
      </c>
      <c r="L837" s="11">
        <f>9.1934 * CHOOSE(CONTROL!$C$32, $C$9, 100%, $E$9)</f>
        <v>9.1934000000000005</v>
      </c>
      <c r="M837" s="11">
        <f>9.1976 * CHOOSE(CONTROL!$C$32, $C$9, 100%, $E$9)</f>
        <v>9.1975999999999996</v>
      </c>
      <c r="N837" s="11">
        <f>9.1934 * CHOOSE(CONTROL!$C$32, $C$9, 100%, $E$9)</f>
        <v>9.1934000000000005</v>
      </c>
      <c r="O837" s="11">
        <f>9.1976 * CHOOSE(CONTROL!$C$32, $C$9, 100%, $E$9)</f>
        <v>9.1975999999999996</v>
      </c>
    </row>
    <row r="838" spans="1:15" ht="15" x14ac:dyDescent="0.2">
      <c r="A838" s="13">
        <v>66355</v>
      </c>
      <c r="B838" s="9">
        <f>12.3497 * CHOOSE(CONTROL!$C$32, $C$9, 100%, $E$9)</f>
        <v>12.3497</v>
      </c>
      <c r="C838" s="9">
        <f>12.3497 * CHOOSE(CONTROL!$C$32, $C$9, 100%, $E$9)</f>
        <v>12.3497</v>
      </c>
      <c r="D838" s="9">
        <f>12.351 * CHOOSE(CONTROL!$C$32, $C$9, 100%, $E$9)</f>
        <v>12.351000000000001</v>
      </c>
      <c r="E838" s="11">
        <f>9.1524 * CHOOSE(CONTROL!$C$32, $C$9, 100%, $E$9)</f>
        <v>9.1524000000000001</v>
      </c>
      <c r="F838" s="11">
        <f>9.1524 * CHOOSE(CONTROL!$C$32, $C$9, 100%, $E$9)</f>
        <v>9.1524000000000001</v>
      </c>
      <c r="G838" s="11">
        <f>9.1566 * CHOOSE(CONTROL!$C$32, $C$9, 100%, $E$9)</f>
        <v>9.1565999999999992</v>
      </c>
      <c r="H838" s="11">
        <f>29.0308 * CHOOSE(CONTROL!$C$32, $C$9, 100%, $E$9)</f>
        <v>29.030799999999999</v>
      </c>
      <c r="I838" s="11">
        <f>29.035 * CHOOSE(CONTROL!$C$32, $C$9, 100%, $E$9)</f>
        <v>29.035</v>
      </c>
      <c r="J838" s="11">
        <f>29.0308 * CHOOSE(CONTROL!$C$32, $C$9, 100%, $E$9)</f>
        <v>29.030799999999999</v>
      </c>
      <c r="K838" s="11">
        <f>29.035 * CHOOSE(CONTROL!$C$32, $C$9, 100%, $E$9)</f>
        <v>29.035</v>
      </c>
      <c r="L838" s="11">
        <f>9.1524 * CHOOSE(CONTROL!$C$32, $C$9, 100%, $E$9)</f>
        <v>9.1524000000000001</v>
      </c>
      <c r="M838" s="11">
        <f>9.1566 * CHOOSE(CONTROL!$C$32, $C$9, 100%, $E$9)</f>
        <v>9.1565999999999992</v>
      </c>
      <c r="N838" s="11">
        <f>9.1524 * CHOOSE(CONTROL!$C$32, $C$9, 100%, $E$9)</f>
        <v>9.1524000000000001</v>
      </c>
      <c r="O838" s="11">
        <f>9.1566 * CHOOSE(CONTROL!$C$32, $C$9, 100%, $E$9)</f>
        <v>9.1565999999999992</v>
      </c>
    </row>
    <row r="839" spans="1:15" ht="15" x14ac:dyDescent="0.2">
      <c r="A839" s="13">
        <v>66385</v>
      </c>
      <c r="B839" s="9">
        <f>12.376 * CHOOSE(CONTROL!$C$32, $C$9, 100%, $E$9)</f>
        <v>12.375999999999999</v>
      </c>
      <c r="C839" s="9">
        <f>12.376 * CHOOSE(CONTROL!$C$32, $C$9, 100%, $E$9)</f>
        <v>12.375999999999999</v>
      </c>
      <c r="D839" s="9">
        <f>12.377 * CHOOSE(CONTROL!$C$32, $C$9, 100%, $E$9)</f>
        <v>12.377000000000001</v>
      </c>
      <c r="E839" s="11">
        <f>9.2943 * CHOOSE(CONTROL!$C$32, $C$9, 100%, $E$9)</f>
        <v>9.2942999999999998</v>
      </c>
      <c r="F839" s="11">
        <f>9.2943 * CHOOSE(CONTROL!$C$32, $C$9, 100%, $E$9)</f>
        <v>9.2942999999999998</v>
      </c>
      <c r="G839" s="11">
        <f>9.2975 * CHOOSE(CONTROL!$C$32, $C$9, 100%, $E$9)</f>
        <v>9.2974999999999994</v>
      </c>
      <c r="H839" s="11">
        <f>29.0912 * CHOOSE(CONTROL!$C$32, $C$9, 100%, $E$9)</f>
        <v>29.091200000000001</v>
      </c>
      <c r="I839" s="11">
        <f>29.0945 * CHOOSE(CONTROL!$C$32, $C$9, 100%, $E$9)</f>
        <v>29.0945</v>
      </c>
      <c r="J839" s="11">
        <f>29.0912 * CHOOSE(CONTROL!$C$32, $C$9, 100%, $E$9)</f>
        <v>29.091200000000001</v>
      </c>
      <c r="K839" s="11">
        <f>29.0945 * CHOOSE(CONTROL!$C$32, $C$9, 100%, $E$9)</f>
        <v>29.0945</v>
      </c>
      <c r="L839" s="11">
        <f>9.2943 * CHOOSE(CONTROL!$C$32, $C$9, 100%, $E$9)</f>
        <v>9.2942999999999998</v>
      </c>
      <c r="M839" s="11">
        <f>9.2975 * CHOOSE(CONTROL!$C$32, $C$9, 100%, $E$9)</f>
        <v>9.2974999999999994</v>
      </c>
      <c r="N839" s="11">
        <f>9.2943 * CHOOSE(CONTROL!$C$32, $C$9, 100%, $E$9)</f>
        <v>9.2942999999999998</v>
      </c>
      <c r="O839" s="11">
        <f>9.2975 * CHOOSE(CONTROL!$C$32, $C$9, 100%, $E$9)</f>
        <v>9.2974999999999994</v>
      </c>
    </row>
    <row r="840" spans="1:15" ht="15" x14ac:dyDescent="0.2">
      <c r="A840" s="13">
        <v>66416</v>
      </c>
      <c r="B840" s="9">
        <f>12.379 * CHOOSE(CONTROL!$C$32, $C$9, 100%, $E$9)</f>
        <v>12.379</v>
      </c>
      <c r="C840" s="9">
        <f>12.379 * CHOOSE(CONTROL!$C$32, $C$9, 100%, $E$9)</f>
        <v>12.379</v>
      </c>
      <c r="D840" s="9">
        <f>12.38 * CHOOSE(CONTROL!$C$32, $C$9, 100%, $E$9)</f>
        <v>12.38</v>
      </c>
      <c r="E840" s="11">
        <f>9.3741 * CHOOSE(CONTROL!$C$32, $C$9, 100%, $E$9)</f>
        <v>9.3741000000000003</v>
      </c>
      <c r="F840" s="11">
        <f>9.3741 * CHOOSE(CONTROL!$C$32, $C$9, 100%, $E$9)</f>
        <v>9.3741000000000003</v>
      </c>
      <c r="G840" s="11">
        <f>9.3773 * CHOOSE(CONTROL!$C$32, $C$9, 100%, $E$9)</f>
        <v>9.3773</v>
      </c>
      <c r="H840" s="11">
        <f>29.1518 * CHOOSE(CONTROL!$C$32, $C$9, 100%, $E$9)</f>
        <v>29.151800000000001</v>
      </c>
      <c r="I840" s="11">
        <f>29.1551 * CHOOSE(CONTROL!$C$32, $C$9, 100%, $E$9)</f>
        <v>29.155100000000001</v>
      </c>
      <c r="J840" s="11">
        <f>29.1518 * CHOOSE(CONTROL!$C$32, $C$9, 100%, $E$9)</f>
        <v>29.151800000000001</v>
      </c>
      <c r="K840" s="11">
        <f>29.1551 * CHOOSE(CONTROL!$C$32, $C$9, 100%, $E$9)</f>
        <v>29.155100000000001</v>
      </c>
      <c r="L840" s="11">
        <f>9.3741 * CHOOSE(CONTROL!$C$32, $C$9, 100%, $E$9)</f>
        <v>9.3741000000000003</v>
      </c>
      <c r="M840" s="11">
        <f>9.3773 * CHOOSE(CONTROL!$C$32, $C$9, 100%, $E$9)</f>
        <v>9.3773</v>
      </c>
      <c r="N840" s="11">
        <f>9.3741 * CHOOSE(CONTROL!$C$32, $C$9, 100%, $E$9)</f>
        <v>9.3741000000000003</v>
      </c>
      <c r="O840" s="11">
        <f>9.3773 * CHOOSE(CONTROL!$C$32, $C$9, 100%, $E$9)</f>
        <v>9.3773</v>
      </c>
    </row>
    <row r="841" spans="1:15" ht="15" x14ac:dyDescent="0.2">
      <c r="A841" s="13">
        <v>66446</v>
      </c>
      <c r="B841" s="9">
        <f>12.379 * CHOOSE(CONTROL!$C$32, $C$9, 100%, $E$9)</f>
        <v>12.379</v>
      </c>
      <c r="C841" s="9">
        <f>12.379 * CHOOSE(CONTROL!$C$32, $C$9, 100%, $E$9)</f>
        <v>12.379</v>
      </c>
      <c r="D841" s="9">
        <f>12.38 * CHOOSE(CONTROL!$C$32, $C$9, 100%, $E$9)</f>
        <v>12.38</v>
      </c>
      <c r="E841" s="11">
        <f>9.18 * CHOOSE(CONTROL!$C$32, $C$9, 100%, $E$9)</f>
        <v>9.18</v>
      </c>
      <c r="F841" s="11">
        <f>9.18 * CHOOSE(CONTROL!$C$32, $C$9, 100%, $E$9)</f>
        <v>9.18</v>
      </c>
      <c r="G841" s="11">
        <f>9.1832 * CHOOSE(CONTROL!$C$32, $C$9, 100%, $E$9)</f>
        <v>9.1831999999999994</v>
      </c>
      <c r="H841" s="11">
        <f>29.2126 * CHOOSE(CONTROL!$C$32, $C$9, 100%, $E$9)</f>
        <v>29.212599999999998</v>
      </c>
      <c r="I841" s="11">
        <f>29.2158 * CHOOSE(CONTROL!$C$32, $C$9, 100%, $E$9)</f>
        <v>29.215800000000002</v>
      </c>
      <c r="J841" s="11">
        <f>29.2126 * CHOOSE(CONTROL!$C$32, $C$9, 100%, $E$9)</f>
        <v>29.212599999999998</v>
      </c>
      <c r="K841" s="11">
        <f>29.2158 * CHOOSE(CONTROL!$C$32, $C$9, 100%, $E$9)</f>
        <v>29.215800000000002</v>
      </c>
      <c r="L841" s="11">
        <f>9.18 * CHOOSE(CONTROL!$C$32, $C$9, 100%, $E$9)</f>
        <v>9.18</v>
      </c>
      <c r="M841" s="11">
        <f>9.1832 * CHOOSE(CONTROL!$C$32, $C$9, 100%, $E$9)</f>
        <v>9.1831999999999994</v>
      </c>
      <c r="N841" s="11">
        <f>9.18 * CHOOSE(CONTROL!$C$32, $C$9, 100%, $E$9)</f>
        <v>9.18</v>
      </c>
      <c r="O841" s="11">
        <f>9.1832 * CHOOSE(CONTROL!$C$32, $C$9, 100%, $E$9)</f>
        <v>9.1831999999999994</v>
      </c>
    </row>
    <row r="842" spans="1:15" ht="15" x14ac:dyDescent="0.2">
      <c r="A842" s="13">
        <v>66477</v>
      </c>
      <c r="B842" s="9">
        <f>12.3794 * CHOOSE(CONTROL!$C$32, $C$9, 100%, $E$9)</f>
        <v>12.3794</v>
      </c>
      <c r="C842" s="9">
        <f>12.3794 * CHOOSE(CONTROL!$C$32, $C$9, 100%, $E$9)</f>
        <v>12.3794</v>
      </c>
      <c r="D842" s="9">
        <f>12.3803 * CHOOSE(CONTROL!$C$32, $C$9, 100%, $E$9)</f>
        <v>12.3803</v>
      </c>
      <c r="E842" s="11">
        <f>9.3282 * CHOOSE(CONTROL!$C$32, $C$9, 100%, $E$9)</f>
        <v>9.3282000000000007</v>
      </c>
      <c r="F842" s="11">
        <f>9.3282 * CHOOSE(CONTROL!$C$32, $C$9, 100%, $E$9)</f>
        <v>9.3282000000000007</v>
      </c>
      <c r="G842" s="11">
        <f>9.3314 * CHOOSE(CONTROL!$C$32, $C$9, 100%, $E$9)</f>
        <v>9.3314000000000004</v>
      </c>
      <c r="H842" s="11">
        <f>29.023 * CHOOSE(CONTROL!$C$32, $C$9, 100%, $E$9)</f>
        <v>29.023</v>
      </c>
      <c r="I842" s="11">
        <f>29.0262 * CHOOSE(CONTROL!$C$32, $C$9, 100%, $E$9)</f>
        <v>29.026199999999999</v>
      </c>
      <c r="J842" s="11">
        <f>29.023 * CHOOSE(CONTROL!$C$32, $C$9, 100%, $E$9)</f>
        <v>29.023</v>
      </c>
      <c r="K842" s="11">
        <f>29.0262 * CHOOSE(CONTROL!$C$32, $C$9, 100%, $E$9)</f>
        <v>29.026199999999999</v>
      </c>
      <c r="L842" s="11">
        <f>9.3282 * CHOOSE(CONTROL!$C$32, $C$9, 100%, $E$9)</f>
        <v>9.3282000000000007</v>
      </c>
      <c r="M842" s="11">
        <f>9.3314 * CHOOSE(CONTROL!$C$32, $C$9, 100%, $E$9)</f>
        <v>9.3314000000000004</v>
      </c>
      <c r="N842" s="11">
        <f>9.3282 * CHOOSE(CONTROL!$C$32, $C$9, 100%, $E$9)</f>
        <v>9.3282000000000007</v>
      </c>
      <c r="O842" s="11">
        <f>9.3314 * CHOOSE(CONTROL!$C$32, $C$9, 100%, $E$9)</f>
        <v>9.3314000000000004</v>
      </c>
    </row>
    <row r="843" spans="1:15" ht="15" x14ac:dyDescent="0.2">
      <c r="A843" s="13">
        <v>66508</v>
      </c>
      <c r="B843" s="9">
        <f>12.3763 * CHOOSE(CONTROL!$C$32, $C$9, 100%, $E$9)</f>
        <v>12.376300000000001</v>
      </c>
      <c r="C843" s="9">
        <f>12.3763 * CHOOSE(CONTROL!$C$32, $C$9, 100%, $E$9)</f>
        <v>12.376300000000001</v>
      </c>
      <c r="D843" s="9">
        <f>12.3773 * CHOOSE(CONTROL!$C$32, $C$9, 100%, $E$9)</f>
        <v>12.3773</v>
      </c>
      <c r="E843" s="11">
        <f>8.9521 * CHOOSE(CONTROL!$C$32, $C$9, 100%, $E$9)</f>
        <v>8.9520999999999997</v>
      </c>
      <c r="F843" s="11">
        <f>8.9521 * CHOOSE(CONTROL!$C$32, $C$9, 100%, $E$9)</f>
        <v>8.9520999999999997</v>
      </c>
      <c r="G843" s="11">
        <f>8.9553 * CHOOSE(CONTROL!$C$32, $C$9, 100%, $E$9)</f>
        <v>8.9552999999999994</v>
      </c>
      <c r="H843" s="11">
        <f>29.0835 * CHOOSE(CONTROL!$C$32, $C$9, 100%, $E$9)</f>
        <v>29.083500000000001</v>
      </c>
      <c r="I843" s="11">
        <f>29.0867 * CHOOSE(CONTROL!$C$32, $C$9, 100%, $E$9)</f>
        <v>29.0867</v>
      </c>
      <c r="J843" s="11">
        <f>29.0835 * CHOOSE(CONTROL!$C$32, $C$9, 100%, $E$9)</f>
        <v>29.083500000000001</v>
      </c>
      <c r="K843" s="11">
        <f>29.0867 * CHOOSE(CONTROL!$C$32, $C$9, 100%, $E$9)</f>
        <v>29.0867</v>
      </c>
      <c r="L843" s="11">
        <f>8.9521 * CHOOSE(CONTROL!$C$32, $C$9, 100%, $E$9)</f>
        <v>8.9520999999999997</v>
      </c>
      <c r="M843" s="11">
        <f>8.9553 * CHOOSE(CONTROL!$C$32, $C$9, 100%, $E$9)</f>
        <v>8.9552999999999994</v>
      </c>
      <c r="N843" s="11">
        <f>8.9521 * CHOOSE(CONTROL!$C$32, $C$9, 100%, $E$9)</f>
        <v>8.9520999999999997</v>
      </c>
      <c r="O843" s="11">
        <f>8.9553 * CHOOSE(CONTROL!$C$32, $C$9, 100%, $E$9)</f>
        <v>8.9552999999999994</v>
      </c>
    </row>
    <row r="844" spans="1:15" ht="15" x14ac:dyDescent="0.2">
      <c r="A844" s="13">
        <v>66536</v>
      </c>
      <c r="B844" s="9">
        <f>12.3733 * CHOOSE(CONTROL!$C$32, $C$9, 100%, $E$9)</f>
        <v>12.3733</v>
      </c>
      <c r="C844" s="9">
        <f>12.3733 * CHOOSE(CONTROL!$C$32, $C$9, 100%, $E$9)</f>
        <v>12.3733</v>
      </c>
      <c r="D844" s="9">
        <f>12.3742 * CHOOSE(CONTROL!$C$32, $C$9, 100%, $E$9)</f>
        <v>12.3742</v>
      </c>
      <c r="E844" s="11">
        <f>9.2448 * CHOOSE(CONTROL!$C$32, $C$9, 100%, $E$9)</f>
        <v>9.2447999999999997</v>
      </c>
      <c r="F844" s="11">
        <f>9.2448 * CHOOSE(CONTROL!$C$32, $C$9, 100%, $E$9)</f>
        <v>9.2447999999999997</v>
      </c>
      <c r="G844" s="11">
        <f>9.248 * CHOOSE(CONTROL!$C$32, $C$9, 100%, $E$9)</f>
        <v>9.2479999999999993</v>
      </c>
      <c r="H844" s="11">
        <f>29.1441 * CHOOSE(CONTROL!$C$32, $C$9, 100%, $E$9)</f>
        <v>29.144100000000002</v>
      </c>
      <c r="I844" s="11">
        <f>29.1473 * CHOOSE(CONTROL!$C$32, $C$9, 100%, $E$9)</f>
        <v>29.147300000000001</v>
      </c>
      <c r="J844" s="11">
        <f>29.1441 * CHOOSE(CONTROL!$C$32, $C$9, 100%, $E$9)</f>
        <v>29.144100000000002</v>
      </c>
      <c r="K844" s="11">
        <f>29.1473 * CHOOSE(CONTROL!$C$32, $C$9, 100%, $E$9)</f>
        <v>29.147300000000001</v>
      </c>
      <c r="L844" s="11">
        <f>9.2448 * CHOOSE(CONTROL!$C$32, $C$9, 100%, $E$9)</f>
        <v>9.2447999999999997</v>
      </c>
      <c r="M844" s="11">
        <f>9.248 * CHOOSE(CONTROL!$C$32, $C$9, 100%, $E$9)</f>
        <v>9.2479999999999993</v>
      </c>
      <c r="N844" s="11">
        <f>9.2448 * CHOOSE(CONTROL!$C$32, $C$9, 100%, $E$9)</f>
        <v>9.2447999999999997</v>
      </c>
      <c r="O844" s="11">
        <f>9.248 * CHOOSE(CONTROL!$C$32, $C$9, 100%, $E$9)</f>
        <v>9.2479999999999993</v>
      </c>
    </row>
    <row r="845" spans="1:15" ht="15" x14ac:dyDescent="0.2">
      <c r="A845" s="13">
        <v>66567</v>
      </c>
      <c r="B845" s="9">
        <f>12.3791 * CHOOSE(CONTROL!$C$32, $C$9, 100%, $E$9)</f>
        <v>12.379099999999999</v>
      </c>
      <c r="C845" s="9">
        <f>12.3791 * CHOOSE(CONTROL!$C$32, $C$9, 100%, $E$9)</f>
        <v>12.379099999999999</v>
      </c>
      <c r="D845" s="9">
        <f>12.38 * CHOOSE(CONTROL!$C$32, $C$9, 100%, $E$9)</f>
        <v>12.38</v>
      </c>
      <c r="E845" s="11">
        <f>9.5571 * CHOOSE(CONTROL!$C$32, $C$9, 100%, $E$9)</f>
        <v>9.5571000000000002</v>
      </c>
      <c r="F845" s="11">
        <f>9.5571 * CHOOSE(CONTROL!$C$32, $C$9, 100%, $E$9)</f>
        <v>9.5571000000000002</v>
      </c>
      <c r="G845" s="11">
        <f>9.5604 * CHOOSE(CONTROL!$C$32, $C$9, 100%, $E$9)</f>
        <v>9.5603999999999996</v>
      </c>
      <c r="H845" s="11">
        <f>29.2048 * CHOOSE(CONTROL!$C$32, $C$9, 100%, $E$9)</f>
        <v>29.204799999999999</v>
      </c>
      <c r="I845" s="11">
        <f>29.208 * CHOOSE(CONTROL!$C$32, $C$9, 100%, $E$9)</f>
        <v>29.207999999999998</v>
      </c>
      <c r="J845" s="11">
        <f>29.2048 * CHOOSE(CONTROL!$C$32, $C$9, 100%, $E$9)</f>
        <v>29.204799999999999</v>
      </c>
      <c r="K845" s="11">
        <f>29.208 * CHOOSE(CONTROL!$C$32, $C$9, 100%, $E$9)</f>
        <v>29.207999999999998</v>
      </c>
      <c r="L845" s="11">
        <f>9.5571 * CHOOSE(CONTROL!$C$32, $C$9, 100%, $E$9)</f>
        <v>9.5571000000000002</v>
      </c>
      <c r="M845" s="11">
        <f>9.5604 * CHOOSE(CONTROL!$C$32, $C$9, 100%, $E$9)</f>
        <v>9.5603999999999996</v>
      </c>
      <c r="N845" s="11">
        <f>9.5571 * CHOOSE(CONTROL!$C$32, $C$9, 100%, $E$9)</f>
        <v>9.5571000000000002</v>
      </c>
      <c r="O845" s="11">
        <f>9.5604 * CHOOSE(CONTROL!$C$32, $C$9, 100%, $E$9)</f>
        <v>9.5603999999999996</v>
      </c>
    </row>
    <row r="846" spans="1:15" ht="15" x14ac:dyDescent="0.2">
      <c r="A846" s="13">
        <v>66597</v>
      </c>
      <c r="B846" s="9">
        <f>12.3791 * CHOOSE(CONTROL!$C$32, $C$9, 100%, $E$9)</f>
        <v>12.379099999999999</v>
      </c>
      <c r="C846" s="9">
        <f>12.3791 * CHOOSE(CONTROL!$C$32, $C$9, 100%, $E$9)</f>
        <v>12.379099999999999</v>
      </c>
      <c r="D846" s="9">
        <f>12.3803 * CHOOSE(CONTROL!$C$32, $C$9, 100%, $E$9)</f>
        <v>12.3803</v>
      </c>
      <c r="E846" s="11">
        <f>9.6759 * CHOOSE(CONTROL!$C$32, $C$9, 100%, $E$9)</f>
        <v>9.6759000000000004</v>
      </c>
      <c r="F846" s="11">
        <f>9.6759 * CHOOSE(CONTROL!$C$32, $C$9, 100%, $E$9)</f>
        <v>9.6759000000000004</v>
      </c>
      <c r="G846" s="11">
        <f>9.6801 * CHOOSE(CONTROL!$C$32, $C$9, 100%, $E$9)</f>
        <v>9.6800999999999995</v>
      </c>
      <c r="H846" s="11">
        <f>29.2656 * CHOOSE(CONTROL!$C$32, $C$9, 100%, $E$9)</f>
        <v>29.265599999999999</v>
      </c>
      <c r="I846" s="11">
        <f>29.2698 * CHOOSE(CONTROL!$C$32, $C$9, 100%, $E$9)</f>
        <v>29.2698</v>
      </c>
      <c r="J846" s="11">
        <f>29.2656 * CHOOSE(CONTROL!$C$32, $C$9, 100%, $E$9)</f>
        <v>29.265599999999999</v>
      </c>
      <c r="K846" s="11">
        <f>29.2698 * CHOOSE(CONTROL!$C$32, $C$9, 100%, $E$9)</f>
        <v>29.2698</v>
      </c>
      <c r="L846" s="11">
        <f>9.6759 * CHOOSE(CONTROL!$C$32, $C$9, 100%, $E$9)</f>
        <v>9.6759000000000004</v>
      </c>
      <c r="M846" s="11">
        <f>9.6801 * CHOOSE(CONTROL!$C$32, $C$9, 100%, $E$9)</f>
        <v>9.6800999999999995</v>
      </c>
      <c r="N846" s="11">
        <f>9.6759 * CHOOSE(CONTROL!$C$32, $C$9, 100%, $E$9)</f>
        <v>9.6759000000000004</v>
      </c>
      <c r="O846" s="11">
        <f>9.6801 * CHOOSE(CONTROL!$C$32, $C$9, 100%, $E$9)</f>
        <v>9.6800999999999995</v>
      </c>
    </row>
    <row r="847" spans="1:15" ht="15" x14ac:dyDescent="0.2">
      <c r="A847" s="13">
        <v>66628</v>
      </c>
      <c r="B847" s="9">
        <f>12.3851 * CHOOSE(CONTROL!$C$32, $C$9, 100%, $E$9)</f>
        <v>12.3851</v>
      </c>
      <c r="C847" s="9">
        <f>12.3851 * CHOOSE(CONTROL!$C$32, $C$9, 100%, $E$9)</f>
        <v>12.3851</v>
      </c>
      <c r="D847" s="9">
        <f>12.3864 * CHOOSE(CONTROL!$C$32, $C$9, 100%, $E$9)</f>
        <v>12.3864</v>
      </c>
      <c r="E847" s="11">
        <f>9.5614 * CHOOSE(CONTROL!$C$32, $C$9, 100%, $E$9)</f>
        <v>9.5614000000000008</v>
      </c>
      <c r="F847" s="11">
        <f>9.5614 * CHOOSE(CONTROL!$C$32, $C$9, 100%, $E$9)</f>
        <v>9.5614000000000008</v>
      </c>
      <c r="G847" s="11">
        <f>9.5656 * CHOOSE(CONTROL!$C$32, $C$9, 100%, $E$9)</f>
        <v>9.5655999999999999</v>
      </c>
      <c r="H847" s="11">
        <f>29.3266 * CHOOSE(CONTROL!$C$32, $C$9, 100%, $E$9)</f>
        <v>29.326599999999999</v>
      </c>
      <c r="I847" s="11">
        <f>29.3308 * CHOOSE(CONTROL!$C$32, $C$9, 100%, $E$9)</f>
        <v>29.3308</v>
      </c>
      <c r="J847" s="11">
        <f>29.3266 * CHOOSE(CONTROL!$C$32, $C$9, 100%, $E$9)</f>
        <v>29.326599999999999</v>
      </c>
      <c r="K847" s="11">
        <f>29.3308 * CHOOSE(CONTROL!$C$32, $C$9, 100%, $E$9)</f>
        <v>29.3308</v>
      </c>
      <c r="L847" s="11">
        <f>9.5614 * CHOOSE(CONTROL!$C$32, $C$9, 100%, $E$9)</f>
        <v>9.5614000000000008</v>
      </c>
      <c r="M847" s="11">
        <f>9.5656 * CHOOSE(CONTROL!$C$32, $C$9, 100%, $E$9)</f>
        <v>9.5655999999999999</v>
      </c>
      <c r="N847" s="11">
        <f>9.5614 * CHOOSE(CONTROL!$C$32, $C$9, 100%, $E$9)</f>
        <v>9.5614000000000008</v>
      </c>
      <c r="O847" s="11">
        <f>9.5656 * CHOOSE(CONTROL!$C$32, $C$9, 100%, $E$9)</f>
        <v>9.5655999999999999</v>
      </c>
    </row>
    <row r="848" spans="1:15" ht="15" x14ac:dyDescent="0.2">
      <c r="A848" s="13">
        <v>66658</v>
      </c>
      <c r="B848" s="9">
        <f>12.5357 * CHOOSE(CONTROL!$C$32, $C$9, 100%, $E$9)</f>
        <v>12.5357</v>
      </c>
      <c r="C848" s="9">
        <f>12.5357 * CHOOSE(CONTROL!$C$32, $C$9, 100%, $E$9)</f>
        <v>12.5357</v>
      </c>
      <c r="D848" s="9">
        <f>12.5369 * CHOOSE(CONTROL!$C$32, $C$9, 100%, $E$9)</f>
        <v>12.536899999999999</v>
      </c>
      <c r="E848" s="11">
        <f>9.621 * CHOOSE(CONTROL!$C$32, $C$9, 100%, $E$9)</f>
        <v>9.6210000000000004</v>
      </c>
      <c r="F848" s="11">
        <f>9.621 * CHOOSE(CONTROL!$C$32, $C$9, 100%, $E$9)</f>
        <v>9.6210000000000004</v>
      </c>
      <c r="G848" s="11">
        <f>9.6252 * CHOOSE(CONTROL!$C$32, $C$9, 100%, $E$9)</f>
        <v>9.6251999999999995</v>
      </c>
      <c r="H848" s="11">
        <f>29.3877 * CHOOSE(CONTROL!$C$32, $C$9, 100%, $E$9)</f>
        <v>29.387699999999999</v>
      </c>
      <c r="I848" s="11">
        <f>29.3919 * CHOOSE(CONTROL!$C$32, $C$9, 100%, $E$9)</f>
        <v>29.3919</v>
      </c>
      <c r="J848" s="11">
        <f>29.3877 * CHOOSE(CONTROL!$C$32, $C$9, 100%, $E$9)</f>
        <v>29.387699999999999</v>
      </c>
      <c r="K848" s="11">
        <f>29.3919 * CHOOSE(CONTROL!$C$32, $C$9, 100%, $E$9)</f>
        <v>29.3919</v>
      </c>
      <c r="L848" s="11">
        <f>9.621 * CHOOSE(CONTROL!$C$32, $C$9, 100%, $E$9)</f>
        <v>9.6210000000000004</v>
      </c>
      <c r="M848" s="11">
        <f>9.6252 * CHOOSE(CONTROL!$C$32, $C$9, 100%, $E$9)</f>
        <v>9.6251999999999995</v>
      </c>
      <c r="N848" s="11">
        <f>9.621 * CHOOSE(CONTROL!$C$32, $C$9, 100%, $E$9)</f>
        <v>9.6210000000000004</v>
      </c>
      <c r="O848" s="11">
        <f>9.6252 * CHOOSE(CONTROL!$C$32, $C$9, 100%, $E$9)</f>
        <v>9.6251999999999995</v>
      </c>
    </row>
    <row r="849" spans="1:15" ht="15" x14ac:dyDescent="0.2">
      <c r="A849" s="13">
        <v>66689</v>
      </c>
      <c r="B849" s="9">
        <f>12.5424 * CHOOSE(CONTROL!$C$32, $C$9, 100%, $E$9)</f>
        <v>12.542400000000001</v>
      </c>
      <c r="C849" s="9">
        <f>12.5424 * CHOOSE(CONTROL!$C$32, $C$9, 100%, $E$9)</f>
        <v>12.542400000000001</v>
      </c>
      <c r="D849" s="9">
        <f>12.5436 * CHOOSE(CONTROL!$C$32, $C$9, 100%, $E$9)</f>
        <v>12.5436</v>
      </c>
      <c r="E849" s="11">
        <f>9.2695 * CHOOSE(CONTROL!$C$32, $C$9, 100%, $E$9)</f>
        <v>9.2695000000000007</v>
      </c>
      <c r="F849" s="11">
        <f>9.2695 * CHOOSE(CONTROL!$C$32, $C$9, 100%, $E$9)</f>
        <v>9.2695000000000007</v>
      </c>
      <c r="G849" s="11">
        <f>9.2737 * CHOOSE(CONTROL!$C$32, $C$9, 100%, $E$9)</f>
        <v>9.2736999999999998</v>
      </c>
      <c r="H849" s="11">
        <f>29.4489 * CHOOSE(CONTROL!$C$32, $C$9, 100%, $E$9)</f>
        <v>29.448899999999998</v>
      </c>
      <c r="I849" s="11">
        <f>29.4531 * CHOOSE(CONTROL!$C$32, $C$9, 100%, $E$9)</f>
        <v>29.453099999999999</v>
      </c>
      <c r="J849" s="11">
        <f>29.4489 * CHOOSE(CONTROL!$C$32, $C$9, 100%, $E$9)</f>
        <v>29.448899999999998</v>
      </c>
      <c r="K849" s="11">
        <f>29.4531 * CHOOSE(CONTROL!$C$32, $C$9, 100%, $E$9)</f>
        <v>29.453099999999999</v>
      </c>
      <c r="L849" s="11">
        <f>9.2695 * CHOOSE(CONTROL!$C$32, $C$9, 100%, $E$9)</f>
        <v>9.2695000000000007</v>
      </c>
      <c r="M849" s="11">
        <f>9.2737 * CHOOSE(CONTROL!$C$32, $C$9, 100%, $E$9)</f>
        <v>9.2736999999999998</v>
      </c>
      <c r="N849" s="11">
        <f>9.2695 * CHOOSE(CONTROL!$C$32, $C$9, 100%, $E$9)</f>
        <v>9.2695000000000007</v>
      </c>
      <c r="O849" s="11">
        <f>9.2737 * CHOOSE(CONTROL!$C$32, $C$9, 100%, $E$9)</f>
        <v>9.2736999999999998</v>
      </c>
    </row>
    <row r="850" spans="1:15" ht="15" x14ac:dyDescent="0.2">
      <c r="A850" s="13">
        <v>66720</v>
      </c>
      <c r="B850" s="9">
        <f>12.5393 * CHOOSE(CONTROL!$C$32, $C$9, 100%, $E$9)</f>
        <v>12.539300000000001</v>
      </c>
      <c r="C850" s="9">
        <f>12.5393 * CHOOSE(CONTROL!$C$32, $C$9, 100%, $E$9)</f>
        <v>12.539300000000001</v>
      </c>
      <c r="D850" s="9">
        <f>12.5406 * CHOOSE(CONTROL!$C$32, $C$9, 100%, $E$9)</f>
        <v>12.5406</v>
      </c>
      <c r="E850" s="11">
        <f>9.2278 * CHOOSE(CONTROL!$C$32, $C$9, 100%, $E$9)</f>
        <v>9.2278000000000002</v>
      </c>
      <c r="F850" s="11">
        <f>9.2278 * CHOOSE(CONTROL!$C$32, $C$9, 100%, $E$9)</f>
        <v>9.2278000000000002</v>
      </c>
      <c r="G850" s="11">
        <f>9.232 * CHOOSE(CONTROL!$C$32, $C$9, 100%, $E$9)</f>
        <v>9.2319999999999993</v>
      </c>
      <c r="H850" s="11">
        <f>29.5103 * CHOOSE(CONTROL!$C$32, $C$9, 100%, $E$9)</f>
        <v>29.510300000000001</v>
      </c>
      <c r="I850" s="11">
        <f>29.5145 * CHOOSE(CONTROL!$C$32, $C$9, 100%, $E$9)</f>
        <v>29.514500000000002</v>
      </c>
      <c r="J850" s="11">
        <f>29.5103 * CHOOSE(CONTROL!$C$32, $C$9, 100%, $E$9)</f>
        <v>29.510300000000001</v>
      </c>
      <c r="K850" s="11">
        <f>29.5145 * CHOOSE(CONTROL!$C$32, $C$9, 100%, $E$9)</f>
        <v>29.514500000000002</v>
      </c>
      <c r="L850" s="11">
        <f>9.2278 * CHOOSE(CONTROL!$C$32, $C$9, 100%, $E$9)</f>
        <v>9.2278000000000002</v>
      </c>
      <c r="M850" s="11">
        <f>9.232 * CHOOSE(CONTROL!$C$32, $C$9, 100%, $E$9)</f>
        <v>9.2319999999999993</v>
      </c>
      <c r="N850" s="11">
        <f>9.2278 * CHOOSE(CONTROL!$C$32, $C$9, 100%, $E$9)</f>
        <v>9.2278000000000002</v>
      </c>
      <c r="O850" s="11">
        <f>9.232 * CHOOSE(CONTROL!$C$32, $C$9, 100%, $E$9)</f>
        <v>9.2319999999999993</v>
      </c>
    </row>
    <row r="851" spans="1:15" ht="15" x14ac:dyDescent="0.2">
      <c r="A851" s="13">
        <v>66750</v>
      </c>
      <c r="B851" s="9">
        <f>12.5663 * CHOOSE(CONTROL!$C$32, $C$9, 100%, $E$9)</f>
        <v>12.5663</v>
      </c>
      <c r="C851" s="9">
        <f>12.5663 * CHOOSE(CONTROL!$C$32, $C$9, 100%, $E$9)</f>
        <v>12.5663</v>
      </c>
      <c r="D851" s="9">
        <f>12.5673 * CHOOSE(CONTROL!$C$32, $C$9, 100%, $E$9)</f>
        <v>12.567299999999999</v>
      </c>
      <c r="E851" s="11">
        <f>9.3727 * CHOOSE(CONTROL!$C$32, $C$9, 100%, $E$9)</f>
        <v>9.3727</v>
      </c>
      <c r="F851" s="11">
        <f>9.3727 * CHOOSE(CONTROL!$C$32, $C$9, 100%, $E$9)</f>
        <v>9.3727</v>
      </c>
      <c r="G851" s="11">
        <f>9.3759 * CHOOSE(CONTROL!$C$32, $C$9, 100%, $E$9)</f>
        <v>9.3758999999999997</v>
      </c>
      <c r="H851" s="11">
        <f>29.5717 * CHOOSE(CONTROL!$C$32, $C$9, 100%, $E$9)</f>
        <v>29.5717</v>
      </c>
      <c r="I851" s="11">
        <f>29.575 * CHOOSE(CONTROL!$C$32, $C$9, 100%, $E$9)</f>
        <v>29.574999999999999</v>
      </c>
      <c r="J851" s="11">
        <f>29.5717 * CHOOSE(CONTROL!$C$32, $C$9, 100%, $E$9)</f>
        <v>29.5717</v>
      </c>
      <c r="K851" s="11">
        <f>29.575 * CHOOSE(CONTROL!$C$32, $C$9, 100%, $E$9)</f>
        <v>29.574999999999999</v>
      </c>
      <c r="L851" s="11">
        <f>9.3727 * CHOOSE(CONTROL!$C$32, $C$9, 100%, $E$9)</f>
        <v>9.3727</v>
      </c>
      <c r="M851" s="11">
        <f>9.3759 * CHOOSE(CONTROL!$C$32, $C$9, 100%, $E$9)</f>
        <v>9.3758999999999997</v>
      </c>
      <c r="N851" s="11">
        <f>9.3727 * CHOOSE(CONTROL!$C$32, $C$9, 100%, $E$9)</f>
        <v>9.3727</v>
      </c>
      <c r="O851" s="11">
        <f>9.3759 * CHOOSE(CONTROL!$C$32, $C$9, 100%, $E$9)</f>
        <v>9.3758999999999997</v>
      </c>
    </row>
    <row r="852" spans="1:15" ht="15" x14ac:dyDescent="0.2">
      <c r="A852" s="13">
        <v>66781</v>
      </c>
      <c r="B852" s="9">
        <f>12.5694 * CHOOSE(CONTROL!$C$32, $C$9, 100%, $E$9)</f>
        <v>12.5694</v>
      </c>
      <c r="C852" s="9">
        <f>12.5694 * CHOOSE(CONTROL!$C$32, $C$9, 100%, $E$9)</f>
        <v>12.5694</v>
      </c>
      <c r="D852" s="9">
        <f>12.5703 * CHOOSE(CONTROL!$C$32, $C$9, 100%, $E$9)</f>
        <v>12.5703</v>
      </c>
      <c r="E852" s="11">
        <f>9.454 * CHOOSE(CONTROL!$C$32, $C$9, 100%, $E$9)</f>
        <v>9.4540000000000006</v>
      </c>
      <c r="F852" s="11">
        <f>9.454 * CHOOSE(CONTROL!$C$32, $C$9, 100%, $E$9)</f>
        <v>9.4540000000000006</v>
      </c>
      <c r="G852" s="11">
        <f>9.4572 * CHOOSE(CONTROL!$C$32, $C$9, 100%, $E$9)</f>
        <v>9.4572000000000003</v>
      </c>
      <c r="H852" s="11">
        <f>29.6333 * CHOOSE(CONTROL!$C$32, $C$9, 100%, $E$9)</f>
        <v>29.633299999999998</v>
      </c>
      <c r="I852" s="11">
        <f>29.6366 * CHOOSE(CONTROL!$C$32, $C$9, 100%, $E$9)</f>
        <v>29.636600000000001</v>
      </c>
      <c r="J852" s="11">
        <f>29.6333 * CHOOSE(CONTROL!$C$32, $C$9, 100%, $E$9)</f>
        <v>29.633299999999998</v>
      </c>
      <c r="K852" s="11">
        <f>29.6366 * CHOOSE(CONTROL!$C$32, $C$9, 100%, $E$9)</f>
        <v>29.636600000000001</v>
      </c>
      <c r="L852" s="11">
        <f>9.454 * CHOOSE(CONTROL!$C$32, $C$9, 100%, $E$9)</f>
        <v>9.4540000000000006</v>
      </c>
      <c r="M852" s="11">
        <f>9.4572 * CHOOSE(CONTROL!$C$32, $C$9, 100%, $E$9)</f>
        <v>9.4572000000000003</v>
      </c>
      <c r="N852" s="11">
        <f>9.454 * CHOOSE(CONTROL!$C$32, $C$9, 100%, $E$9)</f>
        <v>9.4540000000000006</v>
      </c>
      <c r="O852" s="11">
        <f>9.4572 * CHOOSE(CONTROL!$C$32, $C$9, 100%, $E$9)</f>
        <v>9.4572000000000003</v>
      </c>
    </row>
    <row r="853" spans="1:15" ht="15" x14ac:dyDescent="0.2">
      <c r="A853" s="13">
        <v>66811</v>
      </c>
      <c r="B853" s="9">
        <f>12.5694 * CHOOSE(CONTROL!$C$32, $C$9, 100%, $E$9)</f>
        <v>12.5694</v>
      </c>
      <c r="C853" s="9">
        <f>12.5694 * CHOOSE(CONTROL!$C$32, $C$9, 100%, $E$9)</f>
        <v>12.5694</v>
      </c>
      <c r="D853" s="9">
        <f>12.5703 * CHOOSE(CONTROL!$C$32, $C$9, 100%, $E$9)</f>
        <v>12.5703</v>
      </c>
      <c r="E853" s="11">
        <f>9.2561 * CHOOSE(CONTROL!$C$32, $C$9, 100%, $E$9)</f>
        <v>9.2561</v>
      </c>
      <c r="F853" s="11">
        <f>9.2561 * CHOOSE(CONTROL!$C$32, $C$9, 100%, $E$9)</f>
        <v>9.2561</v>
      </c>
      <c r="G853" s="11">
        <f>9.2593 * CHOOSE(CONTROL!$C$32, $C$9, 100%, $E$9)</f>
        <v>9.2592999999999996</v>
      </c>
      <c r="H853" s="11">
        <f>29.6951 * CHOOSE(CONTROL!$C$32, $C$9, 100%, $E$9)</f>
        <v>29.6951</v>
      </c>
      <c r="I853" s="11">
        <f>29.6983 * CHOOSE(CONTROL!$C$32, $C$9, 100%, $E$9)</f>
        <v>29.6983</v>
      </c>
      <c r="J853" s="11">
        <f>29.6951 * CHOOSE(CONTROL!$C$32, $C$9, 100%, $E$9)</f>
        <v>29.6951</v>
      </c>
      <c r="K853" s="11">
        <f>29.6983 * CHOOSE(CONTROL!$C$32, $C$9, 100%, $E$9)</f>
        <v>29.6983</v>
      </c>
      <c r="L853" s="11">
        <f>9.2561 * CHOOSE(CONTROL!$C$32, $C$9, 100%, $E$9)</f>
        <v>9.2561</v>
      </c>
      <c r="M853" s="11">
        <f>9.2593 * CHOOSE(CONTROL!$C$32, $C$9, 100%, $E$9)</f>
        <v>9.2592999999999996</v>
      </c>
      <c r="N853" s="11">
        <f>9.2561 * CHOOSE(CONTROL!$C$32, $C$9, 100%, $E$9)</f>
        <v>9.2561</v>
      </c>
      <c r="O853" s="11">
        <f>9.2593 * CHOOSE(CONTROL!$C$32, $C$9, 100%, $E$9)</f>
        <v>9.2592999999999996</v>
      </c>
    </row>
    <row r="854" spans="1:15" ht="15" x14ac:dyDescent="0.2">
      <c r="A854" s="13">
        <v>66842</v>
      </c>
      <c r="B854" s="9">
        <f>12.5667 * CHOOSE(CONTROL!$C$32, $C$9, 100%, $E$9)</f>
        <v>12.566700000000001</v>
      </c>
      <c r="C854" s="9">
        <f>12.5667 * CHOOSE(CONTROL!$C$32, $C$9, 100%, $E$9)</f>
        <v>12.566700000000001</v>
      </c>
      <c r="D854" s="9">
        <f>12.5677 * CHOOSE(CONTROL!$C$32, $C$9, 100%, $E$9)</f>
        <v>12.5677</v>
      </c>
      <c r="E854" s="11">
        <f>9.4055 * CHOOSE(CONTROL!$C$32, $C$9, 100%, $E$9)</f>
        <v>9.4055</v>
      </c>
      <c r="F854" s="11">
        <f>9.4055 * CHOOSE(CONTROL!$C$32, $C$9, 100%, $E$9)</f>
        <v>9.4055</v>
      </c>
      <c r="G854" s="11">
        <f>9.4087 * CHOOSE(CONTROL!$C$32, $C$9, 100%, $E$9)</f>
        <v>9.4086999999999996</v>
      </c>
      <c r="H854" s="11">
        <f>29.4946 * CHOOSE(CONTROL!$C$32, $C$9, 100%, $E$9)</f>
        <v>29.494599999999998</v>
      </c>
      <c r="I854" s="11">
        <f>29.4978 * CHOOSE(CONTROL!$C$32, $C$9, 100%, $E$9)</f>
        <v>29.497800000000002</v>
      </c>
      <c r="J854" s="11">
        <f>29.4946 * CHOOSE(CONTROL!$C$32, $C$9, 100%, $E$9)</f>
        <v>29.494599999999998</v>
      </c>
      <c r="K854" s="11">
        <f>29.4978 * CHOOSE(CONTROL!$C$32, $C$9, 100%, $E$9)</f>
        <v>29.497800000000002</v>
      </c>
      <c r="L854" s="11">
        <f>9.4055 * CHOOSE(CONTROL!$C$32, $C$9, 100%, $E$9)</f>
        <v>9.4055</v>
      </c>
      <c r="M854" s="11">
        <f>9.4087 * CHOOSE(CONTROL!$C$32, $C$9, 100%, $E$9)</f>
        <v>9.4086999999999996</v>
      </c>
      <c r="N854" s="11">
        <f>9.4055 * CHOOSE(CONTROL!$C$32, $C$9, 100%, $E$9)</f>
        <v>9.4055</v>
      </c>
      <c r="O854" s="11">
        <f>9.4087 * CHOOSE(CONTROL!$C$32, $C$9, 100%, $E$9)</f>
        <v>9.4086999999999996</v>
      </c>
    </row>
    <row r="855" spans="1:15" ht="15" x14ac:dyDescent="0.2">
      <c r="A855" s="13">
        <v>66873</v>
      </c>
      <c r="B855" s="9">
        <f>12.5637 * CHOOSE(CONTROL!$C$32, $C$9, 100%, $E$9)</f>
        <v>12.563700000000001</v>
      </c>
      <c r="C855" s="9">
        <f>12.5637 * CHOOSE(CONTROL!$C$32, $C$9, 100%, $E$9)</f>
        <v>12.563700000000001</v>
      </c>
      <c r="D855" s="9">
        <f>12.5646 * CHOOSE(CONTROL!$C$32, $C$9, 100%, $E$9)</f>
        <v>12.5646</v>
      </c>
      <c r="E855" s="11">
        <f>9.0223 * CHOOSE(CONTROL!$C$32, $C$9, 100%, $E$9)</f>
        <v>9.0222999999999995</v>
      </c>
      <c r="F855" s="11">
        <f>9.0223 * CHOOSE(CONTROL!$C$32, $C$9, 100%, $E$9)</f>
        <v>9.0222999999999995</v>
      </c>
      <c r="G855" s="11">
        <f>9.0255 * CHOOSE(CONTROL!$C$32, $C$9, 100%, $E$9)</f>
        <v>9.0254999999999992</v>
      </c>
      <c r="H855" s="11">
        <f>29.556 * CHOOSE(CONTROL!$C$32, $C$9, 100%, $E$9)</f>
        <v>29.556000000000001</v>
      </c>
      <c r="I855" s="11">
        <f>29.5593 * CHOOSE(CONTROL!$C$32, $C$9, 100%, $E$9)</f>
        <v>29.5593</v>
      </c>
      <c r="J855" s="11">
        <f>29.556 * CHOOSE(CONTROL!$C$32, $C$9, 100%, $E$9)</f>
        <v>29.556000000000001</v>
      </c>
      <c r="K855" s="11">
        <f>29.5593 * CHOOSE(CONTROL!$C$32, $C$9, 100%, $E$9)</f>
        <v>29.5593</v>
      </c>
      <c r="L855" s="11">
        <f>9.0223 * CHOOSE(CONTROL!$C$32, $C$9, 100%, $E$9)</f>
        <v>9.0222999999999995</v>
      </c>
      <c r="M855" s="11">
        <f>9.0255 * CHOOSE(CONTROL!$C$32, $C$9, 100%, $E$9)</f>
        <v>9.0254999999999992</v>
      </c>
      <c r="N855" s="11">
        <f>9.0223 * CHOOSE(CONTROL!$C$32, $C$9, 100%, $E$9)</f>
        <v>9.0222999999999995</v>
      </c>
      <c r="O855" s="11">
        <f>9.0255 * CHOOSE(CONTROL!$C$32, $C$9, 100%, $E$9)</f>
        <v>9.0254999999999992</v>
      </c>
    </row>
    <row r="856" spans="1:15" ht="15" x14ac:dyDescent="0.2">
      <c r="A856" s="13">
        <v>66901</v>
      </c>
      <c r="B856" s="9">
        <f>12.5606 * CHOOSE(CONTROL!$C$32, $C$9, 100%, $E$9)</f>
        <v>12.560600000000001</v>
      </c>
      <c r="C856" s="9">
        <f>12.5606 * CHOOSE(CONTROL!$C$32, $C$9, 100%, $E$9)</f>
        <v>12.560600000000001</v>
      </c>
      <c r="D856" s="9">
        <f>12.5616 * CHOOSE(CONTROL!$C$32, $C$9, 100%, $E$9)</f>
        <v>12.5616</v>
      </c>
      <c r="E856" s="11">
        <f>9.3206 * CHOOSE(CONTROL!$C$32, $C$9, 100%, $E$9)</f>
        <v>9.3206000000000007</v>
      </c>
      <c r="F856" s="11">
        <f>9.3206 * CHOOSE(CONTROL!$C$32, $C$9, 100%, $E$9)</f>
        <v>9.3206000000000007</v>
      </c>
      <c r="G856" s="11">
        <f>9.3238 * CHOOSE(CONTROL!$C$32, $C$9, 100%, $E$9)</f>
        <v>9.3238000000000003</v>
      </c>
      <c r="H856" s="11">
        <f>29.6176 * CHOOSE(CONTROL!$C$32, $C$9, 100%, $E$9)</f>
        <v>29.617599999999999</v>
      </c>
      <c r="I856" s="11">
        <f>29.6208 * CHOOSE(CONTROL!$C$32, $C$9, 100%, $E$9)</f>
        <v>29.620799999999999</v>
      </c>
      <c r="J856" s="11">
        <f>29.6176 * CHOOSE(CONTROL!$C$32, $C$9, 100%, $E$9)</f>
        <v>29.617599999999999</v>
      </c>
      <c r="K856" s="11">
        <f>29.6208 * CHOOSE(CONTROL!$C$32, $C$9, 100%, $E$9)</f>
        <v>29.620799999999999</v>
      </c>
      <c r="L856" s="11">
        <f>9.3206 * CHOOSE(CONTROL!$C$32, $C$9, 100%, $E$9)</f>
        <v>9.3206000000000007</v>
      </c>
      <c r="M856" s="11">
        <f>9.3238 * CHOOSE(CONTROL!$C$32, $C$9, 100%, $E$9)</f>
        <v>9.3238000000000003</v>
      </c>
      <c r="N856" s="11">
        <f>9.3206 * CHOOSE(CONTROL!$C$32, $C$9, 100%, $E$9)</f>
        <v>9.3206000000000007</v>
      </c>
      <c r="O856" s="11">
        <f>9.3238 * CHOOSE(CONTROL!$C$32, $C$9, 100%, $E$9)</f>
        <v>9.3238000000000003</v>
      </c>
    </row>
    <row r="857" spans="1:15" ht="15" x14ac:dyDescent="0.2">
      <c r="A857" s="13">
        <v>66932</v>
      </c>
      <c r="B857" s="9">
        <f>12.5666 * CHOOSE(CONTROL!$C$32, $C$9, 100%, $E$9)</f>
        <v>12.566599999999999</v>
      </c>
      <c r="C857" s="9">
        <f>12.5666 * CHOOSE(CONTROL!$C$32, $C$9, 100%, $E$9)</f>
        <v>12.566599999999999</v>
      </c>
      <c r="D857" s="9">
        <f>12.5676 * CHOOSE(CONTROL!$C$32, $C$9, 100%, $E$9)</f>
        <v>12.567600000000001</v>
      </c>
      <c r="E857" s="11">
        <f>9.6389 * CHOOSE(CONTROL!$C$32, $C$9, 100%, $E$9)</f>
        <v>9.6388999999999996</v>
      </c>
      <c r="F857" s="11">
        <f>9.6389 * CHOOSE(CONTROL!$C$32, $C$9, 100%, $E$9)</f>
        <v>9.6388999999999996</v>
      </c>
      <c r="G857" s="11">
        <f>9.6422 * CHOOSE(CONTROL!$C$32, $C$9, 100%, $E$9)</f>
        <v>9.6422000000000008</v>
      </c>
      <c r="H857" s="11">
        <f>29.6793 * CHOOSE(CONTROL!$C$32, $C$9, 100%, $E$9)</f>
        <v>29.679300000000001</v>
      </c>
      <c r="I857" s="11">
        <f>29.6825 * CHOOSE(CONTROL!$C$32, $C$9, 100%, $E$9)</f>
        <v>29.682500000000001</v>
      </c>
      <c r="J857" s="11">
        <f>29.6793 * CHOOSE(CONTROL!$C$32, $C$9, 100%, $E$9)</f>
        <v>29.679300000000001</v>
      </c>
      <c r="K857" s="11">
        <f>29.6825 * CHOOSE(CONTROL!$C$32, $C$9, 100%, $E$9)</f>
        <v>29.682500000000001</v>
      </c>
      <c r="L857" s="11">
        <f>9.6389 * CHOOSE(CONTROL!$C$32, $C$9, 100%, $E$9)</f>
        <v>9.6388999999999996</v>
      </c>
      <c r="M857" s="11">
        <f>9.6422 * CHOOSE(CONTROL!$C$32, $C$9, 100%, $E$9)</f>
        <v>9.6422000000000008</v>
      </c>
      <c r="N857" s="11">
        <f>9.6389 * CHOOSE(CONTROL!$C$32, $C$9, 100%, $E$9)</f>
        <v>9.6388999999999996</v>
      </c>
      <c r="O857" s="11">
        <f>9.6422 * CHOOSE(CONTROL!$C$32, $C$9, 100%, $E$9)</f>
        <v>9.6422000000000008</v>
      </c>
    </row>
    <row r="858" spans="1:15" ht="15" x14ac:dyDescent="0.2">
      <c r="A858" s="13">
        <v>66962</v>
      </c>
      <c r="B858" s="9">
        <f>12.5666 * CHOOSE(CONTROL!$C$32, $C$9, 100%, $E$9)</f>
        <v>12.566599999999999</v>
      </c>
      <c r="C858" s="9">
        <f>12.5666 * CHOOSE(CONTROL!$C$32, $C$9, 100%, $E$9)</f>
        <v>12.566599999999999</v>
      </c>
      <c r="D858" s="9">
        <f>12.5679 * CHOOSE(CONTROL!$C$32, $C$9, 100%, $E$9)</f>
        <v>12.5679</v>
      </c>
      <c r="E858" s="11">
        <f>9.7599 * CHOOSE(CONTROL!$C$32, $C$9, 100%, $E$9)</f>
        <v>9.7599</v>
      </c>
      <c r="F858" s="11">
        <f>9.7599 * CHOOSE(CONTROL!$C$32, $C$9, 100%, $E$9)</f>
        <v>9.7599</v>
      </c>
      <c r="G858" s="11">
        <f>9.7641 * CHOOSE(CONTROL!$C$32, $C$9, 100%, $E$9)</f>
        <v>9.7640999999999991</v>
      </c>
      <c r="H858" s="11">
        <f>29.7411 * CHOOSE(CONTROL!$C$32, $C$9, 100%, $E$9)</f>
        <v>29.741099999999999</v>
      </c>
      <c r="I858" s="11">
        <f>29.7453 * CHOOSE(CONTROL!$C$32, $C$9, 100%, $E$9)</f>
        <v>29.7453</v>
      </c>
      <c r="J858" s="11">
        <f>29.7411 * CHOOSE(CONTROL!$C$32, $C$9, 100%, $E$9)</f>
        <v>29.741099999999999</v>
      </c>
      <c r="K858" s="11">
        <f>29.7453 * CHOOSE(CONTROL!$C$32, $C$9, 100%, $E$9)</f>
        <v>29.7453</v>
      </c>
      <c r="L858" s="11">
        <f>9.7599 * CHOOSE(CONTROL!$C$32, $C$9, 100%, $E$9)</f>
        <v>9.7599</v>
      </c>
      <c r="M858" s="11">
        <f>9.7641 * CHOOSE(CONTROL!$C$32, $C$9, 100%, $E$9)</f>
        <v>9.7640999999999991</v>
      </c>
      <c r="N858" s="11">
        <f>9.7599 * CHOOSE(CONTROL!$C$32, $C$9, 100%, $E$9)</f>
        <v>9.7599</v>
      </c>
      <c r="O858" s="11">
        <f>9.7641 * CHOOSE(CONTROL!$C$32, $C$9, 100%, $E$9)</f>
        <v>9.7640999999999991</v>
      </c>
    </row>
    <row r="859" spans="1:15" ht="15" x14ac:dyDescent="0.2">
      <c r="A859" s="13">
        <v>66993</v>
      </c>
      <c r="B859" s="9">
        <f>12.5727 * CHOOSE(CONTROL!$C$32, $C$9, 100%, $E$9)</f>
        <v>12.572699999999999</v>
      </c>
      <c r="C859" s="9">
        <f>12.5727 * CHOOSE(CONTROL!$C$32, $C$9, 100%, $E$9)</f>
        <v>12.572699999999999</v>
      </c>
      <c r="D859" s="9">
        <f>12.5739 * CHOOSE(CONTROL!$C$32, $C$9, 100%, $E$9)</f>
        <v>12.5739</v>
      </c>
      <c r="E859" s="11">
        <f>9.6432 * CHOOSE(CONTROL!$C$32, $C$9, 100%, $E$9)</f>
        <v>9.6432000000000002</v>
      </c>
      <c r="F859" s="11">
        <f>9.6432 * CHOOSE(CONTROL!$C$32, $C$9, 100%, $E$9)</f>
        <v>9.6432000000000002</v>
      </c>
      <c r="G859" s="11">
        <f>9.6474 * CHOOSE(CONTROL!$C$32, $C$9, 100%, $E$9)</f>
        <v>9.6473999999999993</v>
      </c>
      <c r="H859" s="11">
        <f>29.8031 * CHOOSE(CONTROL!$C$32, $C$9, 100%, $E$9)</f>
        <v>29.803100000000001</v>
      </c>
      <c r="I859" s="11">
        <f>29.8073 * CHOOSE(CONTROL!$C$32, $C$9, 100%, $E$9)</f>
        <v>29.807300000000001</v>
      </c>
      <c r="J859" s="11">
        <f>29.8031 * CHOOSE(CONTROL!$C$32, $C$9, 100%, $E$9)</f>
        <v>29.803100000000001</v>
      </c>
      <c r="K859" s="11">
        <f>29.8073 * CHOOSE(CONTROL!$C$32, $C$9, 100%, $E$9)</f>
        <v>29.807300000000001</v>
      </c>
      <c r="L859" s="11">
        <f>9.6432 * CHOOSE(CONTROL!$C$32, $C$9, 100%, $E$9)</f>
        <v>9.6432000000000002</v>
      </c>
      <c r="M859" s="11">
        <f>9.6474 * CHOOSE(CONTROL!$C$32, $C$9, 100%, $E$9)</f>
        <v>9.6473999999999993</v>
      </c>
      <c r="N859" s="11">
        <f>9.6432 * CHOOSE(CONTROL!$C$32, $C$9, 100%, $E$9)</f>
        <v>9.6432000000000002</v>
      </c>
      <c r="O859" s="11">
        <f>9.6474 * CHOOSE(CONTROL!$C$32, $C$9, 100%, $E$9)</f>
        <v>9.6473999999999993</v>
      </c>
    </row>
    <row r="860" spans="1:15" ht="15" x14ac:dyDescent="0.2">
      <c r="A860" s="13">
        <v>67023</v>
      </c>
      <c r="B860" s="9">
        <f>12.7253 * CHOOSE(CONTROL!$C$32, $C$9, 100%, $E$9)</f>
        <v>12.725300000000001</v>
      </c>
      <c r="C860" s="9">
        <f>12.7253 * CHOOSE(CONTROL!$C$32, $C$9, 100%, $E$9)</f>
        <v>12.725300000000001</v>
      </c>
      <c r="D860" s="9">
        <f>12.7265 * CHOOSE(CONTROL!$C$32, $C$9, 100%, $E$9)</f>
        <v>12.7265</v>
      </c>
      <c r="E860" s="11">
        <f>9.7039 * CHOOSE(CONTROL!$C$32, $C$9, 100%, $E$9)</f>
        <v>9.7039000000000009</v>
      </c>
      <c r="F860" s="11">
        <f>9.7039 * CHOOSE(CONTROL!$C$32, $C$9, 100%, $E$9)</f>
        <v>9.7039000000000009</v>
      </c>
      <c r="G860" s="11">
        <f>9.7082 * CHOOSE(CONTROL!$C$32, $C$9, 100%, $E$9)</f>
        <v>9.7081999999999997</v>
      </c>
      <c r="H860" s="11">
        <f>29.8652 * CHOOSE(CONTROL!$C$32, $C$9, 100%, $E$9)</f>
        <v>29.865200000000002</v>
      </c>
      <c r="I860" s="11">
        <f>29.8694 * CHOOSE(CONTROL!$C$32, $C$9, 100%, $E$9)</f>
        <v>29.869399999999999</v>
      </c>
      <c r="J860" s="11">
        <f>29.8652 * CHOOSE(CONTROL!$C$32, $C$9, 100%, $E$9)</f>
        <v>29.865200000000002</v>
      </c>
      <c r="K860" s="11">
        <f>29.8694 * CHOOSE(CONTROL!$C$32, $C$9, 100%, $E$9)</f>
        <v>29.869399999999999</v>
      </c>
      <c r="L860" s="11">
        <f>9.7039 * CHOOSE(CONTROL!$C$32, $C$9, 100%, $E$9)</f>
        <v>9.7039000000000009</v>
      </c>
      <c r="M860" s="11">
        <f>9.7082 * CHOOSE(CONTROL!$C$32, $C$9, 100%, $E$9)</f>
        <v>9.7081999999999997</v>
      </c>
      <c r="N860" s="11">
        <f>9.7039 * CHOOSE(CONTROL!$C$32, $C$9, 100%, $E$9)</f>
        <v>9.7039000000000009</v>
      </c>
      <c r="O860" s="11">
        <f>9.7082 * CHOOSE(CONTROL!$C$32, $C$9, 100%, $E$9)</f>
        <v>9.7081999999999997</v>
      </c>
    </row>
    <row r="861" spans="1:15" ht="15" x14ac:dyDescent="0.2">
      <c r="A861" s="13">
        <v>67054</v>
      </c>
      <c r="B861" s="9">
        <f>12.732 * CHOOSE(CONTROL!$C$32, $C$9, 100%, $E$9)</f>
        <v>12.731999999999999</v>
      </c>
      <c r="C861" s="9">
        <f>12.732 * CHOOSE(CONTROL!$C$32, $C$9, 100%, $E$9)</f>
        <v>12.731999999999999</v>
      </c>
      <c r="D861" s="9">
        <f>12.7332 * CHOOSE(CONTROL!$C$32, $C$9, 100%, $E$9)</f>
        <v>12.7332</v>
      </c>
      <c r="E861" s="11">
        <f>9.3457 * CHOOSE(CONTROL!$C$32, $C$9, 100%, $E$9)</f>
        <v>9.3457000000000008</v>
      </c>
      <c r="F861" s="11">
        <f>9.3457 * CHOOSE(CONTROL!$C$32, $C$9, 100%, $E$9)</f>
        <v>9.3457000000000008</v>
      </c>
      <c r="G861" s="11">
        <f>9.3499 * CHOOSE(CONTROL!$C$32, $C$9, 100%, $E$9)</f>
        <v>9.3498999999999999</v>
      </c>
      <c r="H861" s="11">
        <f>29.9274 * CHOOSE(CONTROL!$C$32, $C$9, 100%, $E$9)</f>
        <v>29.927399999999999</v>
      </c>
      <c r="I861" s="11">
        <f>29.9316 * CHOOSE(CONTROL!$C$32, $C$9, 100%, $E$9)</f>
        <v>29.9316</v>
      </c>
      <c r="J861" s="11">
        <f>29.9274 * CHOOSE(CONTROL!$C$32, $C$9, 100%, $E$9)</f>
        <v>29.927399999999999</v>
      </c>
      <c r="K861" s="11">
        <f>29.9316 * CHOOSE(CONTROL!$C$32, $C$9, 100%, $E$9)</f>
        <v>29.9316</v>
      </c>
      <c r="L861" s="11">
        <f>9.3457 * CHOOSE(CONTROL!$C$32, $C$9, 100%, $E$9)</f>
        <v>9.3457000000000008</v>
      </c>
      <c r="M861" s="11">
        <f>9.3499 * CHOOSE(CONTROL!$C$32, $C$9, 100%, $E$9)</f>
        <v>9.3498999999999999</v>
      </c>
      <c r="N861" s="11">
        <f>9.3457 * CHOOSE(CONTROL!$C$32, $C$9, 100%, $E$9)</f>
        <v>9.3457000000000008</v>
      </c>
      <c r="O861" s="11">
        <f>9.3499 * CHOOSE(CONTROL!$C$32, $C$9, 100%, $E$9)</f>
        <v>9.3498999999999999</v>
      </c>
    </row>
    <row r="862" spans="1:15" ht="15" x14ac:dyDescent="0.2">
      <c r="A862" s="13">
        <v>67085</v>
      </c>
      <c r="B862" s="9">
        <f>12.7289 * CHOOSE(CONTROL!$C$32, $C$9, 100%, $E$9)</f>
        <v>12.728899999999999</v>
      </c>
      <c r="C862" s="9">
        <f>12.7289 * CHOOSE(CONTROL!$C$32, $C$9, 100%, $E$9)</f>
        <v>12.728899999999999</v>
      </c>
      <c r="D862" s="9">
        <f>12.7302 * CHOOSE(CONTROL!$C$32, $C$9, 100%, $E$9)</f>
        <v>12.7302</v>
      </c>
      <c r="E862" s="11">
        <f>9.3033 * CHOOSE(CONTROL!$C$32, $C$9, 100%, $E$9)</f>
        <v>9.3033000000000001</v>
      </c>
      <c r="F862" s="11">
        <f>9.3033 * CHOOSE(CONTROL!$C$32, $C$9, 100%, $E$9)</f>
        <v>9.3033000000000001</v>
      </c>
      <c r="G862" s="11">
        <f>9.3075 * CHOOSE(CONTROL!$C$32, $C$9, 100%, $E$9)</f>
        <v>9.3074999999999992</v>
      </c>
      <c r="H862" s="11">
        <f>29.9898 * CHOOSE(CONTROL!$C$32, $C$9, 100%, $E$9)</f>
        <v>29.989799999999999</v>
      </c>
      <c r="I862" s="11">
        <f>29.994 * CHOOSE(CONTROL!$C$32, $C$9, 100%, $E$9)</f>
        <v>29.994</v>
      </c>
      <c r="J862" s="11">
        <f>29.9898 * CHOOSE(CONTROL!$C$32, $C$9, 100%, $E$9)</f>
        <v>29.989799999999999</v>
      </c>
      <c r="K862" s="11">
        <f>29.994 * CHOOSE(CONTROL!$C$32, $C$9, 100%, $E$9)</f>
        <v>29.994</v>
      </c>
      <c r="L862" s="11">
        <f>9.3033 * CHOOSE(CONTROL!$C$32, $C$9, 100%, $E$9)</f>
        <v>9.3033000000000001</v>
      </c>
      <c r="M862" s="11">
        <f>9.3075 * CHOOSE(CONTROL!$C$32, $C$9, 100%, $E$9)</f>
        <v>9.3074999999999992</v>
      </c>
      <c r="N862" s="11">
        <f>9.3033 * CHOOSE(CONTROL!$C$32, $C$9, 100%, $E$9)</f>
        <v>9.3033000000000001</v>
      </c>
      <c r="O862" s="11">
        <f>9.3075 * CHOOSE(CONTROL!$C$32, $C$9, 100%, $E$9)</f>
        <v>9.3074999999999992</v>
      </c>
    </row>
    <row r="863" spans="1:15" ht="15" x14ac:dyDescent="0.2">
      <c r="A863" s="13">
        <v>67115</v>
      </c>
      <c r="B863" s="9">
        <f>12.7566 * CHOOSE(CONTROL!$C$32, $C$9, 100%, $E$9)</f>
        <v>12.756600000000001</v>
      </c>
      <c r="C863" s="9">
        <f>12.7566 * CHOOSE(CONTROL!$C$32, $C$9, 100%, $E$9)</f>
        <v>12.756600000000001</v>
      </c>
      <c r="D863" s="9">
        <f>12.7576 * CHOOSE(CONTROL!$C$32, $C$9, 100%, $E$9)</f>
        <v>12.7576</v>
      </c>
      <c r="E863" s="11">
        <f>9.4511 * CHOOSE(CONTROL!$C$32, $C$9, 100%, $E$9)</f>
        <v>9.4511000000000003</v>
      </c>
      <c r="F863" s="11">
        <f>9.4511 * CHOOSE(CONTROL!$C$32, $C$9, 100%, $E$9)</f>
        <v>9.4511000000000003</v>
      </c>
      <c r="G863" s="11">
        <f>9.4544 * CHOOSE(CONTROL!$C$32, $C$9, 100%, $E$9)</f>
        <v>9.4543999999999997</v>
      </c>
      <c r="H863" s="11">
        <f>30.0522 * CHOOSE(CONTROL!$C$32, $C$9, 100%, $E$9)</f>
        <v>30.052199999999999</v>
      </c>
      <c r="I863" s="11">
        <f>30.0555 * CHOOSE(CONTROL!$C$32, $C$9, 100%, $E$9)</f>
        <v>30.055499999999999</v>
      </c>
      <c r="J863" s="11">
        <f>30.0522 * CHOOSE(CONTROL!$C$32, $C$9, 100%, $E$9)</f>
        <v>30.052199999999999</v>
      </c>
      <c r="K863" s="11">
        <f>30.0555 * CHOOSE(CONTROL!$C$32, $C$9, 100%, $E$9)</f>
        <v>30.055499999999999</v>
      </c>
      <c r="L863" s="11">
        <f>9.4511 * CHOOSE(CONTROL!$C$32, $C$9, 100%, $E$9)</f>
        <v>9.4511000000000003</v>
      </c>
      <c r="M863" s="11">
        <f>9.4544 * CHOOSE(CONTROL!$C$32, $C$9, 100%, $E$9)</f>
        <v>9.4543999999999997</v>
      </c>
      <c r="N863" s="11">
        <f>9.4511 * CHOOSE(CONTROL!$C$32, $C$9, 100%, $E$9)</f>
        <v>9.4511000000000003</v>
      </c>
      <c r="O863" s="11">
        <f>9.4544 * CHOOSE(CONTROL!$C$32, $C$9, 100%, $E$9)</f>
        <v>9.4543999999999997</v>
      </c>
    </row>
    <row r="864" spans="1:15" ht="15" x14ac:dyDescent="0.2">
      <c r="A864" s="13">
        <v>67146</v>
      </c>
      <c r="B864" s="9">
        <f>12.7597 * CHOOSE(CONTROL!$C$32, $C$9, 100%, $E$9)</f>
        <v>12.7597</v>
      </c>
      <c r="C864" s="9">
        <f>12.7597 * CHOOSE(CONTROL!$C$32, $C$9, 100%, $E$9)</f>
        <v>12.7597</v>
      </c>
      <c r="D864" s="9">
        <f>12.7606 * CHOOSE(CONTROL!$C$32, $C$9, 100%, $E$9)</f>
        <v>12.7606</v>
      </c>
      <c r="E864" s="11">
        <f>9.5339 * CHOOSE(CONTROL!$C$32, $C$9, 100%, $E$9)</f>
        <v>9.5338999999999992</v>
      </c>
      <c r="F864" s="11">
        <f>9.5339 * CHOOSE(CONTROL!$C$32, $C$9, 100%, $E$9)</f>
        <v>9.5338999999999992</v>
      </c>
      <c r="G864" s="11">
        <f>9.5371 * CHOOSE(CONTROL!$C$32, $C$9, 100%, $E$9)</f>
        <v>9.5371000000000006</v>
      </c>
      <c r="H864" s="11">
        <f>30.1148 * CHOOSE(CONTROL!$C$32, $C$9, 100%, $E$9)</f>
        <v>30.114799999999999</v>
      </c>
      <c r="I864" s="11">
        <f>30.1181 * CHOOSE(CONTROL!$C$32, $C$9, 100%, $E$9)</f>
        <v>30.118099999999998</v>
      </c>
      <c r="J864" s="11">
        <f>30.1148 * CHOOSE(CONTROL!$C$32, $C$9, 100%, $E$9)</f>
        <v>30.114799999999999</v>
      </c>
      <c r="K864" s="11">
        <f>30.1181 * CHOOSE(CONTROL!$C$32, $C$9, 100%, $E$9)</f>
        <v>30.118099999999998</v>
      </c>
      <c r="L864" s="11">
        <f>9.5339 * CHOOSE(CONTROL!$C$32, $C$9, 100%, $E$9)</f>
        <v>9.5338999999999992</v>
      </c>
      <c r="M864" s="11">
        <f>9.5371 * CHOOSE(CONTROL!$C$32, $C$9, 100%, $E$9)</f>
        <v>9.5371000000000006</v>
      </c>
      <c r="N864" s="11">
        <f>9.5339 * CHOOSE(CONTROL!$C$32, $C$9, 100%, $E$9)</f>
        <v>9.5338999999999992</v>
      </c>
      <c r="O864" s="11">
        <f>9.5371 * CHOOSE(CONTROL!$C$32, $C$9, 100%, $E$9)</f>
        <v>9.5371000000000006</v>
      </c>
    </row>
    <row r="865" spans="1:15" ht="15" x14ac:dyDescent="0.2">
      <c r="A865" s="13">
        <v>67176</v>
      </c>
      <c r="B865" s="9">
        <f>12.7597 * CHOOSE(CONTROL!$C$32, $C$9, 100%, $E$9)</f>
        <v>12.7597</v>
      </c>
      <c r="C865" s="9">
        <f>12.7597 * CHOOSE(CONTROL!$C$32, $C$9, 100%, $E$9)</f>
        <v>12.7597</v>
      </c>
      <c r="D865" s="9">
        <f>12.7606 * CHOOSE(CONTROL!$C$32, $C$9, 100%, $E$9)</f>
        <v>12.7606</v>
      </c>
      <c r="E865" s="11">
        <f>9.3323 * CHOOSE(CONTROL!$C$32, $C$9, 100%, $E$9)</f>
        <v>9.3323</v>
      </c>
      <c r="F865" s="11">
        <f>9.3323 * CHOOSE(CONTROL!$C$32, $C$9, 100%, $E$9)</f>
        <v>9.3323</v>
      </c>
      <c r="G865" s="11">
        <f>9.3355 * CHOOSE(CONTROL!$C$32, $C$9, 100%, $E$9)</f>
        <v>9.3354999999999997</v>
      </c>
      <c r="H865" s="11">
        <f>30.1776 * CHOOSE(CONTROL!$C$32, $C$9, 100%, $E$9)</f>
        <v>30.177600000000002</v>
      </c>
      <c r="I865" s="11">
        <f>30.1808 * CHOOSE(CONTROL!$C$32, $C$9, 100%, $E$9)</f>
        <v>30.180800000000001</v>
      </c>
      <c r="J865" s="11">
        <f>30.1776 * CHOOSE(CONTROL!$C$32, $C$9, 100%, $E$9)</f>
        <v>30.177600000000002</v>
      </c>
      <c r="K865" s="11">
        <f>30.1808 * CHOOSE(CONTROL!$C$32, $C$9, 100%, $E$9)</f>
        <v>30.180800000000001</v>
      </c>
      <c r="L865" s="11">
        <f>9.3323 * CHOOSE(CONTROL!$C$32, $C$9, 100%, $E$9)</f>
        <v>9.3323</v>
      </c>
      <c r="M865" s="11">
        <f>9.3355 * CHOOSE(CONTROL!$C$32, $C$9, 100%, $E$9)</f>
        <v>9.3354999999999997</v>
      </c>
      <c r="N865" s="11">
        <f>9.3323 * CHOOSE(CONTROL!$C$32, $C$9, 100%, $E$9)</f>
        <v>9.3323</v>
      </c>
      <c r="O865" s="11">
        <f>9.3355 * CHOOSE(CONTROL!$C$32, $C$9, 100%, $E$9)</f>
        <v>9.3354999999999997</v>
      </c>
    </row>
    <row r="866" spans="1:15" ht="15" x14ac:dyDescent="0.2">
      <c r="A866" s="13">
        <v>67207</v>
      </c>
      <c r="B866" s="9">
        <f>12.7541 * CHOOSE(CONTROL!$C$32, $C$9, 100%, $E$9)</f>
        <v>12.754099999999999</v>
      </c>
      <c r="C866" s="9">
        <f>12.7541 * CHOOSE(CONTROL!$C$32, $C$9, 100%, $E$9)</f>
        <v>12.754099999999999</v>
      </c>
      <c r="D866" s="9">
        <f>12.755 * CHOOSE(CONTROL!$C$32, $C$9, 100%, $E$9)</f>
        <v>12.755000000000001</v>
      </c>
      <c r="E866" s="11">
        <f>9.4827 * CHOOSE(CONTROL!$C$32, $C$9, 100%, $E$9)</f>
        <v>9.4826999999999995</v>
      </c>
      <c r="F866" s="11">
        <f>9.4827 * CHOOSE(CONTROL!$C$32, $C$9, 100%, $E$9)</f>
        <v>9.4826999999999995</v>
      </c>
      <c r="G866" s="11">
        <f>9.486 * CHOOSE(CONTROL!$C$32, $C$9, 100%, $E$9)</f>
        <v>9.4860000000000007</v>
      </c>
      <c r="H866" s="11">
        <f>29.9662 * CHOOSE(CONTROL!$C$32, $C$9, 100%, $E$9)</f>
        <v>29.966200000000001</v>
      </c>
      <c r="I866" s="11">
        <f>29.9694 * CHOOSE(CONTROL!$C$32, $C$9, 100%, $E$9)</f>
        <v>29.9694</v>
      </c>
      <c r="J866" s="11">
        <f>29.9662 * CHOOSE(CONTROL!$C$32, $C$9, 100%, $E$9)</f>
        <v>29.966200000000001</v>
      </c>
      <c r="K866" s="11">
        <f>29.9694 * CHOOSE(CONTROL!$C$32, $C$9, 100%, $E$9)</f>
        <v>29.9694</v>
      </c>
      <c r="L866" s="11">
        <f>9.4827 * CHOOSE(CONTROL!$C$32, $C$9, 100%, $E$9)</f>
        <v>9.4826999999999995</v>
      </c>
      <c r="M866" s="11">
        <f>9.486 * CHOOSE(CONTROL!$C$32, $C$9, 100%, $E$9)</f>
        <v>9.4860000000000007</v>
      </c>
      <c r="N866" s="11">
        <f>9.4827 * CHOOSE(CONTROL!$C$32, $C$9, 100%, $E$9)</f>
        <v>9.4826999999999995</v>
      </c>
      <c r="O866" s="11">
        <f>9.486 * CHOOSE(CONTROL!$C$32, $C$9, 100%, $E$9)</f>
        <v>9.4860000000000007</v>
      </c>
    </row>
    <row r="867" spans="1:15" ht="15" x14ac:dyDescent="0.2">
      <c r="A867" s="13">
        <v>67238</v>
      </c>
      <c r="B867" s="9">
        <f>12.751 * CHOOSE(CONTROL!$C$32, $C$9, 100%, $E$9)</f>
        <v>12.750999999999999</v>
      </c>
      <c r="C867" s="9">
        <f>12.751 * CHOOSE(CONTROL!$C$32, $C$9, 100%, $E$9)</f>
        <v>12.750999999999999</v>
      </c>
      <c r="D867" s="9">
        <f>12.752 * CHOOSE(CONTROL!$C$32, $C$9, 100%, $E$9)</f>
        <v>12.752000000000001</v>
      </c>
      <c r="E867" s="11">
        <f>9.0925 * CHOOSE(CONTROL!$C$32, $C$9, 100%, $E$9)</f>
        <v>9.0924999999999994</v>
      </c>
      <c r="F867" s="11">
        <f>9.0925 * CHOOSE(CONTROL!$C$32, $C$9, 100%, $E$9)</f>
        <v>9.0924999999999994</v>
      </c>
      <c r="G867" s="11">
        <f>9.0957 * CHOOSE(CONTROL!$C$32, $C$9, 100%, $E$9)</f>
        <v>9.0957000000000008</v>
      </c>
      <c r="H867" s="11">
        <f>30.0286 * CHOOSE(CONTROL!$C$32, $C$9, 100%, $E$9)</f>
        <v>30.028600000000001</v>
      </c>
      <c r="I867" s="11">
        <f>30.0318 * CHOOSE(CONTROL!$C$32, $C$9, 100%, $E$9)</f>
        <v>30.0318</v>
      </c>
      <c r="J867" s="11">
        <f>30.0286 * CHOOSE(CONTROL!$C$32, $C$9, 100%, $E$9)</f>
        <v>30.028600000000001</v>
      </c>
      <c r="K867" s="11">
        <f>30.0318 * CHOOSE(CONTROL!$C$32, $C$9, 100%, $E$9)</f>
        <v>30.0318</v>
      </c>
      <c r="L867" s="11">
        <f>9.0925 * CHOOSE(CONTROL!$C$32, $C$9, 100%, $E$9)</f>
        <v>9.0924999999999994</v>
      </c>
      <c r="M867" s="11">
        <f>9.0957 * CHOOSE(CONTROL!$C$32, $C$9, 100%, $E$9)</f>
        <v>9.0957000000000008</v>
      </c>
      <c r="N867" s="11">
        <f>9.0925 * CHOOSE(CONTROL!$C$32, $C$9, 100%, $E$9)</f>
        <v>9.0924999999999994</v>
      </c>
      <c r="O867" s="11">
        <f>9.0957 * CHOOSE(CONTROL!$C$32, $C$9, 100%, $E$9)</f>
        <v>9.0957000000000008</v>
      </c>
    </row>
    <row r="868" spans="1:15" ht="15" x14ac:dyDescent="0.2">
      <c r="A868" s="13">
        <v>67267</v>
      </c>
      <c r="B868" s="9">
        <f>12.748 * CHOOSE(CONTROL!$C$32, $C$9, 100%, $E$9)</f>
        <v>12.747999999999999</v>
      </c>
      <c r="C868" s="9">
        <f>12.748 * CHOOSE(CONTROL!$C$32, $C$9, 100%, $E$9)</f>
        <v>12.747999999999999</v>
      </c>
      <c r="D868" s="9">
        <f>12.749 * CHOOSE(CONTROL!$C$32, $C$9, 100%, $E$9)</f>
        <v>12.749000000000001</v>
      </c>
      <c r="E868" s="11">
        <f>9.3964 * CHOOSE(CONTROL!$C$32, $C$9, 100%, $E$9)</f>
        <v>9.3963999999999999</v>
      </c>
      <c r="F868" s="11">
        <f>9.3964 * CHOOSE(CONTROL!$C$32, $C$9, 100%, $E$9)</f>
        <v>9.3963999999999999</v>
      </c>
      <c r="G868" s="11">
        <f>9.3996 * CHOOSE(CONTROL!$C$32, $C$9, 100%, $E$9)</f>
        <v>9.3995999999999995</v>
      </c>
      <c r="H868" s="11">
        <f>30.0912 * CHOOSE(CONTROL!$C$32, $C$9, 100%, $E$9)</f>
        <v>30.091200000000001</v>
      </c>
      <c r="I868" s="11">
        <f>30.0944 * CHOOSE(CONTROL!$C$32, $C$9, 100%, $E$9)</f>
        <v>30.0944</v>
      </c>
      <c r="J868" s="11">
        <f>30.0912 * CHOOSE(CONTROL!$C$32, $C$9, 100%, $E$9)</f>
        <v>30.091200000000001</v>
      </c>
      <c r="K868" s="11">
        <f>30.0944 * CHOOSE(CONTROL!$C$32, $C$9, 100%, $E$9)</f>
        <v>30.0944</v>
      </c>
      <c r="L868" s="11">
        <f>9.3964 * CHOOSE(CONTROL!$C$32, $C$9, 100%, $E$9)</f>
        <v>9.3963999999999999</v>
      </c>
      <c r="M868" s="11">
        <f>9.3996 * CHOOSE(CONTROL!$C$32, $C$9, 100%, $E$9)</f>
        <v>9.3995999999999995</v>
      </c>
      <c r="N868" s="11">
        <f>9.3964 * CHOOSE(CONTROL!$C$32, $C$9, 100%, $E$9)</f>
        <v>9.3963999999999999</v>
      </c>
      <c r="O868" s="11">
        <f>9.3996 * CHOOSE(CONTROL!$C$32, $C$9, 100%, $E$9)</f>
        <v>9.3995999999999995</v>
      </c>
    </row>
    <row r="869" spans="1:15" ht="15" x14ac:dyDescent="0.2">
      <c r="A869" s="13">
        <v>67298</v>
      </c>
      <c r="B869" s="9">
        <f>12.7541 * CHOOSE(CONTROL!$C$32, $C$9, 100%, $E$9)</f>
        <v>12.754099999999999</v>
      </c>
      <c r="C869" s="9">
        <f>12.7541 * CHOOSE(CONTROL!$C$32, $C$9, 100%, $E$9)</f>
        <v>12.754099999999999</v>
      </c>
      <c r="D869" s="9">
        <f>12.7551 * CHOOSE(CONTROL!$C$32, $C$9, 100%, $E$9)</f>
        <v>12.755100000000001</v>
      </c>
      <c r="E869" s="11">
        <f>9.7207 * CHOOSE(CONTROL!$C$32, $C$9, 100%, $E$9)</f>
        <v>9.7207000000000008</v>
      </c>
      <c r="F869" s="11">
        <f>9.7207 * CHOOSE(CONTROL!$C$32, $C$9, 100%, $E$9)</f>
        <v>9.7207000000000008</v>
      </c>
      <c r="G869" s="11">
        <f>9.7239 * CHOOSE(CONTROL!$C$32, $C$9, 100%, $E$9)</f>
        <v>9.7239000000000004</v>
      </c>
      <c r="H869" s="11">
        <f>30.1538 * CHOOSE(CONTROL!$C$32, $C$9, 100%, $E$9)</f>
        <v>30.1538</v>
      </c>
      <c r="I869" s="11">
        <f>30.1571 * CHOOSE(CONTROL!$C$32, $C$9, 100%, $E$9)</f>
        <v>30.1571</v>
      </c>
      <c r="J869" s="11">
        <f>30.1538 * CHOOSE(CONTROL!$C$32, $C$9, 100%, $E$9)</f>
        <v>30.1538</v>
      </c>
      <c r="K869" s="11">
        <f>30.1571 * CHOOSE(CONTROL!$C$32, $C$9, 100%, $E$9)</f>
        <v>30.1571</v>
      </c>
      <c r="L869" s="11">
        <f>9.7207 * CHOOSE(CONTROL!$C$32, $C$9, 100%, $E$9)</f>
        <v>9.7207000000000008</v>
      </c>
      <c r="M869" s="11">
        <f>9.7239 * CHOOSE(CONTROL!$C$32, $C$9, 100%, $E$9)</f>
        <v>9.7239000000000004</v>
      </c>
      <c r="N869" s="11">
        <f>9.7207 * CHOOSE(CONTROL!$C$32, $C$9, 100%, $E$9)</f>
        <v>9.7207000000000008</v>
      </c>
      <c r="O869" s="11">
        <f>9.7239 * CHOOSE(CONTROL!$C$32, $C$9, 100%, $E$9)</f>
        <v>9.7239000000000004</v>
      </c>
    </row>
    <row r="870" spans="1:15" ht="15" x14ac:dyDescent="0.2">
      <c r="A870" s="13">
        <v>67328</v>
      </c>
      <c r="B870" s="9">
        <f>12.7541 * CHOOSE(CONTROL!$C$32, $C$9, 100%, $E$9)</f>
        <v>12.754099999999999</v>
      </c>
      <c r="C870" s="9">
        <f>12.7541 * CHOOSE(CONTROL!$C$32, $C$9, 100%, $E$9)</f>
        <v>12.754099999999999</v>
      </c>
      <c r="D870" s="9">
        <f>12.7554 * CHOOSE(CONTROL!$C$32, $C$9, 100%, $E$9)</f>
        <v>12.7554</v>
      </c>
      <c r="E870" s="11">
        <f>9.8439 * CHOOSE(CONTROL!$C$32, $C$9, 100%, $E$9)</f>
        <v>9.8438999999999997</v>
      </c>
      <c r="F870" s="11">
        <f>9.8439 * CHOOSE(CONTROL!$C$32, $C$9, 100%, $E$9)</f>
        <v>9.8438999999999997</v>
      </c>
      <c r="G870" s="11">
        <f>9.8481 * CHOOSE(CONTROL!$C$32, $C$9, 100%, $E$9)</f>
        <v>9.8481000000000005</v>
      </c>
      <c r="H870" s="11">
        <f>30.2167 * CHOOSE(CONTROL!$C$32, $C$9, 100%, $E$9)</f>
        <v>30.216699999999999</v>
      </c>
      <c r="I870" s="11">
        <f>30.2209 * CHOOSE(CONTROL!$C$32, $C$9, 100%, $E$9)</f>
        <v>30.2209</v>
      </c>
      <c r="J870" s="11">
        <f>30.2167 * CHOOSE(CONTROL!$C$32, $C$9, 100%, $E$9)</f>
        <v>30.216699999999999</v>
      </c>
      <c r="K870" s="11">
        <f>30.2209 * CHOOSE(CONTROL!$C$32, $C$9, 100%, $E$9)</f>
        <v>30.2209</v>
      </c>
      <c r="L870" s="11">
        <f>9.8439 * CHOOSE(CONTROL!$C$32, $C$9, 100%, $E$9)</f>
        <v>9.8438999999999997</v>
      </c>
      <c r="M870" s="11">
        <f>9.8481 * CHOOSE(CONTROL!$C$32, $C$9, 100%, $E$9)</f>
        <v>9.8481000000000005</v>
      </c>
      <c r="N870" s="11">
        <f>9.8439 * CHOOSE(CONTROL!$C$32, $C$9, 100%, $E$9)</f>
        <v>9.8438999999999997</v>
      </c>
      <c r="O870" s="11">
        <f>9.8481 * CHOOSE(CONTROL!$C$32, $C$9, 100%, $E$9)</f>
        <v>9.8481000000000005</v>
      </c>
    </row>
    <row r="871" spans="1:15" ht="15" x14ac:dyDescent="0.2">
      <c r="A871" s="13">
        <v>67359</v>
      </c>
      <c r="B871" s="9">
        <f>12.7602 * CHOOSE(CONTROL!$C$32, $C$9, 100%, $E$9)</f>
        <v>12.760199999999999</v>
      </c>
      <c r="C871" s="9">
        <f>12.7602 * CHOOSE(CONTROL!$C$32, $C$9, 100%, $E$9)</f>
        <v>12.760199999999999</v>
      </c>
      <c r="D871" s="9">
        <f>12.7615 * CHOOSE(CONTROL!$C$32, $C$9, 100%, $E$9)</f>
        <v>12.7615</v>
      </c>
      <c r="E871" s="11">
        <f>9.7249 * CHOOSE(CONTROL!$C$32, $C$9, 100%, $E$9)</f>
        <v>9.7248999999999999</v>
      </c>
      <c r="F871" s="11">
        <f>9.7249 * CHOOSE(CONTROL!$C$32, $C$9, 100%, $E$9)</f>
        <v>9.7248999999999999</v>
      </c>
      <c r="G871" s="11">
        <f>9.7291 * CHOOSE(CONTROL!$C$32, $C$9, 100%, $E$9)</f>
        <v>9.7291000000000007</v>
      </c>
      <c r="H871" s="11">
        <f>30.2796 * CHOOSE(CONTROL!$C$32, $C$9, 100%, $E$9)</f>
        <v>30.279599999999999</v>
      </c>
      <c r="I871" s="11">
        <f>30.2838 * CHOOSE(CONTROL!$C$32, $C$9, 100%, $E$9)</f>
        <v>30.283799999999999</v>
      </c>
      <c r="J871" s="11">
        <f>30.2796 * CHOOSE(CONTROL!$C$32, $C$9, 100%, $E$9)</f>
        <v>30.279599999999999</v>
      </c>
      <c r="K871" s="11">
        <f>30.2838 * CHOOSE(CONTROL!$C$32, $C$9, 100%, $E$9)</f>
        <v>30.283799999999999</v>
      </c>
      <c r="L871" s="11">
        <f>9.7249 * CHOOSE(CONTROL!$C$32, $C$9, 100%, $E$9)</f>
        <v>9.7248999999999999</v>
      </c>
      <c r="M871" s="11">
        <f>9.7291 * CHOOSE(CONTROL!$C$32, $C$9, 100%, $E$9)</f>
        <v>9.7291000000000007</v>
      </c>
      <c r="N871" s="11">
        <f>9.7249 * CHOOSE(CONTROL!$C$32, $C$9, 100%, $E$9)</f>
        <v>9.7248999999999999</v>
      </c>
      <c r="O871" s="11">
        <f>9.7291 * CHOOSE(CONTROL!$C$32, $C$9, 100%, $E$9)</f>
        <v>9.7291000000000007</v>
      </c>
    </row>
    <row r="872" spans="1:15" ht="15" x14ac:dyDescent="0.2">
      <c r="A872" s="13">
        <v>67389</v>
      </c>
      <c r="B872" s="9">
        <f>12.9149 * CHOOSE(CONTROL!$C$32, $C$9, 100%, $E$9)</f>
        <v>12.914899999999999</v>
      </c>
      <c r="C872" s="9">
        <f>12.9149 * CHOOSE(CONTROL!$C$32, $C$9, 100%, $E$9)</f>
        <v>12.914899999999999</v>
      </c>
      <c r="D872" s="9">
        <f>12.9161 * CHOOSE(CONTROL!$C$32, $C$9, 100%, $E$9)</f>
        <v>12.9161</v>
      </c>
      <c r="E872" s="11">
        <f>9.7869 * CHOOSE(CONTROL!$C$32, $C$9, 100%, $E$9)</f>
        <v>9.7868999999999993</v>
      </c>
      <c r="F872" s="11">
        <f>9.7869 * CHOOSE(CONTROL!$C$32, $C$9, 100%, $E$9)</f>
        <v>9.7868999999999993</v>
      </c>
      <c r="G872" s="11">
        <f>9.7911 * CHOOSE(CONTROL!$C$32, $C$9, 100%, $E$9)</f>
        <v>9.7911000000000001</v>
      </c>
      <c r="H872" s="11">
        <f>30.3427 * CHOOSE(CONTROL!$C$32, $C$9, 100%, $E$9)</f>
        <v>30.342700000000001</v>
      </c>
      <c r="I872" s="11">
        <f>30.3469 * CHOOSE(CONTROL!$C$32, $C$9, 100%, $E$9)</f>
        <v>30.346900000000002</v>
      </c>
      <c r="J872" s="11">
        <f>30.3427 * CHOOSE(CONTROL!$C$32, $C$9, 100%, $E$9)</f>
        <v>30.342700000000001</v>
      </c>
      <c r="K872" s="11">
        <f>30.3469 * CHOOSE(CONTROL!$C$32, $C$9, 100%, $E$9)</f>
        <v>30.346900000000002</v>
      </c>
      <c r="L872" s="11">
        <f>9.7869 * CHOOSE(CONTROL!$C$32, $C$9, 100%, $E$9)</f>
        <v>9.7868999999999993</v>
      </c>
      <c r="M872" s="11">
        <f>9.7911 * CHOOSE(CONTROL!$C$32, $C$9, 100%, $E$9)</f>
        <v>9.7911000000000001</v>
      </c>
      <c r="N872" s="11">
        <f>9.7869 * CHOOSE(CONTROL!$C$32, $C$9, 100%, $E$9)</f>
        <v>9.7868999999999993</v>
      </c>
      <c r="O872" s="11">
        <f>9.7911 * CHOOSE(CONTROL!$C$32, $C$9, 100%, $E$9)</f>
        <v>9.7911000000000001</v>
      </c>
    </row>
    <row r="873" spans="1:15" ht="15" x14ac:dyDescent="0.2">
      <c r="A873" s="13">
        <v>67420</v>
      </c>
      <c r="B873" s="9">
        <f>12.9216 * CHOOSE(CONTROL!$C$32, $C$9, 100%, $E$9)</f>
        <v>12.9216</v>
      </c>
      <c r="C873" s="9">
        <f>12.9216 * CHOOSE(CONTROL!$C$32, $C$9, 100%, $E$9)</f>
        <v>12.9216</v>
      </c>
      <c r="D873" s="9">
        <f>12.9228 * CHOOSE(CONTROL!$C$32, $C$9, 100%, $E$9)</f>
        <v>12.922800000000001</v>
      </c>
      <c r="E873" s="11">
        <f>9.4219 * CHOOSE(CONTROL!$C$32, $C$9, 100%, $E$9)</f>
        <v>9.4219000000000008</v>
      </c>
      <c r="F873" s="11">
        <f>9.4219 * CHOOSE(CONTROL!$C$32, $C$9, 100%, $E$9)</f>
        <v>9.4219000000000008</v>
      </c>
      <c r="G873" s="11">
        <f>9.4261 * CHOOSE(CONTROL!$C$32, $C$9, 100%, $E$9)</f>
        <v>9.4260999999999999</v>
      </c>
      <c r="H873" s="11">
        <f>30.4059 * CHOOSE(CONTROL!$C$32, $C$9, 100%, $E$9)</f>
        <v>30.405899999999999</v>
      </c>
      <c r="I873" s="11">
        <f>30.4101 * CHOOSE(CONTROL!$C$32, $C$9, 100%, $E$9)</f>
        <v>30.4101</v>
      </c>
      <c r="J873" s="11">
        <f>30.4059 * CHOOSE(CONTROL!$C$32, $C$9, 100%, $E$9)</f>
        <v>30.405899999999999</v>
      </c>
      <c r="K873" s="11">
        <f>30.4101 * CHOOSE(CONTROL!$C$32, $C$9, 100%, $E$9)</f>
        <v>30.4101</v>
      </c>
      <c r="L873" s="11">
        <f>9.4219 * CHOOSE(CONTROL!$C$32, $C$9, 100%, $E$9)</f>
        <v>9.4219000000000008</v>
      </c>
      <c r="M873" s="11">
        <f>9.4261 * CHOOSE(CONTROL!$C$32, $C$9, 100%, $E$9)</f>
        <v>9.4260999999999999</v>
      </c>
      <c r="N873" s="11">
        <f>9.4219 * CHOOSE(CONTROL!$C$32, $C$9, 100%, $E$9)</f>
        <v>9.4219000000000008</v>
      </c>
      <c r="O873" s="11">
        <f>9.4261 * CHOOSE(CONTROL!$C$32, $C$9, 100%, $E$9)</f>
        <v>9.4260999999999999</v>
      </c>
    </row>
    <row r="874" spans="1:15" ht="15" x14ac:dyDescent="0.2">
      <c r="A874" s="13">
        <v>67451</v>
      </c>
      <c r="B874" s="9">
        <f>12.9185 * CHOOSE(CONTROL!$C$32, $C$9, 100%, $E$9)</f>
        <v>12.9185</v>
      </c>
      <c r="C874" s="9">
        <f>12.9185 * CHOOSE(CONTROL!$C$32, $C$9, 100%, $E$9)</f>
        <v>12.9185</v>
      </c>
      <c r="D874" s="9">
        <f>12.9198 * CHOOSE(CONTROL!$C$32, $C$9, 100%, $E$9)</f>
        <v>12.9198</v>
      </c>
      <c r="E874" s="11">
        <f>9.3787 * CHOOSE(CONTROL!$C$32, $C$9, 100%, $E$9)</f>
        <v>9.3787000000000003</v>
      </c>
      <c r="F874" s="11">
        <f>9.3787 * CHOOSE(CONTROL!$C$32, $C$9, 100%, $E$9)</f>
        <v>9.3787000000000003</v>
      </c>
      <c r="G874" s="11">
        <f>9.3829 * CHOOSE(CONTROL!$C$32, $C$9, 100%, $E$9)</f>
        <v>9.3828999999999994</v>
      </c>
      <c r="H874" s="11">
        <f>30.4693 * CHOOSE(CONTROL!$C$32, $C$9, 100%, $E$9)</f>
        <v>30.4693</v>
      </c>
      <c r="I874" s="11">
        <f>30.4735 * CHOOSE(CONTROL!$C$32, $C$9, 100%, $E$9)</f>
        <v>30.473500000000001</v>
      </c>
      <c r="J874" s="11">
        <f>30.4693 * CHOOSE(CONTROL!$C$32, $C$9, 100%, $E$9)</f>
        <v>30.4693</v>
      </c>
      <c r="K874" s="11">
        <f>30.4735 * CHOOSE(CONTROL!$C$32, $C$9, 100%, $E$9)</f>
        <v>30.473500000000001</v>
      </c>
      <c r="L874" s="11">
        <f>9.3787 * CHOOSE(CONTROL!$C$32, $C$9, 100%, $E$9)</f>
        <v>9.3787000000000003</v>
      </c>
      <c r="M874" s="11">
        <f>9.3829 * CHOOSE(CONTROL!$C$32, $C$9, 100%, $E$9)</f>
        <v>9.3828999999999994</v>
      </c>
      <c r="N874" s="11">
        <f>9.3787 * CHOOSE(CONTROL!$C$32, $C$9, 100%, $E$9)</f>
        <v>9.3787000000000003</v>
      </c>
      <c r="O874" s="11">
        <f>9.3829 * CHOOSE(CONTROL!$C$32, $C$9, 100%, $E$9)</f>
        <v>9.3828999999999994</v>
      </c>
    </row>
    <row r="875" spans="1:15" ht="15" x14ac:dyDescent="0.2">
      <c r="A875" s="13">
        <v>67481</v>
      </c>
      <c r="B875" s="9">
        <f>12.9469 * CHOOSE(CONTROL!$C$32, $C$9, 100%, $E$9)</f>
        <v>12.946899999999999</v>
      </c>
      <c r="C875" s="9">
        <f>12.9469 * CHOOSE(CONTROL!$C$32, $C$9, 100%, $E$9)</f>
        <v>12.946899999999999</v>
      </c>
      <c r="D875" s="9">
        <f>12.9479 * CHOOSE(CONTROL!$C$32, $C$9, 100%, $E$9)</f>
        <v>12.947900000000001</v>
      </c>
      <c r="E875" s="11">
        <f>9.5295 * CHOOSE(CONTROL!$C$32, $C$9, 100%, $E$9)</f>
        <v>9.5295000000000005</v>
      </c>
      <c r="F875" s="11">
        <f>9.5295 * CHOOSE(CONTROL!$C$32, $C$9, 100%, $E$9)</f>
        <v>9.5295000000000005</v>
      </c>
      <c r="G875" s="11">
        <f>9.5328 * CHOOSE(CONTROL!$C$32, $C$9, 100%, $E$9)</f>
        <v>9.5327999999999999</v>
      </c>
      <c r="H875" s="11">
        <f>30.5327 * CHOOSE(CONTROL!$C$32, $C$9, 100%, $E$9)</f>
        <v>30.532699999999998</v>
      </c>
      <c r="I875" s="11">
        <f>30.536 * CHOOSE(CONTROL!$C$32, $C$9, 100%, $E$9)</f>
        <v>30.536000000000001</v>
      </c>
      <c r="J875" s="11">
        <f>30.5327 * CHOOSE(CONTROL!$C$32, $C$9, 100%, $E$9)</f>
        <v>30.532699999999998</v>
      </c>
      <c r="K875" s="11">
        <f>30.536 * CHOOSE(CONTROL!$C$32, $C$9, 100%, $E$9)</f>
        <v>30.536000000000001</v>
      </c>
      <c r="L875" s="11">
        <f>9.5295 * CHOOSE(CONTROL!$C$32, $C$9, 100%, $E$9)</f>
        <v>9.5295000000000005</v>
      </c>
      <c r="M875" s="11">
        <f>9.5328 * CHOOSE(CONTROL!$C$32, $C$9, 100%, $E$9)</f>
        <v>9.5327999999999999</v>
      </c>
      <c r="N875" s="11">
        <f>9.5295 * CHOOSE(CONTROL!$C$32, $C$9, 100%, $E$9)</f>
        <v>9.5295000000000005</v>
      </c>
      <c r="O875" s="11">
        <f>9.5328 * CHOOSE(CONTROL!$C$32, $C$9, 100%, $E$9)</f>
        <v>9.5327999999999999</v>
      </c>
    </row>
    <row r="876" spans="1:15" ht="15" x14ac:dyDescent="0.2">
      <c r="A876" s="13">
        <v>67512</v>
      </c>
      <c r="B876" s="9">
        <f>12.95 * CHOOSE(CONTROL!$C$32, $C$9, 100%, $E$9)</f>
        <v>12.95</v>
      </c>
      <c r="C876" s="9">
        <f>12.95 * CHOOSE(CONTROL!$C$32, $C$9, 100%, $E$9)</f>
        <v>12.95</v>
      </c>
      <c r="D876" s="9">
        <f>12.9509 * CHOOSE(CONTROL!$C$32, $C$9, 100%, $E$9)</f>
        <v>12.950900000000001</v>
      </c>
      <c r="E876" s="11">
        <f>9.6138 * CHOOSE(CONTROL!$C$32, $C$9, 100%, $E$9)</f>
        <v>9.6137999999999995</v>
      </c>
      <c r="F876" s="11">
        <f>9.6138 * CHOOSE(CONTROL!$C$32, $C$9, 100%, $E$9)</f>
        <v>9.6137999999999995</v>
      </c>
      <c r="G876" s="11">
        <f>9.617 * CHOOSE(CONTROL!$C$32, $C$9, 100%, $E$9)</f>
        <v>9.6170000000000009</v>
      </c>
      <c r="H876" s="11">
        <f>30.5963 * CHOOSE(CONTROL!$C$32, $C$9, 100%, $E$9)</f>
        <v>30.596299999999999</v>
      </c>
      <c r="I876" s="11">
        <f>30.5996 * CHOOSE(CONTROL!$C$32, $C$9, 100%, $E$9)</f>
        <v>30.599599999999999</v>
      </c>
      <c r="J876" s="11">
        <f>30.5963 * CHOOSE(CONTROL!$C$32, $C$9, 100%, $E$9)</f>
        <v>30.596299999999999</v>
      </c>
      <c r="K876" s="11">
        <f>30.5996 * CHOOSE(CONTROL!$C$32, $C$9, 100%, $E$9)</f>
        <v>30.599599999999999</v>
      </c>
      <c r="L876" s="11">
        <f>9.6138 * CHOOSE(CONTROL!$C$32, $C$9, 100%, $E$9)</f>
        <v>9.6137999999999995</v>
      </c>
      <c r="M876" s="11">
        <f>9.617 * CHOOSE(CONTROL!$C$32, $C$9, 100%, $E$9)</f>
        <v>9.6170000000000009</v>
      </c>
      <c r="N876" s="11">
        <f>9.6138 * CHOOSE(CONTROL!$C$32, $C$9, 100%, $E$9)</f>
        <v>9.6137999999999995</v>
      </c>
      <c r="O876" s="11">
        <f>9.617 * CHOOSE(CONTROL!$C$32, $C$9, 100%, $E$9)</f>
        <v>9.6170000000000009</v>
      </c>
    </row>
    <row r="877" spans="1:15" ht="15" x14ac:dyDescent="0.2">
      <c r="A877" s="13">
        <v>67542</v>
      </c>
      <c r="B877" s="9">
        <f>12.95 * CHOOSE(CONTROL!$C$32, $C$9, 100%, $E$9)</f>
        <v>12.95</v>
      </c>
      <c r="C877" s="9">
        <f>12.95 * CHOOSE(CONTROL!$C$32, $C$9, 100%, $E$9)</f>
        <v>12.95</v>
      </c>
      <c r="D877" s="9">
        <f>12.9509 * CHOOSE(CONTROL!$C$32, $C$9, 100%, $E$9)</f>
        <v>12.950900000000001</v>
      </c>
      <c r="E877" s="11">
        <f>9.4084 * CHOOSE(CONTROL!$C$32, $C$9, 100%, $E$9)</f>
        <v>9.4084000000000003</v>
      </c>
      <c r="F877" s="11">
        <f>9.4084 * CHOOSE(CONTROL!$C$32, $C$9, 100%, $E$9)</f>
        <v>9.4084000000000003</v>
      </c>
      <c r="G877" s="11">
        <f>9.4117 * CHOOSE(CONTROL!$C$32, $C$9, 100%, $E$9)</f>
        <v>9.4116999999999997</v>
      </c>
      <c r="H877" s="11">
        <f>30.6601 * CHOOSE(CONTROL!$C$32, $C$9, 100%, $E$9)</f>
        <v>30.6601</v>
      </c>
      <c r="I877" s="11">
        <f>30.6633 * CHOOSE(CONTROL!$C$32, $C$9, 100%, $E$9)</f>
        <v>30.6633</v>
      </c>
      <c r="J877" s="11">
        <f>30.6601 * CHOOSE(CONTROL!$C$32, $C$9, 100%, $E$9)</f>
        <v>30.6601</v>
      </c>
      <c r="K877" s="11">
        <f>30.6633 * CHOOSE(CONTROL!$C$32, $C$9, 100%, $E$9)</f>
        <v>30.6633</v>
      </c>
      <c r="L877" s="11">
        <f>9.4084 * CHOOSE(CONTROL!$C$32, $C$9, 100%, $E$9)</f>
        <v>9.4084000000000003</v>
      </c>
      <c r="M877" s="11">
        <f>9.4117 * CHOOSE(CONTROL!$C$32, $C$9, 100%, $E$9)</f>
        <v>9.4116999999999997</v>
      </c>
      <c r="N877" s="11">
        <f>9.4084 * CHOOSE(CONTROL!$C$32, $C$9, 100%, $E$9)</f>
        <v>9.4084000000000003</v>
      </c>
      <c r="O877" s="11">
        <f>9.4117 * CHOOSE(CONTROL!$C$32, $C$9, 100%, $E$9)</f>
        <v>9.4116999999999997</v>
      </c>
    </row>
    <row r="878" spans="1:15" ht="15" x14ac:dyDescent="0.2">
      <c r="A878" s="13">
        <v>67573</v>
      </c>
      <c r="B878" s="9">
        <f>12.9414 * CHOOSE(CONTROL!$C$32, $C$9, 100%, $E$9)</f>
        <v>12.9414</v>
      </c>
      <c r="C878" s="9">
        <f>12.9414 * CHOOSE(CONTROL!$C$32, $C$9, 100%, $E$9)</f>
        <v>12.9414</v>
      </c>
      <c r="D878" s="9">
        <f>12.9424 * CHOOSE(CONTROL!$C$32, $C$9, 100%, $E$9)</f>
        <v>12.942399999999999</v>
      </c>
      <c r="E878" s="11">
        <f>9.56 * CHOOSE(CONTROL!$C$32, $C$9, 100%, $E$9)</f>
        <v>9.56</v>
      </c>
      <c r="F878" s="11">
        <f>9.56 * CHOOSE(CONTROL!$C$32, $C$9, 100%, $E$9)</f>
        <v>9.56</v>
      </c>
      <c r="G878" s="11">
        <f>9.5632 * CHOOSE(CONTROL!$C$32, $C$9, 100%, $E$9)</f>
        <v>9.5632000000000001</v>
      </c>
      <c r="H878" s="11">
        <f>30.4377 * CHOOSE(CONTROL!$C$32, $C$9, 100%, $E$9)</f>
        <v>30.4377</v>
      </c>
      <c r="I878" s="11">
        <f>30.441 * CHOOSE(CONTROL!$C$32, $C$9, 100%, $E$9)</f>
        <v>30.440999999999999</v>
      </c>
      <c r="J878" s="11">
        <f>30.4377 * CHOOSE(CONTROL!$C$32, $C$9, 100%, $E$9)</f>
        <v>30.4377</v>
      </c>
      <c r="K878" s="11">
        <f>30.441 * CHOOSE(CONTROL!$C$32, $C$9, 100%, $E$9)</f>
        <v>30.440999999999999</v>
      </c>
      <c r="L878" s="11">
        <f>9.56 * CHOOSE(CONTROL!$C$32, $C$9, 100%, $E$9)</f>
        <v>9.56</v>
      </c>
      <c r="M878" s="11">
        <f>9.5632 * CHOOSE(CONTROL!$C$32, $C$9, 100%, $E$9)</f>
        <v>9.5632000000000001</v>
      </c>
      <c r="N878" s="11">
        <f>9.56 * CHOOSE(CONTROL!$C$32, $C$9, 100%, $E$9)</f>
        <v>9.56</v>
      </c>
      <c r="O878" s="11">
        <f>9.5632 * CHOOSE(CONTROL!$C$32, $C$9, 100%, $E$9)</f>
        <v>9.5632000000000001</v>
      </c>
    </row>
    <row r="879" spans="1:15" ht="15" x14ac:dyDescent="0.2">
      <c r="A879" s="13">
        <v>67604</v>
      </c>
      <c r="B879" s="9">
        <f>12.9384 * CHOOSE(CONTROL!$C$32, $C$9, 100%, $E$9)</f>
        <v>12.9384</v>
      </c>
      <c r="C879" s="9">
        <f>12.9384 * CHOOSE(CONTROL!$C$32, $C$9, 100%, $E$9)</f>
        <v>12.9384</v>
      </c>
      <c r="D879" s="9">
        <f>12.9394 * CHOOSE(CONTROL!$C$32, $C$9, 100%, $E$9)</f>
        <v>12.939399999999999</v>
      </c>
      <c r="E879" s="11">
        <f>9.1627 * CHOOSE(CONTROL!$C$32, $C$9, 100%, $E$9)</f>
        <v>9.1626999999999992</v>
      </c>
      <c r="F879" s="11">
        <f>9.1627 * CHOOSE(CONTROL!$C$32, $C$9, 100%, $E$9)</f>
        <v>9.1626999999999992</v>
      </c>
      <c r="G879" s="11">
        <f>9.1659 * CHOOSE(CONTROL!$C$32, $C$9, 100%, $E$9)</f>
        <v>9.1659000000000006</v>
      </c>
      <c r="H879" s="11">
        <f>30.5012 * CHOOSE(CONTROL!$C$32, $C$9, 100%, $E$9)</f>
        <v>30.501200000000001</v>
      </c>
      <c r="I879" s="11">
        <f>30.5044 * CHOOSE(CONTROL!$C$32, $C$9, 100%, $E$9)</f>
        <v>30.5044</v>
      </c>
      <c r="J879" s="11">
        <f>30.5012 * CHOOSE(CONTROL!$C$32, $C$9, 100%, $E$9)</f>
        <v>30.501200000000001</v>
      </c>
      <c r="K879" s="11">
        <f>30.5044 * CHOOSE(CONTROL!$C$32, $C$9, 100%, $E$9)</f>
        <v>30.5044</v>
      </c>
      <c r="L879" s="11">
        <f>9.1627 * CHOOSE(CONTROL!$C$32, $C$9, 100%, $E$9)</f>
        <v>9.1626999999999992</v>
      </c>
      <c r="M879" s="11">
        <f>9.1659 * CHOOSE(CONTROL!$C$32, $C$9, 100%, $E$9)</f>
        <v>9.1659000000000006</v>
      </c>
      <c r="N879" s="11">
        <f>9.1627 * CHOOSE(CONTROL!$C$32, $C$9, 100%, $E$9)</f>
        <v>9.1626999999999992</v>
      </c>
      <c r="O879" s="11">
        <f>9.1659 * CHOOSE(CONTROL!$C$32, $C$9, 100%, $E$9)</f>
        <v>9.1659000000000006</v>
      </c>
    </row>
    <row r="880" spans="1:15" ht="15" x14ac:dyDescent="0.2">
      <c r="A880" s="13">
        <v>67632</v>
      </c>
      <c r="B880" s="9">
        <f>12.9354 * CHOOSE(CONTROL!$C$32, $C$9, 100%, $E$9)</f>
        <v>12.9354</v>
      </c>
      <c r="C880" s="9">
        <f>12.9354 * CHOOSE(CONTROL!$C$32, $C$9, 100%, $E$9)</f>
        <v>12.9354</v>
      </c>
      <c r="D880" s="9">
        <f>12.9363 * CHOOSE(CONTROL!$C$32, $C$9, 100%, $E$9)</f>
        <v>12.936299999999999</v>
      </c>
      <c r="E880" s="11">
        <f>9.4721 * CHOOSE(CONTROL!$C$32, $C$9, 100%, $E$9)</f>
        <v>9.4720999999999993</v>
      </c>
      <c r="F880" s="11">
        <f>9.4721 * CHOOSE(CONTROL!$C$32, $C$9, 100%, $E$9)</f>
        <v>9.4720999999999993</v>
      </c>
      <c r="G880" s="11">
        <f>9.4754 * CHOOSE(CONTROL!$C$32, $C$9, 100%, $E$9)</f>
        <v>9.4754000000000005</v>
      </c>
      <c r="H880" s="11">
        <f>30.5647 * CHOOSE(CONTROL!$C$32, $C$9, 100%, $E$9)</f>
        <v>30.564699999999998</v>
      </c>
      <c r="I880" s="11">
        <f>30.5679 * CHOOSE(CONTROL!$C$32, $C$9, 100%, $E$9)</f>
        <v>30.567900000000002</v>
      </c>
      <c r="J880" s="11">
        <f>30.5647 * CHOOSE(CONTROL!$C$32, $C$9, 100%, $E$9)</f>
        <v>30.564699999999998</v>
      </c>
      <c r="K880" s="11">
        <f>30.5679 * CHOOSE(CONTROL!$C$32, $C$9, 100%, $E$9)</f>
        <v>30.567900000000002</v>
      </c>
      <c r="L880" s="11">
        <f>9.4721 * CHOOSE(CONTROL!$C$32, $C$9, 100%, $E$9)</f>
        <v>9.4720999999999993</v>
      </c>
      <c r="M880" s="11">
        <f>9.4754 * CHOOSE(CONTROL!$C$32, $C$9, 100%, $E$9)</f>
        <v>9.4754000000000005</v>
      </c>
      <c r="N880" s="11">
        <f>9.4721 * CHOOSE(CONTROL!$C$32, $C$9, 100%, $E$9)</f>
        <v>9.4720999999999993</v>
      </c>
      <c r="O880" s="11">
        <f>9.4754 * CHOOSE(CONTROL!$C$32, $C$9, 100%, $E$9)</f>
        <v>9.4754000000000005</v>
      </c>
    </row>
    <row r="881" spans="1:15" ht="15" x14ac:dyDescent="0.2">
      <c r="A881" s="13">
        <v>67663</v>
      </c>
      <c r="B881" s="9">
        <f>12.9417 * CHOOSE(CONTROL!$C$32, $C$9, 100%, $E$9)</f>
        <v>12.941700000000001</v>
      </c>
      <c r="C881" s="9">
        <f>12.9417 * CHOOSE(CONTROL!$C$32, $C$9, 100%, $E$9)</f>
        <v>12.941700000000001</v>
      </c>
      <c r="D881" s="9">
        <f>12.9426 * CHOOSE(CONTROL!$C$32, $C$9, 100%, $E$9)</f>
        <v>12.942600000000001</v>
      </c>
      <c r="E881" s="11">
        <f>9.8025 * CHOOSE(CONTROL!$C$32, $C$9, 100%, $E$9)</f>
        <v>9.8025000000000002</v>
      </c>
      <c r="F881" s="11">
        <f>9.8025 * CHOOSE(CONTROL!$C$32, $C$9, 100%, $E$9)</f>
        <v>9.8025000000000002</v>
      </c>
      <c r="G881" s="11">
        <f>9.8057 * CHOOSE(CONTROL!$C$32, $C$9, 100%, $E$9)</f>
        <v>9.8056999999999999</v>
      </c>
      <c r="H881" s="11">
        <f>30.6284 * CHOOSE(CONTROL!$C$32, $C$9, 100%, $E$9)</f>
        <v>30.628399999999999</v>
      </c>
      <c r="I881" s="11">
        <f>30.6316 * CHOOSE(CONTROL!$C$32, $C$9, 100%, $E$9)</f>
        <v>30.631599999999999</v>
      </c>
      <c r="J881" s="11">
        <f>30.6284 * CHOOSE(CONTROL!$C$32, $C$9, 100%, $E$9)</f>
        <v>30.628399999999999</v>
      </c>
      <c r="K881" s="11">
        <f>30.6316 * CHOOSE(CONTROL!$C$32, $C$9, 100%, $E$9)</f>
        <v>30.631599999999999</v>
      </c>
      <c r="L881" s="11">
        <f>9.8025 * CHOOSE(CONTROL!$C$32, $C$9, 100%, $E$9)</f>
        <v>9.8025000000000002</v>
      </c>
      <c r="M881" s="11">
        <f>9.8057 * CHOOSE(CONTROL!$C$32, $C$9, 100%, $E$9)</f>
        <v>9.8056999999999999</v>
      </c>
      <c r="N881" s="11">
        <f>9.8025 * CHOOSE(CONTROL!$C$32, $C$9, 100%, $E$9)</f>
        <v>9.8025000000000002</v>
      </c>
      <c r="O881" s="11">
        <f>9.8057 * CHOOSE(CONTROL!$C$32, $C$9, 100%, $E$9)</f>
        <v>9.8056999999999999</v>
      </c>
    </row>
    <row r="882" spans="1:15" ht="15" x14ac:dyDescent="0.2">
      <c r="A882" s="13">
        <v>67693</v>
      </c>
      <c r="B882" s="9">
        <f>12.9417 * CHOOSE(CONTROL!$C$32, $C$9, 100%, $E$9)</f>
        <v>12.941700000000001</v>
      </c>
      <c r="C882" s="9">
        <f>12.9417 * CHOOSE(CONTROL!$C$32, $C$9, 100%, $E$9)</f>
        <v>12.941700000000001</v>
      </c>
      <c r="D882" s="9">
        <f>12.9429 * CHOOSE(CONTROL!$C$32, $C$9, 100%, $E$9)</f>
        <v>12.9429</v>
      </c>
      <c r="E882" s="11">
        <f>9.928 * CHOOSE(CONTROL!$C$32, $C$9, 100%, $E$9)</f>
        <v>9.9280000000000008</v>
      </c>
      <c r="F882" s="11">
        <f>9.928 * CHOOSE(CONTROL!$C$32, $C$9, 100%, $E$9)</f>
        <v>9.9280000000000008</v>
      </c>
      <c r="G882" s="11">
        <f>9.9322 * CHOOSE(CONTROL!$C$32, $C$9, 100%, $E$9)</f>
        <v>9.9321999999999999</v>
      </c>
      <c r="H882" s="11">
        <f>30.6922 * CHOOSE(CONTROL!$C$32, $C$9, 100%, $E$9)</f>
        <v>30.6922</v>
      </c>
      <c r="I882" s="11">
        <f>30.6964 * CHOOSE(CONTROL!$C$32, $C$9, 100%, $E$9)</f>
        <v>30.696400000000001</v>
      </c>
      <c r="J882" s="11">
        <f>30.6922 * CHOOSE(CONTROL!$C$32, $C$9, 100%, $E$9)</f>
        <v>30.6922</v>
      </c>
      <c r="K882" s="11">
        <f>30.6964 * CHOOSE(CONTROL!$C$32, $C$9, 100%, $E$9)</f>
        <v>30.696400000000001</v>
      </c>
      <c r="L882" s="11">
        <f>9.928 * CHOOSE(CONTROL!$C$32, $C$9, 100%, $E$9)</f>
        <v>9.9280000000000008</v>
      </c>
      <c r="M882" s="11">
        <f>9.9322 * CHOOSE(CONTROL!$C$32, $C$9, 100%, $E$9)</f>
        <v>9.9321999999999999</v>
      </c>
      <c r="N882" s="11">
        <f>9.928 * CHOOSE(CONTROL!$C$32, $C$9, 100%, $E$9)</f>
        <v>9.9280000000000008</v>
      </c>
      <c r="O882" s="11">
        <f>9.9322 * CHOOSE(CONTROL!$C$32, $C$9, 100%, $E$9)</f>
        <v>9.9321999999999999</v>
      </c>
    </row>
    <row r="883" spans="1:15" ht="15" x14ac:dyDescent="0.2">
      <c r="A883" s="13">
        <v>67724</v>
      </c>
      <c r="B883" s="9">
        <f>12.9478 * CHOOSE(CONTROL!$C$32, $C$9, 100%, $E$9)</f>
        <v>12.947800000000001</v>
      </c>
      <c r="C883" s="9">
        <f>12.9478 * CHOOSE(CONTROL!$C$32, $C$9, 100%, $E$9)</f>
        <v>12.947800000000001</v>
      </c>
      <c r="D883" s="9">
        <f>12.949 * CHOOSE(CONTROL!$C$32, $C$9, 100%, $E$9)</f>
        <v>12.949</v>
      </c>
      <c r="E883" s="11">
        <f>9.8067 * CHOOSE(CONTROL!$C$32, $C$9, 100%, $E$9)</f>
        <v>9.8066999999999993</v>
      </c>
      <c r="F883" s="11">
        <f>9.8067 * CHOOSE(CONTROL!$C$32, $C$9, 100%, $E$9)</f>
        <v>9.8066999999999993</v>
      </c>
      <c r="G883" s="11">
        <f>9.8109 * CHOOSE(CONTROL!$C$32, $C$9, 100%, $E$9)</f>
        <v>9.8109000000000002</v>
      </c>
      <c r="H883" s="11">
        <f>30.7561 * CHOOSE(CONTROL!$C$32, $C$9, 100%, $E$9)</f>
        <v>30.7561</v>
      </c>
      <c r="I883" s="11">
        <f>30.7603 * CHOOSE(CONTROL!$C$32, $C$9, 100%, $E$9)</f>
        <v>30.760300000000001</v>
      </c>
      <c r="J883" s="11">
        <f>30.7561 * CHOOSE(CONTROL!$C$32, $C$9, 100%, $E$9)</f>
        <v>30.7561</v>
      </c>
      <c r="K883" s="11">
        <f>30.7603 * CHOOSE(CONTROL!$C$32, $C$9, 100%, $E$9)</f>
        <v>30.760300000000001</v>
      </c>
      <c r="L883" s="11">
        <f>9.8067 * CHOOSE(CONTROL!$C$32, $C$9, 100%, $E$9)</f>
        <v>9.8066999999999993</v>
      </c>
      <c r="M883" s="11">
        <f>9.8109 * CHOOSE(CONTROL!$C$32, $C$9, 100%, $E$9)</f>
        <v>9.8109000000000002</v>
      </c>
      <c r="N883" s="11">
        <f>9.8067 * CHOOSE(CONTROL!$C$32, $C$9, 100%, $E$9)</f>
        <v>9.8066999999999993</v>
      </c>
      <c r="O883" s="11">
        <f>9.8109 * CHOOSE(CONTROL!$C$32, $C$9, 100%, $E$9)</f>
        <v>9.8109000000000002</v>
      </c>
    </row>
    <row r="884" spans="1:15" ht="15" x14ac:dyDescent="0.2">
      <c r="A884" s="13">
        <v>67754</v>
      </c>
      <c r="B884" s="9">
        <f>13.1045 * CHOOSE(CONTROL!$C$32, $C$9, 100%, $E$9)</f>
        <v>13.1045</v>
      </c>
      <c r="C884" s="9">
        <f>13.1045 * CHOOSE(CONTROL!$C$32, $C$9, 100%, $E$9)</f>
        <v>13.1045</v>
      </c>
      <c r="D884" s="9">
        <f>13.1057 * CHOOSE(CONTROL!$C$32, $C$9, 100%, $E$9)</f>
        <v>13.105700000000001</v>
      </c>
      <c r="E884" s="11">
        <f>9.8698 * CHOOSE(CONTROL!$C$32, $C$9, 100%, $E$9)</f>
        <v>9.8697999999999997</v>
      </c>
      <c r="F884" s="11">
        <f>9.8698 * CHOOSE(CONTROL!$C$32, $C$9, 100%, $E$9)</f>
        <v>9.8697999999999997</v>
      </c>
      <c r="G884" s="11">
        <f>9.874 * CHOOSE(CONTROL!$C$32, $C$9, 100%, $E$9)</f>
        <v>9.8740000000000006</v>
      </c>
      <c r="H884" s="11">
        <f>30.8202 * CHOOSE(CONTROL!$C$32, $C$9, 100%, $E$9)</f>
        <v>30.8202</v>
      </c>
      <c r="I884" s="11">
        <f>30.8244 * CHOOSE(CONTROL!$C$32, $C$9, 100%, $E$9)</f>
        <v>30.824400000000001</v>
      </c>
      <c r="J884" s="11">
        <f>30.8202 * CHOOSE(CONTROL!$C$32, $C$9, 100%, $E$9)</f>
        <v>30.8202</v>
      </c>
      <c r="K884" s="11">
        <f>30.8244 * CHOOSE(CONTROL!$C$32, $C$9, 100%, $E$9)</f>
        <v>30.824400000000001</v>
      </c>
      <c r="L884" s="11">
        <f>9.8698 * CHOOSE(CONTROL!$C$32, $C$9, 100%, $E$9)</f>
        <v>9.8697999999999997</v>
      </c>
      <c r="M884" s="11">
        <f>9.874 * CHOOSE(CONTROL!$C$32, $C$9, 100%, $E$9)</f>
        <v>9.8740000000000006</v>
      </c>
      <c r="N884" s="11">
        <f>9.8698 * CHOOSE(CONTROL!$C$32, $C$9, 100%, $E$9)</f>
        <v>9.8697999999999997</v>
      </c>
      <c r="O884" s="11">
        <f>9.874 * CHOOSE(CONTROL!$C$32, $C$9, 100%, $E$9)</f>
        <v>9.8740000000000006</v>
      </c>
    </row>
    <row r="885" spans="1:15" ht="15" x14ac:dyDescent="0.2">
      <c r="A885" s="13">
        <v>67785</v>
      </c>
      <c r="B885" s="9">
        <f>13.1112 * CHOOSE(CONTROL!$C$32, $C$9, 100%, $E$9)</f>
        <v>13.1112</v>
      </c>
      <c r="C885" s="9">
        <f>13.1112 * CHOOSE(CONTROL!$C$32, $C$9, 100%, $E$9)</f>
        <v>13.1112</v>
      </c>
      <c r="D885" s="9">
        <f>13.1124 * CHOOSE(CONTROL!$C$32, $C$9, 100%, $E$9)</f>
        <v>13.112399999999999</v>
      </c>
      <c r="E885" s="11">
        <f>9.498 * CHOOSE(CONTROL!$C$32, $C$9, 100%, $E$9)</f>
        <v>9.4979999999999993</v>
      </c>
      <c r="F885" s="11">
        <f>9.498 * CHOOSE(CONTROL!$C$32, $C$9, 100%, $E$9)</f>
        <v>9.4979999999999993</v>
      </c>
      <c r="G885" s="11">
        <f>9.5022 * CHOOSE(CONTROL!$C$32, $C$9, 100%, $E$9)</f>
        <v>9.5022000000000002</v>
      </c>
      <c r="H885" s="11">
        <f>30.8844 * CHOOSE(CONTROL!$C$32, $C$9, 100%, $E$9)</f>
        <v>30.884399999999999</v>
      </c>
      <c r="I885" s="11">
        <f>30.8886 * CHOOSE(CONTROL!$C$32, $C$9, 100%, $E$9)</f>
        <v>30.8886</v>
      </c>
      <c r="J885" s="11">
        <f>30.8844 * CHOOSE(CONTROL!$C$32, $C$9, 100%, $E$9)</f>
        <v>30.884399999999999</v>
      </c>
      <c r="K885" s="11">
        <f>30.8886 * CHOOSE(CONTROL!$C$32, $C$9, 100%, $E$9)</f>
        <v>30.8886</v>
      </c>
      <c r="L885" s="11">
        <f>9.498 * CHOOSE(CONTROL!$C$32, $C$9, 100%, $E$9)</f>
        <v>9.4979999999999993</v>
      </c>
      <c r="M885" s="11">
        <f>9.5022 * CHOOSE(CONTROL!$C$32, $C$9, 100%, $E$9)</f>
        <v>9.5022000000000002</v>
      </c>
      <c r="N885" s="11">
        <f>9.498 * CHOOSE(CONTROL!$C$32, $C$9, 100%, $E$9)</f>
        <v>9.4979999999999993</v>
      </c>
      <c r="O885" s="11">
        <f>9.5022 * CHOOSE(CONTROL!$C$32, $C$9, 100%, $E$9)</f>
        <v>9.5022000000000002</v>
      </c>
    </row>
    <row r="886" spans="1:15" ht="15" x14ac:dyDescent="0.2">
      <c r="A886" s="13">
        <v>67816</v>
      </c>
      <c r="B886" s="9">
        <f>13.1081 * CHOOSE(CONTROL!$C$32, $C$9, 100%, $E$9)</f>
        <v>13.1081</v>
      </c>
      <c r="C886" s="9">
        <f>13.1081 * CHOOSE(CONTROL!$C$32, $C$9, 100%, $E$9)</f>
        <v>13.1081</v>
      </c>
      <c r="D886" s="9">
        <f>13.1094 * CHOOSE(CONTROL!$C$32, $C$9, 100%, $E$9)</f>
        <v>13.109400000000001</v>
      </c>
      <c r="E886" s="11">
        <f>9.4541 * CHOOSE(CONTROL!$C$32, $C$9, 100%, $E$9)</f>
        <v>9.4541000000000004</v>
      </c>
      <c r="F886" s="11">
        <f>9.4541 * CHOOSE(CONTROL!$C$32, $C$9, 100%, $E$9)</f>
        <v>9.4541000000000004</v>
      </c>
      <c r="G886" s="11">
        <f>9.4583 * CHOOSE(CONTROL!$C$32, $C$9, 100%, $E$9)</f>
        <v>9.4582999999999995</v>
      </c>
      <c r="H886" s="11">
        <f>30.9488 * CHOOSE(CONTROL!$C$32, $C$9, 100%, $E$9)</f>
        <v>30.948799999999999</v>
      </c>
      <c r="I886" s="11">
        <f>30.953 * CHOOSE(CONTROL!$C$32, $C$9, 100%, $E$9)</f>
        <v>30.952999999999999</v>
      </c>
      <c r="J886" s="11">
        <f>30.9488 * CHOOSE(CONTROL!$C$32, $C$9, 100%, $E$9)</f>
        <v>30.948799999999999</v>
      </c>
      <c r="K886" s="11">
        <f>30.953 * CHOOSE(CONTROL!$C$32, $C$9, 100%, $E$9)</f>
        <v>30.952999999999999</v>
      </c>
      <c r="L886" s="11">
        <f>9.4541 * CHOOSE(CONTROL!$C$32, $C$9, 100%, $E$9)</f>
        <v>9.4541000000000004</v>
      </c>
      <c r="M886" s="11">
        <f>9.4583 * CHOOSE(CONTROL!$C$32, $C$9, 100%, $E$9)</f>
        <v>9.4582999999999995</v>
      </c>
      <c r="N886" s="11">
        <f>9.4541 * CHOOSE(CONTROL!$C$32, $C$9, 100%, $E$9)</f>
        <v>9.4541000000000004</v>
      </c>
      <c r="O886" s="11">
        <f>9.4583 * CHOOSE(CONTROL!$C$32, $C$9, 100%, $E$9)</f>
        <v>9.4582999999999995</v>
      </c>
    </row>
    <row r="887" spans="1:15" ht="15" x14ac:dyDescent="0.2">
      <c r="A887" s="13">
        <v>67846</v>
      </c>
      <c r="B887" s="9">
        <f>13.1372 * CHOOSE(CONTROL!$C$32, $C$9, 100%, $E$9)</f>
        <v>13.1372</v>
      </c>
      <c r="C887" s="9">
        <f>13.1372 * CHOOSE(CONTROL!$C$32, $C$9, 100%, $E$9)</f>
        <v>13.1372</v>
      </c>
      <c r="D887" s="9">
        <f>13.1382 * CHOOSE(CONTROL!$C$32, $C$9, 100%, $E$9)</f>
        <v>13.138199999999999</v>
      </c>
      <c r="E887" s="11">
        <f>9.608 * CHOOSE(CONTROL!$C$32, $C$9, 100%, $E$9)</f>
        <v>9.6080000000000005</v>
      </c>
      <c r="F887" s="11">
        <f>9.608 * CHOOSE(CONTROL!$C$32, $C$9, 100%, $E$9)</f>
        <v>9.6080000000000005</v>
      </c>
      <c r="G887" s="11">
        <f>9.6112 * CHOOSE(CONTROL!$C$32, $C$9, 100%, $E$9)</f>
        <v>9.6112000000000002</v>
      </c>
      <c r="H887" s="11">
        <f>31.0132 * CHOOSE(CONTROL!$C$32, $C$9, 100%, $E$9)</f>
        <v>31.013200000000001</v>
      </c>
      <c r="I887" s="11">
        <f>31.0165 * CHOOSE(CONTROL!$C$32, $C$9, 100%, $E$9)</f>
        <v>31.016500000000001</v>
      </c>
      <c r="J887" s="11">
        <f>31.0132 * CHOOSE(CONTROL!$C$32, $C$9, 100%, $E$9)</f>
        <v>31.013200000000001</v>
      </c>
      <c r="K887" s="11">
        <f>31.0165 * CHOOSE(CONTROL!$C$32, $C$9, 100%, $E$9)</f>
        <v>31.016500000000001</v>
      </c>
      <c r="L887" s="11">
        <f>9.608 * CHOOSE(CONTROL!$C$32, $C$9, 100%, $E$9)</f>
        <v>9.6080000000000005</v>
      </c>
      <c r="M887" s="11">
        <f>9.6112 * CHOOSE(CONTROL!$C$32, $C$9, 100%, $E$9)</f>
        <v>9.6112000000000002</v>
      </c>
      <c r="N887" s="11">
        <f>9.608 * CHOOSE(CONTROL!$C$32, $C$9, 100%, $E$9)</f>
        <v>9.6080000000000005</v>
      </c>
      <c r="O887" s="11">
        <f>9.6112 * CHOOSE(CONTROL!$C$32, $C$9, 100%, $E$9)</f>
        <v>9.6112000000000002</v>
      </c>
    </row>
    <row r="888" spans="1:15" ht="15" x14ac:dyDescent="0.2">
      <c r="A888" s="13">
        <v>67877</v>
      </c>
      <c r="B888" s="9">
        <f>13.1403 * CHOOSE(CONTROL!$C$32, $C$9, 100%, $E$9)</f>
        <v>13.1403</v>
      </c>
      <c r="C888" s="9">
        <f>13.1403 * CHOOSE(CONTROL!$C$32, $C$9, 100%, $E$9)</f>
        <v>13.1403</v>
      </c>
      <c r="D888" s="9">
        <f>13.1412 * CHOOSE(CONTROL!$C$32, $C$9, 100%, $E$9)</f>
        <v>13.1412</v>
      </c>
      <c r="E888" s="11">
        <f>9.6937 * CHOOSE(CONTROL!$C$32, $C$9, 100%, $E$9)</f>
        <v>9.6936999999999998</v>
      </c>
      <c r="F888" s="11">
        <f>9.6937 * CHOOSE(CONTROL!$C$32, $C$9, 100%, $E$9)</f>
        <v>9.6936999999999998</v>
      </c>
      <c r="G888" s="11">
        <f>9.6969 * CHOOSE(CONTROL!$C$32, $C$9, 100%, $E$9)</f>
        <v>9.6968999999999994</v>
      </c>
      <c r="H888" s="11">
        <f>31.0778 * CHOOSE(CONTROL!$C$32, $C$9, 100%, $E$9)</f>
        <v>31.0778</v>
      </c>
      <c r="I888" s="11">
        <f>31.0811 * CHOOSE(CONTROL!$C$32, $C$9, 100%, $E$9)</f>
        <v>31.081099999999999</v>
      </c>
      <c r="J888" s="11">
        <f>31.0778 * CHOOSE(CONTROL!$C$32, $C$9, 100%, $E$9)</f>
        <v>31.0778</v>
      </c>
      <c r="K888" s="11">
        <f>31.0811 * CHOOSE(CONTROL!$C$32, $C$9, 100%, $E$9)</f>
        <v>31.081099999999999</v>
      </c>
      <c r="L888" s="11">
        <f>9.6937 * CHOOSE(CONTROL!$C$32, $C$9, 100%, $E$9)</f>
        <v>9.6936999999999998</v>
      </c>
      <c r="M888" s="11">
        <f>9.6969 * CHOOSE(CONTROL!$C$32, $C$9, 100%, $E$9)</f>
        <v>9.6968999999999994</v>
      </c>
      <c r="N888" s="11">
        <f>9.6937 * CHOOSE(CONTROL!$C$32, $C$9, 100%, $E$9)</f>
        <v>9.6936999999999998</v>
      </c>
      <c r="O888" s="11">
        <f>9.6969 * CHOOSE(CONTROL!$C$32, $C$9, 100%, $E$9)</f>
        <v>9.6968999999999994</v>
      </c>
    </row>
    <row r="889" spans="1:15" ht="15" x14ac:dyDescent="0.2">
      <c r="A889" s="13">
        <v>67907</v>
      </c>
      <c r="B889" s="9">
        <f>13.1403 * CHOOSE(CONTROL!$C$32, $C$9, 100%, $E$9)</f>
        <v>13.1403</v>
      </c>
      <c r="C889" s="9">
        <f>13.1403 * CHOOSE(CONTROL!$C$32, $C$9, 100%, $E$9)</f>
        <v>13.1403</v>
      </c>
      <c r="D889" s="9">
        <f>13.1412 * CHOOSE(CONTROL!$C$32, $C$9, 100%, $E$9)</f>
        <v>13.1412</v>
      </c>
      <c r="E889" s="11">
        <f>9.4846 * CHOOSE(CONTROL!$C$32, $C$9, 100%, $E$9)</f>
        <v>9.4846000000000004</v>
      </c>
      <c r="F889" s="11">
        <f>9.4846 * CHOOSE(CONTROL!$C$32, $C$9, 100%, $E$9)</f>
        <v>9.4846000000000004</v>
      </c>
      <c r="G889" s="11">
        <f>9.4878 * CHOOSE(CONTROL!$C$32, $C$9, 100%, $E$9)</f>
        <v>9.4878</v>
      </c>
      <c r="H889" s="11">
        <f>31.1426 * CHOOSE(CONTROL!$C$32, $C$9, 100%, $E$9)</f>
        <v>31.142600000000002</v>
      </c>
      <c r="I889" s="11">
        <f>31.1458 * CHOOSE(CONTROL!$C$32, $C$9, 100%, $E$9)</f>
        <v>31.145800000000001</v>
      </c>
      <c r="J889" s="11">
        <f>31.1426 * CHOOSE(CONTROL!$C$32, $C$9, 100%, $E$9)</f>
        <v>31.142600000000002</v>
      </c>
      <c r="K889" s="11">
        <f>31.1458 * CHOOSE(CONTROL!$C$32, $C$9, 100%, $E$9)</f>
        <v>31.145800000000001</v>
      </c>
      <c r="L889" s="11">
        <f>9.4846 * CHOOSE(CONTROL!$C$32, $C$9, 100%, $E$9)</f>
        <v>9.4846000000000004</v>
      </c>
      <c r="M889" s="11">
        <f>9.4878 * CHOOSE(CONTROL!$C$32, $C$9, 100%, $E$9)</f>
        <v>9.4878</v>
      </c>
      <c r="N889" s="11">
        <f>9.4846 * CHOOSE(CONTROL!$C$32, $C$9, 100%, $E$9)</f>
        <v>9.4846000000000004</v>
      </c>
      <c r="O889" s="11">
        <f>9.4878 * CHOOSE(CONTROL!$C$32, $C$9, 100%, $E$9)</f>
        <v>9.4878</v>
      </c>
    </row>
    <row r="890" spans="1:15" ht="15" x14ac:dyDescent="0.2">
      <c r="A890" s="13">
        <v>67938</v>
      </c>
      <c r="B890" s="9">
        <f>13.1288 * CHOOSE(CONTROL!$C$32, $C$9, 100%, $E$9)</f>
        <v>13.1288</v>
      </c>
      <c r="C890" s="9">
        <f>13.1288 * CHOOSE(CONTROL!$C$32, $C$9, 100%, $E$9)</f>
        <v>13.1288</v>
      </c>
      <c r="D890" s="9">
        <f>13.1298 * CHOOSE(CONTROL!$C$32, $C$9, 100%, $E$9)</f>
        <v>13.129799999999999</v>
      </c>
      <c r="E890" s="11">
        <f>9.6373 * CHOOSE(CONTROL!$C$32, $C$9, 100%, $E$9)</f>
        <v>9.6372999999999998</v>
      </c>
      <c r="F890" s="11">
        <f>9.6373 * CHOOSE(CONTROL!$C$32, $C$9, 100%, $E$9)</f>
        <v>9.6372999999999998</v>
      </c>
      <c r="G890" s="11">
        <f>9.6405 * CHOOSE(CONTROL!$C$32, $C$9, 100%, $E$9)</f>
        <v>9.6404999999999994</v>
      </c>
      <c r="H890" s="11">
        <f>30.9093 * CHOOSE(CONTROL!$C$32, $C$9, 100%, $E$9)</f>
        <v>30.909300000000002</v>
      </c>
      <c r="I890" s="11">
        <f>30.9126 * CHOOSE(CONTROL!$C$32, $C$9, 100%, $E$9)</f>
        <v>30.912600000000001</v>
      </c>
      <c r="J890" s="11">
        <f>30.9093 * CHOOSE(CONTROL!$C$32, $C$9, 100%, $E$9)</f>
        <v>30.909300000000002</v>
      </c>
      <c r="K890" s="11">
        <f>30.9126 * CHOOSE(CONTROL!$C$32, $C$9, 100%, $E$9)</f>
        <v>30.912600000000001</v>
      </c>
      <c r="L890" s="11">
        <f>9.6373 * CHOOSE(CONTROL!$C$32, $C$9, 100%, $E$9)</f>
        <v>9.6372999999999998</v>
      </c>
      <c r="M890" s="11">
        <f>9.6405 * CHOOSE(CONTROL!$C$32, $C$9, 100%, $E$9)</f>
        <v>9.6404999999999994</v>
      </c>
      <c r="N890" s="11">
        <f>9.6373 * CHOOSE(CONTROL!$C$32, $C$9, 100%, $E$9)</f>
        <v>9.6372999999999998</v>
      </c>
      <c r="O890" s="11">
        <f>9.6405 * CHOOSE(CONTROL!$C$32, $C$9, 100%, $E$9)</f>
        <v>9.6404999999999994</v>
      </c>
    </row>
    <row r="891" spans="1:15" ht="15" x14ac:dyDescent="0.2">
      <c r="A891" s="13">
        <v>67969</v>
      </c>
      <c r="B891" s="9">
        <f>13.1258 * CHOOSE(CONTROL!$C$32, $C$9, 100%, $E$9)</f>
        <v>13.1258</v>
      </c>
      <c r="C891" s="9">
        <f>13.1258 * CHOOSE(CONTROL!$C$32, $C$9, 100%, $E$9)</f>
        <v>13.1258</v>
      </c>
      <c r="D891" s="9">
        <f>13.1267 * CHOOSE(CONTROL!$C$32, $C$9, 100%, $E$9)</f>
        <v>13.1267</v>
      </c>
      <c r="E891" s="11">
        <f>9.2329 * CHOOSE(CONTROL!$C$32, $C$9, 100%, $E$9)</f>
        <v>9.2329000000000008</v>
      </c>
      <c r="F891" s="11">
        <f>9.2329 * CHOOSE(CONTROL!$C$32, $C$9, 100%, $E$9)</f>
        <v>9.2329000000000008</v>
      </c>
      <c r="G891" s="11">
        <f>9.2361 * CHOOSE(CONTROL!$C$32, $C$9, 100%, $E$9)</f>
        <v>9.2361000000000004</v>
      </c>
      <c r="H891" s="11">
        <f>30.9737 * CHOOSE(CONTROL!$C$32, $C$9, 100%, $E$9)</f>
        <v>30.973700000000001</v>
      </c>
      <c r="I891" s="11">
        <f>30.977 * CHOOSE(CONTROL!$C$32, $C$9, 100%, $E$9)</f>
        <v>30.977</v>
      </c>
      <c r="J891" s="11">
        <f>30.9737 * CHOOSE(CONTROL!$C$32, $C$9, 100%, $E$9)</f>
        <v>30.973700000000001</v>
      </c>
      <c r="K891" s="11">
        <f>30.977 * CHOOSE(CONTROL!$C$32, $C$9, 100%, $E$9)</f>
        <v>30.977</v>
      </c>
      <c r="L891" s="11">
        <f>9.2329 * CHOOSE(CONTROL!$C$32, $C$9, 100%, $E$9)</f>
        <v>9.2329000000000008</v>
      </c>
      <c r="M891" s="11">
        <f>9.2361 * CHOOSE(CONTROL!$C$32, $C$9, 100%, $E$9)</f>
        <v>9.2361000000000004</v>
      </c>
      <c r="N891" s="11">
        <f>9.2329 * CHOOSE(CONTROL!$C$32, $C$9, 100%, $E$9)</f>
        <v>9.2329000000000008</v>
      </c>
      <c r="O891" s="11">
        <f>9.2361 * CHOOSE(CONTROL!$C$32, $C$9, 100%, $E$9)</f>
        <v>9.2361000000000004</v>
      </c>
    </row>
    <row r="892" spans="1:15" ht="15" x14ac:dyDescent="0.2">
      <c r="A892" s="13">
        <v>67997</v>
      </c>
      <c r="B892" s="9">
        <f>13.1227 * CHOOSE(CONTROL!$C$32, $C$9, 100%, $E$9)</f>
        <v>13.1227</v>
      </c>
      <c r="C892" s="9">
        <f>13.1227 * CHOOSE(CONTROL!$C$32, $C$9, 100%, $E$9)</f>
        <v>13.1227</v>
      </c>
      <c r="D892" s="9">
        <f>13.1237 * CHOOSE(CONTROL!$C$32, $C$9, 100%, $E$9)</f>
        <v>13.123699999999999</v>
      </c>
      <c r="E892" s="11">
        <f>9.5479 * CHOOSE(CONTROL!$C$32, $C$9, 100%, $E$9)</f>
        <v>9.5479000000000003</v>
      </c>
      <c r="F892" s="11">
        <f>9.5479 * CHOOSE(CONTROL!$C$32, $C$9, 100%, $E$9)</f>
        <v>9.5479000000000003</v>
      </c>
      <c r="G892" s="11">
        <f>9.5511 * CHOOSE(CONTROL!$C$32, $C$9, 100%, $E$9)</f>
        <v>9.5510999999999999</v>
      </c>
      <c r="H892" s="11">
        <f>31.0383 * CHOOSE(CONTROL!$C$32, $C$9, 100%, $E$9)</f>
        <v>31.0383</v>
      </c>
      <c r="I892" s="11">
        <f>31.0415 * CHOOSE(CONTROL!$C$32, $C$9, 100%, $E$9)</f>
        <v>31.041499999999999</v>
      </c>
      <c r="J892" s="11">
        <f>31.0383 * CHOOSE(CONTROL!$C$32, $C$9, 100%, $E$9)</f>
        <v>31.0383</v>
      </c>
      <c r="K892" s="11">
        <f>31.0415 * CHOOSE(CONTROL!$C$32, $C$9, 100%, $E$9)</f>
        <v>31.041499999999999</v>
      </c>
      <c r="L892" s="11">
        <f>9.5479 * CHOOSE(CONTROL!$C$32, $C$9, 100%, $E$9)</f>
        <v>9.5479000000000003</v>
      </c>
      <c r="M892" s="11">
        <f>9.5511 * CHOOSE(CONTROL!$C$32, $C$9, 100%, $E$9)</f>
        <v>9.5510999999999999</v>
      </c>
      <c r="N892" s="11">
        <f>9.5479 * CHOOSE(CONTROL!$C$32, $C$9, 100%, $E$9)</f>
        <v>9.5479000000000003</v>
      </c>
      <c r="O892" s="11">
        <f>9.5511 * CHOOSE(CONTROL!$C$32, $C$9, 100%, $E$9)</f>
        <v>9.5510999999999999</v>
      </c>
    </row>
    <row r="893" spans="1:15" ht="15" x14ac:dyDescent="0.2">
      <c r="A893" s="13">
        <v>68028</v>
      </c>
      <c r="B893" s="9">
        <f>13.1292 * CHOOSE(CONTROL!$C$32, $C$9, 100%, $E$9)</f>
        <v>13.129200000000001</v>
      </c>
      <c r="C893" s="9">
        <f>13.1292 * CHOOSE(CONTROL!$C$32, $C$9, 100%, $E$9)</f>
        <v>13.129200000000001</v>
      </c>
      <c r="D893" s="9">
        <f>13.1302 * CHOOSE(CONTROL!$C$32, $C$9, 100%, $E$9)</f>
        <v>13.1302</v>
      </c>
      <c r="E893" s="11">
        <f>9.8843 * CHOOSE(CONTROL!$C$32, $C$9, 100%, $E$9)</f>
        <v>9.8842999999999996</v>
      </c>
      <c r="F893" s="11">
        <f>9.8843 * CHOOSE(CONTROL!$C$32, $C$9, 100%, $E$9)</f>
        <v>9.8842999999999996</v>
      </c>
      <c r="G893" s="11">
        <f>9.8875 * CHOOSE(CONTROL!$C$32, $C$9, 100%, $E$9)</f>
        <v>9.8874999999999993</v>
      </c>
      <c r="H893" s="11">
        <f>31.1029 * CHOOSE(CONTROL!$C$32, $C$9, 100%, $E$9)</f>
        <v>31.102900000000002</v>
      </c>
      <c r="I893" s="11">
        <f>31.1061 * CHOOSE(CONTROL!$C$32, $C$9, 100%, $E$9)</f>
        <v>31.106100000000001</v>
      </c>
      <c r="J893" s="11">
        <f>31.1029 * CHOOSE(CONTROL!$C$32, $C$9, 100%, $E$9)</f>
        <v>31.102900000000002</v>
      </c>
      <c r="K893" s="11">
        <f>31.1061 * CHOOSE(CONTROL!$C$32, $C$9, 100%, $E$9)</f>
        <v>31.106100000000001</v>
      </c>
      <c r="L893" s="11">
        <f>9.8843 * CHOOSE(CONTROL!$C$32, $C$9, 100%, $E$9)</f>
        <v>9.8842999999999996</v>
      </c>
      <c r="M893" s="11">
        <f>9.8875 * CHOOSE(CONTROL!$C$32, $C$9, 100%, $E$9)</f>
        <v>9.8874999999999993</v>
      </c>
      <c r="N893" s="11">
        <f>9.8843 * CHOOSE(CONTROL!$C$32, $C$9, 100%, $E$9)</f>
        <v>9.8842999999999996</v>
      </c>
      <c r="O893" s="11">
        <f>9.8875 * CHOOSE(CONTROL!$C$32, $C$9, 100%, $E$9)</f>
        <v>9.8874999999999993</v>
      </c>
    </row>
    <row r="894" spans="1:15" ht="15" x14ac:dyDescent="0.2">
      <c r="A894" s="13">
        <v>68058</v>
      </c>
      <c r="B894" s="9">
        <f>13.1292 * CHOOSE(CONTROL!$C$32, $C$9, 100%, $E$9)</f>
        <v>13.129200000000001</v>
      </c>
      <c r="C894" s="9">
        <f>13.1292 * CHOOSE(CONTROL!$C$32, $C$9, 100%, $E$9)</f>
        <v>13.129200000000001</v>
      </c>
      <c r="D894" s="9">
        <f>13.1305 * CHOOSE(CONTROL!$C$32, $C$9, 100%, $E$9)</f>
        <v>13.1305</v>
      </c>
      <c r="E894" s="11">
        <f>10.012 * CHOOSE(CONTROL!$C$32, $C$9, 100%, $E$9)</f>
        <v>10.012</v>
      </c>
      <c r="F894" s="11">
        <f>10.012 * CHOOSE(CONTROL!$C$32, $C$9, 100%, $E$9)</f>
        <v>10.012</v>
      </c>
      <c r="G894" s="11">
        <f>10.0162 * CHOOSE(CONTROL!$C$32, $C$9, 100%, $E$9)</f>
        <v>10.0162</v>
      </c>
      <c r="H894" s="11">
        <f>31.1677 * CHOOSE(CONTROL!$C$32, $C$9, 100%, $E$9)</f>
        <v>31.1677</v>
      </c>
      <c r="I894" s="11">
        <f>31.1719 * CHOOSE(CONTROL!$C$32, $C$9, 100%, $E$9)</f>
        <v>31.171900000000001</v>
      </c>
      <c r="J894" s="11">
        <f>31.1677 * CHOOSE(CONTROL!$C$32, $C$9, 100%, $E$9)</f>
        <v>31.1677</v>
      </c>
      <c r="K894" s="11">
        <f>31.1719 * CHOOSE(CONTROL!$C$32, $C$9, 100%, $E$9)</f>
        <v>31.171900000000001</v>
      </c>
      <c r="L894" s="11">
        <f>10.012 * CHOOSE(CONTROL!$C$32, $C$9, 100%, $E$9)</f>
        <v>10.012</v>
      </c>
      <c r="M894" s="11">
        <f>10.0162 * CHOOSE(CONTROL!$C$32, $C$9, 100%, $E$9)</f>
        <v>10.0162</v>
      </c>
      <c r="N894" s="11">
        <f>10.012 * CHOOSE(CONTROL!$C$32, $C$9, 100%, $E$9)</f>
        <v>10.012</v>
      </c>
      <c r="O894" s="11">
        <f>10.0162 * CHOOSE(CONTROL!$C$32, $C$9, 100%, $E$9)</f>
        <v>10.0162</v>
      </c>
    </row>
    <row r="895" spans="1:15" ht="15" x14ac:dyDescent="0.2">
      <c r="A895" s="13">
        <v>68089</v>
      </c>
      <c r="B895" s="9">
        <f>13.1353 * CHOOSE(CONTROL!$C$32, $C$9, 100%, $E$9)</f>
        <v>13.135300000000001</v>
      </c>
      <c r="C895" s="9">
        <f>13.1353 * CHOOSE(CONTROL!$C$32, $C$9, 100%, $E$9)</f>
        <v>13.135300000000001</v>
      </c>
      <c r="D895" s="9">
        <f>13.1366 * CHOOSE(CONTROL!$C$32, $C$9, 100%, $E$9)</f>
        <v>13.1366</v>
      </c>
      <c r="E895" s="11">
        <f>9.8885 * CHOOSE(CONTROL!$C$32, $C$9, 100%, $E$9)</f>
        <v>9.8885000000000005</v>
      </c>
      <c r="F895" s="11">
        <f>9.8885 * CHOOSE(CONTROL!$C$32, $C$9, 100%, $E$9)</f>
        <v>9.8885000000000005</v>
      </c>
      <c r="G895" s="11">
        <f>9.8927 * CHOOSE(CONTROL!$C$32, $C$9, 100%, $E$9)</f>
        <v>9.8926999999999996</v>
      </c>
      <c r="H895" s="11">
        <f>31.2326 * CHOOSE(CONTROL!$C$32, $C$9, 100%, $E$9)</f>
        <v>31.232600000000001</v>
      </c>
      <c r="I895" s="11">
        <f>31.2368 * CHOOSE(CONTROL!$C$32, $C$9, 100%, $E$9)</f>
        <v>31.236799999999999</v>
      </c>
      <c r="J895" s="11">
        <f>31.2326 * CHOOSE(CONTROL!$C$32, $C$9, 100%, $E$9)</f>
        <v>31.232600000000001</v>
      </c>
      <c r="K895" s="11">
        <f>31.2368 * CHOOSE(CONTROL!$C$32, $C$9, 100%, $E$9)</f>
        <v>31.236799999999999</v>
      </c>
      <c r="L895" s="11">
        <f>9.8885 * CHOOSE(CONTROL!$C$32, $C$9, 100%, $E$9)</f>
        <v>9.8885000000000005</v>
      </c>
      <c r="M895" s="11">
        <f>9.8927 * CHOOSE(CONTROL!$C$32, $C$9, 100%, $E$9)</f>
        <v>9.8926999999999996</v>
      </c>
      <c r="N895" s="11">
        <f>9.8885 * CHOOSE(CONTROL!$C$32, $C$9, 100%, $E$9)</f>
        <v>9.8885000000000005</v>
      </c>
      <c r="O895" s="11">
        <f>9.8927 * CHOOSE(CONTROL!$C$32, $C$9, 100%, $E$9)</f>
        <v>9.8926999999999996</v>
      </c>
    </row>
    <row r="896" spans="1:15" ht="15" x14ac:dyDescent="0.2">
      <c r="A896" s="13">
        <v>68119</v>
      </c>
      <c r="B896" s="9">
        <f>13.2941 * CHOOSE(CONTROL!$C$32, $C$9, 100%, $E$9)</f>
        <v>13.2941</v>
      </c>
      <c r="C896" s="9">
        <f>13.2941 * CHOOSE(CONTROL!$C$32, $C$9, 100%, $E$9)</f>
        <v>13.2941</v>
      </c>
      <c r="D896" s="9">
        <f>13.2953 * CHOOSE(CONTROL!$C$32, $C$9, 100%, $E$9)</f>
        <v>13.295299999999999</v>
      </c>
      <c r="E896" s="11">
        <f>9.9527 * CHOOSE(CONTROL!$C$32, $C$9, 100%, $E$9)</f>
        <v>9.9527000000000001</v>
      </c>
      <c r="F896" s="11">
        <f>9.9527 * CHOOSE(CONTROL!$C$32, $C$9, 100%, $E$9)</f>
        <v>9.9527000000000001</v>
      </c>
      <c r="G896" s="11">
        <f>9.9569 * CHOOSE(CONTROL!$C$32, $C$9, 100%, $E$9)</f>
        <v>9.9568999999999992</v>
      </c>
      <c r="H896" s="11">
        <f>31.2977 * CHOOSE(CONTROL!$C$32, $C$9, 100%, $E$9)</f>
        <v>31.297699999999999</v>
      </c>
      <c r="I896" s="11">
        <f>31.3019 * CHOOSE(CONTROL!$C$32, $C$9, 100%, $E$9)</f>
        <v>31.3019</v>
      </c>
      <c r="J896" s="11">
        <f>31.2977 * CHOOSE(CONTROL!$C$32, $C$9, 100%, $E$9)</f>
        <v>31.297699999999999</v>
      </c>
      <c r="K896" s="11">
        <f>31.3019 * CHOOSE(CONTROL!$C$32, $C$9, 100%, $E$9)</f>
        <v>31.3019</v>
      </c>
      <c r="L896" s="11">
        <f>9.9527 * CHOOSE(CONTROL!$C$32, $C$9, 100%, $E$9)</f>
        <v>9.9527000000000001</v>
      </c>
      <c r="M896" s="11">
        <f>9.9569 * CHOOSE(CONTROL!$C$32, $C$9, 100%, $E$9)</f>
        <v>9.9568999999999992</v>
      </c>
      <c r="N896" s="11">
        <f>9.9527 * CHOOSE(CONTROL!$C$32, $C$9, 100%, $E$9)</f>
        <v>9.9527000000000001</v>
      </c>
      <c r="O896" s="11">
        <f>9.9569 * CHOOSE(CONTROL!$C$32, $C$9, 100%, $E$9)</f>
        <v>9.9568999999999992</v>
      </c>
    </row>
    <row r="897" spans="1:15" ht="15" x14ac:dyDescent="0.2">
      <c r="A897" s="13">
        <v>68150</v>
      </c>
      <c r="B897" s="9">
        <f>13.3008 * CHOOSE(CONTROL!$C$32, $C$9, 100%, $E$9)</f>
        <v>13.300800000000001</v>
      </c>
      <c r="C897" s="9">
        <f>13.3008 * CHOOSE(CONTROL!$C$32, $C$9, 100%, $E$9)</f>
        <v>13.300800000000001</v>
      </c>
      <c r="D897" s="9">
        <f>13.302 * CHOOSE(CONTROL!$C$32, $C$9, 100%, $E$9)</f>
        <v>13.302</v>
      </c>
      <c r="E897" s="11">
        <f>9.5742 * CHOOSE(CONTROL!$C$32, $C$9, 100%, $E$9)</f>
        <v>9.5741999999999994</v>
      </c>
      <c r="F897" s="11">
        <f>9.5742 * CHOOSE(CONTROL!$C$32, $C$9, 100%, $E$9)</f>
        <v>9.5741999999999994</v>
      </c>
      <c r="G897" s="11">
        <f>9.5784 * CHOOSE(CONTROL!$C$32, $C$9, 100%, $E$9)</f>
        <v>9.5784000000000002</v>
      </c>
      <c r="H897" s="11">
        <f>31.3629 * CHOOSE(CONTROL!$C$32, $C$9, 100%, $E$9)</f>
        <v>31.3629</v>
      </c>
      <c r="I897" s="11">
        <f>31.3671 * CHOOSE(CONTROL!$C$32, $C$9, 100%, $E$9)</f>
        <v>31.367100000000001</v>
      </c>
      <c r="J897" s="11">
        <f>31.3629 * CHOOSE(CONTROL!$C$32, $C$9, 100%, $E$9)</f>
        <v>31.3629</v>
      </c>
      <c r="K897" s="11">
        <f>31.3671 * CHOOSE(CONTROL!$C$32, $C$9, 100%, $E$9)</f>
        <v>31.367100000000001</v>
      </c>
      <c r="L897" s="11">
        <f>9.5742 * CHOOSE(CONTROL!$C$32, $C$9, 100%, $E$9)</f>
        <v>9.5741999999999994</v>
      </c>
      <c r="M897" s="11">
        <f>9.5784 * CHOOSE(CONTROL!$C$32, $C$9, 100%, $E$9)</f>
        <v>9.5784000000000002</v>
      </c>
      <c r="N897" s="11">
        <f>9.5742 * CHOOSE(CONTROL!$C$32, $C$9, 100%, $E$9)</f>
        <v>9.5741999999999994</v>
      </c>
      <c r="O897" s="11">
        <f>9.5784 * CHOOSE(CONTROL!$C$32, $C$9, 100%, $E$9)</f>
        <v>9.5784000000000002</v>
      </c>
    </row>
    <row r="898" spans="1:15" ht="15" x14ac:dyDescent="0.2">
      <c r="A898" s="13">
        <v>68181</v>
      </c>
      <c r="B898" s="9">
        <f>13.2977 * CHOOSE(CONTROL!$C$32, $C$9, 100%, $E$9)</f>
        <v>13.297700000000001</v>
      </c>
      <c r="C898" s="9">
        <f>13.2977 * CHOOSE(CONTROL!$C$32, $C$9, 100%, $E$9)</f>
        <v>13.297700000000001</v>
      </c>
      <c r="D898" s="9">
        <f>13.299 * CHOOSE(CONTROL!$C$32, $C$9, 100%, $E$9)</f>
        <v>13.298999999999999</v>
      </c>
      <c r="E898" s="11">
        <f>9.5295 * CHOOSE(CONTROL!$C$32, $C$9, 100%, $E$9)</f>
        <v>9.5295000000000005</v>
      </c>
      <c r="F898" s="11">
        <f>9.5295 * CHOOSE(CONTROL!$C$32, $C$9, 100%, $E$9)</f>
        <v>9.5295000000000005</v>
      </c>
      <c r="G898" s="11">
        <f>9.5337 * CHOOSE(CONTROL!$C$32, $C$9, 100%, $E$9)</f>
        <v>9.5336999999999996</v>
      </c>
      <c r="H898" s="11">
        <f>31.4283 * CHOOSE(CONTROL!$C$32, $C$9, 100%, $E$9)</f>
        <v>31.4283</v>
      </c>
      <c r="I898" s="11">
        <f>31.4325 * CHOOSE(CONTROL!$C$32, $C$9, 100%, $E$9)</f>
        <v>31.432500000000001</v>
      </c>
      <c r="J898" s="11">
        <f>31.4283 * CHOOSE(CONTROL!$C$32, $C$9, 100%, $E$9)</f>
        <v>31.4283</v>
      </c>
      <c r="K898" s="11">
        <f>31.4325 * CHOOSE(CONTROL!$C$32, $C$9, 100%, $E$9)</f>
        <v>31.432500000000001</v>
      </c>
      <c r="L898" s="11">
        <f>9.5295 * CHOOSE(CONTROL!$C$32, $C$9, 100%, $E$9)</f>
        <v>9.5295000000000005</v>
      </c>
      <c r="M898" s="11">
        <f>9.5337 * CHOOSE(CONTROL!$C$32, $C$9, 100%, $E$9)</f>
        <v>9.5336999999999996</v>
      </c>
      <c r="N898" s="11">
        <f>9.5295 * CHOOSE(CONTROL!$C$32, $C$9, 100%, $E$9)</f>
        <v>9.5295000000000005</v>
      </c>
      <c r="O898" s="11">
        <f>9.5337 * CHOOSE(CONTROL!$C$32, $C$9, 100%, $E$9)</f>
        <v>9.5336999999999996</v>
      </c>
    </row>
    <row r="899" spans="1:15" ht="15" x14ac:dyDescent="0.2">
      <c r="A899" s="13">
        <v>68211</v>
      </c>
      <c r="B899" s="9">
        <f>13.3275 * CHOOSE(CONTROL!$C$32, $C$9, 100%, $E$9)</f>
        <v>13.327500000000001</v>
      </c>
      <c r="C899" s="9">
        <f>13.3275 * CHOOSE(CONTROL!$C$32, $C$9, 100%, $E$9)</f>
        <v>13.327500000000001</v>
      </c>
      <c r="D899" s="9">
        <f>13.3285 * CHOOSE(CONTROL!$C$32, $C$9, 100%, $E$9)</f>
        <v>13.3285</v>
      </c>
      <c r="E899" s="11">
        <f>9.6864 * CHOOSE(CONTROL!$C$32, $C$9, 100%, $E$9)</f>
        <v>9.6864000000000008</v>
      </c>
      <c r="F899" s="11">
        <f>9.6864 * CHOOSE(CONTROL!$C$32, $C$9, 100%, $E$9)</f>
        <v>9.6864000000000008</v>
      </c>
      <c r="G899" s="11">
        <f>9.6896 * CHOOSE(CONTROL!$C$32, $C$9, 100%, $E$9)</f>
        <v>9.6896000000000004</v>
      </c>
      <c r="H899" s="11">
        <f>31.4937 * CHOOSE(CONTROL!$C$32, $C$9, 100%, $E$9)</f>
        <v>31.4937</v>
      </c>
      <c r="I899" s="11">
        <f>31.497 * CHOOSE(CONTROL!$C$32, $C$9, 100%, $E$9)</f>
        <v>31.497</v>
      </c>
      <c r="J899" s="11">
        <f>31.4937 * CHOOSE(CONTROL!$C$32, $C$9, 100%, $E$9)</f>
        <v>31.4937</v>
      </c>
      <c r="K899" s="11">
        <f>31.497 * CHOOSE(CONTROL!$C$32, $C$9, 100%, $E$9)</f>
        <v>31.497</v>
      </c>
      <c r="L899" s="11">
        <f>9.6864 * CHOOSE(CONTROL!$C$32, $C$9, 100%, $E$9)</f>
        <v>9.6864000000000008</v>
      </c>
      <c r="M899" s="11">
        <f>9.6896 * CHOOSE(CONTROL!$C$32, $C$9, 100%, $E$9)</f>
        <v>9.6896000000000004</v>
      </c>
      <c r="N899" s="11">
        <f>9.6864 * CHOOSE(CONTROL!$C$32, $C$9, 100%, $E$9)</f>
        <v>9.6864000000000008</v>
      </c>
      <c r="O899" s="11">
        <f>9.6896 * CHOOSE(CONTROL!$C$32, $C$9, 100%, $E$9)</f>
        <v>9.6896000000000004</v>
      </c>
    </row>
    <row r="900" spans="1:15" ht="15" x14ac:dyDescent="0.2">
      <c r="A900" s="13">
        <v>68242</v>
      </c>
      <c r="B900" s="9">
        <f>13.3306 * CHOOSE(CONTROL!$C$32, $C$9, 100%, $E$9)</f>
        <v>13.3306</v>
      </c>
      <c r="C900" s="9">
        <f>13.3306 * CHOOSE(CONTROL!$C$32, $C$9, 100%, $E$9)</f>
        <v>13.3306</v>
      </c>
      <c r="D900" s="9">
        <f>13.3315 * CHOOSE(CONTROL!$C$32, $C$9, 100%, $E$9)</f>
        <v>13.3315</v>
      </c>
      <c r="E900" s="11">
        <f>9.7736 * CHOOSE(CONTROL!$C$32, $C$9, 100%, $E$9)</f>
        <v>9.7736000000000001</v>
      </c>
      <c r="F900" s="11">
        <f>9.7736 * CHOOSE(CONTROL!$C$32, $C$9, 100%, $E$9)</f>
        <v>9.7736000000000001</v>
      </c>
      <c r="G900" s="11">
        <f>9.7769 * CHOOSE(CONTROL!$C$32, $C$9, 100%, $E$9)</f>
        <v>9.7768999999999995</v>
      </c>
      <c r="H900" s="11">
        <f>31.5593 * CHOOSE(CONTROL!$C$32, $C$9, 100%, $E$9)</f>
        <v>31.5593</v>
      </c>
      <c r="I900" s="11">
        <f>31.5626 * CHOOSE(CONTROL!$C$32, $C$9, 100%, $E$9)</f>
        <v>31.5626</v>
      </c>
      <c r="J900" s="11">
        <f>31.5593 * CHOOSE(CONTROL!$C$32, $C$9, 100%, $E$9)</f>
        <v>31.5593</v>
      </c>
      <c r="K900" s="11">
        <f>31.5626 * CHOOSE(CONTROL!$C$32, $C$9, 100%, $E$9)</f>
        <v>31.5626</v>
      </c>
      <c r="L900" s="11">
        <f>9.7736 * CHOOSE(CONTROL!$C$32, $C$9, 100%, $E$9)</f>
        <v>9.7736000000000001</v>
      </c>
      <c r="M900" s="11">
        <f>9.7769 * CHOOSE(CONTROL!$C$32, $C$9, 100%, $E$9)</f>
        <v>9.7768999999999995</v>
      </c>
      <c r="N900" s="11">
        <f>9.7736 * CHOOSE(CONTROL!$C$32, $C$9, 100%, $E$9)</f>
        <v>9.7736000000000001</v>
      </c>
      <c r="O900" s="11">
        <f>9.7769 * CHOOSE(CONTROL!$C$32, $C$9, 100%, $E$9)</f>
        <v>9.7768999999999995</v>
      </c>
    </row>
    <row r="901" spans="1:15" ht="15" x14ac:dyDescent="0.2">
      <c r="A901" s="13">
        <v>68272</v>
      </c>
      <c r="B901" s="9">
        <f>13.3306 * CHOOSE(CONTROL!$C$32, $C$9, 100%, $E$9)</f>
        <v>13.3306</v>
      </c>
      <c r="C901" s="9">
        <f>13.3306 * CHOOSE(CONTROL!$C$32, $C$9, 100%, $E$9)</f>
        <v>13.3306</v>
      </c>
      <c r="D901" s="9">
        <f>13.3315 * CHOOSE(CONTROL!$C$32, $C$9, 100%, $E$9)</f>
        <v>13.3315</v>
      </c>
      <c r="E901" s="11">
        <f>9.5608 * CHOOSE(CONTROL!$C$32, $C$9, 100%, $E$9)</f>
        <v>9.5608000000000004</v>
      </c>
      <c r="F901" s="11">
        <f>9.5608 * CHOOSE(CONTROL!$C$32, $C$9, 100%, $E$9)</f>
        <v>9.5608000000000004</v>
      </c>
      <c r="G901" s="11">
        <f>9.564 * CHOOSE(CONTROL!$C$32, $C$9, 100%, $E$9)</f>
        <v>9.5640000000000001</v>
      </c>
      <c r="H901" s="11">
        <f>31.6251 * CHOOSE(CONTROL!$C$32, $C$9, 100%, $E$9)</f>
        <v>31.6251</v>
      </c>
      <c r="I901" s="11">
        <f>31.6283 * CHOOSE(CONTROL!$C$32, $C$9, 100%, $E$9)</f>
        <v>31.628299999999999</v>
      </c>
      <c r="J901" s="11">
        <f>31.6251 * CHOOSE(CONTROL!$C$32, $C$9, 100%, $E$9)</f>
        <v>31.6251</v>
      </c>
      <c r="K901" s="11">
        <f>31.6283 * CHOOSE(CONTROL!$C$32, $C$9, 100%, $E$9)</f>
        <v>31.628299999999999</v>
      </c>
      <c r="L901" s="11">
        <f>9.5608 * CHOOSE(CONTROL!$C$32, $C$9, 100%, $E$9)</f>
        <v>9.5608000000000004</v>
      </c>
      <c r="M901" s="11">
        <f>9.564 * CHOOSE(CONTROL!$C$32, $C$9, 100%, $E$9)</f>
        <v>9.5640000000000001</v>
      </c>
      <c r="N901" s="11">
        <f>9.5608 * CHOOSE(CONTROL!$C$32, $C$9, 100%, $E$9)</f>
        <v>9.5608000000000004</v>
      </c>
      <c r="O901" s="11">
        <f>9.564 * CHOOSE(CONTROL!$C$32, $C$9, 100%, $E$9)</f>
        <v>9.5640000000000001</v>
      </c>
    </row>
    <row r="902" spans="1:15" ht="15" x14ac:dyDescent="0.2">
      <c r="A902" s="13">
        <v>68303</v>
      </c>
      <c r="B902" s="9">
        <f>13.3162 * CHOOSE(CONTROL!$C$32, $C$9, 100%, $E$9)</f>
        <v>13.3162</v>
      </c>
      <c r="C902" s="9">
        <f>13.3162 * CHOOSE(CONTROL!$C$32, $C$9, 100%, $E$9)</f>
        <v>13.3162</v>
      </c>
      <c r="D902" s="9">
        <f>13.3171 * CHOOSE(CONTROL!$C$32, $C$9, 100%, $E$9)</f>
        <v>13.3171</v>
      </c>
      <c r="E902" s="11">
        <f>9.7146 * CHOOSE(CONTROL!$C$32, $C$9, 100%, $E$9)</f>
        <v>9.7146000000000008</v>
      </c>
      <c r="F902" s="11">
        <f>9.7146 * CHOOSE(CONTROL!$C$32, $C$9, 100%, $E$9)</f>
        <v>9.7146000000000008</v>
      </c>
      <c r="G902" s="11">
        <f>9.7178 * CHOOSE(CONTROL!$C$32, $C$9, 100%, $E$9)</f>
        <v>9.7178000000000004</v>
      </c>
      <c r="H902" s="11">
        <f>31.3809 * CHOOSE(CONTROL!$C$32, $C$9, 100%, $E$9)</f>
        <v>31.3809</v>
      </c>
      <c r="I902" s="11">
        <f>31.3841 * CHOOSE(CONTROL!$C$32, $C$9, 100%, $E$9)</f>
        <v>31.3841</v>
      </c>
      <c r="J902" s="11">
        <f>31.3809 * CHOOSE(CONTROL!$C$32, $C$9, 100%, $E$9)</f>
        <v>31.3809</v>
      </c>
      <c r="K902" s="11">
        <f>31.3841 * CHOOSE(CONTROL!$C$32, $C$9, 100%, $E$9)</f>
        <v>31.3841</v>
      </c>
      <c r="L902" s="11">
        <f>9.7146 * CHOOSE(CONTROL!$C$32, $C$9, 100%, $E$9)</f>
        <v>9.7146000000000008</v>
      </c>
      <c r="M902" s="11">
        <f>9.7178 * CHOOSE(CONTROL!$C$32, $C$9, 100%, $E$9)</f>
        <v>9.7178000000000004</v>
      </c>
      <c r="N902" s="11">
        <f>9.7146 * CHOOSE(CONTROL!$C$32, $C$9, 100%, $E$9)</f>
        <v>9.7146000000000008</v>
      </c>
      <c r="O902" s="11">
        <f>9.7178 * CHOOSE(CONTROL!$C$32, $C$9, 100%, $E$9)</f>
        <v>9.7178000000000004</v>
      </c>
    </row>
    <row r="903" spans="1:15" ht="15" x14ac:dyDescent="0.2">
      <c r="A903" s="13">
        <v>68334</v>
      </c>
      <c r="B903" s="9">
        <f>13.3131 * CHOOSE(CONTROL!$C$32, $C$9, 100%, $E$9)</f>
        <v>13.3131</v>
      </c>
      <c r="C903" s="9">
        <f>13.3131 * CHOOSE(CONTROL!$C$32, $C$9, 100%, $E$9)</f>
        <v>13.3131</v>
      </c>
      <c r="D903" s="9">
        <f>13.3141 * CHOOSE(CONTROL!$C$32, $C$9, 100%, $E$9)</f>
        <v>13.3141</v>
      </c>
      <c r="E903" s="11">
        <f>9.3031 * CHOOSE(CONTROL!$C$32, $C$9, 100%, $E$9)</f>
        <v>9.3031000000000006</v>
      </c>
      <c r="F903" s="11">
        <f>9.3031 * CHOOSE(CONTROL!$C$32, $C$9, 100%, $E$9)</f>
        <v>9.3031000000000006</v>
      </c>
      <c r="G903" s="11">
        <f>9.3063 * CHOOSE(CONTROL!$C$32, $C$9, 100%, $E$9)</f>
        <v>9.3063000000000002</v>
      </c>
      <c r="H903" s="11">
        <f>31.4463 * CHOOSE(CONTROL!$C$32, $C$9, 100%, $E$9)</f>
        <v>31.446300000000001</v>
      </c>
      <c r="I903" s="11">
        <f>31.4495 * CHOOSE(CONTROL!$C$32, $C$9, 100%, $E$9)</f>
        <v>31.4495</v>
      </c>
      <c r="J903" s="11">
        <f>31.4463 * CHOOSE(CONTROL!$C$32, $C$9, 100%, $E$9)</f>
        <v>31.446300000000001</v>
      </c>
      <c r="K903" s="11">
        <f>31.4495 * CHOOSE(CONTROL!$C$32, $C$9, 100%, $E$9)</f>
        <v>31.4495</v>
      </c>
      <c r="L903" s="11">
        <f>9.3031 * CHOOSE(CONTROL!$C$32, $C$9, 100%, $E$9)</f>
        <v>9.3031000000000006</v>
      </c>
      <c r="M903" s="11">
        <f>9.3063 * CHOOSE(CONTROL!$C$32, $C$9, 100%, $E$9)</f>
        <v>9.3063000000000002</v>
      </c>
      <c r="N903" s="11">
        <f>9.3031 * CHOOSE(CONTROL!$C$32, $C$9, 100%, $E$9)</f>
        <v>9.3031000000000006</v>
      </c>
      <c r="O903" s="11">
        <f>9.3063 * CHOOSE(CONTROL!$C$32, $C$9, 100%, $E$9)</f>
        <v>9.3063000000000002</v>
      </c>
    </row>
    <row r="904" spans="1:15" ht="15" x14ac:dyDescent="0.2">
      <c r="A904" s="13">
        <v>68362</v>
      </c>
      <c r="B904" s="9">
        <f>13.3101 * CHOOSE(CONTROL!$C$32, $C$9, 100%, $E$9)</f>
        <v>13.3101</v>
      </c>
      <c r="C904" s="9">
        <f>13.3101 * CHOOSE(CONTROL!$C$32, $C$9, 100%, $E$9)</f>
        <v>13.3101</v>
      </c>
      <c r="D904" s="9">
        <f>13.311 * CHOOSE(CONTROL!$C$32, $C$9, 100%, $E$9)</f>
        <v>13.311</v>
      </c>
      <c r="E904" s="11">
        <f>9.6237 * CHOOSE(CONTROL!$C$32, $C$9, 100%, $E$9)</f>
        <v>9.6236999999999995</v>
      </c>
      <c r="F904" s="11">
        <f>9.6237 * CHOOSE(CONTROL!$C$32, $C$9, 100%, $E$9)</f>
        <v>9.6236999999999995</v>
      </c>
      <c r="G904" s="11">
        <f>9.6269 * CHOOSE(CONTROL!$C$32, $C$9, 100%, $E$9)</f>
        <v>9.6268999999999991</v>
      </c>
      <c r="H904" s="11">
        <f>31.5118 * CHOOSE(CONTROL!$C$32, $C$9, 100%, $E$9)</f>
        <v>31.511800000000001</v>
      </c>
      <c r="I904" s="11">
        <f>31.515 * CHOOSE(CONTROL!$C$32, $C$9, 100%, $E$9)</f>
        <v>31.515000000000001</v>
      </c>
      <c r="J904" s="11">
        <f>31.5118 * CHOOSE(CONTROL!$C$32, $C$9, 100%, $E$9)</f>
        <v>31.511800000000001</v>
      </c>
      <c r="K904" s="11">
        <f>31.515 * CHOOSE(CONTROL!$C$32, $C$9, 100%, $E$9)</f>
        <v>31.515000000000001</v>
      </c>
      <c r="L904" s="11">
        <f>9.6237 * CHOOSE(CONTROL!$C$32, $C$9, 100%, $E$9)</f>
        <v>9.6236999999999995</v>
      </c>
      <c r="M904" s="11">
        <f>9.6269 * CHOOSE(CONTROL!$C$32, $C$9, 100%, $E$9)</f>
        <v>9.6268999999999991</v>
      </c>
      <c r="N904" s="11">
        <f>9.6237 * CHOOSE(CONTROL!$C$32, $C$9, 100%, $E$9)</f>
        <v>9.6236999999999995</v>
      </c>
      <c r="O904" s="11">
        <f>9.6269 * CHOOSE(CONTROL!$C$32, $C$9, 100%, $E$9)</f>
        <v>9.6268999999999991</v>
      </c>
    </row>
    <row r="905" spans="1:15" ht="15" x14ac:dyDescent="0.2">
      <c r="A905" s="13">
        <v>68393</v>
      </c>
      <c r="B905" s="9">
        <f>13.3168 * CHOOSE(CONTROL!$C$32, $C$9, 100%, $E$9)</f>
        <v>13.316800000000001</v>
      </c>
      <c r="C905" s="9">
        <f>13.3168 * CHOOSE(CONTROL!$C$32, $C$9, 100%, $E$9)</f>
        <v>13.316800000000001</v>
      </c>
      <c r="D905" s="9">
        <f>13.3177 * CHOOSE(CONTROL!$C$32, $C$9, 100%, $E$9)</f>
        <v>13.3177</v>
      </c>
      <c r="E905" s="11">
        <f>9.966 * CHOOSE(CONTROL!$C$32, $C$9, 100%, $E$9)</f>
        <v>9.9659999999999993</v>
      </c>
      <c r="F905" s="11">
        <f>9.966 * CHOOSE(CONTROL!$C$32, $C$9, 100%, $E$9)</f>
        <v>9.9659999999999993</v>
      </c>
      <c r="G905" s="11">
        <f>9.9693 * CHOOSE(CONTROL!$C$32, $C$9, 100%, $E$9)</f>
        <v>9.9693000000000005</v>
      </c>
      <c r="H905" s="11">
        <f>31.5775 * CHOOSE(CONTROL!$C$32, $C$9, 100%, $E$9)</f>
        <v>31.577500000000001</v>
      </c>
      <c r="I905" s="11">
        <f>31.5807 * CHOOSE(CONTROL!$C$32, $C$9, 100%, $E$9)</f>
        <v>31.5807</v>
      </c>
      <c r="J905" s="11">
        <f>31.5775 * CHOOSE(CONTROL!$C$32, $C$9, 100%, $E$9)</f>
        <v>31.577500000000001</v>
      </c>
      <c r="K905" s="11">
        <f>31.5807 * CHOOSE(CONTROL!$C$32, $C$9, 100%, $E$9)</f>
        <v>31.5807</v>
      </c>
      <c r="L905" s="11">
        <f>9.966 * CHOOSE(CONTROL!$C$32, $C$9, 100%, $E$9)</f>
        <v>9.9659999999999993</v>
      </c>
      <c r="M905" s="11">
        <f>9.9693 * CHOOSE(CONTROL!$C$32, $C$9, 100%, $E$9)</f>
        <v>9.9693000000000005</v>
      </c>
      <c r="N905" s="11">
        <f>9.966 * CHOOSE(CONTROL!$C$32, $C$9, 100%, $E$9)</f>
        <v>9.9659999999999993</v>
      </c>
      <c r="O905" s="11">
        <f>9.9693 * CHOOSE(CONTROL!$C$32, $C$9, 100%, $E$9)</f>
        <v>9.9693000000000005</v>
      </c>
    </row>
    <row r="906" spans="1:15" ht="15" x14ac:dyDescent="0.2">
      <c r="A906" s="13">
        <v>68423</v>
      </c>
      <c r="B906" s="9">
        <f>13.3168 * CHOOSE(CONTROL!$C$32, $C$9, 100%, $E$9)</f>
        <v>13.316800000000001</v>
      </c>
      <c r="C906" s="9">
        <f>13.3168 * CHOOSE(CONTROL!$C$32, $C$9, 100%, $E$9)</f>
        <v>13.316800000000001</v>
      </c>
      <c r="D906" s="9">
        <f>13.318 * CHOOSE(CONTROL!$C$32, $C$9, 100%, $E$9)</f>
        <v>13.318</v>
      </c>
      <c r="E906" s="11">
        <f>10.096 * CHOOSE(CONTROL!$C$32, $C$9, 100%, $E$9)</f>
        <v>10.096</v>
      </c>
      <c r="F906" s="11">
        <f>10.096 * CHOOSE(CONTROL!$C$32, $C$9, 100%, $E$9)</f>
        <v>10.096</v>
      </c>
      <c r="G906" s="11">
        <f>10.1002 * CHOOSE(CONTROL!$C$32, $C$9, 100%, $E$9)</f>
        <v>10.100199999999999</v>
      </c>
      <c r="H906" s="11">
        <f>31.6432 * CHOOSE(CONTROL!$C$32, $C$9, 100%, $E$9)</f>
        <v>31.6432</v>
      </c>
      <c r="I906" s="11">
        <f>31.6474 * CHOOSE(CONTROL!$C$32, $C$9, 100%, $E$9)</f>
        <v>31.647400000000001</v>
      </c>
      <c r="J906" s="11">
        <f>31.6432 * CHOOSE(CONTROL!$C$32, $C$9, 100%, $E$9)</f>
        <v>31.6432</v>
      </c>
      <c r="K906" s="11">
        <f>31.6474 * CHOOSE(CONTROL!$C$32, $C$9, 100%, $E$9)</f>
        <v>31.647400000000001</v>
      </c>
      <c r="L906" s="11">
        <f>10.096 * CHOOSE(CONTROL!$C$32, $C$9, 100%, $E$9)</f>
        <v>10.096</v>
      </c>
      <c r="M906" s="11">
        <f>10.1002 * CHOOSE(CONTROL!$C$32, $C$9, 100%, $E$9)</f>
        <v>10.100199999999999</v>
      </c>
      <c r="N906" s="11">
        <f>10.096 * CHOOSE(CONTROL!$C$32, $C$9, 100%, $E$9)</f>
        <v>10.096</v>
      </c>
      <c r="O906" s="11">
        <f>10.1002 * CHOOSE(CONTROL!$C$32, $C$9, 100%, $E$9)</f>
        <v>10.100199999999999</v>
      </c>
    </row>
    <row r="907" spans="1:15" ht="15" x14ac:dyDescent="0.2">
      <c r="A907" s="13">
        <v>68454</v>
      </c>
      <c r="B907" s="9">
        <f>13.3229 * CHOOSE(CONTROL!$C$32, $C$9, 100%, $E$9)</f>
        <v>13.322900000000001</v>
      </c>
      <c r="C907" s="9">
        <f>13.3229 * CHOOSE(CONTROL!$C$32, $C$9, 100%, $E$9)</f>
        <v>13.322900000000001</v>
      </c>
      <c r="D907" s="9">
        <f>13.3241 * CHOOSE(CONTROL!$C$32, $C$9, 100%, $E$9)</f>
        <v>13.3241</v>
      </c>
      <c r="E907" s="11">
        <f>9.9703 * CHOOSE(CONTROL!$C$32, $C$9, 100%, $E$9)</f>
        <v>9.9702999999999999</v>
      </c>
      <c r="F907" s="11">
        <f>9.9703 * CHOOSE(CONTROL!$C$32, $C$9, 100%, $E$9)</f>
        <v>9.9702999999999999</v>
      </c>
      <c r="G907" s="11">
        <f>9.9745 * CHOOSE(CONTROL!$C$32, $C$9, 100%, $E$9)</f>
        <v>9.9745000000000008</v>
      </c>
      <c r="H907" s="11">
        <f>31.7092 * CHOOSE(CONTROL!$C$32, $C$9, 100%, $E$9)</f>
        <v>31.709199999999999</v>
      </c>
      <c r="I907" s="11">
        <f>31.7134 * CHOOSE(CONTROL!$C$32, $C$9, 100%, $E$9)</f>
        <v>31.7134</v>
      </c>
      <c r="J907" s="11">
        <f>31.7092 * CHOOSE(CONTROL!$C$32, $C$9, 100%, $E$9)</f>
        <v>31.709199999999999</v>
      </c>
      <c r="K907" s="11">
        <f>31.7134 * CHOOSE(CONTROL!$C$32, $C$9, 100%, $E$9)</f>
        <v>31.7134</v>
      </c>
      <c r="L907" s="11">
        <f>9.9703 * CHOOSE(CONTROL!$C$32, $C$9, 100%, $E$9)</f>
        <v>9.9702999999999999</v>
      </c>
      <c r="M907" s="11">
        <f>9.9745 * CHOOSE(CONTROL!$C$32, $C$9, 100%, $E$9)</f>
        <v>9.9745000000000008</v>
      </c>
      <c r="N907" s="11">
        <f>9.9703 * CHOOSE(CONTROL!$C$32, $C$9, 100%, $E$9)</f>
        <v>9.9702999999999999</v>
      </c>
      <c r="O907" s="11">
        <f>9.9745 * CHOOSE(CONTROL!$C$32, $C$9, 100%, $E$9)</f>
        <v>9.9745000000000008</v>
      </c>
    </row>
    <row r="908" spans="1:15" ht="15" x14ac:dyDescent="0.2">
      <c r="A908" s="13">
        <v>68484</v>
      </c>
      <c r="B908" s="9">
        <f>13.4837 * CHOOSE(CONTROL!$C$32, $C$9, 100%, $E$9)</f>
        <v>13.483700000000001</v>
      </c>
      <c r="C908" s="9">
        <f>13.4837 * CHOOSE(CONTROL!$C$32, $C$9, 100%, $E$9)</f>
        <v>13.483700000000001</v>
      </c>
      <c r="D908" s="9">
        <f>13.4849 * CHOOSE(CONTROL!$C$32, $C$9, 100%, $E$9)</f>
        <v>13.4849</v>
      </c>
      <c r="E908" s="11">
        <f>10.0356 * CHOOSE(CONTROL!$C$32, $C$9, 100%, $E$9)</f>
        <v>10.035600000000001</v>
      </c>
      <c r="F908" s="11">
        <f>10.0356 * CHOOSE(CONTROL!$C$32, $C$9, 100%, $E$9)</f>
        <v>10.035600000000001</v>
      </c>
      <c r="G908" s="11">
        <f>10.0398 * CHOOSE(CONTROL!$C$32, $C$9, 100%, $E$9)</f>
        <v>10.0398</v>
      </c>
      <c r="H908" s="11">
        <f>31.7752 * CHOOSE(CONTROL!$C$32, $C$9, 100%, $E$9)</f>
        <v>31.775200000000002</v>
      </c>
      <c r="I908" s="11">
        <f>31.7794 * CHOOSE(CONTROL!$C$32, $C$9, 100%, $E$9)</f>
        <v>31.779399999999999</v>
      </c>
      <c r="J908" s="11">
        <f>31.7752 * CHOOSE(CONTROL!$C$32, $C$9, 100%, $E$9)</f>
        <v>31.775200000000002</v>
      </c>
      <c r="K908" s="11">
        <f>31.7794 * CHOOSE(CONTROL!$C$32, $C$9, 100%, $E$9)</f>
        <v>31.779399999999999</v>
      </c>
      <c r="L908" s="11">
        <f>10.0356 * CHOOSE(CONTROL!$C$32, $C$9, 100%, $E$9)</f>
        <v>10.035600000000001</v>
      </c>
      <c r="M908" s="11">
        <f>10.0398 * CHOOSE(CONTROL!$C$32, $C$9, 100%, $E$9)</f>
        <v>10.0398</v>
      </c>
      <c r="N908" s="11">
        <f>10.0356 * CHOOSE(CONTROL!$C$32, $C$9, 100%, $E$9)</f>
        <v>10.035600000000001</v>
      </c>
      <c r="O908" s="11">
        <f>10.0398 * CHOOSE(CONTROL!$C$32, $C$9, 100%, $E$9)</f>
        <v>10.0398</v>
      </c>
    </row>
    <row r="909" spans="1:15" ht="15" x14ac:dyDescent="0.2">
      <c r="A909" s="13">
        <v>68515</v>
      </c>
      <c r="B909" s="9">
        <f>13.4904 * CHOOSE(CONTROL!$C$32, $C$9, 100%, $E$9)</f>
        <v>13.490399999999999</v>
      </c>
      <c r="C909" s="9">
        <f>13.4904 * CHOOSE(CONTROL!$C$32, $C$9, 100%, $E$9)</f>
        <v>13.490399999999999</v>
      </c>
      <c r="D909" s="9">
        <f>13.4916 * CHOOSE(CONTROL!$C$32, $C$9, 100%, $E$9)</f>
        <v>13.4916</v>
      </c>
      <c r="E909" s="11">
        <f>9.6503 * CHOOSE(CONTROL!$C$32, $C$9, 100%, $E$9)</f>
        <v>9.6502999999999997</v>
      </c>
      <c r="F909" s="11">
        <f>9.6503 * CHOOSE(CONTROL!$C$32, $C$9, 100%, $E$9)</f>
        <v>9.6502999999999997</v>
      </c>
      <c r="G909" s="11">
        <f>9.6545 * CHOOSE(CONTROL!$C$32, $C$9, 100%, $E$9)</f>
        <v>9.6545000000000005</v>
      </c>
      <c r="H909" s="11">
        <f>31.8414 * CHOOSE(CONTROL!$C$32, $C$9, 100%, $E$9)</f>
        <v>31.8414</v>
      </c>
      <c r="I909" s="11">
        <f>31.8456 * CHOOSE(CONTROL!$C$32, $C$9, 100%, $E$9)</f>
        <v>31.845600000000001</v>
      </c>
      <c r="J909" s="11">
        <f>31.8414 * CHOOSE(CONTROL!$C$32, $C$9, 100%, $E$9)</f>
        <v>31.8414</v>
      </c>
      <c r="K909" s="11">
        <f>31.8456 * CHOOSE(CONTROL!$C$32, $C$9, 100%, $E$9)</f>
        <v>31.845600000000001</v>
      </c>
      <c r="L909" s="11">
        <f>9.6503 * CHOOSE(CONTROL!$C$32, $C$9, 100%, $E$9)</f>
        <v>9.6502999999999997</v>
      </c>
      <c r="M909" s="11">
        <f>9.6545 * CHOOSE(CONTROL!$C$32, $C$9, 100%, $E$9)</f>
        <v>9.6545000000000005</v>
      </c>
      <c r="N909" s="11">
        <f>9.6503 * CHOOSE(CONTROL!$C$32, $C$9, 100%, $E$9)</f>
        <v>9.6502999999999997</v>
      </c>
      <c r="O909" s="11">
        <f>9.6545 * CHOOSE(CONTROL!$C$32, $C$9, 100%, $E$9)</f>
        <v>9.6545000000000005</v>
      </c>
    </row>
    <row r="910" spans="1:15" ht="15" x14ac:dyDescent="0.2">
      <c r="A910" s="13">
        <v>68546</v>
      </c>
      <c r="B910" s="9">
        <f>13.4873 * CHOOSE(CONTROL!$C$32, $C$9, 100%, $E$9)</f>
        <v>13.487299999999999</v>
      </c>
      <c r="C910" s="9">
        <f>13.4873 * CHOOSE(CONTROL!$C$32, $C$9, 100%, $E$9)</f>
        <v>13.487299999999999</v>
      </c>
      <c r="D910" s="9">
        <f>13.4886 * CHOOSE(CONTROL!$C$32, $C$9, 100%, $E$9)</f>
        <v>13.4886</v>
      </c>
      <c r="E910" s="11">
        <f>9.6049 * CHOOSE(CONTROL!$C$32, $C$9, 100%, $E$9)</f>
        <v>9.6049000000000007</v>
      </c>
      <c r="F910" s="11">
        <f>9.6049 * CHOOSE(CONTROL!$C$32, $C$9, 100%, $E$9)</f>
        <v>9.6049000000000007</v>
      </c>
      <c r="G910" s="11">
        <f>9.6091 * CHOOSE(CONTROL!$C$32, $C$9, 100%, $E$9)</f>
        <v>9.6090999999999998</v>
      </c>
      <c r="H910" s="11">
        <f>31.9078 * CHOOSE(CONTROL!$C$32, $C$9, 100%, $E$9)</f>
        <v>31.907800000000002</v>
      </c>
      <c r="I910" s="11">
        <f>31.912 * CHOOSE(CONTROL!$C$32, $C$9, 100%, $E$9)</f>
        <v>31.911999999999999</v>
      </c>
      <c r="J910" s="11">
        <f>31.9078 * CHOOSE(CONTROL!$C$32, $C$9, 100%, $E$9)</f>
        <v>31.907800000000002</v>
      </c>
      <c r="K910" s="11">
        <f>31.912 * CHOOSE(CONTROL!$C$32, $C$9, 100%, $E$9)</f>
        <v>31.911999999999999</v>
      </c>
      <c r="L910" s="11">
        <f>9.6049 * CHOOSE(CONTROL!$C$32, $C$9, 100%, $E$9)</f>
        <v>9.6049000000000007</v>
      </c>
      <c r="M910" s="11">
        <f>9.6091 * CHOOSE(CONTROL!$C$32, $C$9, 100%, $E$9)</f>
        <v>9.6090999999999998</v>
      </c>
      <c r="N910" s="11">
        <f>9.6049 * CHOOSE(CONTROL!$C$32, $C$9, 100%, $E$9)</f>
        <v>9.6049000000000007</v>
      </c>
      <c r="O910" s="11">
        <f>9.6091 * CHOOSE(CONTROL!$C$32, $C$9, 100%, $E$9)</f>
        <v>9.6090999999999998</v>
      </c>
    </row>
    <row r="911" spans="1:15" ht="15" x14ac:dyDescent="0.2">
      <c r="A911" s="13">
        <v>68576</v>
      </c>
      <c r="B911" s="9">
        <f>13.5179 * CHOOSE(CONTROL!$C$32, $C$9, 100%, $E$9)</f>
        <v>13.517899999999999</v>
      </c>
      <c r="C911" s="9">
        <f>13.5179 * CHOOSE(CONTROL!$C$32, $C$9, 100%, $E$9)</f>
        <v>13.517899999999999</v>
      </c>
      <c r="D911" s="9">
        <f>13.5188 * CHOOSE(CONTROL!$C$32, $C$9, 100%, $E$9)</f>
        <v>13.518800000000001</v>
      </c>
      <c r="E911" s="11">
        <f>9.7648 * CHOOSE(CONTROL!$C$32, $C$9, 100%, $E$9)</f>
        <v>9.7647999999999993</v>
      </c>
      <c r="F911" s="11">
        <f>9.7648 * CHOOSE(CONTROL!$C$32, $C$9, 100%, $E$9)</f>
        <v>9.7647999999999993</v>
      </c>
      <c r="G911" s="11">
        <f>9.768 * CHOOSE(CONTROL!$C$32, $C$9, 100%, $E$9)</f>
        <v>9.7680000000000007</v>
      </c>
      <c r="H911" s="11">
        <f>31.9742 * CHOOSE(CONTROL!$C$32, $C$9, 100%, $E$9)</f>
        <v>31.9742</v>
      </c>
      <c r="I911" s="11">
        <f>31.9775 * CHOOSE(CONTROL!$C$32, $C$9, 100%, $E$9)</f>
        <v>31.977499999999999</v>
      </c>
      <c r="J911" s="11">
        <f>31.9742 * CHOOSE(CONTROL!$C$32, $C$9, 100%, $E$9)</f>
        <v>31.9742</v>
      </c>
      <c r="K911" s="11">
        <f>31.9775 * CHOOSE(CONTROL!$C$32, $C$9, 100%, $E$9)</f>
        <v>31.977499999999999</v>
      </c>
      <c r="L911" s="11">
        <f>9.7648 * CHOOSE(CONTROL!$C$32, $C$9, 100%, $E$9)</f>
        <v>9.7647999999999993</v>
      </c>
      <c r="M911" s="11">
        <f>9.768 * CHOOSE(CONTROL!$C$32, $C$9, 100%, $E$9)</f>
        <v>9.7680000000000007</v>
      </c>
      <c r="N911" s="11">
        <f>9.7648 * CHOOSE(CONTROL!$C$32, $C$9, 100%, $E$9)</f>
        <v>9.7647999999999993</v>
      </c>
      <c r="O911" s="11">
        <f>9.768 * CHOOSE(CONTROL!$C$32, $C$9, 100%, $E$9)</f>
        <v>9.7680000000000007</v>
      </c>
    </row>
    <row r="912" spans="1:15" ht="15" x14ac:dyDescent="0.2">
      <c r="A912" s="13">
        <v>68607</v>
      </c>
      <c r="B912" s="9">
        <f>13.5209 * CHOOSE(CONTROL!$C$32, $C$9, 100%, $E$9)</f>
        <v>13.520899999999999</v>
      </c>
      <c r="C912" s="9">
        <f>13.5209 * CHOOSE(CONTROL!$C$32, $C$9, 100%, $E$9)</f>
        <v>13.520899999999999</v>
      </c>
      <c r="D912" s="9">
        <f>13.5218 * CHOOSE(CONTROL!$C$32, $C$9, 100%, $E$9)</f>
        <v>13.521800000000001</v>
      </c>
      <c r="E912" s="11">
        <f>9.8535 * CHOOSE(CONTROL!$C$32, $C$9, 100%, $E$9)</f>
        <v>9.8535000000000004</v>
      </c>
      <c r="F912" s="11">
        <f>9.8535 * CHOOSE(CONTROL!$C$32, $C$9, 100%, $E$9)</f>
        <v>9.8535000000000004</v>
      </c>
      <c r="G912" s="11">
        <f>9.8568 * CHOOSE(CONTROL!$C$32, $C$9, 100%, $E$9)</f>
        <v>9.8567999999999998</v>
      </c>
      <c r="H912" s="11">
        <f>32.0408 * CHOOSE(CONTROL!$C$32, $C$9, 100%, $E$9)</f>
        <v>32.040799999999997</v>
      </c>
      <c r="I912" s="11">
        <f>32.0441 * CHOOSE(CONTROL!$C$32, $C$9, 100%, $E$9)</f>
        <v>32.0441</v>
      </c>
      <c r="J912" s="11">
        <f>32.0408 * CHOOSE(CONTROL!$C$32, $C$9, 100%, $E$9)</f>
        <v>32.040799999999997</v>
      </c>
      <c r="K912" s="11">
        <f>32.0441 * CHOOSE(CONTROL!$C$32, $C$9, 100%, $E$9)</f>
        <v>32.0441</v>
      </c>
      <c r="L912" s="11">
        <f>9.8535 * CHOOSE(CONTROL!$C$32, $C$9, 100%, $E$9)</f>
        <v>9.8535000000000004</v>
      </c>
      <c r="M912" s="11">
        <f>9.8568 * CHOOSE(CONTROL!$C$32, $C$9, 100%, $E$9)</f>
        <v>9.8567999999999998</v>
      </c>
      <c r="N912" s="11">
        <f>9.8535 * CHOOSE(CONTROL!$C$32, $C$9, 100%, $E$9)</f>
        <v>9.8535000000000004</v>
      </c>
      <c r="O912" s="11">
        <f>9.8568 * CHOOSE(CONTROL!$C$32, $C$9, 100%, $E$9)</f>
        <v>9.8567999999999998</v>
      </c>
    </row>
    <row r="913" spans="1:15" ht="15" x14ac:dyDescent="0.2">
      <c r="A913" s="13">
        <v>68637</v>
      </c>
      <c r="B913" s="9">
        <f>13.5209 * CHOOSE(CONTROL!$C$32, $C$9, 100%, $E$9)</f>
        <v>13.520899999999999</v>
      </c>
      <c r="C913" s="9">
        <f>13.5209 * CHOOSE(CONTROL!$C$32, $C$9, 100%, $E$9)</f>
        <v>13.520899999999999</v>
      </c>
      <c r="D913" s="9">
        <f>13.5218 * CHOOSE(CONTROL!$C$32, $C$9, 100%, $E$9)</f>
        <v>13.521800000000001</v>
      </c>
      <c r="E913" s="11">
        <f>9.6369 * CHOOSE(CONTROL!$C$32, $C$9, 100%, $E$9)</f>
        <v>9.6369000000000007</v>
      </c>
      <c r="F913" s="11">
        <f>9.6369 * CHOOSE(CONTROL!$C$32, $C$9, 100%, $E$9)</f>
        <v>9.6369000000000007</v>
      </c>
      <c r="G913" s="11">
        <f>9.6402 * CHOOSE(CONTROL!$C$32, $C$9, 100%, $E$9)</f>
        <v>9.6402000000000001</v>
      </c>
      <c r="H913" s="11">
        <f>32.1076 * CHOOSE(CONTROL!$C$32, $C$9, 100%, $E$9)</f>
        <v>32.107599999999998</v>
      </c>
      <c r="I913" s="11">
        <f>32.1108 * CHOOSE(CONTROL!$C$32, $C$9, 100%, $E$9)</f>
        <v>32.110799999999998</v>
      </c>
      <c r="J913" s="11">
        <f>32.1076 * CHOOSE(CONTROL!$C$32, $C$9, 100%, $E$9)</f>
        <v>32.107599999999998</v>
      </c>
      <c r="K913" s="11">
        <f>32.1108 * CHOOSE(CONTROL!$C$32, $C$9, 100%, $E$9)</f>
        <v>32.110799999999998</v>
      </c>
      <c r="L913" s="11">
        <f>9.6369 * CHOOSE(CONTROL!$C$32, $C$9, 100%, $E$9)</f>
        <v>9.6369000000000007</v>
      </c>
      <c r="M913" s="11">
        <f>9.6402 * CHOOSE(CONTROL!$C$32, $C$9, 100%, $E$9)</f>
        <v>9.6402000000000001</v>
      </c>
      <c r="N913" s="11">
        <f>9.6369 * CHOOSE(CONTROL!$C$32, $C$9, 100%, $E$9)</f>
        <v>9.6369000000000007</v>
      </c>
      <c r="O913" s="11">
        <f>9.6402 * CHOOSE(CONTROL!$C$32, $C$9, 100%, $E$9)</f>
        <v>9.6402000000000001</v>
      </c>
    </row>
    <row r="914" spans="1:15" ht="15" x14ac:dyDescent="0.2">
      <c r="A914" s="13">
        <v>68668</v>
      </c>
      <c r="B914" s="9">
        <f>13.5035 * CHOOSE(CONTROL!$C$32, $C$9, 100%, $E$9)</f>
        <v>13.503500000000001</v>
      </c>
      <c r="C914" s="9">
        <f>13.5035 * CHOOSE(CONTROL!$C$32, $C$9, 100%, $E$9)</f>
        <v>13.503500000000001</v>
      </c>
      <c r="D914" s="9">
        <f>13.5045 * CHOOSE(CONTROL!$C$32, $C$9, 100%, $E$9)</f>
        <v>13.5045</v>
      </c>
      <c r="E914" s="11">
        <f>9.7919 * CHOOSE(CONTROL!$C$32, $C$9, 100%, $E$9)</f>
        <v>9.7919</v>
      </c>
      <c r="F914" s="11">
        <f>9.7919 * CHOOSE(CONTROL!$C$32, $C$9, 100%, $E$9)</f>
        <v>9.7919</v>
      </c>
      <c r="G914" s="11">
        <f>9.7951 * CHOOSE(CONTROL!$C$32, $C$9, 100%, $E$9)</f>
        <v>9.7950999999999997</v>
      </c>
      <c r="H914" s="11">
        <f>31.8525 * CHOOSE(CONTROL!$C$32, $C$9, 100%, $E$9)</f>
        <v>31.852499999999999</v>
      </c>
      <c r="I914" s="11">
        <f>31.8557 * CHOOSE(CONTROL!$C$32, $C$9, 100%, $E$9)</f>
        <v>31.855699999999999</v>
      </c>
      <c r="J914" s="11">
        <f>31.8525 * CHOOSE(CONTROL!$C$32, $C$9, 100%, $E$9)</f>
        <v>31.852499999999999</v>
      </c>
      <c r="K914" s="11">
        <f>31.8557 * CHOOSE(CONTROL!$C$32, $C$9, 100%, $E$9)</f>
        <v>31.855699999999999</v>
      </c>
      <c r="L914" s="11">
        <f>9.7919 * CHOOSE(CONTROL!$C$32, $C$9, 100%, $E$9)</f>
        <v>9.7919</v>
      </c>
      <c r="M914" s="11">
        <f>9.7951 * CHOOSE(CONTROL!$C$32, $C$9, 100%, $E$9)</f>
        <v>9.7950999999999997</v>
      </c>
      <c r="N914" s="11">
        <f>9.7919 * CHOOSE(CONTROL!$C$32, $C$9, 100%, $E$9)</f>
        <v>9.7919</v>
      </c>
      <c r="O914" s="11">
        <f>9.7951 * CHOOSE(CONTROL!$C$32, $C$9, 100%, $E$9)</f>
        <v>9.7950999999999997</v>
      </c>
    </row>
    <row r="915" spans="1:15" ht="15" x14ac:dyDescent="0.2">
      <c r="A915" s="13">
        <v>68699</v>
      </c>
      <c r="B915" s="9">
        <f>13.5005 * CHOOSE(CONTROL!$C$32, $C$9, 100%, $E$9)</f>
        <v>13.500500000000001</v>
      </c>
      <c r="C915" s="9">
        <f>13.5005 * CHOOSE(CONTROL!$C$32, $C$9, 100%, $E$9)</f>
        <v>13.500500000000001</v>
      </c>
      <c r="D915" s="9">
        <f>13.5014 * CHOOSE(CONTROL!$C$32, $C$9, 100%, $E$9)</f>
        <v>13.5014</v>
      </c>
      <c r="E915" s="11">
        <f>9.3733 * CHOOSE(CONTROL!$C$32, $C$9, 100%, $E$9)</f>
        <v>9.3733000000000004</v>
      </c>
      <c r="F915" s="11">
        <f>9.3733 * CHOOSE(CONTROL!$C$32, $C$9, 100%, $E$9)</f>
        <v>9.3733000000000004</v>
      </c>
      <c r="G915" s="11">
        <f>9.3765 * CHOOSE(CONTROL!$C$32, $C$9, 100%, $E$9)</f>
        <v>9.3765000000000001</v>
      </c>
      <c r="H915" s="11">
        <f>31.9189 * CHOOSE(CONTROL!$C$32, $C$9, 100%, $E$9)</f>
        <v>31.918900000000001</v>
      </c>
      <c r="I915" s="11">
        <f>31.9221 * CHOOSE(CONTROL!$C$32, $C$9, 100%, $E$9)</f>
        <v>31.9221</v>
      </c>
      <c r="J915" s="11">
        <f>31.9189 * CHOOSE(CONTROL!$C$32, $C$9, 100%, $E$9)</f>
        <v>31.918900000000001</v>
      </c>
      <c r="K915" s="11">
        <f>31.9221 * CHOOSE(CONTROL!$C$32, $C$9, 100%, $E$9)</f>
        <v>31.9221</v>
      </c>
      <c r="L915" s="11">
        <f>9.3733 * CHOOSE(CONTROL!$C$32, $C$9, 100%, $E$9)</f>
        <v>9.3733000000000004</v>
      </c>
      <c r="M915" s="11">
        <f>9.3765 * CHOOSE(CONTROL!$C$32, $C$9, 100%, $E$9)</f>
        <v>9.3765000000000001</v>
      </c>
      <c r="N915" s="11">
        <f>9.3733 * CHOOSE(CONTROL!$C$32, $C$9, 100%, $E$9)</f>
        <v>9.3733000000000004</v>
      </c>
      <c r="O915" s="11">
        <f>9.3765 * CHOOSE(CONTROL!$C$32, $C$9, 100%, $E$9)</f>
        <v>9.3765000000000001</v>
      </c>
    </row>
    <row r="916" spans="1:15" ht="15" x14ac:dyDescent="0.2">
      <c r="A916" s="13">
        <v>68728</v>
      </c>
      <c r="B916" s="9">
        <f>13.4974 * CHOOSE(CONTROL!$C$32, $C$9, 100%, $E$9)</f>
        <v>13.497400000000001</v>
      </c>
      <c r="C916" s="9">
        <f>13.4974 * CHOOSE(CONTROL!$C$32, $C$9, 100%, $E$9)</f>
        <v>13.497400000000001</v>
      </c>
      <c r="D916" s="9">
        <f>13.4984 * CHOOSE(CONTROL!$C$32, $C$9, 100%, $E$9)</f>
        <v>13.4984</v>
      </c>
      <c r="E916" s="11">
        <f>9.6995 * CHOOSE(CONTROL!$C$32, $C$9, 100%, $E$9)</f>
        <v>9.6995000000000005</v>
      </c>
      <c r="F916" s="11">
        <f>9.6995 * CHOOSE(CONTROL!$C$32, $C$9, 100%, $E$9)</f>
        <v>9.6995000000000005</v>
      </c>
      <c r="G916" s="11">
        <f>9.7027 * CHOOSE(CONTROL!$C$32, $C$9, 100%, $E$9)</f>
        <v>9.7027000000000001</v>
      </c>
      <c r="H916" s="11">
        <f>31.9854 * CHOOSE(CONTROL!$C$32, $C$9, 100%, $E$9)</f>
        <v>31.985399999999998</v>
      </c>
      <c r="I916" s="11">
        <f>31.9886 * CHOOSE(CONTROL!$C$32, $C$9, 100%, $E$9)</f>
        <v>31.988600000000002</v>
      </c>
      <c r="J916" s="11">
        <f>31.9854 * CHOOSE(CONTROL!$C$32, $C$9, 100%, $E$9)</f>
        <v>31.985399999999998</v>
      </c>
      <c r="K916" s="11">
        <f>31.9886 * CHOOSE(CONTROL!$C$32, $C$9, 100%, $E$9)</f>
        <v>31.988600000000002</v>
      </c>
      <c r="L916" s="11">
        <f>9.6995 * CHOOSE(CONTROL!$C$32, $C$9, 100%, $E$9)</f>
        <v>9.6995000000000005</v>
      </c>
      <c r="M916" s="11">
        <f>9.7027 * CHOOSE(CONTROL!$C$32, $C$9, 100%, $E$9)</f>
        <v>9.7027000000000001</v>
      </c>
      <c r="N916" s="11">
        <f>9.6995 * CHOOSE(CONTROL!$C$32, $C$9, 100%, $E$9)</f>
        <v>9.6995000000000005</v>
      </c>
      <c r="O916" s="11">
        <f>9.7027 * CHOOSE(CONTROL!$C$32, $C$9, 100%, $E$9)</f>
        <v>9.7027000000000001</v>
      </c>
    </row>
    <row r="917" spans="1:15" ht="15" x14ac:dyDescent="0.2">
      <c r="A917" s="13">
        <v>68759</v>
      </c>
      <c r="B917" s="9">
        <f>13.5043 * CHOOSE(CONTROL!$C$32, $C$9, 100%, $E$9)</f>
        <v>13.504300000000001</v>
      </c>
      <c r="C917" s="9">
        <f>13.5043 * CHOOSE(CONTROL!$C$32, $C$9, 100%, $E$9)</f>
        <v>13.504300000000001</v>
      </c>
      <c r="D917" s="9">
        <f>13.5053 * CHOOSE(CONTROL!$C$32, $C$9, 100%, $E$9)</f>
        <v>13.5053</v>
      </c>
      <c r="E917" s="11">
        <f>10.0478 * CHOOSE(CONTROL!$C$32, $C$9, 100%, $E$9)</f>
        <v>10.047800000000001</v>
      </c>
      <c r="F917" s="11">
        <f>10.0478 * CHOOSE(CONTROL!$C$32, $C$9, 100%, $E$9)</f>
        <v>10.047800000000001</v>
      </c>
      <c r="G917" s="11">
        <f>10.0511 * CHOOSE(CONTROL!$C$32, $C$9, 100%, $E$9)</f>
        <v>10.0511</v>
      </c>
      <c r="H917" s="11">
        <f>32.052 * CHOOSE(CONTROL!$C$32, $C$9, 100%, $E$9)</f>
        <v>32.052</v>
      </c>
      <c r="I917" s="11">
        <f>32.0552 * CHOOSE(CONTROL!$C$32, $C$9, 100%, $E$9)</f>
        <v>32.055199999999999</v>
      </c>
      <c r="J917" s="11">
        <f>32.052 * CHOOSE(CONTROL!$C$32, $C$9, 100%, $E$9)</f>
        <v>32.052</v>
      </c>
      <c r="K917" s="11">
        <f>32.0552 * CHOOSE(CONTROL!$C$32, $C$9, 100%, $E$9)</f>
        <v>32.055199999999999</v>
      </c>
      <c r="L917" s="11">
        <f>10.0478 * CHOOSE(CONTROL!$C$32, $C$9, 100%, $E$9)</f>
        <v>10.047800000000001</v>
      </c>
      <c r="M917" s="11">
        <f>10.0511 * CHOOSE(CONTROL!$C$32, $C$9, 100%, $E$9)</f>
        <v>10.0511</v>
      </c>
      <c r="N917" s="11">
        <f>10.0478 * CHOOSE(CONTROL!$C$32, $C$9, 100%, $E$9)</f>
        <v>10.047800000000001</v>
      </c>
      <c r="O917" s="11">
        <f>10.0511 * CHOOSE(CONTROL!$C$32, $C$9, 100%, $E$9)</f>
        <v>10.0511</v>
      </c>
    </row>
    <row r="918" spans="1:15" ht="15" x14ac:dyDescent="0.2">
      <c r="A918" s="13">
        <v>68789</v>
      </c>
      <c r="B918" s="9">
        <f>13.5043 * CHOOSE(CONTROL!$C$32, $C$9, 100%, $E$9)</f>
        <v>13.504300000000001</v>
      </c>
      <c r="C918" s="9">
        <f>13.5043 * CHOOSE(CONTROL!$C$32, $C$9, 100%, $E$9)</f>
        <v>13.504300000000001</v>
      </c>
      <c r="D918" s="9">
        <f>13.5056 * CHOOSE(CONTROL!$C$32, $C$9, 100%, $E$9)</f>
        <v>13.505599999999999</v>
      </c>
      <c r="E918" s="11">
        <f>10.18 * CHOOSE(CONTROL!$C$32, $C$9, 100%, $E$9)</f>
        <v>10.18</v>
      </c>
      <c r="F918" s="11">
        <f>10.18 * CHOOSE(CONTROL!$C$32, $C$9, 100%, $E$9)</f>
        <v>10.18</v>
      </c>
      <c r="G918" s="11">
        <f>10.1842 * CHOOSE(CONTROL!$C$32, $C$9, 100%, $E$9)</f>
        <v>10.184200000000001</v>
      </c>
      <c r="H918" s="11">
        <f>32.1188 * CHOOSE(CONTROL!$C$32, $C$9, 100%, $E$9)</f>
        <v>32.1188</v>
      </c>
      <c r="I918" s="11">
        <f>32.123 * CHOOSE(CONTROL!$C$32, $C$9, 100%, $E$9)</f>
        <v>32.122999999999998</v>
      </c>
      <c r="J918" s="11">
        <f>32.1188 * CHOOSE(CONTROL!$C$32, $C$9, 100%, $E$9)</f>
        <v>32.1188</v>
      </c>
      <c r="K918" s="11">
        <f>32.123 * CHOOSE(CONTROL!$C$32, $C$9, 100%, $E$9)</f>
        <v>32.122999999999998</v>
      </c>
      <c r="L918" s="11">
        <f>10.18 * CHOOSE(CONTROL!$C$32, $C$9, 100%, $E$9)</f>
        <v>10.18</v>
      </c>
      <c r="M918" s="11">
        <f>10.1842 * CHOOSE(CONTROL!$C$32, $C$9, 100%, $E$9)</f>
        <v>10.184200000000001</v>
      </c>
      <c r="N918" s="11">
        <f>10.18 * CHOOSE(CONTROL!$C$32, $C$9, 100%, $E$9)</f>
        <v>10.18</v>
      </c>
      <c r="O918" s="11">
        <f>10.1842 * CHOOSE(CONTROL!$C$32, $C$9, 100%, $E$9)</f>
        <v>10.184200000000001</v>
      </c>
    </row>
    <row r="919" spans="1:15" ht="15" x14ac:dyDescent="0.2">
      <c r="A919" s="13">
        <v>68820</v>
      </c>
      <c r="B919" s="9">
        <f>13.5104 * CHOOSE(CONTROL!$C$32, $C$9, 100%, $E$9)</f>
        <v>13.510400000000001</v>
      </c>
      <c r="C919" s="9">
        <f>13.5104 * CHOOSE(CONTROL!$C$32, $C$9, 100%, $E$9)</f>
        <v>13.510400000000001</v>
      </c>
      <c r="D919" s="9">
        <f>13.5116 * CHOOSE(CONTROL!$C$32, $C$9, 100%, $E$9)</f>
        <v>13.5116</v>
      </c>
      <c r="E919" s="11">
        <f>10.0521 * CHOOSE(CONTROL!$C$32, $C$9, 100%, $E$9)</f>
        <v>10.052099999999999</v>
      </c>
      <c r="F919" s="11">
        <f>10.0521 * CHOOSE(CONTROL!$C$32, $C$9, 100%, $E$9)</f>
        <v>10.052099999999999</v>
      </c>
      <c r="G919" s="11">
        <f>10.0563 * CHOOSE(CONTROL!$C$32, $C$9, 100%, $E$9)</f>
        <v>10.0563</v>
      </c>
      <c r="H919" s="11">
        <f>32.1857 * CHOOSE(CONTROL!$C$32, $C$9, 100%, $E$9)</f>
        <v>32.185699999999997</v>
      </c>
      <c r="I919" s="11">
        <f>32.1899 * CHOOSE(CONTROL!$C$32, $C$9, 100%, $E$9)</f>
        <v>32.189900000000002</v>
      </c>
      <c r="J919" s="11">
        <f>32.1857 * CHOOSE(CONTROL!$C$32, $C$9, 100%, $E$9)</f>
        <v>32.185699999999997</v>
      </c>
      <c r="K919" s="11">
        <f>32.1899 * CHOOSE(CONTROL!$C$32, $C$9, 100%, $E$9)</f>
        <v>32.189900000000002</v>
      </c>
      <c r="L919" s="11">
        <f>10.0521 * CHOOSE(CONTROL!$C$32, $C$9, 100%, $E$9)</f>
        <v>10.052099999999999</v>
      </c>
      <c r="M919" s="11">
        <f>10.0563 * CHOOSE(CONTROL!$C$32, $C$9, 100%, $E$9)</f>
        <v>10.0563</v>
      </c>
      <c r="N919" s="11">
        <f>10.0521 * CHOOSE(CONTROL!$C$32, $C$9, 100%, $E$9)</f>
        <v>10.052099999999999</v>
      </c>
      <c r="O919" s="11">
        <f>10.0563 * CHOOSE(CONTROL!$C$32, $C$9, 100%, $E$9)</f>
        <v>10.0563</v>
      </c>
    </row>
    <row r="920" spans="1:15" ht="15" x14ac:dyDescent="0.2">
      <c r="A920" s="13">
        <v>68850</v>
      </c>
      <c r="B920" s="9">
        <f>13.6733 * CHOOSE(CONTROL!$C$32, $C$9, 100%, $E$9)</f>
        <v>13.673299999999999</v>
      </c>
      <c r="C920" s="9">
        <f>13.6733 * CHOOSE(CONTROL!$C$32, $C$9, 100%, $E$9)</f>
        <v>13.673299999999999</v>
      </c>
      <c r="D920" s="9">
        <f>13.6745 * CHOOSE(CONTROL!$C$32, $C$9, 100%, $E$9)</f>
        <v>13.6745</v>
      </c>
      <c r="E920" s="11">
        <f>10.1185 * CHOOSE(CONTROL!$C$32, $C$9, 100%, $E$9)</f>
        <v>10.118499999999999</v>
      </c>
      <c r="F920" s="11">
        <f>10.1185 * CHOOSE(CONTROL!$C$32, $C$9, 100%, $E$9)</f>
        <v>10.118499999999999</v>
      </c>
      <c r="G920" s="11">
        <f>10.1227 * CHOOSE(CONTROL!$C$32, $C$9, 100%, $E$9)</f>
        <v>10.1227</v>
      </c>
      <c r="H920" s="11">
        <f>32.2527 * CHOOSE(CONTROL!$C$32, $C$9, 100%, $E$9)</f>
        <v>32.252699999999997</v>
      </c>
      <c r="I920" s="11">
        <f>32.2569 * CHOOSE(CONTROL!$C$32, $C$9, 100%, $E$9)</f>
        <v>32.256900000000002</v>
      </c>
      <c r="J920" s="11">
        <f>32.2527 * CHOOSE(CONTROL!$C$32, $C$9, 100%, $E$9)</f>
        <v>32.252699999999997</v>
      </c>
      <c r="K920" s="11">
        <f>32.2569 * CHOOSE(CONTROL!$C$32, $C$9, 100%, $E$9)</f>
        <v>32.256900000000002</v>
      </c>
      <c r="L920" s="11">
        <f>10.1185 * CHOOSE(CONTROL!$C$32, $C$9, 100%, $E$9)</f>
        <v>10.118499999999999</v>
      </c>
      <c r="M920" s="11">
        <f>10.1227 * CHOOSE(CONTROL!$C$32, $C$9, 100%, $E$9)</f>
        <v>10.1227</v>
      </c>
      <c r="N920" s="11">
        <f>10.1185 * CHOOSE(CONTROL!$C$32, $C$9, 100%, $E$9)</f>
        <v>10.118499999999999</v>
      </c>
      <c r="O920" s="11">
        <f>10.1227 * CHOOSE(CONTROL!$C$32, $C$9, 100%, $E$9)</f>
        <v>10.1227</v>
      </c>
    </row>
    <row r="921" spans="1:15" ht="15" x14ac:dyDescent="0.2">
      <c r="A921" s="13">
        <v>68881</v>
      </c>
      <c r="B921" s="9">
        <f>13.68 * CHOOSE(CONTROL!$C$32, $C$9, 100%, $E$9)</f>
        <v>13.68</v>
      </c>
      <c r="C921" s="9">
        <f>13.68 * CHOOSE(CONTROL!$C$32, $C$9, 100%, $E$9)</f>
        <v>13.68</v>
      </c>
      <c r="D921" s="9">
        <f>13.6812 * CHOOSE(CONTROL!$C$32, $C$9, 100%, $E$9)</f>
        <v>13.6812</v>
      </c>
      <c r="E921" s="11">
        <f>9.7265 * CHOOSE(CONTROL!$C$32, $C$9, 100%, $E$9)</f>
        <v>9.7264999999999997</v>
      </c>
      <c r="F921" s="11">
        <f>9.7265 * CHOOSE(CONTROL!$C$32, $C$9, 100%, $E$9)</f>
        <v>9.7264999999999997</v>
      </c>
      <c r="G921" s="11">
        <f>9.7307 * CHOOSE(CONTROL!$C$32, $C$9, 100%, $E$9)</f>
        <v>9.7307000000000006</v>
      </c>
      <c r="H921" s="11">
        <f>32.3199 * CHOOSE(CONTROL!$C$32, $C$9, 100%, $E$9)</f>
        <v>32.319899999999997</v>
      </c>
      <c r="I921" s="11">
        <f>32.3241 * CHOOSE(CONTROL!$C$32, $C$9, 100%, $E$9)</f>
        <v>32.324100000000001</v>
      </c>
      <c r="J921" s="11">
        <f>32.3199 * CHOOSE(CONTROL!$C$32, $C$9, 100%, $E$9)</f>
        <v>32.319899999999997</v>
      </c>
      <c r="K921" s="11">
        <f>32.3241 * CHOOSE(CONTROL!$C$32, $C$9, 100%, $E$9)</f>
        <v>32.324100000000001</v>
      </c>
      <c r="L921" s="11">
        <f>9.7265 * CHOOSE(CONTROL!$C$32, $C$9, 100%, $E$9)</f>
        <v>9.7264999999999997</v>
      </c>
      <c r="M921" s="11">
        <f>9.7307 * CHOOSE(CONTROL!$C$32, $C$9, 100%, $E$9)</f>
        <v>9.7307000000000006</v>
      </c>
      <c r="N921" s="11">
        <f>9.7265 * CHOOSE(CONTROL!$C$32, $C$9, 100%, $E$9)</f>
        <v>9.7264999999999997</v>
      </c>
      <c r="O921" s="11">
        <f>9.7307 * CHOOSE(CONTROL!$C$32, $C$9, 100%, $E$9)</f>
        <v>9.7307000000000006</v>
      </c>
    </row>
    <row r="922" spans="1:15" ht="15" x14ac:dyDescent="0.2">
      <c r="A922" s="13">
        <v>68912</v>
      </c>
      <c r="B922" s="9">
        <f>13.6769 * CHOOSE(CONTROL!$C$32, $C$9, 100%, $E$9)</f>
        <v>13.6769</v>
      </c>
      <c r="C922" s="9">
        <f>13.6769 * CHOOSE(CONTROL!$C$32, $C$9, 100%, $E$9)</f>
        <v>13.6769</v>
      </c>
      <c r="D922" s="9">
        <f>13.6782 * CHOOSE(CONTROL!$C$32, $C$9, 100%, $E$9)</f>
        <v>13.6782</v>
      </c>
      <c r="E922" s="11">
        <f>9.6803 * CHOOSE(CONTROL!$C$32, $C$9, 100%, $E$9)</f>
        <v>9.6803000000000008</v>
      </c>
      <c r="F922" s="11">
        <f>9.6803 * CHOOSE(CONTROL!$C$32, $C$9, 100%, $E$9)</f>
        <v>9.6803000000000008</v>
      </c>
      <c r="G922" s="11">
        <f>9.6845 * CHOOSE(CONTROL!$C$32, $C$9, 100%, $E$9)</f>
        <v>9.6844999999999999</v>
      </c>
      <c r="H922" s="11">
        <f>32.3873 * CHOOSE(CONTROL!$C$32, $C$9, 100%, $E$9)</f>
        <v>32.387300000000003</v>
      </c>
      <c r="I922" s="11">
        <f>32.3915 * CHOOSE(CONTROL!$C$32, $C$9, 100%, $E$9)</f>
        <v>32.391500000000001</v>
      </c>
      <c r="J922" s="11">
        <f>32.3873 * CHOOSE(CONTROL!$C$32, $C$9, 100%, $E$9)</f>
        <v>32.387300000000003</v>
      </c>
      <c r="K922" s="11">
        <f>32.3915 * CHOOSE(CONTROL!$C$32, $C$9, 100%, $E$9)</f>
        <v>32.391500000000001</v>
      </c>
      <c r="L922" s="11">
        <f>9.6803 * CHOOSE(CONTROL!$C$32, $C$9, 100%, $E$9)</f>
        <v>9.6803000000000008</v>
      </c>
      <c r="M922" s="11">
        <f>9.6845 * CHOOSE(CONTROL!$C$32, $C$9, 100%, $E$9)</f>
        <v>9.6844999999999999</v>
      </c>
      <c r="N922" s="11">
        <f>9.6803 * CHOOSE(CONTROL!$C$32, $C$9, 100%, $E$9)</f>
        <v>9.6803000000000008</v>
      </c>
      <c r="O922" s="11">
        <f>9.6845 * CHOOSE(CONTROL!$C$32, $C$9, 100%, $E$9)</f>
        <v>9.6844999999999999</v>
      </c>
    </row>
    <row r="923" spans="1:15" ht="15" x14ac:dyDescent="0.2">
      <c r="A923" s="13">
        <v>68942</v>
      </c>
      <c r="B923" s="9">
        <f>13.7082 * CHOOSE(CONTROL!$C$32, $C$9, 100%, $E$9)</f>
        <v>13.7082</v>
      </c>
      <c r="C923" s="9">
        <f>13.7082 * CHOOSE(CONTROL!$C$32, $C$9, 100%, $E$9)</f>
        <v>13.7082</v>
      </c>
      <c r="D923" s="9">
        <f>13.7091 * CHOOSE(CONTROL!$C$32, $C$9, 100%, $E$9)</f>
        <v>13.709099999999999</v>
      </c>
      <c r="E923" s="11">
        <f>9.8432 * CHOOSE(CONTROL!$C$32, $C$9, 100%, $E$9)</f>
        <v>9.8431999999999995</v>
      </c>
      <c r="F923" s="11">
        <f>9.8432 * CHOOSE(CONTROL!$C$32, $C$9, 100%, $E$9)</f>
        <v>9.8431999999999995</v>
      </c>
      <c r="G923" s="11">
        <f>9.8464 * CHOOSE(CONTROL!$C$32, $C$9, 100%, $E$9)</f>
        <v>9.8463999999999992</v>
      </c>
      <c r="H923" s="11">
        <f>32.4547 * CHOOSE(CONTROL!$C$32, $C$9, 100%, $E$9)</f>
        <v>32.454700000000003</v>
      </c>
      <c r="I923" s="11">
        <f>32.458 * CHOOSE(CONTROL!$C$32, $C$9, 100%, $E$9)</f>
        <v>32.457999999999998</v>
      </c>
      <c r="J923" s="11">
        <f>32.4547 * CHOOSE(CONTROL!$C$32, $C$9, 100%, $E$9)</f>
        <v>32.454700000000003</v>
      </c>
      <c r="K923" s="11">
        <f>32.458 * CHOOSE(CONTROL!$C$32, $C$9, 100%, $E$9)</f>
        <v>32.457999999999998</v>
      </c>
      <c r="L923" s="11">
        <f>9.8432 * CHOOSE(CONTROL!$C$32, $C$9, 100%, $E$9)</f>
        <v>9.8431999999999995</v>
      </c>
      <c r="M923" s="11">
        <f>9.8464 * CHOOSE(CONTROL!$C$32, $C$9, 100%, $E$9)</f>
        <v>9.8463999999999992</v>
      </c>
      <c r="N923" s="11">
        <f>9.8432 * CHOOSE(CONTROL!$C$32, $C$9, 100%, $E$9)</f>
        <v>9.8431999999999995</v>
      </c>
      <c r="O923" s="11">
        <f>9.8464 * CHOOSE(CONTROL!$C$32, $C$9, 100%, $E$9)</f>
        <v>9.8463999999999992</v>
      </c>
    </row>
    <row r="924" spans="1:15" ht="15" x14ac:dyDescent="0.2">
      <c r="A924" s="13">
        <v>68973</v>
      </c>
      <c r="B924" s="9">
        <f>13.7112 * CHOOSE(CONTROL!$C$32, $C$9, 100%, $E$9)</f>
        <v>13.7112</v>
      </c>
      <c r="C924" s="9">
        <f>13.7112 * CHOOSE(CONTROL!$C$32, $C$9, 100%, $E$9)</f>
        <v>13.7112</v>
      </c>
      <c r="D924" s="9">
        <f>13.7122 * CHOOSE(CONTROL!$C$32, $C$9, 100%, $E$9)</f>
        <v>13.712199999999999</v>
      </c>
      <c r="E924" s="11">
        <f>9.9335 * CHOOSE(CONTROL!$C$32, $C$9, 100%, $E$9)</f>
        <v>9.9335000000000004</v>
      </c>
      <c r="F924" s="11">
        <f>9.9335 * CHOOSE(CONTROL!$C$32, $C$9, 100%, $E$9)</f>
        <v>9.9335000000000004</v>
      </c>
      <c r="G924" s="11">
        <f>9.9367 * CHOOSE(CONTROL!$C$32, $C$9, 100%, $E$9)</f>
        <v>9.9367000000000001</v>
      </c>
      <c r="H924" s="11">
        <f>32.5223 * CHOOSE(CONTROL!$C$32, $C$9, 100%, $E$9)</f>
        <v>32.522300000000001</v>
      </c>
      <c r="I924" s="11">
        <f>32.5256 * CHOOSE(CONTROL!$C$32, $C$9, 100%, $E$9)</f>
        <v>32.525599999999997</v>
      </c>
      <c r="J924" s="11">
        <f>32.5223 * CHOOSE(CONTROL!$C$32, $C$9, 100%, $E$9)</f>
        <v>32.522300000000001</v>
      </c>
      <c r="K924" s="11">
        <f>32.5256 * CHOOSE(CONTROL!$C$32, $C$9, 100%, $E$9)</f>
        <v>32.525599999999997</v>
      </c>
      <c r="L924" s="11">
        <f>9.9335 * CHOOSE(CONTROL!$C$32, $C$9, 100%, $E$9)</f>
        <v>9.9335000000000004</v>
      </c>
      <c r="M924" s="11">
        <f>9.9367 * CHOOSE(CONTROL!$C$32, $C$9, 100%, $E$9)</f>
        <v>9.9367000000000001</v>
      </c>
      <c r="N924" s="11">
        <f>9.9335 * CHOOSE(CONTROL!$C$32, $C$9, 100%, $E$9)</f>
        <v>9.9335000000000004</v>
      </c>
      <c r="O924" s="11">
        <f>9.9367 * CHOOSE(CONTROL!$C$32, $C$9, 100%, $E$9)</f>
        <v>9.9367000000000001</v>
      </c>
    </row>
    <row r="925" spans="1:15" ht="15" x14ac:dyDescent="0.2">
      <c r="A925" s="13">
        <v>69003</v>
      </c>
      <c r="B925" s="9">
        <f>13.7112 * CHOOSE(CONTROL!$C$32, $C$9, 100%, $E$9)</f>
        <v>13.7112</v>
      </c>
      <c r="C925" s="9">
        <f>13.7112 * CHOOSE(CONTROL!$C$32, $C$9, 100%, $E$9)</f>
        <v>13.7112</v>
      </c>
      <c r="D925" s="9">
        <f>13.7122 * CHOOSE(CONTROL!$C$32, $C$9, 100%, $E$9)</f>
        <v>13.712199999999999</v>
      </c>
      <c r="E925" s="11">
        <f>9.7131 * CHOOSE(CONTROL!$C$32, $C$9, 100%, $E$9)</f>
        <v>9.7131000000000007</v>
      </c>
      <c r="F925" s="11">
        <f>9.7131 * CHOOSE(CONTROL!$C$32, $C$9, 100%, $E$9)</f>
        <v>9.7131000000000007</v>
      </c>
      <c r="G925" s="11">
        <f>9.7163 * CHOOSE(CONTROL!$C$32, $C$9, 100%, $E$9)</f>
        <v>9.7163000000000004</v>
      </c>
      <c r="H925" s="11">
        <f>32.5901 * CHOOSE(CONTROL!$C$32, $C$9, 100%, $E$9)</f>
        <v>32.5901</v>
      </c>
      <c r="I925" s="11">
        <f>32.5933 * CHOOSE(CONTROL!$C$32, $C$9, 100%, $E$9)</f>
        <v>32.593299999999999</v>
      </c>
      <c r="J925" s="11">
        <f>32.5901 * CHOOSE(CONTROL!$C$32, $C$9, 100%, $E$9)</f>
        <v>32.5901</v>
      </c>
      <c r="K925" s="11">
        <f>32.5933 * CHOOSE(CONTROL!$C$32, $C$9, 100%, $E$9)</f>
        <v>32.593299999999999</v>
      </c>
      <c r="L925" s="11">
        <f>9.7131 * CHOOSE(CONTROL!$C$32, $C$9, 100%, $E$9)</f>
        <v>9.7131000000000007</v>
      </c>
      <c r="M925" s="11">
        <f>9.7163 * CHOOSE(CONTROL!$C$32, $C$9, 100%, $E$9)</f>
        <v>9.7163000000000004</v>
      </c>
      <c r="N925" s="11">
        <f>9.7131 * CHOOSE(CONTROL!$C$32, $C$9, 100%, $E$9)</f>
        <v>9.7131000000000007</v>
      </c>
      <c r="O925" s="11">
        <f>9.7163 * CHOOSE(CONTROL!$C$32, $C$9, 100%, $E$9)</f>
        <v>9.7163000000000004</v>
      </c>
    </row>
    <row r="926" spans="1:15" ht="15" x14ac:dyDescent="0.2">
      <c r="A926" s="13">
        <v>69034</v>
      </c>
      <c r="B926" s="9">
        <f>13.6909 * CHOOSE(CONTROL!$C$32, $C$9, 100%, $E$9)</f>
        <v>13.690899999999999</v>
      </c>
      <c r="C926" s="9">
        <f>13.6909 * CHOOSE(CONTROL!$C$32, $C$9, 100%, $E$9)</f>
        <v>13.690899999999999</v>
      </c>
      <c r="D926" s="9">
        <f>13.6918 * CHOOSE(CONTROL!$C$32, $C$9, 100%, $E$9)</f>
        <v>13.691800000000001</v>
      </c>
      <c r="E926" s="11">
        <f>9.8691 * CHOOSE(CONTROL!$C$32, $C$9, 100%, $E$9)</f>
        <v>9.8690999999999995</v>
      </c>
      <c r="F926" s="11">
        <f>9.8691 * CHOOSE(CONTROL!$C$32, $C$9, 100%, $E$9)</f>
        <v>9.8690999999999995</v>
      </c>
      <c r="G926" s="11">
        <f>9.8724 * CHOOSE(CONTROL!$C$32, $C$9, 100%, $E$9)</f>
        <v>9.8724000000000007</v>
      </c>
      <c r="H926" s="11">
        <f>32.3241 * CHOOSE(CONTROL!$C$32, $C$9, 100%, $E$9)</f>
        <v>32.324100000000001</v>
      </c>
      <c r="I926" s="11">
        <f>32.3273 * CHOOSE(CONTROL!$C$32, $C$9, 100%, $E$9)</f>
        <v>32.327300000000001</v>
      </c>
      <c r="J926" s="11">
        <f>32.3241 * CHOOSE(CONTROL!$C$32, $C$9, 100%, $E$9)</f>
        <v>32.324100000000001</v>
      </c>
      <c r="K926" s="11">
        <f>32.3273 * CHOOSE(CONTROL!$C$32, $C$9, 100%, $E$9)</f>
        <v>32.327300000000001</v>
      </c>
      <c r="L926" s="11">
        <f>9.8691 * CHOOSE(CONTROL!$C$32, $C$9, 100%, $E$9)</f>
        <v>9.8690999999999995</v>
      </c>
      <c r="M926" s="11">
        <f>9.8724 * CHOOSE(CONTROL!$C$32, $C$9, 100%, $E$9)</f>
        <v>9.8724000000000007</v>
      </c>
      <c r="N926" s="11">
        <f>9.8691 * CHOOSE(CONTROL!$C$32, $C$9, 100%, $E$9)</f>
        <v>9.8690999999999995</v>
      </c>
      <c r="O926" s="11">
        <f>9.8724 * CHOOSE(CONTROL!$C$32, $C$9, 100%, $E$9)</f>
        <v>9.8724000000000007</v>
      </c>
    </row>
    <row r="927" spans="1:15" ht="15" x14ac:dyDescent="0.2">
      <c r="A927" s="13">
        <v>69065</v>
      </c>
      <c r="B927" s="9">
        <f>13.6878 * CHOOSE(CONTROL!$C$32, $C$9, 100%, $E$9)</f>
        <v>13.687799999999999</v>
      </c>
      <c r="C927" s="9">
        <f>13.6878 * CHOOSE(CONTROL!$C$32, $C$9, 100%, $E$9)</f>
        <v>13.687799999999999</v>
      </c>
      <c r="D927" s="9">
        <f>13.6888 * CHOOSE(CONTROL!$C$32, $C$9, 100%, $E$9)</f>
        <v>13.688800000000001</v>
      </c>
      <c r="E927" s="11">
        <f>9.4435 * CHOOSE(CONTROL!$C$32, $C$9, 100%, $E$9)</f>
        <v>9.4435000000000002</v>
      </c>
      <c r="F927" s="11">
        <f>9.4435 * CHOOSE(CONTROL!$C$32, $C$9, 100%, $E$9)</f>
        <v>9.4435000000000002</v>
      </c>
      <c r="G927" s="11">
        <f>9.4467 * CHOOSE(CONTROL!$C$32, $C$9, 100%, $E$9)</f>
        <v>9.4466999999999999</v>
      </c>
      <c r="H927" s="11">
        <f>32.3914 * CHOOSE(CONTROL!$C$32, $C$9, 100%, $E$9)</f>
        <v>32.391399999999997</v>
      </c>
      <c r="I927" s="11">
        <f>32.3946 * CHOOSE(CONTROL!$C$32, $C$9, 100%, $E$9)</f>
        <v>32.394599999999997</v>
      </c>
      <c r="J927" s="11">
        <f>32.3914 * CHOOSE(CONTROL!$C$32, $C$9, 100%, $E$9)</f>
        <v>32.391399999999997</v>
      </c>
      <c r="K927" s="11">
        <f>32.3946 * CHOOSE(CONTROL!$C$32, $C$9, 100%, $E$9)</f>
        <v>32.394599999999997</v>
      </c>
      <c r="L927" s="11">
        <f>9.4435 * CHOOSE(CONTROL!$C$32, $C$9, 100%, $E$9)</f>
        <v>9.4435000000000002</v>
      </c>
      <c r="M927" s="11">
        <f>9.4467 * CHOOSE(CONTROL!$C$32, $C$9, 100%, $E$9)</f>
        <v>9.4466999999999999</v>
      </c>
      <c r="N927" s="11">
        <f>9.4435 * CHOOSE(CONTROL!$C$32, $C$9, 100%, $E$9)</f>
        <v>9.4435000000000002</v>
      </c>
      <c r="O927" s="11">
        <f>9.4467 * CHOOSE(CONTROL!$C$32, $C$9, 100%, $E$9)</f>
        <v>9.4466999999999999</v>
      </c>
    </row>
    <row r="928" spans="1:15" ht="15" x14ac:dyDescent="0.2">
      <c r="A928" s="13">
        <v>69093</v>
      </c>
      <c r="B928" s="9">
        <f>13.6848 * CHOOSE(CONTROL!$C$32, $C$9, 100%, $E$9)</f>
        <v>13.684799999999999</v>
      </c>
      <c r="C928" s="9">
        <f>13.6848 * CHOOSE(CONTROL!$C$32, $C$9, 100%, $E$9)</f>
        <v>13.684799999999999</v>
      </c>
      <c r="D928" s="9">
        <f>13.6858 * CHOOSE(CONTROL!$C$32, $C$9, 100%, $E$9)</f>
        <v>13.6858</v>
      </c>
      <c r="E928" s="11">
        <f>9.7753 * CHOOSE(CONTROL!$C$32, $C$9, 100%, $E$9)</f>
        <v>9.7752999999999997</v>
      </c>
      <c r="F928" s="11">
        <f>9.7753 * CHOOSE(CONTROL!$C$32, $C$9, 100%, $E$9)</f>
        <v>9.7752999999999997</v>
      </c>
      <c r="G928" s="11">
        <f>9.7785 * CHOOSE(CONTROL!$C$32, $C$9, 100%, $E$9)</f>
        <v>9.7784999999999993</v>
      </c>
      <c r="H928" s="11">
        <f>32.4589 * CHOOSE(CONTROL!$C$32, $C$9, 100%, $E$9)</f>
        <v>32.4589</v>
      </c>
      <c r="I928" s="11">
        <f>32.4621 * CHOOSE(CONTROL!$C$32, $C$9, 100%, $E$9)</f>
        <v>32.4621</v>
      </c>
      <c r="J928" s="11">
        <f>32.4589 * CHOOSE(CONTROL!$C$32, $C$9, 100%, $E$9)</f>
        <v>32.4589</v>
      </c>
      <c r="K928" s="11">
        <f>32.4621 * CHOOSE(CONTROL!$C$32, $C$9, 100%, $E$9)</f>
        <v>32.4621</v>
      </c>
      <c r="L928" s="11">
        <f>9.7753 * CHOOSE(CONTROL!$C$32, $C$9, 100%, $E$9)</f>
        <v>9.7752999999999997</v>
      </c>
      <c r="M928" s="11">
        <f>9.7785 * CHOOSE(CONTROL!$C$32, $C$9, 100%, $E$9)</f>
        <v>9.7784999999999993</v>
      </c>
      <c r="N928" s="11">
        <f>9.7753 * CHOOSE(CONTROL!$C$32, $C$9, 100%, $E$9)</f>
        <v>9.7752999999999997</v>
      </c>
      <c r="O928" s="11">
        <f>9.7785 * CHOOSE(CONTROL!$C$32, $C$9, 100%, $E$9)</f>
        <v>9.7784999999999993</v>
      </c>
    </row>
    <row r="929" spans="1:15" ht="15" x14ac:dyDescent="0.2">
      <c r="A929" s="13">
        <v>69124</v>
      </c>
      <c r="B929" s="9">
        <f>13.6919 * CHOOSE(CONTROL!$C$32, $C$9, 100%, $E$9)</f>
        <v>13.6919</v>
      </c>
      <c r="C929" s="9">
        <f>13.6919 * CHOOSE(CONTROL!$C$32, $C$9, 100%, $E$9)</f>
        <v>13.6919</v>
      </c>
      <c r="D929" s="9">
        <f>13.6928 * CHOOSE(CONTROL!$C$32, $C$9, 100%, $E$9)</f>
        <v>13.6928</v>
      </c>
      <c r="E929" s="11">
        <f>10.1296 * CHOOSE(CONTROL!$C$32, $C$9, 100%, $E$9)</f>
        <v>10.1296</v>
      </c>
      <c r="F929" s="11">
        <f>10.1296 * CHOOSE(CONTROL!$C$32, $C$9, 100%, $E$9)</f>
        <v>10.1296</v>
      </c>
      <c r="G929" s="11">
        <f>10.1328 * CHOOSE(CONTROL!$C$32, $C$9, 100%, $E$9)</f>
        <v>10.1328</v>
      </c>
      <c r="H929" s="11">
        <f>32.5265 * CHOOSE(CONTROL!$C$32, $C$9, 100%, $E$9)</f>
        <v>32.526499999999999</v>
      </c>
      <c r="I929" s="11">
        <f>32.5298 * CHOOSE(CONTROL!$C$32, $C$9, 100%, $E$9)</f>
        <v>32.529800000000002</v>
      </c>
      <c r="J929" s="11">
        <f>32.5265 * CHOOSE(CONTROL!$C$32, $C$9, 100%, $E$9)</f>
        <v>32.526499999999999</v>
      </c>
      <c r="K929" s="11">
        <f>32.5298 * CHOOSE(CONTROL!$C$32, $C$9, 100%, $E$9)</f>
        <v>32.529800000000002</v>
      </c>
      <c r="L929" s="11">
        <f>10.1296 * CHOOSE(CONTROL!$C$32, $C$9, 100%, $E$9)</f>
        <v>10.1296</v>
      </c>
      <c r="M929" s="11">
        <f>10.1328 * CHOOSE(CONTROL!$C$32, $C$9, 100%, $E$9)</f>
        <v>10.1328</v>
      </c>
      <c r="N929" s="11">
        <f>10.1296 * CHOOSE(CONTROL!$C$32, $C$9, 100%, $E$9)</f>
        <v>10.1296</v>
      </c>
      <c r="O929" s="11">
        <f>10.1328 * CHOOSE(CONTROL!$C$32, $C$9, 100%, $E$9)</f>
        <v>10.1328</v>
      </c>
    </row>
    <row r="930" spans="1:15" ht="15" x14ac:dyDescent="0.2">
      <c r="A930" s="13">
        <v>69154</v>
      </c>
      <c r="B930" s="9">
        <f>13.6919 * CHOOSE(CONTROL!$C$32, $C$9, 100%, $E$9)</f>
        <v>13.6919</v>
      </c>
      <c r="C930" s="9">
        <f>13.6919 * CHOOSE(CONTROL!$C$32, $C$9, 100%, $E$9)</f>
        <v>13.6919</v>
      </c>
      <c r="D930" s="9">
        <f>13.6931 * CHOOSE(CONTROL!$C$32, $C$9, 100%, $E$9)</f>
        <v>13.693099999999999</v>
      </c>
      <c r="E930" s="11">
        <f>10.2641 * CHOOSE(CONTROL!$C$32, $C$9, 100%, $E$9)</f>
        <v>10.264099999999999</v>
      </c>
      <c r="F930" s="11">
        <f>10.2641 * CHOOSE(CONTROL!$C$32, $C$9, 100%, $E$9)</f>
        <v>10.264099999999999</v>
      </c>
      <c r="G930" s="11">
        <f>10.2683 * CHOOSE(CONTROL!$C$32, $C$9, 100%, $E$9)</f>
        <v>10.2683</v>
      </c>
      <c r="H930" s="11">
        <f>32.5943 * CHOOSE(CONTROL!$C$32, $C$9, 100%, $E$9)</f>
        <v>32.594299999999997</v>
      </c>
      <c r="I930" s="11">
        <f>32.5985 * CHOOSE(CONTROL!$C$32, $C$9, 100%, $E$9)</f>
        <v>32.598500000000001</v>
      </c>
      <c r="J930" s="11">
        <f>32.5943 * CHOOSE(CONTROL!$C$32, $C$9, 100%, $E$9)</f>
        <v>32.594299999999997</v>
      </c>
      <c r="K930" s="11">
        <f>32.5985 * CHOOSE(CONTROL!$C$32, $C$9, 100%, $E$9)</f>
        <v>32.598500000000001</v>
      </c>
      <c r="L930" s="11">
        <f>10.2641 * CHOOSE(CONTROL!$C$32, $C$9, 100%, $E$9)</f>
        <v>10.264099999999999</v>
      </c>
      <c r="M930" s="11">
        <f>10.2683 * CHOOSE(CONTROL!$C$32, $C$9, 100%, $E$9)</f>
        <v>10.2683</v>
      </c>
      <c r="N930" s="11">
        <f>10.2641 * CHOOSE(CONTROL!$C$32, $C$9, 100%, $E$9)</f>
        <v>10.264099999999999</v>
      </c>
      <c r="O930" s="11">
        <f>10.2683 * CHOOSE(CONTROL!$C$32, $C$9, 100%, $E$9)</f>
        <v>10.2683</v>
      </c>
    </row>
    <row r="931" spans="1:15" ht="15" x14ac:dyDescent="0.2">
      <c r="A931" s="13">
        <v>69185</v>
      </c>
      <c r="B931" s="9">
        <f>13.6979 * CHOOSE(CONTROL!$C$32, $C$9, 100%, $E$9)</f>
        <v>13.697900000000001</v>
      </c>
      <c r="C931" s="9">
        <f>13.6979 * CHOOSE(CONTROL!$C$32, $C$9, 100%, $E$9)</f>
        <v>13.697900000000001</v>
      </c>
      <c r="D931" s="9">
        <f>13.6992 * CHOOSE(CONTROL!$C$32, $C$9, 100%, $E$9)</f>
        <v>13.699199999999999</v>
      </c>
      <c r="E931" s="11">
        <f>10.1338 * CHOOSE(CONTROL!$C$32, $C$9, 100%, $E$9)</f>
        <v>10.133800000000001</v>
      </c>
      <c r="F931" s="11">
        <f>10.1338 * CHOOSE(CONTROL!$C$32, $C$9, 100%, $E$9)</f>
        <v>10.133800000000001</v>
      </c>
      <c r="G931" s="11">
        <f>10.138 * CHOOSE(CONTROL!$C$32, $C$9, 100%, $E$9)</f>
        <v>10.138</v>
      </c>
      <c r="H931" s="11">
        <f>32.6622 * CHOOSE(CONTROL!$C$32, $C$9, 100%, $E$9)</f>
        <v>32.662199999999999</v>
      </c>
      <c r="I931" s="11">
        <f>32.6664 * CHOOSE(CONTROL!$C$32, $C$9, 100%, $E$9)</f>
        <v>32.666400000000003</v>
      </c>
      <c r="J931" s="11">
        <f>32.6622 * CHOOSE(CONTROL!$C$32, $C$9, 100%, $E$9)</f>
        <v>32.662199999999999</v>
      </c>
      <c r="K931" s="11">
        <f>32.6664 * CHOOSE(CONTROL!$C$32, $C$9, 100%, $E$9)</f>
        <v>32.666400000000003</v>
      </c>
      <c r="L931" s="11">
        <f>10.1338 * CHOOSE(CONTROL!$C$32, $C$9, 100%, $E$9)</f>
        <v>10.133800000000001</v>
      </c>
      <c r="M931" s="11">
        <f>10.138 * CHOOSE(CONTROL!$C$32, $C$9, 100%, $E$9)</f>
        <v>10.138</v>
      </c>
      <c r="N931" s="11">
        <f>10.1338 * CHOOSE(CONTROL!$C$32, $C$9, 100%, $E$9)</f>
        <v>10.133800000000001</v>
      </c>
      <c r="O931" s="11">
        <f>10.138 * CHOOSE(CONTROL!$C$32, $C$9, 100%, $E$9)</f>
        <v>10.138</v>
      </c>
    </row>
    <row r="932" spans="1:15" ht="15" x14ac:dyDescent="0.2">
      <c r="A932" s="13">
        <v>69215</v>
      </c>
      <c r="B932" s="9">
        <f>13.8629 * CHOOSE(CONTROL!$C$32, $C$9, 100%, $E$9)</f>
        <v>13.8629</v>
      </c>
      <c r="C932" s="9">
        <f>13.8629 * CHOOSE(CONTROL!$C$32, $C$9, 100%, $E$9)</f>
        <v>13.8629</v>
      </c>
      <c r="D932" s="9">
        <f>13.8641 * CHOOSE(CONTROL!$C$32, $C$9, 100%, $E$9)</f>
        <v>13.864100000000001</v>
      </c>
      <c r="E932" s="11">
        <f>10.2014 * CHOOSE(CONTROL!$C$32, $C$9, 100%, $E$9)</f>
        <v>10.2014</v>
      </c>
      <c r="F932" s="11">
        <f>10.2014 * CHOOSE(CONTROL!$C$32, $C$9, 100%, $E$9)</f>
        <v>10.2014</v>
      </c>
      <c r="G932" s="11">
        <f>10.2056 * CHOOSE(CONTROL!$C$32, $C$9, 100%, $E$9)</f>
        <v>10.2056</v>
      </c>
      <c r="H932" s="11">
        <f>32.7302 * CHOOSE(CONTROL!$C$32, $C$9, 100%, $E$9)</f>
        <v>32.730200000000004</v>
      </c>
      <c r="I932" s="11">
        <f>32.7344 * CHOOSE(CONTROL!$C$32, $C$9, 100%, $E$9)</f>
        <v>32.734400000000001</v>
      </c>
      <c r="J932" s="11">
        <f>32.7302 * CHOOSE(CONTROL!$C$32, $C$9, 100%, $E$9)</f>
        <v>32.730200000000004</v>
      </c>
      <c r="K932" s="11">
        <f>32.7344 * CHOOSE(CONTROL!$C$32, $C$9, 100%, $E$9)</f>
        <v>32.734400000000001</v>
      </c>
      <c r="L932" s="11">
        <f>10.2014 * CHOOSE(CONTROL!$C$32, $C$9, 100%, $E$9)</f>
        <v>10.2014</v>
      </c>
      <c r="M932" s="11">
        <f>10.2056 * CHOOSE(CONTROL!$C$32, $C$9, 100%, $E$9)</f>
        <v>10.2056</v>
      </c>
      <c r="N932" s="11">
        <f>10.2014 * CHOOSE(CONTROL!$C$32, $C$9, 100%, $E$9)</f>
        <v>10.2014</v>
      </c>
      <c r="O932" s="11">
        <f>10.2056 * CHOOSE(CONTROL!$C$32, $C$9, 100%, $E$9)</f>
        <v>10.2056</v>
      </c>
    </row>
    <row r="933" spans="1:15" ht="15" x14ac:dyDescent="0.2">
      <c r="A933" s="13">
        <v>69246</v>
      </c>
      <c r="B933" s="9">
        <f>13.8696 * CHOOSE(CONTROL!$C$32, $C$9, 100%, $E$9)</f>
        <v>13.8696</v>
      </c>
      <c r="C933" s="9">
        <f>13.8696 * CHOOSE(CONTROL!$C$32, $C$9, 100%, $E$9)</f>
        <v>13.8696</v>
      </c>
      <c r="D933" s="9">
        <f>13.8708 * CHOOSE(CONTROL!$C$32, $C$9, 100%, $E$9)</f>
        <v>13.870799999999999</v>
      </c>
      <c r="E933" s="11">
        <f>9.8027 * CHOOSE(CONTROL!$C$32, $C$9, 100%, $E$9)</f>
        <v>9.8026999999999997</v>
      </c>
      <c r="F933" s="11">
        <f>9.8027 * CHOOSE(CONTROL!$C$32, $C$9, 100%, $E$9)</f>
        <v>9.8026999999999997</v>
      </c>
      <c r="G933" s="11">
        <f>9.8069 * CHOOSE(CONTROL!$C$32, $C$9, 100%, $E$9)</f>
        <v>9.8069000000000006</v>
      </c>
      <c r="H933" s="11">
        <f>32.7984 * CHOOSE(CONTROL!$C$32, $C$9, 100%, $E$9)</f>
        <v>32.798400000000001</v>
      </c>
      <c r="I933" s="11">
        <f>32.8026 * CHOOSE(CONTROL!$C$32, $C$9, 100%, $E$9)</f>
        <v>32.802599999999998</v>
      </c>
      <c r="J933" s="11">
        <f>32.7984 * CHOOSE(CONTROL!$C$32, $C$9, 100%, $E$9)</f>
        <v>32.798400000000001</v>
      </c>
      <c r="K933" s="11">
        <f>32.8026 * CHOOSE(CONTROL!$C$32, $C$9, 100%, $E$9)</f>
        <v>32.802599999999998</v>
      </c>
      <c r="L933" s="11">
        <f>9.8027 * CHOOSE(CONTROL!$C$32, $C$9, 100%, $E$9)</f>
        <v>9.8026999999999997</v>
      </c>
      <c r="M933" s="11">
        <f>9.8069 * CHOOSE(CONTROL!$C$32, $C$9, 100%, $E$9)</f>
        <v>9.8069000000000006</v>
      </c>
      <c r="N933" s="11">
        <f>9.8027 * CHOOSE(CONTROL!$C$32, $C$9, 100%, $E$9)</f>
        <v>9.8026999999999997</v>
      </c>
      <c r="O933" s="11">
        <f>9.8069 * CHOOSE(CONTROL!$C$32, $C$9, 100%, $E$9)</f>
        <v>9.8069000000000006</v>
      </c>
    </row>
    <row r="934" spans="1:15" ht="15" x14ac:dyDescent="0.2">
      <c r="A934" s="13">
        <v>69277</v>
      </c>
      <c r="B934" s="9">
        <f>13.8665 * CHOOSE(CONTROL!$C$32, $C$9, 100%, $E$9)</f>
        <v>13.8665</v>
      </c>
      <c r="C934" s="9">
        <f>13.8665 * CHOOSE(CONTROL!$C$32, $C$9, 100%, $E$9)</f>
        <v>13.8665</v>
      </c>
      <c r="D934" s="9">
        <f>13.8678 * CHOOSE(CONTROL!$C$32, $C$9, 100%, $E$9)</f>
        <v>13.867800000000001</v>
      </c>
      <c r="E934" s="11">
        <f>9.7557 * CHOOSE(CONTROL!$C$32, $C$9, 100%, $E$9)</f>
        <v>9.7556999999999992</v>
      </c>
      <c r="F934" s="11">
        <f>9.7557 * CHOOSE(CONTROL!$C$32, $C$9, 100%, $E$9)</f>
        <v>9.7556999999999992</v>
      </c>
      <c r="G934" s="11">
        <f>9.7599 * CHOOSE(CONTROL!$C$32, $C$9, 100%, $E$9)</f>
        <v>9.7599</v>
      </c>
      <c r="H934" s="11">
        <f>32.8668 * CHOOSE(CONTROL!$C$32, $C$9, 100%, $E$9)</f>
        <v>32.866799999999998</v>
      </c>
      <c r="I934" s="11">
        <f>32.871 * CHOOSE(CONTROL!$C$32, $C$9, 100%, $E$9)</f>
        <v>32.871000000000002</v>
      </c>
      <c r="J934" s="11">
        <f>32.8668 * CHOOSE(CONTROL!$C$32, $C$9, 100%, $E$9)</f>
        <v>32.866799999999998</v>
      </c>
      <c r="K934" s="11">
        <f>32.871 * CHOOSE(CONTROL!$C$32, $C$9, 100%, $E$9)</f>
        <v>32.871000000000002</v>
      </c>
      <c r="L934" s="11">
        <f>9.7557 * CHOOSE(CONTROL!$C$32, $C$9, 100%, $E$9)</f>
        <v>9.7556999999999992</v>
      </c>
      <c r="M934" s="11">
        <f>9.7599 * CHOOSE(CONTROL!$C$32, $C$9, 100%, $E$9)</f>
        <v>9.7599</v>
      </c>
      <c r="N934" s="11">
        <f>9.7557 * CHOOSE(CONTROL!$C$32, $C$9, 100%, $E$9)</f>
        <v>9.7556999999999992</v>
      </c>
      <c r="O934" s="11">
        <f>9.7599 * CHOOSE(CONTROL!$C$32, $C$9, 100%, $E$9)</f>
        <v>9.7599</v>
      </c>
    </row>
    <row r="935" spans="1:15" ht="15" x14ac:dyDescent="0.2">
      <c r="A935" s="13">
        <v>69307</v>
      </c>
      <c r="B935" s="9">
        <f>13.8985 * CHOOSE(CONTROL!$C$32, $C$9, 100%, $E$9)</f>
        <v>13.8985</v>
      </c>
      <c r="C935" s="9">
        <f>13.8985 * CHOOSE(CONTROL!$C$32, $C$9, 100%, $E$9)</f>
        <v>13.8985</v>
      </c>
      <c r="D935" s="9">
        <f>13.8994 * CHOOSE(CONTROL!$C$32, $C$9, 100%, $E$9)</f>
        <v>13.8994</v>
      </c>
      <c r="E935" s="11">
        <f>9.9216 * CHOOSE(CONTROL!$C$32, $C$9, 100%, $E$9)</f>
        <v>9.9215999999999998</v>
      </c>
      <c r="F935" s="11">
        <f>9.9216 * CHOOSE(CONTROL!$C$32, $C$9, 100%, $E$9)</f>
        <v>9.9215999999999998</v>
      </c>
      <c r="G935" s="11">
        <f>9.9248 * CHOOSE(CONTROL!$C$32, $C$9, 100%, $E$9)</f>
        <v>9.9247999999999994</v>
      </c>
      <c r="H935" s="11">
        <f>32.9352 * CHOOSE(CONTROL!$C$32, $C$9, 100%, $E$9)</f>
        <v>32.935200000000002</v>
      </c>
      <c r="I935" s="11">
        <f>32.9385 * CHOOSE(CONTROL!$C$32, $C$9, 100%, $E$9)</f>
        <v>32.938499999999998</v>
      </c>
      <c r="J935" s="11">
        <f>32.9352 * CHOOSE(CONTROL!$C$32, $C$9, 100%, $E$9)</f>
        <v>32.935200000000002</v>
      </c>
      <c r="K935" s="11">
        <f>32.9385 * CHOOSE(CONTROL!$C$32, $C$9, 100%, $E$9)</f>
        <v>32.938499999999998</v>
      </c>
      <c r="L935" s="11">
        <f>9.9216 * CHOOSE(CONTROL!$C$32, $C$9, 100%, $E$9)</f>
        <v>9.9215999999999998</v>
      </c>
      <c r="M935" s="11">
        <f>9.9248 * CHOOSE(CONTROL!$C$32, $C$9, 100%, $E$9)</f>
        <v>9.9247999999999994</v>
      </c>
      <c r="N935" s="11">
        <f>9.9216 * CHOOSE(CONTROL!$C$32, $C$9, 100%, $E$9)</f>
        <v>9.9215999999999998</v>
      </c>
      <c r="O935" s="11">
        <f>9.9248 * CHOOSE(CONTROL!$C$32, $C$9, 100%, $E$9)</f>
        <v>9.9247999999999994</v>
      </c>
    </row>
    <row r="936" spans="1:15" ht="15" x14ac:dyDescent="0.2">
      <c r="A936" s="13">
        <v>69338</v>
      </c>
      <c r="B936" s="9">
        <f>13.9015 * CHOOSE(CONTROL!$C$32, $C$9, 100%, $E$9)</f>
        <v>13.9015</v>
      </c>
      <c r="C936" s="9">
        <f>13.9015 * CHOOSE(CONTROL!$C$32, $C$9, 100%, $E$9)</f>
        <v>13.9015</v>
      </c>
      <c r="D936" s="9">
        <f>13.9025 * CHOOSE(CONTROL!$C$32, $C$9, 100%, $E$9)</f>
        <v>13.9025</v>
      </c>
      <c r="E936" s="11">
        <f>10.0134 * CHOOSE(CONTROL!$C$32, $C$9, 100%, $E$9)</f>
        <v>10.013400000000001</v>
      </c>
      <c r="F936" s="11">
        <f>10.0134 * CHOOSE(CONTROL!$C$32, $C$9, 100%, $E$9)</f>
        <v>10.013400000000001</v>
      </c>
      <c r="G936" s="11">
        <f>10.0166 * CHOOSE(CONTROL!$C$32, $C$9, 100%, $E$9)</f>
        <v>10.0166</v>
      </c>
      <c r="H936" s="11">
        <f>33.0038 * CHOOSE(CONTROL!$C$32, $C$9, 100%, $E$9)</f>
        <v>33.003799999999998</v>
      </c>
      <c r="I936" s="11">
        <f>33.0071 * CHOOSE(CONTROL!$C$32, $C$9, 100%, $E$9)</f>
        <v>33.007100000000001</v>
      </c>
      <c r="J936" s="11">
        <f>33.0038 * CHOOSE(CONTROL!$C$32, $C$9, 100%, $E$9)</f>
        <v>33.003799999999998</v>
      </c>
      <c r="K936" s="11">
        <f>33.0071 * CHOOSE(CONTROL!$C$32, $C$9, 100%, $E$9)</f>
        <v>33.007100000000001</v>
      </c>
      <c r="L936" s="11">
        <f>10.0134 * CHOOSE(CONTROL!$C$32, $C$9, 100%, $E$9)</f>
        <v>10.013400000000001</v>
      </c>
      <c r="M936" s="11">
        <f>10.0166 * CHOOSE(CONTROL!$C$32, $C$9, 100%, $E$9)</f>
        <v>10.0166</v>
      </c>
      <c r="N936" s="11">
        <f>10.0134 * CHOOSE(CONTROL!$C$32, $C$9, 100%, $E$9)</f>
        <v>10.013400000000001</v>
      </c>
      <c r="O936" s="11">
        <f>10.0166 * CHOOSE(CONTROL!$C$32, $C$9, 100%, $E$9)</f>
        <v>10.0166</v>
      </c>
    </row>
    <row r="937" spans="1:15" ht="15" x14ac:dyDescent="0.2">
      <c r="A937" s="13">
        <v>69368</v>
      </c>
      <c r="B937" s="9">
        <f>13.9015 * CHOOSE(CONTROL!$C$32, $C$9, 100%, $E$9)</f>
        <v>13.9015</v>
      </c>
      <c r="C937" s="9">
        <f>13.9015 * CHOOSE(CONTROL!$C$32, $C$9, 100%, $E$9)</f>
        <v>13.9015</v>
      </c>
      <c r="D937" s="9">
        <f>13.9025 * CHOOSE(CONTROL!$C$32, $C$9, 100%, $E$9)</f>
        <v>13.9025</v>
      </c>
      <c r="E937" s="11">
        <f>9.7893 * CHOOSE(CONTROL!$C$32, $C$9, 100%, $E$9)</f>
        <v>9.7893000000000008</v>
      </c>
      <c r="F937" s="11">
        <f>9.7893 * CHOOSE(CONTROL!$C$32, $C$9, 100%, $E$9)</f>
        <v>9.7893000000000008</v>
      </c>
      <c r="G937" s="11">
        <f>9.7925 * CHOOSE(CONTROL!$C$32, $C$9, 100%, $E$9)</f>
        <v>9.7925000000000004</v>
      </c>
      <c r="H937" s="11">
        <f>33.0726 * CHOOSE(CONTROL!$C$32, $C$9, 100%, $E$9)</f>
        <v>33.072600000000001</v>
      </c>
      <c r="I937" s="11">
        <f>33.0758 * CHOOSE(CONTROL!$C$32, $C$9, 100%, $E$9)</f>
        <v>33.075800000000001</v>
      </c>
      <c r="J937" s="11">
        <f>33.0726 * CHOOSE(CONTROL!$C$32, $C$9, 100%, $E$9)</f>
        <v>33.072600000000001</v>
      </c>
      <c r="K937" s="11">
        <f>33.0758 * CHOOSE(CONTROL!$C$32, $C$9, 100%, $E$9)</f>
        <v>33.075800000000001</v>
      </c>
      <c r="L937" s="11">
        <f>9.7893 * CHOOSE(CONTROL!$C$32, $C$9, 100%, $E$9)</f>
        <v>9.7893000000000008</v>
      </c>
      <c r="M937" s="11">
        <f>9.7925 * CHOOSE(CONTROL!$C$32, $C$9, 100%, $E$9)</f>
        <v>9.7925000000000004</v>
      </c>
      <c r="N937" s="11">
        <f>9.7893 * CHOOSE(CONTROL!$C$32, $C$9, 100%, $E$9)</f>
        <v>9.7893000000000008</v>
      </c>
      <c r="O937" s="11">
        <f>9.7925 * CHOOSE(CONTROL!$C$32, $C$9, 100%, $E$9)</f>
        <v>9.7925000000000004</v>
      </c>
    </row>
    <row r="938" spans="1:15" ht="15" x14ac:dyDescent="0.2">
      <c r="A938" s="13">
        <v>69399</v>
      </c>
      <c r="B938" s="9">
        <f>13.8782 * CHOOSE(CONTROL!$C$32, $C$9, 100%, $E$9)</f>
        <v>13.8782</v>
      </c>
      <c r="C938" s="9">
        <f>13.8782 * CHOOSE(CONTROL!$C$32, $C$9, 100%, $E$9)</f>
        <v>13.8782</v>
      </c>
      <c r="D938" s="9">
        <f>13.8792 * CHOOSE(CONTROL!$C$32, $C$9, 100%, $E$9)</f>
        <v>13.879200000000001</v>
      </c>
      <c r="E938" s="11">
        <f>9.9464 * CHOOSE(CONTROL!$C$32, $C$9, 100%, $E$9)</f>
        <v>9.9464000000000006</v>
      </c>
      <c r="F938" s="11">
        <f>9.9464 * CHOOSE(CONTROL!$C$32, $C$9, 100%, $E$9)</f>
        <v>9.9464000000000006</v>
      </c>
      <c r="G938" s="11">
        <f>9.9497 * CHOOSE(CONTROL!$C$32, $C$9, 100%, $E$9)</f>
        <v>9.9497</v>
      </c>
      <c r="H938" s="11">
        <f>32.7957 * CHOOSE(CONTROL!$C$32, $C$9, 100%, $E$9)</f>
        <v>32.795699999999997</v>
      </c>
      <c r="I938" s="11">
        <f>32.7989 * CHOOSE(CONTROL!$C$32, $C$9, 100%, $E$9)</f>
        <v>32.798900000000003</v>
      </c>
      <c r="J938" s="11">
        <f>32.7957 * CHOOSE(CONTROL!$C$32, $C$9, 100%, $E$9)</f>
        <v>32.795699999999997</v>
      </c>
      <c r="K938" s="11">
        <f>32.7989 * CHOOSE(CONTROL!$C$32, $C$9, 100%, $E$9)</f>
        <v>32.798900000000003</v>
      </c>
      <c r="L938" s="11">
        <f>9.9464 * CHOOSE(CONTROL!$C$32, $C$9, 100%, $E$9)</f>
        <v>9.9464000000000006</v>
      </c>
      <c r="M938" s="11">
        <f>9.9497 * CHOOSE(CONTROL!$C$32, $C$9, 100%, $E$9)</f>
        <v>9.9497</v>
      </c>
      <c r="N938" s="11">
        <f>9.9464 * CHOOSE(CONTROL!$C$32, $C$9, 100%, $E$9)</f>
        <v>9.9464000000000006</v>
      </c>
      <c r="O938" s="11">
        <f>9.9497 * CHOOSE(CONTROL!$C$32, $C$9, 100%, $E$9)</f>
        <v>9.9497</v>
      </c>
    </row>
    <row r="939" spans="1:15" ht="15" x14ac:dyDescent="0.2">
      <c r="A939" s="13">
        <v>69430</v>
      </c>
      <c r="B939" s="9">
        <f>13.8752 * CHOOSE(CONTROL!$C$32, $C$9, 100%, $E$9)</f>
        <v>13.8752</v>
      </c>
      <c r="C939" s="9">
        <f>13.8752 * CHOOSE(CONTROL!$C$32, $C$9, 100%, $E$9)</f>
        <v>13.8752</v>
      </c>
      <c r="D939" s="9">
        <f>13.8761 * CHOOSE(CONTROL!$C$32, $C$9, 100%, $E$9)</f>
        <v>13.876099999999999</v>
      </c>
      <c r="E939" s="11">
        <f>9.5137 * CHOOSE(CONTROL!$C$32, $C$9, 100%, $E$9)</f>
        <v>9.5137</v>
      </c>
      <c r="F939" s="11">
        <f>9.5137 * CHOOSE(CONTROL!$C$32, $C$9, 100%, $E$9)</f>
        <v>9.5137</v>
      </c>
      <c r="G939" s="11">
        <f>9.5169 * CHOOSE(CONTROL!$C$32, $C$9, 100%, $E$9)</f>
        <v>9.5168999999999997</v>
      </c>
      <c r="H939" s="11">
        <f>32.864 * CHOOSE(CONTROL!$C$32, $C$9, 100%, $E$9)</f>
        <v>32.863999999999997</v>
      </c>
      <c r="I939" s="11">
        <f>32.8672 * CHOOSE(CONTROL!$C$32, $C$9, 100%, $E$9)</f>
        <v>32.867199999999997</v>
      </c>
      <c r="J939" s="11">
        <f>32.864 * CHOOSE(CONTROL!$C$32, $C$9, 100%, $E$9)</f>
        <v>32.863999999999997</v>
      </c>
      <c r="K939" s="11">
        <f>32.8672 * CHOOSE(CONTROL!$C$32, $C$9, 100%, $E$9)</f>
        <v>32.867199999999997</v>
      </c>
      <c r="L939" s="11">
        <f>9.5137 * CHOOSE(CONTROL!$C$32, $C$9, 100%, $E$9)</f>
        <v>9.5137</v>
      </c>
      <c r="M939" s="11">
        <f>9.5169 * CHOOSE(CONTROL!$C$32, $C$9, 100%, $E$9)</f>
        <v>9.5168999999999997</v>
      </c>
      <c r="N939" s="11">
        <f>9.5137 * CHOOSE(CONTROL!$C$32, $C$9, 100%, $E$9)</f>
        <v>9.5137</v>
      </c>
      <c r="O939" s="11">
        <f>9.5169 * CHOOSE(CONTROL!$C$32, $C$9, 100%, $E$9)</f>
        <v>9.5168999999999997</v>
      </c>
    </row>
    <row r="940" spans="1:15" ht="15" x14ac:dyDescent="0.2">
      <c r="A940" s="13">
        <v>69458</v>
      </c>
      <c r="B940" s="9">
        <f>13.8722 * CHOOSE(CONTROL!$C$32, $C$9, 100%, $E$9)</f>
        <v>13.872199999999999</v>
      </c>
      <c r="C940" s="9">
        <f>13.8722 * CHOOSE(CONTROL!$C$32, $C$9, 100%, $E$9)</f>
        <v>13.872199999999999</v>
      </c>
      <c r="D940" s="9">
        <f>13.8731 * CHOOSE(CONTROL!$C$32, $C$9, 100%, $E$9)</f>
        <v>13.873100000000001</v>
      </c>
      <c r="E940" s="11">
        <f>9.851 * CHOOSE(CONTROL!$C$32, $C$9, 100%, $E$9)</f>
        <v>9.8510000000000009</v>
      </c>
      <c r="F940" s="11">
        <f>9.851 * CHOOSE(CONTROL!$C$32, $C$9, 100%, $E$9)</f>
        <v>9.8510000000000009</v>
      </c>
      <c r="G940" s="11">
        <f>9.8543 * CHOOSE(CONTROL!$C$32, $C$9, 100%, $E$9)</f>
        <v>9.8543000000000003</v>
      </c>
      <c r="H940" s="11">
        <f>32.9325 * CHOOSE(CONTROL!$C$32, $C$9, 100%, $E$9)</f>
        <v>32.932499999999997</v>
      </c>
      <c r="I940" s="11">
        <f>32.9357 * CHOOSE(CONTROL!$C$32, $C$9, 100%, $E$9)</f>
        <v>32.935699999999997</v>
      </c>
      <c r="J940" s="11">
        <f>32.9325 * CHOOSE(CONTROL!$C$32, $C$9, 100%, $E$9)</f>
        <v>32.932499999999997</v>
      </c>
      <c r="K940" s="11">
        <f>32.9357 * CHOOSE(CONTROL!$C$32, $C$9, 100%, $E$9)</f>
        <v>32.935699999999997</v>
      </c>
      <c r="L940" s="11">
        <f>9.851 * CHOOSE(CONTROL!$C$32, $C$9, 100%, $E$9)</f>
        <v>9.8510000000000009</v>
      </c>
      <c r="M940" s="11">
        <f>9.8543 * CHOOSE(CONTROL!$C$32, $C$9, 100%, $E$9)</f>
        <v>9.8543000000000003</v>
      </c>
      <c r="N940" s="11">
        <f>9.851 * CHOOSE(CONTROL!$C$32, $C$9, 100%, $E$9)</f>
        <v>9.8510000000000009</v>
      </c>
      <c r="O940" s="11">
        <f>9.8543 * CHOOSE(CONTROL!$C$32, $C$9, 100%, $E$9)</f>
        <v>9.8543000000000003</v>
      </c>
    </row>
    <row r="941" spans="1:15" ht="15" x14ac:dyDescent="0.2">
      <c r="A941" s="13">
        <v>69489</v>
      </c>
      <c r="B941" s="9">
        <f>13.8794 * CHOOSE(CONTROL!$C$32, $C$9, 100%, $E$9)</f>
        <v>13.8794</v>
      </c>
      <c r="C941" s="9">
        <f>13.8794 * CHOOSE(CONTROL!$C$32, $C$9, 100%, $E$9)</f>
        <v>13.8794</v>
      </c>
      <c r="D941" s="9">
        <f>13.8803 * CHOOSE(CONTROL!$C$32, $C$9, 100%, $E$9)</f>
        <v>13.8803</v>
      </c>
      <c r="E941" s="11">
        <f>10.2114 * CHOOSE(CONTROL!$C$32, $C$9, 100%, $E$9)</f>
        <v>10.211399999999999</v>
      </c>
      <c r="F941" s="11">
        <f>10.2114 * CHOOSE(CONTROL!$C$32, $C$9, 100%, $E$9)</f>
        <v>10.211399999999999</v>
      </c>
      <c r="G941" s="11">
        <f>10.2146 * CHOOSE(CONTROL!$C$32, $C$9, 100%, $E$9)</f>
        <v>10.214600000000001</v>
      </c>
      <c r="H941" s="11">
        <f>33.0011 * CHOOSE(CONTROL!$C$32, $C$9, 100%, $E$9)</f>
        <v>33.001100000000001</v>
      </c>
      <c r="I941" s="11">
        <f>33.0043 * CHOOSE(CONTROL!$C$32, $C$9, 100%, $E$9)</f>
        <v>33.004300000000001</v>
      </c>
      <c r="J941" s="11">
        <f>33.0011 * CHOOSE(CONTROL!$C$32, $C$9, 100%, $E$9)</f>
        <v>33.001100000000001</v>
      </c>
      <c r="K941" s="11">
        <f>33.0043 * CHOOSE(CONTROL!$C$32, $C$9, 100%, $E$9)</f>
        <v>33.004300000000001</v>
      </c>
      <c r="L941" s="11">
        <f>10.2114 * CHOOSE(CONTROL!$C$32, $C$9, 100%, $E$9)</f>
        <v>10.211399999999999</v>
      </c>
      <c r="M941" s="11">
        <f>10.2146 * CHOOSE(CONTROL!$C$32, $C$9, 100%, $E$9)</f>
        <v>10.214600000000001</v>
      </c>
      <c r="N941" s="11">
        <f>10.2114 * CHOOSE(CONTROL!$C$32, $C$9, 100%, $E$9)</f>
        <v>10.211399999999999</v>
      </c>
      <c r="O941" s="11">
        <f>10.2146 * CHOOSE(CONTROL!$C$32, $C$9, 100%, $E$9)</f>
        <v>10.214600000000001</v>
      </c>
    </row>
    <row r="942" spans="1:15" ht="15" x14ac:dyDescent="0.2">
      <c r="A942" s="13">
        <v>69519</v>
      </c>
      <c r="B942" s="9">
        <f>13.8794 * CHOOSE(CONTROL!$C$32, $C$9, 100%, $E$9)</f>
        <v>13.8794</v>
      </c>
      <c r="C942" s="9">
        <f>13.8794 * CHOOSE(CONTROL!$C$32, $C$9, 100%, $E$9)</f>
        <v>13.8794</v>
      </c>
      <c r="D942" s="9">
        <f>13.8806 * CHOOSE(CONTROL!$C$32, $C$9, 100%, $E$9)</f>
        <v>13.880599999999999</v>
      </c>
      <c r="E942" s="11">
        <f>10.3481 * CHOOSE(CONTROL!$C$32, $C$9, 100%, $E$9)</f>
        <v>10.348100000000001</v>
      </c>
      <c r="F942" s="11">
        <f>10.3481 * CHOOSE(CONTROL!$C$32, $C$9, 100%, $E$9)</f>
        <v>10.348100000000001</v>
      </c>
      <c r="G942" s="11">
        <f>10.3523 * CHOOSE(CONTROL!$C$32, $C$9, 100%, $E$9)</f>
        <v>10.3523</v>
      </c>
      <c r="H942" s="11">
        <f>33.0698 * CHOOSE(CONTROL!$C$32, $C$9, 100%, $E$9)</f>
        <v>33.069800000000001</v>
      </c>
      <c r="I942" s="11">
        <f>33.074 * CHOOSE(CONTROL!$C$32, $C$9, 100%, $E$9)</f>
        <v>33.073999999999998</v>
      </c>
      <c r="J942" s="11">
        <f>33.0698 * CHOOSE(CONTROL!$C$32, $C$9, 100%, $E$9)</f>
        <v>33.069800000000001</v>
      </c>
      <c r="K942" s="11">
        <f>33.074 * CHOOSE(CONTROL!$C$32, $C$9, 100%, $E$9)</f>
        <v>33.073999999999998</v>
      </c>
      <c r="L942" s="11">
        <f>10.3481 * CHOOSE(CONTROL!$C$32, $C$9, 100%, $E$9)</f>
        <v>10.348100000000001</v>
      </c>
      <c r="M942" s="11">
        <f>10.3523 * CHOOSE(CONTROL!$C$32, $C$9, 100%, $E$9)</f>
        <v>10.3523</v>
      </c>
      <c r="N942" s="11">
        <f>10.3481 * CHOOSE(CONTROL!$C$32, $C$9, 100%, $E$9)</f>
        <v>10.348100000000001</v>
      </c>
      <c r="O942" s="11">
        <f>10.3523 * CHOOSE(CONTROL!$C$32, $C$9, 100%, $E$9)</f>
        <v>10.3523</v>
      </c>
    </row>
    <row r="943" spans="1:15" ht="15" x14ac:dyDescent="0.2">
      <c r="A943" s="13">
        <v>69550</v>
      </c>
      <c r="B943" s="9">
        <f>13.8855 * CHOOSE(CONTROL!$C$32, $C$9, 100%, $E$9)</f>
        <v>13.8855</v>
      </c>
      <c r="C943" s="9">
        <f>13.8855 * CHOOSE(CONTROL!$C$32, $C$9, 100%, $E$9)</f>
        <v>13.8855</v>
      </c>
      <c r="D943" s="9">
        <f>13.8867 * CHOOSE(CONTROL!$C$32, $C$9, 100%, $E$9)</f>
        <v>13.886699999999999</v>
      </c>
      <c r="E943" s="11">
        <f>10.2156 * CHOOSE(CONTROL!$C$32, $C$9, 100%, $E$9)</f>
        <v>10.2156</v>
      </c>
      <c r="F943" s="11">
        <f>10.2156 * CHOOSE(CONTROL!$C$32, $C$9, 100%, $E$9)</f>
        <v>10.2156</v>
      </c>
      <c r="G943" s="11">
        <f>10.2198 * CHOOSE(CONTROL!$C$32, $C$9, 100%, $E$9)</f>
        <v>10.219799999999999</v>
      </c>
      <c r="H943" s="11">
        <f>33.1387 * CHOOSE(CONTROL!$C$32, $C$9, 100%, $E$9)</f>
        <v>33.1387</v>
      </c>
      <c r="I943" s="11">
        <f>33.1429 * CHOOSE(CONTROL!$C$32, $C$9, 100%, $E$9)</f>
        <v>33.142899999999997</v>
      </c>
      <c r="J943" s="11">
        <f>33.1387 * CHOOSE(CONTROL!$C$32, $C$9, 100%, $E$9)</f>
        <v>33.1387</v>
      </c>
      <c r="K943" s="11">
        <f>33.1429 * CHOOSE(CONTROL!$C$32, $C$9, 100%, $E$9)</f>
        <v>33.142899999999997</v>
      </c>
      <c r="L943" s="11">
        <f>10.2156 * CHOOSE(CONTROL!$C$32, $C$9, 100%, $E$9)</f>
        <v>10.2156</v>
      </c>
      <c r="M943" s="11">
        <f>10.2198 * CHOOSE(CONTROL!$C$32, $C$9, 100%, $E$9)</f>
        <v>10.219799999999999</v>
      </c>
      <c r="N943" s="11">
        <f>10.2156 * CHOOSE(CONTROL!$C$32, $C$9, 100%, $E$9)</f>
        <v>10.2156</v>
      </c>
      <c r="O943" s="11">
        <f>10.2198 * CHOOSE(CONTROL!$C$32, $C$9, 100%, $E$9)</f>
        <v>10.219799999999999</v>
      </c>
    </row>
    <row r="944" spans="1:15" ht="15" x14ac:dyDescent="0.2">
      <c r="A944" s="13">
        <v>69580</v>
      </c>
      <c r="B944" s="9">
        <f>14.0525 * CHOOSE(CONTROL!$C$32, $C$9, 100%, $E$9)</f>
        <v>14.0525</v>
      </c>
      <c r="C944" s="9">
        <f>14.0525 * CHOOSE(CONTROL!$C$32, $C$9, 100%, $E$9)</f>
        <v>14.0525</v>
      </c>
      <c r="D944" s="9">
        <f>14.0537 * CHOOSE(CONTROL!$C$32, $C$9, 100%, $E$9)</f>
        <v>14.053699999999999</v>
      </c>
      <c r="E944" s="11">
        <f>10.2843 * CHOOSE(CONTROL!$C$32, $C$9, 100%, $E$9)</f>
        <v>10.2843</v>
      </c>
      <c r="F944" s="11">
        <f>10.2843 * CHOOSE(CONTROL!$C$32, $C$9, 100%, $E$9)</f>
        <v>10.2843</v>
      </c>
      <c r="G944" s="11">
        <f>10.2885 * CHOOSE(CONTROL!$C$32, $C$9, 100%, $E$9)</f>
        <v>10.288500000000001</v>
      </c>
      <c r="H944" s="11">
        <f>33.2077 * CHOOSE(CONTROL!$C$32, $C$9, 100%, $E$9)</f>
        <v>33.207700000000003</v>
      </c>
      <c r="I944" s="11">
        <f>33.212 * CHOOSE(CONTROL!$C$32, $C$9, 100%, $E$9)</f>
        <v>33.212000000000003</v>
      </c>
      <c r="J944" s="11">
        <f>33.2077 * CHOOSE(CONTROL!$C$32, $C$9, 100%, $E$9)</f>
        <v>33.207700000000003</v>
      </c>
      <c r="K944" s="11">
        <f>33.212 * CHOOSE(CONTROL!$C$32, $C$9, 100%, $E$9)</f>
        <v>33.212000000000003</v>
      </c>
      <c r="L944" s="11">
        <f>10.2843 * CHOOSE(CONTROL!$C$32, $C$9, 100%, $E$9)</f>
        <v>10.2843</v>
      </c>
      <c r="M944" s="11">
        <f>10.2885 * CHOOSE(CONTROL!$C$32, $C$9, 100%, $E$9)</f>
        <v>10.288500000000001</v>
      </c>
      <c r="N944" s="11">
        <f>10.2843 * CHOOSE(CONTROL!$C$32, $C$9, 100%, $E$9)</f>
        <v>10.2843</v>
      </c>
      <c r="O944" s="11">
        <f>10.2885 * CHOOSE(CONTROL!$C$32, $C$9, 100%, $E$9)</f>
        <v>10.288500000000001</v>
      </c>
    </row>
    <row r="945" spans="1:15" ht="15" x14ac:dyDescent="0.2">
      <c r="A945" s="13">
        <v>69611</v>
      </c>
      <c r="B945" s="9">
        <f>14.0592 * CHOOSE(CONTROL!$C$32, $C$9, 100%, $E$9)</f>
        <v>14.059200000000001</v>
      </c>
      <c r="C945" s="9">
        <f>14.0592 * CHOOSE(CONTROL!$C$32, $C$9, 100%, $E$9)</f>
        <v>14.059200000000001</v>
      </c>
      <c r="D945" s="9">
        <f>14.0604 * CHOOSE(CONTROL!$C$32, $C$9, 100%, $E$9)</f>
        <v>14.0604</v>
      </c>
      <c r="E945" s="11">
        <f>9.8788 * CHOOSE(CONTROL!$C$32, $C$9, 100%, $E$9)</f>
        <v>9.8788</v>
      </c>
      <c r="F945" s="11">
        <f>9.8788 * CHOOSE(CONTROL!$C$32, $C$9, 100%, $E$9)</f>
        <v>9.8788</v>
      </c>
      <c r="G945" s="11">
        <f>9.883 * CHOOSE(CONTROL!$C$32, $C$9, 100%, $E$9)</f>
        <v>9.8829999999999991</v>
      </c>
      <c r="H945" s="11">
        <f>33.2769 * CHOOSE(CONTROL!$C$32, $C$9, 100%, $E$9)</f>
        <v>33.276899999999998</v>
      </c>
      <c r="I945" s="11">
        <f>33.2811 * CHOOSE(CONTROL!$C$32, $C$9, 100%, $E$9)</f>
        <v>33.281100000000002</v>
      </c>
      <c r="J945" s="11">
        <f>33.2769 * CHOOSE(CONTROL!$C$32, $C$9, 100%, $E$9)</f>
        <v>33.276899999999998</v>
      </c>
      <c r="K945" s="11">
        <f>33.2811 * CHOOSE(CONTROL!$C$32, $C$9, 100%, $E$9)</f>
        <v>33.281100000000002</v>
      </c>
      <c r="L945" s="11">
        <f>9.8788 * CHOOSE(CONTROL!$C$32, $C$9, 100%, $E$9)</f>
        <v>9.8788</v>
      </c>
      <c r="M945" s="11">
        <f>9.883 * CHOOSE(CONTROL!$C$32, $C$9, 100%, $E$9)</f>
        <v>9.8829999999999991</v>
      </c>
      <c r="N945" s="11">
        <f>9.8788 * CHOOSE(CONTROL!$C$32, $C$9, 100%, $E$9)</f>
        <v>9.8788</v>
      </c>
      <c r="O945" s="11">
        <f>9.883 * CHOOSE(CONTROL!$C$32, $C$9, 100%, $E$9)</f>
        <v>9.8829999999999991</v>
      </c>
    </row>
    <row r="946" spans="1:15" ht="15" x14ac:dyDescent="0.2">
      <c r="A946" s="13">
        <v>69642</v>
      </c>
      <c r="B946" s="9">
        <f>14.0561 * CHOOSE(CONTROL!$C$32, $C$9, 100%, $E$9)</f>
        <v>14.056100000000001</v>
      </c>
      <c r="C946" s="9">
        <f>14.0561 * CHOOSE(CONTROL!$C$32, $C$9, 100%, $E$9)</f>
        <v>14.056100000000001</v>
      </c>
      <c r="D946" s="9">
        <f>14.0574 * CHOOSE(CONTROL!$C$32, $C$9, 100%, $E$9)</f>
        <v>14.057399999999999</v>
      </c>
      <c r="E946" s="11">
        <f>9.8311 * CHOOSE(CONTROL!$C$32, $C$9, 100%, $E$9)</f>
        <v>9.8310999999999993</v>
      </c>
      <c r="F946" s="11">
        <f>9.8311 * CHOOSE(CONTROL!$C$32, $C$9, 100%, $E$9)</f>
        <v>9.8310999999999993</v>
      </c>
      <c r="G946" s="11">
        <f>9.8353 * CHOOSE(CONTROL!$C$32, $C$9, 100%, $E$9)</f>
        <v>9.8353000000000002</v>
      </c>
      <c r="H946" s="11">
        <f>33.3463 * CHOOSE(CONTROL!$C$32, $C$9, 100%, $E$9)</f>
        <v>33.346299999999999</v>
      </c>
      <c r="I946" s="11">
        <f>33.3505 * CHOOSE(CONTROL!$C$32, $C$9, 100%, $E$9)</f>
        <v>33.350499999999997</v>
      </c>
      <c r="J946" s="11">
        <f>33.3463 * CHOOSE(CONTROL!$C$32, $C$9, 100%, $E$9)</f>
        <v>33.346299999999999</v>
      </c>
      <c r="K946" s="11">
        <f>33.3505 * CHOOSE(CONTROL!$C$32, $C$9, 100%, $E$9)</f>
        <v>33.350499999999997</v>
      </c>
      <c r="L946" s="11">
        <f>9.8311 * CHOOSE(CONTROL!$C$32, $C$9, 100%, $E$9)</f>
        <v>9.8310999999999993</v>
      </c>
      <c r="M946" s="11">
        <f>9.8353 * CHOOSE(CONTROL!$C$32, $C$9, 100%, $E$9)</f>
        <v>9.8353000000000002</v>
      </c>
      <c r="N946" s="11">
        <f>9.8311 * CHOOSE(CONTROL!$C$32, $C$9, 100%, $E$9)</f>
        <v>9.8310999999999993</v>
      </c>
      <c r="O946" s="11">
        <f>9.8353 * CHOOSE(CONTROL!$C$32, $C$9, 100%, $E$9)</f>
        <v>9.8353000000000002</v>
      </c>
    </row>
    <row r="947" spans="1:15" ht="15" x14ac:dyDescent="0.2">
      <c r="A947" s="13">
        <v>69672</v>
      </c>
      <c r="B947" s="9">
        <f>14.0888 * CHOOSE(CONTROL!$C$32, $C$9, 100%, $E$9)</f>
        <v>14.088800000000001</v>
      </c>
      <c r="C947" s="9">
        <f>14.0888 * CHOOSE(CONTROL!$C$32, $C$9, 100%, $E$9)</f>
        <v>14.088800000000001</v>
      </c>
      <c r="D947" s="9">
        <f>14.0897 * CHOOSE(CONTROL!$C$32, $C$9, 100%, $E$9)</f>
        <v>14.089700000000001</v>
      </c>
      <c r="E947" s="11">
        <f>10 * CHOOSE(CONTROL!$C$32, $C$9, 100%, $E$9)</f>
        <v>10</v>
      </c>
      <c r="F947" s="11">
        <f>10 * CHOOSE(CONTROL!$C$32, $C$9, 100%, $E$9)</f>
        <v>10</v>
      </c>
      <c r="G947" s="11">
        <f>10.0032 * CHOOSE(CONTROL!$C$32, $C$9, 100%, $E$9)</f>
        <v>10.0032</v>
      </c>
      <c r="H947" s="11">
        <f>33.4157 * CHOOSE(CONTROL!$C$32, $C$9, 100%, $E$9)</f>
        <v>33.415700000000001</v>
      </c>
      <c r="I947" s="11">
        <f>33.419 * CHOOSE(CONTROL!$C$32, $C$9, 100%, $E$9)</f>
        <v>33.418999999999997</v>
      </c>
      <c r="J947" s="11">
        <f>33.4157 * CHOOSE(CONTROL!$C$32, $C$9, 100%, $E$9)</f>
        <v>33.415700000000001</v>
      </c>
      <c r="K947" s="11">
        <f>33.419 * CHOOSE(CONTROL!$C$32, $C$9, 100%, $E$9)</f>
        <v>33.418999999999997</v>
      </c>
      <c r="L947" s="11">
        <f>10 * CHOOSE(CONTROL!$C$32, $C$9, 100%, $E$9)</f>
        <v>10</v>
      </c>
      <c r="M947" s="11">
        <f>10.0032 * CHOOSE(CONTROL!$C$32, $C$9, 100%, $E$9)</f>
        <v>10.0032</v>
      </c>
      <c r="N947" s="11">
        <f>10 * CHOOSE(CONTROL!$C$32, $C$9, 100%, $E$9)</f>
        <v>10</v>
      </c>
      <c r="O947" s="11">
        <f>10.0032 * CHOOSE(CONTROL!$C$32, $C$9, 100%, $E$9)</f>
        <v>10.0032</v>
      </c>
    </row>
    <row r="948" spans="1:15" ht="15" x14ac:dyDescent="0.2">
      <c r="A948" s="13">
        <v>69703</v>
      </c>
      <c r="B948" s="9">
        <f>14.0918 * CHOOSE(CONTROL!$C$32, $C$9, 100%, $E$9)</f>
        <v>14.091799999999999</v>
      </c>
      <c r="C948" s="9">
        <f>14.0918 * CHOOSE(CONTROL!$C$32, $C$9, 100%, $E$9)</f>
        <v>14.091799999999999</v>
      </c>
      <c r="D948" s="9">
        <f>14.0928 * CHOOSE(CONTROL!$C$32, $C$9, 100%, $E$9)</f>
        <v>14.0928</v>
      </c>
      <c r="E948" s="11">
        <f>10.0933 * CHOOSE(CONTROL!$C$32, $C$9, 100%, $E$9)</f>
        <v>10.093299999999999</v>
      </c>
      <c r="F948" s="11">
        <f>10.0933 * CHOOSE(CONTROL!$C$32, $C$9, 100%, $E$9)</f>
        <v>10.093299999999999</v>
      </c>
      <c r="G948" s="11">
        <f>10.0965 * CHOOSE(CONTROL!$C$32, $C$9, 100%, $E$9)</f>
        <v>10.096500000000001</v>
      </c>
      <c r="H948" s="11">
        <f>33.4853 * CHOOSE(CONTROL!$C$32, $C$9, 100%, $E$9)</f>
        <v>33.485300000000002</v>
      </c>
      <c r="I948" s="11">
        <f>33.4886 * CHOOSE(CONTROL!$C$32, $C$9, 100%, $E$9)</f>
        <v>33.488599999999998</v>
      </c>
      <c r="J948" s="11">
        <f>33.4853 * CHOOSE(CONTROL!$C$32, $C$9, 100%, $E$9)</f>
        <v>33.485300000000002</v>
      </c>
      <c r="K948" s="11">
        <f>33.4886 * CHOOSE(CONTROL!$C$32, $C$9, 100%, $E$9)</f>
        <v>33.488599999999998</v>
      </c>
      <c r="L948" s="11">
        <f>10.0933 * CHOOSE(CONTROL!$C$32, $C$9, 100%, $E$9)</f>
        <v>10.093299999999999</v>
      </c>
      <c r="M948" s="11">
        <f>10.0965 * CHOOSE(CONTROL!$C$32, $C$9, 100%, $E$9)</f>
        <v>10.096500000000001</v>
      </c>
      <c r="N948" s="11">
        <f>10.0933 * CHOOSE(CONTROL!$C$32, $C$9, 100%, $E$9)</f>
        <v>10.093299999999999</v>
      </c>
      <c r="O948" s="11">
        <f>10.0965 * CHOOSE(CONTROL!$C$32, $C$9, 100%, $E$9)</f>
        <v>10.096500000000001</v>
      </c>
    </row>
    <row r="949" spans="1:15" ht="15" x14ac:dyDescent="0.2">
      <c r="A949" s="13">
        <v>69733</v>
      </c>
      <c r="B949" s="9">
        <f>14.0918 * CHOOSE(CONTROL!$C$32, $C$9, 100%, $E$9)</f>
        <v>14.091799999999999</v>
      </c>
      <c r="C949" s="9">
        <f>14.0918 * CHOOSE(CONTROL!$C$32, $C$9, 100%, $E$9)</f>
        <v>14.091799999999999</v>
      </c>
      <c r="D949" s="9">
        <f>14.0928 * CHOOSE(CONTROL!$C$32, $C$9, 100%, $E$9)</f>
        <v>14.0928</v>
      </c>
      <c r="E949" s="11">
        <f>9.8654 * CHOOSE(CONTROL!$C$32, $C$9, 100%, $E$9)</f>
        <v>9.8653999999999993</v>
      </c>
      <c r="F949" s="11">
        <f>9.8654 * CHOOSE(CONTROL!$C$32, $C$9, 100%, $E$9)</f>
        <v>9.8653999999999993</v>
      </c>
      <c r="G949" s="11">
        <f>9.8686 * CHOOSE(CONTROL!$C$32, $C$9, 100%, $E$9)</f>
        <v>9.8686000000000007</v>
      </c>
      <c r="H949" s="11">
        <f>33.5551 * CHOOSE(CONTROL!$C$32, $C$9, 100%, $E$9)</f>
        <v>33.555100000000003</v>
      </c>
      <c r="I949" s="11">
        <f>33.5583 * CHOOSE(CONTROL!$C$32, $C$9, 100%, $E$9)</f>
        <v>33.558300000000003</v>
      </c>
      <c r="J949" s="11">
        <f>33.5551 * CHOOSE(CONTROL!$C$32, $C$9, 100%, $E$9)</f>
        <v>33.555100000000003</v>
      </c>
      <c r="K949" s="11">
        <f>33.5583 * CHOOSE(CONTROL!$C$32, $C$9, 100%, $E$9)</f>
        <v>33.558300000000003</v>
      </c>
      <c r="L949" s="11">
        <f>9.8654 * CHOOSE(CONTROL!$C$32, $C$9, 100%, $E$9)</f>
        <v>9.8653999999999993</v>
      </c>
      <c r="M949" s="11">
        <f>9.8686 * CHOOSE(CONTROL!$C$32, $C$9, 100%, $E$9)</f>
        <v>9.8686000000000007</v>
      </c>
      <c r="N949" s="11">
        <f>9.8654 * CHOOSE(CONTROL!$C$32, $C$9, 100%, $E$9)</f>
        <v>9.8653999999999993</v>
      </c>
      <c r="O949" s="11">
        <f>9.8686 * CHOOSE(CONTROL!$C$32, $C$9, 100%, $E$9)</f>
        <v>9.8686000000000007</v>
      </c>
    </row>
    <row r="950" spans="1:15" ht="15" x14ac:dyDescent="0.2">
      <c r="A950" s="13">
        <v>69764</v>
      </c>
      <c r="B950" s="9">
        <f>14.0656 * CHOOSE(CONTROL!$C$32, $C$9, 100%, $E$9)</f>
        <v>14.0656</v>
      </c>
      <c r="C950" s="9">
        <f>14.0656 * CHOOSE(CONTROL!$C$32, $C$9, 100%, $E$9)</f>
        <v>14.0656</v>
      </c>
      <c r="D950" s="9">
        <f>14.0665 * CHOOSE(CONTROL!$C$32, $C$9, 100%, $E$9)</f>
        <v>14.0665</v>
      </c>
      <c r="E950" s="11">
        <f>10.0237 * CHOOSE(CONTROL!$C$32, $C$9, 100%, $E$9)</f>
        <v>10.0237</v>
      </c>
      <c r="F950" s="11">
        <f>10.0237 * CHOOSE(CONTROL!$C$32, $C$9, 100%, $E$9)</f>
        <v>10.0237</v>
      </c>
      <c r="G950" s="11">
        <f>10.0269 * CHOOSE(CONTROL!$C$32, $C$9, 100%, $E$9)</f>
        <v>10.026899999999999</v>
      </c>
      <c r="H950" s="11">
        <f>33.2672 * CHOOSE(CONTROL!$C$32, $C$9, 100%, $E$9)</f>
        <v>33.267200000000003</v>
      </c>
      <c r="I950" s="11">
        <f>33.2705 * CHOOSE(CONTROL!$C$32, $C$9, 100%, $E$9)</f>
        <v>33.270499999999998</v>
      </c>
      <c r="J950" s="11">
        <f>33.2672 * CHOOSE(CONTROL!$C$32, $C$9, 100%, $E$9)</f>
        <v>33.267200000000003</v>
      </c>
      <c r="K950" s="11">
        <f>33.2705 * CHOOSE(CONTROL!$C$32, $C$9, 100%, $E$9)</f>
        <v>33.270499999999998</v>
      </c>
      <c r="L950" s="11">
        <f>10.0237 * CHOOSE(CONTROL!$C$32, $C$9, 100%, $E$9)</f>
        <v>10.0237</v>
      </c>
      <c r="M950" s="11">
        <f>10.0269 * CHOOSE(CONTROL!$C$32, $C$9, 100%, $E$9)</f>
        <v>10.026899999999999</v>
      </c>
      <c r="N950" s="11">
        <f>10.0237 * CHOOSE(CONTROL!$C$32, $C$9, 100%, $E$9)</f>
        <v>10.0237</v>
      </c>
      <c r="O950" s="11">
        <f>10.0269 * CHOOSE(CONTROL!$C$32, $C$9, 100%, $E$9)</f>
        <v>10.026899999999999</v>
      </c>
    </row>
    <row r="951" spans="1:15" ht="15" x14ac:dyDescent="0.2">
      <c r="A951" s="13">
        <v>69795</v>
      </c>
      <c r="B951" s="9">
        <f>14.0626 * CHOOSE(CONTROL!$C$32, $C$9, 100%, $E$9)</f>
        <v>14.0626</v>
      </c>
      <c r="C951" s="9">
        <f>14.0626 * CHOOSE(CONTROL!$C$32, $C$9, 100%, $E$9)</f>
        <v>14.0626</v>
      </c>
      <c r="D951" s="9">
        <f>14.0635 * CHOOSE(CONTROL!$C$32, $C$9, 100%, $E$9)</f>
        <v>14.063499999999999</v>
      </c>
      <c r="E951" s="11">
        <f>9.5839 * CHOOSE(CONTROL!$C$32, $C$9, 100%, $E$9)</f>
        <v>9.5838999999999999</v>
      </c>
      <c r="F951" s="11">
        <f>9.5839 * CHOOSE(CONTROL!$C$32, $C$9, 100%, $E$9)</f>
        <v>9.5838999999999999</v>
      </c>
      <c r="G951" s="11">
        <f>9.5871 * CHOOSE(CONTROL!$C$32, $C$9, 100%, $E$9)</f>
        <v>9.5870999999999995</v>
      </c>
      <c r="H951" s="11">
        <f>33.3366 * CHOOSE(CONTROL!$C$32, $C$9, 100%, $E$9)</f>
        <v>33.336599999999997</v>
      </c>
      <c r="I951" s="11">
        <f>33.3398 * CHOOSE(CONTROL!$C$32, $C$9, 100%, $E$9)</f>
        <v>33.339799999999997</v>
      </c>
      <c r="J951" s="11">
        <f>33.3366 * CHOOSE(CONTROL!$C$32, $C$9, 100%, $E$9)</f>
        <v>33.336599999999997</v>
      </c>
      <c r="K951" s="11">
        <f>33.3398 * CHOOSE(CONTROL!$C$32, $C$9, 100%, $E$9)</f>
        <v>33.339799999999997</v>
      </c>
      <c r="L951" s="11">
        <f>9.5839 * CHOOSE(CONTROL!$C$32, $C$9, 100%, $E$9)</f>
        <v>9.5838999999999999</v>
      </c>
      <c r="M951" s="11">
        <f>9.5871 * CHOOSE(CONTROL!$C$32, $C$9, 100%, $E$9)</f>
        <v>9.5870999999999995</v>
      </c>
      <c r="N951" s="11">
        <f>9.5839 * CHOOSE(CONTROL!$C$32, $C$9, 100%, $E$9)</f>
        <v>9.5838999999999999</v>
      </c>
      <c r="O951" s="11">
        <f>9.5871 * CHOOSE(CONTROL!$C$32, $C$9, 100%, $E$9)</f>
        <v>9.5870999999999995</v>
      </c>
    </row>
    <row r="952" spans="1:15" ht="15" x14ac:dyDescent="0.2">
      <c r="A952" s="13">
        <v>69823</v>
      </c>
      <c r="B952" s="9">
        <f>14.0595 * CHOOSE(CONTROL!$C$32, $C$9, 100%, $E$9)</f>
        <v>14.0595</v>
      </c>
      <c r="C952" s="9">
        <f>14.0595 * CHOOSE(CONTROL!$C$32, $C$9, 100%, $E$9)</f>
        <v>14.0595</v>
      </c>
      <c r="D952" s="9">
        <f>14.0605 * CHOOSE(CONTROL!$C$32, $C$9, 100%, $E$9)</f>
        <v>14.060499999999999</v>
      </c>
      <c r="E952" s="11">
        <f>9.9268 * CHOOSE(CONTROL!$C$32, $C$9, 100%, $E$9)</f>
        <v>9.9268000000000001</v>
      </c>
      <c r="F952" s="11">
        <f>9.9268 * CHOOSE(CONTROL!$C$32, $C$9, 100%, $E$9)</f>
        <v>9.9268000000000001</v>
      </c>
      <c r="G952" s="11">
        <f>9.93 * CHOOSE(CONTROL!$C$32, $C$9, 100%, $E$9)</f>
        <v>9.93</v>
      </c>
      <c r="H952" s="11">
        <f>33.406 * CHOOSE(CONTROL!$C$32, $C$9, 100%, $E$9)</f>
        <v>33.405999999999999</v>
      </c>
      <c r="I952" s="11">
        <f>33.4092 * CHOOSE(CONTROL!$C$32, $C$9, 100%, $E$9)</f>
        <v>33.409199999999998</v>
      </c>
      <c r="J952" s="11">
        <f>33.406 * CHOOSE(CONTROL!$C$32, $C$9, 100%, $E$9)</f>
        <v>33.405999999999999</v>
      </c>
      <c r="K952" s="11">
        <f>33.4092 * CHOOSE(CONTROL!$C$32, $C$9, 100%, $E$9)</f>
        <v>33.409199999999998</v>
      </c>
      <c r="L952" s="11">
        <f>9.9268 * CHOOSE(CONTROL!$C$32, $C$9, 100%, $E$9)</f>
        <v>9.9268000000000001</v>
      </c>
      <c r="M952" s="11">
        <f>9.93 * CHOOSE(CONTROL!$C$32, $C$9, 100%, $E$9)</f>
        <v>9.93</v>
      </c>
      <c r="N952" s="11">
        <f>9.9268 * CHOOSE(CONTROL!$C$32, $C$9, 100%, $E$9)</f>
        <v>9.9268000000000001</v>
      </c>
      <c r="O952" s="11">
        <f>9.93 * CHOOSE(CONTROL!$C$32, $C$9, 100%, $E$9)</f>
        <v>9.93</v>
      </c>
    </row>
    <row r="953" spans="1:15" ht="15" x14ac:dyDescent="0.2">
      <c r="A953" s="13">
        <v>69854</v>
      </c>
      <c r="B953" s="9">
        <f>14.0669 * CHOOSE(CONTROL!$C$32, $C$9, 100%, $E$9)</f>
        <v>14.0669</v>
      </c>
      <c r="C953" s="9">
        <f>14.0669 * CHOOSE(CONTROL!$C$32, $C$9, 100%, $E$9)</f>
        <v>14.0669</v>
      </c>
      <c r="D953" s="9">
        <f>14.0679 * CHOOSE(CONTROL!$C$32, $C$9, 100%, $E$9)</f>
        <v>14.0679</v>
      </c>
      <c r="E953" s="11">
        <f>10.2932 * CHOOSE(CONTROL!$C$32, $C$9, 100%, $E$9)</f>
        <v>10.293200000000001</v>
      </c>
      <c r="F953" s="11">
        <f>10.2932 * CHOOSE(CONTROL!$C$32, $C$9, 100%, $E$9)</f>
        <v>10.293200000000001</v>
      </c>
      <c r="G953" s="11">
        <f>10.2964 * CHOOSE(CONTROL!$C$32, $C$9, 100%, $E$9)</f>
        <v>10.2964</v>
      </c>
      <c r="H953" s="11">
        <f>33.4756 * CHOOSE(CONTROL!$C$32, $C$9, 100%, $E$9)</f>
        <v>33.4756</v>
      </c>
      <c r="I953" s="11">
        <f>33.4788 * CHOOSE(CONTROL!$C$32, $C$9, 100%, $E$9)</f>
        <v>33.4788</v>
      </c>
      <c r="J953" s="11">
        <f>33.4756 * CHOOSE(CONTROL!$C$32, $C$9, 100%, $E$9)</f>
        <v>33.4756</v>
      </c>
      <c r="K953" s="11">
        <f>33.4788 * CHOOSE(CONTROL!$C$32, $C$9, 100%, $E$9)</f>
        <v>33.4788</v>
      </c>
      <c r="L953" s="11">
        <f>10.2932 * CHOOSE(CONTROL!$C$32, $C$9, 100%, $E$9)</f>
        <v>10.293200000000001</v>
      </c>
      <c r="M953" s="11">
        <f>10.2964 * CHOOSE(CONTROL!$C$32, $C$9, 100%, $E$9)</f>
        <v>10.2964</v>
      </c>
      <c r="N953" s="11">
        <f>10.2932 * CHOOSE(CONTROL!$C$32, $C$9, 100%, $E$9)</f>
        <v>10.293200000000001</v>
      </c>
      <c r="O953" s="11">
        <f>10.2964 * CHOOSE(CONTROL!$C$32, $C$9, 100%, $E$9)</f>
        <v>10.2964</v>
      </c>
    </row>
    <row r="954" spans="1:15" ht="15" x14ac:dyDescent="0.2">
      <c r="A954" s="13">
        <v>69884</v>
      </c>
      <c r="B954" s="9">
        <f>14.0669 * CHOOSE(CONTROL!$C$32, $C$9, 100%, $E$9)</f>
        <v>14.0669</v>
      </c>
      <c r="C954" s="9">
        <f>14.0669 * CHOOSE(CONTROL!$C$32, $C$9, 100%, $E$9)</f>
        <v>14.0669</v>
      </c>
      <c r="D954" s="9">
        <f>14.0682 * CHOOSE(CONTROL!$C$32, $C$9, 100%, $E$9)</f>
        <v>14.068199999999999</v>
      </c>
      <c r="E954" s="11">
        <f>10.4321 * CHOOSE(CONTROL!$C$32, $C$9, 100%, $E$9)</f>
        <v>10.4321</v>
      </c>
      <c r="F954" s="11">
        <f>10.4321 * CHOOSE(CONTROL!$C$32, $C$9, 100%, $E$9)</f>
        <v>10.4321</v>
      </c>
      <c r="G954" s="11">
        <f>10.4363 * CHOOSE(CONTROL!$C$32, $C$9, 100%, $E$9)</f>
        <v>10.436299999999999</v>
      </c>
      <c r="H954" s="11">
        <f>33.5453 * CHOOSE(CONTROL!$C$32, $C$9, 100%, $E$9)</f>
        <v>33.545299999999997</v>
      </c>
      <c r="I954" s="11">
        <f>33.5495 * CHOOSE(CONTROL!$C$32, $C$9, 100%, $E$9)</f>
        <v>33.549500000000002</v>
      </c>
      <c r="J954" s="11">
        <f>33.5453 * CHOOSE(CONTROL!$C$32, $C$9, 100%, $E$9)</f>
        <v>33.545299999999997</v>
      </c>
      <c r="K954" s="11">
        <f>33.5495 * CHOOSE(CONTROL!$C$32, $C$9, 100%, $E$9)</f>
        <v>33.549500000000002</v>
      </c>
      <c r="L954" s="11">
        <f>10.4321 * CHOOSE(CONTROL!$C$32, $C$9, 100%, $E$9)</f>
        <v>10.4321</v>
      </c>
      <c r="M954" s="11">
        <f>10.4363 * CHOOSE(CONTROL!$C$32, $C$9, 100%, $E$9)</f>
        <v>10.436299999999999</v>
      </c>
      <c r="N954" s="11">
        <f>10.4321 * CHOOSE(CONTROL!$C$32, $C$9, 100%, $E$9)</f>
        <v>10.4321</v>
      </c>
      <c r="O954" s="11">
        <f>10.4363 * CHOOSE(CONTROL!$C$32, $C$9, 100%, $E$9)</f>
        <v>10.436299999999999</v>
      </c>
    </row>
    <row r="955" spans="1:15" ht="15" x14ac:dyDescent="0.2">
      <c r="A955" s="13">
        <v>69915</v>
      </c>
      <c r="B955" s="9">
        <f>14.073 * CHOOSE(CONTROL!$C$32, $C$9, 100%, $E$9)</f>
        <v>14.073</v>
      </c>
      <c r="C955" s="9">
        <f>14.073 * CHOOSE(CONTROL!$C$32, $C$9, 100%, $E$9)</f>
        <v>14.073</v>
      </c>
      <c r="D955" s="9">
        <f>14.0743 * CHOOSE(CONTROL!$C$32, $C$9, 100%, $E$9)</f>
        <v>14.074299999999999</v>
      </c>
      <c r="E955" s="11">
        <f>10.2974 * CHOOSE(CONTROL!$C$32, $C$9, 100%, $E$9)</f>
        <v>10.2974</v>
      </c>
      <c r="F955" s="11">
        <f>10.2974 * CHOOSE(CONTROL!$C$32, $C$9, 100%, $E$9)</f>
        <v>10.2974</v>
      </c>
      <c r="G955" s="11">
        <f>10.3016 * CHOOSE(CONTROL!$C$32, $C$9, 100%, $E$9)</f>
        <v>10.301600000000001</v>
      </c>
      <c r="H955" s="11">
        <f>33.6152 * CHOOSE(CONTROL!$C$32, $C$9, 100%, $E$9)</f>
        <v>33.615200000000002</v>
      </c>
      <c r="I955" s="11">
        <f>33.6194 * CHOOSE(CONTROL!$C$32, $C$9, 100%, $E$9)</f>
        <v>33.619399999999999</v>
      </c>
      <c r="J955" s="11">
        <f>33.6152 * CHOOSE(CONTROL!$C$32, $C$9, 100%, $E$9)</f>
        <v>33.615200000000002</v>
      </c>
      <c r="K955" s="11">
        <f>33.6194 * CHOOSE(CONTROL!$C$32, $C$9, 100%, $E$9)</f>
        <v>33.619399999999999</v>
      </c>
      <c r="L955" s="11">
        <f>10.2974 * CHOOSE(CONTROL!$C$32, $C$9, 100%, $E$9)</f>
        <v>10.2974</v>
      </c>
      <c r="M955" s="11">
        <f>10.3016 * CHOOSE(CONTROL!$C$32, $C$9, 100%, $E$9)</f>
        <v>10.301600000000001</v>
      </c>
      <c r="N955" s="11">
        <f>10.2974 * CHOOSE(CONTROL!$C$32, $C$9, 100%, $E$9)</f>
        <v>10.2974</v>
      </c>
      <c r="O955" s="11">
        <f>10.3016 * CHOOSE(CONTROL!$C$32, $C$9, 100%, $E$9)</f>
        <v>10.301600000000001</v>
      </c>
    </row>
    <row r="956" spans="1:15" ht="15" x14ac:dyDescent="0.2">
      <c r="A956" s="13">
        <v>69945</v>
      </c>
      <c r="B956" s="9">
        <f>14.2421 * CHOOSE(CONTROL!$C$32, $C$9, 100%, $E$9)</f>
        <v>14.242100000000001</v>
      </c>
      <c r="C956" s="9">
        <f>14.2421 * CHOOSE(CONTROL!$C$32, $C$9, 100%, $E$9)</f>
        <v>14.242100000000001</v>
      </c>
      <c r="D956" s="9">
        <f>14.2433 * CHOOSE(CONTROL!$C$32, $C$9, 100%, $E$9)</f>
        <v>14.2433</v>
      </c>
      <c r="E956" s="11">
        <f>10.3672 * CHOOSE(CONTROL!$C$32, $C$9, 100%, $E$9)</f>
        <v>10.3672</v>
      </c>
      <c r="F956" s="11">
        <f>10.3672 * CHOOSE(CONTROL!$C$32, $C$9, 100%, $E$9)</f>
        <v>10.3672</v>
      </c>
      <c r="G956" s="11">
        <f>10.3714 * CHOOSE(CONTROL!$C$32, $C$9, 100%, $E$9)</f>
        <v>10.3714</v>
      </c>
      <c r="H956" s="11">
        <f>33.6853 * CHOOSE(CONTROL!$C$32, $C$9, 100%, $E$9)</f>
        <v>33.685299999999998</v>
      </c>
      <c r="I956" s="11">
        <f>33.6895 * CHOOSE(CONTROL!$C$32, $C$9, 100%, $E$9)</f>
        <v>33.689500000000002</v>
      </c>
      <c r="J956" s="11">
        <f>33.6853 * CHOOSE(CONTROL!$C$32, $C$9, 100%, $E$9)</f>
        <v>33.685299999999998</v>
      </c>
      <c r="K956" s="11">
        <f>33.6895 * CHOOSE(CONTROL!$C$32, $C$9, 100%, $E$9)</f>
        <v>33.689500000000002</v>
      </c>
      <c r="L956" s="11">
        <f>10.3672 * CHOOSE(CONTROL!$C$32, $C$9, 100%, $E$9)</f>
        <v>10.3672</v>
      </c>
      <c r="M956" s="11">
        <f>10.3714 * CHOOSE(CONTROL!$C$32, $C$9, 100%, $E$9)</f>
        <v>10.3714</v>
      </c>
      <c r="N956" s="11">
        <f>10.3672 * CHOOSE(CONTROL!$C$32, $C$9, 100%, $E$9)</f>
        <v>10.3672</v>
      </c>
      <c r="O956" s="11">
        <f>10.3714 * CHOOSE(CONTROL!$C$32, $C$9, 100%, $E$9)</f>
        <v>10.3714</v>
      </c>
    </row>
    <row r="957" spans="1:15" ht="15" x14ac:dyDescent="0.2">
      <c r="A957" s="13">
        <v>69976</v>
      </c>
      <c r="B957" s="9">
        <f>14.2488 * CHOOSE(CONTROL!$C$32, $C$9, 100%, $E$9)</f>
        <v>14.248799999999999</v>
      </c>
      <c r="C957" s="9">
        <f>14.2488 * CHOOSE(CONTROL!$C$32, $C$9, 100%, $E$9)</f>
        <v>14.248799999999999</v>
      </c>
      <c r="D957" s="9">
        <f>14.25 * CHOOSE(CONTROL!$C$32, $C$9, 100%, $E$9)</f>
        <v>14.25</v>
      </c>
      <c r="E957" s="11">
        <f>9.955 * CHOOSE(CONTROL!$C$32, $C$9, 100%, $E$9)</f>
        <v>9.9550000000000001</v>
      </c>
      <c r="F957" s="11">
        <f>9.955 * CHOOSE(CONTROL!$C$32, $C$9, 100%, $E$9)</f>
        <v>9.9550000000000001</v>
      </c>
      <c r="G957" s="11">
        <f>9.9592 * CHOOSE(CONTROL!$C$32, $C$9, 100%, $E$9)</f>
        <v>9.9591999999999992</v>
      </c>
      <c r="H957" s="11">
        <f>33.7554 * CHOOSE(CONTROL!$C$32, $C$9, 100%, $E$9)</f>
        <v>33.755400000000002</v>
      </c>
      <c r="I957" s="11">
        <f>33.7596 * CHOOSE(CONTROL!$C$32, $C$9, 100%, $E$9)</f>
        <v>33.759599999999999</v>
      </c>
      <c r="J957" s="11">
        <f>33.7554 * CHOOSE(CONTROL!$C$32, $C$9, 100%, $E$9)</f>
        <v>33.755400000000002</v>
      </c>
      <c r="K957" s="11">
        <f>33.7596 * CHOOSE(CONTROL!$C$32, $C$9, 100%, $E$9)</f>
        <v>33.759599999999999</v>
      </c>
      <c r="L957" s="11">
        <f>9.955 * CHOOSE(CONTROL!$C$32, $C$9, 100%, $E$9)</f>
        <v>9.9550000000000001</v>
      </c>
      <c r="M957" s="11">
        <f>9.9592 * CHOOSE(CONTROL!$C$32, $C$9, 100%, $E$9)</f>
        <v>9.9591999999999992</v>
      </c>
      <c r="N957" s="11">
        <f>9.955 * CHOOSE(CONTROL!$C$32, $C$9, 100%, $E$9)</f>
        <v>9.9550000000000001</v>
      </c>
      <c r="O957" s="11">
        <f>9.9592 * CHOOSE(CONTROL!$C$32, $C$9, 100%, $E$9)</f>
        <v>9.9591999999999992</v>
      </c>
    </row>
    <row r="958" spans="1:15" ht="15" x14ac:dyDescent="0.2">
      <c r="A958" s="13">
        <v>70007</v>
      </c>
      <c r="B958" s="9">
        <f>14.2457 * CHOOSE(CONTROL!$C$32, $C$9, 100%, $E$9)</f>
        <v>14.245699999999999</v>
      </c>
      <c r="C958" s="9">
        <f>14.2457 * CHOOSE(CONTROL!$C$32, $C$9, 100%, $E$9)</f>
        <v>14.245699999999999</v>
      </c>
      <c r="D958" s="9">
        <f>14.247 * CHOOSE(CONTROL!$C$32, $C$9, 100%, $E$9)</f>
        <v>14.247</v>
      </c>
      <c r="E958" s="11">
        <f>9.9066 * CHOOSE(CONTROL!$C$32, $C$9, 100%, $E$9)</f>
        <v>9.9065999999999992</v>
      </c>
      <c r="F958" s="11">
        <f>9.9066 * CHOOSE(CONTROL!$C$32, $C$9, 100%, $E$9)</f>
        <v>9.9065999999999992</v>
      </c>
      <c r="G958" s="11">
        <f>9.9108 * CHOOSE(CONTROL!$C$32, $C$9, 100%, $E$9)</f>
        <v>9.9108000000000001</v>
      </c>
      <c r="H958" s="11">
        <f>33.8258 * CHOOSE(CONTROL!$C$32, $C$9, 100%, $E$9)</f>
        <v>33.825800000000001</v>
      </c>
      <c r="I958" s="11">
        <f>33.83 * CHOOSE(CONTROL!$C$32, $C$9, 100%, $E$9)</f>
        <v>33.83</v>
      </c>
      <c r="J958" s="11">
        <f>33.8258 * CHOOSE(CONTROL!$C$32, $C$9, 100%, $E$9)</f>
        <v>33.825800000000001</v>
      </c>
      <c r="K958" s="11">
        <f>33.83 * CHOOSE(CONTROL!$C$32, $C$9, 100%, $E$9)</f>
        <v>33.83</v>
      </c>
      <c r="L958" s="11">
        <f>9.9066 * CHOOSE(CONTROL!$C$32, $C$9, 100%, $E$9)</f>
        <v>9.9065999999999992</v>
      </c>
      <c r="M958" s="11">
        <f>9.9108 * CHOOSE(CONTROL!$C$32, $C$9, 100%, $E$9)</f>
        <v>9.9108000000000001</v>
      </c>
      <c r="N958" s="11">
        <f>9.9066 * CHOOSE(CONTROL!$C$32, $C$9, 100%, $E$9)</f>
        <v>9.9065999999999992</v>
      </c>
      <c r="O958" s="11">
        <f>9.9108 * CHOOSE(CONTROL!$C$32, $C$9, 100%, $E$9)</f>
        <v>9.9108000000000001</v>
      </c>
    </row>
    <row r="959" spans="1:15" ht="15" x14ac:dyDescent="0.2">
      <c r="A959" s="13">
        <v>70037</v>
      </c>
      <c r="B959" s="9">
        <f>14.2791 * CHOOSE(CONTROL!$C$32, $C$9, 100%, $E$9)</f>
        <v>14.2791</v>
      </c>
      <c r="C959" s="9">
        <f>14.2791 * CHOOSE(CONTROL!$C$32, $C$9, 100%, $E$9)</f>
        <v>14.2791</v>
      </c>
      <c r="D959" s="9">
        <f>14.28 * CHOOSE(CONTROL!$C$32, $C$9, 100%, $E$9)</f>
        <v>14.28</v>
      </c>
      <c r="E959" s="11">
        <f>10.0784 * CHOOSE(CONTROL!$C$32, $C$9, 100%, $E$9)</f>
        <v>10.0784</v>
      </c>
      <c r="F959" s="11">
        <f>10.0784 * CHOOSE(CONTROL!$C$32, $C$9, 100%, $E$9)</f>
        <v>10.0784</v>
      </c>
      <c r="G959" s="11">
        <f>10.0817 * CHOOSE(CONTROL!$C$32, $C$9, 100%, $E$9)</f>
        <v>10.0817</v>
      </c>
      <c r="H959" s="11">
        <f>33.8962 * CHOOSE(CONTROL!$C$32, $C$9, 100%, $E$9)</f>
        <v>33.8962</v>
      </c>
      <c r="I959" s="11">
        <f>33.8995 * CHOOSE(CONTROL!$C$32, $C$9, 100%, $E$9)</f>
        <v>33.899500000000003</v>
      </c>
      <c r="J959" s="11">
        <f>33.8962 * CHOOSE(CONTROL!$C$32, $C$9, 100%, $E$9)</f>
        <v>33.8962</v>
      </c>
      <c r="K959" s="11">
        <f>33.8995 * CHOOSE(CONTROL!$C$32, $C$9, 100%, $E$9)</f>
        <v>33.899500000000003</v>
      </c>
      <c r="L959" s="11">
        <f>10.0784 * CHOOSE(CONTROL!$C$32, $C$9, 100%, $E$9)</f>
        <v>10.0784</v>
      </c>
      <c r="M959" s="11">
        <f>10.0817 * CHOOSE(CONTROL!$C$32, $C$9, 100%, $E$9)</f>
        <v>10.0817</v>
      </c>
      <c r="N959" s="11">
        <f>10.0784 * CHOOSE(CONTROL!$C$32, $C$9, 100%, $E$9)</f>
        <v>10.0784</v>
      </c>
      <c r="O959" s="11">
        <f>10.0817 * CHOOSE(CONTROL!$C$32, $C$9, 100%, $E$9)</f>
        <v>10.0817</v>
      </c>
    </row>
    <row r="960" spans="1:15" ht="15" x14ac:dyDescent="0.2">
      <c r="A960" s="13">
        <v>70068</v>
      </c>
      <c r="B960" s="9">
        <f>14.2821 * CHOOSE(CONTROL!$C$32, $C$9, 100%, $E$9)</f>
        <v>14.2821</v>
      </c>
      <c r="C960" s="9">
        <f>14.2821 * CHOOSE(CONTROL!$C$32, $C$9, 100%, $E$9)</f>
        <v>14.2821</v>
      </c>
      <c r="D960" s="9">
        <f>14.2831 * CHOOSE(CONTROL!$C$32, $C$9, 100%, $E$9)</f>
        <v>14.283099999999999</v>
      </c>
      <c r="E960" s="11">
        <f>10.1732 * CHOOSE(CONTROL!$C$32, $C$9, 100%, $E$9)</f>
        <v>10.1732</v>
      </c>
      <c r="F960" s="11">
        <f>10.1732 * CHOOSE(CONTROL!$C$32, $C$9, 100%, $E$9)</f>
        <v>10.1732</v>
      </c>
      <c r="G960" s="11">
        <f>10.1764 * CHOOSE(CONTROL!$C$32, $C$9, 100%, $E$9)</f>
        <v>10.176399999999999</v>
      </c>
      <c r="H960" s="11">
        <f>33.9668 * CHOOSE(CONTROL!$C$32, $C$9, 100%, $E$9)</f>
        <v>33.966799999999999</v>
      </c>
      <c r="I960" s="11">
        <f>33.9701 * CHOOSE(CONTROL!$C$32, $C$9, 100%, $E$9)</f>
        <v>33.970100000000002</v>
      </c>
      <c r="J960" s="11">
        <f>33.9668 * CHOOSE(CONTROL!$C$32, $C$9, 100%, $E$9)</f>
        <v>33.966799999999999</v>
      </c>
      <c r="K960" s="11">
        <f>33.9701 * CHOOSE(CONTROL!$C$32, $C$9, 100%, $E$9)</f>
        <v>33.970100000000002</v>
      </c>
      <c r="L960" s="11">
        <f>10.1732 * CHOOSE(CONTROL!$C$32, $C$9, 100%, $E$9)</f>
        <v>10.1732</v>
      </c>
      <c r="M960" s="11">
        <f>10.1764 * CHOOSE(CONTROL!$C$32, $C$9, 100%, $E$9)</f>
        <v>10.176399999999999</v>
      </c>
      <c r="N960" s="11">
        <f>10.1732 * CHOOSE(CONTROL!$C$32, $C$9, 100%, $E$9)</f>
        <v>10.1732</v>
      </c>
      <c r="O960" s="11">
        <f>10.1764 * CHOOSE(CONTROL!$C$32, $C$9, 100%, $E$9)</f>
        <v>10.176399999999999</v>
      </c>
    </row>
    <row r="961" spans="1:15" ht="15" x14ac:dyDescent="0.2">
      <c r="A961" s="13">
        <v>70098</v>
      </c>
      <c r="B961" s="9">
        <f>14.2821 * CHOOSE(CONTROL!$C$32, $C$9, 100%, $E$9)</f>
        <v>14.2821</v>
      </c>
      <c r="C961" s="9">
        <f>14.2821 * CHOOSE(CONTROL!$C$32, $C$9, 100%, $E$9)</f>
        <v>14.2821</v>
      </c>
      <c r="D961" s="9">
        <f>14.2831 * CHOOSE(CONTROL!$C$32, $C$9, 100%, $E$9)</f>
        <v>14.283099999999999</v>
      </c>
      <c r="E961" s="11">
        <f>9.9416 * CHOOSE(CONTROL!$C$32, $C$9, 100%, $E$9)</f>
        <v>9.9415999999999993</v>
      </c>
      <c r="F961" s="11">
        <f>9.9416 * CHOOSE(CONTROL!$C$32, $C$9, 100%, $E$9)</f>
        <v>9.9415999999999993</v>
      </c>
      <c r="G961" s="11">
        <f>9.9448 * CHOOSE(CONTROL!$C$32, $C$9, 100%, $E$9)</f>
        <v>9.9448000000000008</v>
      </c>
      <c r="H961" s="11">
        <f>34.0376 * CHOOSE(CONTROL!$C$32, $C$9, 100%, $E$9)</f>
        <v>34.037599999999998</v>
      </c>
      <c r="I961" s="11">
        <f>34.0408 * CHOOSE(CONTROL!$C$32, $C$9, 100%, $E$9)</f>
        <v>34.040799999999997</v>
      </c>
      <c r="J961" s="11">
        <f>34.0376 * CHOOSE(CONTROL!$C$32, $C$9, 100%, $E$9)</f>
        <v>34.037599999999998</v>
      </c>
      <c r="K961" s="11">
        <f>34.0408 * CHOOSE(CONTROL!$C$32, $C$9, 100%, $E$9)</f>
        <v>34.040799999999997</v>
      </c>
      <c r="L961" s="11">
        <f>9.9416 * CHOOSE(CONTROL!$C$32, $C$9, 100%, $E$9)</f>
        <v>9.9415999999999993</v>
      </c>
      <c r="M961" s="11">
        <f>9.9448 * CHOOSE(CONTROL!$C$32, $C$9, 100%, $E$9)</f>
        <v>9.9448000000000008</v>
      </c>
      <c r="N961" s="11">
        <f>9.9416 * CHOOSE(CONTROL!$C$32, $C$9, 100%, $E$9)</f>
        <v>9.9415999999999993</v>
      </c>
      <c r="O961" s="11">
        <f>9.9448 * CHOOSE(CONTROL!$C$32, $C$9, 100%, $E$9)</f>
        <v>9.9448000000000008</v>
      </c>
    </row>
    <row r="962" spans="1:15" ht="15" x14ac:dyDescent="0.2">
      <c r="A962" s="13">
        <v>70129</v>
      </c>
      <c r="B962" s="9">
        <f>14.253 * CHOOSE(CONTROL!$C$32, $C$9, 100%, $E$9)</f>
        <v>14.253</v>
      </c>
      <c r="C962" s="9">
        <f>14.253 * CHOOSE(CONTROL!$C$32, $C$9, 100%, $E$9)</f>
        <v>14.253</v>
      </c>
      <c r="D962" s="9">
        <f>14.2539 * CHOOSE(CONTROL!$C$32, $C$9, 100%, $E$9)</f>
        <v>14.2539</v>
      </c>
      <c r="E962" s="11">
        <f>10.101 * CHOOSE(CONTROL!$C$32, $C$9, 100%, $E$9)</f>
        <v>10.101000000000001</v>
      </c>
      <c r="F962" s="11">
        <f>10.101 * CHOOSE(CONTROL!$C$32, $C$9, 100%, $E$9)</f>
        <v>10.101000000000001</v>
      </c>
      <c r="G962" s="11">
        <f>10.1042 * CHOOSE(CONTROL!$C$32, $C$9, 100%, $E$9)</f>
        <v>10.104200000000001</v>
      </c>
      <c r="H962" s="11">
        <f>33.7388 * CHOOSE(CONTROL!$C$32, $C$9, 100%, $E$9)</f>
        <v>33.738799999999998</v>
      </c>
      <c r="I962" s="11">
        <f>33.7421 * CHOOSE(CONTROL!$C$32, $C$9, 100%, $E$9)</f>
        <v>33.742100000000001</v>
      </c>
      <c r="J962" s="11">
        <f>33.7388 * CHOOSE(CONTROL!$C$32, $C$9, 100%, $E$9)</f>
        <v>33.738799999999998</v>
      </c>
      <c r="K962" s="11">
        <f>33.7421 * CHOOSE(CONTROL!$C$32, $C$9, 100%, $E$9)</f>
        <v>33.742100000000001</v>
      </c>
      <c r="L962" s="11">
        <f>10.101 * CHOOSE(CONTROL!$C$32, $C$9, 100%, $E$9)</f>
        <v>10.101000000000001</v>
      </c>
      <c r="M962" s="11">
        <f>10.1042 * CHOOSE(CONTROL!$C$32, $C$9, 100%, $E$9)</f>
        <v>10.104200000000001</v>
      </c>
      <c r="N962" s="11">
        <f>10.101 * CHOOSE(CONTROL!$C$32, $C$9, 100%, $E$9)</f>
        <v>10.101000000000001</v>
      </c>
      <c r="O962" s="11">
        <f>10.1042 * CHOOSE(CONTROL!$C$32, $C$9, 100%, $E$9)</f>
        <v>10.104200000000001</v>
      </c>
    </row>
    <row r="963" spans="1:15" ht="15" x14ac:dyDescent="0.2">
      <c r="A963" s="13">
        <v>70160</v>
      </c>
      <c r="B963" s="9">
        <f>14.2499 * CHOOSE(CONTROL!$C$32, $C$9, 100%, $E$9)</f>
        <v>14.2499</v>
      </c>
      <c r="C963" s="9">
        <f>14.2499 * CHOOSE(CONTROL!$C$32, $C$9, 100%, $E$9)</f>
        <v>14.2499</v>
      </c>
      <c r="D963" s="9">
        <f>14.2509 * CHOOSE(CONTROL!$C$32, $C$9, 100%, $E$9)</f>
        <v>14.2509</v>
      </c>
      <c r="E963" s="11">
        <f>9.6541 * CHOOSE(CONTROL!$C$32, $C$9, 100%, $E$9)</f>
        <v>9.6540999999999997</v>
      </c>
      <c r="F963" s="11">
        <f>9.6541 * CHOOSE(CONTROL!$C$32, $C$9, 100%, $E$9)</f>
        <v>9.6540999999999997</v>
      </c>
      <c r="G963" s="11">
        <f>9.6573 * CHOOSE(CONTROL!$C$32, $C$9, 100%, $E$9)</f>
        <v>9.6572999999999993</v>
      </c>
      <c r="H963" s="11">
        <f>33.8091 * CHOOSE(CONTROL!$C$32, $C$9, 100%, $E$9)</f>
        <v>33.809100000000001</v>
      </c>
      <c r="I963" s="11">
        <f>33.8123 * CHOOSE(CONTROL!$C$32, $C$9, 100%, $E$9)</f>
        <v>33.8123</v>
      </c>
      <c r="J963" s="11">
        <f>33.8091 * CHOOSE(CONTROL!$C$32, $C$9, 100%, $E$9)</f>
        <v>33.809100000000001</v>
      </c>
      <c r="K963" s="11">
        <f>33.8123 * CHOOSE(CONTROL!$C$32, $C$9, 100%, $E$9)</f>
        <v>33.8123</v>
      </c>
      <c r="L963" s="11">
        <f>9.6541 * CHOOSE(CONTROL!$C$32, $C$9, 100%, $E$9)</f>
        <v>9.6540999999999997</v>
      </c>
      <c r="M963" s="11">
        <f>9.6573 * CHOOSE(CONTROL!$C$32, $C$9, 100%, $E$9)</f>
        <v>9.6572999999999993</v>
      </c>
      <c r="N963" s="11">
        <f>9.6541 * CHOOSE(CONTROL!$C$32, $C$9, 100%, $E$9)</f>
        <v>9.6540999999999997</v>
      </c>
      <c r="O963" s="11">
        <f>9.6573 * CHOOSE(CONTROL!$C$32, $C$9, 100%, $E$9)</f>
        <v>9.6572999999999993</v>
      </c>
    </row>
    <row r="964" spans="1:15" ht="15" x14ac:dyDescent="0.2">
      <c r="A964" s="13">
        <v>70189</v>
      </c>
      <c r="B964" s="9">
        <f>14.2469 * CHOOSE(CONTROL!$C$32, $C$9, 100%, $E$9)</f>
        <v>14.2469</v>
      </c>
      <c r="C964" s="9">
        <f>14.2469 * CHOOSE(CONTROL!$C$32, $C$9, 100%, $E$9)</f>
        <v>14.2469</v>
      </c>
      <c r="D964" s="9">
        <f>14.2478 * CHOOSE(CONTROL!$C$32, $C$9, 100%, $E$9)</f>
        <v>14.2478</v>
      </c>
      <c r="E964" s="11">
        <f>10.0026 * CHOOSE(CONTROL!$C$32, $C$9, 100%, $E$9)</f>
        <v>10.002599999999999</v>
      </c>
      <c r="F964" s="11">
        <f>10.0026 * CHOOSE(CONTROL!$C$32, $C$9, 100%, $E$9)</f>
        <v>10.002599999999999</v>
      </c>
      <c r="G964" s="11">
        <f>10.0058 * CHOOSE(CONTROL!$C$32, $C$9, 100%, $E$9)</f>
        <v>10.005800000000001</v>
      </c>
      <c r="H964" s="11">
        <f>33.8796 * CHOOSE(CONTROL!$C$32, $C$9, 100%, $E$9)</f>
        <v>33.879600000000003</v>
      </c>
      <c r="I964" s="11">
        <f>33.8828 * CHOOSE(CONTROL!$C$32, $C$9, 100%, $E$9)</f>
        <v>33.882800000000003</v>
      </c>
      <c r="J964" s="11">
        <f>33.8796 * CHOOSE(CONTROL!$C$32, $C$9, 100%, $E$9)</f>
        <v>33.879600000000003</v>
      </c>
      <c r="K964" s="11">
        <f>33.8828 * CHOOSE(CONTROL!$C$32, $C$9, 100%, $E$9)</f>
        <v>33.882800000000003</v>
      </c>
      <c r="L964" s="11">
        <f>10.0026 * CHOOSE(CONTROL!$C$32, $C$9, 100%, $E$9)</f>
        <v>10.002599999999999</v>
      </c>
      <c r="M964" s="11">
        <f>10.0058 * CHOOSE(CONTROL!$C$32, $C$9, 100%, $E$9)</f>
        <v>10.005800000000001</v>
      </c>
      <c r="N964" s="11">
        <f>10.0026 * CHOOSE(CONTROL!$C$32, $C$9, 100%, $E$9)</f>
        <v>10.002599999999999</v>
      </c>
      <c r="O964" s="11">
        <f>10.0058 * CHOOSE(CONTROL!$C$32, $C$9, 100%, $E$9)</f>
        <v>10.005800000000001</v>
      </c>
    </row>
    <row r="965" spans="1:15" ht="15" x14ac:dyDescent="0.2">
      <c r="A965" s="13">
        <v>70220</v>
      </c>
      <c r="B965" s="9">
        <f>14.2545 * CHOOSE(CONTROL!$C$32, $C$9, 100%, $E$9)</f>
        <v>14.2545</v>
      </c>
      <c r="C965" s="9">
        <f>14.2545 * CHOOSE(CONTROL!$C$32, $C$9, 100%, $E$9)</f>
        <v>14.2545</v>
      </c>
      <c r="D965" s="9">
        <f>14.2554 * CHOOSE(CONTROL!$C$32, $C$9, 100%, $E$9)</f>
        <v>14.2554</v>
      </c>
      <c r="E965" s="11">
        <f>10.3749 * CHOOSE(CONTROL!$C$32, $C$9, 100%, $E$9)</f>
        <v>10.3749</v>
      </c>
      <c r="F965" s="11">
        <f>10.3749 * CHOOSE(CONTROL!$C$32, $C$9, 100%, $E$9)</f>
        <v>10.3749</v>
      </c>
      <c r="G965" s="11">
        <f>10.3782 * CHOOSE(CONTROL!$C$32, $C$9, 100%, $E$9)</f>
        <v>10.3782</v>
      </c>
      <c r="H965" s="11">
        <f>33.9501 * CHOOSE(CONTROL!$C$32, $C$9, 100%, $E$9)</f>
        <v>33.950099999999999</v>
      </c>
      <c r="I965" s="11">
        <f>33.9534 * CHOOSE(CONTROL!$C$32, $C$9, 100%, $E$9)</f>
        <v>33.953400000000002</v>
      </c>
      <c r="J965" s="11">
        <f>33.9501 * CHOOSE(CONTROL!$C$32, $C$9, 100%, $E$9)</f>
        <v>33.950099999999999</v>
      </c>
      <c r="K965" s="11">
        <f>33.9534 * CHOOSE(CONTROL!$C$32, $C$9, 100%, $E$9)</f>
        <v>33.953400000000002</v>
      </c>
      <c r="L965" s="11">
        <f>10.3749 * CHOOSE(CONTROL!$C$32, $C$9, 100%, $E$9)</f>
        <v>10.3749</v>
      </c>
      <c r="M965" s="11">
        <f>10.3782 * CHOOSE(CONTROL!$C$32, $C$9, 100%, $E$9)</f>
        <v>10.3782</v>
      </c>
      <c r="N965" s="11">
        <f>10.3749 * CHOOSE(CONTROL!$C$32, $C$9, 100%, $E$9)</f>
        <v>10.3749</v>
      </c>
      <c r="O965" s="11">
        <f>10.3782 * CHOOSE(CONTROL!$C$32, $C$9, 100%, $E$9)</f>
        <v>10.3782</v>
      </c>
    </row>
    <row r="966" spans="1:15" ht="15" x14ac:dyDescent="0.2">
      <c r="A966" s="13">
        <v>70250</v>
      </c>
      <c r="B966" s="9">
        <f>14.2545 * CHOOSE(CONTROL!$C$32, $C$9, 100%, $E$9)</f>
        <v>14.2545</v>
      </c>
      <c r="C966" s="9">
        <f>14.2545 * CHOOSE(CONTROL!$C$32, $C$9, 100%, $E$9)</f>
        <v>14.2545</v>
      </c>
      <c r="D966" s="9">
        <f>14.2557 * CHOOSE(CONTROL!$C$32, $C$9, 100%, $E$9)</f>
        <v>14.255699999999999</v>
      </c>
      <c r="E966" s="11">
        <f>10.5162 * CHOOSE(CONTROL!$C$32, $C$9, 100%, $E$9)</f>
        <v>10.5162</v>
      </c>
      <c r="F966" s="11">
        <f>10.5162 * CHOOSE(CONTROL!$C$32, $C$9, 100%, $E$9)</f>
        <v>10.5162</v>
      </c>
      <c r="G966" s="11">
        <f>10.5204 * CHOOSE(CONTROL!$C$32, $C$9, 100%, $E$9)</f>
        <v>10.5204</v>
      </c>
      <c r="H966" s="11">
        <f>34.0209 * CHOOSE(CONTROL!$C$32, $C$9, 100%, $E$9)</f>
        <v>34.020899999999997</v>
      </c>
      <c r="I966" s="11">
        <f>34.0251 * CHOOSE(CONTROL!$C$32, $C$9, 100%, $E$9)</f>
        <v>34.025100000000002</v>
      </c>
      <c r="J966" s="11">
        <f>34.0209 * CHOOSE(CONTROL!$C$32, $C$9, 100%, $E$9)</f>
        <v>34.020899999999997</v>
      </c>
      <c r="K966" s="11">
        <f>34.0251 * CHOOSE(CONTROL!$C$32, $C$9, 100%, $E$9)</f>
        <v>34.025100000000002</v>
      </c>
      <c r="L966" s="11">
        <f>10.5162 * CHOOSE(CONTROL!$C$32, $C$9, 100%, $E$9)</f>
        <v>10.5162</v>
      </c>
      <c r="M966" s="11">
        <f>10.5204 * CHOOSE(CONTROL!$C$32, $C$9, 100%, $E$9)</f>
        <v>10.5204</v>
      </c>
      <c r="N966" s="11">
        <f>10.5162 * CHOOSE(CONTROL!$C$32, $C$9, 100%, $E$9)</f>
        <v>10.5162</v>
      </c>
      <c r="O966" s="11">
        <f>10.5204 * CHOOSE(CONTROL!$C$32, $C$9, 100%, $E$9)</f>
        <v>10.5204</v>
      </c>
    </row>
    <row r="967" spans="1:15" ht="15" x14ac:dyDescent="0.2">
      <c r="A967" s="13">
        <v>70281</v>
      </c>
      <c r="B967" s="9">
        <f>14.2606 * CHOOSE(CONTROL!$C$32, $C$9, 100%, $E$9)</f>
        <v>14.2606</v>
      </c>
      <c r="C967" s="9">
        <f>14.2606 * CHOOSE(CONTROL!$C$32, $C$9, 100%, $E$9)</f>
        <v>14.2606</v>
      </c>
      <c r="D967" s="9">
        <f>14.2618 * CHOOSE(CONTROL!$C$32, $C$9, 100%, $E$9)</f>
        <v>14.261799999999999</v>
      </c>
      <c r="E967" s="11">
        <f>10.3792 * CHOOSE(CONTROL!$C$32, $C$9, 100%, $E$9)</f>
        <v>10.379200000000001</v>
      </c>
      <c r="F967" s="11">
        <f>10.3792 * CHOOSE(CONTROL!$C$32, $C$9, 100%, $E$9)</f>
        <v>10.379200000000001</v>
      </c>
      <c r="G967" s="11">
        <f>10.3834 * CHOOSE(CONTROL!$C$32, $C$9, 100%, $E$9)</f>
        <v>10.3834</v>
      </c>
      <c r="H967" s="11">
        <f>34.0917 * CHOOSE(CONTROL!$C$32, $C$9, 100%, $E$9)</f>
        <v>34.091700000000003</v>
      </c>
      <c r="I967" s="11">
        <f>34.0959 * CHOOSE(CONTROL!$C$32, $C$9, 100%, $E$9)</f>
        <v>34.0959</v>
      </c>
      <c r="J967" s="11">
        <f>34.0917 * CHOOSE(CONTROL!$C$32, $C$9, 100%, $E$9)</f>
        <v>34.091700000000003</v>
      </c>
      <c r="K967" s="11">
        <f>34.0959 * CHOOSE(CONTROL!$C$32, $C$9, 100%, $E$9)</f>
        <v>34.0959</v>
      </c>
      <c r="L967" s="11">
        <f>10.3792 * CHOOSE(CONTROL!$C$32, $C$9, 100%, $E$9)</f>
        <v>10.379200000000001</v>
      </c>
      <c r="M967" s="11">
        <f>10.3834 * CHOOSE(CONTROL!$C$32, $C$9, 100%, $E$9)</f>
        <v>10.3834</v>
      </c>
      <c r="N967" s="11">
        <f>10.3792 * CHOOSE(CONTROL!$C$32, $C$9, 100%, $E$9)</f>
        <v>10.379200000000001</v>
      </c>
      <c r="O967" s="11">
        <f>10.3834 * CHOOSE(CONTROL!$C$32, $C$9, 100%, $E$9)</f>
        <v>10.3834</v>
      </c>
    </row>
    <row r="968" spans="1:15" ht="15" x14ac:dyDescent="0.2">
      <c r="A968" s="13">
        <v>70311</v>
      </c>
      <c r="B968" s="9">
        <f>14.4317 * CHOOSE(CONTROL!$C$32, $C$9, 100%, $E$9)</f>
        <v>14.431699999999999</v>
      </c>
      <c r="C968" s="9">
        <f>14.4317 * CHOOSE(CONTROL!$C$32, $C$9, 100%, $E$9)</f>
        <v>14.431699999999999</v>
      </c>
      <c r="D968" s="9">
        <f>14.4329 * CHOOSE(CONTROL!$C$32, $C$9, 100%, $E$9)</f>
        <v>14.4329</v>
      </c>
      <c r="E968" s="11">
        <f>10.4501 * CHOOSE(CONTROL!$C$32, $C$9, 100%, $E$9)</f>
        <v>10.450100000000001</v>
      </c>
      <c r="F968" s="11">
        <f>10.4501 * CHOOSE(CONTROL!$C$32, $C$9, 100%, $E$9)</f>
        <v>10.450100000000001</v>
      </c>
      <c r="G968" s="11">
        <f>10.4543 * CHOOSE(CONTROL!$C$32, $C$9, 100%, $E$9)</f>
        <v>10.4543</v>
      </c>
      <c r="H968" s="11">
        <f>34.1628 * CHOOSE(CONTROL!$C$32, $C$9, 100%, $E$9)</f>
        <v>34.162799999999997</v>
      </c>
      <c r="I968" s="11">
        <f>34.167 * CHOOSE(CONTROL!$C$32, $C$9, 100%, $E$9)</f>
        <v>34.167000000000002</v>
      </c>
      <c r="J968" s="11">
        <f>34.1628 * CHOOSE(CONTROL!$C$32, $C$9, 100%, $E$9)</f>
        <v>34.162799999999997</v>
      </c>
      <c r="K968" s="11">
        <f>34.167 * CHOOSE(CONTROL!$C$32, $C$9, 100%, $E$9)</f>
        <v>34.167000000000002</v>
      </c>
      <c r="L968" s="11">
        <f>10.4501 * CHOOSE(CONTROL!$C$32, $C$9, 100%, $E$9)</f>
        <v>10.450100000000001</v>
      </c>
      <c r="M968" s="11">
        <f>10.4543 * CHOOSE(CONTROL!$C$32, $C$9, 100%, $E$9)</f>
        <v>10.4543</v>
      </c>
      <c r="N968" s="11">
        <f>10.4501 * CHOOSE(CONTROL!$C$32, $C$9, 100%, $E$9)</f>
        <v>10.450100000000001</v>
      </c>
      <c r="O968" s="11">
        <f>10.4543 * CHOOSE(CONTROL!$C$32, $C$9, 100%, $E$9)</f>
        <v>10.4543</v>
      </c>
    </row>
    <row r="969" spans="1:15" ht="15" x14ac:dyDescent="0.2">
      <c r="A969" s="13">
        <v>70342</v>
      </c>
      <c r="B969" s="9">
        <f>14.4384 * CHOOSE(CONTROL!$C$32, $C$9, 100%, $E$9)</f>
        <v>14.4384</v>
      </c>
      <c r="C969" s="9">
        <f>14.4384 * CHOOSE(CONTROL!$C$32, $C$9, 100%, $E$9)</f>
        <v>14.4384</v>
      </c>
      <c r="D969" s="9">
        <f>14.4396 * CHOOSE(CONTROL!$C$32, $C$9, 100%, $E$9)</f>
        <v>14.4396</v>
      </c>
      <c r="E969" s="11">
        <f>10.0312 * CHOOSE(CONTROL!$C$32, $C$9, 100%, $E$9)</f>
        <v>10.0312</v>
      </c>
      <c r="F969" s="11">
        <f>10.0312 * CHOOSE(CONTROL!$C$32, $C$9, 100%, $E$9)</f>
        <v>10.0312</v>
      </c>
      <c r="G969" s="11">
        <f>10.0354 * CHOOSE(CONTROL!$C$32, $C$9, 100%, $E$9)</f>
        <v>10.035399999999999</v>
      </c>
      <c r="H969" s="11">
        <f>34.2339 * CHOOSE(CONTROL!$C$32, $C$9, 100%, $E$9)</f>
        <v>34.233899999999998</v>
      </c>
      <c r="I969" s="11">
        <f>34.2381 * CHOOSE(CONTROL!$C$32, $C$9, 100%, $E$9)</f>
        <v>34.238100000000003</v>
      </c>
      <c r="J969" s="11">
        <f>34.2339 * CHOOSE(CONTROL!$C$32, $C$9, 100%, $E$9)</f>
        <v>34.233899999999998</v>
      </c>
      <c r="K969" s="11">
        <f>34.2381 * CHOOSE(CONTROL!$C$32, $C$9, 100%, $E$9)</f>
        <v>34.238100000000003</v>
      </c>
      <c r="L969" s="11">
        <f>10.0312 * CHOOSE(CONTROL!$C$32, $C$9, 100%, $E$9)</f>
        <v>10.0312</v>
      </c>
      <c r="M969" s="11">
        <f>10.0354 * CHOOSE(CONTROL!$C$32, $C$9, 100%, $E$9)</f>
        <v>10.035399999999999</v>
      </c>
      <c r="N969" s="11">
        <f>10.0312 * CHOOSE(CONTROL!$C$32, $C$9, 100%, $E$9)</f>
        <v>10.0312</v>
      </c>
      <c r="O969" s="11">
        <f>10.0354 * CHOOSE(CONTROL!$C$32, $C$9, 100%, $E$9)</f>
        <v>10.035399999999999</v>
      </c>
    </row>
    <row r="970" spans="1:15" ht="15" x14ac:dyDescent="0.2">
      <c r="A970" s="13">
        <v>70373</v>
      </c>
      <c r="B970" s="9">
        <f>14.4353 * CHOOSE(CONTROL!$C$32, $C$9, 100%, $E$9)</f>
        <v>14.4353</v>
      </c>
      <c r="C970" s="9">
        <f>14.4353 * CHOOSE(CONTROL!$C$32, $C$9, 100%, $E$9)</f>
        <v>14.4353</v>
      </c>
      <c r="D970" s="9">
        <f>14.4366 * CHOOSE(CONTROL!$C$32, $C$9, 100%, $E$9)</f>
        <v>14.4366</v>
      </c>
      <c r="E970" s="11">
        <f>9.982 * CHOOSE(CONTROL!$C$32, $C$9, 100%, $E$9)</f>
        <v>9.9819999999999993</v>
      </c>
      <c r="F970" s="11">
        <f>9.982 * CHOOSE(CONTROL!$C$32, $C$9, 100%, $E$9)</f>
        <v>9.9819999999999993</v>
      </c>
      <c r="G970" s="11">
        <f>9.9862 * CHOOSE(CONTROL!$C$32, $C$9, 100%, $E$9)</f>
        <v>9.9862000000000002</v>
      </c>
      <c r="H970" s="11">
        <f>34.3053 * CHOOSE(CONTROL!$C$32, $C$9, 100%, $E$9)</f>
        <v>34.305300000000003</v>
      </c>
      <c r="I970" s="11">
        <f>34.3095 * CHOOSE(CONTROL!$C$32, $C$9, 100%, $E$9)</f>
        <v>34.3095</v>
      </c>
      <c r="J970" s="11">
        <f>34.3053 * CHOOSE(CONTROL!$C$32, $C$9, 100%, $E$9)</f>
        <v>34.305300000000003</v>
      </c>
      <c r="K970" s="11">
        <f>34.3095 * CHOOSE(CONTROL!$C$32, $C$9, 100%, $E$9)</f>
        <v>34.3095</v>
      </c>
      <c r="L970" s="11">
        <f>9.982 * CHOOSE(CONTROL!$C$32, $C$9, 100%, $E$9)</f>
        <v>9.9819999999999993</v>
      </c>
      <c r="M970" s="11">
        <f>9.9862 * CHOOSE(CONTROL!$C$32, $C$9, 100%, $E$9)</f>
        <v>9.9862000000000002</v>
      </c>
      <c r="N970" s="11">
        <f>9.982 * CHOOSE(CONTROL!$C$32, $C$9, 100%, $E$9)</f>
        <v>9.9819999999999993</v>
      </c>
      <c r="O970" s="11">
        <f>9.9862 * CHOOSE(CONTROL!$C$32, $C$9, 100%, $E$9)</f>
        <v>9.9862000000000002</v>
      </c>
    </row>
    <row r="971" spans="1:15" ht="15" x14ac:dyDescent="0.2">
      <c r="A971" s="13">
        <v>70403</v>
      </c>
      <c r="B971" s="9">
        <f>14.4694 * CHOOSE(CONTROL!$C$32, $C$9, 100%, $E$9)</f>
        <v>14.4694</v>
      </c>
      <c r="C971" s="9">
        <f>14.4694 * CHOOSE(CONTROL!$C$32, $C$9, 100%, $E$9)</f>
        <v>14.4694</v>
      </c>
      <c r="D971" s="9">
        <f>14.4704 * CHOOSE(CONTROL!$C$32, $C$9, 100%, $E$9)</f>
        <v>14.4704</v>
      </c>
      <c r="E971" s="11">
        <f>10.1568 * CHOOSE(CONTROL!$C$32, $C$9, 100%, $E$9)</f>
        <v>10.1568</v>
      </c>
      <c r="F971" s="11">
        <f>10.1568 * CHOOSE(CONTROL!$C$32, $C$9, 100%, $E$9)</f>
        <v>10.1568</v>
      </c>
      <c r="G971" s="11">
        <f>10.1601 * CHOOSE(CONTROL!$C$32, $C$9, 100%, $E$9)</f>
        <v>10.1601</v>
      </c>
      <c r="H971" s="11">
        <f>34.3767 * CHOOSE(CONTROL!$C$32, $C$9, 100%, $E$9)</f>
        <v>34.3767</v>
      </c>
      <c r="I971" s="11">
        <f>34.38 * CHOOSE(CONTROL!$C$32, $C$9, 100%, $E$9)</f>
        <v>34.380000000000003</v>
      </c>
      <c r="J971" s="11">
        <f>34.3767 * CHOOSE(CONTROL!$C$32, $C$9, 100%, $E$9)</f>
        <v>34.3767</v>
      </c>
      <c r="K971" s="11">
        <f>34.38 * CHOOSE(CONTROL!$C$32, $C$9, 100%, $E$9)</f>
        <v>34.380000000000003</v>
      </c>
      <c r="L971" s="11">
        <f>10.1568 * CHOOSE(CONTROL!$C$32, $C$9, 100%, $E$9)</f>
        <v>10.1568</v>
      </c>
      <c r="M971" s="11">
        <f>10.1601 * CHOOSE(CONTROL!$C$32, $C$9, 100%, $E$9)</f>
        <v>10.1601</v>
      </c>
      <c r="N971" s="11">
        <f>10.1568 * CHOOSE(CONTROL!$C$32, $C$9, 100%, $E$9)</f>
        <v>10.1568</v>
      </c>
      <c r="O971" s="11">
        <f>10.1601 * CHOOSE(CONTROL!$C$32, $C$9, 100%, $E$9)</f>
        <v>10.1601</v>
      </c>
    </row>
    <row r="972" spans="1:15" ht="15" x14ac:dyDescent="0.2">
      <c r="A972" s="13">
        <v>70434</v>
      </c>
      <c r="B972" s="9">
        <f>14.4724 * CHOOSE(CONTROL!$C$32, $C$9, 100%, $E$9)</f>
        <v>14.4724</v>
      </c>
      <c r="C972" s="9">
        <f>14.4724 * CHOOSE(CONTROL!$C$32, $C$9, 100%, $E$9)</f>
        <v>14.4724</v>
      </c>
      <c r="D972" s="9">
        <f>14.4734 * CHOOSE(CONTROL!$C$32, $C$9, 100%, $E$9)</f>
        <v>14.4734</v>
      </c>
      <c r="E972" s="11">
        <f>10.2531 * CHOOSE(CONTROL!$C$32, $C$9, 100%, $E$9)</f>
        <v>10.2531</v>
      </c>
      <c r="F972" s="11">
        <f>10.2531 * CHOOSE(CONTROL!$C$32, $C$9, 100%, $E$9)</f>
        <v>10.2531</v>
      </c>
      <c r="G972" s="11">
        <f>10.2563 * CHOOSE(CONTROL!$C$32, $C$9, 100%, $E$9)</f>
        <v>10.2563</v>
      </c>
      <c r="H972" s="11">
        <f>34.4483 * CHOOSE(CONTROL!$C$32, $C$9, 100%, $E$9)</f>
        <v>34.448300000000003</v>
      </c>
      <c r="I972" s="11">
        <f>34.4516 * CHOOSE(CONTROL!$C$32, $C$9, 100%, $E$9)</f>
        <v>34.451599999999999</v>
      </c>
      <c r="J972" s="11">
        <f>34.4483 * CHOOSE(CONTROL!$C$32, $C$9, 100%, $E$9)</f>
        <v>34.448300000000003</v>
      </c>
      <c r="K972" s="11">
        <f>34.4516 * CHOOSE(CONTROL!$C$32, $C$9, 100%, $E$9)</f>
        <v>34.451599999999999</v>
      </c>
      <c r="L972" s="11">
        <f>10.2531 * CHOOSE(CONTROL!$C$32, $C$9, 100%, $E$9)</f>
        <v>10.2531</v>
      </c>
      <c r="M972" s="11">
        <f>10.2563 * CHOOSE(CONTROL!$C$32, $C$9, 100%, $E$9)</f>
        <v>10.2563</v>
      </c>
      <c r="N972" s="11">
        <f>10.2531 * CHOOSE(CONTROL!$C$32, $C$9, 100%, $E$9)</f>
        <v>10.2531</v>
      </c>
      <c r="O972" s="11">
        <f>10.2563 * CHOOSE(CONTROL!$C$32, $C$9, 100%, $E$9)</f>
        <v>10.2563</v>
      </c>
    </row>
    <row r="973" spans="1:15" ht="15" x14ac:dyDescent="0.2">
      <c r="A973" s="13">
        <v>70464</v>
      </c>
      <c r="B973" s="9">
        <f>14.4724 * CHOOSE(CONTROL!$C$32, $C$9, 100%, $E$9)</f>
        <v>14.4724</v>
      </c>
      <c r="C973" s="9">
        <f>14.4724 * CHOOSE(CONTROL!$C$32, $C$9, 100%, $E$9)</f>
        <v>14.4724</v>
      </c>
      <c r="D973" s="9">
        <f>14.4734 * CHOOSE(CONTROL!$C$32, $C$9, 100%, $E$9)</f>
        <v>14.4734</v>
      </c>
      <c r="E973" s="11">
        <f>10.0177 * CHOOSE(CONTROL!$C$32, $C$9, 100%, $E$9)</f>
        <v>10.0177</v>
      </c>
      <c r="F973" s="11">
        <f>10.0177 * CHOOSE(CONTROL!$C$32, $C$9, 100%, $E$9)</f>
        <v>10.0177</v>
      </c>
      <c r="G973" s="11">
        <f>10.021 * CHOOSE(CONTROL!$C$32, $C$9, 100%, $E$9)</f>
        <v>10.021000000000001</v>
      </c>
      <c r="H973" s="11">
        <f>34.5201 * CHOOSE(CONTROL!$C$32, $C$9, 100%, $E$9)</f>
        <v>34.520099999999999</v>
      </c>
      <c r="I973" s="11">
        <f>34.5233 * CHOOSE(CONTROL!$C$32, $C$9, 100%, $E$9)</f>
        <v>34.523299999999999</v>
      </c>
      <c r="J973" s="11">
        <f>34.5201 * CHOOSE(CONTROL!$C$32, $C$9, 100%, $E$9)</f>
        <v>34.520099999999999</v>
      </c>
      <c r="K973" s="11">
        <f>34.5233 * CHOOSE(CONTROL!$C$32, $C$9, 100%, $E$9)</f>
        <v>34.523299999999999</v>
      </c>
      <c r="L973" s="11">
        <f>10.0177 * CHOOSE(CONTROL!$C$32, $C$9, 100%, $E$9)</f>
        <v>10.0177</v>
      </c>
      <c r="M973" s="11">
        <f>10.021 * CHOOSE(CONTROL!$C$32, $C$9, 100%, $E$9)</f>
        <v>10.021000000000001</v>
      </c>
      <c r="N973" s="11">
        <f>10.0177 * CHOOSE(CONTROL!$C$32, $C$9, 100%, $E$9)</f>
        <v>10.0177</v>
      </c>
      <c r="O973" s="11">
        <f>10.021 * CHOOSE(CONTROL!$C$32, $C$9, 100%, $E$9)</f>
        <v>10.021000000000001</v>
      </c>
    </row>
    <row r="974" spans="1:15" ht="15" x14ac:dyDescent="0.2">
      <c r="A974" s="13">
        <v>70495</v>
      </c>
      <c r="B974" s="9">
        <f>14.4403 * CHOOSE(CONTROL!$C$32, $C$9, 100%, $E$9)</f>
        <v>14.440300000000001</v>
      </c>
      <c r="C974" s="9">
        <f>14.4403 * CHOOSE(CONTROL!$C$32, $C$9, 100%, $E$9)</f>
        <v>14.440300000000001</v>
      </c>
      <c r="D974" s="9">
        <f>14.4413 * CHOOSE(CONTROL!$C$32, $C$9, 100%, $E$9)</f>
        <v>14.4413</v>
      </c>
      <c r="E974" s="11">
        <f>10.1783 * CHOOSE(CONTROL!$C$32, $C$9, 100%, $E$9)</f>
        <v>10.1783</v>
      </c>
      <c r="F974" s="11">
        <f>10.1783 * CHOOSE(CONTROL!$C$32, $C$9, 100%, $E$9)</f>
        <v>10.1783</v>
      </c>
      <c r="G974" s="11">
        <f>10.1815 * CHOOSE(CONTROL!$C$32, $C$9, 100%, $E$9)</f>
        <v>10.1815</v>
      </c>
      <c r="H974" s="11">
        <f>34.2104 * CHOOSE(CONTROL!$C$32, $C$9, 100%, $E$9)</f>
        <v>34.2104</v>
      </c>
      <c r="I974" s="11">
        <f>34.2136 * CHOOSE(CONTROL!$C$32, $C$9, 100%, $E$9)</f>
        <v>34.2136</v>
      </c>
      <c r="J974" s="11">
        <f>34.2104 * CHOOSE(CONTROL!$C$32, $C$9, 100%, $E$9)</f>
        <v>34.2104</v>
      </c>
      <c r="K974" s="11">
        <f>34.2136 * CHOOSE(CONTROL!$C$32, $C$9, 100%, $E$9)</f>
        <v>34.2136</v>
      </c>
      <c r="L974" s="11">
        <f>10.1783 * CHOOSE(CONTROL!$C$32, $C$9, 100%, $E$9)</f>
        <v>10.1783</v>
      </c>
      <c r="M974" s="11">
        <f>10.1815 * CHOOSE(CONTROL!$C$32, $C$9, 100%, $E$9)</f>
        <v>10.1815</v>
      </c>
      <c r="N974" s="11">
        <f>10.1783 * CHOOSE(CONTROL!$C$32, $C$9, 100%, $E$9)</f>
        <v>10.1783</v>
      </c>
      <c r="O974" s="11">
        <f>10.1815 * CHOOSE(CONTROL!$C$32, $C$9, 100%, $E$9)</f>
        <v>10.1815</v>
      </c>
    </row>
    <row r="975" spans="1:15" ht="15" x14ac:dyDescent="0.2">
      <c r="A975" s="13">
        <v>70526</v>
      </c>
      <c r="B975" s="9">
        <f>14.4373 * CHOOSE(CONTROL!$C$32, $C$9, 100%, $E$9)</f>
        <v>14.4373</v>
      </c>
      <c r="C975" s="9">
        <f>14.4373 * CHOOSE(CONTROL!$C$32, $C$9, 100%, $E$9)</f>
        <v>14.4373</v>
      </c>
      <c r="D975" s="9">
        <f>14.4382 * CHOOSE(CONTROL!$C$32, $C$9, 100%, $E$9)</f>
        <v>14.4382</v>
      </c>
      <c r="E975" s="11">
        <f>9.7243 * CHOOSE(CONTROL!$C$32, $C$9, 100%, $E$9)</f>
        <v>9.7242999999999995</v>
      </c>
      <c r="F975" s="11">
        <f>9.7243 * CHOOSE(CONTROL!$C$32, $C$9, 100%, $E$9)</f>
        <v>9.7242999999999995</v>
      </c>
      <c r="G975" s="11">
        <f>9.7275 * CHOOSE(CONTROL!$C$32, $C$9, 100%, $E$9)</f>
        <v>9.7274999999999991</v>
      </c>
      <c r="H975" s="11">
        <f>34.2817 * CHOOSE(CONTROL!$C$32, $C$9, 100%, $E$9)</f>
        <v>34.281700000000001</v>
      </c>
      <c r="I975" s="11">
        <f>34.2849 * CHOOSE(CONTROL!$C$32, $C$9, 100%, $E$9)</f>
        <v>34.2849</v>
      </c>
      <c r="J975" s="11">
        <f>34.2817 * CHOOSE(CONTROL!$C$32, $C$9, 100%, $E$9)</f>
        <v>34.281700000000001</v>
      </c>
      <c r="K975" s="11">
        <f>34.2849 * CHOOSE(CONTROL!$C$32, $C$9, 100%, $E$9)</f>
        <v>34.2849</v>
      </c>
      <c r="L975" s="11">
        <f>9.7243 * CHOOSE(CONTROL!$C$32, $C$9, 100%, $E$9)</f>
        <v>9.7242999999999995</v>
      </c>
      <c r="M975" s="11">
        <f>9.7275 * CHOOSE(CONTROL!$C$32, $C$9, 100%, $E$9)</f>
        <v>9.7274999999999991</v>
      </c>
      <c r="N975" s="11">
        <f>9.7243 * CHOOSE(CONTROL!$C$32, $C$9, 100%, $E$9)</f>
        <v>9.7242999999999995</v>
      </c>
      <c r="O975" s="11">
        <f>9.7275 * CHOOSE(CONTROL!$C$32, $C$9, 100%, $E$9)</f>
        <v>9.7274999999999991</v>
      </c>
    </row>
    <row r="976" spans="1:15" ht="15" x14ac:dyDescent="0.2">
      <c r="A976" s="13">
        <v>70554</v>
      </c>
      <c r="B976" s="9">
        <f>14.4342 * CHOOSE(CONTROL!$C$32, $C$9, 100%, $E$9)</f>
        <v>14.434200000000001</v>
      </c>
      <c r="C976" s="9">
        <f>14.4342 * CHOOSE(CONTROL!$C$32, $C$9, 100%, $E$9)</f>
        <v>14.434200000000001</v>
      </c>
      <c r="D976" s="9">
        <f>14.4352 * CHOOSE(CONTROL!$C$32, $C$9, 100%, $E$9)</f>
        <v>14.4352</v>
      </c>
      <c r="E976" s="11">
        <f>10.0784 * CHOOSE(CONTROL!$C$32, $C$9, 100%, $E$9)</f>
        <v>10.0784</v>
      </c>
      <c r="F976" s="11">
        <f>10.0784 * CHOOSE(CONTROL!$C$32, $C$9, 100%, $E$9)</f>
        <v>10.0784</v>
      </c>
      <c r="G976" s="11">
        <f>10.0816 * CHOOSE(CONTROL!$C$32, $C$9, 100%, $E$9)</f>
        <v>10.0816</v>
      </c>
      <c r="H976" s="11">
        <f>34.3531 * CHOOSE(CONTROL!$C$32, $C$9, 100%, $E$9)</f>
        <v>34.353099999999998</v>
      </c>
      <c r="I976" s="11">
        <f>34.3563 * CHOOSE(CONTROL!$C$32, $C$9, 100%, $E$9)</f>
        <v>34.356299999999997</v>
      </c>
      <c r="J976" s="11">
        <f>34.3531 * CHOOSE(CONTROL!$C$32, $C$9, 100%, $E$9)</f>
        <v>34.353099999999998</v>
      </c>
      <c r="K976" s="11">
        <f>34.3563 * CHOOSE(CONTROL!$C$32, $C$9, 100%, $E$9)</f>
        <v>34.356299999999997</v>
      </c>
      <c r="L976" s="11">
        <f>10.0784 * CHOOSE(CONTROL!$C$32, $C$9, 100%, $E$9)</f>
        <v>10.0784</v>
      </c>
      <c r="M976" s="11">
        <f>10.0816 * CHOOSE(CONTROL!$C$32, $C$9, 100%, $E$9)</f>
        <v>10.0816</v>
      </c>
      <c r="N976" s="11">
        <f>10.0784 * CHOOSE(CONTROL!$C$32, $C$9, 100%, $E$9)</f>
        <v>10.0784</v>
      </c>
      <c r="O976" s="11">
        <f>10.0816 * CHOOSE(CONTROL!$C$32, $C$9, 100%, $E$9)</f>
        <v>10.0816</v>
      </c>
    </row>
    <row r="977" spans="1:15" ht="15" x14ac:dyDescent="0.2">
      <c r="A977" s="13">
        <v>70585</v>
      </c>
      <c r="B977" s="9">
        <f>14.442 * CHOOSE(CONTROL!$C$32, $C$9, 100%, $E$9)</f>
        <v>14.442</v>
      </c>
      <c r="C977" s="9">
        <f>14.442 * CHOOSE(CONTROL!$C$32, $C$9, 100%, $E$9)</f>
        <v>14.442</v>
      </c>
      <c r="D977" s="9">
        <f>14.443 * CHOOSE(CONTROL!$C$32, $C$9, 100%, $E$9)</f>
        <v>14.443</v>
      </c>
      <c r="E977" s="11">
        <f>10.4567 * CHOOSE(CONTROL!$C$32, $C$9, 100%, $E$9)</f>
        <v>10.4567</v>
      </c>
      <c r="F977" s="11">
        <f>10.4567 * CHOOSE(CONTROL!$C$32, $C$9, 100%, $E$9)</f>
        <v>10.4567</v>
      </c>
      <c r="G977" s="11">
        <f>10.46 * CHOOSE(CONTROL!$C$32, $C$9, 100%, $E$9)</f>
        <v>10.46</v>
      </c>
      <c r="H977" s="11">
        <f>34.4247 * CHOOSE(CONTROL!$C$32, $C$9, 100%, $E$9)</f>
        <v>34.424700000000001</v>
      </c>
      <c r="I977" s="11">
        <f>34.4279 * CHOOSE(CONTROL!$C$32, $C$9, 100%, $E$9)</f>
        <v>34.427900000000001</v>
      </c>
      <c r="J977" s="11">
        <f>34.4247 * CHOOSE(CONTROL!$C$32, $C$9, 100%, $E$9)</f>
        <v>34.424700000000001</v>
      </c>
      <c r="K977" s="11">
        <f>34.4279 * CHOOSE(CONTROL!$C$32, $C$9, 100%, $E$9)</f>
        <v>34.427900000000001</v>
      </c>
      <c r="L977" s="11">
        <f>10.4567 * CHOOSE(CONTROL!$C$32, $C$9, 100%, $E$9)</f>
        <v>10.4567</v>
      </c>
      <c r="M977" s="11">
        <f>10.46 * CHOOSE(CONTROL!$C$32, $C$9, 100%, $E$9)</f>
        <v>10.46</v>
      </c>
      <c r="N977" s="11">
        <f>10.4567 * CHOOSE(CONTROL!$C$32, $C$9, 100%, $E$9)</f>
        <v>10.4567</v>
      </c>
      <c r="O977" s="11">
        <f>10.46 * CHOOSE(CONTROL!$C$32, $C$9, 100%, $E$9)</f>
        <v>10.46</v>
      </c>
    </row>
    <row r="978" spans="1:15" ht="15" x14ac:dyDescent="0.2">
      <c r="A978" s="13">
        <v>70615</v>
      </c>
      <c r="B978" s="9">
        <f>14.442 * CHOOSE(CONTROL!$C$32, $C$9, 100%, $E$9)</f>
        <v>14.442</v>
      </c>
      <c r="C978" s="9">
        <f>14.442 * CHOOSE(CONTROL!$C$32, $C$9, 100%, $E$9)</f>
        <v>14.442</v>
      </c>
      <c r="D978" s="9">
        <f>14.4433 * CHOOSE(CONTROL!$C$32, $C$9, 100%, $E$9)</f>
        <v>14.443300000000001</v>
      </c>
      <c r="E978" s="11">
        <f>10.6002 * CHOOSE(CONTROL!$C$32, $C$9, 100%, $E$9)</f>
        <v>10.600199999999999</v>
      </c>
      <c r="F978" s="11">
        <f>10.6002 * CHOOSE(CONTROL!$C$32, $C$9, 100%, $E$9)</f>
        <v>10.600199999999999</v>
      </c>
      <c r="G978" s="11">
        <f>10.6044 * CHOOSE(CONTROL!$C$32, $C$9, 100%, $E$9)</f>
        <v>10.6044</v>
      </c>
      <c r="H978" s="11">
        <f>34.4964 * CHOOSE(CONTROL!$C$32, $C$9, 100%, $E$9)</f>
        <v>34.496400000000001</v>
      </c>
      <c r="I978" s="11">
        <f>34.5006 * CHOOSE(CONTROL!$C$32, $C$9, 100%, $E$9)</f>
        <v>34.500599999999999</v>
      </c>
      <c r="J978" s="11">
        <f>34.4964 * CHOOSE(CONTROL!$C$32, $C$9, 100%, $E$9)</f>
        <v>34.496400000000001</v>
      </c>
      <c r="K978" s="11">
        <f>34.5006 * CHOOSE(CONTROL!$C$32, $C$9, 100%, $E$9)</f>
        <v>34.500599999999999</v>
      </c>
      <c r="L978" s="11">
        <f>10.6002 * CHOOSE(CONTROL!$C$32, $C$9, 100%, $E$9)</f>
        <v>10.600199999999999</v>
      </c>
      <c r="M978" s="11">
        <f>10.6044 * CHOOSE(CONTROL!$C$32, $C$9, 100%, $E$9)</f>
        <v>10.6044</v>
      </c>
      <c r="N978" s="11">
        <f>10.6002 * CHOOSE(CONTROL!$C$32, $C$9, 100%, $E$9)</f>
        <v>10.600199999999999</v>
      </c>
      <c r="O978" s="11">
        <f>10.6044 * CHOOSE(CONTROL!$C$32, $C$9, 100%, $E$9)</f>
        <v>10.6044</v>
      </c>
    </row>
    <row r="979" spans="1:15" ht="15" x14ac:dyDescent="0.2">
      <c r="A979" s="13">
        <v>70646</v>
      </c>
      <c r="B979" s="9">
        <f>14.4481 * CHOOSE(CONTROL!$C$32, $C$9, 100%, $E$9)</f>
        <v>14.4481</v>
      </c>
      <c r="C979" s="9">
        <f>14.4481 * CHOOSE(CONTROL!$C$32, $C$9, 100%, $E$9)</f>
        <v>14.4481</v>
      </c>
      <c r="D979" s="9">
        <f>14.4493 * CHOOSE(CONTROL!$C$32, $C$9, 100%, $E$9)</f>
        <v>14.449299999999999</v>
      </c>
      <c r="E979" s="11">
        <f>10.461 * CHOOSE(CONTROL!$C$32, $C$9, 100%, $E$9)</f>
        <v>10.461</v>
      </c>
      <c r="F979" s="11">
        <f>10.461 * CHOOSE(CONTROL!$C$32, $C$9, 100%, $E$9)</f>
        <v>10.461</v>
      </c>
      <c r="G979" s="11">
        <f>10.4652 * CHOOSE(CONTROL!$C$32, $C$9, 100%, $E$9)</f>
        <v>10.465199999999999</v>
      </c>
      <c r="H979" s="11">
        <f>34.5683 * CHOOSE(CONTROL!$C$32, $C$9, 100%, $E$9)</f>
        <v>34.568300000000001</v>
      </c>
      <c r="I979" s="11">
        <f>34.5725 * CHOOSE(CONTROL!$C$32, $C$9, 100%, $E$9)</f>
        <v>34.572499999999998</v>
      </c>
      <c r="J979" s="11">
        <f>34.5683 * CHOOSE(CONTROL!$C$32, $C$9, 100%, $E$9)</f>
        <v>34.568300000000001</v>
      </c>
      <c r="K979" s="11">
        <f>34.5725 * CHOOSE(CONTROL!$C$32, $C$9, 100%, $E$9)</f>
        <v>34.572499999999998</v>
      </c>
      <c r="L979" s="11">
        <f>10.461 * CHOOSE(CONTROL!$C$32, $C$9, 100%, $E$9)</f>
        <v>10.461</v>
      </c>
      <c r="M979" s="11">
        <f>10.4652 * CHOOSE(CONTROL!$C$32, $C$9, 100%, $E$9)</f>
        <v>10.465199999999999</v>
      </c>
      <c r="N979" s="11">
        <f>10.461 * CHOOSE(CONTROL!$C$32, $C$9, 100%, $E$9)</f>
        <v>10.461</v>
      </c>
      <c r="O979" s="11">
        <f>10.4652 * CHOOSE(CONTROL!$C$32, $C$9, 100%, $E$9)</f>
        <v>10.465199999999999</v>
      </c>
    </row>
    <row r="980" spans="1:15" ht="15" x14ac:dyDescent="0.2">
      <c r="A980" s="13">
        <v>70676</v>
      </c>
      <c r="B980" s="9">
        <f>14.6213 * CHOOSE(CONTROL!$C$32, $C$9, 100%, $E$9)</f>
        <v>14.6213</v>
      </c>
      <c r="C980" s="9">
        <f>14.6213 * CHOOSE(CONTROL!$C$32, $C$9, 100%, $E$9)</f>
        <v>14.6213</v>
      </c>
      <c r="D980" s="9">
        <f>14.6225 * CHOOSE(CONTROL!$C$32, $C$9, 100%, $E$9)</f>
        <v>14.6225</v>
      </c>
      <c r="E980" s="11">
        <f>10.5331 * CHOOSE(CONTROL!$C$32, $C$9, 100%, $E$9)</f>
        <v>10.533099999999999</v>
      </c>
      <c r="F980" s="11">
        <f>10.5331 * CHOOSE(CONTROL!$C$32, $C$9, 100%, $E$9)</f>
        <v>10.533099999999999</v>
      </c>
      <c r="G980" s="11">
        <f>10.5373 * CHOOSE(CONTROL!$C$32, $C$9, 100%, $E$9)</f>
        <v>10.5373</v>
      </c>
      <c r="H980" s="11">
        <f>34.6403 * CHOOSE(CONTROL!$C$32, $C$9, 100%, $E$9)</f>
        <v>34.640300000000003</v>
      </c>
      <c r="I980" s="11">
        <f>34.6445 * CHOOSE(CONTROL!$C$32, $C$9, 100%, $E$9)</f>
        <v>34.644500000000001</v>
      </c>
      <c r="J980" s="11">
        <f>34.6403 * CHOOSE(CONTROL!$C$32, $C$9, 100%, $E$9)</f>
        <v>34.640300000000003</v>
      </c>
      <c r="K980" s="11">
        <f>34.6445 * CHOOSE(CONTROL!$C$32, $C$9, 100%, $E$9)</f>
        <v>34.644500000000001</v>
      </c>
      <c r="L980" s="11">
        <f>10.5331 * CHOOSE(CONTROL!$C$32, $C$9, 100%, $E$9)</f>
        <v>10.533099999999999</v>
      </c>
      <c r="M980" s="11">
        <f>10.5373 * CHOOSE(CONTROL!$C$32, $C$9, 100%, $E$9)</f>
        <v>10.5373</v>
      </c>
      <c r="N980" s="11">
        <f>10.5331 * CHOOSE(CONTROL!$C$32, $C$9, 100%, $E$9)</f>
        <v>10.533099999999999</v>
      </c>
      <c r="O980" s="11">
        <f>10.5373 * CHOOSE(CONTROL!$C$32, $C$9, 100%, $E$9)</f>
        <v>10.5373</v>
      </c>
    </row>
    <row r="981" spans="1:15" ht="15" x14ac:dyDescent="0.2">
      <c r="A981" s="13">
        <v>70707</v>
      </c>
      <c r="B981" s="9">
        <f>14.6279 * CHOOSE(CONTROL!$C$32, $C$9, 100%, $E$9)</f>
        <v>14.6279</v>
      </c>
      <c r="C981" s="9">
        <f>14.6279 * CHOOSE(CONTROL!$C$32, $C$9, 100%, $E$9)</f>
        <v>14.6279</v>
      </c>
      <c r="D981" s="9">
        <f>14.6292 * CHOOSE(CONTROL!$C$32, $C$9, 100%, $E$9)</f>
        <v>14.629200000000001</v>
      </c>
      <c r="E981" s="11">
        <f>10.1073 * CHOOSE(CONTROL!$C$32, $C$9, 100%, $E$9)</f>
        <v>10.1073</v>
      </c>
      <c r="F981" s="11">
        <f>10.1073 * CHOOSE(CONTROL!$C$32, $C$9, 100%, $E$9)</f>
        <v>10.1073</v>
      </c>
      <c r="G981" s="11">
        <f>10.1115 * CHOOSE(CONTROL!$C$32, $C$9, 100%, $E$9)</f>
        <v>10.111499999999999</v>
      </c>
      <c r="H981" s="11">
        <f>34.7124 * CHOOSE(CONTROL!$C$32, $C$9, 100%, $E$9)</f>
        <v>34.712400000000002</v>
      </c>
      <c r="I981" s="11">
        <f>34.7166 * CHOOSE(CONTROL!$C$32, $C$9, 100%, $E$9)</f>
        <v>34.7166</v>
      </c>
      <c r="J981" s="11">
        <f>34.7124 * CHOOSE(CONTROL!$C$32, $C$9, 100%, $E$9)</f>
        <v>34.712400000000002</v>
      </c>
      <c r="K981" s="11">
        <f>34.7166 * CHOOSE(CONTROL!$C$32, $C$9, 100%, $E$9)</f>
        <v>34.7166</v>
      </c>
      <c r="L981" s="11">
        <f>10.1073 * CHOOSE(CONTROL!$C$32, $C$9, 100%, $E$9)</f>
        <v>10.1073</v>
      </c>
      <c r="M981" s="11">
        <f>10.1115 * CHOOSE(CONTROL!$C$32, $C$9, 100%, $E$9)</f>
        <v>10.111499999999999</v>
      </c>
      <c r="N981" s="11">
        <f>10.1073 * CHOOSE(CONTROL!$C$32, $C$9, 100%, $E$9)</f>
        <v>10.1073</v>
      </c>
      <c r="O981" s="11">
        <f>10.1115 * CHOOSE(CONTROL!$C$32, $C$9, 100%, $E$9)</f>
        <v>10.111499999999999</v>
      </c>
    </row>
    <row r="982" spans="1:15" ht="15" x14ac:dyDescent="0.2">
      <c r="A982" s="13">
        <v>70738</v>
      </c>
      <c r="B982" s="9">
        <f>14.6249 * CHOOSE(CONTROL!$C$32, $C$9, 100%, $E$9)</f>
        <v>14.6249</v>
      </c>
      <c r="C982" s="9">
        <f>14.6249 * CHOOSE(CONTROL!$C$32, $C$9, 100%, $E$9)</f>
        <v>14.6249</v>
      </c>
      <c r="D982" s="9">
        <f>14.6262 * CHOOSE(CONTROL!$C$32, $C$9, 100%, $E$9)</f>
        <v>14.626200000000001</v>
      </c>
      <c r="E982" s="11">
        <f>10.0574 * CHOOSE(CONTROL!$C$32, $C$9, 100%, $E$9)</f>
        <v>10.057399999999999</v>
      </c>
      <c r="F982" s="11">
        <f>10.0574 * CHOOSE(CONTROL!$C$32, $C$9, 100%, $E$9)</f>
        <v>10.057399999999999</v>
      </c>
      <c r="G982" s="11">
        <f>10.0616 * CHOOSE(CONTROL!$C$32, $C$9, 100%, $E$9)</f>
        <v>10.0616</v>
      </c>
      <c r="H982" s="11">
        <f>34.7848 * CHOOSE(CONTROL!$C$32, $C$9, 100%, $E$9)</f>
        <v>34.784799999999997</v>
      </c>
      <c r="I982" s="11">
        <f>34.789 * CHOOSE(CONTROL!$C$32, $C$9, 100%, $E$9)</f>
        <v>34.789000000000001</v>
      </c>
      <c r="J982" s="11">
        <f>34.7848 * CHOOSE(CONTROL!$C$32, $C$9, 100%, $E$9)</f>
        <v>34.784799999999997</v>
      </c>
      <c r="K982" s="11">
        <f>34.789 * CHOOSE(CONTROL!$C$32, $C$9, 100%, $E$9)</f>
        <v>34.789000000000001</v>
      </c>
      <c r="L982" s="11">
        <f>10.0574 * CHOOSE(CONTROL!$C$32, $C$9, 100%, $E$9)</f>
        <v>10.057399999999999</v>
      </c>
      <c r="M982" s="11">
        <f>10.0616 * CHOOSE(CONTROL!$C$32, $C$9, 100%, $E$9)</f>
        <v>10.0616</v>
      </c>
      <c r="N982" s="11">
        <f>10.0574 * CHOOSE(CONTROL!$C$32, $C$9, 100%, $E$9)</f>
        <v>10.057399999999999</v>
      </c>
      <c r="O982" s="11">
        <f>10.0616 * CHOOSE(CONTROL!$C$32, $C$9, 100%, $E$9)</f>
        <v>10.0616</v>
      </c>
    </row>
    <row r="983" spans="1:15" ht="15" x14ac:dyDescent="0.2">
      <c r="A983" s="13">
        <v>70768</v>
      </c>
      <c r="B983" s="9">
        <f>14.6597 * CHOOSE(CONTROL!$C$32, $C$9, 100%, $E$9)</f>
        <v>14.659700000000001</v>
      </c>
      <c r="C983" s="9">
        <f>14.6597 * CHOOSE(CONTROL!$C$32, $C$9, 100%, $E$9)</f>
        <v>14.659700000000001</v>
      </c>
      <c r="D983" s="9">
        <f>14.6607 * CHOOSE(CONTROL!$C$32, $C$9, 100%, $E$9)</f>
        <v>14.6607</v>
      </c>
      <c r="E983" s="11">
        <f>10.2352 * CHOOSE(CONTROL!$C$32, $C$9, 100%, $E$9)</f>
        <v>10.235200000000001</v>
      </c>
      <c r="F983" s="11">
        <f>10.2352 * CHOOSE(CONTROL!$C$32, $C$9, 100%, $E$9)</f>
        <v>10.235200000000001</v>
      </c>
      <c r="G983" s="11">
        <f>10.2385 * CHOOSE(CONTROL!$C$32, $C$9, 100%, $E$9)</f>
        <v>10.2385</v>
      </c>
      <c r="H983" s="11">
        <f>34.8572 * CHOOSE(CONTROL!$C$32, $C$9, 100%, $E$9)</f>
        <v>34.857199999999999</v>
      </c>
      <c r="I983" s="11">
        <f>34.8605 * CHOOSE(CONTROL!$C$32, $C$9, 100%, $E$9)</f>
        <v>34.860500000000002</v>
      </c>
      <c r="J983" s="11">
        <f>34.8572 * CHOOSE(CONTROL!$C$32, $C$9, 100%, $E$9)</f>
        <v>34.857199999999999</v>
      </c>
      <c r="K983" s="11">
        <f>34.8605 * CHOOSE(CONTROL!$C$32, $C$9, 100%, $E$9)</f>
        <v>34.860500000000002</v>
      </c>
      <c r="L983" s="11">
        <f>10.2352 * CHOOSE(CONTROL!$C$32, $C$9, 100%, $E$9)</f>
        <v>10.235200000000001</v>
      </c>
      <c r="M983" s="11">
        <f>10.2385 * CHOOSE(CONTROL!$C$32, $C$9, 100%, $E$9)</f>
        <v>10.2385</v>
      </c>
      <c r="N983" s="11">
        <f>10.2352 * CHOOSE(CONTROL!$C$32, $C$9, 100%, $E$9)</f>
        <v>10.235200000000001</v>
      </c>
      <c r="O983" s="11">
        <f>10.2385 * CHOOSE(CONTROL!$C$32, $C$9, 100%, $E$9)</f>
        <v>10.2385</v>
      </c>
    </row>
    <row r="984" spans="1:15" ht="15" x14ac:dyDescent="0.2">
      <c r="A984" s="13">
        <v>70799</v>
      </c>
      <c r="B984" s="9">
        <f>14.6627 * CHOOSE(CONTROL!$C$32, $C$9, 100%, $E$9)</f>
        <v>14.662699999999999</v>
      </c>
      <c r="C984" s="9">
        <f>14.6627 * CHOOSE(CONTROL!$C$32, $C$9, 100%, $E$9)</f>
        <v>14.662699999999999</v>
      </c>
      <c r="D984" s="9">
        <f>14.6637 * CHOOSE(CONTROL!$C$32, $C$9, 100%, $E$9)</f>
        <v>14.6637</v>
      </c>
      <c r="E984" s="11">
        <f>10.333 * CHOOSE(CONTROL!$C$32, $C$9, 100%, $E$9)</f>
        <v>10.333</v>
      </c>
      <c r="F984" s="11">
        <f>10.333 * CHOOSE(CONTROL!$C$32, $C$9, 100%, $E$9)</f>
        <v>10.333</v>
      </c>
      <c r="G984" s="11">
        <f>10.3362 * CHOOSE(CONTROL!$C$32, $C$9, 100%, $E$9)</f>
        <v>10.3362</v>
      </c>
      <c r="H984" s="11">
        <f>34.9298 * CHOOSE(CONTROL!$C$32, $C$9, 100%, $E$9)</f>
        <v>34.9298</v>
      </c>
      <c r="I984" s="11">
        <f>34.9331 * CHOOSE(CONTROL!$C$32, $C$9, 100%, $E$9)</f>
        <v>34.933100000000003</v>
      </c>
      <c r="J984" s="11">
        <f>34.9298 * CHOOSE(CONTROL!$C$32, $C$9, 100%, $E$9)</f>
        <v>34.9298</v>
      </c>
      <c r="K984" s="11">
        <f>34.9331 * CHOOSE(CONTROL!$C$32, $C$9, 100%, $E$9)</f>
        <v>34.933100000000003</v>
      </c>
      <c r="L984" s="11">
        <f>10.333 * CHOOSE(CONTROL!$C$32, $C$9, 100%, $E$9)</f>
        <v>10.333</v>
      </c>
      <c r="M984" s="11">
        <f>10.3362 * CHOOSE(CONTROL!$C$32, $C$9, 100%, $E$9)</f>
        <v>10.3362</v>
      </c>
      <c r="N984" s="11">
        <f>10.333 * CHOOSE(CONTROL!$C$32, $C$9, 100%, $E$9)</f>
        <v>10.333</v>
      </c>
      <c r="O984" s="11">
        <f>10.3362 * CHOOSE(CONTROL!$C$32, $C$9, 100%, $E$9)</f>
        <v>10.3362</v>
      </c>
    </row>
    <row r="985" spans="1:15" ht="15" x14ac:dyDescent="0.2">
      <c r="A985" s="13">
        <v>70829</v>
      </c>
      <c r="B985" s="9">
        <f>14.6627 * CHOOSE(CONTROL!$C$32, $C$9, 100%, $E$9)</f>
        <v>14.662699999999999</v>
      </c>
      <c r="C985" s="9">
        <f>14.6627 * CHOOSE(CONTROL!$C$32, $C$9, 100%, $E$9)</f>
        <v>14.662699999999999</v>
      </c>
      <c r="D985" s="9">
        <f>14.6637 * CHOOSE(CONTROL!$C$32, $C$9, 100%, $E$9)</f>
        <v>14.6637</v>
      </c>
      <c r="E985" s="11">
        <f>10.0939 * CHOOSE(CONTROL!$C$32, $C$9, 100%, $E$9)</f>
        <v>10.0939</v>
      </c>
      <c r="F985" s="11">
        <f>10.0939 * CHOOSE(CONTROL!$C$32, $C$9, 100%, $E$9)</f>
        <v>10.0939</v>
      </c>
      <c r="G985" s="11">
        <f>10.0971 * CHOOSE(CONTROL!$C$32, $C$9, 100%, $E$9)</f>
        <v>10.097099999999999</v>
      </c>
      <c r="H985" s="11">
        <f>35.0026 * CHOOSE(CONTROL!$C$32, $C$9, 100%, $E$9)</f>
        <v>35.002600000000001</v>
      </c>
      <c r="I985" s="11">
        <f>35.0058 * CHOOSE(CONTROL!$C$32, $C$9, 100%, $E$9)</f>
        <v>35.005800000000001</v>
      </c>
      <c r="J985" s="11">
        <f>35.0026 * CHOOSE(CONTROL!$C$32, $C$9, 100%, $E$9)</f>
        <v>35.002600000000001</v>
      </c>
      <c r="K985" s="11">
        <f>35.0058 * CHOOSE(CONTROL!$C$32, $C$9, 100%, $E$9)</f>
        <v>35.005800000000001</v>
      </c>
      <c r="L985" s="11">
        <f>10.0939 * CHOOSE(CONTROL!$C$32, $C$9, 100%, $E$9)</f>
        <v>10.0939</v>
      </c>
      <c r="M985" s="11">
        <f>10.0971 * CHOOSE(CONTROL!$C$32, $C$9, 100%, $E$9)</f>
        <v>10.097099999999999</v>
      </c>
      <c r="N985" s="11">
        <f>10.0939 * CHOOSE(CONTROL!$C$32, $C$9, 100%, $E$9)</f>
        <v>10.0939</v>
      </c>
      <c r="O985" s="11">
        <f>10.0971 * CHOOSE(CONTROL!$C$32, $C$9, 100%, $E$9)</f>
        <v>10.097099999999999</v>
      </c>
    </row>
    <row r="986" spans="1:15" ht="15" x14ac:dyDescent="0.2">
      <c r="A986" s="13">
        <v>70860</v>
      </c>
      <c r="B986" s="9">
        <f>14.6277 * CHOOSE(CONTROL!$C$32, $C$9, 100%, $E$9)</f>
        <v>14.627700000000001</v>
      </c>
      <c r="C986" s="9">
        <f>14.6277 * CHOOSE(CONTROL!$C$32, $C$9, 100%, $E$9)</f>
        <v>14.627700000000001</v>
      </c>
      <c r="D986" s="9">
        <f>14.6286 * CHOOSE(CONTROL!$C$32, $C$9, 100%, $E$9)</f>
        <v>14.6286</v>
      </c>
      <c r="E986" s="11">
        <f>10.2555 * CHOOSE(CONTROL!$C$32, $C$9, 100%, $E$9)</f>
        <v>10.2555</v>
      </c>
      <c r="F986" s="11">
        <f>10.2555 * CHOOSE(CONTROL!$C$32, $C$9, 100%, $E$9)</f>
        <v>10.2555</v>
      </c>
      <c r="G986" s="11">
        <f>10.2588 * CHOOSE(CONTROL!$C$32, $C$9, 100%, $E$9)</f>
        <v>10.258800000000001</v>
      </c>
      <c r="H986" s="11">
        <f>34.682 * CHOOSE(CONTROL!$C$32, $C$9, 100%, $E$9)</f>
        <v>34.682000000000002</v>
      </c>
      <c r="I986" s="11">
        <f>34.6852 * CHOOSE(CONTROL!$C$32, $C$9, 100%, $E$9)</f>
        <v>34.685200000000002</v>
      </c>
      <c r="J986" s="11">
        <f>34.682 * CHOOSE(CONTROL!$C$32, $C$9, 100%, $E$9)</f>
        <v>34.682000000000002</v>
      </c>
      <c r="K986" s="11">
        <f>34.6852 * CHOOSE(CONTROL!$C$32, $C$9, 100%, $E$9)</f>
        <v>34.685200000000002</v>
      </c>
      <c r="L986" s="11">
        <f>10.2555 * CHOOSE(CONTROL!$C$32, $C$9, 100%, $E$9)</f>
        <v>10.2555</v>
      </c>
      <c r="M986" s="11">
        <f>10.2588 * CHOOSE(CONTROL!$C$32, $C$9, 100%, $E$9)</f>
        <v>10.258800000000001</v>
      </c>
      <c r="N986" s="11">
        <f>10.2555 * CHOOSE(CONTROL!$C$32, $C$9, 100%, $E$9)</f>
        <v>10.2555</v>
      </c>
      <c r="O986" s="11">
        <f>10.2588 * CHOOSE(CONTROL!$C$32, $C$9, 100%, $E$9)</f>
        <v>10.258800000000001</v>
      </c>
    </row>
    <row r="987" spans="1:15" ht="15" x14ac:dyDescent="0.2">
      <c r="A987" s="13">
        <v>70891</v>
      </c>
      <c r="B987" s="9">
        <f>14.6246 * CHOOSE(CONTROL!$C$32, $C$9, 100%, $E$9)</f>
        <v>14.624599999999999</v>
      </c>
      <c r="C987" s="9">
        <f>14.6246 * CHOOSE(CONTROL!$C$32, $C$9, 100%, $E$9)</f>
        <v>14.624599999999999</v>
      </c>
      <c r="D987" s="9">
        <f>14.6256 * CHOOSE(CONTROL!$C$32, $C$9, 100%, $E$9)</f>
        <v>14.6256</v>
      </c>
      <c r="E987" s="11">
        <f>9.7945 * CHOOSE(CONTROL!$C$32, $C$9, 100%, $E$9)</f>
        <v>9.7944999999999993</v>
      </c>
      <c r="F987" s="11">
        <f>9.7945 * CHOOSE(CONTROL!$C$32, $C$9, 100%, $E$9)</f>
        <v>9.7944999999999993</v>
      </c>
      <c r="G987" s="11">
        <f>9.7977 * CHOOSE(CONTROL!$C$32, $C$9, 100%, $E$9)</f>
        <v>9.7977000000000007</v>
      </c>
      <c r="H987" s="11">
        <f>34.7543 * CHOOSE(CONTROL!$C$32, $C$9, 100%, $E$9)</f>
        <v>34.754300000000001</v>
      </c>
      <c r="I987" s="11">
        <f>34.7575 * CHOOSE(CONTROL!$C$32, $C$9, 100%, $E$9)</f>
        <v>34.7575</v>
      </c>
      <c r="J987" s="11">
        <f>34.7543 * CHOOSE(CONTROL!$C$32, $C$9, 100%, $E$9)</f>
        <v>34.754300000000001</v>
      </c>
      <c r="K987" s="11">
        <f>34.7575 * CHOOSE(CONTROL!$C$32, $C$9, 100%, $E$9)</f>
        <v>34.7575</v>
      </c>
      <c r="L987" s="11">
        <f>9.7945 * CHOOSE(CONTROL!$C$32, $C$9, 100%, $E$9)</f>
        <v>9.7944999999999993</v>
      </c>
      <c r="M987" s="11">
        <f>9.7977 * CHOOSE(CONTROL!$C$32, $C$9, 100%, $E$9)</f>
        <v>9.7977000000000007</v>
      </c>
      <c r="N987" s="11">
        <f>9.7945 * CHOOSE(CONTROL!$C$32, $C$9, 100%, $E$9)</f>
        <v>9.7944999999999993</v>
      </c>
      <c r="O987" s="11">
        <f>9.7977 * CHOOSE(CONTROL!$C$32, $C$9, 100%, $E$9)</f>
        <v>9.7977000000000007</v>
      </c>
    </row>
    <row r="988" spans="1:15" ht="15" x14ac:dyDescent="0.2">
      <c r="A988" s="13">
        <v>70919</v>
      </c>
      <c r="B988" s="9">
        <f>14.6216 * CHOOSE(CONTROL!$C$32, $C$9, 100%, $E$9)</f>
        <v>14.621600000000001</v>
      </c>
      <c r="C988" s="9">
        <f>14.6216 * CHOOSE(CONTROL!$C$32, $C$9, 100%, $E$9)</f>
        <v>14.621600000000001</v>
      </c>
      <c r="D988" s="9">
        <f>14.6225 * CHOOSE(CONTROL!$C$32, $C$9, 100%, $E$9)</f>
        <v>14.6225</v>
      </c>
      <c r="E988" s="11">
        <f>10.1542 * CHOOSE(CONTROL!$C$32, $C$9, 100%, $E$9)</f>
        <v>10.154199999999999</v>
      </c>
      <c r="F988" s="11">
        <f>10.1542 * CHOOSE(CONTROL!$C$32, $C$9, 100%, $E$9)</f>
        <v>10.154199999999999</v>
      </c>
      <c r="G988" s="11">
        <f>10.1574 * CHOOSE(CONTROL!$C$32, $C$9, 100%, $E$9)</f>
        <v>10.157400000000001</v>
      </c>
      <c r="H988" s="11">
        <f>34.8267 * CHOOSE(CONTROL!$C$32, $C$9, 100%, $E$9)</f>
        <v>34.826700000000002</v>
      </c>
      <c r="I988" s="11">
        <f>34.8299 * CHOOSE(CONTROL!$C$32, $C$9, 100%, $E$9)</f>
        <v>34.829900000000002</v>
      </c>
      <c r="J988" s="11">
        <f>34.8267 * CHOOSE(CONTROL!$C$32, $C$9, 100%, $E$9)</f>
        <v>34.826700000000002</v>
      </c>
      <c r="K988" s="11">
        <f>34.8299 * CHOOSE(CONTROL!$C$32, $C$9, 100%, $E$9)</f>
        <v>34.829900000000002</v>
      </c>
      <c r="L988" s="11">
        <f>10.1542 * CHOOSE(CONTROL!$C$32, $C$9, 100%, $E$9)</f>
        <v>10.154199999999999</v>
      </c>
      <c r="M988" s="11">
        <f>10.1574 * CHOOSE(CONTROL!$C$32, $C$9, 100%, $E$9)</f>
        <v>10.157400000000001</v>
      </c>
      <c r="N988" s="11">
        <f>10.1542 * CHOOSE(CONTROL!$C$32, $C$9, 100%, $E$9)</f>
        <v>10.154199999999999</v>
      </c>
      <c r="O988" s="11">
        <f>10.1574 * CHOOSE(CONTROL!$C$32, $C$9, 100%, $E$9)</f>
        <v>10.157400000000001</v>
      </c>
    </row>
    <row r="989" spans="1:15" ht="15" x14ac:dyDescent="0.2">
      <c r="A989" s="13">
        <v>70950</v>
      </c>
      <c r="B989" s="9">
        <f>14.6296 * CHOOSE(CONTROL!$C$32, $C$9, 100%, $E$9)</f>
        <v>14.6296</v>
      </c>
      <c r="C989" s="9">
        <f>14.6296 * CHOOSE(CONTROL!$C$32, $C$9, 100%, $E$9)</f>
        <v>14.6296</v>
      </c>
      <c r="D989" s="9">
        <f>14.6305 * CHOOSE(CONTROL!$C$32, $C$9, 100%, $E$9)</f>
        <v>14.6305</v>
      </c>
      <c r="E989" s="11">
        <f>10.5385 * CHOOSE(CONTROL!$C$32, $C$9, 100%, $E$9)</f>
        <v>10.538500000000001</v>
      </c>
      <c r="F989" s="11">
        <f>10.5385 * CHOOSE(CONTROL!$C$32, $C$9, 100%, $E$9)</f>
        <v>10.538500000000001</v>
      </c>
      <c r="G989" s="11">
        <f>10.5417 * CHOOSE(CONTROL!$C$32, $C$9, 100%, $E$9)</f>
        <v>10.541700000000001</v>
      </c>
      <c r="H989" s="11">
        <f>34.8992 * CHOOSE(CONTROL!$C$32, $C$9, 100%, $E$9)</f>
        <v>34.8992</v>
      </c>
      <c r="I989" s="11">
        <f>34.9024 * CHOOSE(CONTROL!$C$32, $C$9, 100%, $E$9)</f>
        <v>34.9024</v>
      </c>
      <c r="J989" s="11">
        <f>34.8992 * CHOOSE(CONTROL!$C$32, $C$9, 100%, $E$9)</f>
        <v>34.8992</v>
      </c>
      <c r="K989" s="11">
        <f>34.9024 * CHOOSE(CONTROL!$C$32, $C$9, 100%, $E$9)</f>
        <v>34.9024</v>
      </c>
      <c r="L989" s="11">
        <f>10.5385 * CHOOSE(CONTROL!$C$32, $C$9, 100%, $E$9)</f>
        <v>10.538500000000001</v>
      </c>
      <c r="M989" s="11">
        <f>10.5417 * CHOOSE(CONTROL!$C$32, $C$9, 100%, $E$9)</f>
        <v>10.541700000000001</v>
      </c>
      <c r="N989" s="11">
        <f>10.5385 * CHOOSE(CONTROL!$C$32, $C$9, 100%, $E$9)</f>
        <v>10.538500000000001</v>
      </c>
      <c r="O989" s="11">
        <f>10.5417 * CHOOSE(CONTROL!$C$32, $C$9, 100%, $E$9)</f>
        <v>10.541700000000001</v>
      </c>
    </row>
    <row r="990" spans="1:15" ht="15" x14ac:dyDescent="0.2">
      <c r="A990" s="13">
        <v>70980</v>
      </c>
      <c r="B990" s="9">
        <f>14.6296 * CHOOSE(CONTROL!$C$32, $C$9, 100%, $E$9)</f>
        <v>14.6296</v>
      </c>
      <c r="C990" s="9">
        <f>14.6296 * CHOOSE(CONTROL!$C$32, $C$9, 100%, $E$9)</f>
        <v>14.6296</v>
      </c>
      <c r="D990" s="9">
        <f>14.6308 * CHOOSE(CONTROL!$C$32, $C$9, 100%, $E$9)</f>
        <v>14.630800000000001</v>
      </c>
      <c r="E990" s="11">
        <f>10.6842 * CHOOSE(CONTROL!$C$32, $C$9, 100%, $E$9)</f>
        <v>10.684200000000001</v>
      </c>
      <c r="F990" s="11">
        <f>10.6842 * CHOOSE(CONTROL!$C$32, $C$9, 100%, $E$9)</f>
        <v>10.684200000000001</v>
      </c>
      <c r="G990" s="11">
        <f>10.6884 * CHOOSE(CONTROL!$C$32, $C$9, 100%, $E$9)</f>
        <v>10.6884</v>
      </c>
      <c r="H990" s="11">
        <f>34.9719 * CHOOSE(CONTROL!$C$32, $C$9, 100%, $E$9)</f>
        <v>34.971899999999998</v>
      </c>
      <c r="I990" s="11">
        <f>34.9761 * CHOOSE(CONTROL!$C$32, $C$9, 100%, $E$9)</f>
        <v>34.976100000000002</v>
      </c>
      <c r="J990" s="11">
        <f>34.9719 * CHOOSE(CONTROL!$C$32, $C$9, 100%, $E$9)</f>
        <v>34.971899999999998</v>
      </c>
      <c r="K990" s="11">
        <f>34.9761 * CHOOSE(CONTROL!$C$32, $C$9, 100%, $E$9)</f>
        <v>34.976100000000002</v>
      </c>
      <c r="L990" s="11">
        <f>10.6842 * CHOOSE(CONTROL!$C$32, $C$9, 100%, $E$9)</f>
        <v>10.684200000000001</v>
      </c>
      <c r="M990" s="11">
        <f>10.6884 * CHOOSE(CONTROL!$C$32, $C$9, 100%, $E$9)</f>
        <v>10.6884</v>
      </c>
      <c r="N990" s="11">
        <f>10.6842 * CHOOSE(CONTROL!$C$32, $C$9, 100%, $E$9)</f>
        <v>10.684200000000001</v>
      </c>
      <c r="O990" s="11">
        <f>10.6884 * CHOOSE(CONTROL!$C$32, $C$9, 100%, $E$9)</f>
        <v>10.6884</v>
      </c>
    </row>
    <row r="991" spans="1:15" ht="15" x14ac:dyDescent="0.2">
      <c r="A991" s="13">
        <v>71011</v>
      </c>
      <c r="B991" s="9">
        <f>14.6356 * CHOOSE(CONTROL!$C$32, $C$9, 100%, $E$9)</f>
        <v>14.6356</v>
      </c>
      <c r="C991" s="9">
        <f>14.6356 * CHOOSE(CONTROL!$C$32, $C$9, 100%, $E$9)</f>
        <v>14.6356</v>
      </c>
      <c r="D991" s="9">
        <f>14.6369 * CHOOSE(CONTROL!$C$32, $C$9, 100%, $E$9)</f>
        <v>14.636900000000001</v>
      </c>
      <c r="E991" s="11">
        <f>10.5427 * CHOOSE(CONTROL!$C$32, $C$9, 100%, $E$9)</f>
        <v>10.5427</v>
      </c>
      <c r="F991" s="11">
        <f>10.5427 * CHOOSE(CONTROL!$C$32, $C$9, 100%, $E$9)</f>
        <v>10.5427</v>
      </c>
      <c r="G991" s="11">
        <f>10.5469 * CHOOSE(CONTROL!$C$32, $C$9, 100%, $E$9)</f>
        <v>10.546900000000001</v>
      </c>
      <c r="H991" s="11">
        <f>35.0448 * CHOOSE(CONTROL!$C$32, $C$9, 100%, $E$9)</f>
        <v>35.044800000000002</v>
      </c>
      <c r="I991" s="11">
        <f>35.049 * CHOOSE(CONTROL!$C$32, $C$9, 100%, $E$9)</f>
        <v>35.048999999999999</v>
      </c>
      <c r="J991" s="11">
        <f>35.0448 * CHOOSE(CONTROL!$C$32, $C$9, 100%, $E$9)</f>
        <v>35.044800000000002</v>
      </c>
      <c r="K991" s="11">
        <f>35.049 * CHOOSE(CONTROL!$C$32, $C$9, 100%, $E$9)</f>
        <v>35.048999999999999</v>
      </c>
      <c r="L991" s="11">
        <f>10.5427 * CHOOSE(CONTROL!$C$32, $C$9, 100%, $E$9)</f>
        <v>10.5427</v>
      </c>
      <c r="M991" s="11">
        <f>10.5469 * CHOOSE(CONTROL!$C$32, $C$9, 100%, $E$9)</f>
        <v>10.546900000000001</v>
      </c>
      <c r="N991" s="11">
        <f>10.5427 * CHOOSE(CONTROL!$C$32, $C$9, 100%, $E$9)</f>
        <v>10.5427</v>
      </c>
      <c r="O991" s="11">
        <f>10.5469 * CHOOSE(CONTROL!$C$32, $C$9, 100%, $E$9)</f>
        <v>10.546900000000001</v>
      </c>
    </row>
    <row r="992" spans="1:15" ht="15" x14ac:dyDescent="0.2">
      <c r="A992" s="13">
        <v>71041</v>
      </c>
      <c r="B992" s="9">
        <f>14.8109 * CHOOSE(CONTROL!$C$32, $C$9, 100%, $E$9)</f>
        <v>14.8109</v>
      </c>
      <c r="C992" s="9">
        <f>14.8109 * CHOOSE(CONTROL!$C$32, $C$9, 100%, $E$9)</f>
        <v>14.8109</v>
      </c>
      <c r="D992" s="9">
        <f>14.8121 * CHOOSE(CONTROL!$C$32, $C$9, 100%, $E$9)</f>
        <v>14.812099999999999</v>
      </c>
      <c r="E992" s="11">
        <f>10.616 * CHOOSE(CONTROL!$C$32, $C$9, 100%, $E$9)</f>
        <v>10.616</v>
      </c>
      <c r="F992" s="11">
        <f>10.616 * CHOOSE(CONTROL!$C$32, $C$9, 100%, $E$9)</f>
        <v>10.616</v>
      </c>
      <c r="G992" s="11">
        <f>10.6202 * CHOOSE(CONTROL!$C$32, $C$9, 100%, $E$9)</f>
        <v>10.620200000000001</v>
      </c>
      <c r="H992" s="11">
        <f>35.1178 * CHOOSE(CONTROL!$C$32, $C$9, 100%, $E$9)</f>
        <v>35.117800000000003</v>
      </c>
      <c r="I992" s="11">
        <f>35.122 * CHOOSE(CONTROL!$C$32, $C$9, 100%, $E$9)</f>
        <v>35.122</v>
      </c>
      <c r="J992" s="11">
        <f>35.1178 * CHOOSE(CONTROL!$C$32, $C$9, 100%, $E$9)</f>
        <v>35.117800000000003</v>
      </c>
      <c r="K992" s="11">
        <f>35.122 * CHOOSE(CONTROL!$C$32, $C$9, 100%, $E$9)</f>
        <v>35.122</v>
      </c>
      <c r="L992" s="11">
        <f>10.616 * CHOOSE(CONTROL!$C$32, $C$9, 100%, $E$9)</f>
        <v>10.616</v>
      </c>
      <c r="M992" s="11">
        <f>10.6202 * CHOOSE(CONTROL!$C$32, $C$9, 100%, $E$9)</f>
        <v>10.620200000000001</v>
      </c>
      <c r="N992" s="11">
        <f>10.616 * CHOOSE(CONTROL!$C$32, $C$9, 100%, $E$9)</f>
        <v>10.616</v>
      </c>
      <c r="O992" s="11">
        <f>10.6202 * CHOOSE(CONTROL!$C$32, $C$9, 100%, $E$9)</f>
        <v>10.620200000000001</v>
      </c>
    </row>
    <row r="993" spans="1:15" ht="15" x14ac:dyDescent="0.2">
      <c r="A993" s="13">
        <v>71072</v>
      </c>
      <c r="B993" s="9">
        <f>14.8175 * CHOOSE(CONTROL!$C$32, $C$9, 100%, $E$9)</f>
        <v>14.817500000000001</v>
      </c>
      <c r="C993" s="9">
        <f>14.8175 * CHOOSE(CONTROL!$C$32, $C$9, 100%, $E$9)</f>
        <v>14.817500000000001</v>
      </c>
      <c r="D993" s="9">
        <f>14.8188 * CHOOSE(CONTROL!$C$32, $C$9, 100%, $E$9)</f>
        <v>14.8188</v>
      </c>
      <c r="E993" s="11">
        <f>10.1835 * CHOOSE(CONTROL!$C$32, $C$9, 100%, $E$9)</f>
        <v>10.1835</v>
      </c>
      <c r="F993" s="11">
        <f>10.1835 * CHOOSE(CONTROL!$C$32, $C$9, 100%, $E$9)</f>
        <v>10.1835</v>
      </c>
      <c r="G993" s="11">
        <f>10.1877 * CHOOSE(CONTROL!$C$32, $C$9, 100%, $E$9)</f>
        <v>10.1877</v>
      </c>
      <c r="H993" s="11">
        <f>35.1909 * CHOOSE(CONTROL!$C$32, $C$9, 100%, $E$9)</f>
        <v>35.190899999999999</v>
      </c>
      <c r="I993" s="11">
        <f>35.1951 * CHOOSE(CONTROL!$C$32, $C$9, 100%, $E$9)</f>
        <v>35.195099999999996</v>
      </c>
      <c r="J993" s="11">
        <f>35.1909 * CHOOSE(CONTROL!$C$32, $C$9, 100%, $E$9)</f>
        <v>35.190899999999999</v>
      </c>
      <c r="K993" s="11">
        <f>35.1951 * CHOOSE(CONTROL!$C$32, $C$9, 100%, $E$9)</f>
        <v>35.195099999999996</v>
      </c>
      <c r="L993" s="11">
        <f>10.1835 * CHOOSE(CONTROL!$C$32, $C$9, 100%, $E$9)</f>
        <v>10.1835</v>
      </c>
      <c r="M993" s="11">
        <f>10.1877 * CHOOSE(CONTROL!$C$32, $C$9, 100%, $E$9)</f>
        <v>10.1877</v>
      </c>
      <c r="N993" s="11">
        <f>10.1835 * CHOOSE(CONTROL!$C$32, $C$9, 100%, $E$9)</f>
        <v>10.1835</v>
      </c>
      <c r="O993" s="11">
        <f>10.1877 * CHOOSE(CONTROL!$C$32, $C$9, 100%, $E$9)</f>
        <v>10.1877</v>
      </c>
    </row>
    <row r="994" spans="1:15" ht="15" x14ac:dyDescent="0.2">
      <c r="A994" s="13">
        <v>71103</v>
      </c>
      <c r="B994" s="9">
        <f>14.8145 * CHOOSE(CONTROL!$C$32, $C$9, 100%, $E$9)</f>
        <v>14.814500000000001</v>
      </c>
      <c r="C994" s="9">
        <f>14.8145 * CHOOSE(CONTROL!$C$32, $C$9, 100%, $E$9)</f>
        <v>14.814500000000001</v>
      </c>
      <c r="D994" s="9">
        <f>14.8158 * CHOOSE(CONTROL!$C$32, $C$9, 100%, $E$9)</f>
        <v>14.815799999999999</v>
      </c>
      <c r="E994" s="11">
        <f>10.1328 * CHOOSE(CONTROL!$C$32, $C$9, 100%, $E$9)</f>
        <v>10.1328</v>
      </c>
      <c r="F994" s="11">
        <f>10.1328 * CHOOSE(CONTROL!$C$32, $C$9, 100%, $E$9)</f>
        <v>10.1328</v>
      </c>
      <c r="G994" s="11">
        <f>10.137 * CHOOSE(CONTROL!$C$32, $C$9, 100%, $E$9)</f>
        <v>10.137</v>
      </c>
      <c r="H994" s="11">
        <f>35.2643 * CHOOSE(CONTROL!$C$32, $C$9, 100%, $E$9)</f>
        <v>35.264299999999999</v>
      </c>
      <c r="I994" s="11">
        <f>35.2685 * CHOOSE(CONTROL!$C$32, $C$9, 100%, $E$9)</f>
        <v>35.268500000000003</v>
      </c>
      <c r="J994" s="11">
        <f>35.2643 * CHOOSE(CONTROL!$C$32, $C$9, 100%, $E$9)</f>
        <v>35.264299999999999</v>
      </c>
      <c r="K994" s="11">
        <f>35.2685 * CHOOSE(CONTROL!$C$32, $C$9, 100%, $E$9)</f>
        <v>35.268500000000003</v>
      </c>
      <c r="L994" s="11">
        <f>10.1328 * CHOOSE(CONTROL!$C$32, $C$9, 100%, $E$9)</f>
        <v>10.1328</v>
      </c>
      <c r="M994" s="11">
        <f>10.137 * CHOOSE(CONTROL!$C$32, $C$9, 100%, $E$9)</f>
        <v>10.137</v>
      </c>
      <c r="N994" s="11">
        <f>10.1328 * CHOOSE(CONTROL!$C$32, $C$9, 100%, $E$9)</f>
        <v>10.1328</v>
      </c>
      <c r="O994" s="11">
        <f>10.137 * CHOOSE(CONTROL!$C$32, $C$9, 100%, $E$9)</f>
        <v>10.137</v>
      </c>
    </row>
    <row r="995" spans="1:15" ht="15" x14ac:dyDescent="0.2">
      <c r="A995" s="13">
        <v>71133</v>
      </c>
      <c r="B995" s="9">
        <f>14.85 * CHOOSE(CONTROL!$C$32, $C$9, 100%, $E$9)</f>
        <v>14.85</v>
      </c>
      <c r="C995" s="9">
        <f>14.85 * CHOOSE(CONTROL!$C$32, $C$9, 100%, $E$9)</f>
        <v>14.85</v>
      </c>
      <c r="D995" s="9">
        <f>14.851 * CHOOSE(CONTROL!$C$32, $C$9, 100%, $E$9)</f>
        <v>14.851000000000001</v>
      </c>
      <c r="E995" s="11">
        <f>10.3137 * CHOOSE(CONTROL!$C$32, $C$9, 100%, $E$9)</f>
        <v>10.313700000000001</v>
      </c>
      <c r="F995" s="11">
        <f>10.3137 * CHOOSE(CONTROL!$C$32, $C$9, 100%, $E$9)</f>
        <v>10.313700000000001</v>
      </c>
      <c r="G995" s="11">
        <f>10.3169 * CHOOSE(CONTROL!$C$32, $C$9, 100%, $E$9)</f>
        <v>10.3169</v>
      </c>
      <c r="H995" s="11">
        <f>35.3377 * CHOOSE(CONTROL!$C$32, $C$9, 100%, $E$9)</f>
        <v>35.337699999999998</v>
      </c>
      <c r="I995" s="11">
        <f>35.341 * CHOOSE(CONTROL!$C$32, $C$9, 100%, $E$9)</f>
        <v>35.341000000000001</v>
      </c>
      <c r="J995" s="11">
        <f>35.3377 * CHOOSE(CONTROL!$C$32, $C$9, 100%, $E$9)</f>
        <v>35.337699999999998</v>
      </c>
      <c r="K995" s="11">
        <f>35.341 * CHOOSE(CONTROL!$C$32, $C$9, 100%, $E$9)</f>
        <v>35.341000000000001</v>
      </c>
      <c r="L995" s="11">
        <f>10.3137 * CHOOSE(CONTROL!$C$32, $C$9, 100%, $E$9)</f>
        <v>10.313700000000001</v>
      </c>
      <c r="M995" s="11">
        <f>10.3169 * CHOOSE(CONTROL!$C$32, $C$9, 100%, $E$9)</f>
        <v>10.3169</v>
      </c>
      <c r="N995" s="11">
        <f>10.3137 * CHOOSE(CONTROL!$C$32, $C$9, 100%, $E$9)</f>
        <v>10.313700000000001</v>
      </c>
      <c r="O995" s="11">
        <f>10.3169 * CHOOSE(CONTROL!$C$32, $C$9, 100%, $E$9)</f>
        <v>10.3169</v>
      </c>
    </row>
    <row r="996" spans="1:15" ht="15" x14ac:dyDescent="0.2">
      <c r="A996" s="13">
        <v>71164</v>
      </c>
      <c r="B996" s="9">
        <f>14.8531 * CHOOSE(CONTROL!$C$32, $C$9, 100%, $E$9)</f>
        <v>14.8531</v>
      </c>
      <c r="C996" s="9">
        <f>14.8531 * CHOOSE(CONTROL!$C$32, $C$9, 100%, $E$9)</f>
        <v>14.8531</v>
      </c>
      <c r="D996" s="9">
        <f>14.854 * CHOOSE(CONTROL!$C$32, $C$9, 100%, $E$9)</f>
        <v>14.853999999999999</v>
      </c>
      <c r="E996" s="11">
        <f>10.4129 * CHOOSE(CONTROL!$C$32, $C$9, 100%, $E$9)</f>
        <v>10.4129</v>
      </c>
      <c r="F996" s="11">
        <f>10.4129 * CHOOSE(CONTROL!$C$32, $C$9, 100%, $E$9)</f>
        <v>10.4129</v>
      </c>
      <c r="G996" s="11">
        <f>10.4161 * CHOOSE(CONTROL!$C$32, $C$9, 100%, $E$9)</f>
        <v>10.4161</v>
      </c>
      <c r="H996" s="11">
        <f>35.4113 * CHOOSE(CONTROL!$C$32, $C$9, 100%, $E$9)</f>
        <v>35.411299999999997</v>
      </c>
      <c r="I996" s="11">
        <f>35.4146 * CHOOSE(CONTROL!$C$32, $C$9, 100%, $E$9)</f>
        <v>35.4146</v>
      </c>
      <c r="J996" s="11">
        <f>35.4113 * CHOOSE(CONTROL!$C$32, $C$9, 100%, $E$9)</f>
        <v>35.411299999999997</v>
      </c>
      <c r="K996" s="11">
        <f>35.4146 * CHOOSE(CONTROL!$C$32, $C$9, 100%, $E$9)</f>
        <v>35.4146</v>
      </c>
      <c r="L996" s="11">
        <f>10.4129 * CHOOSE(CONTROL!$C$32, $C$9, 100%, $E$9)</f>
        <v>10.4129</v>
      </c>
      <c r="M996" s="11">
        <f>10.4161 * CHOOSE(CONTROL!$C$32, $C$9, 100%, $E$9)</f>
        <v>10.4161</v>
      </c>
      <c r="N996" s="11">
        <f>10.4129 * CHOOSE(CONTROL!$C$32, $C$9, 100%, $E$9)</f>
        <v>10.4129</v>
      </c>
      <c r="O996" s="11">
        <f>10.4161 * CHOOSE(CONTROL!$C$32, $C$9, 100%, $E$9)</f>
        <v>10.4161</v>
      </c>
    </row>
    <row r="997" spans="1:15" ht="15" x14ac:dyDescent="0.2">
      <c r="A997" s="13">
        <v>71194</v>
      </c>
      <c r="B997" s="9">
        <f>14.8531 * CHOOSE(CONTROL!$C$32, $C$9, 100%, $E$9)</f>
        <v>14.8531</v>
      </c>
      <c r="C997" s="9">
        <f>14.8531 * CHOOSE(CONTROL!$C$32, $C$9, 100%, $E$9)</f>
        <v>14.8531</v>
      </c>
      <c r="D997" s="9">
        <f>14.854 * CHOOSE(CONTROL!$C$32, $C$9, 100%, $E$9)</f>
        <v>14.853999999999999</v>
      </c>
      <c r="E997" s="11">
        <f>10.1701 * CHOOSE(CONTROL!$C$32, $C$9, 100%, $E$9)</f>
        <v>10.1701</v>
      </c>
      <c r="F997" s="11">
        <f>10.1701 * CHOOSE(CONTROL!$C$32, $C$9, 100%, $E$9)</f>
        <v>10.1701</v>
      </c>
      <c r="G997" s="11">
        <f>10.1733 * CHOOSE(CONTROL!$C$32, $C$9, 100%, $E$9)</f>
        <v>10.173299999999999</v>
      </c>
      <c r="H997" s="11">
        <f>35.4851 * CHOOSE(CONTROL!$C$32, $C$9, 100%, $E$9)</f>
        <v>35.485100000000003</v>
      </c>
      <c r="I997" s="11">
        <f>35.4883 * CHOOSE(CONTROL!$C$32, $C$9, 100%, $E$9)</f>
        <v>35.488300000000002</v>
      </c>
      <c r="J997" s="11">
        <f>35.4851 * CHOOSE(CONTROL!$C$32, $C$9, 100%, $E$9)</f>
        <v>35.485100000000003</v>
      </c>
      <c r="K997" s="11">
        <f>35.4883 * CHOOSE(CONTROL!$C$32, $C$9, 100%, $E$9)</f>
        <v>35.488300000000002</v>
      </c>
      <c r="L997" s="11">
        <f>10.1701 * CHOOSE(CONTROL!$C$32, $C$9, 100%, $E$9)</f>
        <v>10.1701</v>
      </c>
      <c r="M997" s="11">
        <f>10.1733 * CHOOSE(CONTROL!$C$32, $C$9, 100%, $E$9)</f>
        <v>10.173299999999999</v>
      </c>
      <c r="N997" s="11">
        <f>10.1701 * CHOOSE(CONTROL!$C$32, $C$9, 100%, $E$9)</f>
        <v>10.1701</v>
      </c>
      <c r="O997" s="11">
        <f>10.1733 * CHOOSE(CONTROL!$C$32, $C$9, 100%, $E$9)</f>
        <v>10.173299999999999</v>
      </c>
    </row>
    <row r="998" spans="1:15" ht="15" x14ac:dyDescent="0.2">
      <c r="A998" s="13">
        <v>71225</v>
      </c>
      <c r="B998" s="9">
        <f>14.815 * CHOOSE(CONTROL!$C$32, $C$9, 100%, $E$9)</f>
        <v>14.815</v>
      </c>
      <c r="C998" s="9">
        <f>14.815 * CHOOSE(CONTROL!$C$32, $C$9, 100%, $E$9)</f>
        <v>14.815</v>
      </c>
      <c r="D998" s="9">
        <f>14.816 * CHOOSE(CONTROL!$C$32, $C$9, 100%, $E$9)</f>
        <v>14.816000000000001</v>
      </c>
      <c r="E998" s="11">
        <f>10.3328 * CHOOSE(CONTROL!$C$32, $C$9, 100%, $E$9)</f>
        <v>10.332800000000001</v>
      </c>
      <c r="F998" s="11">
        <f>10.3328 * CHOOSE(CONTROL!$C$32, $C$9, 100%, $E$9)</f>
        <v>10.332800000000001</v>
      </c>
      <c r="G998" s="11">
        <f>10.3361 * CHOOSE(CONTROL!$C$32, $C$9, 100%, $E$9)</f>
        <v>10.3361</v>
      </c>
      <c r="H998" s="11">
        <f>35.1536 * CHOOSE(CONTROL!$C$32, $C$9, 100%, $E$9)</f>
        <v>35.153599999999997</v>
      </c>
      <c r="I998" s="11">
        <f>35.1568 * CHOOSE(CONTROL!$C$32, $C$9, 100%, $E$9)</f>
        <v>35.156799999999997</v>
      </c>
      <c r="J998" s="11">
        <f>35.1536 * CHOOSE(CONTROL!$C$32, $C$9, 100%, $E$9)</f>
        <v>35.153599999999997</v>
      </c>
      <c r="K998" s="11">
        <f>35.1568 * CHOOSE(CONTROL!$C$32, $C$9, 100%, $E$9)</f>
        <v>35.156799999999997</v>
      </c>
      <c r="L998" s="11">
        <f>10.3328 * CHOOSE(CONTROL!$C$32, $C$9, 100%, $E$9)</f>
        <v>10.332800000000001</v>
      </c>
      <c r="M998" s="11">
        <f>10.3361 * CHOOSE(CONTROL!$C$32, $C$9, 100%, $E$9)</f>
        <v>10.3361</v>
      </c>
      <c r="N998" s="11">
        <f>10.3328 * CHOOSE(CONTROL!$C$32, $C$9, 100%, $E$9)</f>
        <v>10.332800000000001</v>
      </c>
      <c r="O998" s="11">
        <f>10.3361 * CHOOSE(CONTROL!$C$32, $C$9, 100%, $E$9)</f>
        <v>10.3361</v>
      </c>
    </row>
    <row r="999" spans="1:15" ht="15" x14ac:dyDescent="0.2">
      <c r="A999" s="13">
        <v>71256</v>
      </c>
      <c r="B999" s="9">
        <f>14.812 * CHOOSE(CONTROL!$C$32, $C$9, 100%, $E$9)</f>
        <v>14.811999999999999</v>
      </c>
      <c r="C999" s="9">
        <f>14.812 * CHOOSE(CONTROL!$C$32, $C$9, 100%, $E$9)</f>
        <v>14.811999999999999</v>
      </c>
      <c r="D999" s="9">
        <f>14.8129 * CHOOSE(CONTROL!$C$32, $C$9, 100%, $E$9)</f>
        <v>14.812900000000001</v>
      </c>
      <c r="E999" s="11">
        <f>9.8647 * CHOOSE(CONTROL!$C$32, $C$9, 100%, $E$9)</f>
        <v>9.8646999999999991</v>
      </c>
      <c r="F999" s="11">
        <f>9.8647 * CHOOSE(CONTROL!$C$32, $C$9, 100%, $E$9)</f>
        <v>9.8646999999999991</v>
      </c>
      <c r="G999" s="11">
        <f>9.8679 * CHOOSE(CONTROL!$C$32, $C$9, 100%, $E$9)</f>
        <v>9.8679000000000006</v>
      </c>
      <c r="H999" s="11">
        <f>35.2268 * CHOOSE(CONTROL!$C$32, $C$9, 100%, $E$9)</f>
        <v>35.226799999999997</v>
      </c>
      <c r="I999" s="11">
        <f>35.23 * CHOOSE(CONTROL!$C$32, $C$9, 100%, $E$9)</f>
        <v>35.229999999999997</v>
      </c>
      <c r="J999" s="11">
        <f>35.2268 * CHOOSE(CONTROL!$C$32, $C$9, 100%, $E$9)</f>
        <v>35.226799999999997</v>
      </c>
      <c r="K999" s="11">
        <f>35.23 * CHOOSE(CONTROL!$C$32, $C$9, 100%, $E$9)</f>
        <v>35.229999999999997</v>
      </c>
      <c r="L999" s="11">
        <f>9.8647 * CHOOSE(CONTROL!$C$32, $C$9, 100%, $E$9)</f>
        <v>9.8646999999999991</v>
      </c>
      <c r="M999" s="11">
        <f>9.8679 * CHOOSE(CONTROL!$C$32, $C$9, 100%, $E$9)</f>
        <v>9.8679000000000006</v>
      </c>
      <c r="N999" s="11">
        <f>9.8647 * CHOOSE(CONTROL!$C$32, $C$9, 100%, $E$9)</f>
        <v>9.8646999999999991</v>
      </c>
      <c r="O999" s="11">
        <f>9.8679 * CHOOSE(CONTROL!$C$32, $C$9, 100%, $E$9)</f>
        <v>9.8679000000000006</v>
      </c>
    </row>
    <row r="1000" spans="1:15" ht="15" x14ac:dyDescent="0.2">
      <c r="A1000" s="13">
        <v>71284</v>
      </c>
      <c r="B1000" s="9">
        <f>14.8089 * CHOOSE(CONTROL!$C$32, $C$9, 100%, $E$9)</f>
        <v>14.8089</v>
      </c>
      <c r="C1000" s="9">
        <f>14.8089 * CHOOSE(CONTROL!$C$32, $C$9, 100%, $E$9)</f>
        <v>14.8089</v>
      </c>
      <c r="D1000" s="9">
        <f>14.8099 * CHOOSE(CONTROL!$C$32, $C$9, 100%, $E$9)</f>
        <v>14.809900000000001</v>
      </c>
      <c r="E1000" s="11">
        <f>10.2299 * CHOOSE(CONTROL!$C$32, $C$9, 100%, $E$9)</f>
        <v>10.229900000000001</v>
      </c>
      <c r="F1000" s="11">
        <f>10.2299 * CHOOSE(CONTROL!$C$32, $C$9, 100%, $E$9)</f>
        <v>10.229900000000001</v>
      </c>
      <c r="G1000" s="11">
        <f>10.2332 * CHOOSE(CONTROL!$C$32, $C$9, 100%, $E$9)</f>
        <v>10.2332</v>
      </c>
      <c r="H1000" s="11">
        <f>35.3002 * CHOOSE(CONTROL!$C$32, $C$9, 100%, $E$9)</f>
        <v>35.300199999999997</v>
      </c>
      <c r="I1000" s="11">
        <f>35.3034 * CHOOSE(CONTROL!$C$32, $C$9, 100%, $E$9)</f>
        <v>35.303400000000003</v>
      </c>
      <c r="J1000" s="11">
        <f>35.3002 * CHOOSE(CONTROL!$C$32, $C$9, 100%, $E$9)</f>
        <v>35.300199999999997</v>
      </c>
      <c r="K1000" s="11">
        <f>35.3034 * CHOOSE(CONTROL!$C$32, $C$9, 100%, $E$9)</f>
        <v>35.303400000000003</v>
      </c>
      <c r="L1000" s="11">
        <f>10.2299 * CHOOSE(CONTROL!$C$32, $C$9, 100%, $E$9)</f>
        <v>10.229900000000001</v>
      </c>
      <c r="M1000" s="11">
        <f>10.2332 * CHOOSE(CONTROL!$C$32, $C$9, 100%, $E$9)</f>
        <v>10.2332</v>
      </c>
      <c r="N1000" s="11">
        <f>10.2299 * CHOOSE(CONTROL!$C$32, $C$9, 100%, $E$9)</f>
        <v>10.229900000000001</v>
      </c>
      <c r="O1000" s="11">
        <f>10.2332 * CHOOSE(CONTROL!$C$32, $C$9, 100%, $E$9)</f>
        <v>10.2332</v>
      </c>
    </row>
    <row r="1001" spans="1:15" ht="15" x14ac:dyDescent="0.2">
      <c r="A1001" s="13">
        <v>71315</v>
      </c>
      <c r="B1001" s="9">
        <f>14.8171 * CHOOSE(CONTROL!$C$32, $C$9, 100%, $E$9)</f>
        <v>14.8171</v>
      </c>
      <c r="C1001" s="9">
        <f>14.8171 * CHOOSE(CONTROL!$C$32, $C$9, 100%, $E$9)</f>
        <v>14.8171</v>
      </c>
      <c r="D1001" s="9">
        <f>14.8181 * CHOOSE(CONTROL!$C$32, $C$9, 100%, $E$9)</f>
        <v>14.818099999999999</v>
      </c>
      <c r="E1001" s="11">
        <f>10.6203 * CHOOSE(CONTROL!$C$32, $C$9, 100%, $E$9)</f>
        <v>10.6203</v>
      </c>
      <c r="F1001" s="11">
        <f>10.6203 * CHOOSE(CONTROL!$C$32, $C$9, 100%, $E$9)</f>
        <v>10.6203</v>
      </c>
      <c r="G1001" s="11">
        <f>10.6235 * CHOOSE(CONTROL!$C$32, $C$9, 100%, $E$9)</f>
        <v>10.6235</v>
      </c>
      <c r="H1001" s="11">
        <f>35.3737 * CHOOSE(CONTROL!$C$32, $C$9, 100%, $E$9)</f>
        <v>35.373699999999999</v>
      </c>
      <c r="I1001" s="11">
        <f>35.377 * CHOOSE(CONTROL!$C$32, $C$9, 100%, $E$9)</f>
        <v>35.377000000000002</v>
      </c>
      <c r="J1001" s="11">
        <f>35.3737 * CHOOSE(CONTROL!$C$32, $C$9, 100%, $E$9)</f>
        <v>35.373699999999999</v>
      </c>
      <c r="K1001" s="11">
        <f>35.377 * CHOOSE(CONTROL!$C$32, $C$9, 100%, $E$9)</f>
        <v>35.377000000000002</v>
      </c>
      <c r="L1001" s="11">
        <f>10.6203 * CHOOSE(CONTROL!$C$32, $C$9, 100%, $E$9)</f>
        <v>10.6203</v>
      </c>
      <c r="M1001" s="11">
        <f>10.6235 * CHOOSE(CONTROL!$C$32, $C$9, 100%, $E$9)</f>
        <v>10.6235</v>
      </c>
      <c r="N1001" s="11">
        <f>10.6203 * CHOOSE(CONTROL!$C$32, $C$9, 100%, $E$9)</f>
        <v>10.6203</v>
      </c>
      <c r="O1001" s="11">
        <f>10.6235 * CHOOSE(CONTROL!$C$32, $C$9, 100%, $E$9)</f>
        <v>10.6235</v>
      </c>
    </row>
    <row r="1002" spans="1:15" ht="15" x14ac:dyDescent="0.2">
      <c r="A1002" s="13">
        <v>71345</v>
      </c>
      <c r="B1002" s="9">
        <f>14.8171 * CHOOSE(CONTROL!$C$32, $C$9, 100%, $E$9)</f>
        <v>14.8171</v>
      </c>
      <c r="C1002" s="9">
        <f>14.8171 * CHOOSE(CONTROL!$C$32, $C$9, 100%, $E$9)</f>
        <v>14.8171</v>
      </c>
      <c r="D1002" s="9">
        <f>14.8183 * CHOOSE(CONTROL!$C$32, $C$9, 100%, $E$9)</f>
        <v>14.818300000000001</v>
      </c>
      <c r="E1002" s="11">
        <f>10.7683 * CHOOSE(CONTROL!$C$32, $C$9, 100%, $E$9)</f>
        <v>10.7683</v>
      </c>
      <c r="F1002" s="11">
        <f>10.7683 * CHOOSE(CONTROL!$C$32, $C$9, 100%, $E$9)</f>
        <v>10.7683</v>
      </c>
      <c r="G1002" s="11">
        <f>10.7725 * CHOOSE(CONTROL!$C$32, $C$9, 100%, $E$9)</f>
        <v>10.772500000000001</v>
      </c>
      <c r="H1002" s="11">
        <f>35.4474 * CHOOSE(CONTROL!$C$32, $C$9, 100%, $E$9)</f>
        <v>35.447400000000002</v>
      </c>
      <c r="I1002" s="11">
        <f>35.4516 * CHOOSE(CONTROL!$C$32, $C$9, 100%, $E$9)</f>
        <v>35.451599999999999</v>
      </c>
      <c r="J1002" s="11">
        <f>35.4474 * CHOOSE(CONTROL!$C$32, $C$9, 100%, $E$9)</f>
        <v>35.447400000000002</v>
      </c>
      <c r="K1002" s="11">
        <f>35.4516 * CHOOSE(CONTROL!$C$32, $C$9, 100%, $E$9)</f>
        <v>35.451599999999999</v>
      </c>
      <c r="L1002" s="11">
        <f>10.7683 * CHOOSE(CONTROL!$C$32, $C$9, 100%, $E$9)</f>
        <v>10.7683</v>
      </c>
      <c r="M1002" s="11">
        <f>10.7725 * CHOOSE(CONTROL!$C$32, $C$9, 100%, $E$9)</f>
        <v>10.772500000000001</v>
      </c>
      <c r="N1002" s="11">
        <f>10.7683 * CHOOSE(CONTROL!$C$32, $C$9, 100%, $E$9)</f>
        <v>10.7683</v>
      </c>
      <c r="O1002" s="11">
        <f>10.7725 * CHOOSE(CONTROL!$C$32, $C$9, 100%, $E$9)</f>
        <v>10.772500000000001</v>
      </c>
    </row>
    <row r="1003" spans="1:15" ht="15" x14ac:dyDescent="0.2">
      <c r="A1003" s="13">
        <v>71376</v>
      </c>
      <c r="B1003" s="9">
        <f>14.8232 * CHOOSE(CONTROL!$C$32, $C$9, 100%, $E$9)</f>
        <v>14.8232</v>
      </c>
      <c r="C1003" s="9">
        <f>14.8232 * CHOOSE(CONTROL!$C$32, $C$9, 100%, $E$9)</f>
        <v>14.8232</v>
      </c>
      <c r="D1003" s="9">
        <f>14.8244 * CHOOSE(CONTROL!$C$32, $C$9, 100%, $E$9)</f>
        <v>14.824400000000001</v>
      </c>
      <c r="E1003" s="11">
        <f>10.6245 * CHOOSE(CONTROL!$C$32, $C$9, 100%, $E$9)</f>
        <v>10.624499999999999</v>
      </c>
      <c r="F1003" s="11">
        <f>10.6245 * CHOOSE(CONTROL!$C$32, $C$9, 100%, $E$9)</f>
        <v>10.624499999999999</v>
      </c>
      <c r="G1003" s="11">
        <f>10.6287 * CHOOSE(CONTROL!$C$32, $C$9, 100%, $E$9)</f>
        <v>10.6287</v>
      </c>
      <c r="H1003" s="11">
        <f>35.5213 * CHOOSE(CONTROL!$C$32, $C$9, 100%, $E$9)</f>
        <v>35.521299999999997</v>
      </c>
      <c r="I1003" s="11">
        <f>35.5255 * CHOOSE(CONTROL!$C$32, $C$9, 100%, $E$9)</f>
        <v>35.525500000000001</v>
      </c>
      <c r="J1003" s="11">
        <f>35.5213 * CHOOSE(CONTROL!$C$32, $C$9, 100%, $E$9)</f>
        <v>35.521299999999997</v>
      </c>
      <c r="K1003" s="11">
        <f>35.5255 * CHOOSE(CONTROL!$C$32, $C$9, 100%, $E$9)</f>
        <v>35.525500000000001</v>
      </c>
      <c r="L1003" s="11">
        <f>10.6245 * CHOOSE(CONTROL!$C$32, $C$9, 100%, $E$9)</f>
        <v>10.624499999999999</v>
      </c>
      <c r="M1003" s="11">
        <f>10.6287 * CHOOSE(CONTROL!$C$32, $C$9, 100%, $E$9)</f>
        <v>10.6287</v>
      </c>
      <c r="N1003" s="11">
        <f>10.6245 * CHOOSE(CONTROL!$C$32, $C$9, 100%, $E$9)</f>
        <v>10.624499999999999</v>
      </c>
      <c r="O1003" s="11">
        <f>10.6287 * CHOOSE(CONTROL!$C$32, $C$9, 100%, $E$9)</f>
        <v>10.6287</v>
      </c>
    </row>
    <row r="1004" spans="1:15" ht="15" x14ac:dyDescent="0.2">
      <c r="A1004" s="13">
        <v>71406</v>
      </c>
      <c r="B1004" s="9">
        <f>15.0005 * CHOOSE(CONTROL!$C$32, $C$9, 100%, $E$9)</f>
        <v>15.000500000000001</v>
      </c>
      <c r="C1004" s="9">
        <f>15.0005 * CHOOSE(CONTROL!$C$32, $C$9, 100%, $E$9)</f>
        <v>15.000500000000001</v>
      </c>
      <c r="D1004" s="9">
        <f>15.0017 * CHOOSE(CONTROL!$C$32, $C$9, 100%, $E$9)</f>
        <v>15.0017</v>
      </c>
      <c r="E1004" s="11">
        <f>10.6989 * CHOOSE(CONTROL!$C$32, $C$9, 100%, $E$9)</f>
        <v>10.6989</v>
      </c>
      <c r="F1004" s="11">
        <f>10.6989 * CHOOSE(CONTROL!$C$32, $C$9, 100%, $E$9)</f>
        <v>10.6989</v>
      </c>
      <c r="G1004" s="11">
        <f>10.7031 * CHOOSE(CONTROL!$C$32, $C$9, 100%, $E$9)</f>
        <v>10.703099999999999</v>
      </c>
      <c r="H1004" s="11">
        <f>35.5953 * CHOOSE(CONTROL!$C$32, $C$9, 100%, $E$9)</f>
        <v>35.595300000000002</v>
      </c>
      <c r="I1004" s="11">
        <f>35.5995 * CHOOSE(CONTROL!$C$32, $C$9, 100%, $E$9)</f>
        <v>35.599499999999999</v>
      </c>
      <c r="J1004" s="11">
        <f>35.5953 * CHOOSE(CONTROL!$C$32, $C$9, 100%, $E$9)</f>
        <v>35.595300000000002</v>
      </c>
      <c r="K1004" s="11">
        <f>35.5995 * CHOOSE(CONTROL!$C$32, $C$9, 100%, $E$9)</f>
        <v>35.599499999999999</v>
      </c>
      <c r="L1004" s="11">
        <f>10.6989 * CHOOSE(CONTROL!$C$32, $C$9, 100%, $E$9)</f>
        <v>10.6989</v>
      </c>
      <c r="M1004" s="11">
        <f>10.7031 * CHOOSE(CONTROL!$C$32, $C$9, 100%, $E$9)</f>
        <v>10.703099999999999</v>
      </c>
      <c r="N1004" s="11">
        <f>10.6989 * CHOOSE(CONTROL!$C$32, $C$9, 100%, $E$9)</f>
        <v>10.6989</v>
      </c>
      <c r="O1004" s="11">
        <f>10.7031 * CHOOSE(CONTROL!$C$32, $C$9, 100%, $E$9)</f>
        <v>10.703099999999999</v>
      </c>
    </row>
    <row r="1005" spans="1:15" ht="15" x14ac:dyDescent="0.2">
      <c r="A1005" s="13">
        <v>71437</v>
      </c>
      <c r="B1005" s="9">
        <f>15.0071 * CHOOSE(CONTROL!$C$32, $C$9, 100%, $E$9)</f>
        <v>15.007099999999999</v>
      </c>
      <c r="C1005" s="9">
        <f>15.0071 * CHOOSE(CONTROL!$C$32, $C$9, 100%, $E$9)</f>
        <v>15.007099999999999</v>
      </c>
      <c r="D1005" s="9">
        <f>15.0084 * CHOOSE(CONTROL!$C$32, $C$9, 100%, $E$9)</f>
        <v>15.0084</v>
      </c>
      <c r="E1005" s="11">
        <f>10.2596 * CHOOSE(CONTROL!$C$32, $C$9, 100%, $E$9)</f>
        <v>10.259600000000001</v>
      </c>
      <c r="F1005" s="11">
        <f>10.2596 * CHOOSE(CONTROL!$C$32, $C$9, 100%, $E$9)</f>
        <v>10.259600000000001</v>
      </c>
      <c r="G1005" s="11">
        <f>10.2638 * CHOOSE(CONTROL!$C$32, $C$9, 100%, $E$9)</f>
        <v>10.2638</v>
      </c>
      <c r="H1005" s="11">
        <f>35.6695 * CHOOSE(CONTROL!$C$32, $C$9, 100%, $E$9)</f>
        <v>35.669499999999999</v>
      </c>
      <c r="I1005" s="11">
        <f>35.6737 * CHOOSE(CONTROL!$C$32, $C$9, 100%, $E$9)</f>
        <v>35.673699999999997</v>
      </c>
      <c r="J1005" s="11">
        <f>35.6695 * CHOOSE(CONTROL!$C$32, $C$9, 100%, $E$9)</f>
        <v>35.669499999999999</v>
      </c>
      <c r="K1005" s="11">
        <f>35.6737 * CHOOSE(CONTROL!$C$32, $C$9, 100%, $E$9)</f>
        <v>35.673699999999997</v>
      </c>
      <c r="L1005" s="11">
        <f>10.2596 * CHOOSE(CONTROL!$C$32, $C$9, 100%, $E$9)</f>
        <v>10.259600000000001</v>
      </c>
      <c r="M1005" s="11">
        <f>10.2638 * CHOOSE(CONTROL!$C$32, $C$9, 100%, $E$9)</f>
        <v>10.2638</v>
      </c>
      <c r="N1005" s="11">
        <f>10.2596 * CHOOSE(CONTROL!$C$32, $C$9, 100%, $E$9)</f>
        <v>10.259600000000001</v>
      </c>
      <c r="O1005" s="11">
        <f>10.2638 * CHOOSE(CONTROL!$C$32, $C$9, 100%, $E$9)</f>
        <v>10.2638</v>
      </c>
    </row>
    <row r="1006" spans="1:15" ht="15" x14ac:dyDescent="0.2">
      <c r="A1006" s="13">
        <v>71468</v>
      </c>
      <c r="B1006" s="9">
        <f>15.0041 * CHOOSE(CONTROL!$C$32, $C$9, 100%, $E$9)</f>
        <v>15.004099999999999</v>
      </c>
      <c r="C1006" s="9">
        <f>15.0041 * CHOOSE(CONTROL!$C$32, $C$9, 100%, $E$9)</f>
        <v>15.004099999999999</v>
      </c>
      <c r="D1006" s="9">
        <f>15.0054 * CHOOSE(CONTROL!$C$32, $C$9, 100%, $E$9)</f>
        <v>15.0054</v>
      </c>
      <c r="E1006" s="11">
        <f>10.2082 * CHOOSE(CONTROL!$C$32, $C$9, 100%, $E$9)</f>
        <v>10.2082</v>
      </c>
      <c r="F1006" s="11">
        <f>10.2082 * CHOOSE(CONTROL!$C$32, $C$9, 100%, $E$9)</f>
        <v>10.2082</v>
      </c>
      <c r="G1006" s="11">
        <f>10.2124 * CHOOSE(CONTROL!$C$32, $C$9, 100%, $E$9)</f>
        <v>10.212400000000001</v>
      </c>
      <c r="H1006" s="11">
        <f>35.7438 * CHOOSE(CONTROL!$C$32, $C$9, 100%, $E$9)</f>
        <v>35.7438</v>
      </c>
      <c r="I1006" s="11">
        <f>35.748 * CHOOSE(CONTROL!$C$32, $C$9, 100%, $E$9)</f>
        <v>35.747999999999998</v>
      </c>
      <c r="J1006" s="11">
        <f>35.7438 * CHOOSE(CONTROL!$C$32, $C$9, 100%, $E$9)</f>
        <v>35.7438</v>
      </c>
      <c r="K1006" s="11">
        <f>35.748 * CHOOSE(CONTROL!$C$32, $C$9, 100%, $E$9)</f>
        <v>35.747999999999998</v>
      </c>
      <c r="L1006" s="11">
        <f>10.2082 * CHOOSE(CONTROL!$C$32, $C$9, 100%, $E$9)</f>
        <v>10.2082</v>
      </c>
      <c r="M1006" s="11">
        <f>10.2124 * CHOOSE(CONTROL!$C$32, $C$9, 100%, $E$9)</f>
        <v>10.212400000000001</v>
      </c>
      <c r="N1006" s="11">
        <f>10.2082 * CHOOSE(CONTROL!$C$32, $C$9, 100%, $E$9)</f>
        <v>10.2082</v>
      </c>
      <c r="O1006" s="11">
        <f>10.2124 * CHOOSE(CONTROL!$C$32, $C$9, 100%, $E$9)</f>
        <v>10.212400000000001</v>
      </c>
    </row>
    <row r="1007" spans="1:15" ht="15" x14ac:dyDescent="0.2">
      <c r="A1007" s="13">
        <v>71498</v>
      </c>
      <c r="B1007" s="9">
        <f>15.0403 * CHOOSE(CONTROL!$C$32, $C$9, 100%, $E$9)</f>
        <v>15.0403</v>
      </c>
      <c r="C1007" s="9">
        <f>15.0403 * CHOOSE(CONTROL!$C$32, $C$9, 100%, $E$9)</f>
        <v>15.0403</v>
      </c>
      <c r="D1007" s="9">
        <f>15.0413 * CHOOSE(CONTROL!$C$32, $C$9, 100%, $E$9)</f>
        <v>15.0413</v>
      </c>
      <c r="E1007" s="11">
        <f>10.3921 * CHOOSE(CONTROL!$C$32, $C$9, 100%, $E$9)</f>
        <v>10.392099999999999</v>
      </c>
      <c r="F1007" s="11">
        <f>10.3921 * CHOOSE(CONTROL!$C$32, $C$9, 100%, $E$9)</f>
        <v>10.392099999999999</v>
      </c>
      <c r="G1007" s="11">
        <f>10.3953 * CHOOSE(CONTROL!$C$32, $C$9, 100%, $E$9)</f>
        <v>10.395300000000001</v>
      </c>
      <c r="H1007" s="11">
        <f>35.8182 * CHOOSE(CONTROL!$C$32, $C$9, 100%, $E$9)</f>
        <v>35.818199999999997</v>
      </c>
      <c r="I1007" s="11">
        <f>35.8215 * CHOOSE(CONTROL!$C$32, $C$9, 100%, $E$9)</f>
        <v>35.8215</v>
      </c>
      <c r="J1007" s="11">
        <f>35.8182 * CHOOSE(CONTROL!$C$32, $C$9, 100%, $E$9)</f>
        <v>35.818199999999997</v>
      </c>
      <c r="K1007" s="11">
        <f>35.8215 * CHOOSE(CONTROL!$C$32, $C$9, 100%, $E$9)</f>
        <v>35.8215</v>
      </c>
      <c r="L1007" s="11">
        <f>10.3921 * CHOOSE(CONTROL!$C$32, $C$9, 100%, $E$9)</f>
        <v>10.392099999999999</v>
      </c>
      <c r="M1007" s="11">
        <f>10.3953 * CHOOSE(CONTROL!$C$32, $C$9, 100%, $E$9)</f>
        <v>10.395300000000001</v>
      </c>
      <c r="N1007" s="11">
        <f>10.3921 * CHOOSE(CONTROL!$C$32, $C$9, 100%, $E$9)</f>
        <v>10.392099999999999</v>
      </c>
      <c r="O1007" s="11">
        <f>10.3953 * CHOOSE(CONTROL!$C$32, $C$9, 100%, $E$9)</f>
        <v>10.395300000000001</v>
      </c>
    </row>
    <row r="1008" spans="1:15" ht="15" x14ac:dyDescent="0.2">
      <c r="A1008" s="13">
        <v>71529</v>
      </c>
      <c r="B1008" s="9">
        <f>15.0434 * CHOOSE(CONTROL!$C$32, $C$9, 100%, $E$9)</f>
        <v>15.0434</v>
      </c>
      <c r="C1008" s="9">
        <f>15.0434 * CHOOSE(CONTROL!$C$32, $C$9, 100%, $E$9)</f>
        <v>15.0434</v>
      </c>
      <c r="D1008" s="9">
        <f>15.0443 * CHOOSE(CONTROL!$C$32, $C$9, 100%, $E$9)</f>
        <v>15.0443</v>
      </c>
      <c r="E1008" s="11">
        <f>10.4928 * CHOOSE(CONTROL!$C$32, $C$9, 100%, $E$9)</f>
        <v>10.492800000000001</v>
      </c>
      <c r="F1008" s="11">
        <f>10.4928 * CHOOSE(CONTROL!$C$32, $C$9, 100%, $E$9)</f>
        <v>10.492800000000001</v>
      </c>
      <c r="G1008" s="11">
        <f>10.4961 * CHOOSE(CONTROL!$C$32, $C$9, 100%, $E$9)</f>
        <v>10.4961</v>
      </c>
      <c r="H1008" s="11">
        <f>35.8928 * CHOOSE(CONTROL!$C$32, $C$9, 100%, $E$9)</f>
        <v>35.892800000000001</v>
      </c>
      <c r="I1008" s="11">
        <f>35.8961 * CHOOSE(CONTROL!$C$32, $C$9, 100%, $E$9)</f>
        <v>35.896099999999997</v>
      </c>
      <c r="J1008" s="11">
        <f>35.8928 * CHOOSE(CONTROL!$C$32, $C$9, 100%, $E$9)</f>
        <v>35.892800000000001</v>
      </c>
      <c r="K1008" s="11">
        <f>35.8961 * CHOOSE(CONTROL!$C$32, $C$9, 100%, $E$9)</f>
        <v>35.896099999999997</v>
      </c>
      <c r="L1008" s="11">
        <f>10.4928 * CHOOSE(CONTROL!$C$32, $C$9, 100%, $E$9)</f>
        <v>10.492800000000001</v>
      </c>
      <c r="M1008" s="11">
        <f>10.4961 * CHOOSE(CONTROL!$C$32, $C$9, 100%, $E$9)</f>
        <v>10.4961</v>
      </c>
      <c r="N1008" s="11">
        <f>10.4928 * CHOOSE(CONTROL!$C$32, $C$9, 100%, $E$9)</f>
        <v>10.492800000000001</v>
      </c>
      <c r="O1008" s="11">
        <f>10.4961 * CHOOSE(CONTROL!$C$32, $C$9, 100%, $E$9)</f>
        <v>10.4961</v>
      </c>
    </row>
    <row r="1009" spans="1:15" ht="15" x14ac:dyDescent="0.2">
      <c r="A1009" s="13">
        <v>71559</v>
      </c>
      <c r="B1009" s="9">
        <f>15.0434 * CHOOSE(CONTROL!$C$32, $C$9, 100%, $E$9)</f>
        <v>15.0434</v>
      </c>
      <c r="C1009" s="9">
        <f>15.0434 * CHOOSE(CONTROL!$C$32, $C$9, 100%, $E$9)</f>
        <v>15.0434</v>
      </c>
      <c r="D1009" s="9">
        <f>15.0443 * CHOOSE(CONTROL!$C$32, $C$9, 100%, $E$9)</f>
        <v>15.0443</v>
      </c>
      <c r="E1009" s="11">
        <f>10.2462 * CHOOSE(CONTROL!$C$32, $C$9, 100%, $E$9)</f>
        <v>10.2462</v>
      </c>
      <c r="F1009" s="11">
        <f>10.2462 * CHOOSE(CONTROL!$C$32, $C$9, 100%, $E$9)</f>
        <v>10.2462</v>
      </c>
      <c r="G1009" s="11">
        <f>10.2494 * CHOOSE(CONTROL!$C$32, $C$9, 100%, $E$9)</f>
        <v>10.2494</v>
      </c>
      <c r="H1009" s="11">
        <f>35.9676 * CHOOSE(CONTROL!$C$32, $C$9, 100%, $E$9)</f>
        <v>35.967599999999997</v>
      </c>
      <c r="I1009" s="11">
        <f>35.9709 * CHOOSE(CONTROL!$C$32, $C$9, 100%, $E$9)</f>
        <v>35.9709</v>
      </c>
      <c r="J1009" s="11">
        <f>35.9676 * CHOOSE(CONTROL!$C$32, $C$9, 100%, $E$9)</f>
        <v>35.967599999999997</v>
      </c>
      <c r="K1009" s="11">
        <f>35.9709 * CHOOSE(CONTROL!$C$32, $C$9, 100%, $E$9)</f>
        <v>35.9709</v>
      </c>
      <c r="L1009" s="11">
        <f>10.2462 * CHOOSE(CONTROL!$C$32, $C$9, 100%, $E$9)</f>
        <v>10.2462</v>
      </c>
      <c r="M1009" s="11">
        <f>10.2494 * CHOOSE(CONTROL!$C$32, $C$9, 100%, $E$9)</f>
        <v>10.2494</v>
      </c>
      <c r="N1009" s="11">
        <f>10.2462 * CHOOSE(CONTROL!$C$32, $C$9, 100%, $E$9)</f>
        <v>10.2462</v>
      </c>
      <c r="O1009" s="11">
        <f>10.2494 * CHOOSE(CONTROL!$C$32, $C$9, 100%, $E$9)</f>
        <v>10.2494</v>
      </c>
    </row>
    <row r="1010" spans="1:15" ht="15" x14ac:dyDescent="0.2">
      <c r="A1010" s="13">
        <v>71590</v>
      </c>
      <c r="B1010" s="9">
        <f>15.0024 * CHOOSE(CONTROL!$C$32, $C$9, 100%, $E$9)</f>
        <v>15.0024</v>
      </c>
      <c r="C1010" s="9">
        <f>15.0024 * CHOOSE(CONTROL!$C$32, $C$9, 100%, $E$9)</f>
        <v>15.0024</v>
      </c>
      <c r="D1010" s="9">
        <f>15.0033 * CHOOSE(CONTROL!$C$32, $C$9, 100%, $E$9)</f>
        <v>15.003299999999999</v>
      </c>
      <c r="E1010" s="11">
        <f>10.4101 * CHOOSE(CONTROL!$C$32, $C$9, 100%, $E$9)</f>
        <v>10.4101</v>
      </c>
      <c r="F1010" s="11">
        <f>10.4101 * CHOOSE(CONTROL!$C$32, $C$9, 100%, $E$9)</f>
        <v>10.4101</v>
      </c>
      <c r="G1010" s="11">
        <f>10.4133 * CHOOSE(CONTROL!$C$32, $C$9, 100%, $E$9)</f>
        <v>10.4133</v>
      </c>
      <c r="H1010" s="11">
        <f>35.6252 * CHOOSE(CONTROL!$C$32, $C$9, 100%, $E$9)</f>
        <v>35.6252</v>
      </c>
      <c r="I1010" s="11">
        <f>35.6284 * CHOOSE(CONTROL!$C$32, $C$9, 100%, $E$9)</f>
        <v>35.628399999999999</v>
      </c>
      <c r="J1010" s="11">
        <f>35.6252 * CHOOSE(CONTROL!$C$32, $C$9, 100%, $E$9)</f>
        <v>35.6252</v>
      </c>
      <c r="K1010" s="11">
        <f>35.6284 * CHOOSE(CONTROL!$C$32, $C$9, 100%, $E$9)</f>
        <v>35.628399999999999</v>
      </c>
      <c r="L1010" s="11">
        <f>10.4101 * CHOOSE(CONTROL!$C$32, $C$9, 100%, $E$9)</f>
        <v>10.4101</v>
      </c>
      <c r="M1010" s="11">
        <f>10.4133 * CHOOSE(CONTROL!$C$32, $C$9, 100%, $E$9)</f>
        <v>10.4133</v>
      </c>
      <c r="N1010" s="11">
        <f>10.4101 * CHOOSE(CONTROL!$C$32, $C$9, 100%, $E$9)</f>
        <v>10.4101</v>
      </c>
      <c r="O1010" s="11">
        <f>10.4133 * CHOOSE(CONTROL!$C$32, $C$9, 100%, $E$9)</f>
        <v>10.4133</v>
      </c>
    </row>
    <row r="1011" spans="1:15" ht="15" x14ac:dyDescent="0.2">
      <c r="A1011" s="13">
        <v>71621</v>
      </c>
      <c r="B1011" s="9">
        <f>14.9993 * CHOOSE(CONTROL!$C$32, $C$9, 100%, $E$9)</f>
        <v>14.9993</v>
      </c>
      <c r="C1011" s="9">
        <f>14.9993 * CHOOSE(CONTROL!$C$32, $C$9, 100%, $E$9)</f>
        <v>14.9993</v>
      </c>
      <c r="D1011" s="9">
        <f>15.0003 * CHOOSE(CONTROL!$C$32, $C$9, 100%, $E$9)</f>
        <v>15.000299999999999</v>
      </c>
      <c r="E1011" s="11">
        <f>9.9349 * CHOOSE(CONTROL!$C$32, $C$9, 100%, $E$9)</f>
        <v>9.9349000000000007</v>
      </c>
      <c r="F1011" s="11">
        <f>9.9349 * CHOOSE(CONTROL!$C$32, $C$9, 100%, $E$9)</f>
        <v>9.9349000000000007</v>
      </c>
      <c r="G1011" s="11">
        <f>9.9381 * CHOOSE(CONTROL!$C$32, $C$9, 100%, $E$9)</f>
        <v>9.9381000000000004</v>
      </c>
      <c r="H1011" s="11">
        <f>35.6994 * CHOOSE(CONTROL!$C$32, $C$9, 100%, $E$9)</f>
        <v>35.699399999999997</v>
      </c>
      <c r="I1011" s="11">
        <f>35.7026 * CHOOSE(CONTROL!$C$32, $C$9, 100%, $E$9)</f>
        <v>35.702599999999997</v>
      </c>
      <c r="J1011" s="11">
        <f>35.6994 * CHOOSE(CONTROL!$C$32, $C$9, 100%, $E$9)</f>
        <v>35.699399999999997</v>
      </c>
      <c r="K1011" s="11">
        <f>35.7026 * CHOOSE(CONTROL!$C$32, $C$9, 100%, $E$9)</f>
        <v>35.702599999999997</v>
      </c>
      <c r="L1011" s="11">
        <f>9.9349 * CHOOSE(CONTROL!$C$32, $C$9, 100%, $E$9)</f>
        <v>9.9349000000000007</v>
      </c>
      <c r="M1011" s="11">
        <f>9.9381 * CHOOSE(CONTROL!$C$32, $C$9, 100%, $E$9)</f>
        <v>9.9381000000000004</v>
      </c>
      <c r="N1011" s="11">
        <f>9.9349 * CHOOSE(CONTROL!$C$32, $C$9, 100%, $E$9)</f>
        <v>9.9349000000000007</v>
      </c>
      <c r="O1011" s="11">
        <f>9.9381 * CHOOSE(CONTROL!$C$32, $C$9, 100%, $E$9)</f>
        <v>9.9381000000000004</v>
      </c>
    </row>
    <row r="1012" spans="1:15" ht="15" x14ac:dyDescent="0.2">
      <c r="A1012" s="13">
        <v>71650</v>
      </c>
      <c r="B1012" s="9">
        <f>14.9963 * CHOOSE(CONTROL!$C$32, $C$9, 100%, $E$9)</f>
        <v>14.9963</v>
      </c>
      <c r="C1012" s="9">
        <f>14.9963 * CHOOSE(CONTROL!$C$32, $C$9, 100%, $E$9)</f>
        <v>14.9963</v>
      </c>
      <c r="D1012" s="9">
        <f>14.9973 * CHOOSE(CONTROL!$C$32, $C$9, 100%, $E$9)</f>
        <v>14.997299999999999</v>
      </c>
      <c r="E1012" s="11">
        <f>10.3057 * CHOOSE(CONTROL!$C$32, $C$9, 100%, $E$9)</f>
        <v>10.3057</v>
      </c>
      <c r="F1012" s="11">
        <f>10.3057 * CHOOSE(CONTROL!$C$32, $C$9, 100%, $E$9)</f>
        <v>10.3057</v>
      </c>
      <c r="G1012" s="11">
        <f>10.309 * CHOOSE(CONTROL!$C$32, $C$9, 100%, $E$9)</f>
        <v>10.308999999999999</v>
      </c>
      <c r="H1012" s="11">
        <f>35.7738 * CHOOSE(CONTROL!$C$32, $C$9, 100%, $E$9)</f>
        <v>35.773800000000001</v>
      </c>
      <c r="I1012" s="11">
        <f>35.777 * CHOOSE(CONTROL!$C$32, $C$9, 100%, $E$9)</f>
        <v>35.777000000000001</v>
      </c>
      <c r="J1012" s="11">
        <f>35.7738 * CHOOSE(CONTROL!$C$32, $C$9, 100%, $E$9)</f>
        <v>35.773800000000001</v>
      </c>
      <c r="K1012" s="11">
        <f>35.777 * CHOOSE(CONTROL!$C$32, $C$9, 100%, $E$9)</f>
        <v>35.777000000000001</v>
      </c>
      <c r="L1012" s="11">
        <f>10.3057 * CHOOSE(CONTROL!$C$32, $C$9, 100%, $E$9)</f>
        <v>10.3057</v>
      </c>
      <c r="M1012" s="11">
        <f>10.309 * CHOOSE(CONTROL!$C$32, $C$9, 100%, $E$9)</f>
        <v>10.308999999999999</v>
      </c>
      <c r="N1012" s="11">
        <f>10.3057 * CHOOSE(CONTROL!$C$32, $C$9, 100%, $E$9)</f>
        <v>10.3057</v>
      </c>
      <c r="O1012" s="11">
        <f>10.309 * CHOOSE(CONTROL!$C$32, $C$9, 100%, $E$9)</f>
        <v>10.308999999999999</v>
      </c>
    </row>
    <row r="1013" spans="1:15" ht="15" x14ac:dyDescent="0.2">
      <c r="A1013" s="13">
        <v>71681</v>
      </c>
      <c r="B1013" s="9">
        <f>15.0046 * CHOOSE(CONTROL!$C$32, $C$9, 100%, $E$9)</f>
        <v>15.0046</v>
      </c>
      <c r="C1013" s="9">
        <f>15.0046 * CHOOSE(CONTROL!$C$32, $C$9, 100%, $E$9)</f>
        <v>15.0046</v>
      </c>
      <c r="D1013" s="9">
        <f>15.0056 * CHOOSE(CONTROL!$C$32, $C$9, 100%, $E$9)</f>
        <v>15.005599999999999</v>
      </c>
      <c r="E1013" s="11">
        <f>10.7021 * CHOOSE(CONTROL!$C$32, $C$9, 100%, $E$9)</f>
        <v>10.7021</v>
      </c>
      <c r="F1013" s="11">
        <f>10.7021 * CHOOSE(CONTROL!$C$32, $C$9, 100%, $E$9)</f>
        <v>10.7021</v>
      </c>
      <c r="G1013" s="11">
        <f>10.7053 * CHOOSE(CONTROL!$C$32, $C$9, 100%, $E$9)</f>
        <v>10.705299999999999</v>
      </c>
      <c r="H1013" s="11">
        <f>35.8483 * CHOOSE(CONTROL!$C$32, $C$9, 100%, $E$9)</f>
        <v>35.848300000000002</v>
      </c>
      <c r="I1013" s="11">
        <f>35.8515 * CHOOSE(CONTROL!$C$32, $C$9, 100%, $E$9)</f>
        <v>35.851500000000001</v>
      </c>
      <c r="J1013" s="11">
        <f>35.8483 * CHOOSE(CONTROL!$C$32, $C$9, 100%, $E$9)</f>
        <v>35.848300000000002</v>
      </c>
      <c r="K1013" s="11">
        <f>35.8515 * CHOOSE(CONTROL!$C$32, $C$9, 100%, $E$9)</f>
        <v>35.851500000000001</v>
      </c>
      <c r="L1013" s="11">
        <f>10.7021 * CHOOSE(CONTROL!$C$32, $C$9, 100%, $E$9)</f>
        <v>10.7021</v>
      </c>
      <c r="M1013" s="11">
        <f>10.7053 * CHOOSE(CONTROL!$C$32, $C$9, 100%, $E$9)</f>
        <v>10.705299999999999</v>
      </c>
      <c r="N1013" s="11">
        <f>10.7021 * CHOOSE(CONTROL!$C$32, $C$9, 100%, $E$9)</f>
        <v>10.7021</v>
      </c>
      <c r="O1013" s="11">
        <f>10.7053 * CHOOSE(CONTROL!$C$32, $C$9, 100%, $E$9)</f>
        <v>10.705299999999999</v>
      </c>
    </row>
    <row r="1014" spans="1:15" ht="15" x14ac:dyDescent="0.2">
      <c r="A1014" s="13">
        <v>71711</v>
      </c>
      <c r="B1014" s="9">
        <f>15.0046 * CHOOSE(CONTROL!$C$32, $C$9, 100%, $E$9)</f>
        <v>15.0046</v>
      </c>
      <c r="C1014" s="9">
        <f>15.0046 * CHOOSE(CONTROL!$C$32, $C$9, 100%, $E$9)</f>
        <v>15.0046</v>
      </c>
      <c r="D1014" s="9">
        <f>15.0059 * CHOOSE(CONTROL!$C$32, $C$9, 100%, $E$9)</f>
        <v>15.0059</v>
      </c>
      <c r="E1014" s="11">
        <f>10.8523 * CHOOSE(CONTROL!$C$32, $C$9, 100%, $E$9)</f>
        <v>10.8523</v>
      </c>
      <c r="F1014" s="11">
        <f>10.8523 * CHOOSE(CONTROL!$C$32, $C$9, 100%, $E$9)</f>
        <v>10.8523</v>
      </c>
      <c r="G1014" s="11">
        <f>10.8565 * CHOOSE(CONTROL!$C$32, $C$9, 100%, $E$9)</f>
        <v>10.8565</v>
      </c>
      <c r="H1014" s="11">
        <f>35.923 * CHOOSE(CONTROL!$C$32, $C$9, 100%, $E$9)</f>
        <v>35.923000000000002</v>
      </c>
      <c r="I1014" s="11">
        <f>35.9272 * CHOOSE(CONTROL!$C$32, $C$9, 100%, $E$9)</f>
        <v>35.927199999999999</v>
      </c>
      <c r="J1014" s="11">
        <f>35.923 * CHOOSE(CONTROL!$C$32, $C$9, 100%, $E$9)</f>
        <v>35.923000000000002</v>
      </c>
      <c r="K1014" s="11">
        <f>35.9272 * CHOOSE(CONTROL!$C$32, $C$9, 100%, $E$9)</f>
        <v>35.927199999999999</v>
      </c>
      <c r="L1014" s="11">
        <f>10.8523 * CHOOSE(CONTROL!$C$32, $C$9, 100%, $E$9)</f>
        <v>10.8523</v>
      </c>
      <c r="M1014" s="11">
        <f>10.8565 * CHOOSE(CONTROL!$C$32, $C$9, 100%, $E$9)</f>
        <v>10.8565</v>
      </c>
      <c r="N1014" s="11">
        <f>10.8523 * CHOOSE(CONTROL!$C$32, $C$9, 100%, $E$9)</f>
        <v>10.8523</v>
      </c>
      <c r="O1014" s="11">
        <f>10.8565 * CHOOSE(CONTROL!$C$32, $C$9, 100%, $E$9)</f>
        <v>10.8565</v>
      </c>
    </row>
    <row r="1015" spans="1:15" ht="15" x14ac:dyDescent="0.2">
      <c r="A1015" s="13">
        <v>71742</v>
      </c>
      <c r="B1015" s="9">
        <f>15.0107 * CHOOSE(CONTROL!$C$32, $C$9, 100%, $E$9)</f>
        <v>15.0107</v>
      </c>
      <c r="C1015" s="9">
        <f>15.0107 * CHOOSE(CONTROL!$C$32, $C$9, 100%, $E$9)</f>
        <v>15.0107</v>
      </c>
      <c r="D1015" s="9">
        <f>15.012 * CHOOSE(CONTROL!$C$32, $C$9, 100%, $E$9)</f>
        <v>15.012</v>
      </c>
      <c r="E1015" s="11">
        <f>10.7063 * CHOOSE(CONTROL!$C$32, $C$9, 100%, $E$9)</f>
        <v>10.706300000000001</v>
      </c>
      <c r="F1015" s="11">
        <f>10.7063 * CHOOSE(CONTROL!$C$32, $C$9, 100%, $E$9)</f>
        <v>10.706300000000001</v>
      </c>
      <c r="G1015" s="11">
        <f>10.7105 * CHOOSE(CONTROL!$C$32, $C$9, 100%, $E$9)</f>
        <v>10.7105</v>
      </c>
      <c r="H1015" s="11">
        <f>35.9978 * CHOOSE(CONTROL!$C$32, $C$9, 100%, $E$9)</f>
        <v>35.997799999999998</v>
      </c>
      <c r="I1015" s="11">
        <f>36.002 * CHOOSE(CONTROL!$C$32, $C$9, 100%, $E$9)</f>
        <v>36.002000000000002</v>
      </c>
      <c r="J1015" s="11">
        <f>35.9978 * CHOOSE(CONTROL!$C$32, $C$9, 100%, $E$9)</f>
        <v>35.997799999999998</v>
      </c>
      <c r="K1015" s="11">
        <f>36.002 * CHOOSE(CONTROL!$C$32, $C$9, 100%, $E$9)</f>
        <v>36.002000000000002</v>
      </c>
      <c r="L1015" s="11">
        <f>10.7063 * CHOOSE(CONTROL!$C$32, $C$9, 100%, $E$9)</f>
        <v>10.706300000000001</v>
      </c>
      <c r="M1015" s="11">
        <f>10.7105 * CHOOSE(CONTROL!$C$32, $C$9, 100%, $E$9)</f>
        <v>10.7105</v>
      </c>
      <c r="N1015" s="11">
        <f>10.7063 * CHOOSE(CONTROL!$C$32, $C$9, 100%, $E$9)</f>
        <v>10.706300000000001</v>
      </c>
      <c r="O1015" s="11">
        <f>10.7105 * CHOOSE(CONTROL!$C$32, $C$9, 100%, $E$9)</f>
        <v>10.7105</v>
      </c>
    </row>
    <row r="1016" spans="1:15" ht="15" x14ac:dyDescent="0.2">
      <c r="A1016" s="13">
        <v>71772</v>
      </c>
      <c r="B1016" s="9">
        <f>15.1901 * CHOOSE(CONTROL!$C$32, $C$9, 100%, $E$9)</f>
        <v>15.190099999999999</v>
      </c>
      <c r="C1016" s="9">
        <f>15.1901 * CHOOSE(CONTROL!$C$32, $C$9, 100%, $E$9)</f>
        <v>15.190099999999999</v>
      </c>
      <c r="D1016" s="9">
        <f>15.1913 * CHOOSE(CONTROL!$C$32, $C$9, 100%, $E$9)</f>
        <v>15.1913</v>
      </c>
      <c r="E1016" s="11">
        <f>10.7818 * CHOOSE(CONTROL!$C$32, $C$9, 100%, $E$9)</f>
        <v>10.7818</v>
      </c>
      <c r="F1016" s="11">
        <f>10.7818 * CHOOSE(CONTROL!$C$32, $C$9, 100%, $E$9)</f>
        <v>10.7818</v>
      </c>
      <c r="G1016" s="11">
        <f>10.786 * CHOOSE(CONTROL!$C$32, $C$9, 100%, $E$9)</f>
        <v>10.786</v>
      </c>
      <c r="H1016" s="11">
        <f>36.0728 * CHOOSE(CONTROL!$C$32, $C$9, 100%, $E$9)</f>
        <v>36.072800000000001</v>
      </c>
      <c r="I1016" s="11">
        <f>36.077 * CHOOSE(CONTROL!$C$32, $C$9, 100%, $E$9)</f>
        <v>36.076999999999998</v>
      </c>
      <c r="J1016" s="11">
        <f>36.0728 * CHOOSE(CONTROL!$C$32, $C$9, 100%, $E$9)</f>
        <v>36.072800000000001</v>
      </c>
      <c r="K1016" s="11">
        <f>36.077 * CHOOSE(CONTROL!$C$32, $C$9, 100%, $E$9)</f>
        <v>36.076999999999998</v>
      </c>
      <c r="L1016" s="11">
        <f>10.7818 * CHOOSE(CONTROL!$C$32, $C$9, 100%, $E$9)</f>
        <v>10.7818</v>
      </c>
      <c r="M1016" s="11">
        <f>10.786 * CHOOSE(CONTROL!$C$32, $C$9, 100%, $E$9)</f>
        <v>10.786</v>
      </c>
      <c r="N1016" s="11">
        <f>10.7818 * CHOOSE(CONTROL!$C$32, $C$9, 100%, $E$9)</f>
        <v>10.7818</v>
      </c>
      <c r="O1016" s="11">
        <f>10.786 * CHOOSE(CONTROL!$C$32, $C$9, 100%, $E$9)</f>
        <v>10.786</v>
      </c>
    </row>
    <row r="1017" spans="1:15" ht="15" x14ac:dyDescent="0.2">
      <c r="A1017" s="13">
        <v>71803</v>
      </c>
      <c r="B1017" s="9">
        <f>15.1967 * CHOOSE(CONTROL!$C$32, $C$9, 100%, $E$9)</f>
        <v>15.1967</v>
      </c>
      <c r="C1017" s="9">
        <f>15.1967 * CHOOSE(CONTROL!$C$32, $C$9, 100%, $E$9)</f>
        <v>15.1967</v>
      </c>
      <c r="D1017" s="9">
        <f>15.198 * CHOOSE(CONTROL!$C$32, $C$9, 100%, $E$9)</f>
        <v>15.198</v>
      </c>
      <c r="E1017" s="11">
        <f>10.3358 * CHOOSE(CONTROL!$C$32, $C$9, 100%, $E$9)</f>
        <v>10.335800000000001</v>
      </c>
      <c r="F1017" s="11">
        <f>10.3358 * CHOOSE(CONTROL!$C$32, $C$9, 100%, $E$9)</f>
        <v>10.335800000000001</v>
      </c>
      <c r="G1017" s="11">
        <f>10.34 * CHOOSE(CONTROL!$C$32, $C$9, 100%, $E$9)</f>
        <v>10.34</v>
      </c>
      <c r="H1017" s="11">
        <f>36.148 * CHOOSE(CONTROL!$C$32, $C$9, 100%, $E$9)</f>
        <v>36.148000000000003</v>
      </c>
      <c r="I1017" s="11">
        <f>36.1522 * CHOOSE(CONTROL!$C$32, $C$9, 100%, $E$9)</f>
        <v>36.152200000000001</v>
      </c>
      <c r="J1017" s="11">
        <f>36.148 * CHOOSE(CONTROL!$C$32, $C$9, 100%, $E$9)</f>
        <v>36.148000000000003</v>
      </c>
      <c r="K1017" s="11">
        <f>36.1522 * CHOOSE(CONTROL!$C$32, $C$9, 100%, $E$9)</f>
        <v>36.152200000000001</v>
      </c>
      <c r="L1017" s="11">
        <f>10.3358 * CHOOSE(CONTROL!$C$32, $C$9, 100%, $E$9)</f>
        <v>10.335800000000001</v>
      </c>
      <c r="M1017" s="11">
        <f>10.34 * CHOOSE(CONTROL!$C$32, $C$9, 100%, $E$9)</f>
        <v>10.34</v>
      </c>
      <c r="N1017" s="11">
        <f>10.3358 * CHOOSE(CONTROL!$C$32, $C$9, 100%, $E$9)</f>
        <v>10.335800000000001</v>
      </c>
      <c r="O1017" s="11">
        <f>10.34 * CHOOSE(CONTROL!$C$32, $C$9, 100%, $E$9)</f>
        <v>10.34</v>
      </c>
    </row>
    <row r="1018" spans="1:15" ht="15" x14ac:dyDescent="0.2">
      <c r="A1018" s="13">
        <v>71834</v>
      </c>
      <c r="B1018" s="9">
        <f>15.1937 * CHOOSE(CONTROL!$C$32, $C$9, 100%, $E$9)</f>
        <v>15.1937</v>
      </c>
      <c r="C1018" s="9">
        <f>15.1937 * CHOOSE(CONTROL!$C$32, $C$9, 100%, $E$9)</f>
        <v>15.1937</v>
      </c>
      <c r="D1018" s="9">
        <f>15.1949 * CHOOSE(CONTROL!$C$32, $C$9, 100%, $E$9)</f>
        <v>15.194900000000001</v>
      </c>
      <c r="E1018" s="11">
        <f>10.2836 * CHOOSE(CONTROL!$C$32, $C$9, 100%, $E$9)</f>
        <v>10.2836</v>
      </c>
      <c r="F1018" s="11">
        <f>10.2836 * CHOOSE(CONTROL!$C$32, $C$9, 100%, $E$9)</f>
        <v>10.2836</v>
      </c>
      <c r="G1018" s="11">
        <f>10.2878 * CHOOSE(CONTROL!$C$32, $C$9, 100%, $E$9)</f>
        <v>10.287800000000001</v>
      </c>
      <c r="H1018" s="11">
        <f>36.2233 * CHOOSE(CONTROL!$C$32, $C$9, 100%, $E$9)</f>
        <v>36.223300000000002</v>
      </c>
      <c r="I1018" s="11">
        <f>36.2275 * CHOOSE(CONTROL!$C$32, $C$9, 100%, $E$9)</f>
        <v>36.227499999999999</v>
      </c>
      <c r="J1018" s="11">
        <f>36.2233 * CHOOSE(CONTROL!$C$32, $C$9, 100%, $E$9)</f>
        <v>36.223300000000002</v>
      </c>
      <c r="K1018" s="11">
        <f>36.2275 * CHOOSE(CONTROL!$C$32, $C$9, 100%, $E$9)</f>
        <v>36.227499999999999</v>
      </c>
      <c r="L1018" s="11">
        <f>10.2836 * CHOOSE(CONTROL!$C$32, $C$9, 100%, $E$9)</f>
        <v>10.2836</v>
      </c>
      <c r="M1018" s="11">
        <f>10.2878 * CHOOSE(CONTROL!$C$32, $C$9, 100%, $E$9)</f>
        <v>10.287800000000001</v>
      </c>
      <c r="N1018" s="11">
        <f>10.2836 * CHOOSE(CONTROL!$C$32, $C$9, 100%, $E$9)</f>
        <v>10.2836</v>
      </c>
      <c r="O1018" s="11">
        <f>10.2878 * CHOOSE(CONTROL!$C$32, $C$9, 100%, $E$9)</f>
        <v>10.287800000000001</v>
      </c>
    </row>
    <row r="1019" spans="1:15" ht="15" x14ac:dyDescent="0.2">
      <c r="A1019" s="13">
        <v>71864</v>
      </c>
      <c r="B1019" s="9">
        <f>15.2306 * CHOOSE(CONTROL!$C$32, $C$9, 100%, $E$9)</f>
        <v>15.230600000000001</v>
      </c>
      <c r="C1019" s="9">
        <f>15.2306 * CHOOSE(CONTROL!$C$32, $C$9, 100%, $E$9)</f>
        <v>15.230600000000001</v>
      </c>
      <c r="D1019" s="9">
        <f>15.2316 * CHOOSE(CONTROL!$C$32, $C$9, 100%, $E$9)</f>
        <v>15.2316</v>
      </c>
      <c r="E1019" s="11">
        <f>10.4705 * CHOOSE(CONTROL!$C$32, $C$9, 100%, $E$9)</f>
        <v>10.470499999999999</v>
      </c>
      <c r="F1019" s="11">
        <f>10.4705 * CHOOSE(CONTROL!$C$32, $C$9, 100%, $E$9)</f>
        <v>10.470499999999999</v>
      </c>
      <c r="G1019" s="11">
        <f>10.4737 * CHOOSE(CONTROL!$C$32, $C$9, 100%, $E$9)</f>
        <v>10.473699999999999</v>
      </c>
      <c r="H1019" s="11">
        <f>36.2987 * CHOOSE(CONTROL!$C$32, $C$9, 100%, $E$9)</f>
        <v>36.298699999999997</v>
      </c>
      <c r="I1019" s="11">
        <f>36.302 * CHOOSE(CONTROL!$C$32, $C$9, 100%, $E$9)</f>
        <v>36.302</v>
      </c>
      <c r="J1019" s="11">
        <f>36.2987 * CHOOSE(CONTROL!$C$32, $C$9, 100%, $E$9)</f>
        <v>36.298699999999997</v>
      </c>
      <c r="K1019" s="11">
        <f>36.302 * CHOOSE(CONTROL!$C$32, $C$9, 100%, $E$9)</f>
        <v>36.302</v>
      </c>
      <c r="L1019" s="11">
        <f>10.4705 * CHOOSE(CONTROL!$C$32, $C$9, 100%, $E$9)</f>
        <v>10.470499999999999</v>
      </c>
      <c r="M1019" s="11">
        <f>10.4737 * CHOOSE(CONTROL!$C$32, $C$9, 100%, $E$9)</f>
        <v>10.473699999999999</v>
      </c>
      <c r="N1019" s="11">
        <f>10.4705 * CHOOSE(CONTROL!$C$32, $C$9, 100%, $E$9)</f>
        <v>10.470499999999999</v>
      </c>
      <c r="O1019" s="11">
        <f>10.4737 * CHOOSE(CONTROL!$C$32, $C$9, 100%, $E$9)</f>
        <v>10.473699999999999</v>
      </c>
    </row>
    <row r="1020" spans="1:15" ht="15" x14ac:dyDescent="0.2">
      <c r="A1020" s="13">
        <v>71895</v>
      </c>
      <c r="B1020" s="9">
        <f>15.2337 * CHOOSE(CONTROL!$C$32, $C$9, 100%, $E$9)</f>
        <v>15.233700000000001</v>
      </c>
      <c r="C1020" s="9">
        <f>15.2337 * CHOOSE(CONTROL!$C$32, $C$9, 100%, $E$9)</f>
        <v>15.233700000000001</v>
      </c>
      <c r="D1020" s="9">
        <f>15.2346 * CHOOSE(CONTROL!$C$32, $C$9, 100%, $E$9)</f>
        <v>15.2346</v>
      </c>
      <c r="E1020" s="11">
        <f>10.5727 * CHOOSE(CONTROL!$C$32, $C$9, 100%, $E$9)</f>
        <v>10.572699999999999</v>
      </c>
      <c r="F1020" s="11">
        <f>10.5727 * CHOOSE(CONTROL!$C$32, $C$9, 100%, $E$9)</f>
        <v>10.572699999999999</v>
      </c>
      <c r="G1020" s="11">
        <f>10.576 * CHOOSE(CONTROL!$C$32, $C$9, 100%, $E$9)</f>
        <v>10.576000000000001</v>
      </c>
      <c r="H1020" s="11">
        <f>36.3744 * CHOOSE(CONTROL!$C$32, $C$9, 100%, $E$9)</f>
        <v>36.374400000000001</v>
      </c>
      <c r="I1020" s="11">
        <f>36.3776 * CHOOSE(CONTROL!$C$32, $C$9, 100%, $E$9)</f>
        <v>36.377600000000001</v>
      </c>
      <c r="J1020" s="11">
        <f>36.3744 * CHOOSE(CONTROL!$C$32, $C$9, 100%, $E$9)</f>
        <v>36.374400000000001</v>
      </c>
      <c r="K1020" s="11">
        <f>36.3776 * CHOOSE(CONTROL!$C$32, $C$9, 100%, $E$9)</f>
        <v>36.377600000000001</v>
      </c>
      <c r="L1020" s="11">
        <f>10.5727 * CHOOSE(CONTROL!$C$32, $C$9, 100%, $E$9)</f>
        <v>10.572699999999999</v>
      </c>
      <c r="M1020" s="11">
        <f>10.576 * CHOOSE(CONTROL!$C$32, $C$9, 100%, $E$9)</f>
        <v>10.576000000000001</v>
      </c>
      <c r="N1020" s="11">
        <f>10.5727 * CHOOSE(CONTROL!$C$32, $C$9, 100%, $E$9)</f>
        <v>10.572699999999999</v>
      </c>
      <c r="O1020" s="11">
        <f>10.576 * CHOOSE(CONTROL!$C$32, $C$9, 100%, $E$9)</f>
        <v>10.576000000000001</v>
      </c>
    </row>
    <row r="1021" spans="1:15" ht="15" x14ac:dyDescent="0.2">
      <c r="A1021" s="13">
        <v>71925</v>
      </c>
      <c r="B1021" s="9">
        <f>15.2337 * CHOOSE(CONTROL!$C$32, $C$9, 100%, $E$9)</f>
        <v>15.233700000000001</v>
      </c>
      <c r="C1021" s="9">
        <f>15.2337 * CHOOSE(CONTROL!$C$32, $C$9, 100%, $E$9)</f>
        <v>15.233700000000001</v>
      </c>
      <c r="D1021" s="9">
        <f>15.2346 * CHOOSE(CONTROL!$C$32, $C$9, 100%, $E$9)</f>
        <v>15.2346</v>
      </c>
      <c r="E1021" s="11">
        <f>10.3224 * CHOOSE(CONTROL!$C$32, $C$9, 100%, $E$9)</f>
        <v>10.3224</v>
      </c>
      <c r="F1021" s="11">
        <f>10.3224 * CHOOSE(CONTROL!$C$32, $C$9, 100%, $E$9)</f>
        <v>10.3224</v>
      </c>
      <c r="G1021" s="11">
        <f>10.3256 * CHOOSE(CONTROL!$C$32, $C$9, 100%, $E$9)</f>
        <v>10.3256</v>
      </c>
      <c r="H1021" s="11">
        <f>36.4501 * CHOOSE(CONTROL!$C$32, $C$9, 100%, $E$9)</f>
        <v>36.450099999999999</v>
      </c>
      <c r="I1021" s="11">
        <f>36.4534 * CHOOSE(CONTROL!$C$32, $C$9, 100%, $E$9)</f>
        <v>36.453400000000002</v>
      </c>
      <c r="J1021" s="11">
        <f>36.4501 * CHOOSE(CONTROL!$C$32, $C$9, 100%, $E$9)</f>
        <v>36.450099999999999</v>
      </c>
      <c r="K1021" s="11">
        <f>36.4534 * CHOOSE(CONTROL!$C$32, $C$9, 100%, $E$9)</f>
        <v>36.453400000000002</v>
      </c>
      <c r="L1021" s="11">
        <f>10.3224 * CHOOSE(CONTROL!$C$32, $C$9, 100%, $E$9)</f>
        <v>10.3224</v>
      </c>
      <c r="M1021" s="11">
        <f>10.3256 * CHOOSE(CONTROL!$C$32, $C$9, 100%, $E$9)</f>
        <v>10.3256</v>
      </c>
      <c r="N1021" s="11">
        <f>10.3224 * CHOOSE(CONTROL!$C$32, $C$9, 100%, $E$9)</f>
        <v>10.3224</v>
      </c>
      <c r="O1021" s="11">
        <f>10.3256 * CHOOSE(CONTROL!$C$32, $C$9, 100%, $E$9)</f>
        <v>10.3256</v>
      </c>
    </row>
    <row r="1022" spans="1:15" ht="15" x14ac:dyDescent="0.2">
      <c r="A1022" s="13">
        <v>71956</v>
      </c>
      <c r="B1022" s="9">
        <f>15.1897 * CHOOSE(CONTROL!$C$32, $C$9, 100%, $E$9)</f>
        <v>15.1897</v>
      </c>
      <c r="C1022" s="9">
        <f>15.1897 * CHOOSE(CONTROL!$C$32, $C$9, 100%, $E$9)</f>
        <v>15.1897</v>
      </c>
      <c r="D1022" s="9">
        <f>15.1907 * CHOOSE(CONTROL!$C$32, $C$9, 100%, $E$9)</f>
        <v>15.1907</v>
      </c>
      <c r="E1022" s="11">
        <f>10.4874 * CHOOSE(CONTROL!$C$32, $C$9, 100%, $E$9)</f>
        <v>10.487399999999999</v>
      </c>
      <c r="F1022" s="11">
        <f>10.4874 * CHOOSE(CONTROL!$C$32, $C$9, 100%, $E$9)</f>
        <v>10.487399999999999</v>
      </c>
      <c r="G1022" s="11">
        <f>10.4906 * CHOOSE(CONTROL!$C$32, $C$9, 100%, $E$9)</f>
        <v>10.490600000000001</v>
      </c>
      <c r="H1022" s="11">
        <f>36.0967 * CHOOSE(CONTROL!$C$32, $C$9, 100%, $E$9)</f>
        <v>36.096699999999998</v>
      </c>
      <c r="I1022" s="11">
        <f>36.1 * CHOOSE(CONTROL!$C$32, $C$9, 100%, $E$9)</f>
        <v>36.1</v>
      </c>
      <c r="J1022" s="11">
        <f>36.0967 * CHOOSE(CONTROL!$C$32, $C$9, 100%, $E$9)</f>
        <v>36.096699999999998</v>
      </c>
      <c r="K1022" s="11">
        <f>36.1 * CHOOSE(CONTROL!$C$32, $C$9, 100%, $E$9)</f>
        <v>36.1</v>
      </c>
      <c r="L1022" s="11">
        <f>10.4874 * CHOOSE(CONTROL!$C$32, $C$9, 100%, $E$9)</f>
        <v>10.487399999999999</v>
      </c>
      <c r="M1022" s="11">
        <f>10.4906 * CHOOSE(CONTROL!$C$32, $C$9, 100%, $E$9)</f>
        <v>10.490600000000001</v>
      </c>
      <c r="N1022" s="11">
        <f>10.4874 * CHOOSE(CONTROL!$C$32, $C$9, 100%, $E$9)</f>
        <v>10.487399999999999</v>
      </c>
      <c r="O1022" s="11">
        <f>10.4906 * CHOOSE(CONTROL!$C$32, $C$9, 100%, $E$9)</f>
        <v>10.490600000000001</v>
      </c>
    </row>
    <row r="1023" spans="1:15" ht="15" x14ac:dyDescent="0.2">
      <c r="A1023" s="13">
        <v>71987</v>
      </c>
      <c r="B1023" s="9">
        <f>15.1867 * CHOOSE(CONTROL!$C$32, $C$9, 100%, $E$9)</f>
        <v>15.1867</v>
      </c>
      <c r="C1023" s="9">
        <f>15.1867 * CHOOSE(CONTROL!$C$32, $C$9, 100%, $E$9)</f>
        <v>15.1867</v>
      </c>
      <c r="D1023" s="9">
        <f>15.1877 * CHOOSE(CONTROL!$C$32, $C$9, 100%, $E$9)</f>
        <v>15.1877</v>
      </c>
      <c r="E1023" s="11">
        <f>10.005 * CHOOSE(CONTROL!$C$32, $C$9, 100%, $E$9)</f>
        <v>10.005000000000001</v>
      </c>
      <c r="F1023" s="11">
        <f>10.005 * CHOOSE(CONTROL!$C$32, $C$9, 100%, $E$9)</f>
        <v>10.005000000000001</v>
      </c>
      <c r="G1023" s="11">
        <f>10.0083 * CHOOSE(CONTROL!$C$32, $C$9, 100%, $E$9)</f>
        <v>10.0083</v>
      </c>
      <c r="H1023" s="11">
        <f>36.1719 * CHOOSE(CONTROL!$C$32, $C$9, 100%, $E$9)</f>
        <v>36.171900000000001</v>
      </c>
      <c r="I1023" s="11">
        <f>36.1752 * CHOOSE(CONTROL!$C$32, $C$9, 100%, $E$9)</f>
        <v>36.175199999999997</v>
      </c>
      <c r="J1023" s="11">
        <f>36.1719 * CHOOSE(CONTROL!$C$32, $C$9, 100%, $E$9)</f>
        <v>36.171900000000001</v>
      </c>
      <c r="K1023" s="11">
        <f>36.1752 * CHOOSE(CONTROL!$C$32, $C$9, 100%, $E$9)</f>
        <v>36.175199999999997</v>
      </c>
      <c r="L1023" s="11">
        <f>10.005 * CHOOSE(CONTROL!$C$32, $C$9, 100%, $E$9)</f>
        <v>10.005000000000001</v>
      </c>
      <c r="M1023" s="11">
        <f>10.0083 * CHOOSE(CONTROL!$C$32, $C$9, 100%, $E$9)</f>
        <v>10.0083</v>
      </c>
      <c r="N1023" s="11">
        <f>10.005 * CHOOSE(CONTROL!$C$32, $C$9, 100%, $E$9)</f>
        <v>10.005000000000001</v>
      </c>
      <c r="O1023" s="11">
        <f>10.0083 * CHOOSE(CONTROL!$C$32, $C$9, 100%, $E$9)</f>
        <v>10.0083</v>
      </c>
    </row>
    <row r="1024" spans="1:15" ht="15" x14ac:dyDescent="0.2">
      <c r="A1024" s="13">
        <v>72015</v>
      </c>
      <c r="B1024" s="9">
        <f>15.1837 * CHOOSE(CONTROL!$C$32, $C$9, 100%, $E$9)</f>
        <v>15.1837</v>
      </c>
      <c r="C1024" s="9">
        <f>15.1837 * CHOOSE(CONTROL!$C$32, $C$9, 100%, $E$9)</f>
        <v>15.1837</v>
      </c>
      <c r="D1024" s="9">
        <f>15.1846 * CHOOSE(CONTROL!$C$32, $C$9, 100%, $E$9)</f>
        <v>15.1846</v>
      </c>
      <c r="E1024" s="11">
        <f>10.3815 * CHOOSE(CONTROL!$C$32, $C$9, 100%, $E$9)</f>
        <v>10.381500000000001</v>
      </c>
      <c r="F1024" s="11">
        <f>10.3815 * CHOOSE(CONTROL!$C$32, $C$9, 100%, $E$9)</f>
        <v>10.381500000000001</v>
      </c>
      <c r="G1024" s="11">
        <f>10.3847 * CHOOSE(CONTROL!$C$32, $C$9, 100%, $E$9)</f>
        <v>10.3847</v>
      </c>
      <c r="H1024" s="11">
        <f>36.2473 * CHOOSE(CONTROL!$C$32, $C$9, 100%, $E$9)</f>
        <v>36.247300000000003</v>
      </c>
      <c r="I1024" s="11">
        <f>36.2505 * CHOOSE(CONTROL!$C$32, $C$9, 100%, $E$9)</f>
        <v>36.250500000000002</v>
      </c>
      <c r="J1024" s="11">
        <f>36.2473 * CHOOSE(CONTROL!$C$32, $C$9, 100%, $E$9)</f>
        <v>36.247300000000003</v>
      </c>
      <c r="K1024" s="11">
        <f>36.2505 * CHOOSE(CONTROL!$C$32, $C$9, 100%, $E$9)</f>
        <v>36.250500000000002</v>
      </c>
      <c r="L1024" s="11">
        <f>10.3815 * CHOOSE(CONTROL!$C$32, $C$9, 100%, $E$9)</f>
        <v>10.381500000000001</v>
      </c>
      <c r="M1024" s="11">
        <f>10.3847 * CHOOSE(CONTROL!$C$32, $C$9, 100%, $E$9)</f>
        <v>10.3847</v>
      </c>
      <c r="N1024" s="11">
        <f>10.3815 * CHOOSE(CONTROL!$C$32, $C$9, 100%, $E$9)</f>
        <v>10.381500000000001</v>
      </c>
      <c r="O1024" s="11">
        <f>10.3847 * CHOOSE(CONTROL!$C$32, $C$9, 100%, $E$9)</f>
        <v>10.3847</v>
      </c>
    </row>
    <row r="1025" spans="1:15" ht="15" x14ac:dyDescent="0.2">
      <c r="A1025" s="13">
        <v>72046</v>
      </c>
      <c r="B1025" s="9">
        <f>15.1922 * CHOOSE(CONTROL!$C$32, $C$9, 100%, $E$9)</f>
        <v>15.1922</v>
      </c>
      <c r="C1025" s="9">
        <f>15.1922 * CHOOSE(CONTROL!$C$32, $C$9, 100%, $E$9)</f>
        <v>15.1922</v>
      </c>
      <c r="D1025" s="9">
        <f>15.1931 * CHOOSE(CONTROL!$C$32, $C$9, 100%, $E$9)</f>
        <v>15.193099999999999</v>
      </c>
      <c r="E1025" s="11">
        <f>10.7838 * CHOOSE(CONTROL!$C$32, $C$9, 100%, $E$9)</f>
        <v>10.783799999999999</v>
      </c>
      <c r="F1025" s="11">
        <f>10.7838 * CHOOSE(CONTROL!$C$32, $C$9, 100%, $E$9)</f>
        <v>10.783799999999999</v>
      </c>
      <c r="G1025" s="11">
        <f>10.7871 * CHOOSE(CONTROL!$C$32, $C$9, 100%, $E$9)</f>
        <v>10.787100000000001</v>
      </c>
      <c r="H1025" s="11">
        <f>36.3228 * CHOOSE(CONTROL!$C$32, $C$9, 100%, $E$9)</f>
        <v>36.322800000000001</v>
      </c>
      <c r="I1025" s="11">
        <f>36.326 * CHOOSE(CONTROL!$C$32, $C$9, 100%, $E$9)</f>
        <v>36.326000000000001</v>
      </c>
      <c r="J1025" s="11">
        <f>36.3228 * CHOOSE(CONTROL!$C$32, $C$9, 100%, $E$9)</f>
        <v>36.322800000000001</v>
      </c>
      <c r="K1025" s="11">
        <f>36.326 * CHOOSE(CONTROL!$C$32, $C$9, 100%, $E$9)</f>
        <v>36.326000000000001</v>
      </c>
      <c r="L1025" s="11">
        <f>10.7838 * CHOOSE(CONTROL!$C$32, $C$9, 100%, $E$9)</f>
        <v>10.783799999999999</v>
      </c>
      <c r="M1025" s="11">
        <f>10.7871 * CHOOSE(CONTROL!$C$32, $C$9, 100%, $E$9)</f>
        <v>10.787100000000001</v>
      </c>
      <c r="N1025" s="11">
        <f>10.7838 * CHOOSE(CONTROL!$C$32, $C$9, 100%, $E$9)</f>
        <v>10.783799999999999</v>
      </c>
      <c r="O1025" s="11">
        <f>10.7871 * CHOOSE(CONTROL!$C$32, $C$9, 100%, $E$9)</f>
        <v>10.787100000000001</v>
      </c>
    </row>
    <row r="1026" spans="1:15" ht="15" x14ac:dyDescent="0.2">
      <c r="A1026" s="13">
        <v>72076</v>
      </c>
      <c r="B1026" s="9">
        <f>15.1922 * CHOOSE(CONTROL!$C$32, $C$9, 100%, $E$9)</f>
        <v>15.1922</v>
      </c>
      <c r="C1026" s="9">
        <f>15.1922 * CHOOSE(CONTROL!$C$32, $C$9, 100%, $E$9)</f>
        <v>15.1922</v>
      </c>
      <c r="D1026" s="9">
        <f>15.1934 * CHOOSE(CONTROL!$C$32, $C$9, 100%, $E$9)</f>
        <v>15.1934</v>
      </c>
      <c r="E1026" s="11">
        <f>10.9363 * CHOOSE(CONTROL!$C$32, $C$9, 100%, $E$9)</f>
        <v>10.936299999999999</v>
      </c>
      <c r="F1026" s="11">
        <f>10.9363 * CHOOSE(CONTROL!$C$32, $C$9, 100%, $E$9)</f>
        <v>10.936299999999999</v>
      </c>
      <c r="G1026" s="11">
        <f>10.9405 * CHOOSE(CONTROL!$C$32, $C$9, 100%, $E$9)</f>
        <v>10.9405</v>
      </c>
      <c r="H1026" s="11">
        <f>36.3985 * CHOOSE(CONTROL!$C$32, $C$9, 100%, $E$9)</f>
        <v>36.398499999999999</v>
      </c>
      <c r="I1026" s="11">
        <f>36.4027 * CHOOSE(CONTROL!$C$32, $C$9, 100%, $E$9)</f>
        <v>36.402700000000003</v>
      </c>
      <c r="J1026" s="11">
        <f>36.3985 * CHOOSE(CONTROL!$C$32, $C$9, 100%, $E$9)</f>
        <v>36.398499999999999</v>
      </c>
      <c r="K1026" s="11">
        <f>36.4027 * CHOOSE(CONTROL!$C$32, $C$9, 100%, $E$9)</f>
        <v>36.402700000000003</v>
      </c>
      <c r="L1026" s="11">
        <f>10.9363 * CHOOSE(CONTROL!$C$32, $C$9, 100%, $E$9)</f>
        <v>10.936299999999999</v>
      </c>
      <c r="M1026" s="11">
        <f>10.9405 * CHOOSE(CONTROL!$C$32, $C$9, 100%, $E$9)</f>
        <v>10.9405</v>
      </c>
      <c r="N1026" s="11">
        <f>10.9363 * CHOOSE(CONTROL!$C$32, $C$9, 100%, $E$9)</f>
        <v>10.936299999999999</v>
      </c>
      <c r="O1026" s="11">
        <f>10.9405 * CHOOSE(CONTROL!$C$32, $C$9, 100%, $E$9)</f>
        <v>10.9405</v>
      </c>
    </row>
    <row r="1027" spans="1:15" ht="15" x14ac:dyDescent="0.2">
      <c r="A1027" s="13">
        <v>72107</v>
      </c>
      <c r="B1027" s="9">
        <f>15.1983 * CHOOSE(CONTROL!$C$32, $C$9, 100%, $E$9)</f>
        <v>15.1983</v>
      </c>
      <c r="C1027" s="9">
        <f>15.1983 * CHOOSE(CONTROL!$C$32, $C$9, 100%, $E$9)</f>
        <v>15.1983</v>
      </c>
      <c r="D1027" s="9">
        <f>15.1995 * CHOOSE(CONTROL!$C$32, $C$9, 100%, $E$9)</f>
        <v>15.1995</v>
      </c>
      <c r="E1027" s="11">
        <f>10.7881 * CHOOSE(CONTROL!$C$32, $C$9, 100%, $E$9)</f>
        <v>10.7881</v>
      </c>
      <c r="F1027" s="11">
        <f>10.7881 * CHOOSE(CONTROL!$C$32, $C$9, 100%, $E$9)</f>
        <v>10.7881</v>
      </c>
      <c r="G1027" s="11">
        <f>10.7923 * CHOOSE(CONTROL!$C$32, $C$9, 100%, $E$9)</f>
        <v>10.792299999999999</v>
      </c>
      <c r="H1027" s="11">
        <f>36.4743 * CHOOSE(CONTROL!$C$32, $C$9, 100%, $E$9)</f>
        <v>36.474299999999999</v>
      </c>
      <c r="I1027" s="11">
        <f>36.4785 * CHOOSE(CONTROL!$C$32, $C$9, 100%, $E$9)</f>
        <v>36.478499999999997</v>
      </c>
      <c r="J1027" s="11">
        <f>36.4743 * CHOOSE(CONTROL!$C$32, $C$9, 100%, $E$9)</f>
        <v>36.474299999999999</v>
      </c>
      <c r="K1027" s="11">
        <f>36.4785 * CHOOSE(CONTROL!$C$32, $C$9, 100%, $E$9)</f>
        <v>36.478499999999997</v>
      </c>
      <c r="L1027" s="11">
        <f>10.7881 * CHOOSE(CONTROL!$C$32, $C$9, 100%, $E$9)</f>
        <v>10.7881</v>
      </c>
      <c r="M1027" s="11">
        <f>10.7923 * CHOOSE(CONTROL!$C$32, $C$9, 100%, $E$9)</f>
        <v>10.792299999999999</v>
      </c>
      <c r="N1027" s="11">
        <f>10.7881 * CHOOSE(CONTROL!$C$32, $C$9, 100%, $E$9)</f>
        <v>10.7881</v>
      </c>
      <c r="O1027" s="11">
        <f>10.7923 * CHOOSE(CONTROL!$C$32, $C$9, 100%, $E$9)</f>
        <v>10.792299999999999</v>
      </c>
    </row>
    <row r="1028" spans="1:15" ht="15" x14ac:dyDescent="0.2">
      <c r="A1028" s="13">
        <v>72137</v>
      </c>
      <c r="B1028" s="9">
        <f>15.3797 * CHOOSE(CONTROL!$C$32, $C$9, 100%, $E$9)</f>
        <v>15.3797</v>
      </c>
      <c r="C1028" s="9">
        <f>15.3797 * CHOOSE(CONTROL!$C$32, $C$9, 100%, $E$9)</f>
        <v>15.3797</v>
      </c>
      <c r="D1028" s="9">
        <f>15.3809 * CHOOSE(CONTROL!$C$32, $C$9, 100%, $E$9)</f>
        <v>15.3809</v>
      </c>
      <c r="E1028" s="11">
        <f>10.8647 * CHOOSE(CONTROL!$C$32, $C$9, 100%, $E$9)</f>
        <v>10.864699999999999</v>
      </c>
      <c r="F1028" s="11">
        <f>10.8647 * CHOOSE(CONTROL!$C$32, $C$9, 100%, $E$9)</f>
        <v>10.864699999999999</v>
      </c>
      <c r="G1028" s="11">
        <f>10.8689 * CHOOSE(CONTROL!$C$32, $C$9, 100%, $E$9)</f>
        <v>10.8689</v>
      </c>
      <c r="H1028" s="11">
        <f>36.5503 * CHOOSE(CONTROL!$C$32, $C$9, 100%, $E$9)</f>
        <v>36.5503</v>
      </c>
      <c r="I1028" s="11">
        <f>36.5545 * CHOOSE(CONTROL!$C$32, $C$9, 100%, $E$9)</f>
        <v>36.554499999999997</v>
      </c>
      <c r="J1028" s="11">
        <f>36.5503 * CHOOSE(CONTROL!$C$32, $C$9, 100%, $E$9)</f>
        <v>36.5503</v>
      </c>
      <c r="K1028" s="11">
        <f>36.5545 * CHOOSE(CONTROL!$C$32, $C$9, 100%, $E$9)</f>
        <v>36.554499999999997</v>
      </c>
      <c r="L1028" s="11">
        <f>10.8647 * CHOOSE(CONTROL!$C$32, $C$9, 100%, $E$9)</f>
        <v>10.864699999999999</v>
      </c>
      <c r="M1028" s="11">
        <f>10.8689 * CHOOSE(CONTROL!$C$32, $C$9, 100%, $E$9)</f>
        <v>10.8689</v>
      </c>
      <c r="N1028" s="11">
        <f>10.8647 * CHOOSE(CONTROL!$C$32, $C$9, 100%, $E$9)</f>
        <v>10.864699999999999</v>
      </c>
      <c r="O1028" s="11">
        <f>10.8689 * CHOOSE(CONTROL!$C$32, $C$9, 100%, $E$9)</f>
        <v>10.8689</v>
      </c>
    </row>
    <row r="1029" spans="1:15" ht="15" x14ac:dyDescent="0.2">
      <c r="A1029" s="13">
        <v>72168</v>
      </c>
      <c r="B1029" s="9">
        <f>15.3863 * CHOOSE(CONTROL!$C$32, $C$9, 100%, $E$9)</f>
        <v>15.3863</v>
      </c>
      <c r="C1029" s="9">
        <f>15.3863 * CHOOSE(CONTROL!$C$32, $C$9, 100%, $E$9)</f>
        <v>15.3863</v>
      </c>
      <c r="D1029" s="9">
        <f>15.3876 * CHOOSE(CONTROL!$C$32, $C$9, 100%, $E$9)</f>
        <v>15.387600000000001</v>
      </c>
      <c r="E1029" s="11">
        <f>10.412 * CHOOSE(CONTROL!$C$32, $C$9, 100%, $E$9)</f>
        <v>10.412000000000001</v>
      </c>
      <c r="F1029" s="11">
        <f>10.412 * CHOOSE(CONTROL!$C$32, $C$9, 100%, $E$9)</f>
        <v>10.412000000000001</v>
      </c>
      <c r="G1029" s="11">
        <f>10.4162 * CHOOSE(CONTROL!$C$32, $C$9, 100%, $E$9)</f>
        <v>10.4162</v>
      </c>
      <c r="H1029" s="11">
        <f>36.6265 * CHOOSE(CONTROL!$C$32, $C$9, 100%, $E$9)</f>
        <v>36.6265</v>
      </c>
      <c r="I1029" s="11">
        <f>36.6307 * CHOOSE(CONTROL!$C$32, $C$9, 100%, $E$9)</f>
        <v>36.630699999999997</v>
      </c>
      <c r="J1029" s="11">
        <f>36.6265 * CHOOSE(CONTROL!$C$32, $C$9, 100%, $E$9)</f>
        <v>36.6265</v>
      </c>
      <c r="K1029" s="11">
        <f>36.6307 * CHOOSE(CONTROL!$C$32, $C$9, 100%, $E$9)</f>
        <v>36.630699999999997</v>
      </c>
      <c r="L1029" s="11">
        <f>10.412 * CHOOSE(CONTROL!$C$32, $C$9, 100%, $E$9)</f>
        <v>10.412000000000001</v>
      </c>
      <c r="M1029" s="11">
        <f>10.4162 * CHOOSE(CONTROL!$C$32, $C$9, 100%, $E$9)</f>
        <v>10.4162</v>
      </c>
      <c r="N1029" s="11">
        <f>10.412 * CHOOSE(CONTROL!$C$32, $C$9, 100%, $E$9)</f>
        <v>10.412000000000001</v>
      </c>
      <c r="O1029" s="11">
        <f>10.4162 * CHOOSE(CONTROL!$C$32, $C$9, 100%, $E$9)</f>
        <v>10.4162</v>
      </c>
    </row>
    <row r="1030" spans="1:15" ht="15" x14ac:dyDescent="0.2">
      <c r="A1030" s="13">
        <v>72199</v>
      </c>
      <c r="B1030" s="9">
        <f>15.3833 * CHOOSE(CONTROL!$C$32, $C$9, 100%, $E$9)</f>
        <v>15.3833</v>
      </c>
      <c r="C1030" s="9">
        <f>15.3833 * CHOOSE(CONTROL!$C$32, $C$9, 100%, $E$9)</f>
        <v>15.3833</v>
      </c>
      <c r="D1030" s="9">
        <f>15.3845 * CHOOSE(CONTROL!$C$32, $C$9, 100%, $E$9)</f>
        <v>15.384499999999999</v>
      </c>
      <c r="E1030" s="11">
        <f>10.359 * CHOOSE(CONTROL!$C$32, $C$9, 100%, $E$9)</f>
        <v>10.359</v>
      </c>
      <c r="F1030" s="11">
        <f>10.359 * CHOOSE(CONTROL!$C$32, $C$9, 100%, $E$9)</f>
        <v>10.359</v>
      </c>
      <c r="G1030" s="11">
        <f>10.3632 * CHOOSE(CONTROL!$C$32, $C$9, 100%, $E$9)</f>
        <v>10.363200000000001</v>
      </c>
      <c r="H1030" s="11">
        <f>36.7028 * CHOOSE(CONTROL!$C$32, $C$9, 100%, $E$9)</f>
        <v>36.702800000000003</v>
      </c>
      <c r="I1030" s="11">
        <f>36.707 * CHOOSE(CONTROL!$C$32, $C$9, 100%, $E$9)</f>
        <v>36.707000000000001</v>
      </c>
      <c r="J1030" s="11">
        <f>36.7028 * CHOOSE(CONTROL!$C$32, $C$9, 100%, $E$9)</f>
        <v>36.702800000000003</v>
      </c>
      <c r="K1030" s="11">
        <f>36.707 * CHOOSE(CONTROL!$C$32, $C$9, 100%, $E$9)</f>
        <v>36.707000000000001</v>
      </c>
      <c r="L1030" s="11">
        <f>10.359 * CHOOSE(CONTROL!$C$32, $C$9, 100%, $E$9)</f>
        <v>10.359</v>
      </c>
      <c r="M1030" s="11">
        <f>10.3632 * CHOOSE(CONTROL!$C$32, $C$9, 100%, $E$9)</f>
        <v>10.363200000000001</v>
      </c>
      <c r="N1030" s="11">
        <f>10.359 * CHOOSE(CONTROL!$C$32, $C$9, 100%, $E$9)</f>
        <v>10.359</v>
      </c>
      <c r="O1030" s="11">
        <f>10.3632 * CHOOSE(CONTROL!$C$32, $C$9, 100%, $E$9)</f>
        <v>10.363200000000001</v>
      </c>
    </row>
    <row r="1031" spans="1:15" ht="15" x14ac:dyDescent="0.2">
      <c r="A1031" s="13">
        <v>72229</v>
      </c>
      <c r="B1031" s="9">
        <f>15.4209 * CHOOSE(CONTROL!$C$32, $C$9, 100%, $E$9)</f>
        <v>15.4209</v>
      </c>
      <c r="C1031" s="9">
        <f>15.4209 * CHOOSE(CONTROL!$C$32, $C$9, 100%, $E$9)</f>
        <v>15.4209</v>
      </c>
      <c r="D1031" s="9">
        <f>15.4219 * CHOOSE(CONTROL!$C$32, $C$9, 100%, $E$9)</f>
        <v>15.421900000000001</v>
      </c>
      <c r="E1031" s="11">
        <f>10.5489 * CHOOSE(CONTROL!$C$32, $C$9, 100%, $E$9)</f>
        <v>10.5489</v>
      </c>
      <c r="F1031" s="11">
        <f>10.5489 * CHOOSE(CONTROL!$C$32, $C$9, 100%, $E$9)</f>
        <v>10.5489</v>
      </c>
      <c r="G1031" s="11">
        <f>10.5521 * CHOOSE(CONTROL!$C$32, $C$9, 100%, $E$9)</f>
        <v>10.552099999999999</v>
      </c>
      <c r="H1031" s="11">
        <f>36.7792 * CHOOSE(CONTROL!$C$32, $C$9, 100%, $E$9)</f>
        <v>36.779200000000003</v>
      </c>
      <c r="I1031" s="11">
        <f>36.7825 * CHOOSE(CONTROL!$C$32, $C$9, 100%, $E$9)</f>
        <v>36.782499999999999</v>
      </c>
      <c r="J1031" s="11">
        <f>36.7792 * CHOOSE(CONTROL!$C$32, $C$9, 100%, $E$9)</f>
        <v>36.779200000000003</v>
      </c>
      <c r="K1031" s="11">
        <f>36.7825 * CHOOSE(CONTROL!$C$32, $C$9, 100%, $E$9)</f>
        <v>36.782499999999999</v>
      </c>
      <c r="L1031" s="11">
        <f>10.5489 * CHOOSE(CONTROL!$C$32, $C$9, 100%, $E$9)</f>
        <v>10.5489</v>
      </c>
      <c r="M1031" s="11">
        <f>10.5521 * CHOOSE(CONTROL!$C$32, $C$9, 100%, $E$9)</f>
        <v>10.552099999999999</v>
      </c>
      <c r="N1031" s="11">
        <f>10.5489 * CHOOSE(CONTROL!$C$32, $C$9, 100%, $E$9)</f>
        <v>10.5489</v>
      </c>
      <c r="O1031" s="11">
        <f>10.5521 * CHOOSE(CONTROL!$C$32, $C$9, 100%, $E$9)</f>
        <v>10.552099999999999</v>
      </c>
    </row>
    <row r="1032" spans="1:15" ht="15" x14ac:dyDescent="0.2">
      <c r="A1032" s="13">
        <v>72260</v>
      </c>
      <c r="B1032" s="9">
        <f>15.424 * CHOOSE(CONTROL!$C$32, $C$9, 100%, $E$9)</f>
        <v>15.423999999999999</v>
      </c>
      <c r="C1032" s="9">
        <f>15.424 * CHOOSE(CONTROL!$C$32, $C$9, 100%, $E$9)</f>
        <v>15.423999999999999</v>
      </c>
      <c r="D1032" s="9">
        <f>15.4249 * CHOOSE(CONTROL!$C$32, $C$9, 100%, $E$9)</f>
        <v>15.424899999999999</v>
      </c>
      <c r="E1032" s="11">
        <f>10.6527 * CHOOSE(CONTROL!$C$32, $C$9, 100%, $E$9)</f>
        <v>10.652699999999999</v>
      </c>
      <c r="F1032" s="11">
        <f>10.6527 * CHOOSE(CONTROL!$C$32, $C$9, 100%, $E$9)</f>
        <v>10.652699999999999</v>
      </c>
      <c r="G1032" s="11">
        <f>10.6559 * CHOOSE(CONTROL!$C$32, $C$9, 100%, $E$9)</f>
        <v>10.655900000000001</v>
      </c>
      <c r="H1032" s="11">
        <f>36.8559 * CHOOSE(CONTROL!$C$32, $C$9, 100%, $E$9)</f>
        <v>36.855899999999998</v>
      </c>
      <c r="I1032" s="11">
        <f>36.8591 * CHOOSE(CONTROL!$C$32, $C$9, 100%, $E$9)</f>
        <v>36.859099999999998</v>
      </c>
      <c r="J1032" s="11">
        <f>36.8559 * CHOOSE(CONTROL!$C$32, $C$9, 100%, $E$9)</f>
        <v>36.855899999999998</v>
      </c>
      <c r="K1032" s="11">
        <f>36.8591 * CHOOSE(CONTROL!$C$32, $C$9, 100%, $E$9)</f>
        <v>36.859099999999998</v>
      </c>
      <c r="L1032" s="11">
        <f>10.6527 * CHOOSE(CONTROL!$C$32, $C$9, 100%, $E$9)</f>
        <v>10.652699999999999</v>
      </c>
      <c r="M1032" s="11">
        <f>10.6559 * CHOOSE(CONTROL!$C$32, $C$9, 100%, $E$9)</f>
        <v>10.655900000000001</v>
      </c>
      <c r="N1032" s="11">
        <f>10.6527 * CHOOSE(CONTROL!$C$32, $C$9, 100%, $E$9)</f>
        <v>10.652699999999999</v>
      </c>
      <c r="O1032" s="11">
        <f>10.6559 * CHOOSE(CONTROL!$C$32, $C$9, 100%, $E$9)</f>
        <v>10.655900000000001</v>
      </c>
    </row>
    <row r="1033" spans="1:15" ht="15" x14ac:dyDescent="0.2">
      <c r="A1033" s="13">
        <v>72290</v>
      </c>
      <c r="B1033" s="9">
        <f>15.424 * CHOOSE(CONTROL!$C$32, $C$9, 100%, $E$9)</f>
        <v>15.423999999999999</v>
      </c>
      <c r="C1033" s="9">
        <f>15.424 * CHOOSE(CONTROL!$C$32, $C$9, 100%, $E$9)</f>
        <v>15.423999999999999</v>
      </c>
      <c r="D1033" s="9">
        <f>15.4249 * CHOOSE(CONTROL!$C$32, $C$9, 100%, $E$9)</f>
        <v>15.424899999999999</v>
      </c>
      <c r="E1033" s="11">
        <f>10.3985 * CHOOSE(CONTROL!$C$32, $C$9, 100%, $E$9)</f>
        <v>10.3985</v>
      </c>
      <c r="F1033" s="11">
        <f>10.3985 * CHOOSE(CONTROL!$C$32, $C$9, 100%, $E$9)</f>
        <v>10.3985</v>
      </c>
      <c r="G1033" s="11">
        <f>10.4018 * CHOOSE(CONTROL!$C$32, $C$9, 100%, $E$9)</f>
        <v>10.4018</v>
      </c>
      <c r="H1033" s="11">
        <f>36.9326 * CHOOSE(CONTROL!$C$32, $C$9, 100%, $E$9)</f>
        <v>36.932600000000001</v>
      </c>
      <c r="I1033" s="11">
        <f>36.9359 * CHOOSE(CONTROL!$C$32, $C$9, 100%, $E$9)</f>
        <v>36.935899999999997</v>
      </c>
      <c r="J1033" s="11">
        <f>36.9326 * CHOOSE(CONTROL!$C$32, $C$9, 100%, $E$9)</f>
        <v>36.932600000000001</v>
      </c>
      <c r="K1033" s="11">
        <f>36.9359 * CHOOSE(CONTROL!$C$32, $C$9, 100%, $E$9)</f>
        <v>36.935899999999997</v>
      </c>
      <c r="L1033" s="11">
        <f>10.3985 * CHOOSE(CONTROL!$C$32, $C$9, 100%, $E$9)</f>
        <v>10.3985</v>
      </c>
      <c r="M1033" s="11">
        <f>10.4018 * CHOOSE(CONTROL!$C$32, $C$9, 100%, $E$9)</f>
        <v>10.4018</v>
      </c>
      <c r="N1033" s="11">
        <f>10.3985 * CHOOSE(CONTROL!$C$32, $C$9, 100%, $E$9)</f>
        <v>10.3985</v>
      </c>
      <c r="O1033" s="11">
        <f>10.4018 * CHOOSE(CONTROL!$C$32, $C$9, 100%, $E$9)</f>
        <v>10.4018</v>
      </c>
    </row>
    <row r="1034" spans="1:15" ht="15" x14ac:dyDescent="0.2">
      <c r="A1034" s="13">
        <v>72321</v>
      </c>
      <c r="B1034" s="9">
        <f>15.3771 * CHOOSE(CONTROL!$C$32, $C$9, 100%, $E$9)</f>
        <v>15.3771</v>
      </c>
      <c r="C1034" s="9">
        <f>15.3771 * CHOOSE(CONTROL!$C$32, $C$9, 100%, $E$9)</f>
        <v>15.3771</v>
      </c>
      <c r="D1034" s="9">
        <f>15.3781 * CHOOSE(CONTROL!$C$32, $C$9, 100%, $E$9)</f>
        <v>15.3781</v>
      </c>
      <c r="E1034" s="11">
        <f>10.5647 * CHOOSE(CONTROL!$C$32, $C$9, 100%, $E$9)</f>
        <v>10.5647</v>
      </c>
      <c r="F1034" s="11">
        <f>10.5647 * CHOOSE(CONTROL!$C$32, $C$9, 100%, $E$9)</f>
        <v>10.5647</v>
      </c>
      <c r="G1034" s="11">
        <f>10.5679 * CHOOSE(CONTROL!$C$32, $C$9, 100%, $E$9)</f>
        <v>10.5679</v>
      </c>
      <c r="H1034" s="11">
        <f>36.5683 * CHOOSE(CONTROL!$C$32, $C$9, 100%, $E$9)</f>
        <v>36.568300000000001</v>
      </c>
      <c r="I1034" s="11">
        <f>36.5716 * CHOOSE(CONTROL!$C$32, $C$9, 100%, $E$9)</f>
        <v>36.571599999999997</v>
      </c>
      <c r="J1034" s="11">
        <f>36.5683 * CHOOSE(CONTROL!$C$32, $C$9, 100%, $E$9)</f>
        <v>36.568300000000001</v>
      </c>
      <c r="K1034" s="11">
        <f>36.5716 * CHOOSE(CONTROL!$C$32, $C$9, 100%, $E$9)</f>
        <v>36.571599999999997</v>
      </c>
      <c r="L1034" s="11">
        <f>10.5647 * CHOOSE(CONTROL!$C$32, $C$9, 100%, $E$9)</f>
        <v>10.5647</v>
      </c>
      <c r="M1034" s="11">
        <f>10.5679 * CHOOSE(CONTROL!$C$32, $C$9, 100%, $E$9)</f>
        <v>10.5679</v>
      </c>
      <c r="N1034" s="11">
        <f>10.5647 * CHOOSE(CONTROL!$C$32, $C$9, 100%, $E$9)</f>
        <v>10.5647</v>
      </c>
      <c r="O1034" s="11">
        <f>10.5679 * CHOOSE(CONTROL!$C$32, $C$9, 100%, $E$9)</f>
        <v>10.5679</v>
      </c>
    </row>
    <row r="1035" spans="1:15" ht="15" x14ac:dyDescent="0.2">
      <c r="A1035" s="13">
        <v>72352</v>
      </c>
      <c r="B1035" s="9">
        <f>15.3741 * CHOOSE(CONTROL!$C$32, $C$9, 100%, $E$9)</f>
        <v>15.3741</v>
      </c>
      <c r="C1035" s="9">
        <f>15.3741 * CHOOSE(CONTROL!$C$32, $C$9, 100%, $E$9)</f>
        <v>15.3741</v>
      </c>
      <c r="D1035" s="9">
        <f>15.375 * CHOOSE(CONTROL!$C$32, $C$9, 100%, $E$9)</f>
        <v>15.375</v>
      </c>
      <c r="E1035" s="11">
        <f>10.0752 * CHOOSE(CONTROL!$C$32, $C$9, 100%, $E$9)</f>
        <v>10.075200000000001</v>
      </c>
      <c r="F1035" s="11">
        <f>10.0752 * CHOOSE(CONTROL!$C$32, $C$9, 100%, $E$9)</f>
        <v>10.075200000000001</v>
      </c>
      <c r="G1035" s="11">
        <f>10.0785 * CHOOSE(CONTROL!$C$32, $C$9, 100%, $E$9)</f>
        <v>10.0785</v>
      </c>
      <c r="H1035" s="11">
        <f>36.6445 * CHOOSE(CONTROL!$C$32, $C$9, 100%, $E$9)</f>
        <v>36.644500000000001</v>
      </c>
      <c r="I1035" s="11">
        <f>36.6477 * CHOOSE(CONTROL!$C$32, $C$9, 100%, $E$9)</f>
        <v>36.6477</v>
      </c>
      <c r="J1035" s="11">
        <f>36.6445 * CHOOSE(CONTROL!$C$32, $C$9, 100%, $E$9)</f>
        <v>36.644500000000001</v>
      </c>
      <c r="K1035" s="11">
        <f>36.6477 * CHOOSE(CONTROL!$C$32, $C$9, 100%, $E$9)</f>
        <v>36.6477</v>
      </c>
      <c r="L1035" s="11">
        <f>10.0752 * CHOOSE(CONTROL!$C$32, $C$9, 100%, $E$9)</f>
        <v>10.075200000000001</v>
      </c>
      <c r="M1035" s="11">
        <f>10.0785 * CHOOSE(CONTROL!$C$32, $C$9, 100%, $E$9)</f>
        <v>10.0785</v>
      </c>
      <c r="N1035" s="11">
        <f>10.0752 * CHOOSE(CONTROL!$C$32, $C$9, 100%, $E$9)</f>
        <v>10.075200000000001</v>
      </c>
      <c r="O1035" s="11">
        <f>10.0785 * CHOOSE(CONTROL!$C$32, $C$9, 100%, $E$9)</f>
        <v>10.0785</v>
      </c>
    </row>
    <row r="1036" spans="1:15" ht="15" x14ac:dyDescent="0.2">
      <c r="A1036" s="13">
        <v>72380</v>
      </c>
      <c r="B1036" s="9">
        <f>15.371 * CHOOSE(CONTROL!$C$32, $C$9, 100%, $E$9)</f>
        <v>15.371</v>
      </c>
      <c r="C1036" s="9">
        <f>15.371 * CHOOSE(CONTROL!$C$32, $C$9, 100%, $E$9)</f>
        <v>15.371</v>
      </c>
      <c r="D1036" s="9">
        <f>15.372 * CHOOSE(CONTROL!$C$32, $C$9, 100%, $E$9)</f>
        <v>15.372</v>
      </c>
      <c r="E1036" s="11">
        <f>10.4573 * CHOOSE(CONTROL!$C$32, $C$9, 100%, $E$9)</f>
        <v>10.4573</v>
      </c>
      <c r="F1036" s="11">
        <f>10.4573 * CHOOSE(CONTROL!$C$32, $C$9, 100%, $E$9)</f>
        <v>10.4573</v>
      </c>
      <c r="G1036" s="11">
        <f>10.4605 * CHOOSE(CONTROL!$C$32, $C$9, 100%, $E$9)</f>
        <v>10.4605</v>
      </c>
      <c r="H1036" s="11">
        <f>36.7209 * CHOOSE(CONTROL!$C$32, $C$9, 100%, $E$9)</f>
        <v>36.7209</v>
      </c>
      <c r="I1036" s="11">
        <f>36.7241 * CHOOSE(CONTROL!$C$32, $C$9, 100%, $E$9)</f>
        <v>36.7241</v>
      </c>
      <c r="J1036" s="11">
        <f>36.7209 * CHOOSE(CONTROL!$C$32, $C$9, 100%, $E$9)</f>
        <v>36.7209</v>
      </c>
      <c r="K1036" s="11">
        <f>36.7241 * CHOOSE(CONTROL!$C$32, $C$9, 100%, $E$9)</f>
        <v>36.7241</v>
      </c>
      <c r="L1036" s="11">
        <f>10.4573 * CHOOSE(CONTROL!$C$32, $C$9, 100%, $E$9)</f>
        <v>10.4573</v>
      </c>
      <c r="M1036" s="11">
        <f>10.4605 * CHOOSE(CONTROL!$C$32, $C$9, 100%, $E$9)</f>
        <v>10.4605</v>
      </c>
      <c r="N1036" s="11">
        <f>10.4573 * CHOOSE(CONTROL!$C$32, $C$9, 100%, $E$9)</f>
        <v>10.4573</v>
      </c>
      <c r="O1036" s="11">
        <f>10.4605 * CHOOSE(CONTROL!$C$32, $C$9, 100%, $E$9)</f>
        <v>10.4605</v>
      </c>
    </row>
    <row r="1037" spans="1:15" ht="15" x14ac:dyDescent="0.2">
      <c r="A1037" s="13">
        <v>72411</v>
      </c>
      <c r="B1037" s="9">
        <f>15.3797 * CHOOSE(CONTROL!$C$32, $C$9, 100%, $E$9)</f>
        <v>15.3797</v>
      </c>
      <c r="C1037" s="9">
        <f>15.3797 * CHOOSE(CONTROL!$C$32, $C$9, 100%, $E$9)</f>
        <v>15.3797</v>
      </c>
      <c r="D1037" s="9">
        <f>15.3807 * CHOOSE(CONTROL!$C$32, $C$9, 100%, $E$9)</f>
        <v>15.380699999999999</v>
      </c>
      <c r="E1037" s="11">
        <f>10.8656 * CHOOSE(CONTROL!$C$32, $C$9, 100%, $E$9)</f>
        <v>10.865600000000001</v>
      </c>
      <c r="F1037" s="11">
        <f>10.8656 * CHOOSE(CONTROL!$C$32, $C$9, 100%, $E$9)</f>
        <v>10.865600000000001</v>
      </c>
      <c r="G1037" s="11">
        <f>10.8689 * CHOOSE(CONTROL!$C$32, $C$9, 100%, $E$9)</f>
        <v>10.8689</v>
      </c>
      <c r="H1037" s="11">
        <f>36.7974 * CHOOSE(CONTROL!$C$32, $C$9, 100%, $E$9)</f>
        <v>36.797400000000003</v>
      </c>
      <c r="I1037" s="11">
        <f>36.8006 * CHOOSE(CONTROL!$C$32, $C$9, 100%, $E$9)</f>
        <v>36.800600000000003</v>
      </c>
      <c r="J1037" s="11">
        <f>36.7974 * CHOOSE(CONTROL!$C$32, $C$9, 100%, $E$9)</f>
        <v>36.797400000000003</v>
      </c>
      <c r="K1037" s="11">
        <f>36.8006 * CHOOSE(CONTROL!$C$32, $C$9, 100%, $E$9)</f>
        <v>36.800600000000003</v>
      </c>
      <c r="L1037" s="11">
        <f>10.8656 * CHOOSE(CONTROL!$C$32, $C$9, 100%, $E$9)</f>
        <v>10.865600000000001</v>
      </c>
      <c r="M1037" s="11">
        <f>10.8689 * CHOOSE(CONTROL!$C$32, $C$9, 100%, $E$9)</f>
        <v>10.8689</v>
      </c>
      <c r="N1037" s="11">
        <f>10.8656 * CHOOSE(CONTROL!$C$32, $C$9, 100%, $E$9)</f>
        <v>10.865600000000001</v>
      </c>
      <c r="O1037" s="11">
        <f>10.8689 * CHOOSE(CONTROL!$C$32, $C$9, 100%, $E$9)</f>
        <v>10.8689</v>
      </c>
    </row>
    <row r="1038" spans="1:15" ht="15" x14ac:dyDescent="0.2">
      <c r="A1038" s="13">
        <v>72441</v>
      </c>
      <c r="B1038" s="9">
        <f>15.3797 * CHOOSE(CONTROL!$C$32, $C$9, 100%, $E$9)</f>
        <v>15.3797</v>
      </c>
      <c r="C1038" s="9">
        <f>15.3797 * CHOOSE(CONTROL!$C$32, $C$9, 100%, $E$9)</f>
        <v>15.3797</v>
      </c>
      <c r="D1038" s="9">
        <f>15.381 * CHOOSE(CONTROL!$C$32, $C$9, 100%, $E$9)</f>
        <v>15.381</v>
      </c>
      <c r="E1038" s="11">
        <f>11.0203 * CHOOSE(CONTROL!$C$32, $C$9, 100%, $E$9)</f>
        <v>11.020300000000001</v>
      </c>
      <c r="F1038" s="11">
        <f>11.0203 * CHOOSE(CONTROL!$C$32, $C$9, 100%, $E$9)</f>
        <v>11.020300000000001</v>
      </c>
      <c r="G1038" s="11">
        <f>11.0245 * CHOOSE(CONTROL!$C$32, $C$9, 100%, $E$9)</f>
        <v>11.0245</v>
      </c>
      <c r="H1038" s="11">
        <f>36.874 * CHOOSE(CONTROL!$C$32, $C$9, 100%, $E$9)</f>
        <v>36.874000000000002</v>
      </c>
      <c r="I1038" s="11">
        <f>36.8782 * CHOOSE(CONTROL!$C$32, $C$9, 100%, $E$9)</f>
        <v>36.8782</v>
      </c>
      <c r="J1038" s="11">
        <f>36.874 * CHOOSE(CONTROL!$C$32, $C$9, 100%, $E$9)</f>
        <v>36.874000000000002</v>
      </c>
      <c r="K1038" s="11">
        <f>36.8782 * CHOOSE(CONTROL!$C$32, $C$9, 100%, $E$9)</f>
        <v>36.8782</v>
      </c>
      <c r="L1038" s="11">
        <f>11.0203 * CHOOSE(CONTROL!$C$32, $C$9, 100%, $E$9)</f>
        <v>11.020300000000001</v>
      </c>
      <c r="M1038" s="11">
        <f>11.0245 * CHOOSE(CONTROL!$C$32, $C$9, 100%, $E$9)</f>
        <v>11.0245</v>
      </c>
      <c r="N1038" s="11">
        <f>11.0203 * CHOOSE(CONTROL!$C$32, $C$9, 100%, $E$9)</f>
        <v>11.020300000000001</v>
      </c>
      <c r="O1038" s="11">
        <f>11.0245 * CHOOSE(CONTROL!$C$32, $C$9, 100%, $E$9)</f>
        <v>11.0245</v>
      </c>
    </row>
    <row r="1039" spans="1:15" ht="15" x14ac:dyDescent="0.2">
      <c r="A1039" s="13">
        <v>72472</v>
      </c>
      <c r="B1039" s="9">
        <f>15.3858 * CHOOSE(CONTROL!$C$32, $C$9, 100%, $E$9)</f>
        <v>15.3858</v>
      </c>
      <c r="C1039" s="9">
        <f>15.3858 * CHOOSE(CONTROL!$C$32, $C$9, 100%, $E$9)</f>
        <v>15.3858</v>
      </c>
      <c r="D1039" s="9">
        <f>15.387 * CHOOSE(CONTROL!$C$32, $C$9, 100%, $E$9)</f>
        <v>15.387</v>
      </c>
      <c r="E1039" s="11">
        <f>10.8699 * CHOOSE(CONTROL!$C$32, $C$9, 100%, $E$9)</f>
        <v>10.869899999999999</v>
      </c>
      <c r="F1039" s="11">
        <f>10.8699 * CHOOSE(CONTROL!$C$32, $C$9, 100%, $E$9)</f>
        <v>10.869899999999999</v>
      </c>
      <c r="G1039" s="11">
        <f>10.8741 * CHOOSE(CONTROL!$C$32, $C$9, 100%, $E$9)</f>
        <v>10.8741</v>
      </c>
      <c r="H1039" s="11">
        <f>36.9508 * CHOOSE(CONTROL!$C$32, $C$9, 100%, $E$9)</f>
        <v>36.950800000000001</v>
      </c>
      <c r="I1039" s="11">
        <f>36.955 * CHOOSE(CONTROL!$C$32, $C$9, 100%, $E$9)</f>
        <v>36.954999999999998</v>
      </c>
      <c r="J1039" s="11">
        <f>36.9508 * CHOOSE(CONTROL!$C$32, $C$9, 100%, $E$9)</f>
        <v>36.950800000000001</v>
      </c>
      <c r="K1039" s="11">
        <f>36.955 * CHOOSE(CONTROL!$C$32, $C$9, 100%, $E$9)</f>
        <v>36.954999999999998</v>
      </c>
      <c r="L1039" s="11">
        <f>10.8699 * CHOOSE(CONTROL!$C$32, $C$9, 100%, $E$9)</f>
        <v>10.869899999999999</v>
      </c>
      <c r="M1039" s="11">
        <f>10.8741 * CHOOSE(CONTROL!$C$32, $C$9, 100%, $E$9)</f>
        <v>10.8741</v>
      </c>
      <c r="N1039" s="11">
        <f>10.8699 * CHOOSE(CONTROL!$C$32, $C$9, 100%, $E$9)</f>
        <v>10.869899999999999</v>
      </c>
      <c r="O1039" s="11">
        <f>10.8741 * CHOOSE(CONTROL!$C$32, $C$9, 100%, $E$9)</f>
        <v>10.8741</v>
      </c>
    </row>
    <row r="1040" spans="1:15" ht="15" x14ac:dyDescent="0.2">
      <c r="A1040" s="13">
        <v>72502</v>
      </c>
      <c r="B1040" s="9">
        <f>15.5692 * CHOOSE(CONTROL!$C$32, $C$9, 100%, $E$9)</f>
        <v>15.5692</v>
      </c>
      <c r="C1040" s="9">
        <f>15.5692 * CHOOSE(CONTROL!$C$32, $C$9, 100%, $E$9)</f>
        <v>15.5692</v>
      </c>
      <c r="D1040" s="9">
        <f>15.5705 * CHOOSE(CONTROL!$C$32, $C$9, 100%, $E$9)</f>
        <v>15.570499999999999</v>
      </c>
      <c r="E1040" s="11">
        <f>10.9476 * CHOOSE(CONTROL!$C$32, $C$9, 100%, $E$9)</f>
        <v>10.9476</v>
      </c>
      <c r="F1040" s="11">
        <f>10.9476 * CHOOSE(CONTROL!$C$32, $C$9, 100%, $E$9)</f>
        <v>10.9476</v>
      </c>
      <c r="G1040" s="11">
        <f>10.9518 * CHOOSE(CONTROL!$C$32, $C$9, 100%, $E$9)</f>
        <v>10.9518</v>
      </c>
      <c r="H1040" s="11">
        <f>37.0278 * CHOOSE(CONTROL!$C$32, $C$9, 100%, $E$9)</f>
        <v>37.027799999999999</v>
      </c>
      <c r="I1040" s="11">
        <f>37.032 * CHOOSE(CONTROL!$C$32, $C$9, 100%, $E$9)</f>
        <v>37.031999999999996</v>
      </c>
      <c r="J1040" s="11">
        <f>37.0278 * CHOOSE(CONTROL!$C$32, $C$9, 100%, $E$9)</f>
        <v>37.027799999999999</v>
      </c>
      <c r="K1040" s="11">
        <f>37.032 * CHOOSE(CONTROL!$C$32, $C$9, 100%, $E$9)</f>
        <v>37.031999999999996</v>
      </c>
      <c r="L1040" s="11">
        <f>10.9476 * CHOOSE(CONTROL!$C$32, $C$9, 100%, $E$9)</f>
        <v>10.9476</v>
      </c>
      <c r="M1040" s="11">
        <f>10.9518 * CHOOSE(CONTROL!$C$32, $C$9, 100%, $E$9)</f>
        <v>10.9518</v>
      </c>
      <c r="N1040" s="11">
        <f>10.9476 * CHOOSE(CONTROL!$C$32, $C$9, 100%, $E$9)</f>
        <v>10.9476</v>
      </c>
      <c r="O1040" s="11">
        <f>10.9518 * CHOOSE(CONTROL!$C$32, $C$9, 100%, $E$9)</f>
        <v>10.9518</v>
      </c>
    </row>
    <row r="1041" spans="1:15" ht="15" x14ac:dyDescent="0.2">
      <c r="A1041" s="13">
        <v>72533</v>
      </c>
      <c r="B1041" s="9">
        <f>15.5759 * CHOOSE(CONTROL!$C$32, $C$9, 100%, $E$9)</f>
        <v>15.575900000000001</v>
      </c>
      <c r="C1041" s="9">
        <f>15.5759 * CHOOSE(CONTROL!$C$32, $C$9, 100%, $E$9)</f>
        <v>15.575900000000001</v>
      </c>
      <c r="D1041" s="9">
        <f>15.5772 * CHOOSE(CONTROL!$C$32, $C$9, 100%, $E$9)</f>
        <v>15.577199999999999</v>
      </c>
      <c r="E1041" s="11">
        <f>10.4881 * CHOOSE(CONTROL!$C$32, $C$9, 100%, $E$9)</f>
        <v>10.488099999999999</v>
      </c>
      <c r="F1041" s="11">
        <f>10.4881 * CHOOSE(CONTROL!$C$32, $C$9, 100%, $E$9)</f>
        <v>10.488099999999999</v>
      </c>
      <c r="G1041" s="11">
        <f>10.4923 * CHOOSE(CONTROL!$C$32, $C$9, 100%, $E$9)</f>
        <v>10.4923</v>
      </c>
      <c r="H1041" s="11">
        <f>37.105 * CHOOSE(CONTROL!$C$32, $C$9, 100%, $E$9)</f>
        <v>37.104999999999997</v>
      </c>
      <c r="I1041" s="11">
        <f>37.1092 * CHOOSE(CONTROL!$C$32, $C$9, 100%, $E$9)</f>
        <v>37.109200000000001</v>
      </c>
      <c r="J1041" s="11">
        <f>37.105 * CHOOSE(CONTROL!$C$32, $C$9, 100%, $E$9)</f>
        <v>37.104999999999997</v>
      </c>
      <c r="K1041" s="11">
        <f>37.1092 * CHOOSE(CONTROL!$C$32, $C$9, 100%, $E$9)</f>
        <v>37.109200000000001</v>
      </c>
      <c r="L1041" s="11">
        <f>10.4881 * CHOOSE(CONTROL!$C$32, $C$9, 100%, $E$9)</f>
        <v>10.488099999999999</v>
      </c>
      <c r="M1041" s="11">
        <f>10.4923 * CHOOSE(CONTROL!$C$32, $C$9, 100%, $E$9)</f>
        <v>10.4923</v>
      </c>
      <c r="N1041" s="11">
        <f>10.4881 * CHOOSE(CONTROL!$C$32, $C$9, 100%, $E$9)</f>
        <v>10.488099999999999</v>
      </c>
      <c r="O1041" s="11">
        <f>10.4923 * CHOOSE(CONTROL!$C$32, $C$9, 100%, $E$9)</f>
        <v>10.4923</v>
      </c>
    </row>
    <row r="1042" spans="1:15" ht="15" x14ac:dyDescent="0.2">
      <c r="A1042" s="13">
        <v>72564</v>
      </c>
      <c r="B1042" s="9">
        <f>15.5729 * CHOOSE(CONTROL!$C$32, $C$9, 100%, $E$9)</f>
        <v>15.572900000000001</v>
      </c>
      <c r="C1042" s="9">
        <f>15.5729 * CHOOSE(CONTROL!$C$32, $C$9, 100%, $E$9)</f>
        <v>15.572900000000001</v>
      </c>
      <c r="D1042" s="9">
        <f>15.5741 * CHOOSE(CONTROL!$C$32, $C$9, 100%, $E$9)</f>
        <v>15.5741</v>
      </c>
      <c r="E1042" s="11">
        <f>10.4344 * CHOOSE(CONTROL!$C$32, $C$9, 100%, $E$9)</f>
        <v>10.4344</v>
      </c>
      <c r="F1042" s="11">
        <f>10.4344 * CHOOSE(CONTROL!$C$32, $C$9, 100%, $E$9)</f>
        <v>10.4344</v>
      </c>
      <c r="G1042" s="11">
        <f>10.4386 * CHOOSE(CONTROL!$C$32, $C$9, 100%, $E$9)</f>
        <v>10.438599999999999</v>
      </c>
      <c r="H1042" s="11">
        <f>37.1823 * CHOOSE(CONTROL!$C$32, $C$9, 100%, $E$9)</f>
        <v>37.182299999999998</v>
      </c>
      <c r="I1042" s="11">
        <f>37.1865 * CHOOSE(CONTROL!$C$32, $C$9, 100%, $E$9)</f>
        <v>37.186500000000002</v>
      </c>
      <c r="J1042" s="11">
        <f>37.1823 * CHOOSE(CONTROL!$C$32, $C$9, 100%, $E$9)</f>
        <v>37.182299999999998</v>
      </c>
      <c r="K1042" s="11">
        <f>37.1865 * CHOOSE(CONTROL!$C$32, $C$9, 100%, $E$9)</f>
        <v>37.186500000000002</v>
      </c>
      <c r="L1042" s="11">
        <f>10.4344 * CHOOSE(CONTROL!$C$32, $C$9, 100%, $E$9)</f>
        <v>10.4344</v>
      </c>
      <c r="M1042" s="11">
        <f>10.4386 * CHOOSE(CONTROL!$C$32, $C$9, 100%, $E$9)</f>
        <v>10.438599999999999</v>
      </c>
      <c r="N1042" s="11">
        <f>10.4344 * CHOOSE(CONTROL!$C$32, $C$9, 100%, $E$9)</f>
        <v>10.4344</v>
      </c>
      <c r="O1042" s="11">
        <f>10.4386 * CHOOSE(CONTROL!$C$32, $C$9, 100%, $E$9)</f>
        <v>10.438599999999999</v>
      </c>
    </row>
    <row r="1043" spans="1:15" ht="15" x14ac:dyDescent="0.2">
      <c r="A1043" s="13">
        <v>72594</v>
      </c>
      <c r="B1043" s="9">
        <f>15.6112 * CHOOSE(CONTROL!$C$32, $C$9, 100%, $E$9)</f>
        <v>15.6112</v>
      </c>
      <c r="C1043" s="9">
        <f>15.6112 * CHOOSE(CONTROL!$C$32, $C$9, 100%, $E$9)</f>
        <v>15.6112</v>
      </c>
      <c r="D1043" s="9">
        <f>15.6122 * CHOOSE(CONTROL!$C$32, $C$9, 100%, $E$9)</f>
        <v>15.6122</v>
      </c>
      <c r="E1043" s="11">
        <f>10.6273 * CHOOSE(CONTROL!$C$32, $C$9, 100%, $E$9)</f>
        <v>10.6273</v>
      </c>
      <c r="F1043" s="11">
        <f>10.6273 * CHOOSE(CONTROL!$C$32, $C$9, 100%, $E$9)</f>
        <v>10.6273</v>
      </c>
      <c r="G1043" s="11">
        <f>10.6305 * CHOOSE(CONTROL!$C$32, $C$9, 100%, $E$9)</f>
        <v>10.6305</v>
      </c>
      <c r="H1043" s="11">
        <f>37.2597 * CHOOSE(CONTROL!$C$32, $C$9, 100%, $E$9)</f>
        <v>37.259700000000002</v>
      </c>
      <c r="I1043" s="11">
        <f>37.263 * CHOOSE(CONTROL!$C$32, $C$9, 100%, $E$9)</f>
        <v>37.262999999999998</v>
      </c>
      <c r="J1043" s="11">
        <f>37.2597 * CHOOSE(CONTROL!$C$32, $C$9, 100%, $E$9)</f>
        <v>37.259700000000002</v>
      </c>
      <c r="K1043" s="11">
        <f>37.263 * CHOOSE(CONTROL!$C$32, $C$9, 100%, $E$9)</f>
        <v>37.262999999999998</v>
      </c>
      <c r="L1043" s="11">
        <f>10.6273 * CHOOSE(CONTROL!$C$32, $C$9, 100%, $E$9)</f>
        <v>10.6273</v>
      </c>
      <c r="M1043" s="11">
        <f>10.6305 * CHOOSE(CONTROL!$C$32, $C$9, 100%, $E$9)</f>
        <v>10.6305</v>
      </c>
      <c r="N1043" s="11">
        <f>10.6273 * CHOOSE(CONTROL!$C$32, $C$9, 100%, $E$9)</f>
        <v>10.6273</v>
      </c>
      <c r="O1043" s="11">
        <f>10.6305 * CHOOSE(CONTROL!$C$32, $C$9, 100%, $E$9)</f>
        <v>10.6305</v>
      </c>
    </row>
    <row r="1044" spans="1:15" ht="15" x14ac:dyDescent="0.2">
      <c r="A1044" s="13">
        <v>72625</v>
      </c>
      <c r="B1044" s="9">
        <f>15.6143 * CHOOSE(CONTROL!$C$32, $C$9, 100%, $E$9)</f>
        <v>15.6143</v>
      </c>
      <c r="C1044" s="9">
        <f>15.6143 * CHOOSE(CONTROL!$C$32, $C$9, 100%, $E$9)</f>
        <v>15.6143</v>
      </c>
      <c r="D1044" s="9">
        <f>15.6152 * CHOOSE(CONTROL!$C$32, $C$9, 100%, $E$9)</f>
        <v>15.6152</v>
      </c>
      <c r="E1044" s="11">
        <f>10.7326 * CHOOSE(CONTROL!$C$32, $C$9, 100%, $E$9)</f>
        <v>10.7326</v>
      </c>
      <c r="F1044" s="11">
        <f>10.7326 * CHOOSE(CONTROL!$C$32, $C$9, 100%, $E$9)</f>
        <v>10.7326</v>
      </c>
      <c r="G1044" s="11">
        <f>10.7358 * CHOOSE(CONTROL!$C$32, $C$9, 100%, $E$9)</f>
        <v>10.735799999999999</v>
      </c>
      <c r="H1044" s="11">
        <f>37.3374 * CHOOSE(CONTROL!$C$32, $C$9, 100%, $E$9)</f>
        <v>37.337400000000002</v>
      </c>
      <c r="I1044" s="11">
        <f>37.3406 * CHOOSE(CONTROL!$C$32, $C$9, 100%, $E$9)</f>
        <v>37.340600000000002</v>
      </c>
      <c r="J1044" s="11">
        <f>37.3374 * CHOOSE(CONTROL!$C$32, $C$9, 100%, $E$9)</f>
        <v>37.337400000000002</v>
      </c>
      <c r="K1044" s="11">
        <f>37.3406 * CHOOSE(CONTROL!$C$32, $C$9, 100%, $E$9)</f>
        <v>37.340600000000002</v>
      </c>
      <c r="L1044" s="11">
        <f>10.7326 * CHOOSE(CONTROL!$C$32, $C$9, 100%, $E$9)</f>
        <v>10.7326</v>
      </c>
      <c r="M1044" s="11">
        <f>10.7358 * CHOOSE(CONTROL!$C$32, $C$9, 100%, $E$9)</f>
        <v>10.735799999999999</v>
      </c>
      <c r="N1044" s="11">
        <f>10.7326 * CHOOSE(CONTROL!$C$32, $C$9, 100%, $E$9)</f>
        <v>10.7326</v>
      </c>
      <c r="O1044" s="11">
        <f>10.7358 * CHOOSE(CONTROL!$C$32, $C$9, 100%, $E$9)</f>
        <v>10.735799999999999</v>
      </c>
    </row>
    <row r="1045" spans="1:15" ht="15" x14ac:dyDescent="0.2">
      <c r="A1045" s="13">
        <v>72655</v>
      </c>
      <c r="B1045" s="9">
        <f>15.6143 * CHOOSE(CONTROL!$C$32, $C$9, 100%, $E$9)</f>
        <v>15.6143</v>
      </c>
      <c r="C1045" s="9">
        <f>15.6143 * CHOOSE(CONTROL!$C$32, $C$9, 100%, $E$9)</f>
        <v>15.6143</v>
      </c>
      <c r="D1045" s="9">
        <f>15.6152 * CHOOSE(CONTROL!$C$32, $C$9, 100%, $E$9)</f>
        <v>15.6152</v>
      </c>
      <c r="E1045" s="11">
        <f>10.4747 * CHOOSE(CONTROL!$C$32, $C$9, 100%, $E$9)</f>
        <v>10.4747</v>
      </c>
      <c r="F1045" s="11">
        <f>10.4747 * CHOOSE(CONTROL!$C$32, $C$9, 100%, $E$9)</f>
        <v>10.4747</v>
      </c>
      <c r="G1045" s="11">
        <f>10.4779 * CHOOSE(CONTROL!$C$32, $C$9, 100%, $E$9)</f>
        <v>10.4779</v>
      </c>
      <c r="H1045" s="11">
        <f>37.4151 * CHOOSE(CONTROL!$C$32, $C$9, 100%, $E$9)</f>
        <v>37.415100000000002</v>
      </c>
      <c r="I1045" s="11">
        <f>37.4184 * CHOOSE(CONTROL!$C$32, $C$9, 100%, $E$9)</f>
        <v>37.418399999999998</v>
      </c>
      <c r="J1045" s="11">
        <f>37.4151 * CHOOSE(CONTROL!$C$32, $C$9, 100%, $E$9)</f>
        <v>37.415100000000002</v>
      </c>
      <c r="K1045" s="11">
        <f>37.4184 * CHOOSE(CONTROL!$C$32, $C$9, 100%, $E$9)</f>
        <v>37.418399999999998</v>
      </c>
      <c r="L1045" s="11">
        <f>10.4747 * CHOOSE(CONTROL!$C$32, $C$9, 100%, $E$9)</f>
        <v>10.4747</v>
      </c>
      <c r="M1045" s="11">
        <f>10.4779 * CHOOSE(CONTROL!$C$32, $C$9, 100%, $E$9)</f>
        <v>10.4779</v>
      </c>
      <c r="N1045" s="11">
        <f>10.4747 * CHOOSE(CONTROL!$C$32, $C$9, 100%, $E$9)</f>
        <v>10.4747</v>
      </c>
      <c r="O1045" s="11">
        <f>10.4779 * CHOOSE(CONTROL!$C$32, $C$9, 100%, $E$9)</f>
        <v>10.4779</v>
      </c>
    </row>
    <row r="1046" spans="1:15" ht="15" x14ac:dyDescent="0.2">
      <c r="A1046" s="13">
        <v>72686</v>
      </c>
      <c r="B1046" s="9">
        <f>15.5645 * CHOOSE(CONTROL!$C$32, $C$9, 100%, $E$9)</f>
        <v>15.564500000000001</v>
      </c>
      <c r="C1046" s="9">
        <f>15.5645 * CHOOSE(CONTROL!$C$32, $C$9, 100%, $E$9)</f>
        <v>15.564500000000001</v>
      </c>
      <c r="D1046" s="9">
        <f>15.5654 * CHOOSE(CONTROL!$C$32, $C$9, 100%, $E$9)</f>
        <v>15.5654</v>
      </c>
      <c r="E1046" s="11">
        <f>10.642 * CHOOSE(CONTROL!$C$32, $C$9, 100%, $E$9)</f>
        <v>10.641999999999999</v>
      </c>
      <c r="F1046" s="11">
        <f>10.642 * CHOOSE(CONTROL!$C$32, $C$9, 100%, $E$9)</f>
        <v>10.641999999999999</v>
      </c>
      <c r="G1046" s="11">
        <f>10.6452 * CHOOSE(CONTROL!$C$32, $C$9, 100%, $E$9)</f>
        <v>10.645200000000001</v>
      </c>
      <c r="H1046" s="11">
        <f>37.0399 * CHOOSE(CONTROL!$C$32, $C$9, 100%, $E$9)</f>
        <v>37.039900000000003</v>
      </c>
      <c r="I1046" s="11">
        <f>37.0431 * CHOOSE(CONTROL!$C$32, $C$9, 100%, $E$9)</f>
        <v>37.043100000000003</v>
      </c>
      <c r="J1046" s="11">
        <f>37.0399 * CHOOSE(CONTROL!$C$32, $C$9, 100%, $E$9)</f>
        <v>37.039900000000003</v>
      </c>
      <c r="K1046" s="11">
        <f>37.0431 * CHOOSE(CONTROL!$C$32, $C$9, 100%, $E$9)</f>
        <v>37.043100000000003</v>
      </c>
      <c r="L1046" s="11">
        <f>10.642 * CHOOSE(CONTROL!$C$32, $C$9, 100%, $E$9)</f>
        <v>10.641999999999999</v>
      </c>
      <c r="M1046" s="11">
        <f>10.6452 * CHOOSE(CONTROL!$C$32, $C$9, 100%, $E$9)</f>
        <v>10.645200000000001</v>
      </c>
      <c r="N1046" s="11">
        <f>10.642 * CHOOSE(CONTROL!$C$32, $C$9, 100%, $E$9)</f>
        <v>10.641999999999999</v>
      </c>
      <c r="O1046" s="11">
        <f>10.6452 * CHOOSE(CONTROL!$C$32, $C$9, 100%, $E$9)</f>
        <v>10.645200000000001</v>
      </c>
    </row>
    <row r="1047" spans="1:15" ht="15" x14ac:dyDescent="0.2">
      <c r="A1047" s="13">
        <v>72717</v>
      </c>
      <c r="B1047" s="9">
        <f>15.5614 * CHOOSE(CONTROL!$C$32, $C$9, 100%, $E$9)</f>
        <v>15.561400000000001</v>
      </c>
      <c r="C1047" s="9">
        <f>15.5614 * CHOOSE(CONTROL!$C$32, $C$9, 100%, $E$9)</f>
        <v>15.561400000000001</v>
      </c>
      <c r="D1047" s="9">
        <f>15.5624 * CHOOSE(CONTROL!$C$32, $C$9, 100%, $E$9)</f>
        <v>15.5624</v>
      </c>
      <c r="E1047" s="11">
        <f>10.1454 * CHOOSE(CONTROL!$C$32, $C$9, 100%, $E$9)</f>
        <v>10.1454</v>
      </c>
      <c r="F1047" s="11">
        <f>10.1454 * CHOOSE(CONTROL!$C$32, $C$9, 100%, $E$9)</f>
        <v>10.1454</v>
      </c>
      <c r="G1047" s="11">
        <f>10.1487 * CHOOSE(CONTROL!$C$32, $C$9, 100%, $E$9)</f>
        <v>10.1487</v>
      </c>
      <c r="H1047" s="11">
        <f>37.1171 * CHOOSE(CONTROL!$C$32, $C$9, 100%, $E$9)</f>
        <v>37.117100000000001</v>
      </c>
      <c r="I1047" s="11">
        <f>37.1203 * CHOOSE(CONTROL!$C$32, $C$9, 100%, $E$9)</f>
        <v>37.1203</v>
      </c>
      <c r="J1047" s="11">
        <f>37.1171 * CHOOSE(CONTROL!$C$32, $C$9, 100%, $E$9)</f>
        <v>37.117100000000001</v>
      </c>
      <c r="K1047" s="11">
        <f>37.1203 * CHOOSE(CONTROL!$C$32, $C$9, 100%, $E$9)</f>
        <v>37.1203</v>
      </c>
      <c r="L1047" s="11">
        <f>10.1454 * CHOOSE(CONTROL!$C$32, $C$9, 100%, $E$9)</f>
        <v>10.1454</v>
      </c>
      <c r="M1047" s="11">
        <f>10.1487 * CHOOSE(CONTROL!$C$32, $C$9, 100%, $E$9)</f>
        <v>10.1487</v>
      </c>
      <c r="N1047" s="11">
        <f>10.1454 * CHOOSE(CONTROL!$C$32, $C$9, 100%, $E$9)</f>
        <v>10.1454</v>
      </c>
      <c r="O1047" s="11">
        <f>10.1487 * CHOOSE(CONTROL!$C$32, $C$9, 100%, $E$9)</f>
        <v>10.1487</v>
      </c>
    </row>
    <row r="1048" spans="1:15" ht="15" x14ac:dyDescent="0.2">
      <c r="A1048" s="13">
        <v>72745</v>
      </c>
      <c r="B1048" s="9">
        <f>15.5584 * CHOOSE(CONTROL!$C$32, $C$9, 100%, $E$9)</f>
        <v>15.558400000000001</v>
      </c>
      <c r="C1048" s="9">
        <f>15.5584 * CHOOSE(CONTROL!$C$32, $C$9, 100%, $E$9)</f>
        <v>15.558400000000001</v>
      </c>
      <c r="D1048" s="9">
        <f>15.5593 * CHOOSE(CONTROL!$C$32, $C$9, 100%, $E$9)</f>
        <v>15.5593</v>
      </c>
      <c r="E1048" s="11">
        <f>10.5331 * CHOOSE(CONTROL!$C$32, $C$9, 100%, $E$9)</f>
        <v>10.533099999999999</v>
      </c>
      <c r="F1048" s="11">
        <f>10.5331 * CHOOSE(CONTROL!$C$32, $C$9, 100%, $E$9)</f>
        <v>10.533099999999999</v>
      </c>
      <c r="G1048" s="11">
        <f>10.5363 * CHOOSE(CONTROL!$C$32, $C$9, 100%, $E$9)</f>
        <v>10.536300000000001</v>
      </c>
      <c r="H1048" s="11">
        <f>37.1944 * CHOOSE(CONTROL!$C$32, $C$9, 100%, $E$9)</f>
        <v>37.194400000000002</v>
      </c>
      <c r="I1048" s="11">
        <f>37.1976 * CHOOSE(CONTROL!$C$32, $C$9, 100%, $E$9)</f>
        <v>37.197600000000001</v>
      </c>
      <c r="J1048" s="11">
        <f>37.1944 * CHOOSE(CONTROL!$C$32, $C$9, 100%, $E$9)</f>
        <v>37.194400000000002</v>
      </c>
      <c r="K1048" s="11">
        <f>37.1976 * CHOOSE(CONTROL!$C$32, $C$9, 100%, $E$9)</f>
        <v>37.197600000000001</v>
      </c>
      <c r="L1048" s="11">
        <f>10.5331 * CHOOSE(CONTROL!$C$32, $C$9, 100%, $E$9)</f>
        <v>10.533099999999999</v>
      </c>
      <c r="M1048" s="11">
        <f>10.5363 * CHOOSE(CONTROL!$C$32, $C$9, 100%, $E$9)</f>
        <v>10.536300000000001</v>
      </c>
      <c r="N1048" s="11">
        <f>10.5331 * CHOOSE(CONTROL!$C$32, $C$9, 100%, $E$9)</f>
        <v>10.533099999999999</v>
      </c>
      <c r="O1048" s="11">
        <f>10.5363 * CHOOSE(CONTROL!$C$32, $C$9, 100%, $E$9)</f>
        <v>10.536300000000001</v>
      </c>
    </row>
    <row r="1049" spans="1:15" ht="15" x14ac:dyDescent="0.2">
      <c r="A1049" s="13">
        <v>72776</v>
      </c>
      <c r="B1049" s="9">
        <f>15.5673 * CHOOSE(CONTROL!$C$32, $C$9, 100%, $E$9)</f>
        <v>15.567299999999999</v>
      </c>
      <c r="C1049" s="9">
        <f>15.5673 * CHOOSE(CONTROL!$C$32, $C$9, 100%, $E$9)</f>
        <v>15.567299999999999</v>
      </c>
      <c r="D1049" s="9">
        <f>15.5682 * CHOOSE(CONTROL!$C$32, $C$9, 100%, $E$9)</f>
        <v>15.568199999999999</v>
      </c>
      <c r="E1049" s="11">
        <f>10.9474 * CHOOSE(CONTROL!$C$32, $C$9, 100%, $E$9)</f>
        <v>10.9474</v>
      </c>
      <c r="F1049" s="11">
        <f>10.9474 * CHOOSE(CONTROL!$C$32, $C$9, 100%, $E$9)</f>
        <v>10.9474</v>
      </c>
      <c r="G1049" s="11">
        <f>10.9506 * CHOOSE(CONTROL!$C$32, $C$9, 100%, $E$9)</f>
        <v>10.9506</v>
      </c>
      <c r="H1049" s="11">
        <f>37.2719 * CHOOSE(CONTROL!$C$32, $C$9, 100%, $E$9)</f>
        <v>37.271900000000002</v>
      </c>
      <c r="I1049" s="11">
        <f>37.2751 * CHOOSE(CONTROL!$C$32, $C$9, 100%, $E$9)</f>
        <v>37.275100000000002</v>
      </c>
      <c r="J1049" s="11">
        <f>37.2719 * CHOOSE(CONTROL!$C$32, $C$9, 100%, $E$9)</f>
        <v>37.271900000000002</v>
      </c>
      <c r="K1049" s="11">
        <f>37.2751 * CHOOSE(CONTROL!$C$32, $C$9, 100%, $E$9)</f>
        <v>37.275100000000002</v>
      </c>
      <c r="L1049" s="11">
        <f>10.9474 * CHOOSE(CONTROL!$C$32, $C$9, 100%, $E$9)</f>
        <v>10.9474</v>
      </c>
      <c r="M1049" s="11">
        <f>10.9506 * CHOOSE(CONTROL!$C$32, $C$9, 100%, $E$9)</f>
        <v>10.9506</v>
      </c>
      <c r="N1049" s="11">
        <f>10.9474 * CHOOSE(CONTROL!$C$32, $C$9, 100%, $E$9)</f>
        <v>10.9474</v>
      </c>
      <c r="O1049" s="11">
        <f>10.9506 * CHOOSE(CONTROL!$C$32, $C$9, 100%, $E$9)</f>
        <v>10.9506</v>
      </c>
    </row>
    <row r="1050" spans="1:15" ht="15" x14ac:dyDescent="0.2">
      <c r="A1050" s="13">
        <v>72806</v>
      </c>
      <c r="B1050" s="9">
        <f>15.5673 * CHOOSE(CONTROL!$C$32, $C$9, 100%, $E$9)</f>
        <v>15.567299999999999</v>
      </c>
      <c r="C1050" s="9">
        <f>15.5673 * CHOOSE(CONTROL!$C$32, $C$9, 100%, $E$9)</f>
        <v>15.567299999999999</v>
      </c>
      <c r="D1050" s="9">
        <f>15.5685 * CHOOSE(CONTROL!$C$32, $C$9, 100%, $E$9)</f>
        <v>15.5685</v>
      </c>
      <c r="E1050" s="11">
        <f>11.1044 * CHOOSE(CONTROL!$C$32, $C$9, 100%, $E$9)</f>
        <v>11.1044</v>
      </c>
      <c r="F1050" s="11">
        <f>11.1044 * CHOOSE(CONTROL!$C$32, $C$9, 100%, $E$9)</f>
        <v>11.1044</v>
      </c>
      <c r="G1050" s="11">
        <f>11.1086 * CHOOSE(CONTROL!$C$32, $C$9, 100%, $E$9)</f>
        <v>11.108599999999999</v>
      </c>
      <c r="H1050" s="11">
        <f>37.3495 * CHOOSE(CONTROL!$C$32, $C$9, 100%, $E$9)</f>
        <v>37.349499999999999</v>
      </c>
      <c r="I1050" s="11">
        <f>37.3537 * CHOOSE(CONTROL!$C$32, $C$9, 100%, $E$9)</f>
        <v>37.353700000000003</v>
      </c>
      <c r="J1050" s="11">
        <f>37.3495 * CHOOSE(CONTROL!$C$32, $C$9, 100%, $E$9)</f>
        <v>37.349499999999999</v>
      </c>
      <c r="K1050" s="11">
        <f>37.3537 * CHOOSE(CONTROL!$C$32, $C$9, 100%, $E$9)</f>
        <v>37.353700000000003</v>
      </c>
      <c r="L1050" s="11">
        <f>11.1044 * CHOOSE(CONTROL!$C$32, $C$9, 100%, $E$9)</f>
        <v>11.1044</v>
      </c>
      <c r="M1050" s="11">
        <f>11.1086 * CHOOSE(CONTROL!$C$32, $C$9, 100%, $E$9)</f>
        <v>11.108599999999999</v>
      </c>
      <c r="N1050" s="11">
        <f>11.1044 * CHOOSE(CONTROL!$C$32, $C$9, 100%, $E$9)</f>
        <v>11.1044</v>
      </c>
      <c r="O1050" s="11">
        <f>11.1086 * CHOOSE(CONTROL!$C$32, $C$9, 100%, $E$9)</f>
        <v>11.108599999999999</v>
      </c>
    </row>
    <row r="1051" spans="1:15" ht="15" x14ac:dyDescent="0.2">
      <c r="A1051" s="13">
        <v>72837</v>
      </c>
      <c r="B1051" s="9">
        <f>15.5733 * CHOOSE(CONTROL!$C$32, $C$9, 100%, $E$9)</f>
        <v>15.5733</v>
      </c>
      <c r="C1051" s="9">
        <f>15.5733 * CHOOSE(CONTROL!$C$32, $C$9, 100%, $E$9)</f>
        <v>15.5733</v>
      </c>
      <c r="D1051" s="9">
        <f>15.5746 * CHOOSE(CONTROL!$C$32, $C$9, 100%, $E$9)</f>
        <v>15.5746</v>
      </c>
      <c r="E1051" s="11">
        <f>10.9516 * CHOOSE(CONTROL!$C$32, $C$9, 100%, $E$9)</f>
        <v>10.951599999999999</v>
      </c>
      <c r="F1051" s="11">
        <f>10.9516 * CHOOSE(CONTROL!$C$32, $C$9, 100%, $E$9)</f>
        <v>10.951599999999999</v>
      </c>
      <c r="G1051" s="11">
        <f>10.9558 * CHOOSE(CONTROL!$C$32, $C$9, 100%, $E$9)</f>
        <v>10.9558</v>
      </c>
      <c r="H1051" s="11">
        <f>37.4274 * CHOOSE(CONTROL!$C$32, $C$9, 100%, $E$9)</f>
        <v>37.427399999999999</v>
      </c>
      <c r="I1051" s="11">
        <f>37.4316 * CHOOSE(CONTROL!$C$32, $C$9, 100%, $E$9)</f>
        <v>37.431600000000003</v>
      </c>
      <c r="J1051" s="11">
        <f>37.4274 * CHOOSE(CONTROL!$C$32, $C$9, 100%, $E$9)</f>
        <v>37.427399999999999</v>
      </c>
      <c r="K1051" s="11">
        <f>37.4316 * CHOOSE(CONTROL!$C$32, $C$9, 100%, $E$9)</f>
        <v>37.431600000000003</v>
      </c>
      <c r="L1051" s="11">
        <f>10.9516 * CHOOSE(CONTROL!$C$32, $C$9, 100%, $E$9)</f>
        <v>10.951599999999999</v>
      </c>
      <c r="M1051" s="11">
        <f>10.9558 * CHOOSE(CONTROL!$C$32, $C$9, 100%, $E$9)</f>
        <v>10.9558</v>
      </c>
      <c r="N1051" s="11">
        <f>10.9516 * CHOOSE(CONTROL!$C$32, $C$9, 100%, $E$9)</f>
        <v>10.951599999999999</v>
      </c>
      <c r="O1051" s="11">
        <f>10.9558 * CHOOSE(CONTROL!$C$32, $C$9, 100%, $E$9)</f>
        <v>10.9558</v>
      </c>
    </row>
    <row r="1052" spans="1:15" ht="15" x14ac:dyDescent="0.2">
      <c r="A1052" s="13">
        <v>72867</v>
      </c>
      <c r="B1052" s="9">
        <f>15.7588 * CHOOSE(CONTROL!$C$32, $C$9, 100%, $E$9)</f>
        <v>15.758800000000001</v>
      </c>
      <c r="C1052" s="9">
        <f>15.7588 * CHOOSE(CONTROL!$C$32, $C$9, 100%, $E$9)</f>
        <v>15.758800000000001</v>
      </c>
      <c r="D1052" s="9">
        <f>15.7601 * CHOOSE(CONTROL!$C$32, $C$9, 100%, $E$9)</f>
        <v>15.7601</v>
      </c>
      <c r="E1052" s="11">
        <f>11.0305 * CHOOSE(CONTROL!$C$32, $C$9, 100%, $E$9)</f>
        <v>11.0305</v>
      </c>
      <c r="F1052" s="11">
        <f>11.0305 * CHOOSE(CONTROL!$C$32, $C$9, 100%, $E$9)</f>
        <v>11.0305</v>
      </c>
      <c r="G1052" s="11">
        <f>11.0347 * CHOOSE(CONTROL!$C$32, $C$9, 100%, $E$9)</f>
        <v>11.034700000000001</v>
      </c>
      <c r="H1052" s="11">
        <f>37.5053 * CHOOSE(CONTROL!$C$32, $C$9, 100%, $E$9)</f>
        <v>37.505299999999998</v>
      </c>
      <c r="I1052" s="11">
        <f>37.5095 * CHOOSE(CONTROL!$C$32, $C$9, 100%, $E$9)</f>
        <v>37.509500000000003</v>
      </c>
      <c r="J1052" s="11">
        <f>37.5053 * CHOOSE(CONTROL!$C$32, $C$9, 100%, $E$9)</f>
        <v>37.505299999999998</v>
      </c>
      <c r="K1052" s="11">
        <f>37.5095 * CHOOSE(CONTROL!$C$32, $C$9, 100%, $E$9)</f>
        <v>37.509500000000003</v>
      </c>
      <c r="L1052" s="11">
        <f>11.0305 * CHOOSE(CONTROL!$C$32, $C$9, 100%, $E$9)</f>
        <v>11.0305</v>
      </c>
      <c r="M1052" s="11">
        <f>11.0347 * CHOOSE(CONTROL!$C$32, $C$9, 100%, $E$9)</f>
        <v>11.034700000000001</v>
      </c>
      <c r="N1052" s="11">
        <f>11.0305 * CHOOSE(CONTROL!$C$32, $C$9, 100%, $E$9)</f>
        <v>11.0305</v>
      </c>
      <c r="O1052" s="11">
        <f>11.0347 * CHOOSE(CONTROL!$C$32, $C$9, 100%, $E$9)</f>
        <v>11.034700000000001</v>
      </c>
    </row>
    <row r="1053" spans="1:15" ht="15" x14ac:dyDescent="0.2">
      <c r="A1053" s="13">
        <v>72898</v>
      </c>
      <c r="B1053" s="9">
        <f>15.7655 * CHOOSE(CONTROL!$C$32, $C$9, 100%, $E$9)</f>
        <v>15.765499999999999</v>
      </c>
      <c r="C1053" s="9">
        <f>15.7655 * CHOOSE(CONTROL!$C$32, $C$9, 100%, $E$9)</f>
        <v>15.765499999999999</v>
      </c>
      <c r="D1053" s="9">
        <f>15.7668 * CHOOSE(CONTROL!$C$32, $C$9, 100%, $E$9)</f>
        <v>15.7668</v>
      </c>
      <c r="E1053" s="11">
        <f>10.5643 * CHOOSE(CONTROL!$C$32, $C$9, 100%, $E$9)</f>
        <v>10.564299999999999</v>
      </c>
      <c r="F1053" s="11">
        <f>10.5643 * CHOOSE(CONTROL!$C$32, $C$9, 100%, $E$9)</f>
        <v>10.564299999999999</v>
      </c>
      <c r="G1053" s="11">
        <f>10.5685 * CHOOSE(CONTROL!$C$32, $C$9, 100%, $E$9)</f>
        <v>10.5685</v>
      </c>
      <c r="H1053" s="11">
        <f>37.5835 * CHOOSE(CONTROL!$C$32, $C$9, 100%, $E$9)</f>
        <v>37.583500000000001</v>
      </c>
      <c r="I1053" s="11">
        <f>37.5877 * CHOOSE(CONTROL!$C$32, $C$9, 100%, $E$9)</f>
        <v>37.587699999999998</v>
      </c>
      <c r="J1053" s="11">
        <f>37.5835 * CHOOSE(CONTROL!$C$32, $C$9, 100%, $E$9)</f>
        <v>37.583500000000001</v>
      </c>
      <c r="K1053" s="11">
        <f>37.5877 * CHOOSE(CONTROL!$C$32, $C$9, 100%, $E$9)</f>
        <v>37.587699999999998</v>
      </c>
      <c r="L1053" s="11">
        <f>10.5643 * CHOOSE(CONTROL!$C$32, $C$9, 100%, $E$9)</f>
        <v>10.564299999999999</v>
      </c>
      <c r="M1053" s="11">
        <f>10.5685 * CHOOSE(CONTROL!$C$32, $C$9, 100%, $E$9)</f>
        <v>10.5685</v>
      </c>
      <c r="N1053" s="11">
        <f>10.5643 * CHOOSE(CONTROL!$C$32, $C$9, 100%, $E$9)</f>
        <v>10.564299999999999</v>
      </c>
      <c r="O1053" s="11">
        <f>10.5685 * CHOOSE(CONTROL!$C$32, $C$9, 100%, $E$9)</f>
        <v>10.5685</v>
      </c>
    </row>
    <row r="1054" spans="1:15" ht="15" x14ac:dyDescent="0.2">
      <c r="A1054" s="13">
        <v>72929</v>
      </c>
      <c r="B1054" s="9">
        <f>15.7625 * CHOOSE(CONTROL!$C$32, $C$9, 100%, $E$9)</f>
        <v>15.762499999999999</v>
      </c>
      <c r="C1054" s="9">
        <f>15.7625 * CHOOSE(CONTROL!$C$32, $C$9, 100%, $E$9)</f>
        <v>15.762499999999999</v>
      </c>
      <c r="D1054" s="9">
        <f>15.7637 * CHOOSE(CONTROL!$C$32, $C$9, 100%, $E$9)</f>
        <v>15.7637</v>
      </c>
      <c r="E1054" s="11">
        <f>10.5098 * CHOOSE(CONTROL!$C$32, $C$9, 100%, $E$9)</f>
        <v>10.5098</v>
      </c>
      <c r="F1054" s="11">
        <f>10.5098 * CHOOSE(CONTROL!$C$32, $C$9, 100%, $E$9)</f>
        <v>10.5098</v>
      </c>
      <c r="G1054" s="11">
        <f>10.514 * CHOOSE(CONTROL!$C$32, $C$9, 100%, $E$9)</f>
        <v>10.513999999999999</v>
      </c>
      <c r="H1054" s="11">
        <f>37.6618 * CHOOSE(CONTROL!$C$32, $C$9, 100%, $E$9)</f>
        <v>37.661799999999999</v>
      </c>
      <c r="I1054" s="11">
        <f>37.666 * CHOOSE(CONTROL!$C$32, $C$9, 100%, $E$9)</f>
        <v>37.665999999999997</v>
      </c>
      <c r="J1054" s="11">
        <f>37.6618 * CHOOSE(CONTROL!$C$32, $C$9, 100%, $E$9)</f>
        <v>37.661799999999999</v>
      </c>
      <c r="K1054" s="11">
        <f>37.666 * CHOOSE(CONTROL!$C$32, $C$9, 100%, $E$9)</f>
        <v>37.665999999999997</v>
      </c>
      <c r="L1054" s="11">
        <f>10.5098 * CHOOSE(CONTROL!$C$32, $C$9, 100%, $E$9)</f>
        <v>10.5098</v>
      </c>
      <c r="M1054" s="11">
        <f>10.514 * CHOOSE(CONTROL!$C$32, $C$9, 100%, $E$9)</f>
        <v>10.513999999999999</v>
      </c>
      <c r="N1054" s="11">
        <f>10.5098 * CHOOSE(CONTROL!$C$32, $C$9, 100%, $E$9)</f>
        <v>10.5098</v>
      </c>
      <c r="O1054" s="11">
        <f>10.514 * CHOOSE(CONTROL!$C$32, $C$9, 100%, $E$9)</f>
        <v>10.513999999999999</v>
      </c>
    </row>
    <row r="1055" spans="1:15" ht="15" x14ac:dyDescent="0.2">
      <c r="A1055" s="13">
        <v>72959</v>
      </c>
      <c r="B1055" s="9">
        <f>15.8016 * CHOOSE(CONTROL!$C$32, $C$9, 100%, $E$9)</f>
        <v>15.801600000000001</v>
      </c>
      <c r="C1055" s="9">
        <f>15.8016 * CHOOSE(CONTROL!$C$32, $C$9, 100%, $E$9)</f>
        <v>15.801600000000001</v>
      </c>
      <c r="D1055" s="9">
        <f>15.8025 * CHOOSE(CONTROL!$C$32, $C$9, 100%, $E$9)</f>
        <v>15.8025</v>
      </c>
      <c r="E1055" s="11">
        <f>10.7057 * CHOOSE(CONTROL!$C$32, $C$9, 100%, $E$9)</f>
        <v>10.7057</v>
      </c>
      <c r="F1055" s="11">
        <f>10.7057 * CHOOSE(CONTROL!$C$32, $C$9, 100%, $E$9)</f>
        <v>10.7057</v>
      </c>
      <c r="G1055" s="11">
        <f>10.7089 * CHOOSE(CONTROL!$C$32, $C$9, 100%, $E$9)</f>
        <v>10.7089</v>
      </c>
      <c r="H1055" s="11">
        <f>37.7402 * CHOOSE(CONTROL!$C$32, $C$9, 100%, $E$9)</f>
        <v>37.740200000000002</v>
      </c>
      <c r="I1055" s="11">
        <f>37.7435 * CHOOSE(CONTROL!$C$32, $C$9, 100%, $E$9)</f>
        <v>37.743499999999997</v>
      </c>
      <c r="J1055" s="11">
        <f>37.7402 * CHOOSE(CONTROL!$C$32, $C$9, 100%, $E$9)</f>
        <v>37.740200000000002</v>
      </c>
      <c r="K1055" s="11">
        <f>37.7435 * CHOOSE(CONTROL!$C$32, $C$9, 100%, $E$9)</f>
        <v>37.743499999999997</v>
      </c>
      <c r="L1055" s="11">
        <f>10.7057 * CHOOSE(CONTROL!$C$32, $C$9, 100%, $E$9)</f>
        <v>10.7057</v>
      </c>
      <c r="M1055" s="11">
        <f>10.7089 * CHOOSE(CONTROL!$C$32, $C$9, 100%, $E$9)</f>
        <v>10.7089</v>
      </c>
      <c r="N1055" s="11">
        <f>10.7057 * CHOOSE(CONTROL!$C$32, $C$9, 100%, $E$9)</f>
        <v>10.7057</v>
      </c>
      <c r="O1055" s="11">
        <f>10.7089 * CHOOSE(CONTROL!$C$32, $C$9, 100%, $E$9)</f>
        <v>10.7089</v>
      </c>
    </row>
    <row r="1056" spans="1:15" ht="15" x14ac:dyDescent="0.2">
      <c r="A1056" s="13">
        <v>72990</v>
      </c>
      <c r="B1056" s="9">
        <f>15.8046 * CHOOSE(CONTROL!$C$32, $C$9, 100%, $E$9)</f>
        <v>15.804600000000001</v>
      </c>
      <c r="C1056" s="9">
        <f>15.8046 * CHOOSE(CONTROL!$C$32, $C$9, 100%, $E$9)</f>
        <v>15.804600000000001</v>
      </c>
      <c r="D1056" s="9">
        <f>15.8055 * CHOOSE(CONTROL!$C$32, $C$9, 100%, $E$9)</f>
        <v>15.8055</v>
      </c>
      <c r="E1056" s="11">
        <f>10.8125 * CHOOSE(CONTROL!$C$32, $C$9, 100%, $E$9)</f>
        <v>10.8125</v>
      </c>
      <c r="F1056" s="11">
        <f>10.8125 * CHOOSE(CONTROL!$C$32, $C$9, 100%, $E$9)</f>
        <v>10.8125</v>
      </c>
      <c r="G1056" s="11">
        <f>10.8157 * CHOOSE(CONTROL!$C$32, $C$9, 100%, $E$9)</f>
        <v>10.8157</v>
      </c>
      <c r="H1056" s="11">
        <f>37.8189 * CHOOSE(CONTROL!$C$32, $C$9, 100%, $E$9)</f>
        <v>37.818899999999999</v>
      </c>
      <c r="I1056" s="11">
        <f>37.8221 * CHOOSE(CONTROL!$C$32, $C$9, 100%, $E$9)</f>
        <v>37.822099999999999</v>
      </c>
      <c r="J1056" s="11">
        <f>37.8189 * CHOOSE(CONTROL!$C$32, $C$9, 100%, $E$9)</f>
        <v>37.818899999999999</v>
      </c>
      <c r="K1056" s="11">
        <f>37.8221 * CHOOSE(CONTROL!$C$32, $C$9, 100%, $E$9)</f>
        <v>37.822099999999999</v>
      </c>
      <c r="L1056" s="11">
        <f>10.8125 * CHOOSE(CONTROL!$C$32, $C$9, 100%, $E$9)</f>
        <v>10.8125</v>
      </c>
      <c r="M1056" s="11">
        <f>10.8157 * CHOOSE(CONTROL!$C$32, $C$9, 100%, $E$9)</f>
        <v>10.8157</v>
      </c>
      <c r="N1056" s="11">
        <f>10.8125 * CHOOSE(CONTROL!$C$32, $C$9, 100%, $E$9)</f>
        <v>10.8125</v>
      </c>
      <c r="O1056" s="11">
        <f>10.8157 * CHOOSE(CONTROL!$C$32, $C$9, 100%, $E$9)</f>
        <v>10.8157</v>
      </c>
    </row>
    <row r="1057" spans="1:15" ht="15" x14ac:dyDescent="0.2">
      <c r="A1057" s="13">
        <v>73020</v>
      </c>
      <c r="B1057" s="9">
        <f>15.8046 * CHOOSE(CONTROL!$C$32, $C$9, 100%, $E$9)</f>
        <v>15.804600000000001</v>
      </c>
      <c r="C1057" s="9">
        <f>15.8046 * CHOOSE(CONTROL!$C$32, $C$9, 100%, $E$9)</f>
        <v>15.804600000000001</v>
      </c>
      <c r="D1057" s="9">
        <f>15.8055 * CHOOSE(CONTROL!$C$32, $C$9, 100%, $E$9)</f>
        <v>15.8055</v>
      </c>
      <c r="E1057" s="11">
        <f>10.5509 * CHOOSE(CONTROL!$C$32, $C$9, 100%, $E$9)</f>
        <v>10.5509</v>
      </c>
      <c r="F1057" s="11">
        <f>10.5509 * CHOOSE(CONTROL!$C$32, $C$9, 100%, $E$9)</f>
        <v>10.5509</v>
      </c>
      <c r="G1057" s="11">
        <f>10.5541 * CHOOSE(CONTROL!$C$32, $C$9, 100%, $E$9)</f>
        <v>10.5541</v>
      </c>
      <c r="H1057" s="11">
        <f>37.8976 * CHOOSE(CONTROL!$C$32, $C$9, 100%, $E$9)</f>
        <v>37.897599999999997</v>
      </c>
      <c r="I1057" s="11">
        <f>37.9009 * CHOOSE(CONTROL!$C$32, $C$9, 100%, $E$9)</f>
        <v>37.9009</v>
      </c>
      <c r="J1057" s="11">
        <f>37.8976 * CHOOSE(CONTROL!$C$32, $C$9, 100%, $E$9)</f>
        <v>37.897599999999997</v>
      </c>
      <c r="K1057" s="11">
        <f>37.9009 * CHOOSE(CONTROL!$C$32, $C$9, 100%, $E$9)</f>
        <v>37.9009</v>
      </c>
      <c r="L1057" s="11">
        <f>10.5509 * CHOOSE(CONTROL!$C$32, $C$9, 100%, $E$9)</f>
        <v>10.5509</v>
      </c>
      <c r="M1057" s="11">
        <f>10.5541 * CHOOSE(CONTROL!$C$32, $C$9, 100%, $E$9)</f>
        <v>10.5541</v>
      </c>
      <c r="N1057" s="11">
        <f>10.5509 * CHOOSE(CONTROL!$C$32, $C$9, 100%, $E$9)</f>
        <v>10.5509</v>
      </c>
      <c r="O1057" s="11">
        <f>10.5541 * CHOOSE(CONTROL!$C$32, $C$9, 100%, $E$9)</f>
        <v>10.5541</v>
      </c>
    </row>
    <row r="1058" spans="1:15" ht="15" x14ac:dyDescent="0.2">
      <c r="A1058" s="13">
        <v>73051</v>
      </c>
      <c r="B1058" s="9">
        <f>15.7518 * CHOOSE(CONTROL!$C$32, $C$9, 100%, $E$9)</f>
        <v>15.751799999999999</v>
      </c>
      <c r="C1058" s="9">
        <f>15.7518 * CHOOSE(CONTROL!$C$32, $C$9, 100%, $E$9)</f>
        <v>15.751799999999999</v>
      </c>
      <c r="D1058" s="9">
        <f>15.7528 * CHOOSE(CONTROL!$C$32, $C$9, 100%, $E$9)</f>
        <v>15.752800000000001</v>
      </c>
      <c r="E1058" s="11">
        <f>10.7192 * CHOOSE(CONTROL!$C$32, $C$9, 100%, $E$9)</f>
        <v>10.719200000000001</v>
      </c>
      <c r="F1058" s="11">
        <f>10.7192 * CHOOSE(CONTROL!$C$32, $C$9, 100%, $E$9)</f>
        <v>10.719200000000001</v>
      </c>
      <c r="G1058" s="11">
        <f>10.7225 * CHOOSE(CONTROL!$C$32, $C$9, 100%, $E$9)</f>
        <v>10.7225</v>
      </c>
      <c r="H1058" s="11">
        <f>37.5115 * CHOOSE(CONTROL!$C$32, $C$9, 100%, $E$9)</f>
        <v>37.511499999999998</v>
      </c>
      <c r="I1058" s="11">
        <f>37.5147 * CHOOSE(CONTROL!$C$32, $C$9, 100%, $E$9)</f>
        <v>37.514699999999998</v>
      </c>
      <c r="J1058" s="11">
        <f>37.5115 * CHOOSE(CONTROL!$C$32, $C$9, 100%, $E$9)</f>
        <v>37.511499999999998</v>
      </c>
      <c r="K1058" s="11">
        <f>37.5147 * CHOOSE(CONTROL!$C$32, $C$9, 100%, $E$9)</f>
        <v>37.514699999999998</v>
      </c>
      <c r="L1058" s="11">
        <f>10.7192 * CHOOSE(CONTROL!$C$32, $C$9, 100%, $E$9)</f>
        <v>10.719200000000001</v>
      </c>
      <c r="M1058" s="11">
        <f>10.7225 * CHOOSE(CONTROL!$C$32, $C$9, 100%, $E$9)</f>
        <v>10.7225</v>
      </c>
      <c r="N1058" s="11">
        <f>10.7192 * CHOOSE(CONTROL!$C$32, $C$9, 100%, $E$9)</f>
        <v>10.719200000000001</v>
      </c>
      <c r="O1058" s="11">
        <f>10.7225 * CHOOSE(CONTROL!$C$32, $C$9, 100%, $E$9)</f>
        <v>10.7225</v>
      </c>
    </row>
    <row r="1059" spans="1:15" ht="15" x14ac:dyDescent="0.2">
      <c r="A1059" s="13">
        <v>73082</v>
      </c>
      <c r="B1059" s="9">
        <f>15.7488 * CHOOSE(CONTROL!$C$32, $C$9, 100%, $E$9)</f>
        <v>15.748799999999999</v>
      </c>
      <c r="C1059" s="9">
        <f>15.7488 * CHOOSE(CONTROL!$C$32, $C$9, 100%, $E$9)</f>
        <v>15.748799999999999</v>
      </c>
      <c r="D1059" s="9">
        <f>15.7497 * CHOOSE(CONTROL!$C$32, $C$9, 100%, $E$9)</f>
        <v>15.749700000000001</v>
      </c>
      <c r="E1059" s="11">
        <f>10.2156 * CHOOSE(CONTROL!$C$32, $C$9, 100%, $E$9)</f>
        <v>10.2156</v>
      </c>
      <c r="F1059" s="11">
        <f>10.2156 * CHOOSE(CONTROL!$C$32, $C$9, 100%, $E$9)</f>
        <v>10.2156</v>
      </c>
      <c r="G1059" s="11">
        <f>10.2189 * CHOOSE(CONTROL!$C$32, $C$9, 100%, $E$9)</f>
        <v>10.2189</v>
      </c>
      <c r="H1059" s="11">
        <f>37.5896 * CHOOSE(CONTROL!$C$32, $C$9, 100%, $E$9)</f>
        <v>37.589599999999997</v>
      </c>
      <c r="I1059" s="11">
        <f>37.5929 * CHOOSE(CONTROL!$C$32, $C$9, 100%, $E$9)</f>
        <v>37.5929</v>
      </c>
      <c r="J1059" s="11">
        <f>37.5896 * CHOOSE(CONTROL!$C$32, $C$9, 100%, $E$9)</f>
        <v>37.589599999999997</v>
      </c>
      <c r="K1059" s="11">
        <f>37.5929 * CHOOSE(CONTROL!$C$32, $C$9, 100%, $E$9)</f>
        <v>37.5929</v>
      </c>
      <c r="L1059" s="11">
        <f>10.2156 * CHOOSE(CONTROL!$C$32, $C$9, 100%, $E$9)</f>
        <v>10.2156</v>
      </c>
      <c r="M1059" s="11">
        <f>10.2189 * CHOOSE(CONTROL!$C$32, $C$9, 100%, $E$9)</f>
        <v>10.2189</v>
      </c>
      <c r="N1059" s="11">
        <f>10.2156 * CHOOSE(CONTROL!$C$32, $C$9, 100%, $E$9)</f>
        <v>10.2156</v>
      </c>
      <c r="O1059" s="11">
        <f>10.2189 * CHOOSE(CONTROL!$C$32, $C$9, 100%, $E$9)</f>
        <v>10.2189</v>
      </c>
    </row>
    <row r="1060" spans="1:15" ht="15" x14ac:dyDescent="0.2">
      <c r="A1060" s="13">
        <v>73110</v>
      </c>
      <c r="B1060" s="9">
        <f>15.7457 * CHOOSE(CONTROL!$C$32, $C$9, 100%, $E$9)</f>
        <v>15.745699999999999</v>
      </c>
      <c r="C1060" s="9">
        <f>15.7457 * CHOOSE(CONTROL!$C$32, $C$9, 100%, $E$9)</f>
        <v>15.745699999999999</v>
      </c>
      <c r="D1060" s="9">
        <f>15.7467 * CHOOSE(CONTROL!$C$32, $C$9, 100%, $E$9)</f>
        <v>15.746700000000001</v>
      </c>
      <c r="E1060" s="11">
        <f>10.6089 * CHOOSE(CONTROL!$C$32, $C$9, 100%, $E$9)</f>
        <v>10.6089</v>
      </c>
      <c r="F1060" s="11">
        <f>10.6089 * CHOOSE(CONTROL!$C$32, $C$9, 100%, $E$9)</f>
        <v>10.6089</v>
      </c>
      <c r="G1060" s="11">
        <f>10.6121 * CHOOSE(CONTROL!$C$32, $C$9, 100%, $E$9)</f>
        <v>10.6121</v>
      </c>
      <c r="H1060" s="11">
        <f>37.668 * CHOOSE(CONTROL!$C$32, $C$9, 100%, $E$9)</f>
        <v>37.667999999999999</v>
      </c>
      <c r="I1060" s="11">
        <f>37.6712 * CHOOSE(CONTROL!$C$32, $C$9, 100%, $E$9)</f>
        <v>37.671199999999999</v>
      </c>
      <c r="J1060" s="11">
        <f>37.668 * CHOOSE(CONTROL!$C$32, $C$9, 100%, $E$9)</f>
        <v>37.667999999999999</v>
      </c>
      <c r="K1060" s="11">
        <f>37.6712 * CHOOSE(CONTROL!$C$32, $C$9, 100%, $E$9)</f>
        <v>37.671199999999999</v>
      </c>
      <c r="L1060" s="11">
        <f>10.6089 * CHOOSE(CONTROL!$C$32, $C$9, 100%, $E$9)</f>
        <v>10.6089</v>
      </c>
      <c r="M1060" s="11">
        <f>10.6121 * CHOOSE(CONTROL!$C$32, $C$9, 100%, $E$9)</f>
        <v>10.6121</v>
      </c>
      <c r="N1060" s="11">
        <f>10.6089 * CHOOSE(CONTROL!$C$32, $C$9, 100%, $E$9)</f>
        <v>10.6089</v>
      </c>
      <c r="O1060" s="11">
        <f>10.6121 * CHOOSE(CONTROL!$C$32, $C$9, 100%, $E$9)</f>
        <v>10.6121</v>
      </c>
    </row>
    <row r="1061" spans="1:15" ht="15" x14ac:dyDescent="0.2">
      <c r="A1061" s="13">
        <v>73141</v>
      </c>
      <c r="B1061" s="9">
        <f>15.7548 * CHOOSE(CONTROL!$C$32, $C$9, 100%, $E$9)</f>
        <v>15.754799999999999</v>
      </c>
      <c r="C1061" s="9">
        <f>15.7548 * CHOOSE(CONTROL!$C$32, $C$9, 100%, $E$9)</f>
        <v>15.754799999999999</v>
      </c>
      <c r="D1061" s="9">
        <f>15.7558 * CHOOSE(CONTROL!$C$32, $C$9, 100%, $E$9)</f>
        <v>15.755800000000001</v>
      </c>
      <c r="E1061" s="11">
        <f>11.0292 * CHOOSE(CONTROL!$C$32, $C$9, 100%, $E$9)</f>
        <v>11.029199999999999</v>
      </c>
      <c r="F1061" s="11">
        <f>11.0292 * CHOOSE(CONTROL!$C$32, $C$9, 100%, $E$9)</f>
        <v>11.029199999999999</v>
      </c>
      <c r="G1061" s="11">
        <f>11.0324 * CHOOSE(CONTROL!$C$32, $C$9, 100%, $E$9)</f>
        <v>11.032400000000001</v>
      </c>
      <c r="H1061" s="11">
        <f>37.7464 * CHOOSE(CONTROL!$C$32, $C$9, 100%, $E$9)</f>
        <v>37.746400000000001</v>
      </c>
      <c r="I1061" s="11">
        <f>37.7497 * CHOOSE(CONTROL!$C$32, $C$9, 100%, $E$9)</f>
        <v>37.749699999999997</v>
      </c>
      <c r="J1061" s="11">
        <f>37.7464 * CHOOSE(CONTROL!$C$32, $C$9, 100%, $E$9)</f>
        <v>37.746400000000001</v>
      </c>
      <c r="K1061" s="11">
        <f>37.7497 * CHOOSE(CONTROL!$C$32, $C$9, 100%, $E$9)</f>
        <v>37.749699999999997</v>
      </c>
      <c r="L1061" s="11">
        <f>11.0292 * CHOOSE(CONTROL!$C$32, $C$9, 100%, $E$9)</f>
        <v>11.029199999999999</v>
      </c>
      <c r="M1061" s="11">
        <f>11.0324 * CHOOSE(CONTROL!$C$32, $C$9, 100%, $E$9)</f>
        <v>11.032400000000001</v>
      </c>
      <c r="N1061" s="11">
        <f>11.0292 * CHOOSE(CONTROL!$C$32, $C$9, 100%, $E$9)</f>
        <v>11.029199999999999</v>
      </c>
      <c r="O1061" s="11">
        <f>11.0324 * CHOOSE(CONTROL!$C$32, $C$9, 100%, $E$9)</f>
        <v>11.032400000000001</v>
      </c>
    </row>
    <row r="1062" spans="1:15" ht="15" x14ac:dyDescent="0.2">
      <c r="A1062" s="13">
        <v>73171</v>
      </c>
      <c r="B1062" s="9">
        <f>15.7548 * CHOOSE(CONTROL!$C$32, $C$9, 100%, $E$9)</f>
        <v>15.754799999999999</v>
      </c>
      <c r="C1062" s="9">
        <f>15.7548 * CHOOSE(CONTROL!$C$32, $C$9, 100%, $E$9)</f>
        <v>15.754799999999999</v>
      </c>
      <c r="D1062" s="9">
        <f>15.756 * CHOOSE(CONTROL!$C$32, $C$9, 100%, $E$9)</f>
        <v>15.756</v>
      </c>
      <c r="E1062" s="11">
        <f>11.1884 * CHOOSE(CONTROL!$C$32, $C$9, 100%, $E$9)</f>
        <v>11.1884</v>
      </c>
      <c r="F1062" s="11">
        <f>11.1884 * CHOOSE(CONTROL!$C$32, $C$9, 100%, $E$9)</f>
        <v>11.1884</v>
      </c>
      <c r="G1062" s="11">
        <f>11.1926 * CHOOSE(CONTROL!$C$32, $C$9, 100%, $E$9)</f>
        <v>11.192600000000001</v>
      </c>
      <c r="H1062" s="11">
        <f>37.8251 * CHOOSE(CONTROL!$C$32, $C$9, 100%, $E$9)</f>
        <v>37.825099999999999</v>
      </c>
      <c r="I1062" s="11">
        <f>37.8293 * CHOOSE(CONTROL!$C$32, $C$9, 100%, $E$9)</f>
        <v>37.829300000000003</v>
      </c>
      <c r="J1062" s="11">
        <f>37.8251 * CHOOSE(CONTROL!$C$32, $C$9, 100%, $E$9)</f>
        <v>37.825099999999999</v>
      </c>
      <c r="K1062" s="11">
        <f>37.8293 * CHOOSE(CONTROL!$C$32, $C$9, 100%, $E$9)</f>
        <v>37.829300000000003</v>
      </c>
      <c r="L1062" s="11">
        <f>11.1884 * CHOOSE(CONTROL!$C$32, $C$9, 100%, $E$9)</f>
        <v>11.1884</v>
      </c>
      <c r="M1062" s="11">
        <f>11.1926 * CHOOSE(CONTROL!$C$32, $C$9, 100%, $E$9)</f>
        <v>11.192600000000001</v>
      </c>
      <c r="N1062" s="11">
        <f>11.1884 * CHOOSE(CONTROL!$C$32, $C$9, 100%, $E$9)</f>
        <v>11.1884</v>
      </c>
      <c r="O1062" s="11">
        <f>11.1926 * CHOOSE(CONTROL!$C$32, $C$9, 100%, $E$9)</f>
        <v>11.192600000000001</v>
      </c>
    </row>
    <row r="1063" spans="1:15" ht="15" x14ac:dyDescent="0.2">
      <c r="A1063" s="13">
        <v>73202</v>
      </c>
      <c r="B1063" s="9">
        <f>15.7609 * CHOOSE(CONTROL!$C$32, $C$9, 100%, $E$9)</f>
        <v>15.760899999999999</v>
      </c>
      <c r="C1063" s="9">
        <f>15.7609 * CHOOSE(CONTROL!$C$32, $C$9, 100%, $E$9)</f>
        <v>15.760899999999999</v>
      </c>
      <c r="D1063" s="9">
        <f>15.7621 * CHOOSE(CONTROL!$C$32, $C$9, 100%, $E$9)</f>
        <v>15.7621</v>
      </c>
      <c r="E1063" s="11">
        <f>11.0334 * CHOOSE(CONTROL!$C$32, $C$9, 100%, $E$9)</f>
        <v>11.0334</v>
      </c>
      <c r="F1063" s="11">
        <f>11.0334 * CHOOSE(CONTROL!$C$32, $C$9, 100%, $E$9)</f>
        <v>11.0334</v>
      </c>
      <c r="G1063" s="11">
        <f>11.0376 * CHOOSE(CONTROL!$C$32, $C$9, 100%, $E$9)</f>
        <v>11.037599999999999</v>
      </c>
      <c r="H1063" s="11">
        <f>37.9039 * CHOOSE(CONTROL!$C$32, $C$9, 100%, $E$9)</f>
        <v>37.9039</v>
      </c>
      <c r="I1063" s="11">
        <f>37.9081 * CHOOSE(CONTROL!$C$32, $C$9, 100%, $E$9)</f>
        <v>37.908099999999997</v>
      </c>
      <c r="J1063" s="11">
        <f>37.9039 * CHOOSE(CONTROL!$C$32, $C$9, 100%, $E$9)</f>
        <v>37.9039</v>
      </c>
      <c r="K1063" s="11">
        <f>37.9081 * CHOOSE(CONTROL!$C$32, $C$9, 100%, $E$9)</f>
        <v>37.908099999999997</v>
      </c>
      <c r="L1063" s="11">
        <f>11.0334 * CHOOSE(CONTROL!$C$32, $C$9, 100%, $E$9)</f>
        <v>11.0334</v>
      </c>
      <c r="M1063" s="11">
        <f>11.0376 * CHOOSE(CONTROL!$C$32, $C$9, 100%, $E$9)</f>
        <v>11.037599999999999</v>
      </c>
      <c r="N1063" s="11">
        <f>11.0334 * CHOOSE(CONTROL!$C$32, $C$9, 100%, $E$9)</f>
        <v>11.0334</v>
      </c>
      <c r="O1063" s="11">
        <f>11.0376 * CHOOSE(CONTROL!$C$32, $C$9, 100%, $E$9)</f>
        <v>11.037599999999999</v>
      </c>
    </row>
    <row r="1064" spans="1:15" ht="15" x14ac:dyDescent="0.2">
      <c r="A1064" s="13">
        <v>73232</v>
      </c>
      <c r="B1064" s="9">
        <f>15.9484 * CHOOSE(CONTROL!$C$32, $C$9, 100%, $E$9)</f>
        <v>15.948399999999999</v>
      </c>
      <c r="C1064" s="9">
        <f>15.9484 * CHOOSE(CONTROL!$C$32, $C$9, 100%, $E$9)</f>
        <v>15.948399999999999</v>
      </c>
      <c r="D1064" s="9">
        <f>15.9497 * CHOOSE(CONTROL!$C$32, $C$9, 100%, $E$9)</f>
        <v>15.9497</v>
      </c>
      <c r="E1064" s="11">
        <f>11.1134 * CHOOSE(CONTROL!$C$32, $C$9, 100%, $E$9)</f>
        <v>11.1134</v>
      </c>
      <c r="F1064" s="11">
        <f>11.1134 * CHOOSE(CONTROL!$C$32, $C$9, 100%, $E$9)</f>
        <v>11.1134</v>
      </c>
      <c r="G1064" s="11">
        <f>11.1176 * CHOOSE(CONTROL!$C$32, $C$9, 100%, $E$9)</f>
        <v>11.117599999999999</v>
      </c>
      <c r="H1064" s="11">
        <f>37.9828 * CHOOSE(CONTROL!$C$32, $C$9, 100%, $E$9)</f>
        <v>37.982799999999997</v>
      </c>
      <c r="I1064" s="11">
        <f>37.987 * CHOOSE(CONTROL!$C$32, $C$9, 100%, $E$9)</f>
        <v>37.987000000000002</v>
      </c>
      <c r="J1064" s="11">
        <f>37.9828 * CHOOSE(CONTROL!$C$32, $C$9, 100%, $E$9)</f>
        <v>37.982799999999997</v>
      </c>
      <c r="K1064" s="11">
        <f>37.987 * CHOOSE(CONTROL!$C$32, $C$9, 100%, $E$9)</f>
        <v>37.987000000000002</v>
      </c>
      <c r="L1064" s="11">
        <f>11.1134 * CHOOSE(CONTROL!$C$32, $C$9, 100%, $E$9)</f>
        <v>11.1134</v>
      </c>
      <c r="M1064" s="11">
        <f>11.1176 * CHOOSE(CONTROL!$C$32, $C$9, 100%, $E$9)</f>
        <v>11.117599999999999</v>
      </c>
      <c r="N1064" s="11">
        <f>11.1134 * CHOOSE(CONTROL!$C$32, $C$9, 100%, $E$9)</f>
        <v>11.1134</v>
      </c>
      <c r="O1064" s="11">
        <f>11.1176 * CHOOSE(CONTROL!$C$32, $C$9, 100%, $E$9)</f>
        <v>11.117599999999999</v>
      </c>
    </row>
    <row r="1065" spans="1:15" ht="15" x14ac:dyDescent="0.2">
      <c r="A1065" s="13">
        <v>73263</v>
      </c>
      <c r="B1065" s="9">
        <f>15.9551 * CHOOSE(CONTROL!$C$32, $C$9, 100%, $E$9)</f>
        <v>15.9551</v>
      </c>
      <c r="C1065" s="9">
        <f>15.9551 * CHOOSE(CONTROL!$C$32, $C$9, 100%, $E$9)</f>
        <v>15.9551</v>
      </c>
      <c r="D1065" s="9">
        <f>15.9564 * CHOOSE(CONTROL!$C$32, $C$9, 100%, $E$9)</f>
        <v>15.9564</v>
      </c>
      <c r="E1065" s="11">
        <f>10.6404 * CHOOSE(CONTROL!$C$32, $C$9, 100%, $E$9)</f>
        <v>10.6404</v>
      </c>
      <c r="F1065" s="11">
        <f>10.6404 * CHOOSE(CONTROL!$C$32, $C$9, 100%, $E$9)</f>
        <v>10.6404</v>
      </c>
      <c r="G1065" s="11">
        <f>10.6446 * CHOOSE(CONTROL!$C$32, $C$9, 100%, $E$9)</f>
        <v>10.644600000000001</v>
      </c>
      <c r="H1065" s="11">
        <f>38.062 * CHOOSE(CONTROL!$C$32, $C$9, 100%, $E$9)</f>
        <v>38.061999999999998</v>
      </c>
      <c r="I1065" s="11">
        <f>38.0662 * CHOOSE(CONTROL!$C$32, $C$9, 100%, $E$9)</f>
        <v>38.066200000000002</v>
      </c>
      <c r="J1065" s="11">
        <f>38.062 * CHOOSE(CONTROL!$C$32, $C$9, 100%, $E$9)</f>
        <v>38.061999999999998</v>
      </c>
      <c r="K1065" s="11">
        <f>38.0662 * CHOOSE(CONTROL!$C$32, $C$9, 100%, $E$9)</f>
        <v>38.066200000000002</v>
      </c>
      <c r="L1065" s="11">
        <f>10.6404 * CHOOSE(CONTROL!$C$32, $C$9, 100%, $E$9)</f>
        <v>10.6404</v>
      </c>
      <c r="M1065" s="11">
        <f>10.6446 * CHOOSE(CONTROL!$C$32, $C$9, 100%, $E$9)</f>
        <v>10.644600000000001</v>
      </c>
      <c r="N1065" s="11">
        <f>10.6404 * CHOOSE(CONTROL!$C$32, $C$9, 100%, $E$9)</f>
        <v>10.6404</v>
      </c>
      <c r="O1065" s="11">
        <f>10.6446 * CHOOSE(CONTROL!$C$32, $C$9, 100%, $E$9)</f>
        <v>10.644600000000001</v>
      </c>
    </row>
    <row r="1066" spans="1:15" ht="15" x14ac:dyDescent="0.2">
      <c r="A1066" s="13">
        <v>73294</v>
      </c>
      <c r="B1066" s="9">
        <f>15.9521 * CHOOSE(CONTROL!$C$32, $C$9, 100%, $E$9)</f>
        <v>15.9521</v>
      </c>
      <c r="C1066" s="9">
        <f>15.9521 * CHOOSE(CONTROL!$C$32, $C$9, 100%, $E$9)</f>
        <v>15.9521</v>
      </c>
      <c r="D1066" s="9">
        <f>15.9533 * CHOOSE(CONTROL!$C$32, $C$9, 100%, $E$9)</f>
        <v>15.9533</v>
      </c>
      <c r="E1066" s="11">
        <f>10.5853 * CHOOSE(CONTROL!$C$32, $C$9, 100%, $E$9)</f>
        <v>10.5853</v>
      </c>
      <c r="F1066" s="11">
        <f>10.5853 * CHOOSE(CONTROL!$C$32, $C$9, 100%, $E$9)</f>
        <v>10.5853</v>
      </c>
      <c r="G1066" s="11">
        <f>10.5895 * CHOOSE(CONTROL!$C$32, $C$9, 100%, $E$9)</f>
        <v>10.589499999999999</v>
      </c>
      <c r="H1066" s="11">
        <f>38.1413 * CHOOSE(CONTROL!$C$32, $C$9, 100%, $E$9)</f>
        <v>38.141300000000001</v>
      </c>
      <c r="I1066" s="11">
        <f>38.1455 * CHOOSE(CONTROL!$C$32, $C$9, 100%, $E$9)</f>
        <v>38.145499999999998</v>
      </c>
      <c r="J1066" s="11">
        <f>38.1413 * CHOOSE(CONTROL!$C$32, $C$9, 100%, $E$9)</f>
        <v>38.141300000000001</v>
      </c>
      <c r="K1066" s="11">
        <f>38.1455 * CHOOSE(CONTROL!$C$32, $C$9, 100%, $E$9)</f>
        <v>38.145499999999998</v>
      </c>
      <c r="L1066" s="11">
        <f>10.5853 * CHOOSE(CONTROL!$C$32, $C$9, 100%, $E$9)</f>
        <v>10.5853</v>
      </c>
      <c r="M1066" s="11">
        <f>10.5895 * CHOOSE(CONTROL!$C$32, $C$9, 100%, $E$9)</f>
        <v>10.589499999999999</v>
      </c>
      <c r="N1066" s="11">
        <f>10.5853 * CHOOSE(CONTROL!$C$32, $C$9, 100%, $E$9)</f>
        <v>10.5853</v>
      </c>
      <c r="O1066" s="11">
        <f>10.5895 * CHOOSE(CONTROL!$C$32, $C$9, 100%, $E$9)</f>
        <v>10.589499999999999</v>
      </c>
    </row>
    <row r="1067" spans="1:15" ht="15" x14ac:dyDescent="0.2">
      <c r="A1067" s="13">
        <v>73324</v>
      </c>
      <c r="B1067" s="9">
        <f>15.9919 * CHOOSE(CONTROL!$C$32, $C$9, 100%, $E$9)</f>
        <v>15.991899999999999</v>
      </c>
      <c r="C1067" s="9">
        <f>15.9919 * CHOOSE(CONTROL!$C$32, $C$9, 100%, $E$9)</f>
        <v>15.991899999999999</v>
      </c>
      <c r="D1067" s="9">
        <f>15.9928 * CHOOSE(CONTROL!$C$32, $C$9, 100%, $E$9)</f>
        <v>15.992800000000001</v>
      </c>
      <c r="E1067" s="11">
        <f>10.7841 * CHOOSE(CONTROL!$C$32, $C$9, 100%, $E$9)</f>
        <v>10.7841</v>
      </c>
      <c r="F1067" s="11">
        <f>10.7841 * CHOOSE(CONTROL!$C$32, $C$9, 100%, $E$9)</f>
        <v>10.7841</v>
      </c>
      <c r="G1067" s="11">
        <f>10.7874 * CHOOSE(CONTROL!$C$32, $C$9, 100%, $E$9)</f>
        <v>10.7874</v>
      </c>
      <c r="H1067" s="11">
        <f>38.2207 * CHOOSE(CONTROL!$C$32, $C$9, 100%, $E$9)</f>
        <v>38.220700000000001</v>
      </c>
      <c r="I1067" s="11">
        <f>38.224 * CHOOSE(CONTROL!$C$32, $C$9, 100%, $E$9)</f>
        <v>38.223999999999997</v>
      </c>
      <c r="J1067" s="11">
        <f>38.2207 * CHOOSE(CONTROL!$C$32, $C$9, 100%, $E$9)</f>
        <v>38.220700000000001</v>
      </c>
      <c r="K1067" s="11">
        <f>38.224 * CHOOSE(CONTROL!$C$32, $C$9, 100%, $E$9)</f>
        <v>38.223999999999997</v>
      </c>
      <c r="L1067" s="11">
        <f>10.7841 * CHOOSE(CONTROL!$C$32, $C$9, 100%, $E$9)</f>
        <v>10.7841</v>
      </c>
      <c r="M1067" s="11">
        <f>10.7874 * CHOOSE(CONTROL!$C$32, $C$9, 100%, $E$9)</f>
        <v>10.7874</v>
      </c>
      <c r="N1067" s="11">
        <f>10.7841 * CHOOSE(CONTROL!$C$32, $C$9, 100%, $E$9)</f>
        <v>10.7841</v>
      </c>
      <c r="O1067" s="11">
        <f>10.7874 * CHOOSE(CONTROL!$C$32, $C$9, 100%, $E$9)</f>
        <v>10.7874</v>
      </c>
    </row>
    <row r="1068" spans="1:15" ht="15" x14ac:dyDescent="0.2">
      <c r="A1068" s="13">
        <v>73355</v>
      </c>
      <c r="B1068" s="9">
        <f>15.9949 * CHOOSE(CONTROL!$C$32, $C$9, 100%, $E$9)</f>
        <v>15.994899999999999</v>
      </c>
      <c r="C1068" s="9">
        <f>15.9949 * CHOOSE(CONTROL!$C$32, $C$9, 100%, $E$9)</f>
        <v>15.994899999999999</v>
      </c>
      <c r="D1068" s="9">
        <f>15.9959 * CHOOSE(CONTROL!$C$32, $C$9, 100%, $E$9)</f>
        <v>15.995900000000001</v>
      </c>
      <c r="E1068" s="11">
        <f>10.8924 * CHOOSE(CONTROL!$C$32, $C$9, 100%, $E$9)</f>
        <v>10.8924</v>
      </c>
      <c r="F1068" s="11">
        <f>10.8924 * CHOOSE(CONTROL!$C$32, $C$9, 100%, $E$9)</f>
        <v>10.8924</v>
      </c>
      <c r="G1068" s="11">
        <f>10.8956 * CHOOSE(CONTROL!$C$32, $C$9, 100%, $E$9)</f>
        <v>10.8956</v>
      </c>
      <c r="H1068" s="11">
        <f>38.3004 * CHOOSE(CONTROL!$C$32, $C$9, 100%, $E$9)</f>
        <v>38.300400000000003</v>
      </c>
      <c r="I1068" s="11">
        <f>38.3036 * CHOOSE(CONTROL!$C$32, $C$9, 100%, $E$9)</f>
        <v>38.303600000000003</v>
      </c>
      <c r="J1068" s="11">
        <f>38.3004 * CHOOSE(CONTROL!$C$32, $C$9, 100%, $E$9)</f>
        <v>38.300400000000003</v>
      </c>
      <c r="K1068" s="11">
        <f>38.3036 * CHOOSE(CONTROL!$C$32, $C$9, 100%, $E$9)</f>
        <v>38.303600000000003</v>
      </c>
      <c r="L1068" s="11">
        <f>10.8924 * CHOOSE(CONTROL!$C$32, $C$9, 100%, $E$9)</f>
        <v>10.8924</v>
      </c>
      <c r="M1068" s="11">
        <f>10.8956 * CHOOSE(CONTROL!$C$32, $C$9, 100%, $E$9)</f>
        <v>10.8956</v>
      </c>
      <c r="N1068" s="11">
        <f>10.8924 * CHOOSE(CONTROL!$C$32, $C$9, 100%, $E$9)</f>
        <v>10.8924</v>
      </c>
      <c r="O1068" s="11">
        <f>10.8956 * CHOOSE(CONTROL!$C$32, $C$9, 100%, $E$9)</f>
        <v>10.8956</v>
      </c>
    </row>
    <row r="1069" spans="1:15" ht="15" x14ac:dyDescent="0.2">
      <c r="A1069" s="13">
        <v>73385</v>
      </c>
      <c r="B1069" s="9">
        <f>15.9949 * CHOOSE(CONTROL!$C$32, $C$9, 100%, $E$9)</f>
        <v>15.994899999999999</v>
      </c>
      <c r="C1069" s="9">
        <f>15.9949 * CHOOSE(CONTROL!$C$32, $C$9, 100%, $E$9)</f>
        <v>15.994899999999999</v>
      </c>
      <c r="D1069" s="9">
        <f>15.9959 * CHOOSE(CONTROL!$C$32, $C$9, 100%, $E$9)</f>
        <v>15.995900000000001</v>
      </c>
      <c r="E1069" s="11">
        <f>10.627 * CHOOSE(CONTROL!$C$32, $C$9, 100%, $E$9)</f>
        <v>10.627000000000001</v>
      </c>
      <c r="F1069" s="11">
        <f>10.627 * CHOOSE(CONTROL!$C$32, $C$9, 100%, $E$9)</f>
        <v>10.627000000000001</v>
      </c>
      <c r="G1069" s="11">
        <f>10.6303 * CHOOSE(CONTROL!$C$32, $C$9, 100%, $E$9)</f>
        <v>10.6303</v>
      </c>
      <c r="H1069" s="11">
        <f>38.3801 * CHOOSE(CONTROL!$C$32, $C$9, 100%, $E$9)</f>
        <v>38.380099999999999</v>
      </c>
      <c r="I1069" s="11">
        <f>38.3834 * CHOOSE(CONTROL!$C$32, $C$9, 100%, $E$9)</f>
        <v>38.383400000000002</v>
      </c>
      <c r="J1069" s="11">
        <f>38.3801 * CHOOSE(CONTROL!$C$32, $C$9, 100%, $E$9)</f>
        <v>38.380099999999999</v>
      </c>
      <c r="K1069" s="11">
        <f>38.3834 * CHOOSE(CONTROL!$C$32, $C$9, 100%, $E$9)</f>
        <v>38.383400000000002</v>
      </c>
      <c r="L1069" s="11">
        <f>10.627 * CHOOSE(CONTROL!$C$32, $C$9, 100%, $E$9)</f>
        <v>10.627000000000001</v>
      </c>
      <c r="M1069" s="11">
        <f>10.6303 * CHOOSE(CONTROL!$C$32, $C$9, 100%, $E$9)</f>
        <v>10.6303</v>
      </c>
      <c r="N1069" s="11">
        <f>10.627 * CHOOSE(CONTROL!$C$32, $C$9, 100%, $E$9)</f>
        <v>10.627000000000001</v>
      </c>
      <c r="O1069" s="11">
        <f>10.6303 * CHOOSE(CONTROL!$C$32, $C$9, 100%, $E$9)</f>
        <v>10.6303</v>
      </c>
    </row>
    <row r="1070" spans="1:15" ht="15" x14ac:dyDescent="0.2">
      <c r="A1070" s="12"/>
      <c r="B1070" s="9"/>
      <c r="C1070" s="9"/>
      <c r="D1070" s="9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</row>
    <row r="1071" spans="1:15" ht="15" x14ac:dyDescent="0.2">
      <c r="A1071" s="10">
        <v>2013</v>
      </c>
      <c r="B1071" s="9">
        <f t="shared" ref="B1071:O1071" si="0">AVERAGE(B14:B25)</f>
        <v>2.2966500000000001</v>
      </c>
      <c r="C1071" s="9">
        <f t="shared" si="0"/>
        <v>2.2232833333333333</v>
      </c>
      <c r="D1071" s="9">
        <f t="shared" si="0"/>
        <v>2.262375</v>
      </c>
      <c r="E1071" s="9">
        <f t="shared" si="0"/>
        <v>3.4876333333333331</v>
      </c>
      <c r="F1071" s="9">
        <f t="shared" si="0"/>
        <v>3.1494</v>
      </c>
      <c r="G1071" s="9">
        <f t="shared" si="0"/>
        <v>3.1624083333333335</v>
      </c>
      <c r="H1071" s="9">
        <f t="shared" si="0"/>
        <v>5.8355083333333333</v>
      </c>
      <c r="I1071" s="9">
        <f t="shared" si="0"/>
        <v>5.8484749999999996</v>
      </c>
      <c r="J1071" s="9">
        <f t="shared" si="0"/>
        <v>5.8355083333333333</v>
      </c>
      <c r="K1071" s="9">
        <f t="shared" si="0"/>
        <v>5.8484749999999996</v>
      </c>
      <c r="L1071" s="9">
        <f t="shared" si="0"/>
        <v>3.4876333333333331</v>
      </c>
      <c r="M1071" s="9">
        <f t="shared" si="0"/>
        <v>3.5006166666666663</v>
      </c>
      <c r="N1071" s="9">
        <f t="shared" si="0"/>
        <v>3.4876333333333331</v>
      </c>
      <c r="O1071" s="9">
        <f t="shared" si="0"/>
        <v>3.5006166666666663</v>
      </c>
    </row>
    <row r="1072" spans="1:15" ht="15" x14ac:dyDescent="0.2">
      <c r="A1072" s="10">
        <v>2014</v>
      </c>
      <c r="B1072" s="9">
        <f t="shared" ref="B1072:O1072" si="1">AVERAGE(B26:B37)</f>
        <v>2.3654999999999995</v>
      </c>
      <c r="C1072" s="9">
        <f t="shared" si="1"/>
        <v>2.3576916666666663</v>
      </c>
      <c r="D1072" s="9">
        <f t="shared" si="1"/>
        <v>2.3967833333333335</v>
      </c>
      <c r="E1072" s="9">
        <f t="shared" si="1"/>
        <v>3.460575</v>
      </c>
      <c r="F1072" s="9">
        <f t="shared" si="1"/>
        <v>3.3780666666666668</v>
      </c>
      <c r="G1072" s="9">
        <f t="shared" si="1"/>
        <v>3.3910749999999994</v>
      </c>
      <c r="H1072" s="9">
        <f t="shared" si="1"/>
        <v>5.9799749999999996</v>
      </c>
      <c r="I1072" s="9">
        <f t="shared" si="1"/>
        <v>5.992983333333334</v>
      </c>
      <c r="J1072" s="9">
        <f t="shared" si="1"/>
        <v>5.9799749999999996</v>
      </c>
      <c r="K1072" s="9">
        <f t="shared" si="1"/>
        <v>5.992983333333334</v>
      </c>
      <c r="L1072" s="9">
        <f t="shared" si="1"/>
        <v>3.460575</v>
      </c>
      <c r="M1072" s="9">
        <f t="shared" si="1"/>
        <v>3.4735666666666667</v>
      </c>
      <c r="N1072" s="9">
        <f t="shared" si="1"/>
        <v>3.460575</v>
      </c>
      <c r="O1072" s="9">
        <f t="shared" si="1"/>
        <v>3.4735666666666667</v>
      </c>
    </row>
    <row r="1073" spans="1:15" ht="15" x14ac:dyDescent="0.2">
      <c r="A1073" s="10">
        <v>2015</v>
      </c>
      <c r="B1073" s="9">
        <f t="shared" ref="B1073:O1073" si="2">AVERAGE(B38:B49)</f>
        <v>2.483975</v>
      </c>
      <c r="C1073" s="9">
        <f t="shared" si="2"/>
        <v>2.483975</v>
      </c>
      <c r="D1073" s="9">
        <f t="shared" si="2"/>
        <v>2.4850416666666661</v>
      </c>
      <c r="E1073" s="9">
        <f t="shared" si="2"/>
        <v>3.8020250000000004</v>
      </c>
      <c r="F1073" s="9">
        <f t="shared" si="2"/>
        <v>3.5835999999999992</v>
      </c>
      <c r="G1073" s="9">
        <f t="shared" si="2"/>
        <v>3.5872166666666665</v>
      </c>
      <c r="H1073" s="9">
        <f t="shared" si="2"/>
        <v>6.1311916666666662</v>
      </c>
      <c r="I1073" s="9">
        <f t="shared" si="2"/>
        <v>6.1348333333333338</v>
      </c>
      <c r="J1073" s="9">
        <f t="shared" si="2"/>
        <v>6.1311916666666662</v>
      </c>
      <c r="K1073" s="9">
        <f t="shared" si="2"/>
        <v>6.1348333333333338</v>
      </c>
      <c r="L1073" s="9">
        <f t="shared" si="2"/>
        <v>3.8020250000000004</v>
      </c>
      <c r="M1073" s="9">
        <f t="shared" si="2"/>
        <v>3.8056416666666664</v>
      </c>
      <c r="N1073" s="9">
        <f t="shared" si="2"/>
        <v>3.8020250000000004</v>
      </c>
      <c r="O1073" s="9">
        <f t="shared" si="2"/>
        <v>3.8056416666666664</v>
      </c>
    </row>
    <row r="1074" spans="1:15" ht="15" x14ac:dyDescent="0.2">
      <c r="A1074" s="10">
        <v>2016</v>
      </c>
      <c r="B1074" s="9">
        <f t="shared" ref="B1074:O1074" si="3">AVERAGE(B50:B61)</f>
        <v>3.2759166666666668</v>
      </c>
      <c r="C1074" s="9">
        <f t="shared" si="3"/>
        <v>3.2759166666666668</v>
      </c>
      <c r="D1074" s="9">
        <f t="shared" si="3"/>
        <v>3.2769999999999992</v>
      </c>
      <c r="E1074" s="9">
        <f t="shared" si="3"/>
        <v>3.9337</v>
      </c>
      <c r="F1074" s="9">
        <f t="shared" si="3"/>
        <v>3.6856000000000004</v>
      </c>
      <c r="G1074" s="9">
        <f t="shared" si="3"/>
        <v>3.6892166666666664</v>
      </c>
      <c r="H1074" s="9">
        <f t="shared" si="3"/>
        <v>6.2862416666666681</v>
      </c>
      <c r="I1074" s="9">
        <f t="shared" si="3"/>
        <v>6.289883333333333</v>
      </c>
      <c r="J1074" s="9">
        <f t="shared" si="3"/>
        <v>6.2862416666666681</v>
      </c>
      <c r="K1074" s="9">
        <f t="shared" si="3"/>
        <v>6.289883333333333</v>
      </c>
      <c r="L1074" s="9">
        <f t="shared" si="3"/>
        <v>3.9337</v>
      </c>
      <c r="M1074" s="9">
        <f t="shared" si="3"/>
        <v>3.9373166666666672</v>
      </c>
      <c r="N1074" s="9">
        <f t="shared" si="3"/>
        <v>3.9337</v>
      </c>
      <c r="O1074" s="9">
        <f t="shared" si="3"/>
        <v>3.9373166666666672</v>
      </c>
    </row>
    <row r="1075" spans="1:15" ht="15" x14ac:dyDescent="0.2">
      <c r="A1075" s="10">
        <v>2017</v>
      </c>
      <c r="B1075" s="9">
        <f t="shared" ref="B1075:O1075" si="4">AVERAGE(B62:B73)</f>
        <v>3.3130666666666659</v>
      </c>
      <c r="C1075" s="9">
        <f t="shared" si="4"/>
        <v>3.3130666666666659</v>
      </c>
      <c r="D1075" s="9">
        <f t="shared" si="4"/>
        <v>3.3141416666666661</v>
      </c>
      <c r="E1075" s="9">
        <f t="shared" si="4"/>
        <v>3.8792333333333331</v>
      </c>
      <c r="F1075" s="9">
        <f t="shared" si="4"/>
        <v>3.8792333333333331</v>
      </c>
      <c r="G1075" s="9">
        <f t="shared" si="4"/>
        <v>3.8828749999999999</v>
      </c>
      <c r="H1075" s="9">
        <f t="shared" si="4"/>
        <v>6.4452249999999998</v>
      </c>
      <c r="I1075" s="9">
        <f t="shared" si="4"/>
        <v>6.4488500000000002</v>
      </c>
      <c r="J1075" s="9">
        <f t="shared" si="4"/>
        <v>6.4452249999999998</v>
      </c>
      <c r="K1075" s="9">
        <f t="shared" si="4"/>
        <v>6.4488500000000002</v>
      </c>
      <c r="L1075" s="9">
        <f t="shared" si="4"/>
        <v>3.8792333333333331</v>
      </c>
      <c r="M1075" s="9">
        <f t="shared" si="4"/>
        <v>3.8828749999999999</v>
      </c>
      <c r="N1075" s="9">
        <f t="shared" si="4"/>
        <v>3.8792333333333331</v>
      </c>
      <c r="O1075" s="9">
        <f t="shared" si="4"/>
        <v>3.8828749999999999</v>
      </c>
    </row>
    <row r="1076" spans="1:15" ht="15" x14ac:dyDescent="0.2">
      <c r="A1076" s="10">
        <v>2018</v>
      </c>
      <c r="B1076" s="9">
        <f t="shared" ref="B1076:O1076" si="5">AVERAGE(B74:B85)</f>
        <v>3.4019250000000003</v>
      </c>
      <c r="C1076" s="9">
        <f t="shared" si="5"/>
        <v>3.4019250000000003</v>
      </c>
      <c r="D1076" s="9">
        <f t="shared" si="5"/>
        <v>3.4029916666666669</v>
      </c>
      <c r="E1076" s="9">
        <f t="shared" si="5"/>
        <v>3.9989833333333333</v>
      </c>
      <c r="F1076" s="9">
        <f t="shared" si="5"/>
        <v>3.9989833333333333</v>
      </c>
      <c r="G1076" s="9">
        <f t="shared" si="5"/>
        <v>4.0026250000000001</v>
      </c>
      <c r="H1076" s="9">
        <f t="shared" si="5"/>
        <v>6.6081916666666656</v>
      </c>
      <c r="I1076" s="9">
        <f t="shared" si="5"/>
        <v>6.6118416666666668</v>
      </c>
      <c r="J1076" s="9">
        <f t="shared" si="5"/>
        <v>6.6081916666666656</v>
      </c>
      <c r="K1076" s="9">
        <f t="shared" si="5"/>
        <v>6.6118416666666668</v>
      </c>
      <c r="L1076" s="9">
        <f t="shared" si="5"/>
        <v>3.9989833333333333</v>
      </c>
      <c r="M1076" s="9">
        <f t="shared" si="5"/>
        <v>4.0026250000000001</v>
      </c>
      <c r="N1076" s="9">
        <f t="shared" si="5"/>
        <v>3.9989833333333333</v>
      </c>
      <c r="O1076" s="9">
        <f t="shared" si="5"/>
        <v>4.0026250000000001</v>
      </c>
    </row>
    <row r="1077" spans="1:15" ht="15" x14ac:dyDescent="0.2">
      <c r="A1077" s="10">
        <v>2019</v>
      </c>
      <c r="B1077" s="9">
        <f t="shared" ref="B1077:O1077" si="6">AVERAGE(B86:B97)</f>
        <v>3.2222999999999993</v>
      </c>
      <c r="C1077" s="9">
        <f t="shared" si="6"/>
        <v>3.2222999999999993</v>
      </c>
      <c r="D1077" s="9">
        <f t="shared" si="6"/>
        <v>3.2233750000000008</v>
      </c>
      <c r="E1077" s="9">
        <f t="shared" si="6"/>
        <v>4.0889833333333341</v>
      </c>
      <c r="F1077" s="9">
        <f t="shared" si="6"/>
        <v>4.0889833333333341</v>
      </c>
      <c r="G1077" s="9">
        <f t="shared" si="6"/>
        <v>4.092625</v>
      </c>
      <c r="H1077" s="9">
        <f t="shared" si="6"/>
        <v>6.7753166666666651</v>
      </c>
      <c r="I1077" s="9">
        <f t="shared" si="6"/>
        <v>6.7789499999999991</v>
      </c>
      <c r="J1077" s="9">
        <f t="shared" si="6"/>
        <v>6.7753166666666651</v>
      </c>
      <c r="K1077" s="9">
        <f t="shared" si="6"/>
        <v>6.7789499999999991</v>
      </c>
      <c r="L1077" s="9">
        <f t="shared" si="6"/>
        <v>4.0889833333333341</v>
      </c>
      <c r="M1077" s="9">
        <f t="shared" si="6"/>
        <v>4.092625</v>
      </c>
      <c r="N1077" s="9">
        <f t="shared" si="6"/>
        <v>4.0889833333333341</v>
      </c>
      <c r="O1077" s="9">
        <f t="shared" si="6"/>
        <v>4.092625</v>
      </c>
    </row>
    <row r="1078" spans="1:15" ht="15" x14ac:dyDescent="0.2">
      <c r="A1078" s="10">
        <v>2020</v>
      </c>
      <c r="B1078" s="9">
        <f t="shared" ref="B1078:O1078" si="7">AVERAGE(B98:B109)</f>
        <v>3.286566666666666</v>
      </c>
      <c r="C1078" s="9">
        <f t="shared" si="7"/>
        <v>3.286566666666666</v>
      </c>
      <c r="D1078" s="9">
        <f t="shared" si="7"/>
        <v>3.2876416666666661</v>
      </c>
      <c r="E1078" s="9">
        <f t="shared" si="7"/>
        <v>4.1808833333333331</v>
      </c>
      <c r="F1078" s="9">
        <f t="shared" si="7"/>
        <v>4.1808833333333331</v>
      </c>
      <c r="G1078" s="9">
        <f t="shared" si="7"/>
        <v>4.1845083333333326</v>
      </c>
      <c r="H1078" s="9">
        <f t="shared" si="7"/>
        <v>6.9466499999999991</v>
      </c>
      <c r="I1078" s="9">
        <f t="shared" si="7"/>
        <v>6.9503000000000013</v>
      </c>
      <c r="J1078" s="9">
        <f t="shared" si="7"/>
        <v>6.9466499999999991</v>
      </c>
      <c r="K1078" s="9">
        <f t="shared" si="7"/>
        <v>6.9503000000000013</v>
      </c>
      <c r="L1078" s="9">
        <f t="shared" si="7"/>
        <v>4.1808833333333331</v>
      </c>
      <c r="M1078" s="9">
        <f t="shared" si="7"/>
        <v>4.1845083333333326</v>
      </c>
      <c r="N1078" s="9">
        <f t="shared" si="7"/>
        <v>4.1808833333333331</v>
      </c>
      <c r="O1078" s="9">
        <f t="shared" si="7"/>
        <v>4.1845083333333326</v>
      </c>
    </row>
    <row r="1079" spans="1:15" ht="15" x14ac:dyDescent="0.2">
      <c r="A1079" s="10">
        <v>2021</v>
      </c>
      <c r="B1079" s="9">
        <f t="shared" ref="B1079:O1079" si="8">AVERAGE(B110:B121)</f>
        <v>3.3671249999999993</v>
      </c>
      <c r="C1079" s="9">
        <f t="shared" si="8"/>
        <v>3.3671249999999993</v>
      </c>
      <c r="D1079" s="9">
        <f t="shared" si="8"/>
        <v>3.3682083333333339</v>
      </c>
      <c r="E1079" s="9">
        <f t="shared" si="8"/>
        <v>4.2754583333333338</v>
      </c>
      <c r="F1079" s="9">
        <f t="shared" si="8"/>
        <v>4.2754583333333338</v>
      </c>
      <c r="G1079" s="9">
        <f t="shared" si="8"/>
        <v>4.2790999999999997</v>
      </c>
      <c r="H1079" s="9">
        <f t="shared" si="8"/>
        <v>7.1223333333333336</v>
      </c>
      <c r="I1079" s="9">
        <f t="shared" si="8"/>
        <v>7.1259583333333341</v>
      </c>
      <c r="J1079" s="9">
        <f t="shared" si="8"/>
        <v>7.1223333333333336</v>
      </c>
      <c r="K1079" s="9">
        <f t="shared" si="8"/>
        <v>7.1259583333333341</v>
      </c>
      <c r="L1079" s="9">
        <f t="shared" si="8"/>
        <v>4.2754583333333338</v>
      </c>
      <c r="M1079" s="9">
        <f t="shared" si="8"/>
        <v>4.2790999999999997</v>
      </c>
      <c r="N1079" s="9">
        <f t="shared" si="8"/>
        <v>4.2754583333333338</v>
      </c>
      <c r="O1079" s="9">
        <f t="shared" si="8"/>
        <v>4.2790999999999997</v>
      </c>
    </row>
    <row r="1080" spans="1:15" ht="15" x14ac:dyDescent="0.2">
      <c r="A1080" s="10">
        <v>2022</v>
      </c>
      <c r="B1080" s="9">
        <f t="shared" ref="B1080:O1080" si="9">AVERAGE(B122:B133)</f>
        <v>3.4470750000000003</v>
      </c>
      <c r="C1080" s="9">
        <f t="shared" si="9"/>
        <v>3.4470750000000003</v>
      </c>
      <c r="D1080" s="9">
        <f t="shared" si="9"/>
        <v>3.4481499999999996</v>
      </c>
      <c r="E1080" s="9">
        <f t="shared" si="9"/>
        <v>4.3818083333333337</v>
      </c>
      <c r="F1080" s="9">
        <f t="shared" si="9"/>
        <v>4.3818083333333337</v>
      </c>
      <c r="G1080" s="9">
        <f t="shared" si="9"/>
        <v>4.3854499999999996</v>
      </c>
      <c r="H1080" s="9">
        <f t="shared" si="9"/>
        <v>7.3024499999999994</v>
      </c>
      <c r="I1080" s="9">
        <f t="shared" si="9"/>
        <v>7.3060833333333335</v>
      </c>
      <c r="J1080" s="9">
        <f t="shared" si="9"/>
        <v>7.3024499999999994</v>
      </c>
      <c r="K1080" s="9">
        <f t="shared" si="9"/>
        <v>7.3060833333333335</v>
      </c>
      <c r="L1080" s="9">
        <f t="shared" si="9"/>
        <v>4.3818083333333337</v>
      </c>
      <c r="M1080" s="9">
        <f t="shared" si="9"/>
        <v>4.3854499999999996</v>
      </c>
      <c r="N1080" s="9">
        <f t="shared" si="9"/>
        <v>4.3818083333333337</v>
      </c>
      <c r="O1080" s="9">
        <f t="shared" si="9"/>
        <v>4.3854499999999996</v>
      </c>
    </row>
    <row r="1081" spans="1:15" ht="15" x14ac:dyDescent="0.2">
      <c r="A1081" s="10">
        <v>2023</v>
      </c>
      <c r="B1081" s="9">
        <f t="shared" ref="B1081:O1081" si="10">AVERAGE(B134:B145)</f>
        <v>3.5408249999999994</v>
      </c>
      <c r="C1081" s="9">
        <f t="shared" si="10"/>
        <v>3.5408249999999994</v>
      </c>
      <c r="D1081" s="9">
        <f t="shared" si="10"/>
        <v>3.5419166666666659</v>
      </c>
      <c r="E1081" s="9">
        <f t="shared" si="10"/>
        <v>4.490308333333334</v>
      </c>
      <c r="F1081" s="9">
        <f t="shared" si="10"/>
        <v>4.490308333333334</v>
      </c>
      <c r="G1081" s="9">
        <f t="shared" si="10"/>
        <v>4.4939249999999999</v>
      </c>
      <c r="H1081" s="9">
        <f t="shared" si="10"/>
        <v>7.4871083333333344</v>
      </c>
      <c r="I1081" s="9">
        <f t="shared" si="10"/>
        <v>7.4907333333333321</v>
      </c>
      <c r="J1081" s="9">
        <f t="shared" si="10"/>
        <v>7.4871083333333344</v>
      </c>
      <c r="K1081" s="9">
        <f t="shared" si="10"/>
        <v>7.4907333333333321</v>
      </c>
      <c r="L1081" s="9">
        <f t="shared" si="10"/>
        <v>4.490308333333334</v>
      </c>
      <c r="M1081" s="9">
        <f t="shared" si="10"/>
        <v>4.4939249999999999</v>
      </c>
      <c r="N1081" s="9">
        <f t="shared" si="10"/>
        <v>4.490308333333334</v>
      </c>
      <c r="O1081" s="9">
        <f t="shared" si="10"/>
        <v>4.4939249999999999</v>
      </c>
    </row>
    <row r="1082" spans="1:15" ht="15" x14ac:dyDescent="0.2">
      <c r="A1082" s="10">
        <v>2024</v>
      </c>
      <c r="B1082" s="9">
        <f t="shared" ref="B1082:O1082" si="11">AVERAGE(B146:B157)</f>
        <v>3.6291499999999997</v>
      </c>
      <c r="C1082" s="9">
        <f t="shared" si="11"/>
        <v>3.6291499999999997</v>
      </c>
      <c r="D1082" s="9">
        <f t="shared" si="11"/>
        <v>3.6302333333333343</v>
      </c>
      <c r="E1082" s="9">
        <f t="shared" si="11"/>
        <v>4.6075583333333325</v>
      </c>
      <c r="F1082" s="9">
        <f t="shared" si="11"/>
        <v>4.6075583333333325</v>
      </c>
      <c r="G1082" s="9">
        <f t="shared" si="11"/>
        <v>4.6111749999999994</v>
      </c>
      <c r="H1082" s="9">
        <f t="shared" si="11"/>
        <v>7.6764416666666664</v>
      </c>
      <c r="I1082" s="9">
        <f t="shared" si="11"/>
        <v>7.6800666666666659</v>
      </c>
      <c r="J1082" s="9">
        <f t="shared" si="11"/>
        <v>7.6764416666666664</v>
      </c>
      <c r="K1082" s="9">
        <f t="shared" si="11"/>
        <v>7.6800666666666659</v>
      </c>
      <c r="L1082" s="9">
        <f t="shared" si="11"/>
        <v>4.6075583333333325</v>
      </c>
      <c r="M1082" s="9">
        <f t="shared" si="11"/>
        <v>4.6111749999999994</v>
      </c>
      <c r="N1082" s="9">
        <f t="shared" si="11"/>
        <v>4.6075583333333325</v>
      </c>
      <c r="O1082" s="9">
        <f t="shared" si="11"/>
        <v>4.6111749999999994</v>
      </c>
    </row>
    <row r="1083" spans="1:15" ht="15" x14ac:dyDescent="0.2">
      <c r="A1083" s="10">
        <v>2025</v>
      </c>
      <c r="B1083" s="9">
        <f t="shared" ref="B1083:O1083" si="12">AVERAGE(B158:B169)</f>
        <v>3.7209500000000002</v>
      </c>
      <c r="C1083" s="9">
        <f t="shared" si="12"/>
        <v>3.7209500000000002</v>
      </c>
      <c r="D1083" s="9">
        <f t="shared" si="12"/>
        <v>3.7220333333333322</v>
      </c>
      <c r="E1083" s="9">
        <f t="shared" si="12"/>
        <v>4.7325583333333325</v>
      </c>
      <c r="F1083" s="9">
        <f t="shared" si="12"/>
        <v>4.7325583333333325</v>
      </c>
      <c r="G1083" s="9">
        <f t="shared" si="12"/>
        <v>4.7362083333333329</v>
      </c>
      <c r="H1083" s="9">
        <f t="shared" si="12"/>
        <v>7.870566666666666</v>
      </c>
      <c r="I1083" s="9">
        <f t="shared" si="12"/>
        <v>7.8741916666666674</v>
      </c>
      <c r="J1083" s="9">
        <f t="shared" si="12"/>
        <v>7.870566666666666</v>
      </c>
      <c r="K1083" s="9">
        <f t="shared" si="12"/>
        <v>7.8741916666666674</v>
      </c>
      <c r="L1083" s="9">
        <f t="shared" si="12"/>
        <v>4.7325583333333325</v>
      </c>
      <c r="M1083" s="9">
        <f t="shared" si="12"/>
        <v>4.7362083333333329</v>
      </c>
      <c r="N1083" s="9">
        <f t="shared" si="12"/>
        <v>4.7325583333333325</v>
      </c>
      <c r="O1083" s="9">
        <f t="shared" si="12"/>
        <v>4.7362083333333329</v>
      </c>
    </row>
    <row r="1084" spans="1:15" ht="15" x14ac:dyDescent="0.2">
      <c r="A1084" s="10">
        <v>2026</v>
      </c>
      <c r="B1084" s="9">
        <f t="shared" ref="B1084:O1084" si="13">AVERAGE(B170:B181)</f>
        <v>3.8184083333333336</v>
      </c>
      <c r="C1084" s="9">
        <f t="shared" si="13"/>
        <v>3.8184083333333336</v>
      </c>
      <c r="D1084" s="9">
        <f t="shared" si="13"/>
        <v>3.8194999999999997</v>
      </c>
      <c r="E1084" s="9">
        <f t="shared" si="13"/>
        <v>4.8625583333333324</v>
      </c>
      <c r="F1084" s="9">
        <f t="shared" si="13"/>
        <v>4.8625583333333324</v>
      </c>
      <c r="G1084" s="9">
        <f t="shared" si="13"/>
        <v>4.8661833333333337</v>
      </c>
      <c r="H1084" s="9">
        <f t="shared" si="13"/>
        <v>8.0696000000000012</v>
      </c>
      <c r="I1084" s="9">
        <f t="shared" si="13"/>
        <v>8.0732250000000008</v>
      </c>
      <c r="J1084" s="9">
        <f t="shared" si="13"/>
        <v>8.0696000000000012</v>
      </c>
      <c r="K1084" s="9">
        <f t="shared" si="13"/>
        <v>8.0732250000000008</v>
      </c>
      <c r="L1084" s="9">
        <f t="shared" si="13"/>
        <v>4.8625583333333324</v>
      </c>
      <c r="M1084" s="9">
        <f t="shared" si="13"/>
        <v>4.8661833333333337</v>
      </c>
      <c r="N1084" s="9">
        <f t="shared" si="13"/>
        <v>4.8625583333333324</v>
      </c>
      <c r="O1084" s="9">
        <f t="shared" si="13"/>
        <v>4.8661833333333337</v>
      </c>
    </row>
    <row r="1085" spans="1:15" ht="15" x14ac:dyDescent="0.2">
      <c r="A1085" s="10">
        <v>2027</v>
      </c>
      <c r="B1085" s="9">
        <f t="shared" ref="B1085:O1085" si="14">AVERAGE(B182:B193)</f>
        <v>3.9176666666666669</v>
      </c>
      <c r="C1085" s="9">
        <f t="shared" si="14"/>
        <v>3.9176666666666669</v>
      </c>
      <c r="D1085" s="9">
        <f t="shared" si="14"/>
        <v>3.9187249999999998</v>
      </c>
      <c r="E1085" s="9">
        <f t="shared" si="14"/>
        <v>4.9883083333333325</v>
      </c>
      <c r="F1085" s="9">
        <f t="shared" si="14"/>
        <v>4.9883083333333325</v>
      </c>
      <c r="G1085" s="9">
        <f t="shared" si="14"/>
        <v>4.9919500000000001</v>
      </c>
      <c r="H1085" s="9">
        <f t="shared" si="14"/>
        <v>8.2736666666666654</v>
      </c>
      <c r="I1085" s="9">
        <f t="shared" si="14"/>
        <v>8.2773000000000003</v>
      </c>
      <c r="J1085" s="9">
        <f t="shared" si="14"/>
        <v>8.2736666666666654</v>
      </c>
      <c r="K1085" s="9">
        <f t="shared" si="14"/>
        <v>8.2773000000000003</v>
      </c>
      <c r="L1085" s="9">
        <f t="shared" si="14"/>
        <v>4.9883083333333325</v>
      </c>
      <c r="M1085" s="9">
        <f t="shared" si="14"/>
        <v>4.9919500000000001</v>
      </c>
      <c r="N1085" s="9">
        <f t="shared" si="14"/>
        <v>4.9883083333333325</v>
      </c>
      <c r="O1085" s="9">
        <f t="shared" si="14"/>
        <v>4.9919500000000001</v>
      </c>
    </row>
    <row r="1086" spans="1:15" ht="15" x14ac:dyDescent="0.2">
      <c r="A1086" s="10">
        <v>2028</v>
      </c>
      <c r="B1086" s="9">
        <f t="shared" ref="B1086:O1086" si="15">AVERAGE(B194:B205)</f>
        <v>4.0231749999999984</v>
      </c>
      <c r="C1086" s="9">
        <f t="shared" si="15"/>
        <v>4.0231749999999984</v>
      </c>
      <c r="D1086" s="9">
        <f t="shared" si="15"/>
        <v>4.024258333333333</v>
      </c>
      <c r="E1086" s="9">
        <f t="shared" si="15"/>
        <v>5.121858333333333</v>
      </c>
      <c r="F1086" s="9">
        <f t="shared" si="15"/>
        <v>5.121858333333333</v>
      </c>
      <c r="G1086" s="9">
        <f t="shared" si="15"/>
        <v>5.1254749999999998</v>
      </c>
      <c r="H1086" s="9">
        <f t="shared" si="15"/>
        <v>8.4828916666666672</v>
      </c>
      <c r="I1086" s="9">
        <f t="shared" si="15"/>
        <v>8.4865249999999985</v>
      </c>
      <c r="J1086" s="9">
        <f t="shared" si="15"/>
        <v>8.4828916666666672</v>
      </c>
      <c r="K1086" s="9">
        <f t="shared" si="15"/>
        <v>8.4865249999999985</v>
      </c>
      <c r="L1086" s="9">
        <f t="shared" si="15"/>
        <v>5.121858333333333</v>
      </c>
      <c r="M1086" s="9">
        <f t="shared" si="15"/>
        <v>5.1254749999999998</v>
      </c>
      <c r="N1086" s="9">
        <f t="shared" si="15"/>
        <v>5.121858333333333</v>
      </c>
      <c r="O1086" s="9">
        <f t="shared" si="15"/>
        <v>5.1254749999999998</v>
      </c>
    </row>
    <row r="1087" spans="1:15" ht="15" x14ac:dyDescent="0.2">
      <c r="A1087" s="10">
        <v>2029</v>
      </c>
      <c r="B1087" s="9">
        <f t="shared" ref="B1087:O1087" si="16">AVERAGE(B206:B217)</f>
        <v>4.1202916666666676</v>
      </c>
      <c r="C1087" s="9">
        <f t="shared" si="16"/>
        <v>4.1202916666666676</v>
      </c>
      <c r="D1087" s="9">
        <f t="shared" si="16"/>
        <v>4.1213500000000005</v>
      </c>
      <c r="E1087" s="9">
        <f t="shared" si="16"/>
        <v>5.2511833333333335</v>
      </c>
      <c r="F1087" s="9">
        <f t="shared" si="16"/>
        <v>5.2511833333333335</v>
      </c>
      <c r="G1087" s="9">
        <f t="shared" si="16"/>
        <v>5.2547999999999995</v>
      </c>
      <c r="H1087" s="9">
        <f t="shared" si="16"/>
        <v>8.6974166666666672</v>
      </c>
      <c r="I1087" s="9">
        <f t="shared" si="16"/>
        <v>8.7010416666666686</v>
      </c>
      <c r="J1087" s="9">
        <f t="shared" si="16"/>
        <v>8.6974166666666672</v>
      </c>
      <c r="K1087" s="9">
        <f t="shared" si="16"/>
        <v>8.7010416666666686</v>
      </c>
      <c r="L1087" s="9">
        <f t="shared" si="16"/>
        <v>5.2511833333333335</v>
      </c>
      <c r="M1087" s="9">
        <f t="shared" si="16"/>
        <v>5.2547999999999995</v>
      </c>
      <c r="N1087" s="9">
        <f t="shared" si="16"/>
        <v>5.2511833333333335</v>
      </c>
      <c r="O1087" s="9">
        <f t="shared" si="16"/>
        <v>5.2547999999999995</v>
      </c>
    </row>
    <row r="1088" spans="1:15" ht="15" x14ac:dyDescent="0.2">
      <c r="A1088" s="10">
        <v>2030</v>
      </c>
      <c r="B1088" s="9">
        <f t="shared" ref="B1088:O1088" si="17">AVERAGE(B218:B229)</f>
        <v>4.2197500000000003</v>
      </c>
      <c r="C1088" s="9">
        <f t="shared" si="17"/>
        <v>4.2197500000000003</v>
      </c>
      <c r="D1088" s="9">
        <f t="shared" si="17"/>
        <v>4.2208250000000005</v>
      </c>
      <c r="E1088" s="9">
        <f t="shared" si="17"/>
        <v>5.3853833333333334</v>
      </c>
      <c r="F1088" s="9">
        <f t="shared" si="17"/>
        <v>5.3853833333333334</v>
      </c>
      <c r="G1088" s="9">
        <f t="shared" si="17"/>
        <v>5.3890250000000002</v>
      </c>
      <c r="H1088" s="9">
        <f t="shared" si="17"/>
        <v>8.9173500000000008</v>
      </c>
      <c r="I1088" s="9">
        <f t="shared" si="17"/>
        <v>8.9209833333333322</v>
      </c>
      <c r="J1088" s="9">
        <f t="shared" si="17"/>
        <v>8.9173500000000008</v>
      </c>
      <c r="K1088" s="9">
        <f t="shared" si="17"/>
        <v>8.9209833333333322</v>
      </c>
      <c r="L1088" s="9">
        <f t="shared" si="17"/>
        <v>5.3853833333333334</v>
      </c>
      <c r="M1088" s="9">
        <f t="shared" si="17"/>
        <v>5.3890250000000002</v>
      </c>
      <c r="N1088" s="9">
        <f t="shared" si="17"/>
        <v>5.3853833333333334</v>
      </c>
      <c r="O1088" s="9">
        <f t="shared" si="17"/>
        <v>5.3890250000000002</v>
      </c>
    </row>
    <row r="1089" spans="1:15" ht="15" x14ac:dyDescent="0.2">
      <c r="A1089" s="10">
        <v>2031</v>
      </c>
      <c r="B1089" s="9">
        <f t="shared" ref="B1089:O1089" si="18">AVERAGE(B230:B241)</f>
        <v>4.319983333333334</v>
      </c>
      <c r="C1089" s="9">
        <f t="shared" si="18"/>
        <v>4.319983333333334</v>
      </c>
      <c r="D1089" s="9">
        <f t="shared" si="18"/>
        <v>4.3210833333333332</v>
      </c>
      <c r="E1089" s="9">
        <f t="shared" si="18"/>
        <v>5.5212583333333329</v>
      </c>
      <c r="F1089" s="9">
        <f t="shared" si="18"/>
        <v>5.5212583333333329</v>
      </c>
      <c r="G1089" s="9">
        <f t="shared" si="18"/>
        <v>5.5249000000000015</v>
      </c>
      <c r="H1089" s="9">
        <f t="shared" si="18"/>
        <v>9.1428750000000019</v>
      </c>
      <c r="I1089" s="9">
        <f t="shared" si="18"/>
        <v>9.146491666666666</v>
      </c>
      <c r="J1089" s="9">
        <f t="shared" si="18"/>
        <v>9.1428750000000019</v>
      </c>
      <c r="K1089" s="9">
        <f t="shared" si="18"/>
        <v>9.146491666666666</v>
      </c>
      <c r="L1089" s="9">
        <f t="shared" si="18"/>
        <v>5.5212583333333329</v>
      </c>
      <c r="M1089" s="9">
        <f t="shared" si="18"/>
        <v>5.5249000000000015</v>
      </c>
      <c r="N1089" s="9">
        <f t="shared" si="18"/>
        <v>5.5212583333333329</v>
      </c>
      <c r="O1089" s="9">
        <f t="shared" si="18"/>
        <v>5.5249000000000015</v>
      </c>
    </row>
    <row r="1090" spans="1:15" ht="15" x14ac:dyDescent="0.2">
      <c r="A1090" s="10">
        <v>2032</v>
      </c>
      <c r="B1090" s="9">
        <f t="shared" ref="B1090:O1090" si="19">AVERAGE(B242:B253)</f>
        <v>4.4233666666666664</v>
      </c>
      <c r="C1090" s="9">
        <f t="shared" si="19"/>
        <v>4.4233666666666664</v>
      </c>
      <c r="D1090" s="9">
        <f t="shared" si="19"/>
        <v>4.4244416666666666</v>
      </c>
      <c r="E1090" s="9">
        <f t="shared" si="19"/>
        <v>5.6636583333333341</v>
      </c>
      <c r="F1090" s="9">
        <f t="shared" si="19"/>
        <v>5.6636583333333341</v>
      </c>
      <c r="G1090" s="9">
        <f t="shared" si="19"/>
        <v>5.6673</v>
      </c>
      <c r="H1090" s="9">
        <f t="shared" si="19"/>
        <v>9.3740666666666659</v>
      </c>
      <c r="I1090" s="9">
        <f t="shared" si="19"/>
        <v>9.3777083333333326</v>
      </c>
      <c r="J1090" s="9">
        <f t="shared" si="19"/>
        <v>9.3740666666666659</v>
      </c>
      <c r="K1090" s="9">
        <f t="shared" si="19"/>
        <v>9.3777083333333326</v>
      </c>
      <c r="L1090" s="9">
        <f t="shared" si="19"/>
        <v>5.6636583333333341</v>
      </c>
      <c r="M1090" s="9">
        <f t="shared" si="19"/>
        <v>5.6673</v>
      </c>
      <c r="N1090" s="9">
        <f t="shared" si="19"/>
        <v>5.6636583333333341</v>
      </c>
      <c r="O1090" s="9">
        <f t="shared" si="19"/>
        <v>5.6673</v>
      </c>
    </row>
    <row r="1091" spans="1:15" ht="15" x14ac:dyDescent="0.2">
      <c r="A1091" s="10">
        <v>2033</v>
      </c>
      <c r="B1091" s="9">
        <f t="shared" ref="B1091:O1091" si="20">AVERAGE(B254:B265)</f>
        <v>4.5277250000000011</v>
      </c>
      <c r="C1091" s="9">
        <f t="shared" si="20"/>
        <v>4.5277250000000011</v>
      </c>
      <c r="D1091" s="9">
        <f t="shared" si="20"/>
        <v>4.5288083333333331</v>
      </c>
      <c r="E1091" s="9">
        <f t="shared" si="20"/>
        <v>5.8086833333333336</v>
      </c>
      <c r="F1091" s="9">
        <f t="shared" si="20"/>
        <v>5.8086833333333336</v>
      </c>
      <c r="G1091" s="9">
        <f t="shared" si="20"/>
        <v>5.8123000000000005</v>
      </c>
      <c r="H1091" s="9">
        <f t="shared" si="20"/>
        <v>9.6111166666666676</v>
      </c>
      <c r="I1091" s="9">
        <f t="shared" si="20"/>
        <v>9.6147583333333326</v>
      </c>
      <c r="J1091" s="9">
        <f t="shared" si="20"/>
        <v>9.6111166666666676</v>
      </c>
      <c r="K1091" s="9">
        <f t="shared" si="20"/>
        <v>9.6147583333333326</v>
      </c>
      <c r="L1091" s="9">
        <f t="shared" si="20"/>
        <v>5.8086833333333336</v>
      </c>
      <c r="M1091" s="9">
        <f t="shared" si="20"/>
        <v>5.8123000000000005</v>
      </c>
      <c r="N1091" s="9">
        <f t="shared" si="20"/>
        <v>5.8086833333333336</v>
      </c>
      <c r="O1091" s="9">
        <f t="shared" si="20"/>
        <v>5.8123000000000005</v>
      </c>
    </row>
    <row r="1092" spans="1:15" ht="15" x14ac:dyDescent="0.2">
      <c r="A1092" s="10">
        <v>2034</v>
      </c>
      <c r="B1092" s="9">
        <f t="shared" ref="B1092:O1092" si="21">AVERAGE(B266:B277)</f>
        <v>4.6365749999999997</v>
      </c>
      <c r="C1092" s="9">
        <f t="shared" si="21"/>
        <v>4.6365749999999997</v>
      </c>
      <c r="D1092" s="9">
        <f t="shared" si="21"/>
        <v>4.6376499999999998</v>
      </c>
      <c r="E1092" s="9">
        <f t="shared" si="21"/>
        <v>5.9626083333333346</v>
      </c>
      <c r="F1092" s="9">
        <f t="shared" si="21"/>
        <v>5.9626083333333346</v>
      </c>
      <c r="G1092" s="9">
        <f t="shared" si="21"/>
        <v>5.9662499999999996</v>
      </c>
      <c r="H1092" s="9">
        <f t="shared" si="21"/>
        <v>9.8541833333333333</v>
      </c>
      <c r="I1092" s="9">
        <f t="shared" si="21"/>
        <v>9.8578083333333311</v>
      </c>
      <c r="J1092" s="9">
        <f t="shared" si="21"/>
        <v>9.8541833333333333</v>
      </c>
      <c r="K1092" s="9">
        <f t="shared" si="21"/>
        <v>9.8578083333333311</v>
      </c>
      <c r="L1092" s="9">
        <f t="shared" si="21"/>
        <v>5.9626083333333346</v>
      </c>
      <c r="M1092" s="9">
        <f t="shared" si="21"/>
        <v>5.9662499999999996</v>
      </c>
      <c r="N1092" s="9">
        <f t="shared" si="21"/>
        <v>5.9626083333333346</v>
      </c>
      <c r="O1092" s="9">
        <f t="shared" si="21"/>
        <v>5.9662499999999996</v>
      </c>
    </row>
    <row r="1093" spans="1:15" ht="15" x14ac:dyDescent="0.2">
      <c r="A1093" s="10">
        <v>2035</v>
      </c>
      <c r="B1093" s="9">
        <f t="shared" ref="B1093:O1093" si="22">AVERAGE(B278:B289)</f>
        <v>4.7452499999999995</v>
      </c>
      <c r="C1093" s="9">
        <f t="shared" si="22"/>
        <v>4.7452499999999995</v>
      </c>
      <c r="D1093" s="9">
        <f t="shared" si="22"/>
        <v>4.7463416666666669</v>
      </c>
      <c r="E1093" s="9">
        <f t="shared" si="22"/>
        <v>6.2283083333333344</v>
      </c>
      <c r="F1093" s="9">
        <f t="shared" si="22"/>
        <v>6.2283083333333344</v>
      </c>
      <c r="G1093" s="9">
        <f t="shared" si="22"/>
        <v>6.2319333333333331</v>
      </c>
      <c r="H1093" s="9">
        <f t="shared" si="22"/>
        <v>10.103366666666666</v>
      </c>
      <c r="I1093" s="9">
        <f t="shared" si="22"/>
        <v>10.107008333333333</v>
      </c>
      <c r="J1093" s="9">
        <f t="shared" si="22"/>
        <v>10.103366666666666</v>
      </c>
      <c r="K1093" s="9">
        <f t="shared" si="22"/>
        <v>10.107008333333333</v>
      </c>
      <c r="L1093" s="9">
        <f t="shared" si="22"/>
        <v>6.2283083333333344</v>
      </c>
      <c r="M1093" s="9">
        <f t="shared" si="22"/>
        <v>6.2319333333333331</v>
      </c>
      <c r="N1093" s="9">
        <f t="shared" si="22"/>
        <v>6.2283083333333344</v>
      </c>
      <c r="O1093" s="9">
        <f t="shared" si="22"/>
        <v>6.2319333333333331</v>
      </c>
    </row>
    <row r="1094" spans="1:15" ht="15" x14ac:dyDescent="0.2">
      <c r="A1094" s="10">
        <v>2036</v>
      </c>
      <c r="B1094" s="9">
        <f t="shared" ref="B1094:O1094" si="23">AVERAGE(B290:B301)</f>
        <v>4.8552916666666661</v>
      </c>
      <c r="C1094" s="9">
        <f t="shared" si="23"/>
        <v>4.8552916666666661</v>
      </c>
      <c r="D1094" s="9">
        <f t="shared" si="23"/>
        <v>4.8563666666666672</v>
      </c>
      <c r="E1094" s="9">
        <f t="shared" si="23"/>
        <v>6.4622250000000001</v>
      </c>
      <c r="F1094" s="9">
        <f t="shared" si="23"/>
        <v>6.4622250000000001</v>
      </c>
      <c r="G1094" s="9">
        <f t="shared" si="23"/>
        <v>6.465866666666666</v>
      </c>
      <c r="H1094" s="9">
        <f t="shared" si="23"/>
        <v>10.358874999999999</v>
      </c>
      <c r="I1094" s="9">
        <f t="shared" si="23"/>
        <v>10.362508333333333</v>
      </c>
      <c r="J1094" s="9">
        <f t="shared" si="23"/>
        <v>10.358874999999999</v>
      </c>
      <c r="K1094" s="9">
        <f t="shared" si="23"/>
        <v>10.362508333333333</v>
      </c>
      <c r="L1094" s="9">
        <f t="shared" si="23"/>
        <v>6.4622250000000001</v>
      </c>
      <c r="M1094" s="9">
        <f t="shared" si="23"/>
        <v>6.465866666666666</v>
      </c>
      <c r="N1094" s="9">
        <f t="shared" si="23"/>
        <v>6.4622250000000001</v>
      </c>
      <c r="O1094" s="9">
        <f t="shared" si="23"/>
        <v>6.465866666666666</v>
      </c>
    </row>
    <row r="1095" spans="1:15" ht="15" x14ac:dyDescent="0.2">
      <c r="A1095" s="10">
        <v>2037</v>
      </c>
      <c r="B1095" s="9">
        <f t="shared" ref="B1095:O1095" si="24">AVERAGE(B302:B313)</f>
        <v>4.964783333333334</v>
      </c>
      <c r="C1095" s="9">
        <f t="shared" si="24"/>
        <v>4.964783333333334</v>
      </c>
      <c r="D1095" s="9">
        <f t="shared" si="24"/>
        <v>4.9658833333333332</v>
      </c>
      <c r="E1095" s="9">
        <f t="shared" si="24"/>
        <v>6.5224749999999991</v>
      </c>
      <c r="F1095" s="9">
        <f t="shared" si="24"/>
        <v>6.5224749999999991</v>
      </c>
      <c r="G1095" s="9">
        <f t="shared" si="24"/>
        <v>6.5261083333333332</v>
      </c>
      <c r="H1095" s="9">
        <f t="shared" si="24"/>
        <v>10.620850000000001</v>
      </c>
      <c r="I1095" s="9">
        <f t="shared" si="24"/>
        <v>10.624474999999999</v>
      </c>
      <c r="J1095" s="9">
        <f t="shared" si="24"/>
        <v>10.620850000000001</v>
      </c>
      <c r="K1095" s="9">
        <f t="shared" si="24"/>
        <v>10.624474999999999</v>
      </c>
      <c r="L1095" s="9">
        <f t="shared" si="24"/>
        <v>6.5224749999999991</v>
      </c>
      <c r="M1095" s="9">
        <f t="shared" si="24"/>
        <v>6.5261083333333332</v>
      </c>
      <c r="N1095" s="9">
        <f t="shared" si="24"/>
        <v>6.5224749999999991</v>
      </c>
      <c r="O1095" s="9">
        <f t="shared" si="24"/>
        <v>6.5261083333333332</v>
      </c>
    </row>
    <row r="1096" spans="1:15" ht="15" x14ac:dyDescent="0.2">
      <c r="A1096" s="10">
        <v>2038</v>
      </c>
      <c r="B1096" s="9">
        <f t="shared" ref="B1096:O1096" si="25">AVERAGE(B314:B325)</f>
        <v>5.078008333333333</v>
      </c>
      <c r="C1096" s="9">
        <f t="shared" si="25"/>
        <v>5.078008333333333</v>
      </c>
      <c r="D1096" s="9">
        <f t="shared" si="25"/>
        <v>5.0790750000000005</v>
      </c>
      <c r="E1096" s="9">
        <f t="shared" si="25"/>
        <v>6.5534166666666671</v>
      </c>
      <c r="F1096" s="9">
        <f t="shared" si="25"/>
        <v>6.5534166666666671</v>
      </c>
      <c r="G1096" s="9">
        <f t="shared" si="25"/>
        <v>6.5570666666666666</v>
      </c>
      <c r="H1096" s="9">
        <f t="shared" si="25"/>
        <v>10.88940833333333</v>
      </c>
      <c r="I1096" s="9">
        <f t="shared" si="25"/>
        <v>10.893050000000001</v>
      </c>
      <c r="J1096" s="9">
        <f t="shared" si="25"/>
        <v>10.88940833333333</v>
      </c>
      <c r="K1096" s="9">
        <f t="shared" si="25"/>
        <v>10.893050000000001</v>
      </c>
      <c r="L1096" s="9">
        <f t="shared" si="25"/>
        <v>6.5534166666666671</v>
      </c>
      <c r="M1096" s="9">
        <f t="shared" si="25"/>
        <v>6.5570666666666666</v>
      </c>
      <c r="N1096" s="9">
        <f t="shared" si="25"/>
        <v>6.5534166666666671</v>
      </c>
      <c r="O1096" s="9">
        <f t="shared" si="25"/>
        <v>6.5570666666666666</v>
      </c>
    </row>
    <row r="1097" spans="1:15" ht="15" x14ac:dyDescent="0.2">
      <c r="A1097" s="10">
        <v>2039</v>
      </c>
      <c r="B1097" s="9">
        <f t="shared" ref="B1097:O1097" si="26">AVERAGE(B326:B337)</f>
        <v>5.1910833333333333</v>
      </c>
      <c r="C1097" s="9">
        <f t="shared" si="26"/>
        <v>5.1910833333333333</v>
      </c>
      <c r="D1097" s="9">
        <f t="shared" si="26"/>
        <v>5.1921500000000007</v>
      </c>
      <c r="E1097" s="9">
        <f t="shared" si="26"/>
        <v>6.5795250000000003</v>
      </c>
      <c r="F1097" s="9">
        <f t="shared" si="26"/>
        <v>6.5795250000000003</v>
      </c>
      <c r="G1097" s="9">
        <f t="shared" si="26"/>
        <v>6.5831666666666671</v>
      </c>
      <c r="H1097" s="9">
        <f t="shared" si="26"/>
        <v>11.164791666666666</v>
      </c>
      <c r="I1097" s="9">
        <f t="shared" si="26"/>
        <v>11.168441666666666</v>
      </c>
      <c r="J1097" s="9">
        <f t="shared" si="26"/>
        <v>11.164791666666666</v>
      </c>
      <c r="K1097" s="9">
        <f t="shared" si="26"/>
        <v>11.168441666666666</v>
      </c>
      <c r="L1097" s="9">
        <f t="shared" si="26"/>
        <v>6.5795250000000003</v>
      </c>
      <c r="M1097" s="9">
        <f t="shared" si="26"/>
        <v>6.5831666666666671</v>
      </c>
      <c r="N1097" s="9">
        <f t="shared" si="26"/>
        <v>6.5795250000000003</v>
      </c>
      <c r="O1097" s="9">
        <f t="shared" si="26"/>
        <v>6.5831666666666671</v>
      </c>
    </row>
    <row r="1098" spans="1:15" ht="15" x14ac:dyDescent="0.2">
      <c r="A1098" s="10">
        <v>2040</v>
      </c>
      <c r="B1098" s="9">
        <f t="shared" ref="B1098:O1098" si="27">AVERAGE(B338:B349)</f>
        <v>5.3088083333333334</v>
      </c>
      <c r="C1098" s="9">
        <f t="shared" si="27"/>
        <v>5.3088083333333334</v>
      </c>
      <c r="D1098" s="9">
        <f t="shared" si="27"/>
        <v>5.3098833333333326</v>
      </c>
      <c r="E1098" s="9">
        <f t="shared" si="27"/>
        <v>6.6098166666666671</v>
      </c>
      <c r="F1098" s="9">
        <f t="shared" si="27"/>
        <v>6.6098166666666671</v>
      </c>
      <c r="G1098" s="9">
        <f t="shared" si="27"/>
        <v>6.6134333333333331</v>
      </c>
      <c r="H1098" s="9">
        <f t="shared" si="27"/>
        <v>11.447141666666667</v>
      </c>
      <c r="I1098" s="9">
        <f t="shared" si="27"/>
        <v>11.450791666666667</v>
      </c>
      <c r="J1098" s="9">
        <f t="shared" si="27"/>
        <v>11.447141666666667</v>
      </c>
      <c r="K1098" s="9">
        <f t="shared" si="27"/>
        <v>11.450791666666667</v>
      </c>
      <c r="L1098" s="9">
        <f t="shared" si="27"/>
        <v>6.6098166666666671</v>
      </c>
      <c r="M1098" s="9">
        <f t="shared" si="27"/>
        <v>6.6134333333333331</v>
      </c>
      <c r="N1098" s="9">
        <f t="shared" si="27"/>
        <v>6.6098166666666671</v>
      </c>
      <c r="O1098" s="9">
        <f t="shared" si="27"/>
        <v>6.6134333333333331</v>
      </c>
    </row>
    <row r="1099" spans="1:15" ht="15" x14ac:dyDescent="0.2">
      <c r="A1099" s="10">
        <v>2041</v>
      </c>
      <c r="B1099" s="9">
        <f t="shared" ref="B1099:O1099" si="28">AVERAGE(B350:B361)</f>
        <v>5.4292249999999989</v>
      </c>
      <c r="C1099" s="9">
        <f t="shared" si="28"/>
        <v>5.4292249999999989</v>
      </c>
      <c r="D1099" s="9">
        <f t="shared" si="28"/>
        <v>5.4302916666666681</v>
      </c>
      <c r="E1099" s="9">
        <f t="shared" si="28"/>
        <v>6.6418999999999997</v>
      </c>
      <c r="F1099" s="9">
        <f t="shared" si="28"/>
        <v>6.6418999999999997</v>
      </c>
      <c r="G1099" s="9">
        <f t="shared" si="28"/>
        <v>6.6455250000000001</v>
      </c>
      <c r="H1099" s="9">
        <f t="shared" si="28"/>
        <v>11.736591666666667</v>
      </c>
      <c r="I1099" s="9">
        <f t="shared" si="28"/>
        <v>11.740241666666668</v>
      </c>
      <c r="J1099" s="9">
        <f t="shared" si="28"/>
        <v>11.736591666666667</v>
      </c>
      <c r="K1099" s="9">
        <f t="shared" si="28"/>
        <v>11.740241666666668</v>
      </c>
      <c r="L1099" s="9">
        <f t="shared" si="28"/>
        <v>6.6418999999999997</v>
      </c>
      <c r="M1099" s="9">
        <f t="shared" si="28"/>
        <v>6.6455250000000001</v>
      </c>
      <c r="N1099" s="9">
        <f t="shared" si="28"/>
        <v>6.6418999999999997</v>
      </c>
      <c r="O1099" s="9">
        <f t="shared" si="28"/>
        <v>6.6455250000000001</v>
      </c>
    </row>
    <row r="1100" spans="1:15" ht="15" x14ac:dyDescent="0.2">
      <c r="A1100" s="10">
        <v>2042</v>
      </c>
      <c r="B1100" s="9">
        <f t="shared" ref="B1100:O1100" si="29">AVERAGE(B362:B373)</f>
        <v>5.5523500000000006</v>
      </c>
      <c r="C1100" s="9">
        <f t="shared" si="29"/>
        <v>5.5523500000000006</v>
      </c>
      <c r="D1100" s="9">
        <f t="shared" si="29"/>
        <v>5.5534416666666653</v>
      </c>
      <c r="E1100" s="9">
        <f t="shared" si="29"/>
        <v>6.6758083333333333</v>
      </c>
      <c r="F1100" s="9">
        <f t="shared" si="29"/>
        <v>6.6758083333333333</v>
      </c>
      <c r="G1100" s="9">
        <f t="shared" si="29"/>
        <v>6.6794500000000001</v>
      </c>
      <c r="H1100" s="9">
        <f t="shared" si="29"/>
        <v>12.033416666666668</v>
      </c>
      <c r="I1100" s="9">
        <f t="shared" si="29"/>
        <v>12.037058333333334</v>
      </c>
      <c r="J1100" s="9">
        <f t="shared" si="29"/>
        <v>12.033416666666668</v>
      </c>
      <c r="K1100" s="9">
        <f t="shared" si="29"/>
        <v>12.037058333333334</v>
      </c>
      <c r="L1100" s="9">
        <f t="shared" si="29"/>
        <v>6.6758083333333333</v>
      </c>
      <c r="M1100" s="9">
        <f t="shared" si="29"/>
        <v>6.6794500000000001</v>
      </c>
      <c r="N1100" s="9">
        <f t="shared" si="29"/>
        <v>6.6758083333333333</v>
      </c>
      <c r="O1100" s="9">
        <f t="shared" si="29"/>
        <v>6.6794500000000001</v>
      </c>
    </row>
    <row r="1101" spans="1:15" ht="15" x14ac:dyDescent="0.2">
      <c r="A1101" s="10">
        <v>2043</v>
      </c>
      <c r="B1101" s="9">
        <f t="shared" ref="B1101:O1101" si="30">AVERAGE(B374:B385)</f>
        <v>5.6783000000000001</v>
      </c>
      <c r="C1101" s="9">
        <f t="shared" si="30"/>
        <v>5.6783000000000001</v>
      </c>
      <c r="D1101" s="9">
        <f t="shared" si="30"/>
        <v>5.6793750000000003</v>
      </c>
      <c r="E1101" s="9">
        <f t="shared" si="30"/>
        <v>6.7116250000000006</v>
      </c>
      <c r="F1101" s="9">
        <f t="shared" si="30"/>
        <v>6.7116250000000006</v>
      </c>
      <c r="G1101" s="9">
        <f t="shared" si="30"/>
        <v>6.7152583333333338</v>
      </c>
      <c r="H1101" s="9">
        <f t="shared" si="30"/>
        <v>12.337741666666666</v>
      </c>
      <c r="I1101" s="9">
        <f t="shared" si="30"/>
        <v>12.341366666666667</v>
      </c>
      <c r="J1101" s="9">
        <f t="shared" si="30"/>
        <v>12.337741666666666</v>
      </c>
      <c r="K1101" s="9">
        <f t="shared" si="30"/>
        <v>12.341366666666667</v>
      </c>
      <c r="L1101" s="9">
        <f t="shared" si="30"/>
        <v>6.7116250000000006</v>
      </c>
      <c r="M1101" s="9">
        <f t="shared" si="30"/>
        <v>6.7152583333333338</v>
      </c>
      <c r="N1101" s="9">
        <f t="shared" si="30"/>
        <v>6.7116250000000006</v>
      </c>
      <c r="O1101" s="9">
        <f t="shared" si="30"/>
        <v>6.7152583333333338</v>
      </c>
    </row>
    <row r="1102" spans="1:15" ht="15" x14ac:dyDescent="0.2">
      <c r="A1102" s="10">
        <v>2044</v>
      </c>
      <c r="B1102" s="9">
        <f t="shared" ref="B1102:O1102" si="31">AVERAGE(B386:B397)</f>
        <v>5.807083333333332</v>
      </c>
      <c r="C1102" s="9">
        <f t="shared" si="31"/>
        <v>5.807083333333332</v>
      </c>
      <c r="D1102" s="9">
        <f t="shared" si="31"/>
        <v>5.808158333333334</v>
      </c>
      <c r="E1102" s="9">
        <f t="shared" si="31"/>
        <v>6.7493333333333334</v>
      </c>
      <c r="F1102" s="9">
        <f t="shared" si="31"/>
        <v>6.7493333333333334</v>
      </c>
      <c r="G1102" s="9">
        <f t="shared" si="31"/>
        <v>6.7529666666666666</v>
      </c>
      <c r="H1102" s="9">
        <f t="shared" si="31"/>
        <v>12.649733333333332</v>
      </c>
      <c r="I1102" s="9">
        <f t="shared" si="31"/>
        <v>12.653383333333336</v>
      </c>
      <c r="J1102" s="9">
        <f t="shared" si="31"/>
        <v>12.649733333333332</v>
      </c>
      <c r="K1102" s="9">
        <f t="shared" si="31"/>
        <v>12.653383333333336</v>
      </c>
      <c r="L1102" s="9">
        <f t="shared" si="31"/>
        <v>6.7493333333333334</v>
      </c>
      <c r="M1102" s="9">
        <f t="shared" si="31"/>
        <v>6.7529666666666666</v>
      </c>
      <c r="N1102" s="9">
        <f t="shared" si="31"/>
        <v>6.7493333333333334</v>
      </c>
      <c r="O1102" s="9">
        <f t="shared" si="31"/>
        <v>6.7529666666666666</v>
      </c>
    </row>
    <row r="1103" spans="1:15" ht="15" x14ac:dyDescent="0.2">
      <c r="A1103" s="10">
        <v>2045</v>
      </c>
      <c r="B1103" s="9">
        <f t="shared" ref="B1103:O1103" si="32">AVERAGE(B398:B409)</f>
        <v>5.9387999999999996</v>
      </c>
      <c r="C1103" s="9">
        <f t="shared" si="32"/>
        <v>5.9387999999999996</v>
      </c>
      <c r="D1103" s="9">
        <f t="shared" si="32"/>
        <v>5.9398916666666679</v>
      </c>
      <c r="E1103" s="9">
        <f t="shared" si="32"/>
        <v>6.7890000000000015</v>
      </c>
      <c r="F1103" s="9">
        <f t="shared" si="32"/>
        <v>6.7890000000000015</v>
      </c>
      <c r="G1103" s="9">
        <f t="shared" si="32"/>
        <v>6.792633333333332</v>
      </c>
      <c r="H1103" s="9">
        <f t="shared" si="32"/>
        <v>12.969624999999999</v>
      </c>
      <c r="I1103" s="9">
        <f t="shared" si="32"/>
        <v>12.973241666666667</v>
      </c>
      <c r="J1103" s="9">
        <f t="shared" si="32"/>
        <v>12.969624999999999</v>
      </c>
      <c r="K1103" s="9">
        <f t="shared" si="32"/>
        <v>12.973241666666667</v>
      </c>
      <c r="L1103" s="9">
        <f t="shared" si="32"/>
        <v>6.7890000000000015</v>
      </c>
      <c r="M1103" s="9">
        <f t="shared" si="32"/>
        <v>6.792633333333332</v>
      </c>
      <c r="N1103" s="9">
        <f t="shared" si="32"/>
        <v>6.7890000000000015</v>
      </c>
      <c r="O1103" s="9">
        <f t="shared" si="32"/>
        <v>6.792633333333332</v>
      </c>
    </row>
    <row r="1104" spans="1:15" ht="15" x14ac:dyDescent="0.2">
      <c r="A1104" s="10">
        <v>2046</v>
      </c>
      <c r="B1104" s="9">
        <f t="shared" ref="B1104:O1104" si="33">AVERAGE(B410:B421)</f>
        <v>6.073525000000001</v>
      </c>
      <c r="C1104" s="9">
        <f t="shared" si="33"/>
        <v>6.073525000000001</v>
      </c>
      <c r="D1104" s="9">
        <f t="shared" si="33"/>
        <v>6.0745999999999993</v>
      </c>
      <c r="E1104" s="9">
        <f t="shared" si="33"/>
        <v>6.8306833333333339</v>
      </c>
      <c r="F1104" s="9">
        <f t="shared" si="33"/>
        <v>6.8306833333333339</v>
      </c>
      <c r="G1104" s="9">
        <f t="shared" si="33"/>
        <v>6.8343249999999998</v>
      </c>
      <c r="H1104" s="9">
        <f t="shared" si="33"/>
        <v>13.297600000000001</v>
      </c>
      <c r="I1104" s="9">
        <f t="shared" si="33"/>
        <v>13.301233333333334</v>
      </c>
      <c r="J1104" s="9">
        <f t="shared" si="33"/>
        <v>13.297600000000001</v>
      </c>
      <c r="K1104" s="9">
        <f t="shared" si="33"/>
        <v>13.301233333333334</v>
      </c>
      <c r="L1104" s="9">
        <f t="shared" si="33"/>
        <v>6.8306833333333339</v>
      </c>
      <c r="M1104" s="9">
        <f t="shared" si="33"/>
        <v>6.8343249999999998</v>
      </c>
      <c r="N1104" s="9">
        <f t="shared" si="33"/>
        <v>6.8306833333333339</v>
      </c>
      <c r="O1104" s="9">
        <f t="shared" si="33"/>
        <v>6.8343249999999998</v>
      </c>
    </row>
    <row r="1105" spans="1:15" ht="15" x14ac:dyDescent="0.2">
      <c r="A1105" s="10">
        <v>2047</v>
      </c>
      <c r="B1105" s="9">
        <f t="shared" ref="B1105:O1105" si="34">AVERAGE(B422:B433)</f>
        <v>6.2112833333333333</v>
      </c>
      <c r="C1105" s="9">
        <f t="shared" si="34"/>
        <v>6.2112833333333333</v>
      </c>
      <c r="D1105" s="9">
        <f t="shared" si="34"/>
        <v>6.2123833333333343</v>
      </c>
      <c r="E1105" s="9">
        <f t="shared" si="34"/>
        <v>6.8744083333333341</v>
      </c>
      <c r="F1105" s="9">
        <f t="shared" si="34"/>
        <v>6.8744083333333341</v>
      </c>
      <c r="G1105" s="9">
        <f t="shared" si="34"/>
        <v>6.8780583333333345</v>
      </c>
      <c r="H1105" s="9">
        <f t="shared" si="34"/>
        <v>13.633883333333332</v>
      </c>
      <c r="I1105" s="9">
        <f t="shared" si="34"/>
        <v>13.637516666666665</v>
      </c>
      <c r="J1105" s="9">
        <f t="shared" si="34"/>
        <v>13.633883333333332</v>
      </c>
      <c r="K1105" s="9">
        <f t="shared" si="34"/>
        <v>13.637516666666665</v>
      </c>
      <c r="L1105" s="9">
        <f t="shared" si="34"/>
        <v>6.8744083333333341</v>
      </c>
      <c r="M1105" s="9">
        <f t="shared" si="34"/>
        <v>6.8780583333333345</v>
      </c>
      <c r="N1105" s="9">
        <f t="shared" si="34"/>
        <v>6.8744083333333341</v>
      </c>
      <c r="O1105" s="9">
        <f t="shared" si="34"/>
        <v>6.8780583333333345</v>
      </c>
    </row>
    <row r="1106" spans="1:15" ht="15" x14ac:dyDescent="0.2">
      <c r="A1106" s="10">
        <v>2048</v>
      </c>
      <c r="B1106" s="9">
        <f t="shared" ref="B1106:O1106" si="35">AVERAGE(B434:B445)</f>
        <v>6.3522166666666671</v>
      </c>
      <c r="C1106" s="9">
        <f t="shared" si="35"/>
        <v>6.3522166666666671</v>
      </c>
      <c r="D1106" s="9">
        <f t="shared" si="35"/>
        <v>6.3532750000000009</v>
      </c>
      <c r="E1106" s="9">
        <f t="shared" si="35"/>
        <v>6.920233333333333</v>
      </c>
      <c r="F1106" s="9">
        <f t="shared" si="35"/>
        <v>6.920233333333333</v>
      </c>
      <c r="G1106" s="9">
        <f t="shared" si="35"/>
        <v>6.9238666666666662</v>
      </c>
      <c r="H1106" s="9">
        <f t="shared" si="35"/>
        <v>13.978666666666667</v>
      </c>
      <c r="I1106" s="9">
        <f t="shared" si="35"/>
        <v>13.982291666666669</v>
      </c>
      <c r="J1106" s="9">
        <f t="shared" si="35"/>
        <v>13.978666666666667</v>
      </c>
      <c r="K1106" s="9">
        <f t="shared" si="35"/>
        <v>13.982291666666669</v>
      </c>
      <c r="L1106" s="9">
        <f t="shared" si="35"/>
        <v>6.920233333333333</v>
      </c>
      <c r="M1106" s="9">
        <f t="shared" si="35"/>
        <v>6.9238666666666662</v>
      </c>
      <c r="N1106" s="9">
        <f t="shared" si="35"/>
        <v>6.920233333333333</v>
      </c>
      <c r="O1106" s="9">
        <f t="shared" si="35"/>
        <v>6.9238666666666662</v>
      </c>
    </row>
    <row r="1107" spans="1:15" ht="15" x14ac:dyDescent="0.2">
      <c r="A1107" s="10">
        <v>2049</v>
      </c>
      <c r="B1107" s="9">
        <f t="shared" ref="B1107:O1107" si="36">AVERAGE(B446:B457)</f>
        <v>6.4963166666666652</v>
      </c>
      <c r="C1107" s="9">
        <f t="shared" si="36"/>
        <v>6.4963166666666652</v>
      </c>
      <c r="D1107" s="9">
        <f t="shared" si="36"/>
        <v>6.4973666666666654</v>
      </c>
      <c r="E1107" s="9">
        <f t="shared" si="36"/>
        <v>6.9682250000000003</v>
      </c>
      <c r="F1107" s="9">
        <f t="shared" si="36"/>
        <v>6.9682250000000003</v>
      </c>
      <c r="G1107" s="9">
        <f t="shared" si="36"/>
        <v>6.9718416666666672</v>
      </c>
      <c r="H1107" s="9">
        <f t="shared" si="36"/>
        <v>14.332166666666668</v>
      </c>
      <c r="I1107" s="9">
        <f t="shared" si="36"/>
        <v>14.335791666666665</v>
      </c>
      <c r="J1107" s="9">
        <f t="shared" si="36"/>
        <v>14.332166666666668</v>
      </c>
      <c r="K1107" s="9">
        <f t="shared" si="36"/>
        <v>14.335791666666665</v>
      </c>
      <c r="L1107" s="9">
        <f t="shared" si="36"/>
        <v>6.9682250000000003</v>
      </c>
      <c r="M1107" s="9">
        <f t="shared" si="36"/>
        <v>6.9718416666666672</v>
      </c>
      <c r="N1107" s="9">
        <f t="shared" si="36"/>
        <v>6.9682250000000003</v>
      </c>
      <c r="O1107" s="9">
        <f t="shared" si="36"/>
        <v>6.9718416666666672</v>
      </c>
    </row>
    <row r="1108" spans="1:15" ht="15" x14ac:dyDescent="0.2">
      <c r="A1108" s="10">
        <v>2050</v>
      </c>
      <c r="B1108" s="9">
        <f t="shared" ref="B1108:O1108" si="37">AVERAGE(B458:B469)</f>
        <v>6.6436749999999982</v>
      </c>
      <c r="C1108" s="9">
        <f t="shared" si="37"/>
        <v>6.6436749999999982</v>
      </c>
      <c r="D1108" s="9">
        <f t="shared" si="37"/>
        <v>6.6447583333333329</v>
      </c>
      <c r="E1108" s="9">
        <f t="shared" si="37"/>
        <v>7.0183916666666661</v>
      </c>
      <c r="F1108" s="9">
        <f t="shared" si="37"/>
        <v>7.0183916666666661</v>
      </c>
      <c r="G1108" s="9">
        <f t="shared" si="37"/>
        <v>7.0220250000000002</v>
      </c>
      <c r="H1108" s="9">
        <f t="shared" si="37"/>
        <v>14.694600000000003</v>
      </c>
      <c r="I1108" s="9">
        <f t="shared" si="37"/>
        <v>14.698233333333334</v>
      </c>
      <c r="J1108" s="9">
        <f t="shared" si="37"/>
        <v>14.694600000000003</v>
      </c>
      <c r="K1108" s="9">
        <f t="shared" si="37"/>
        <v>14.698233333333334</v>
      </c>
      <c r="L1108" s="9">
        <f t="shared" si="37"/>
        <v>7.0183916666666661</v>
      </c>
      <c r="M1108" s="9">
        <f t="shared" si="37"/>
        <v>7.0220250000000002</v>
      </c>
      <c r="N1108" s="9">
        <f t="shared" si="37"/>
        <v>7.0183916666666661</v>
      </c>
      <c r="O1108" s="9">
        <f t="shared" si="37"/>
        <v>7.0220250000000002</v>
      </c>
    </row>
    <row r="1109" spans="1:15" ht="15" x14ac:dyDescent="0.2">
      <c r="A1109" s="10">
        <v>2051</v>
      </c>
      <c r="B1109" s="9">
        <f t="shared" ref="B1109:O1109" si="38">AVERAGE(B470:B481)</f>
        <v>6.7943916666666659</v>
      </c>
      <c r="C1109" s="9">
        <f t="shared" si="38"/>
        <v>6.7943916666666659</v>
      </c>
      <c r="D1109" s="9">
        <f t="shared" si="38"/>
        <v>6.7955000000000005</v>
      </c>
      <c r="E1109" s="9">
        <f t="shared" si="38"/>
        <v>7.0708083333333329</v>
      </c>
      <c r="F1109" s="9">
        <f t="shared" si="38"/>
        <v>7.0708083333333329</v>
      </c>
      <c r="G1109" s="9">
        <f t="shared" si="38"/>
        <v>7.0744500000000015</v>
      </c>
      <c r="H1109" s="9">
        <f t="shared" si="38"/>
        <v>15.06620833333333</v>
      </c>
      <c r="I1109" s="9">
        <f t="shared" si="38"/>
        <v>15.069841666666667</v>
      </c>
      <c r="J1109" s="9">
        <f t="shared" si="38"/>
        <v>15.06620833333333</v>
      </c>
      <c r="K1109" s="9">
        <f t="shared" si="38"/>
        <v>15.069841666666667</v>
      </c>
      <c r="L1109" s="9">
        <f t="shared" si="38"/>
        <v>7.0708083333333329</v>
      </c>
      <c r="M1109" s="9">
        <f t="shared" si="38"/>
        <v>7.0744500000000015</v>
      </c>
      <c r="N1109" s="9">
        <f t="shared" si="38"/>
        <v>7.0708083333333329</v>
      </c>
      <c r="O1109" s="9">
        <f t="shared" si="38"/>
        <v>7.0744500000000015</v>
      </c>
    </row>
    <row r="1110" spans="1:15" ht="15" x14ac:dyDescent="0.2">
      <c r="A1110" s="10">
        <v>2052</v>
      </c>
      <c r="B1110" s="9">
        <f t="shared" ref="B1110:O1110" si="39">AVERAGE(B482:B493)</f>
        <v>6.9485583333333336</v>
      </c>
      <c r="C1110" s="9">
        <f t="shared" si="39"/>
        <v>6.9485583333333336</v>
      </c>
      <c r="D1110" s="9">
        <f t="shared" si="39"/>
        <v>6.949650000000001</v>
      </c>
      <c r="E1110" s="9">
        <f t="shared" si="39"/>
        <v>7.125541666666666</v>
      </c>
      <c r="F1110" s="9">
        <f t="shared" si="39"/>
        <v>7.125541666666666</v>
      </c>
      <c r="G1110" s="9">
        <f t="shared" si="39"/>
        <v>7.1291833333333336</v>
      </c>
      <c r="H1110" s="9">
        <f t="shared" si="39"/>
        <v>15.447191666666663</v>
      </c>
      <c r="I1110" s="9">
        <f t="shared" si="39"/>
        <v>15.450841666666669</v>
      </c>
      <c r="J1110" s="9">
        <f t="shared" si="39"/>
        <v>15.447191666666663</v>
      </c>
      <c r="K1110" s="9">
        <f t="shared" si="39"/>
        <v>15.450841666666669</v>
      </c>
      <c r="L1110" s="9">
        <f t="shared" si="39"/>
        <v>7.125541666666666</v>
      </c>
      <c r="M1110" s="9">
        <f t="shared" si="39"/>
        <v>7.1291833333333336</v>
      </c>
      <c r="N1110" s="9">
        <f t="shared" si="39"/>
        <v>7.125541666666666</v>
      </c>
      <c r="O1110" s="9">
        <f t="shared" si="39"/>
        <v>7.1291833333333336</v>
      </c>
    </row>
    <row r="1111" spans="1:15" ht="15" x14ac:dyDescent="0.2">
      <c r="A1111" s="10">
        <v>2053</v>
      </c>
      <c r="B1111" s="9">
        <f t="shared" ref="B1111:O1111" si="40">AVERAGE(B494:B505)</f>
        <v>7.1062166666666675</v>
      </c>
      <c r="C1111" s="9">
        <f t="shared" si="40"/>
        <v>7.1062166666666675</v>
      </c>
      <c r="D1111" s="9">
        <f t="shared" si="40"/>
        <v>7.107316666666665</v>
      </c>
      <c r="E1111" s="9">
        <f t="shared" si="40"/>
        <v>7.1826416666666679</v>
      </c>
      <c r="F1111" s="9">
        <f t="shared" si="40"/>
        <v>7.1826416666666679</v>
      </c>
      <c r="G1111" s="9">
        <f t="shared" si="40"/>
        <v>7.1862666666666657</v>
      </c>
      <c r="H1111" s="9">
        <f t="shared" si="40"/>
        <v>15.837833333333334</v>
      </c>
      <c r="I1111" s="9">
        <f t="shared" si="40"/>
        <v>15.841475000000001</v>
      </c>
      <c r="J1111" s="9">
        <f t="shared" si="40"/>
        <v>15.837833333333334</v>
      </c>
      <c r="K1111" s="9">
        <f t="shared" si="40"/>
        <v>15.841475000000001</v>
      </c>
      <c r="L1111" s="9">
        <f t="shared" si="40"/>
        <v>7.1826416666666679</v>
      </c>
      <c r="M1111" s="9">
        <f t="shared" si="40"/>
        <v>7.1862666666666657</v>
      </c>
      <c r="N1111" s="9">
        <f t="shared" si="40"/>
        <v>7.1826416666666679</v>
      </c>
      <c r="O1111" s="9">
        <f t="shared" si="40"/>
        <v>7.1862666666666657</v>
      </c>
    </row>
    <row r="1112" spans="1:15" ht="15" x14ac:dyDescent="0.2">
      <c r="A1112" s="10">
        <v>2054</v>
      </c>
      <c r="B1112" s="9">
        <f t="shared" ref="B1112:O1112" si="41">AVERAGE(B506:B517)</f>
        <v>7.2674666666666674</v>
      </c>
      <c r="C1112" s="9">
        <f t="shared" si="41"/>
        <v>7.2674666666666674</v>
      </c>
      <c r="D1112" s="9">
        <f t="shared" si="41"/>
        <v>7.2685416666666667</v>
      </c>
      <c r="E1112" s="9">
        <f t="shared" si="41"/>
        <v>7.242166666666666</v>
      </c>
      <c r="F1112" s="9">
        <f t="shared" si="41"/>
        <v>7.242166666666666</v>
      </c>
      <c r="G1112" s="9">
        <f t="shared" si="41"/>
        <v>7.2457833333333346</v>
      </c>
      <c r="H1112" s="9">
        <f t="shared" si="41"/>
        <v>16.238341666666667</v>
      </c>
      <c r="I1112" s="9">
        <f t="shared" si="41"/>
        <v>16.241975</v>
      </c>
      <c r="J1112" s="9">
        <f t="shared" si="41"/>
        <v>16.238341666666667</v>
      </c>
      <c r="K1112" s="9">
        <f t="shared" si="41"/>
        <v>16.241975</v>
      </c>
      <c r="L1112" s="9">
        <f t="shared" si="41"/>
        <v>7.242166666666666</v>
      </c>
      <c r="M1112" s="9">
        <f t="shared" si="41"/>
        <v>7.2457833333333346</v>
      </c>
      <c r="N1112" s="9">
        <f t="shared" si="41"/>
        <v>7.242166666666666</v>
      </c>
      <c r="O1112" s="9">
        <f t="shared" si="41"/>
        <v>7.2457833333333346</v>
      </c>
    </row>
    <row r="1113" spans="1:15" ht="15" x14ac:dyDescent="0.2">
      <c r="A1113" s="10">
        <v>2055</v>
      </c>
      <c r="B1113" s="9">
        <f t="shared" ref="B1113:O1113" si="42">AVERAGE(B18:B529)</f>
        <v>4.7923289062500007</v>
      </c>
      <c r="C1113" s="9">
        <f t="shared" si="42"/>
        <v>4.7910062500000006</v>
      </c>
      <c r="D1113" s="9">
        <f t="shared" si="42"/>
        <v>4.7936054687500009</v>
      </c>
      <c r="E1113" s="9">
        <f t="shared" si="42"/>
        <v>5.7138056640624972</v>
      </c>
      <c r="F1113" s="9">
        <f t="shared" si="42"/>
        <v>5.6960101562499981</v>
      </c>
      <c r="G1113" s="9">
        <f t="shared" si="42"/>
        <v>5.7000210937499967</v>
      </c>
      <c r="H1113" s="9">
        <f t="shared" si="42"/>
        <v>10.369837304687504</v>
      </c>
      <c r="I1113" s="9">
        <f t="shared" si="42"/>
        <v>10.373848828125011</v>
      </c>
      <c r="J1113" s="9">
        <f t="shared" si="42"/>
        <v>10.369837304687504</v>
      </c>
      <c r="K1113" s="9">
        <f t="shared" si="42"/>
        <v>10.373848828125011</v>
      </c>
      <c r="L1113" s="9">
        <f t="shared" si="42"/>
        <v>5.7138056640624972</v>
      </c>
      <c r="M1113" s="9">
        <f t="shared" si="42"/>
        <v>5.717815429687497</v>
      </c>
      <c r="N1113" s="9">
        <f t="shared" si="42"/>
        <v>5.7138056640624972</v>
      </c>
      <c r="O1113" s="9">
        <f t="shared" si="42"/>
        <v>5.717815429687497</v>
      </c>
    </row>
    <row r="1114" spans="1:15" ht="15" x14ac:dyDescent="0.2">
      <c r="A1114" s="10">
        <v>2056</v>
      </c>
      <c r="B1114" s="9">
        <f t="shared" ref="B1114:O1114" si="43">AVERAGE(B530:B541)</f>
        <v>7.6010166666666663</v>
      </c>
      <c r="C1114" s="9">
        <f t="shared" si="43"/>
        <v>7.6010166666666663</v>
      </c>
      <c r="D1114" s="9">
        <f t="shared" si="43"/>
        <v>7.6020666666666665</v>
      </c>
      <c r="E1114" s="9">
        <f t="shared" si="43"/>
        <v>7.3687166666666668</v>
      </c>
      <c r="F1114" s="9">
        <f t="shared" si="43"/>
        <v>7.3687166666666668</v>
      </c>
      <c r="G1114" s="9">
        <f t="shared" si="43"/>
        <v>7.3723416666666663</v>
      </c>
      <c r="H1114" s="9">
        <f t="shared" si="43"/>
        <v>17.070033333333335</v>
      </c>
      <c r="I1114" s="9">
        <f t="shared" si="43"/>
        <v>17.073649999999997</v>
      </c>
      <c r="J1114" s="9">
        <f t="shared" si="43"/>
        <v>17.070033333333335</v>
      </c>
      <c r="K1114" s="9">
        <f t="shared" si="43"/>
        <v>17.073649999999997</v>
      </c>
      <c r="L1114" s="9">
        <f t="shared" si="43"/>
        <v>7.3687166666666668</v>
      </c>
      <c r="M1114" s="9">
        <f t="shared" si="43"/>
        <v>7.3723416666666663</v>
      </c>
      <c r="N1114" s="9">
        <f t="shared" si="43"/>
        <v>7.3687166666666668</v>
      </c>
      <c r="O1114" s="9">
        <f t="shared" si="43"/>
        <v>7.3723416666666663</v>
      </c>
    </row>
    <row r="1115" spans="1:15" ht="15" x14ac:dyDescent="0.2">
      <c r="A1115" s="10">
        <v>2057</v>
      </c>
      <c r="B1115" s="9">
        <f t="shared" ref="B1115:O1115" si="44">AVERAGE(B542:B553)</f>
        <v>7.7734750000000012</v>
      </c>
      <c r="C1115" s="9">
        <f t="shared" si="44"/>
        <v>7.7734750000000012</v>
      </c>
      <c r="D1115" s="9">
        <f t="shared" si="44"/>
        <v>7.7745583333333323</v>
      </c>
      <c r="E1115" s="9">
        <f t="shared" si="44"/>
        <v>7.435875000000002</v>
      </c>
      <c r="F1115" s="9">
        <f t="shared" si="44"/>
        <v>7.435875000000002</v>
      </c>
      <c r="G1115" s="9">
        <f t="shared" si="44"/>
        <v>7.4394999999999998</v>
      </c>
      <c r="H1115" s="9">
        <f t="shared" si="44"/>
        <v>17.501691666666666</v>
      </c>
      <c r="I1115" s="9">
        <f t="shared" si="44"/>
        <v>17.505333333333333</v>
      </c>
      <c r="J1115" s="9">
        <f t="shared" si="44"/>
        <v>17.501691666666666</v>
      </c>
      <c r="K1115" s="9">
        <f t="shared" si="44"/>
        <v>17.505333333333333</v>
      </c>
      <c r="L1115" s="9">
        <f t="shared" si="44"/>
        <v>7.435875000000002</v>
      </c>
      <c r="M1115" s="9">
        <f t="shared" si="44"/>
        <v>7.4394999999999998</v>
      </c>
      <c r="N1115" s="9">
        <f t="shared" si="44"/>
        <v>7.435875000000002</v>
      </c>
      <c r="O1115" s="9">
        <f t="shared" si="44"/>
        <v>7.4394999999999998</v>
      </c>
    </row>
    <row r="1116" spans="1:15" ht="15" x14ac:dyDescent="0.2">
      <c r="A1116" s="10">
        <v>2058</v>
      </c>
      <c r="B1116" s="9">
        <f t="shared" ref="B1116:O1116" si="45">AVERAGE(B554:B565)</f>
        <v>7.9498749999999996</v>
      </c>
      <c r="C1116" s="9">
        <f t="shared" si="45"/>
        <v>7.9498749999999996</v>
      </c>
      <c r="D1116" s="9">
        <f t="shared" si="45"/>
        <v>7.9509583333333333</v>
      </c>
      <c r="E1116" s="9">
        <f t="shared" si="45"/>
        <v>7.5057166666666655</v>
      </c>
      <c r="F1116" s="9">
        <f t="shared" si="45"/>
        <v>7.5057166666666655</v>
      </c>
      <c r="G1116" s="9">
        <f t="shared" si="45"/>
        <v>7.5093500000000004</v>
      </c>
      <c r="H1116" s="9">
        <f t="shared" si="45"/>
        <v>17.944291666666661</v>
      </c>
      <c r="I1116" s="9">
        <f t="shared" si="45"/>
        <v>17.947908333333334</v>
      </c>
      <c r="J1116" s="9">
        <f t="shared" si="45"/>
        <v>17.944291666666661</v>
      </c>
      <c r="K1116" s="9">
        <f t="shared" si="45"/>
        <v>17.947908333333334</v>
      </c>
      <c r="L1116" s="9">
        <f t="shared" si="45"/>
        <v>7.5057166666666655</v>
      </c>
      <c r="M1116" s="9">
        <f t="shared" si="45"/>
        <v>7.5093500000000004</v>
      </c>
      <c r="N1116" s="9">
        <f t="shared" si="45"/>
        <v>7.5057166666666655</v>
      </c>
      <c r="O1116" s="9">
        <f t="shared" si="45"/>
        <v>7.5093500000000004</v>
      </c>
    </row>
    <row r="1117" spans="1:15" ht="15" x14ac:dyDescent="0.2">
      <c r="A1117" s="10">
        <v>2059</v>
      </c>
      <c r="B1117" s="9">
        <f t="shared" ref="B1117:O1117" si="46">AVERAGE(B566:B577)</f>
        <v>8.1302916666666665</v>
      </c>
      <c r="C1117" s="9">
        <f t="shared" si="46"/>
        <v>8.1302916666666665</v>
      </c>
      <c r="D1117" s="9">
        <f t="shared" si="46"/>
        <v>8.1313666666666666</v>
      </c>
      <c r="E1117" s="9">
        <f t="shared" si="46"/>
        <v>7.5783083333333323</v>
      </c>
      <c r="F1117" s="9">
        <f t="shared" si="46"/>
        <v>7.5783083333333323</v>
      </c>
      <c r="G1117" s="9">
        <f t="shared" si="46"/>
        <v>7.5819416666666681</v>
      </c>
      <c r="H1117" s="9">
        <f t="shared" si="46"/>
        <v>18.398083333333332</v>
      </c>
      <c r="I1117" s="9">
        <f t="shared" si="46"/>
        <v>18.401708333333332</v>
      </c>
      <c r="J1117" s="9">
        <f t="shared" si="46"/>
        <v>18.398083333333332</v>
      </c>
      <c r="K1117" s="9">
        <f t="shared" si="46"/>
        <v>18.401708333333332</v>
      </c>
      <c r="L1117" s="9">
        <f t="shared" si="46"/>
        <v>7.5783083333333323</v>
      </c>
      <c r="M1117" s="9">
        <f t="shared" si="46"/>
        <v>7.5819416666666681</v>
      </c>
      <c r="N1117" s="9">
        <f t="shared" si="46"/>
        <v>7.5783083333333323</v>
      </c>
      <c r="O1117" s="9">
        <f t="shared" si="46"/>
        <v>7.5819416666666681</v>
      </c>
    </row>
    <row r="1118" spans="1:15" ht="15" x14ac:dyDescent="0.2">
      <c r="A1118" s="10">
        <v>2060</v>
      </c>
      <c r="B1118" s="9">
        <f t="shared" ref="B1118:O1118" si="47">AVERAGE(B578:B589)</f>
        <v>8.3147999999999982</v>
      </c>
      <c r="C1118" s="9">
        <f t="shared" si="47"/>
        <v>8.3147999999999982</v>
      </c>
      <c r="D1118" s="9">
        <f t="shared" si="47"/>
        <v>8.3158666666666665</v>
      </c>
      <c r="E1118" s="9">
        <f t="shared" si="47"/>
        <v>7.6537333333333324</v>
      </c>
      <c r="F1118" s="9">
        <f t="shared" si="47"/>
        <v>7.6537333333333324</v>
      </c>
      <c r="G1118" s="9">
        <f t="shared" si="47"/>
        <v>7.6573666666666673</v>
      </c>
      <c r="H1118" s="9">
        <f t="shared" si="47"/>
        <v>18.863325</v>
      </c>
      <c r="I1118" s="9">
        <f t="shared" si="47"/>
        <v>18.866966666666663</v>
      </c>
      <c r="J1118" s="9">
        <f t="shared" si="47"/>
        <v>18.863325</v>
      </c>
      <c r="K1118" s="9">
        <f t="shared" si="47"/>
        <v>18.866966666666663</v>
      </c>
      <c r="L1118" s="9">
        <f t="shared" si="47"/>
        <v>7.6537333333333324</v>
      </c>
      <c r="M1118" s="9">
        <f t="shared" si="47"/>
        <v>7.6573666666666673</v>
      </c>
      <c r="N1118" s="9">
        <f t="shared" si="47"/>
        <v>7.6537333333333324</v>
      </c>
      <c r="O1118" s="9">
        <f t="shared" si="47"/>
        <v>7.6573666666666673</v>
      </c>
    </row>
    <row r="1119" spans="1:15" ht="15" x14ac:dyDescent="0.2">
      <c r="A1119" s="10">
        <v>2061</v>
      </c>
      <c r="B1119" s="9">
        <f t="shared" ref="B1119:O1119" si="48">AVERAGE(B590:B601)</f>
        <v>8.5034916666666671</v>
      </c>
      <c r="C1119" s="9">
        <f t="shared" si="48"/>
        <v>8.5034916666666671</v>
      </c>
      <c r="D1119" s="9">
        <f t="shared" si="48"/>
        <v>8.5045750000000009</v>
      </c>
      <c r="E1119" s="9">
        <f t="shared" si="48"/>
        <v>7.732050000000001</v>
      </c>
      <c r="F1119" s="9">
        <f t="shared" si="48"/>
        <v>7.732050000000001</v>
      </c>
      <c r="G1119" s="9">
        <f t="shared" si="48"/>
        <v>7.7356666666666669</v>
      </c>
      <c r="H1119" s="9">
        <f t="shared" si="48"/>
        <v>19.340341666666664</v>
      </c>
      <c r="I1119" s="9">
        <f t="shared" si="48"/>
        <v>19.34398333333333</v>
      </c>
      <c r="J1119" s="9">
        <f t="shared" si="48"/>
        <v>19.340341666666664</v>
      </c>
      <c r="K1119" s="9">
        <f t="shared" si="48"/>
        <v>19.34398333333333</v>
      </c>
      <c r="L1119" s="9">
        <f t="shared" si="48"/>
        <v>7.732050000000001</v>
      </c>
      <c r="M1119" s="9">
        <f t="shared" si="48"/>
        <v>7.7356666666666669</v>
      </c>
      <c r="N1119" s="9">
        <f t="shared" si="48"/>
        <v>7.732050000000001</v>
      </c>
      <c r="O1119" s="9">
        <f t="shared" si="48"/>
        <v>7.7356666666666669</v>
      </c>
    </row>
    <row r="1120" spans="1:15" ht="15" x14ac:dyDescent="0.2">
      <c r="A1120" s="10">
        <v>2062</v>
      </c>
      <c r="B1120" s="9">
        <f t="shared" ref="B1120:O1129" ca="1" si="49">AVERAGE(OFFSET(B$602,($A1120-$A$1120)*12,0,12,1))</f>
        <v>8.6921999999999979</v>
      </c>
      <c r="C1120" s="9">
        <f t="shared" ca="1" si="49"/>
        <v>8.6921999999999979</v>
      </c>
      <c r="D1120" s="9">
        <f t="shared" ca="1" si="49"/>
        <v>8.6932749999999981</v>
      </c>
      <c r="E1120" s="9">
        <f t="shared" ca="1" si="49"/>
        <v>7.8103750000000005</v>
      </c>
      <c r="F1120" s="9">
        <f t="shared" ca="1" si="49"/>
        <v>7.8103750000000005</v>
      </c>
      <c r="G1120" s="9">
        <f t="shared" ca="1" si="49"/>
        <v>7.8140000000000001</v>
      </c>
      <c r="H1120" s="9">
        <f t="shared" ca="1" si="49"/>
        <v>19.817358333333335</v>
      </c>
      <c r="I1120" s="9">
        <f t="shared" ca="1" si="49"/>
        <v>19.821025000000002</v>
      </c>
      <c r="J1120" s="9">
        <f t="shared" ca="1" si="49"/>
        <v>19.817358333333335</v>
      </c>
      <c r="K1120" s="9">
        <f t="shared" ca="1" si="49"/>
        <v>19.821025000000002</v>
      </c>
      <c r="L1120" s="9">
        <f t="shared" ca="1" si="49"/>
        <v>7.8103750000000005</v>
      </c>
      <c r="M1120" s="9">
        <f t="shared" ca="1" si="49"/>
        <v>7.8140000000000001</v>
      </c>
      <c r="N1120" s="9">
        <f t="shared" ca="1" si="49"/>
        <v>7.8103750000000005</v>
      </c>
      <c r="O1120" s="9">
        <f t="shared" ca="1" si="49"/>
        <v>7.8140000000000001</v>
      </c>
    </row>
    <row r="1121" spans="1:15" ht="15" x14ac:dyDescent="0.2">
      <c r="A1121" s="10">
        <v>2063</v>
      </c>
      <c r="B1121" s="9">
        <f t="shared" ca="1" si="49"/>
        <v>8.8809083333333341</v>
      </c>
      <c r="C1121" s="9">
        <f t="shared" ca="1" si="49"/>
        <v>8.8809083333333341</v>
      </c>
      <c r="D1121" s="9">
        <f t="shared" ca="1" si="49"/>
        <v>8.8819666666666652</v>
      </c>
      <c r="E1121" s="9">
        <f t="shared" ca="1" si="49"/>
        <v>7.8886749999999992</v>
      </c>
      <c r="F1121" s="9">
        <f t="shared" ca="1" si="49"/>
        <v>7.8886749999999992</v>
      </c>
      <c r="G1121" s="9">
        <f t="shared" ca="1" si="49"/>
        <v>7.8923166666666669</v>
      </c>
      <c r="H1121" s="9">
        <f t="shared" ca="1" si="49"/>
        <v>20.294391666666666</v>
      </c>
      <c r="I1121" s="9">
        <f t="shared" ca="1" si="49"/>
        <v>20.298025000000003</v>
      </c>
      <c r="J1121" s="9">
        <f t="shared" ca="1" si="49"/>
        <v>20.294391666666666</v>
      </c>
      <c r="K1121" s="9">
        <f t="shared" ca="1" si="49"/>
        <v>20.298025000000003</v>
      </c>
      <c r="L1121" s="9">
        <f t="shared" ca="1" si="49"/>
        <v>7.8886749999999992</v>
      </c>
      <c r="M1121" s="9">
        <f t="shared" ca="1" si="49"/>
        <v>7.8923166666666669</v>
      </c>
      <c r="N1121" s="9">
        <f t="shared" ca="1" si="49"/>
        <v>7.8886749999999992</v>
      </c>
      <c r="O1121" s="9">
        <f t="shared" ca="1" si="49"/>
        <v>7.8923166666666669</v>
      </c>
    </row>
    <row r="1122" spans="1:15" ht="15" x14ac:dyDescent="0.2">
      <c r="A1122" s="10">
        <v>2064</v>
      </c>
      <c r="B1122" s="9">
        <f t="shared" ca="1" si="49"/>
        <v>9.0695916666666658</v>
      </c>
      <c r="C1122" s="9">
        <f t="shared" ca="1" si="49"/>
        <v>9.0695916666666658</v>
      </c>
      <c r="D1122" s="9">
        <f t="shared" ca="1" si="49"/>
        <v>9.0706916666666668</v>
      </c>
      <c r="E1122" s="9">
        <f t="shared" ca="1" si="49"/>
        <v>7.9669833333333342</v>
      </c>
      <c r="F1122" s="9">
        <f t="shared" ca="1" si="49"/>
        <v>7.9669833333333342</v>
      </c>
      <c r="G1122" s="9">
        <f t="shared" ca="1" si="49"/>
        <v>7.9706083333333337</v>
      </c>
      <c r="H1122" s="9">
        <f t="shared" ca="1" si="49"/>
        <v>20.771416666666664</v>
      </c>
      <c r="I1122" s="9">
        <f t="shared" ca="1" si="49"/>
        <v>20.77505833333333</v>
      </c>
      <c r="J1122" s="9">
        <f t="shared" ca="1" si="49"/>
        <v>20.771416666666664</v>
      </c>
      <c r="K1122" s="9">
        <f t="shared" ca="1" si="49"/>
        <v>20.77505833333333</v>
      </c>
      <c r="L1122" s="9">
        <f t="shared" ca="1" si="49"/>
        <v>7.9669833333333342</v>
      </c>
      <c r="M1122" s="9">
        <f t="shared" ca="1" si="49"/>
        <v>7.9706083333333337</v>
      </c>
      <c r="N1122" s="9">
        <f t="shared" ca="1" si="49"/>
        <v>7.9669833333333342</v>
      </c>
      <c r="O1122" s="9">
        <f t="shared" ca="1" si="49"/>
        <v>7.9706083333333337</v>
      </c>
    </row>
    <row r="1123" spans="1:15" ht="15" x14ac:dyDescent="0.2">
      <c r="A1123" s="10">
        <v>2065</v>
      </c>
      <c r="B1123" s="9">
        <f t="shared" ca="1" si="49"/>
        <v>9.2583083333333338</v>
      </c>
      <c r="C1123" s="9">
        <f t="shared" ca="1" si="49"/>
        <v>9.2583083333333338</v>
      </c>
      <c r="D1123" s="9">
        <f t="shared" ca="1" si="49"/>
        <v>9.2593833333333322</v>
      </c>
      <c r="E1123" s="9">
        <f t="shared" ca="1" si="49"/>
        <v>8.0453250000000001</v>
      </c>
      <c r="F1123" s="9">
        <f t="shared" ca="1" si="49"/>
        <v>8.0453250000000001</v>
      </c>
      <c r="G1123" s="9">
        <f t="shared" ca="1" si="49"/>
        <v>8.0489499999999996</v>
      </c>
      <c r="H1123" s="9">
        <f t="shared" ca="1" si="49"/>
        <v>21.248433333333335</v>
      </c>
      <c r="I1123" s="9">
        <f t="shared" ca="1" si="49"/>
        <v>21.252083333333335</v>
      </c>
      <c r="J1123" s="9">
        <f t="shared" ca="1" si="49"/>
        <v>21.248433333333335</v>
      </c>
      <c r="K1123" s="9">
        <f t="shared" ca="1" si="49"/>
        <v>21.252083333333335</v>
      </c>
      <c r="L1123" s="9">
        <f t="shared" ca="1" si="49"/>
        <v>8.0453250000000001</v>
      </c>
      <c r="M1123" s="9">
        <f t="shared" ca="1" si="49"/>
        <v>8.0489499999999996</v>
      </c>
      <c r="N1123" s="9">
        <f t="shared" ca="1" si="49"/>
        <v>8.0453250000000001</v>
      </c>
      <c r="O1123" s="9">
        <f t="shared" ca="1" si="49"/>
        <v>8.0489499999999996</v>
      </c>
    </row>
    <row r="1124" spans="1:15" ht="15" x14ac:dyDescent="0.2">
      <c r="A1124" s="10">
        <v>2066</v>
      </c>
      <c r="B1124" s="9">
        <f t="shared" ca="1" si="49"/>
        <v>9.447000000000001</v>
      </c>
      <c r="C1124" s="9">
        <f t="shared" ca="1" si="49"/>
        <v>9.447000000000001</v>
      </c>
      <c r="D1124" s="9">
        <f t="shared" ca="1" si="49"/>
        <v>9.4480916666666683</v>
      </c>
      <c r="E1124" s="9">
        <f t="shared" ca="1" si="49"/>
        <v>8.123641666666666</v>
      </c>
      <c r="F1124" s="9">
        <f t="shared" ca="1" si="49"/>
        <v>8.123641666666666</v>
      </c>
      <c r="G1124" s="9">
        <f t="shared" ca="1" si="49"/>
        <v>8.1272833333333327</v>
      </c>
      <c r="H1124" s="9">
        <f t="shared" ca="1" si="49"/>
        <v>21.725458333333336</v>
      </c>
      <c r="I1124" s="9">
        <f t="shared" ca="1" si="49"/>
        <v>21.729099999999999</v>
      </c>
      <c r="J1124" s="9">
        <f t="shared" ca="1" si="49"/>
        <v>21.725458333333336</v>
      </c>
      <c r="K1124" s="9">
        <f t="shared" ca="1" si="49"/>
        <v>21.729099999999999</v>
      </c>
      <c r="L1124" s="9">
        <f t="shared" ca="1" si="49"/>
        <v>8.123641666666666</v>
      </c>
      <c r="M1124" s="9">
        <f t="shared" ca="1" si="49"/>
        <v>8.1272833333333327</v>
      </c>
      <c r="N1124" s="9">
        <f t="shared" ca="1" si="49"/>
        <v>8.123641666666666</v>
      </c>
      <c r="O1124" s="9">
        <f t="shared" ca="1" si="49"/>
        <v>8.1272833333333327</v>
      </c>
    </row>
    <row r="1125" spans="1:15" ht="15" x14ac:dyDescent="0.2">
      <c r="A1125" s="10">
        <v>2067</v>
      </c>
      <c r="B1125" s="9">
        <f t="shared" ca="1" si="49"/>
        <v>9.6357083333333335</v>
      </c>
      <c r="C1125" s="9">
        <f t="shared" ca="1" si="49"/>
        <v>9.6357083333333335</v>
      </c>
      <c r="D1125" s="9">
        <f t="shared" ca="1" si="49"/>
        <v>9.6367916666666673</v>
      </c>
      <c r="E1125" s="9">
        <f t="shared" ca="1" si="49"/>
        <v>8.2019583333333337</v>
      </c>
      <c r="F1125" s="9">
        <f t="shared" ca="1" si="49"/>
        <v>8.2019583333333337</v>
      </c>
      <c r="G1125" s="9">
        <f t="shared" ca="1" si="49"/>
        <v>8.2055916666666651</v>
      </c>
      <c r="H1125" s="9">
        <f t="shared" ca="1" si="49"/>
        <v>22.202474999999996</v>
      </c>
      <c r="I1125" s="9">
        <f t="shared" ca="1" si="49"/>
        <v>22.206124999999997</v>
      </c>
      <c r="J1125" s="9">
        <f t="shared" ca="1" si="49"/>
        <v>22.202474999999996</v>
      </c>
      <c r="K1125" s="9">
        <f t="shared" ca="1" si="49"/>
        <v>22.206124999999997</v>
      </c>
      <c r="L1125" s="9">
        <f t="shared" ca="1" si="49"/>
        <v>8.2019583333333337</v>
      </c>
      <c r="M1125" s="9">
        <f t="shared" ca="1" si="49"/>
        <v>8.2055916666666651</v>
      </c>
      <c r="N1125" s="9">
        <f t="shared" ca="1" si="49"/>
        <v>8.2019583333333337</v>
      </c>
      <c r="O1125" s="9">
        <f t="shared" ca="1" si="49"/>
        <v>8.2055916666666651</v>
      </c>
    </row>
    <row r="1126" spans="1:15" ht="15" x14ac:dyDescent="0.2">
      <c r="A1126" s="10">
        <v>2068</v>
      </c>
      <c r="B1126" s="9">
        <f t="shared" ca="1" si="49"/>
        <v>9.8244083333333343</v>
      </c>
      <c r="C1126" s="9">
        <f t="shared" ca="1" si="49"/>
        <v>9.8244083333333343</v>
      </c>
      <c r="D1126" s="9">
        <f t="shared" ca="1" si="49"/>
        <v>9.8254833333333362</v>
      </c>
      <c r="E1126" s="9">
        <f t="shared" ca="1" si="49"/>
        <v>8.2802833333333332</v>
      </c>
      <c r="F1126" s="9">
        <f t="shared" ca="1" si="49"/>
        <v>8.2802833333333332</v>
      </c>
      <c r="G1126" s="9">
        <f t="shared" ca="1" si="49"/>
        <v>8.2839166666666646</v>
      </c>
      <c r="H1126" s="9">
        <f t="shared" ca="1" si="49"/>
        <v>22.679524999999998</v>
      </c>
      <c r="I1126" s="9">
        <f t="shared" ca="1" si="49"/>
        <v>22.683191666666669</v>
      </c>
      <c r="J1126" s="9">
        <f t="shared" ca="1" si="49"/>
        <v>22.679524999999998</v>
      </c>
      <c r="K1126" s="9">
        <f t="shared" ca="1" si="49"/>
        <v>22.683191666666669</v>
      </c>
      <c r="L1126" s="9">
        <f t="shared" ca="1" si="49"/>
        <v>8.2802833333333332</v>
      </c>
      <c r="M1126" s="9">
        <f t="shared" ca="1" si="49"/>
        <v>8.2839166666666646</v>
      </c>
      <c r="N1126" s="9">
        <f t="shared" ca="1" si="49"/>
        <v>8.2802833333333332</v>
      </c>
      <c r="O1126" s="9">
        <f t="shared" ca="1" si="49"/>
        <v>8.2839166666666646</v>
      </c>
    </row>
    <row r="1127" spans="1:15" ht="15" x14ac:dyDescent="0.2">
      <c r="A1127" s="10">
        <v>2069</v>
      </c>
      <c r="B1127" s="9">
        <f t="shared" ca="1" si="49"/>
        <v>10.013091666666666</v>
      </c>
      <c r="C1127" s="9">
        <f t="shared" ca="1" si="49"/>
        <v>10.013091666666666</v>
      </c>
      <c r="D1127" s="9">
        <f t="shared" ca="1" si="49"/>
        <v>10.014200000000001</v>
      </c>
      <c r="E1127" s="9">
        <f t="shared" ca="1" si="49"/>
        <v>8.3585833333333337</v>
      </c>
      <c r="F1127" s="9">
        <f t="shared" ca="1" si="49"/>
        <v>8.3585833333333337</v>
      </c>
      <c r="G1127" s="9">
        <f t="shared" ca="1" si="49"/>
        <v>8.3622166666666669</v>
      </c>
      <c r="H1127" s="9">
        <f t="shared" ca="1" si="49"/>
        <v>23.156549999999996</v>
      </c>
      <c r="I1127" s="9">
        <f t="shared" ca="1" si="49"/>
        <v>23.160191666666663</v>
      </c>
      <c r="J1127" s="9">
        <f t="shared" ca="1" si="49"/>
        <v>23.156549999999996</v>
      </c>
      <c r="K1127" s="9">
        <f t="shared" ca="1" si="49"/>
        <v>23.160191666666663</v>
      </c>
      <c r="L1127" s="9">
        <f t="shared" ca="1" si="49"/>
        <v>8.3585833333333337</v>
      </c>
      <c r="M1127" s="9">
        <f t="shared" ca="1" si="49"/>
        <v>8.3622166666666669</v>
      </c>
      <c r="N1127" s="9">
        <f t="shared" ca="1" si="49"/>
        <v>8.3585833333333337</v>
      </c>
      <c r="O1127" s="9">
        <f t="shared" ca="1" si="49"/>
        <v>8.3622166666666669</v>
      </c>
    </row>
    <row r="1128" spans="1:15" ht="15" x14ac:dyDescent="0.2">
      <c r="A1128" s="10">
        <v>2070</v>
      </c>
      <c r="B1128" s="9">
        <f t="shared" ca="1" si="49"/>
        <v>10.201825000000001</v>
      </c>
      <c r="C1128" s="9">
        <f t="shared" ca="1" si="49"/>
        <v>10.201825000000001</v>
      </c>
      <c r="D1128" s="9">
        <f t="shared" ca="1" si="49"/>
        <v>10.202883333333332</v>
      </c>
      <c r="E1128" s="9">
        <f t="shared" ca="1" si="49"/>
        <v>8.4369166666666668</v>
      </c>
      <c r="F1128" s="9">
        <f t="shared" ca="1" si="49"/>
        <v>8.4369166666666668</v>
      </c>
      <c r="G1128" s="9">
        <f t="shared" ca="1" si="49"/>
        <v>8.4405333333333328</v>
      </c>
      <c r="H1128" s="9">
        <f t="shared" ca="1" si="49"/>
        <v>23.633566666666667</v>
      </c>
      <c r="I1128" s="9">
        <f t="shared" ca="1" si="49"/>
        <v>23.637233333333331</v>
      </c>
      <c r="J1128" s="9">
        <f t="shared" ca="1" si="49"/>
        <v>23.633566666666667</v>
      </c>
      <c r="K1128" s="9">
        <f t="shared" ca="1" si="49"/>
        <v>23.637233333333331</v>
      </c>
      <c r="L1128" s="9">
        <f t="shared" ca="1" si="49"/>
        <v>8.4369166666666668</v>
      </c>
      <c r="M1128" s="9">
        <f t="shared" ca="1" si="49"/>
        <v>8.4405333333333328</v>
      </c>
      <c r="N1128" s="9">
        <f t="shared" ca="1" si="49"/>
        <v>8.4369166666666668</v>
      </c>
      <c r="O1128" s="9">
        <f t="shared" ca="1" si="49"/>
        <v>8.4405333333333328</v>
      </c>
    </row>
    <row r="1129" spans="1:15" ht="15" x14ac:dyDescent="0.2">
      <c r="A1129" s="10">
        <v>2071</v>
      </c>
      <c r="B1129" s="9">
        <f t="shared" ca="1" si="49"/>
        <v>10.390508333333333</v>
      </c>
      <c r="C1129" s="9">
        <f t="shared" ca="1" si="49"/>
        <v>10.390508333333333</v>
      </c>
      <c r="D1129" s="9">
        <f t="shared" ca="1" si="49"/>
        <v>10.391599999999999</v>
      </c>
      <c r="E1129" s="9">
        <f t="shared" ca="1" si="49"/>
        <v>8.5152333333333328</v>
      </c>
      <c r="F1129" s="9">
        <f t="shared" ca="1" si="49"/>
        <v>8.5152333333333328</v>
      </c>
      <c r="G1129" s="9">
        <f t="shared" ca="1" si="49"/>
        <v>8.5188583333333323</v>
      </c>
      <c r="H1129" s="9">
        <f t="shared" ca="1" si="49"/>
        <v>24.110591666666664</v>
      </c>
      <c r="I1129" s="9">
        <f t="shared" ca="1" si="49"/>
        <v>24.114249999999998</v>
      </c>
      <c r="J1129" s="9">
        <f t="shared" ca="1" si="49"/>
        <v>24.110591666666664</v>
      </c>
      <c r="K1129" s="9">
        <f t="shared" ca="1" si="49"/>
        <v>24.114249999999998</v>
      </c>
      <c r="L1129" s="9">
        <f t="shared" ca="1" si="49"/>
        <v>8.5152333333333328</v>
      </c>
      <c r="M1129" s="9">
        <f t="shared" ca="1" si="49"/>
        <v>8.5188583333333323</v>
      </c>
      <c r="N1129" s="9">
        <f t="shared" ca="1" si="49"/>
        <v>8.5152333333333328</v>
      </c>
      <c r="O1129" s="9">
        <f t="shared" ca="1" si="49"/>
        <v>8.5188583333333323</v>
      </c>
    </row>
    <row r="1130" spans="1:15" ht="15" x14ac:dyDescent="0.2">
      <c r="A1130" s="10">
        <v>2072</v>
      </c>
      <c r="B1130" s="9">
        <f t="shared" ref="B1130:O1139" ca="1" si="50">AVERAGE(OFFSET(B$602,($A1130-$A$1120)*12,0,12,1))</f>
        <v>10.579216666666667</v>
      </c>
      <c r="C1130" s="9">
        <f t="shared" ca="1" si="50"/>
        <v>10.579216666666667</v>
      </c>
      <c r="D1130" s="9">
        <f t="shared" ca="1" si="50"/>
        <v>10.580283333333332</v>
      </c>
      <c r="E1130" s="9">
        <f t="shared" ca="1" si="50"/>
        <v>8.5935499999999987</v>
      </c>
      <c r="F1130" s="9">
        <f t="shared" ca="1" si="50"/>
        <v>8.5935499999999987</v>
      </c>
      <c r="G1130" s="9">
        <f t="shared" ca="1" si="50"/>
        <v>8.597175</v>
      </c>
      <c r="H1130" s="9">
        <f t="shared" ca="1" si="50"/>
        <v>24.587616666666673</v>
      </c>
      <c r="I1130" s="9">
        <f t="shared" ca="1" si="50"/>
        <v>24.591275000000007</v>
      </c>
      <c r="J1130" s="9">
        <f t="shared" ca="1" si="50"/>
        <v>24.587616666666673</v>
      </c>
      <c r="K1130" s="9">
        <f t="shared" ca="1" si="50"/>
        <v>24.591275000000007</v>
      </c>
      <c r="L1130" s="9">
        <f t="shared" ca="1" si="50"/>
        <v>8.5935499999999987</v>
      </c>
      <c r="M1130" s="9">
        <f t="shared" ca="1" si="50"/>
        <v>8.597175</v>
      </c>
      <c r="N1130" s="9">
        <f t="shared" ca="1" si="50"/>
        <v>8.5935499999999987</v>
      </c>
      <c r="O1130" s="9">
        <f t="shared" ca="1" si="50"/>
        <v>8.597175</v>
      </c>
    </row>
    <row r="1131" spans="1:15" ht="15" x14ac:dyDescent="0.2">
      <c r="A1131" s="10">
        <v>2073</v>
      </c>
      <c r="B1131" s="9">
        <f t="shared" ca="1" si="50"/>
        <v>10.767916666666666</v>
      </c>
      <c r="C1131" s="9">
        <f t="shared" ca="1" si="50"/>
        <v>10.767916666666666</v>
      </c>
      <c r="D1131" s="9">
        <f t="shared" ca="1" si="50"/>
        <v>10.768991666666667</v>
      </c>
      <c r="E1131" s="9">
        <f t="shared" ca="1" si="50"/>
        <v>8.6718666666666682</v>
      </c>
      <c r="F1131" s="9">
        <f t="shared" ca="1" si="50"/>
        <v>8.6718666666666682</v>
      </c>
      <c r="G1131" s="9">
        <f t="shared" ca="1" si="50"/>
        <v>8.6754916666666642</v>
      </c>
      <c r="H1131" s="9">
        <f t="shared" ca="1" si="50"/>
        <v>25.064633333333333</v>
      </c>
      <c r="I1131" s="9">
        <f t="shared" ca="1" si="50"/>
        <v>25.068299999999997</v>
      </c>
      <c r="J1131" s="9">
        <f t="shared" ca="1" si="50"/>
        <v>25.064633333333333</v>
      </c>
      <c r="K1131" s="9">
        <f t="shared" ca="1" si="50"/>
        <v>25.068299999999997</v>
      </c>
      <c r="L1131" s="9">
        <f t="shared" ca="1" si="50"/>
        <v>8.6718666666666682</v>
      </c>
      <c r="M1131" s="9">
        <f t="shared" ca="1" si="50"/>
        <v>8.6754916666666642</v>
      </c>
      <c r="N1131" s="9">
        <f t="shared" ca="1" si="50"/>
        <v>8.6718666666666682</v>
      </c>
      <c r="O1131" s="9">
        <f t="shared" ca="1" si="50"/>
        <v>8.6754916666666642</v>
      </c>
    </row>
    <row r="1132" spans="1:15" ht="15" x14ac:dyDescent="0.2">
      <c r="A1132" s="10">
        <v>2074</v>
      </c>
      <c r="B1132" s="9">
        <f t="shared" ca="1" si="50"/>
        <v>10.956608333333334</v>
      </c>
      <c r="C1132" s="9">
        <f t="shared" ca="1" si="50"/>
        <v>10.956608333333334</v>
      </c>
      <c r="D1132" s="9">
        <f t="shared" ca="1" si="50"/>
        <v>10.957691666666667</v>
      </c>
      <c r="E1132" s="9">
        <f t="shared" ca="1" si="50"/>
        <v>8.7501666666666669</v>
      </c>
      <c r="F1132" s="9">
        <f t="shared" ca="1" si="50"/>
        <v>8.7501666666666669</v>
      </c>
      <c r="G1132" s="9">
        <f t="shared" ca="1" si="50"/>
        <v>8.7538249999999991</v>
      </c>
      <c r="H1132" s="9">
        <f t="shared" ca="1" si="50"/>
        <v>25.541666666666668</v>
      </c>
      <c r="I1132" s="9">
        <f t="shared" ca="1" si="50"/>
        <v>25.545333333333332</v>
      </c>
      <c r="J1132" s="9">
        <f t="shared" ca="1" si="50"/>
        <v>25.541666666666668</v>
      </c>
      <c r="K1132" s="9">
        <f t="shared" ca="1" si="50"/>
        <v>25.545333333333332</v>
      </c>
      <c r="L1132" s="9">
        <f t="shared" ca="1" si="50"/>
        <v>8.7501666666666669</v>
      </c>
      <c r="M1132" s="9">
        <f t="shared" ca="1" si="50"/>
        <v>8.7538249999999991</v>
      </c>
      <c r="N1132" s="9">
        <f t="shared" ca="1" si="50"/>
        <v>8.7501666666666669</v>
      </c>
      <c r="O1132" s="9">
        <f t="shared" ca="1" si="50"/>
        <v>8.7538249999999991</v>
      </c>
    </row>
    <row r="1133" spans="1:15" ht="15" x14ac:dyDescent="0.2">
      <c r="A1133" s="10">
        <v>2075</v>
      </c>
      <c r="B1133" s="9">
        <f t="shared" ca="1" si="50"/>
        <v>11.145333333333332</v>
      </c>
      <c r="C1133" s="9">
        <f t="shared" ca="1" si="50"/>
        <v>11.145333333333332</v>
      </c>
      <c r="D1133" s="9">
        <f t="shared" ca="1" si="50"/>
        <v>11.146375000000001</v>
      </c>
      <c r="E1133" s="9">
        <f t="shared" ca="1" si="50"/>
        <v>8.8285083333333336</v>
      </c>
      <c r="F1133" s="9">
        <f t="shared" ca="1" si="50"/>
        <v>8.8285083333333336</v>
      </c>
      <c r="G1133" s="9">
        <f t="shared" ca="1" si="50"/>
        <v>8.8321333333333332</v>
      </c>
      <c r="H1133" s="9">
        <f t="shared" ca="1" si="50"/>
        <v>26.018699999999995</v>
      </c>
      <c r="I1133" s="9">
        <f t="shared" ca="1" si="50"/>
        <v>26.022333333333336</v>
      </c>
      <c r="J1133" s="9">
        <f t="shared" ca="1" si="50"/>
        <v>26.018699999999995</v>
      </c>
      <c r="K1133" s="9">
        <f t="shared" ca="1" si="50"/>
        <v>26.022333333333336</v>
      </c>
      <c r="L1133" s="9">
        <f t="shared" ca="1" si="50"/>
        <v>8.8285083333333336</v>
      </c>
      <c r="M1133" s="9">
        <f t="shared" ca="1" si="50"/>
        <v>8.8321333333333332</v>
      </c>
      <c r="N1133" s="9">
        <f t="shared" ca="1" si="50"/>
        <v>8.8285083333333336</v>
      </c>
      <c r="O1133" s="9">
        <f t="shared" ca="1" si="50"/>
        <v>8.8321333333333332</v>
      </c>
    </row>
    <row r="1134" spans="1:15" ht="15" x14ac:dyDescent="0.2">
      <c r="A1134" s="10">
        <v>2076</v>
      </c>
      <c r="B1134" s="9">
        <f t="shared" ca="1" si="50"/>
        <v>11.334016666666665</v>
      </c>
      <c r="C1134" s="9">
        <f t="shared" ca="1" si="50"/>
        <v>11.334016666666665</v>
      </c>
      <c r="D1134" s="9">
        <f t="shared" ca="1" si="50"/>
        <v>11.335108333333332</v>
      </c>
      <c r="E1134" s="9">
        <f t="shared" ca="1" si="50"/>
        <v>8.9068250000000013</v>
      </c>
      <c r="F1134" s="9">
        <f t="shared" ca="1" si="50"/>
        <v>8.9068250000000013</v>
      </c>
      <c r="G1134" s="9">
        <f t="shared" ca="1" si="50"/>
        <v>8.9104583333333327</v>
      </c>
      <c r="H1134" s="9">
        <f t="shared" ca="1" si="50"/>
        <v>26.495725000000004</v>
      </c>
      <c r="I1134" s="9">
        <f t="shared" ca="1" si="50"/>
        <v>26.499374999999997</v>
      </c>
      <c r="J1134" s="9">
        <f t="shared" ca="1" si="50"/>
        <v>26.495725000000004</v>
      </c>
      <c r="K1134" s="9">
        <f t="shared" ca="1" si="50"/>
        <v>26.499374999999997</v>
      </c>
      <c r="L1134" s="9">
        <f t="shared" ca="1" si="50"/>
        <v>8.9068250000000013</v>
      </c>
      <c r="M1134" s="9">
        <f t="shared" ca="1" si="50"/>
        <v>8.9104583333333327</v>
      </c>
      <c r="N1134" s="9">
        <f t="shared" ca="1" si="50"/>
        <v>8.9068250000000013</v>
      </c>
      <c r="O1134" s="9">
        <f t="shared" ca="1" si="50"/>
        <v>8.9104583333333327</v>
      </c>
    </row>
    <row r="1135" spans="1:15" ht="15" x14ac:dyDescent="0.2">
      <c r="A1135" s="10">
        <v>2077</v>
      </c>
      <c r="B1135" s="9">
        <f t="shared" ca="1" si="50"/>
        <v>11.522716666666668</v>
      </c>
      <c r="C1135" s="9">
        <f t="shared" ca="1" si="50"/>
        <v>11.522716666666668</v>
      </c>
      <c r="D1135" s="9">
        <f t="shared" ca="1" si="50"/>
        <v>11.523791666666668</v>
      </c>
      <c r="E1135" s="9">
        <f t="shared" ca="1" si="50"/>
        <v>8.9851333333333319</v>
      </c>
      <c r="F1135" s="9">
        <f t="shared" ca="1" si="50"/>
        <v>8.9851333333333319</v>
      </c>
      <c r="G1135" s="9">
        <f t="shared" ca="1" si="50"/>
        <v>8.9887750000000004</v>
      </c>
      <c r="H1135" s="9">
        <f t="shared" ca="1" si="50"/>
        <v>26.972750000000001</v>
      </c>
      <c r="I1135" s="9">
        <f t="shared" ca="1" si="50"/>
        <v>26.976391666666668</v>
      </c>
      <c r="J1135" s="9">
        <f t="shared" ca="1" si="50"/>
        <v>26.972750000000001</v>
      </c>
      <c r="K1135" s="9">
        <f t="shared" ca="1" si="50"/>
        <v>26.976391666666668</v>
      </c>
      <c r="L1135" s="9">
        <f t="shared" ca="1" si="50"/>
        <v>8.9851333333333319</v>
      </c>
      <c r="M1135" s="9">
        <f t="shared" ca="1" si="50"/>
        <v>8.9887750000000004</v>
      </c>
      <c r="N1135" s="9">
        <f t="shared" ca="1" si="50"/>
        <v>8.9851333333333319</v>
      </c>
      <c r="O1135" s="9">
        <f t="shared" ca="1" si="50"/>
        <v>8.9887750000000004</v>
      </c>
    </row>
    <row r="1136" spans="1:15" ht="15" x14ac:dyDescent="0.2">
      <c r="A1136" s="10">
        <v>2078</v>
      </c>
      <c r="B1136" s="9">
        <f t="shared" ca="1" si="50"/>
        <v>11.711416666666667</v>
      </c>
      <c r="C1136" s="9">
        <f t="shared" ca="1" si="50"/>
        <v>11.711416666666667</v>
      </c>
      <c r="D1136" s="9">
        <f t="shared" ca="1" si="50"/>
        <v>11.7125</v>
      </c>
      <c r="E1136" s="9">
        <f t="shared" ca="1" si="50"/>
        <v>9.0634583333333314</v>
      </c>
      <c r="F1136" s="9">
        <f t="shared" ca="1" si="50"/>
        <v>9.0634583333333314</v>
      </c>
      <c r="G1136" s="9">
        <f t="shared" ca="1" si="50"/>
        <v>9.0670916666666681</v>
      </c>
      <c r="H1136" s="9">
        <f t="shared" ca="1" si="50"/>
        <v>27.449774999999999</v>
      </c>
      <c r="I1136" s="9">
        <f t="shared" ca="1" si="50"/>
        <v>27.453408333333332</v>
      </c>
      <c r="J1136" s="9">
        <f t="shared" ca="1" si="50"/>
        <v>27.449774999999999</v>
      </c>
      <c r="K1136" s="9">
        <f t="shared" ca="1" si="50"/>
        <v>27.453408333333332</v>
      </c>
      <c r="L1136" s="9">
        <f t="shared" ca="1" si="50"/>
        <v>9.0634583333333314</v>
      </c>
      <c r="M1136" s="9">
        <f t="shared" ca="1" si="50"/>
        <v>9.0670916666666681</v>
      </c>
      <c r="N1136" s="9">
        <f t="shared" ca="1" si="50"/>
        <v>9.0634583333333314</v>
      </c>
      <c r="O1136" s="9">
        <f t="shared" ca="1" si="50"/>
        <v>9.0670916666666681</v>
      </c>
    </row>
    <row r="1137" spans="1:15" ht="15" x14ac:dyDescent="0.2">
      <c r="A1137" s="10">
        <v>2079</v>
      </c>
      <c r="B1137" s="9">
        <f t="shared" ca="1" si="50"/>
        <v>11.900108333333334</v>
      </c>
      <c r="C1137" s="9">
        <f t="shared" ca="1" si="50"/>
        <v>11.900108333333334</v>
      </c>
      <c r="D1137" s="9">
        <f t="shared" ca="1" si="50"/>
        <v>11.901191666666669</v>
      </c>
      <c r="E1137" s="9">
        <f t="shared" ca="1" si="50"/>
        <v>9.1417666666666673</v>
      </c>
      <c r="F1137" s="9">
        <f t="shared" ca="1" si="50"/>
        <v>9.1417666666666673</v>
      </c>
      <c r="G1137" s="9">
        <f t="shared" ca="1" si="50"/>
        <v>9.1454166666666659</v>
      </c>
      <c r="H1137" s="9">
        <f t="shared" ca="1" si="50"/>
        <v>27.926799999999997</v>
      </c>
      <c r="I1137" s="9">
        <f t="shared" ca="1" si="50"/>
        <v>27.930441666666667</v>
      </c>
      <c r="J1137" s="9">
        <f t="shared" ca="1" si="50"/>
        <v>27.926799999999997</v>
      </c>
      <c r="K1137" s="9">
        <f t="shared" ca="1" si="50"/>
        <v>27.930441666666667</v>
      </c>
      <c r="L1137" s="9">
        <f t="shared" ca="1" si="50"/>
        <v>9.1417666666666673</v>
      </c>
      <c r="M1137" s="9">
        <f t="shared" ca="1" si="50"/>
        <v>9.1454166666666659</v>
      </c>
      <c r="N1137" s="9">
        <f t="shared" ca="1" si="50"/>
        <v>9.1417666666666673</v>
      </c>
      <c r="O1137" s="9">
        <f t="shared" ca="1" si="50"/>
        <v>9.1454166666666659</v>
      </c>
    </row>
    <row r="1138" spans="1:15" ht="15" x14ac:dyDescent="0.2">
      <c r="A1138" s="10">
        <v>2080</v>
      </c>
      <c r="B1138" s="9">
        <f t="shared" ca="1" si="50"/>
        <v>12.088825</v>
      </c>
      <c r="C1138" s="9">
        <f t="shared" ca="1" si="50"/>
        <v>12.088825</v>
      </c>
      <c r="D1138" s="9">
        <f t="shared" ca="1" si="50"/>
        <v>12.089891666666666</v>
      </c>
      <c r="E1138" s="9">
        <f t="shared" ca="1" si="50"/>
        <v>9.220083333333335</v>
      </c>
      <c r="F1138" s="9">
        <f t="shared" ca="1" si="50"/>
        <v>9.220083333333335</v>
      </c>
      <c r="G1138" s="9">
        <f t="shared" ca="1" si="50"/>
        <v>9.2237166666666646</v>
      </c>
      <c r="H1138" s="9">
        <f t="shared" ca="1" si="50"/>
        <v>28.403824999999998</v>
      </c>
      <c r="I1138" s="9">
        <f t="shared" ca="1" si="50"/>
        <v>28.407483333333332</v>
      </c>
      <c r="J1138" s="9">
        <f t="shared" ca="1" si="50"/>
        <v>28.403824999999998</v>
      </c>
      <c r="K1138" s="9">
        <f t="shared" ca="1" si="50"/>
        <v>28.407483333333332</v>
      </c>
      <c r="L1138" s="9">
        <f t="shared" ca="1" si="50"/>
        <v>9.220083333333335</v>
      </c>
      <c r="M1138" s="9">
        <f t="shared" ca="1" si="50"/>
        <v>9.2237166666666646</v>
      </c>
      <c r="N1138" s="9">
        <f t="shared" ca="1" si="50"/>
        <v>9.220083333333335</v>
      </c>
      <c r="O1138" s="9">
        <f t="shared" ca="1" si="50"/>
        <v>9.2237166666666646</v>
      </c>
    </row>
    <row r="1139" spans="1:15" ht="15" x14ac:dyDescent="0.2">
      <c r="A1139" s="10">
        <v>2081</v>
      </c>
      <c r="B1139" s="9">
        <f t="shared" ca="1" si="50"/>
        <v>12.277508333333332</v>
      </c>
      <c r="C1139" s="9">
        <f t="shared" ca="1" si="50"/>
        <v>12.277508333333332</v>
      </c>
      <c r="D1139" s="9">
        <f t="shared" ca="1" si="50"/>
        <v>12.278608333333333</v>
      </c>
      <c r="E1139" s="9">
        <f t="shared" ca="1" si="50"/>
        <v>9.2984083333333327</v>
      </c>
      <c r="F1139" s="9">
        <f t="shared" ca="1" si="50"/>
        <v>9.2984083333333327</v>
      </c>
      <c r="G1139" s="9">
        <f t="shared" ca="1" si="50"/>
        <v>9.3020333333333323</v>
      </c>
      <c r="H1139" s="9">
        <f t="shared" ca="1" si="50"/>
        <v>28.880849999999999</v>
      </c>
      <c r="I1139" s="9">
        <f t="shared" ca="1" si="50"/>
        <v>28.884491666666666</v>
      </c>
      <c r="J1139" s="9">
        <f t="shared" ca="1" si="50"/>
        <v>28.880849999999999</v>
      </c>
      <c r="K1139" s="9">
        <f t="shared" ca="1" si="50"/>
        <v>28.884491666666666</v>
      </c>
      <c r="L1139" s="9">
        <f t="shared" ca="1" si="50"/>
        <v>9.2984083333333327</v>
      </c>
      <c r="M1139" s="9">
        <f t="shared" ca="1" si="50"/>
        <v>9.3020333333333323</v>
      </c>
      <c r="N1139" s="9">
        <f t="shared" ca="1" si="50"/>
        <v>9.2984083333333327</v>
      </c>
      <c r="O1139" s="9">
        <f t="shared" ca="1" si="50"/>
        <v>9.3020333333333323</v>
      </c>
    </row>
    <row r="1140" spans="1:15" ht="15" x14ac:dyDescent="0.2">
      <c r="A1140" s="10">
        <v>2082</v>
      </c>
      <c r="B1140" s="9">
        <f t="shared" ref="B1140:O1149" ca="1" si="51">AVERAGE(OFFSET(B$602,($A1140-$A$1120)*12,0,12,1))</f>
        <v>12.466233333333333</v>
      </c>
      <c r="C1140" s="9">
        <f t="shared" ca="1" si="51"/>
        <v>12.466233333333333</v>
      </c>
      <c r="D1140" s="9">
        <f t="shared" ca="1" si="51"/>
        <v>12.467291666666666</v>
      </c>
      <c r="E1140" s="9">
        <f t="shared" ca="1" si="51"/>
        <v>9.3767166666666668</v>
      </c>
      <c r="F1140" s="9">
        <f t="shared" ca="1" si="51"/>
        <v>9.3767166666666668</v>
      </c>
      <c r="G1140" s="9">
        <f t="shared" ca="1" si="51"/>
        <v>9.3803416666666681</v>
      </c>
      <c r="H1140" s="9">
        <f t="shared" ca="1" si="51"/>
        <v>29.357883333333337</v>
      </c>
      <c r="I1140" s="9">
        <f t="shared" ca="1" si="51"/>
        <v>29.36151666666667</v>
      </c>
      <c r="J1140" s="9">
        <f t="shared" ca="1" si="51"/>
        <v>29.357883333333337</v>
      </c>
      <c r="K1140" s="9">
        <f t="shared" ca="1" si="51"/>
        <v>29.36151666666667</v>
      </c>
      <c r="L1140" s="9">
        <f t="shared" ca="1" si="51"/>
        <v>9.3767166666666668</v>
      </c>
      <c r="M1140" s="9">
        <f t="shared" ca="1" si="51"/>
        <v>9.3803416666666681</v>
      </c>
      <c r="N1140" s="9">
        <f t="shared" ca="1" si="51"/>
        <v>9.3767166666666668</v>
      </c>
      <c r="O1140" s="9">
        <f t="shared" ca="1" si="51"/>
        <v>9.3803416666666681</v>
      </c>
    </row>
    <row r="1141" spans="1:15" ht="15" x14ac:dyDescent="0.2">
      <c r="A1141" s="10">
        <v>2083</v>
      </c>
      <c r="B1141" s="9">
        <f t="shared" ca="1" si="51"/>
        <v>12.654925</v>
      </c>
      <c r="C1141" s="9">
        <f t="shared" ca="1" si="51"/>
        <v>12.654925</v>
      </c>
      <c r="D1141" s="9">
        <f t="shared" ca="1" si="51"/>
        <v>12.656000000000001</v>
      </c>
      <c r="E1141" s="9">
        <f t="shared" ca="1" si="51"/>
        <v>9.4550500000000017</v>
      </c>
      <c r="F1141" s="9">
        <f t="shared" ca="1" si="51"/>
        <v>9.4550500000000017</v>
      </c>
      <c r="G1141" s="9">
        <f t="shared" ca="1" si="51"/>
        <v>9.4586916666666649</v>
      </c>
      <c r="H1141" s="9">
        <f t="shared" ca="1" si="51"/>
        <v>29.83489166666666</v>
      </c>
      <c r="I1141" s="9">
        <f t="shared" ca="1" si="51"/>
        <v>29.838533333333327</v>
      </c>
      <c r="J1141" s="9">
        <f t="shared" ca="1" si="51"/>
        <v>29.83489166666666</v>
      </c>
      <c r="K1141" s="9">
        <f t="shared" ca="1" si="51"/>
        <v>29.838533333333327</v>
      </c>
      <c r="L1141" s="9">
        <f t="shared" ca="1" si="51"/>
        <v>9.4550500000000017</v>
      </c>
      <c r="M1141" s="9">
        <f t="shared" ca="1" si="51"/>
        <v>9.4586916666666649</v>
      </c>
      <c r="N1141" s="9">
        <f t="shared" ca="1" si="51"/>
        <v>9.4550500000000017</v>
      </c>
      <c r="O1141" s="9">
        <f t="shared" ca="1" si="51"/>
        <v>9.4586916666666649</v>
      </c>
    </row>
    <row r="1142" spans="1:15" ht="15" x14ac:dyDescent="0.2">
      <c r="A1142" s="10">
        <v>2084</v>
      </c>
      <c r="B1142" s="9">
        <f t="shared" ca="1" si="51"/>
        <v>12.843616666666664</v>
      </c>
      <c r="C1142" s="9">
        <f t="shared" ca="1" si="51"/>
        <v>12.843616666666664</v>
      </c>
      <c r="D1142" s="9">
        <f t="shared" ca="1" si="51"/>
        <v>12.844699999999998</v>
      </c>
      <c r="E1142" s="9">
        <f t="shared" ca="1" si="51"/>
        <v>9.5333583333333323</v>
      </c>
      <c r="F1142" s="9">
        <f t="shared" ca="1" si="51"/>
        <v>9.5333583333333323</v>
      </c>
      <c r="G1142" s="9">
        <f t="shared" ca="1" si="51"/>
        <v>9.5370000000000008</v>
      </c>
      <c r="H1142" s="9">
        <f t="shared" ca="1" si="51"/>
        <v>30.311924999999999</v>
      </c>
      <c r="I1142" s="9">
        <f t="shared" ca="1" si="51"/>
        <v>30.315566666666665</v>
      </c>
      <c r="J1142" s="9">
        <f t="shared" ca="1" si="51"/>
        <v>30.311924999999999</v>
      </c>
      <c r="K1142" s="9">
        <f t="shared" ca="1" si="51"/>
        <v>30.315566666666665</v>
      </c>
      <c r="L1142" s="9">
        <f t="shared" ca="1" si="51"/>
        <v>9.5333583333333323</v>
      </c>
      <c r="M1142" s="9">
        <f t="shared" ca="1" si="51"/>
        <v>9.5370000000000008</v>
      </c>
      <c r="N1142" s="9">
        <f t="shared" ca="1" si="51"/>
        <v>9.5333583333333323</v>
      </c>
      <c r="O1142" s="9">
        <f t="shared" ca="1" si="51"/>
        <v>9.5370000000000008</v>
      </c>
    </row>
    <row r="1143" spans="1:15" ht="15" x14ac:dyDescent="0.2">
      <c r="A1143" s="10">
        <v>2085</v>
      </c>
      <c r="B1143" s="9">
        <f t="shared" ca="1" si="51"/>
        <v>13.032333333333334</v>
      </c>
      <c r="C1143" s="9">
        <f t="shared" ca="1" si="51"/>
        <v>13.032333333333334</v>
      </c>
      <c r="D1143" s="9">
        <f t="shared" ca="1" si="51"/>
        <v>13.033391666666667</v>
      </c>
      <c r="E1143" s="9">
        <f t="shared" ca="1" si="51"/>
        <v>9.6116833333333336</v>
      </c>
      <c r="F1143" s="9">
        <f t="shared" ca="1" si="51"/>
        <v>9.6116833333333336</v>
      </c>
      <c r="G1143" s="9">
        <f t="shared" ca="1" si="51"/>
        <v>9.6153083333333331</v>
      </c>
      <c r="H1143" s="9">
        <f t="shared" ca="1" si="51"/>
        <v>30.78894166666667</v>
      </c>
      <c r="I1143" s="9">
        <f t="shared" ca="1" si="51"/>
        <v>30.792583333333337</v>
      </c>
      <c r="J1143" s="9">
        <f t="shared" ca="1" si="51"/>
        <v>30.78894166666667</v>
      </c>
      <c r="K1143" s="9">
        <f t="shared" ca="1" si="51"/>
        <v>30.792583333333337</v>
      </c>
      <c r="L1143" s="9">
        <f t="shared" ca="1" si="51"/>
        <v>9.6116833333333336</v>
      </c>
      <c r="M1143" s="9">
        <f t="shared" ca="1" si="51"/>
        <v>9.6153083333333331</v>
      </c>
      <c r="N1143" s="9">
        <f t="shared" ca="1" si="51"/>
        <v>9.6116833333333336</v>
      </c>
      <c r="O1143" s="9">
        <f t="shared" ca="1" si="51"/>
        <v>9.6153083333333331</v>
      </c>
    </row>
    <row r="1144" spans="1:15" ht="15" x14ac:dyDescent="0.2">
      <c r="A1144" s="10">
        <v>2086</v>
      </c>
      <c r="B1144" s="9">
        <f t="shared" ca="1" si="51"/>
        <v>13.221025000000003</v>
      </c>
      <c r="C1144" s="9">
        <f t="shared" ca="1" si="51"/>
        <v>13.221025000000003</v>
      </c>
      <c r="D1144" s="9">
        <f t="shared" ca="1" si="51"/>
        <v>13.222108333333333</v>
      </c>
      <c r="E1144" s="9">
        <f t="shared" ca="1" si="51"/>
        <v>9.6900083333333349</v>
      </c>
      <c r="F1144" s="9">
        <f t="shared" ca="1" si="51"/>
        <v>9.6900083333333349</v>
      </c>
      <c r="G1144" s="9">
        <f t="shared" ca="1" si="51"/>
        <v>9.6936333333333327</v>
      </c>
      <c r="H1144" s="9">
        <f t="shared" ca="1" si="51"/>
        <v>31.26595833333333</v>
      </c>
      <c r="I1144" s="9">
        <f t="shared" ca="1" si="51"/>
        <v>31.269608333333334</v>
      </c>
      <c r="J1144" s="9">
        <f t="shared" ca="1" si="51"/>
        <v>31.26595833333333</v>
      </c>
      <c r="K1144" s="9">
        <f t="shared" ca="1" si="51"/>
        <v>31.269608333333334</v>
      </c>
      <c r="L1144" s="9">
        <f t="shared" ca="1" si="51"/>
        <v>9.6900083333333349</v>
      </c>
      <c r="M1144" s="9">
        <f t="shared" ca="1" si="51"/>
        <v>9.6936333333333327</v>
      </c>
      <c r="N1144" s="9">
        <f t="shared" ca="1" si="51"/>
        <v>9.6900083333333349</v>
      </c>
      <c r="O1144" s="9">
        <f t="shared" ca="1" si="51"/>
        <v>9.6936333333333327</v>
      </c>
    </row>
    <row r="1145" spans="1:15" ht="15" x14ac:dyDescent="0.2">
      <c r="A1145" s="10">
        <v>2087</v>
      </c>
      <c r="B1145" s="9">
        <f t="shared" ca="1" si="51"/>
        <v>13.409750000000003</v>
      </c>
      <c r="C1145" s="9">
        <f t="shared" ca="1" si="51"/>
        <v>13.409750000000003</v>
      </c>
      <c r="D1145" s="9">
        <f t="shared" ca="1" si="51"/>
        <v>13.41079166666667</v>
      </c>
      <c r="E1145" s="9">
        <f t="shared" ca="1" si="51"/>
        <v>9.7683083333333318</v>
      </c>
      <c r="F1145" s="9">
        <f t="shared" ca="1" si="51"/>
        <v>9.7683083333333318</v>
      </c>
      <c r="G1145" s="9">
        <f t="shared" ca="1" si="51"/>
        <v>9.7719499999999986</v>
      </c>
      <c r="H1145" s="9">
        <f t="shared" ca="1" si="51"/>
        <v>31.742991666666665</v>
      </c>
      <c r="I1145" s="9">
        <f t="shared" ca="1" si="51"/>
        <v>31.746625000000005</v>
      </c>
      <c r="J1145" s="9">
        <f t="shared" ca="1" si="51"/>
        <v>31.742991666666665</v>
      </c>
      <c r="K1145" s="9">
        <f t="shared" ca="1" si="51"/>
        <v>31.746625000000005</v>
      </c>
      <c r="L1145" s="9">
        <f t="shared" ca="1" si="51"/>
        <v>9.7683083333333318</v>
      </c>
      <c r="M1145" s="9">
        <f t="shared" ca="1" si="51"/>
        <v>9.7719499999999986</v>
      </c>
      <c r="N1145" s="9">
        <f t="shared" ca="1" si="51"/>
        <v>9.7683083333333318</v>
      </c>
      <c r="O1145" s="9">
        <f t="shared" ca="1" si="51"/>
        <v>9.7719499999999986</v>
      </c>
    </row>
    <row r="1146" spans="1:15" ht="15" x14ac:dyDescent="0.2">
      <c r="A1146" s="10">
        <v>2088</v>
      </c>
      <c r="B1146" s="9">
        <f t="shared" ca="1" si="51"/>
        <v>13.598433333333332</v>
      </c>
      <c r="C1146" s="9">
        <f t="shared" ca="1" si="51"/>
        <v>13.598433333333332</v>
      </c>
      <c r="D1146" s="9">
        <f t="shared" ca="1" si="51"/>
        <v>13.599516666666666</v>
      </c>
      <c r="E1146" s="9">
        <f t="shared" ca="1" si="51"/>
        <v>9.846641666666665</v>
      </c>
      <c r="F1146" s="9">
        <f t="shared" ca="1" si="51"/>
        <v>9.846641666666665</v>
      </c>
      <c r="G1146" s="9">
        <f t="shared" ca="1" si="51"/>
        <v>9.8502666666666681</v>
      </c>
      <c r="H1146" s="9">
        <f t="shared" ca="1" si="51"/>
        <v>32.220025</v>
      </c>
      <c r="I1146" s="9">
        <f t="shared" ca="1" si="51"/>
        <v>32.22365833333334</v>
      </c>
      <c r="J1146" s="9">
        <f t="shared" ca="1" si="51"/>
        <v>32.220025</v>
      </c>
      <c r="K1146" s="9">
        <f t="shared" ca="1" si="51"/>
        <v>32.22365833333334</v>
      </c>
      <c r="L1146" s="9">
        <f t="shared" ca="1" si="51"/>
        <v>9.846641666666665</v>
      </c>
      <c r="M1146" s="9">
        <f t="shared" ca="1" si="51"/>
        <v>9.8502666666666681</v>
      </c>
      <c r="N1146" s="9">
        <f t="shared" ca="1" si="51"/>
        <v>9.846641666666665</v>
      </c>
      <c r="O1146" s="9">
        <f t="shared" ca="1" si="51"/>
        <v>9.8502666666666681</v>
      </c>
    </row>
    <row r="1147" spans="1:15" ht="15" x14ac:dyDescent="0.2">
      <c r="A1147" s="10">
        <v>2089</v>
      </c>
      <c r="B1147" s="9">
        <f t="shared" ca="1" si="51"/>
        <v>13.787141666666669</v>
      </c>
      <c r="C1147" s="9">
        <f t="shared" ca="1" si="51"/>
        <v>13.787141666666669</v>
      </c>
      <c r="D1147" s="9">
        <f t="shared" ca="1" si="51"/>
        <v>13.788216666666669</v>
      </c>
      <c r="E1147" s="9">
        <f t="shared" ca="1" si="51"/>
        <v>9.9249583333333344</v>
      </c>
      <c r="F1147" s="9">
        <f t="shared" ca="1" si="51"/>
        <v>9.9249583333333344</v>
      </c>
      <c r="G1147" s="9">
        <f t="shared" ca="1" si="51"/>
        <v>9.928583333333334</v>
      </c>
      <c r="H1147" s="9">
        <f t="shared" ca="1" si="51"/>
        <v>32.697033333333337</v>
      </c>
      <c r="I1147" s="9">
        <f t="shared" ca="1" si="51"/>
        <v>32.700674999999997</v>
      </c>
      <c r="J1147" s="9">
        <f t="shared" ca="1" si="51"/>
        <v>32.697033333333337</v>
      </c>
      <c r="K1147" s="9">
        <f t="shared" ca="1" si="51"/>
        <v>32.700674999999997</v>
      </c>
      <c r="L1147" s="9">
        <f t="shared" ca="1" si="51"/>
        <v>9.9249583333333344</v>
      </c>
      <c r="M1147" s="9">
        <f t="shared" ca="1" si="51"/>
        <v>9.928583333333334</v>
      </c>
      <c r="N1147" s="9">
        <f t="shared" ca="1" si="51"/>
        <v>9.9249583333333344</v>
      </c>
      <c r="O1147" s="9">
        <f t="shared" ca="1" si="51"/>
        <v>9.928583333333334</v>
      </c>
    </row>
    <row r="1148" spans="1:15" ht="15" x14ac:dyDescent="0.2">
      <c r="A1148" s="10">
        <v>2090</v>
      </c>
      <c r="B1148" s="9">
        <f t="shared" ca="1" si="51"/>
        <v>13.975841666666668</v>
      </c>
      <c r="C1148" s="9">
        <f t="shared" ca="1" si="51"/>
        <v>13.975841666666668</v>
      </c>
      <c r="D1148" s="9">
        <f t="shared" ca="1" si="51"/>
        <v>13.976900000000002</v>
      </c>
      <c r="E1148" s="9">
        <f t="shared" ca="1" si="51"/>
        <v>10.003258333333333</v>
      </c>
      <c r="F1148" s="9">
        <f t="shared" ca="1" si="51"/>
        <v>10.003258333333333</v>
      </c>
      <c r="G1148" s="9">
        <f t="shared" ca="1" si="51"/>
        <v>10.006891666666668</v>
      </c>
      <c r="H1148" s="9">
        <f t="shared" ca="1" si="51"/>
        <v>33.174066666666668</v>
      </c>
      <c r="I1148" s="9">
        <f t="shared" ca="1" si="51"/>
        <v>33.177708333333328</v>
      </c>
      <c r="J1148" s="9">
        <f t="shared" ca="1" si="51"/>
        <v>33.174066666666668</v>
      </c>
      <c r="K1148" s="9">
        <f t="shared" ca="1" si="51"/>
        <v>33.177708333333328</v>
      </c>
      <c r="L1148" s="9">
        <f t="shared" ca="1" si="51"/>
        <v>10.003258333333333</v>
      </c>
      <c r="M1148" s="9">
        <f t="shared" ca="1" si="51"/>
        <v>10.006891666666668</v>
      </c>
      <c r="N1148" s="9">
        <f t="shared" ca="1" si="51"/>
        <v>10.003258333333333</v>
      </c>
      <c r="O1148" s="9">
        <f t="shared" ca="1" si="51"/>
        <v>10.006891666666668</v>
      </c>
    </row>
    <row r="1149" spans="1:15" ht="15" x14ac:dyDescent="0.2">
      <c r="A1149" s="10">
        <v>2091</v>
      </c>
      <c r="B1149" s="9">
        <f t="shared" ca="1" si="51"/>
        <v>14.164533333333333</v>
      </c>
      <c r="C1149" s="9">
        <f t="shared" ca="1" si="51"/>
        <v>14.164533333333333</v>
      </c>
      <c r="D1149" s="9">
        <f t="shared" ca="1" si="51"/>
        <v>14.165616666666665</v>
      </c>
      <c r="E1149" s="9">
        <f t="shared" ca="1" si="51"/>
        <v>10.081591666666665</v>
      </c>
      <c r="F1149" s="9">
        <f t="shared" ca="1" si="51"/>
        <v>10.081591666666665</v>
      </c>
      <c r="G1149" s="9">
        <f t="shared" ca="1" si="51"/>
        <v>10.085216666666666</v>
      </c>
      <c r="H1149" s="9">
        <f t="shared" ca="1" si="51"/>
        <v>33.651083333333339</v>
      </c>
      <c r="I1149" s="9">
        <f t="shared" ca="1" si="51"/>
        <v>33.654724999999992</v>
      </c>
      <c r="J1149" s="9">
        <f t="shared" ca="1" si="51"/>
        <v>33.651083333333339</v>
      </c>
      <c r="K1149" s="9">
        <f t="shared" ca="1" si="51"/>
        <v>33.654724999999992</v>
      </c>
      <c r="L1149" s="9">
        <f t="shared" ca="1" si="51"/>
        <v>10.081591666666665</v>
      </c>
      <c r="M1149" s="9">
        <f t="shared" ca="1" si="51"/>
        <v>10.085216666666666</v>
      </c>
      <c r="N1149" s="9">
        <f t="shared" ca="1" si="51"/>
        <v>10.081591666666665</v>
      </c>
      <c r="O1149" s="9">
        <f t="shared" ca="1" si="51"/>
        <v>10.085216666666666</v>
      </c>
    </row>
    <row r="1150" spans="1:15" ht="15" x14ac:dyDescent="0.2">
      <c r="A1150" s="10">
        <v>2092</v>
      </c>
      <c r="B1150" s="9">
        <f t="shared" ref="B1150:O1158" ca="1" si="52">AVERAGE(OFFSET(B$602,($A1150-$A$1120)*12,0,12,1))</f>
        <v>14.353250000000001</v>
      </c>
      <c r="C1150" s="9">
        <f t="shared" ca="1" si="52"/>
        <v>14.353250000000001</v>
      </c>
      <c r="D1150" s="9">
        <f t="shared" ca="1" si="52"/>
        <v>14.354316666666668</v>
      </c>
      <c r="E1150" s="9">
        <f t="shared" ca="1" si="52"/>
        <v>10.159908333333334</v>
      </c>
      <c r="F1150" s="9">
        <f t="shared" ca="1" si="52"/>
        <v>10.159908333333334</v>
      </c>
      <c r="G1150" s="9">
        <f t="shared" ca="1" si="52"/>
        <v>10.163549999999999</v>
      </c>
      <c r="H1150" s="9">
        <f t="shared" ca="1" si="52"/>
        <v>34.128108333333337</v>
      </c>
      <c r="I1150" s="9">
        <f t="shared" ca="1" si="52"/>
        <v>34.13175833333333</v>
      </c>
      <c r="J1150" s="9">
        <f t="shared" ca="1" si="52"/>
        <v>34.128108333333337</v>
      </c>
      <c r="K1150" s="9">
        <f t="shared" ca="1" si="52"/>
        <v>34.13175833333333</v>
      </c>
      <c r="L1150" s="9">
        <f t="shared" ca="1" si="52"/>
        <v>10.159908333333334</v>
      </c>
      <c r="M1150" s="9">
        <f t="shared" ca="1" si="52"/>
        <v>10.163549999999999</v>
      </c>
      <c r="N1150" s="9">
        <f t="shared" ca="1" si="52"/>
        <v>10.159908333333334</v>
      </c>
      <c r="O1150" s="9">
        <f t="shared" ca="1" si="52"/>
        <v>10.163549999999999</v>
      </c>
    </row>
    <row r="1151" spans="1:15" ht="15" x14ac:dyDescent="0.2">
      <c r="A1151" s="10">
        <v>2093</v>
      </c>
      <c r="B1151" s="9">
        <f t="shared" ca="1" si="52"/>
        <v>14.541925000000001</v>
      </c>
      <c r="C1151" s="9">
        <f t="shared" ca="1" si="52"/>
        <v>14.541925000000001</v>
      </c>
      <c r="D1151" s="9">
        <f t="shared" ca="1" si="52"/>
        <v>14.543025</v>
      </c>
      <c r="E1151" s="9">
        <f t="shared" ca="1" si="52"/>
        <v>10.238233333333334</v>
      </c>
      <c r="F1151" s="9">
        <f t="shared" ca="1" si="52"/>
        <v>10.238233333333334</v>
      </c>
      <c r="G1151" s="9">
        <f t="shared" ca="1" si="52"/>
        <v>10.241866666666668</v>
      </c>
      <c r="H1151" s="9">
        <f t="shared" ca="1" si="52"/>
        <v>34.605141666666668</v>
      </c>
      <c r="I1151" s="9">
        <f t="shared" ca="1" si="52"/>
        <v>34.608775000000001</v>
      </c>
      <c r="J1151" s="9">
        <f t="shared" ca="1" si="52"/>
        <v>34.605141666666668</v>
      </c>
      <c r="K1151" s="9">
        <f t="shared" ca="1" si="52"/>
        <v>34.608775000000001</v>
      </c>
      <c r="L1151" s="9">
        <f t="shared" ca="1" si="52"/>
        <v>10.238233333333334</v>
      </c>
      <c r="M1151" s="9">
        <f t="shared" ca="1" si="52"/>
        <v>10.241866666666668</v>
      </c>
      <c r="N1151" s="9">
        <f t="shared" ca="1" si="52"/>
        <v>10.238233333333334</v>
      </c>
      <c r="O1151" s="9">
        <f t="shared" ca="1" si="52"/>
        <v>10.241866666666668</v>
      </c>
    </row>
    <row r="1152" spans="1:15" ht="15" x14ac:dyDescent="0.2">
      <c r="A1152" s="10">
        <v>2094</v>
      </c>
      <c r="B1152" s="9">
        <f t="shared" ca="1" si="52"/>
        <v>14.730650000000002</v>
      </c>
      <c r="C1152" s="9">
        <f t="shared" ca="1" si="52"/>
        <v>14.730650000000002</v>
      </c>
      <c r="D1152" s="9">
        <f t="shared" ca="1" si="52"/>
        <v>14.731716666666665</v>
      </c>
      <c r="E1152" s="9">
        <f t="shared" ca="1" si="52"/>
        <v>10.316550000000001</v>
      </c>
      <c r="F1152" s="9">
        <f t="shared" ca="1" si="52"/>
        <v>10.316550000000001</v>
      </c>
      <c r="G1152" s="9">
        <f t="shared" ca="1" si="52"/>
        <v>10.320175000000001</v>
      </c>
      <c r="H1152" s="9">
        <f t="shared" ca="1" si="52"/>
        <v>35.082166666666666</v>
      </c>
      <c r="I1152" s="9">
        <f t="shared" ca="1" si="52"/>
        <v>35.085799999999999</v>
      </c>
      <c r="J1152" s="9">
        <f t="shared" ca="1" si="52"/>
        <v>35.082166666666666</v>
      </c>
      <c r="K1152" s="9">
        <f t="shared" ca="1" si="52"/>
        <v>35.085799999999999</v>
      </c>
      <c r="L1152" s="9">
        <f t="shared" ca="1" si="52"/>
        <v>10.316550000000001</v>
      </c>
      <c r="M1152" s="9">
        <f t="shared" ca="1" si="52"/>
        <v>10.320175000000001</v>
      </c>
      <c r="N1152" s="9">
        <f t="shared" ca="1" si="52"/>
        <v>10.316550000000001</v>
      </c>
      <c r="O1152" s="9">
        <f t="shared" ca="1" si="52"/>
        <v>10.320175000000001</v>
      </c>
    </row>
    <row r="1153" spans="1:15" ht="15" x14ac:dyDescent="0.2">
      <c r="A1153" s="10">
        <v>2095</v>
      </c>
      <c r="B1153" s="9">
        <f t="shared" ca="1" si="52"/>
        <v>14.919341666666666</v>
      </c>
      <c r="C1153" s="9">
        <f t="shared" ca="1" si="52"/>
        <v>14.919341666666666</v>
      </c>
      <c r="D1153" s="9">
        <f t="shared" ca="1" si="52"/>
        <v>14.920416666666666</v>
      </c>
      <c r="E1153" s="9">
        <f t="shared" ca="1" si="52"/>
        <v>10.394858333333334</v>
      </c>
      <c r="F1153" s="9">
        <f t="shared" ca="1" si="52"/>
        <v>10.394858333333334</v>
      </c>
      <c r="G1153" s="9">
        <f t="shared" ca="1" si="52"/>
        <v>10.3985</v>
      </c>
      <c r="H1153" s="9">
        <f t="shared" ca="1" si="52"/>
        <v>35.559183333333344</v>
      </c>
      <c r="I1153" s="9">
        <f t="shared" ca="1" si="52"/>
        <v>35.562833333333337</v>
      </c>
      <c r="J1153" s="9">
        <f t="shared" ca="1" si="52"/>
        <v>35.559183333333344</v>
      </c>
      <c r="K1153" s="9">
        <f t="shared" ca="1" si="52"/>
        <v>35.562833333333337</v>
      </c>
      <c r="L1153" s="9">
        <f t="shared" ca="1" si="52"/>
        <v>10.394858333333334</v>
      </c>
      <c r="M1153" s="9">
        <f t="shared" ca="1" si="52"/>
        <v>10.3985</v>
      </c>
      <c r="N1153" s="9">
        <f t="shared" ca="1" si="52"/>
        <v>10.394858333333334</v>
      </c>
      <c r="O1153" s="9">
        <f t="shared" ca="1" si="52"/>
        <v>10.3985</v>
      </c>
    </row>
    <row r="1154" spans="1:15" ht="15" x14ac:dyDescent="0.2">
      <c r="A1154" s="10">
        <v>2096</v>
      </c>
      <c r="B1154" s="9">
        <f t="shared" ca="1" si="52"/>
        <v>15.108033333333333</v>
      </c>
      <c r="C1154" s="9">
        <f t="shared" ca="1" si="52"/>
        <v>15.108033333333333</v>
      </c>
      <c r="D1154" s="9">
        <f t="shared" ca="1" si="52"/>
        <v>15.109116666666665</v>
      </c>
      <c r="E1154" s="9">
        <f t="shared" ca="1" si="52"/>
        <v>10.473183333333333</v>
      </c>
      <c r="F1154" s="9">
        <f t="shared" ca="1" si="52"/>
        <v>10.473183333333333</v>
      </c>
      <c r="G1154" s="9">
        <f t="shared" ca="1" si="52"/>
        <v>10.476816666666666</v>
      </c>
      <c r="H1154" s="9">
        <f t="shared" ca="1" si="52"/>
        <v>36.036233333333335</v>
      </c>
      <c r="I1154" s="9">
        <f t="shared" ca="1" si="52"/>
        <v>36.039866666666676</v>
      </c>
      <c r="J1154" s="9">
        <f t="shared" ca="1" si="52"/>
        <v>36.036233333333335</v>
      </c>
      <c r="K1154" s="9">
        <f t="shared" ca="1" si="52"/>
        <v>36.039866666666676</v>
      </c>
      <c r="L1154" s="9">
        <f t="shared" ca="1" si="52"/>
        <v>10.473183333333333</v>
      </c>
      <c r="M1154" s="9">
        <f t="shared" ca="1" si="52"/>
        <v>10.476816666666666</v>
      </c>
      <c r="N1154" s="9">
        <f t="shared" ca="1" si="52"/>
        <v>10.473183333333333</v>
      </c>
      <c r="O1154" s="9">
        <f t="shared" ca="1" si="52"/>
        <v>10.476816666666666</v>
      </c>
    </row>
    <row r="1155" spans="1:15" ht="15" x14ac:dyDescent="0.2">
      <c r="A1155" s="10">
        <v>2097</v>
      </c>
      <c r="B1155" s="9">
        <f t="shared" ca="1" si="52"/>
        <v>15.296750000000001</v>
      </c>
      <c r="C1155" s="9">
        <f t="shared" ca="1" si="52"/>
        <v>15.296750000000001</v>
      </c>
      <c r="D1155" s="9">
        <f t="shared" ca="1" si="52"/>
        <v>15.297808333333334</v>
      </c>
      <c r="E1155" s="9">
        <f t="shared" ca="1" si="52"/>
        <v>10.551491666666665</v>
      </c>
      <c r="F1155" s="9">
        <f t="shared" ca="1" si="52"/>
        <v>10.551491666666665</v>
      </c>
      <c r="G1155" s="9">
        <f t="shared" ca="1" si="52"/>
        <v>10.555133333333334</v>
      </c>
      <c r="H1155" s="9">
        <f t="shared" ca="1" si="52"/>
        <v>36.513233333333332</v>
      </c>
      <c r="I1155" s="9">
        <f t="shared" ca="1" si="52"/>
        <v>36.516883333333332</v>
      </c>
      <c r="J1155" s="9">
        <f t="shared" ca="1" si="52"/>
        <v>36.513233333333332</v>
      </c>
      <c r="K1155" s="9">
        <f t="shared" ca="1" si="52"/>
        <v>36.516883333333332</v>
      </c>
      <c r="L1155" s="9">
        <f t="shared" ca="1" si="52"/>
        <v>10.551491666666665</v>
      </c>
      <c r="M1155" s="9">
        <f t="shared" ca="1" si="52"/>
        <v>10.555133333333334</v>
      </c>
      <c r="N1155" s="9">
        <f t="shared" ca="1" si="52"/>
        <v>10.551491666666665</v>
      </c>
      <c r="O1155" s="9">
        <f t="shared" ca="1" si="52"/>
        <v>10.555133333333334</v>
      </c>
    </row>
    <row r="1156" spans="1:15" ht="15" x14ac:dyDescent="0.2">
      <c r="A1156" s="10">
        <v>2098</v>
      </c>
      <c r="B1156" s="9">
        <f t="shared" ca="1" si="52"/>
        <v>15.485433333333333</v>
      </c>
      <c r="C1156" s="9">
        <f t="shared" ca="1" si="52"/>
        <v>15.485433333333333</v>
      </c>
      <c r="D1156" s="9">
        <f t="shared" ca="1" si="52"/>
        <v>15.486516666666665</v>
      </c>
      <c r="E1156" s="9">
        <f t="shared" ca="1" si="52"/>
        <v>10.629808333333335</v>
      </c>
      <c r="F1156" s="9">
        <f t="shared" ca="1" si="52"/>
        <v>10.629808333333335</v>
      </c>
      <c r="G1156" s="9">
        <f t="shared" ca="1" si="52"/>
        <v>10.633441666666666</v>
      </c>
      <c r="H1156" s="9">
        <f t="shared" ca="1" si="52"/>
        <v>36.99026666666667</v>
      </c>
      <c r="I1156" s="9">
        <f t="shared" ca="1" si="52"/>
        <v>36.99390833333333</v>
      </c>
      <c r="J1156" s="9">
        <f t="shared" ca="1" si="52"/>
        <v>36.99026666666667</v>
      </c>
      <c r="K1156" s="9">
        <f t="shared" ca="1" si="52"/>
        <v>36.99390833333333</v>
      </c>
      <c r="L1156" s="9">
        <f t="shared" ca="1" si="52"/>
        <v>10.629808333333335</v>
      </c>
      <c r="M1156" s="9">
        <f t="shared" ca="1" si="52"/>
        <v>10.633441666666666</v>
      </c>
      <c r="N1156" s="9">
        <f t="shared" ca="1" si="52"/>
        <v>10.629808333333335</v>
      </c>
      <c r="O1156" s="9">
        <f t="shared" ca="1" si="52"/>
        <v>10.633441666666666</v>
      </c>
    </row>
    <row r="1157" spans="1:15" ht="15" x14ac:dyDescent="0.2">
      <c r="A1157" s="10">
        <v>2099</v>
      </c>
      <c r="B1157" s="9">
        <f t="shared" ca="1" si="52"/>
        <v>15.674149999999999</v>
      </c>
      <c r="C1157" s="9">
        <f t="shared" ca="1" si="52"/>
        <v>15.674149999999999</v>
      </c>
      <c r="D1157" s="9">
        <f t="shared" ca="1" si="52"/>
        <v>15.675208333333336</v>
      </c>
      <c r="E1157" s="9">
        <f t="shared" ca="1" si="52"/>
        <v>10.708133333333334</v>
      </c>
      <c r="F1157" s="9">
        <f t="shared" ca="1" si="52"/>
        <v>10.708133333333334</v>
      </c>
      <c r="G1157" s="9">
        <f t="shared" ca="1" si="52"/>
        <v>10.711758333333334</v>
      </c>
      <c r="H1157" s="9">
        <f t="shared" ca="1" si="52"/>
        <v>37.467291666666668</v>
      </c>
      <c r="I1157" s="9">
        <f t="shared" ca="1" si="52"/>
        <v>37.470924999999994</v>
      </c>
      <c r="J1157" s="9">
        <f t="shared" ca="1" si="52"/>
        <v>37.467291666666668</v>
      </c>
      <c r="K1157" s="9">
        <f t="shared" ca="1" si="52"/>
        <v>37.470924999999994</v>
      </c>
      <c r="L1157" s="9">
        <f t="shared" ca="1" si="52"/>
        <v>10.708133333333334</v>
      </c>
      <c r="M1157" s="9">
        <f t="shared" ca="1" si="52"/>
        <v>10.711758333333334</v>
      </c>
      <c r="N1157" s="9">
        <f t="shared" ca="1" si="52"/>
        <v>10.708133333333334</v>
      </c>
      <c r="O1157" s="9">
        <f t="shared" ca="1" si="52"/>
        <v>10.711758333333334</v>
      </c>
    </row>
    <row r="1158" spans="1:15" ht="15" x14ac:dyDescent="0.2">
      <c r="A1158" s="10">
        <v>2100</v>
      </c>
      <c r="B1158" s="9">
        <f t="shared" ca="1" si="52"/>
        <v>15.862841666666663</v>
      </c>
      <c r="C1158" s="9">
        <f t="shared" ca="1" si="52"/>
        <v>15.862841666666663</v>
      </c>
      <c r="D1158" s="9">
        <f t="shared" ca="1" si="52"/>
        <v>15.863925000000002</v>
      </c>
      <c r="E1158" s="9">
        <f t="shared" ca="1" si="52"/>
        <v>10.786441666666667</v>
      </c>
      <c r="F1158" s="9">
        <f t="shared" ca="1" si="52"/>
        <v>10.786441666666667</v>
      </c>
      <c r="G1158" s="9">
        <f t="shared" ca="1" si="52"/>
        <v>10.790091666666667</v>
      </c>
      <c r="H1158" s="9">
        <f t="shared" ca="1" si="52"/>
        <v>37.944316666666673</v>
      </c>
      <c r="I1158" s="9">
        <f t="shared" ca="1" si="52"/>
        <v>37.947966666666666</v>
      </c>
      <c r="J1158" s="9">
        <f t="shared" ca="1" si="52"/>
        <v>37.944316666666673</v>
      </c>
      <c r="K1158" s="9">
        <f t="shared" ca="1" si="52"/>
        <v>37.947966666666666</v>
      </c>
      <c r="L1158" s="9">
        <f t="shared" ca="1" si="52"/>
        <v>10.786441666666667</v>
      </c>
      <c r="M1158" s="9">
        <f t="shared" ca="1" si="52"/>
        <v>10.790091666666667</v>
      </c>
      <c r="N1158" s="9">
        <f t="shared" ca="1" si="52"/>
        <v>10.786441666666667</v>
      </c>
      <c r="O1158" s="9">
        <f t="shared" ca="1" si="52"/>
        <v>10.790091666666667</v>
      </c>
    </row>
  </sheetData>
  <mergeCells count="7">
    <mergeCell ref="B10:D10"/>
    <mergeCell ref="P10:Q10"/>
    <mergeCell ref="R10:S10"/>
    <mergeCell ref="P9:S9"/>
    <mergeCell ref="E10:G10"/>
    <mergeCell ref="H10:K10"/>
    <mergeCell ref="L10:O10"/>
  </mergeCells>
  <pageMargins left="0.25" right="0.25" top="0.5" bottom="0.5" header="0.25" footer="0.25"/>
  <pageSetup paperSize="17" scale="5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5</xdr:col>
                    <xdr:colOff>390525</xdr:colOff>
                    <xdr:row>7</xdr:row>
                    <xdr:rowOff>76200</xdr:rowOff>
                  </from>
                  <to>
                    <xdr:col>6</xdr:col>
                    <xdr:colOff>400050</xdr:colOff>
                    <xdr:row>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Q1176"/>
  <sheetViews>
    <sheetView zoomScale="75" zoomScaleNormal="75" workbookViewId="0">
      <pane xSplit="1" ySplit="11" topLeftCell="B12" activePane="bottomRight" state="frozen"/>
      <selection activeCell="B1" sqref="B1"/>
      <selection pane="topRight" activeCell="B1" sqref="B1"/>
      <selection pane="bottomLeft" activeCell="B1" sqref="B1"/>
      <selection pane="bottomRight" activeCell="B12" sqref="B12"/>
    </sheetView>
  </sheetViews>
  <sheetFormatPr defaultColWidth="7.109375" defaultRowHeight="12.75" x14ac:dyDescent="0.2"/>
  <cols>
    <col min="1" max="1" width="19.77734375" style="31" customWidth="1"/>
    <col min="2" max="4" width="16.109375" style="31" customWidth="1"/>
    <col min="5" max="5" width="21" style="31" customWidth="1"/>
    <col min="6" max="9" width="16.109375" style="31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 x14ac:dyDescent="0.25">
      <c r="A1" s="100" t="s">
        <v>90</v>
      </c>
    </row>
    <row r="2" spans="1:17" ht="15.75" x14ac:dyDescent="0.25">
      <c r="A2" s="100" t="s">
        <v>91</v>
      </c>
    </row>
    <row r="3" spans="1:17" ht="15.75" x14ac:dyDescent="0.25">
      <c r="A3" s="100" t="s">
        <v>92</v>
      </c>
    </row>
    <row r="4" spans="1:17" ht="15.75" x14ac:dyDescent="0.25">
      <c r="A4" s="100" t="s">
        <v>93</v>
      </c>
    </row>
    <row r="5" spans="1:17" ht="15.75" x14ac:dyDescent="0.25">
      <c r="A5" s="100" t="s">
        <v>95</v>
      </c>
    </row>
    <row r="6" spans="1:17" ht="15.75" x14ac:dyDescent="0.25">
      <c r="A6" s="100" t="s">
        <v>97</v>
      </c>
    </row>
    <row r="8" spans="1:17" ht="15.75" x14ac:dyDescent="0.25">
      <c r="A8" s="43" t="s">
        <v>27</v>
      </c>
      <c r="B8" s="8"/>
      <c r="C8" s="8"/>
      <c r="D8" s="8"/>
      <c r="E8" s="8"/>
      <c r="F8" s="8"/>
      <c r="G8" s="8"/>
      <c r="H8" s="8"/>
      <c r="I8" s="8"/>
    </row>
    <row r="9" spans="1:17" ht="15.75" x14ac:dyDescent="0.25">
      <c r="A9" s="43"/>
      <c r="B9" s="42"/>
      <c r="C9" s="41" t="s">
        <v>25</v>
      </c>
      <c r="D9" s="40">
        <f>1-0.278</f>
        <v>0.72199999999999998</v>
      </c>
      <c r="E9" s="41" t="s">
        <v>24</v>
      </c>
      <c r="F9" s="40">
        <v>1.278</v>
      </c>
      <c r="G9" s="8"/>
      <c r="H9" s="8"/>
      <c r="I9" s="8"/>
    </row>
    <row r="10" spans="1:17" s="36" customFormat="1" ht="13.15" customHeight="1" x14ac:dyDescent="0.25">
      <c r="B10" s="37" t="s">
        <v>37</v>
      </c>
      <c r="C10" s="37" t="s">
        <v>36</v>
      </c>
      <c r="D10" s="37" t="s">
        <v>35</v>
      </c>
      <c r="E10" s="39" t="s">
        <v>34</v>
      </c>
      <c r="F10" s="37" t="s">
        <v>33</v>
      </c>
      <c r="G10" s="39" t="s">
        <v>32</v>
      </c>
      <c r="H10" s="39" t="s">
        <v>31</v>
      </c>
      <c r="I10" s="37" t="s">
        <v>30</v>
      </c>
      <c r="J10" s="37" t="s">
        <v>29</v>
      </c>
      <c r="K10" s="37" t="s">
        <v>28</v>
      </c>
      <c r="L10" s="37"/>
    </row>
    <row r="11" spans="1:17" s="36" customFormat="1" ht="13.15" customHeight="1" x14ac:dyDescent="0.25">
      <c r="A11" s="38" t="s">
        <v>15</v>
      </c>
      <c r="B11" s="37" t="s">
        <v>14</v>
      </c>
      <c r="C11" s="37" t="s">
        <v>14</v>
      </c>
      <c r="D11" s="37" t="s">
        <v>14</v>
      </c>
      <c r="E11" s="37" t="s">
        <v>14</v>
      </c>
      <c r="F11" s="37" t="s">
        <v>14</v>
      </c>
      <c r="G11" s="37" t="s">
        <v>14</v>
      </c>
      <c r="H11" s="37" t="s">
        <v>14</v>
      </c>
      <c r="I11" s="37" t="s">
        <v>14</v>
      </c>
      <c r="J11" s="37" t="s">
        <v>14</v>
      </c>
      <c r="K11" s="37" t="s">
        <v>14</v>
      </c>
      <c r="L11" s="37"/>
    </row>
    <row r="12" spans="1:17" ht="15" x14ac:dyDescent="0.2">
      <c r="A12" s="13">
        <v>41275</v>
      </c>
      <c r="B12" s="14">
        <v>24.537438554750199</v>
      </c>
      <c r="C12" s="14">
        <v>24.1051915564654</v>
      </c>
      <c r="D12" s="14">
        <v>24.1051915564654</v>
      </c>
      <c r="E12" s="14">
        <v>23.9685330658994</v>
      </c>
      <c r="F12" s="14">
        <v>23.9685330658994</v>
      </c>
      <c r="G12" s="14">
        <v>24.239908537597501</v>
      </c>
      <c r="H12" s="14">
        <v>24.1051915564654</v>
      </c>
      <c r="I12" s="14">
        <v>24.1051915564654</v>
      </c>
      <c r="J12" s="14">
        <v>23.744985724561499</v>
      </c>
      <c r="K12" s="14">
        <v>24.1051915564654</v>
      </c>
      <c r="L12" s="14"/>
      <c r="M12" s="35"/>
      <c r="N12" s="35"/>
      <c r="O12" s="35"/>
      <c r="P12" s="35"/>
      <c r="Q12" s="35"/>
    </row>
    <row r="13" spans="1:17" ht="15" x14ac:dyDescent="0.2">
      <c r="A13" s="13">
        <v>41306</v>
      </c>
      <c r="B13" s="14">
        <v>25.612662092624401</v>
      </c>
      <c r="C13" s="14">
        <v>25.180415094339601</v>
      </c>
      <c r="D13" s="14">
        <v>25.180415094339601</v>
      </c>
      <c r="E13" s="14">
        <v>25.043756603773598</v>
      </c>
      <c r="F13" s="14">
        <v>25.043756603773598</v>
      </c>
      <c r="G13" s="14">
        <v>25.315132075471698</v>
      </c>
      <c r="H13" s="14">
        <v>25.180415094339601</v>
      </c>
      <c r="I13" s="14">
        <v>25.180415094339601</v>
      </c>
      <c r="J13" s="14">
        <v>24.8202092624357</v>
      </c>
      <c r="K13" s="14">
        <v>25.180415094339601</v>
      </c>
      <c r="L13" s="14"/>
      <c r="M13" s="35"/>
      <c r="N13" s="35"/>
      <c r="O13" s="35"/>
      <c r="P13" s="35"/>
      <c r="Q13" s="35"/>
    </row>
    <row r="14" spans="1:17" ht="15" x14ac:dyDescent="0.2">
      <c r="A14" s="13">
        <v>41334</v>
      </c>
      <c r="B14" s="14">
        <v>23.994085486637498</v>
      </c>
      <c r="C14" s="14">
        <v>23.561838488352802</v>
      </c>
      <c r="D14" s="14">
        <v>23.561838488352802</v>
      </c>
      <c r="E14" s="14">
        <v>23.425179997786799</v>
      </c>
      <c r="F14" s="14">
        <v>23.425179997786799</v>
      </c>
      <c r="G14" s="14">
        <v>23.696555469484899</v>
      </c>
      <c r="H14" s="14">
        <v>23.561838488352802</v>
      </c>
      <c r="I14" s="14">
        <v>23.561838488352802</v>
      </c>
      <c r="J14" s="14">
        <v>23.201632656448801</v>
      </c>
      <c r="K14" s="14">
        <v>23.561838488352802</v>
      </c>
      <c r="L14" s="14"/>
      <c r="M14" s="35"/>
      <c r="N14" s="35"/>
      <c r="O14" s="35"/>
      <c r="P14" s="35"/>
      <c r="Q14" s="35"/>
    </row>
    <row r="15" spans="1:17" ht="15" x14ac:dyDescent="0.2">
      <c r="A15" s="13">
        <v>41365</v>
      </c>
      <c r="B15" s="14">
        <v>24.409600343053199</v>
      </c>
      <c r="C15" s="14">
        <v>23.9773533447684</v>
      </c>
      <c r="D15" s="14">
        <v>23.9773533447684</v>
      </c>
      <c r="E15" s="14">
        <v>23.8406948542024</v>
      </c>
      <c r="F15" s="14">
        <v>23.8406948542024</v>
      </c>
      <c r="G15" s="14">
        <v>24.1120703259005</v>
      </c>
      <c r="H15" s="14">
        <v>23.9773533447684</v>
      </c>
      <c r="I15" s="14">
        <v>23.9773533447684</v>
      </c>
      <c r="J15" s="14">
        <v>23.617147512864499</v>
      </c>
      <c r="K15" s="14">
        <v>23.9773533447684</v>
      </c>
      <c r="L15" s="14"/>
      <c r="M15" s="35"/>
      <c r="N15" s="35"/>
      <c r="O15" s="35"/>
      <c r="P15" s="35"/>
      <c r="Q15" s="35"/>
    </row>
    <row r="16" spans="1:17" ht="15" x14ac:dyDescent="0.2">
      <c r="A16" s="13">
        <v>41395</v>
      </c>
      <c r="B16" s="14">
        <f>24.3996 * CHOOSE(CONTROL!$C$9, $D$9, 100%, $F$9) + CHOOSE(CONTROL!$C$27, 0.0021, 0)</f>
        <v>24.401699999999998</v>
      </c>
      <c r="C16" s="14">
        <f>23.9674 * CHOOSE(CONTROL!$C$9, $D$9, 100%, $F$9) + CHOOSE(CONTROL!$C$27, 0.0021, 0)</f>
        <v>23.9695</v>
      </c>
      <c r="D16" s="14">
        <f>23.9674 * CHOOSE(CONTROL!$C$9, $D$9, 100%, $F$9) + CHOOSE(CONTROL!$C$27, 0.0021, 0)</f>
        <v>23.9695</v>
      </c>
      <c r="E16" s="14">
        <f>23.8307 * CHOOSE(CONTROL!$C$9, $D$9, 100%, $F$9) + CHOOSE(CONTROL!$C$27, 0.0021, 0)</f>
        <v>23.832799999999999</v>
      </c>
      <c r="F16" s="14">
        <f>23.8307 * CHOOSE(CONTROL!$C$9, $D$9, 100%, $F$9) + CHOOSE(CONTROL!$C$27, 0.0021, 0)</f>
        <v>23.832799999999999</v>
      </c>
      <c r="G16" s="14">
        <f>24.1021 * CHOOSE(CONTROL!$C$9, $D$9, 100%, $F$9) + CHOOSE(CONTROL!$C$27, 0.0021, 0)</f>
        <v>24.104199999999999</v>
      </c>
      <c r="H16" s="14">
        <f>23.9674 * CHOOSE(CONTROL!$C$9, $D$9, 100%, $F$9) + CHOOSE(CONTROL!$C$27, 0.0021, 0)</f>
        <v>23.9695</v>
      </c>
      <c r="I16" s="14">
        <f>23.9674 * CHOOSE(CONTROL!$C$9, $D$9, 100%, $F$9) + CHOOSE(CONTROL!$C$27, 0.0021, 0)</f>
        <v>23.9695</v>
      </c>
      <c r="J16" s="14">
        <f>23.6072 * CHOOSE(CONTROL!$C$9, $D$9, 100%, $F$9) + CHOOSE(CONTROL!$C$27, 0.0021, 0)</f>
        <v>23.609299999999998</v>
      </c>
      <c r="K16" s="14">
        <f>23.9674 * CHOOSE(CONTROL!$C$9, $D$9, 100%, $F$9) + CHOOSE(CONTROL!$C$27, 0.0021, 0)</f>
        <v>23.9695</v>
      </c>
      <c r="L16" s="14"/>
      <c r="M16" s="35"/>
      <c r="N16" s="35"/>
      <c r="O16" s="35"/>
      <c r="P16" s="35"/>
      <c r="Q16" s="35"/>
    </row>
    <row r="17" spans="1:17" ht="15" x14ac:dyDescent="0.2">
      <c r="A17" s="13">
        <v>41426</v>
      </c>
      <c r="B17" s="14">
        <f>24.3189 * CHOOSE(CONTROL!$C$9, $D$9, 100%, $F$9) + CHOOSE(CONTROL!$C$27, 0.0021, 0)</f>
        <v>24.320999999999998</v>
      </c>
      <c r="C17" s="14">
        <f>23.8867 * CHOOSE(CONTROL!$C$9, $D$9, 100%, $F$9) + CHOOSE(CONTROL!$C$27, 0.0021, 0)</f>
        <v>23.8888</v>
      </c>
      <c r="D17" s="14">
        <f>23.8867 * CHOOSE(CONTROL!$C$9, $D$9, 100%, $F$9) + CHOOSE(CONTROL!$C$27, 0.0021, 0)</f>
        <v>23.8888</v>
      </c>
      <c r="E17" s="14">
        <f>23.75 * CHOOSE(CONTROL!$C$9, $D$9, 100%, $F$9) + CHOOSE(CONTROL!$C$27, 0.0021, 0)</f>
        <v>23.752099999999999</v>
      </c>
      <c r="F17" s="14">
        <f>23.75 * CHOOSE(CONTROL!$C$9, $D$9, 100%, $F$9) + CHOOSE(CONTROL!$C$27, 0.0021, 0)</f>
        <v>23.752099999999999</v>
      </c>
      <c r="G17" s="14">
        <f>24.0214 * CHOOSE(CONTROL!$C$9, $D$9, 100%, $F$9) + CHOOSE(CONTROL!$C$27, 0.0021, 0)</f>
        <v>24.023499999999999</v>
      </c>
      <c r="H17" s="14">
        <f>23.8867 * CHOOSE(CONTROL!$C$9, $D$9, 100%, $F$9) + CHOOSE(CONTROL!$C$27, 0.0021, 0)</f>
        <v>23.8888</v>
      </c>
      <c r="I17" s="14">
        <f>23.8867 * CHOOSE(CONTROL!$C$9, $D$9, 100%, $F$9) + CHOOSE(CONTROL!$C$27, 0.0021, 0)</f>
        <v>23.8888</v>
      </c>
      <c r="J17" s="14">
        <f>23.5265 * CHOOSE(CONTROL!$C$9, $D$9, 100%, $F$9) + CHOOSE(CONTROL!$C$27, 0.0021, 0)</f>
        <v>23.528599999999997</v>
      </c>
      <c r="K17" s="14">
        <f>23.8867 * CHOOSE(CONTROL!$C$9, $D$9, 100%, $F$9) + CHOOSE(CONTROL!$C$27, 0.0021, 0)</f>
        <v>23.8888</v>
      </c>
      <c r="L17" s="14"/>
      <c r="M17" s="35"/>
      <c r="N17" s="35"/>
      <c r="O17" s="35"/>
      <c r="P17" s="35"/>
      <c r="Q17" s="35"/>
    </row>
    <row r="18" spans="1:17" ht="15" x14ac:dyDescent="0.2">
      <c r="A18" s="13">
        <v>41456</v>
      </c>
      <c r="B18" s="14">
        <f>24.2815 * CHOOSE(CONTROL!$C$9, $D$9, 100%, $F$9) + CHOOSE(CONTROL!$C$27, 0.0021, 0)</f>
        <v>24.2836</v>
      </c>
      <c r="C18" s="14">
        <f>23.8492 * CHOOSE(CONTROL!$C$9, $D$9, 100%, $F$9) + CHOOSE(CONTROL!$C$27, 0.0021, 0)</f>
        <v>23.851299999999998</v>
      </c>
      <c r="D18" s="14">
        <f>23.8492 * CHOOSE(CONTROL!$C$9, $D$9, 100%, $F$9) + CHOOSE(CONTROL!$C$27, 0.0021, 0)</f>
        <v>23.851299999999998</v>
      </c>
      <c r="E18" s="14">
        <f>23.7126 * CHOOSE(CONTROL!$C$9, $D$9, 100%, $F$9) + CHOOSE(CONTROL!$C$27, 0.0021, 0)</f>
        <v>23.714699999999997</v>
      </c>
      <c r="F18" s="14">
        <f>23.7126 * CHOOSE(CONTROL!$C$9, $D$9, 100%, $F$9) + CHOOSE(CONTROL!$C$27, 0.0021, 0)</f>
        <v>23.714699999999997</v>
      </c>
      <c r="G18" s="14">
        <f>23.9839 * CHOOSE(CONTROL!$C$9, $D$9, 100%, $F$9) + CHOOSE(CONTROL!$C$27, 0.0021, 0)</f>
        <v>23.985999999999997</v>
      </c>
      <c r="H18" s="14">
        <f>23.8492 * CHOOSE(CONTROL!$C$9, $D$9, 100%, $F$9) + CHOOSE(CONTROL!$C$27, 0.0021, 0)</f>
        <v>23.851299999999998</v>
      </c>
      <c r="I18" s="14">
        <f>23.8492 * CHOOSE(CONTROL!$C$9, $D$9, 100%, $F$9) + CHOOSE(CONTROL!$C$27, 0.0021, 0)</f>
        <v>23.851299999999998</v>
      </c>
      <c r="J18" s="14">
        <f>23.489 * CHOOSE(CONTROL!$C$9, $D$9, 100%, $F$9) + CHOOSE(CONTROL!$C$27, 0.0021, 0)</f>
        <v>23.491099999999999</v>
      </c>
      <c r="K18" s="14">
        <f>23.8492 * CHOOSE(CONTROL!$C$9, $D$9, 100%, $F$9) + CHOOSE(CONTROL!$C$27, 0.0021, 0)</f>
        <v>23.851299999999998</v>
      </c>
      <c r="L18" s="14"/>
      <c r="M18" s="35"/>
      <c r="N18" s="35"/>
      <c r="O18" s="35"/>
      <c r="P18" s="35"/>
      <c r="Q18" s="35"/>
    </row>
    <row r="19" spans="1:17" ht="15" x14ac:dyDescent="0.2">
      <c r="A19" s="13">
        <v>41487</v>
      </c>
      <c r="B19" s="14">
        <f>24.2779 * CHOOSE(CONTROL!$C$9, $D$9, 100%, $F$9) + CHOOSE(CONTROL!$C$27, 0.0021, 0)</f>
        <v>24.279999999999998</v>
      </c>
      <c r="C19" s="14">
        <f>23.8456 * CHOOSE(CONTROL!$C$9, $D$9, 100%, $F$9) + CHOOSE(CONTROL!$C$27, 0.0021, 0)</f>
        <v>23.8477</v>
      </c>
      <c r="D19" s="14">
        <f>23.8456 * CHOOSE(CONTROL!$C$9, $D$9, 100%, $F$9) + CHOOSE(CONTROL!$C$27, 0.0021, 0)</f>
        <v>23.8477</v>
      </c>
      <c r="E19" s="14">
        <f>23.709 * CHOOSE(CONTROL!$C$9, $D$9, 100%, $F$9) + CHOOSE(CONTROL!$C$27, 0.0021, 0)</f>
        <v>23.711099999999998</v>
      </c>
      <c r="F19" s="14">
        <f>23.709 * CHOOSE(CONTROL!$C$9, $D$9, 100%, $F$9) + CHOOSE(CONTROL!$C$27, 0.0021, 0)</f>
        <v>23.711099999999998</v>
      </c>
      <c r="G19" s="14">
        <f>23.9803 * CHOOSE(CONTROL!$C$9, $D$9, 100%, $F$9) + CHOOSE(CONTROL!$C$27, 0.0021, 0)</f>
        <v>23.982399999999998</v>
      </c>
      <c r="H19" s="14">
        <f>23.8456 * CHOOSE(CONTROL!$C$9, $D$9, 100%, $F$9) + CHOOSE(CONTROL!$C$27, 0.0021, 0)</f>
        <v>23.8477</v>
      </c>
      <c r="I19" s="14">
        <f>23.8456 * CHOOSE(CONTROL!$C$9, $D$9, 100%, $F$9) + CHOOSE(CONTROL!$C$27, 0.0021, 0)</f>
        <v>23.8477</v>
      </c>
      <c r="J19" s="14">
        <f>23.4854 * CHOOSE(CONTROL!$C$9, $D$9, 100%, $F$9) + CHOOSE(CONTROL!$C$27, 0.0021, 0)</f>
        <v>23.487499999999997</v>
      </c>
      <c r="K19" s="14">
        <f>23.8456 * CHOOSE(CONTROL!$C$9, $D$9, 100%, $F$9) + CHOOSE(CONTROL!$C$27, 0.0021, 0)</f>
        <v>23.8477</v>
      </c>
      <c r="L19" s="14"/>
      <c r="M19" s="35"/>
      <c r="N19" s="35"/>
      <c r="O19" s="35"/>
      <c r="P19" s="35"/>
      <c r="Q19" s="35"/>
    </row>
    <row r="20" spans="1:17" ht="15" x14ac:dyDescent="0.2">
      <c r="A20" s="13">
        <v>41518</v>
      </c>
      <c r="B20" s="14">
        <f>24.2728 * CHOOSE(CONTROL!$C$9, $D$9, 100%, $F$9) + CHOOSE(CONTROL!$C$27, 0.0021, 0)</f>
        <v>24.274899999999999</v>
      </c>
      <c r="C20" s="14">
        <f>23.8406 * CHOOSE(CONTROL!$C$9, $D$9, 100%, $F$9) + CHOOSE(CONTROL!$C$27, 0.0021, 0)</f>
        <v>23.842699999999997</v>
      </c>
      <c r="D20" s="14">
        <f>23.8406 * CHOOSE(CONTROL!$C$9, $D$9, 100%, $F$9) + CHOOSE(CONTROL!$C$27, 0.0021, 0)</f>
        <v>23.842699999999997</v>
      </c>
      <c r="E20" s="14">
        <f>23.7039 * CHOOSE(CONTROL!$C$9, $D$9, 100%, $F$9) + CHOOSE(CONTROL!$C$27, 0.0021, 0)</f>
        <v>23.706</v>
      </c>
      <c r="F20" s="14">
        <f>23.7039 * CHOOSE(CONTROL!$C$9, $D$9, 100%, $F$9) + CHOOSE(CONTROL!$C$27, 0.0021, 0)</f>
        <v>23.706</v>
      </c>
      <c r="G20" s="14">
        <f>23.9753 * CHOOSE(CONTROL!$C$9, $D$9, 100%, $F$9) + CHOOSE(CONTROL!$C$27, 0.0021, 0)</f>
        <v>23.977399999999999</v>
      </c>
      <c r="H20" s="14">
        <f>23.8406 * CHOOSE(CONTROL!$C$9, $D$9, 100%, $F$9) + CHOOSE(CONTROL!$C$27, 0.0021, 0)</f>
        <v>23.842699999999997</v>
      </c>
      <c r="I20" s="14">
        <f>23.8406 * CHOOSE(CONTROL!$C$9, $D$9, 100%, $F$9) + CHOOSE(CONTROL!$C$27, 0.0021, 0)</f>
        <v>23.842699999999997</v>
      </c>
      <c r="J20" s="14">
        <f>23.4804 * CHOOSE(CONTROL!$C$9, $D$9, 100%, $F$9) + CHOOSE(CONTROL!$C$27, 0.0021, 0)</f>
        <v>23.482499999999998</v>
      </c>
      <c r="K20" s="14">
        <f>23.8406 * CHOOSE(CONTROL!$C$9, $D$9, 100%, $F$9) + CHOOSE(CONTROL!$C$27, 0.0021, 0)</f>
        <v>23.842699999999997</v>
      </c>
      <c r="L20" s="14"/>
      <c r="M20" s="35"/>
      <c r="N20" s="35"/>
      <c r="O20" s="35"/>
      <c r="P20" s="35"/>
      <c r="Q20" s="35"/>
    </row>
    <row r="21" spans="1:17" ht="15" x14ac:dyDescent="0.2">
      <c r="A21" s="13">
        <v>41548</v>
      </c>
      <c r="B21" s="14">
        <f>24.2563 * CHOOSE(CONTROL!$C$9, $D$9, 100%, $F$9) + CHOOSE(CONTROL!$C$27, 0.0021, 0)</f>
        <v>24.258399999999998</v>
      </c>
      <c r="C21" s="14">
        <f>23.824 * CHOOSE(CONTROL!$C$9, $D$9, 100%, $F$9) + CHOOSE(CONTROL!$C$27, 0.0021, 0)</f>
        <v>23.8261</v>
      </c>
      <c r="D21" s="14">
        <f>23.824 * CHOOSE(CONTROL!$C$9, $D$9, 100%, $F$9) + CHOOSE(CONTROL!$C$27, 0.0021, 0)</f>
        <v>23.8261</v>
      </c>
      <c r="E21" s="14">
        <f>23.6874 * CHOOSE(CONTROL!$C$9, $D$9, 100%, $F$9) + CHOOSE(CONTROL!$C$27, 0.0021, 0)</f>
        <v>23.689499999999999</v>
      </c>
      <c r="F21" s="14">
        <f>23.6874 * CHOOSE(CONTROL!$C$9, $D$9, 100%, $F$9) + CHOOSE(CONTROL!$C$27, 0.0021, 0)</f>
        <v>23.689499999999999</v>
      </c>
      <c r="G21" s="14">
        <f>23.9587 * CHOOSE(CONTROL!$C$9, $D$9, 100%, $F$9) + CHOOSE(CONTROL!$C$27, 0.0021, 0)</f>
        <v>23.960799999999999</v>
      </c>
      <c r="H21" s="14">
        <f>23.824 * CHOOSE(CONTROL!$C$9, $D$9, 100%, $F$9) + CHOOSE(CONTROL!$C$27, 0.0021, 0)</f>
        <v>23.8261</v>
      </c>
      <c r="I21" s="14">
        <f>23.824 * CHOOSE(CONTROL!$C$9, $D$9, 100%, $F$9) + CHOOSE(CONTROL!$C$27, 0.0021, 0)</f>
        <v>23.8261</v>
      </c>
      <c r="J21" s="14">
        <f>23.4638 * CHOOSE(CONTROL!$C$9, $D$9, 100%, $F$9) + CHOOSE(CONTROL!$C$27, 0.0021, 0)</f>
        <v>23.465899999999998</v>
      </c>
      <c r="K21" s="14">
        <f>23.824 * CHOOSE(CONTROL!$C$9, $D$9, 100%, $F$9) + CHOOSE(CONTROL!$C$27, 0.0021, 0)</f>
        <v>23.8261</v>
      </c>
      <c r="L21" s="14"/>
      <c r="M21" s="35"/>
      <c r="N21" s="35"/>
      <c r="O21" s="35"/>
      <c r="P21" s="35"/>
      <c r="Q21" s="35"/>
    </row>
    <row r="22" spans="1:17" ht="15" x14ac:dyDescent="0.2">
      <c r="A22" s="13">
        <v>41579</v>
      </c>
      <c r="B22" s="14">
        <f>24.2152 * CHOOSE(CONTROL!$C$9, $D$9, 100%, $F$9) + CHOOSE(CONTROL!$C$27, 0.0021, 0)</f>
        <v>24.217299999999998</v>
      </c>
      <c r="C22" s="14">
        <f>23.783 * CHOOSE(CONTROL!$C$9, $D$9, 100%, $F$9) + CHOOSE(CONTROL!$C$27, 0.0021, 0)</f>
        <v>23.7851</v>
      </c>
      <c r="D22" s="14">
        <f>23.783 * CHOOSE(CONTROL!$C$9, $D$9, 100%, $F$9) + CHOOSE(CONTROL!$C$27, 0.0021, 0)</f>
        <v>23.7851</v>
      </c>
      <c r="E22" s="14">
        <f>23.6463 * CHOOSE(CONTROL!$C$9, $D$9, 100%, $F$9) + CHOOSE(CONTROL!$C$27, 0.0021, 0)</f>
        <v>23.648399999999999</v>
      </c>
      <c r="F22" s="14">
        <f>23.6463 * CHOOSE(CONTROL!$C$9, $D$9, 100%, $F$9) + CHOOSE(CONTROL!$C$27, 0.0021, 0)</f>
        <v>23.648399999999999</v>
      </c>
      <c r="G22" s="14">
        <f>23.9177 * CHOOSE(CONTROL!$C$9, $D$9, 100%, $F$9) + CHOOSE(CONTROL!$C$27, 0.0021, 0)</f>
        <v>23.919799999999999</v>
      </c>
      <c r="H22" s="14">
        <f>23.783 * CHOOSE(CONTROL!$C$9, $D$9, 100%, $F$9) + CHOOSE(CONTROL!$C$27, 0.0021, 0)</f>
        <v>23.7851</v>
      </c>
      <c r="I22" s="14">
        <f>23.783 * CHOOSE(CONTROL!$C$9, $D$9, 100%, $F$9) + CHOOSE(CONTROL!$C$27, 0.0021, 0)</f>
        <v>23.7851</v>
      </c>
      <c r="J22" s="14">
        <f>23.4227 * CHOOSE(CONTROL!$C$9, $D$9, 100%, $F$9) + CHOOSE(CONTROL!$C$27, 0.0021, 0)</f>
        <v>23.424799999999998</v>
      </c>
      <c r="K22" s="14">
        <f>23.783 * CHOOSE(CONTROL!$C$9, $D$9, 100%, $F$9) + CHOOSE(CONTROL!$C$27, 0.0021, 0)</f>
        <v>23.7851</v>
      </c>
      <c r="L22" s="14"/>
      <c r="M22" s="35"/>
      <c r="N22" s="35"/>
      <c r="O22" s="35"/>
      <c r="P22" s="35"/>
      <c r="Q22" s="35"/>
    </row>
    <row r="23" spans="1:17" ht="15" x14ac:dyDescent="0.2">
      <c r="A23" s="13">
        <v>41609</v>
      </c>
      <c r="B23" s="14">
        <f>24.1677 * CHOOSE(CONTROL!$C$9, $D$9, 100%, $F$9) + CHOOSE(CONTROL!$C$27, 0.0021, 0)</f>
        <v>24.169799999999999</v>
      </c>
      <c r="C23" s="14">
        <f>23.7354 * CHOOSE(CONTROL!$C$9, $D$9, 100%, $F$9) + CHOOSE(CONTROL!$C$27, 0.0021, 0)</f>
        <v>23.737499999999997</v>
      </c>
      <c r="D23" s="14">
        <f>23.7354 * CHOOSE(CONTROL!$C$9, $D$9, 100%, $F$9) + CHOOSE(CONTROL!$C$27, 0.0021, 0)</f>
        <v>23.737499999999997</v>
      </c>
      <c r="E23" s="14">
        <f>23.5987 * CHOOSE(CONTROL!$C$9, $D$9, 100%, $F$9) + CHOOSE(CONTROL!$C$27, 0.0021, 0)</f>
        <v>23.6008</v>
      </c>
      <c r="F23" s="14">
        <f>23.5987 * CHOOSE(CONTROL!$C$9, $D$9, 100%, $F$9) + CHOOSE(CONTROL!$C$27, 0.0021, 0)</f>
        <v>23.6008</v>
      </c>
      <c r="G23" s="14">
        <f>23.8701 * CHOOSE(CONTROL!$C$9, $D$9, 100%, $F$9) + CHOOSE(CONTROL!$C$27, 0.0021, 0)</f>
        <v>23.872199999999999</v>
      </c>
      <c r="H23" s="14">
        <f>23.7354 * CHOOSE(CONTROL!$C$9, $D$9, 100%, $F$9) + CHOOSE(CONTROL!$C$27, 0.0021, 0)</f>
        <v>23.737499999999997</v>
      </c>
      <c r="I23" s="14">
        <f>23.7354 * CHOOSE(CONTROL!$C$9, $D$9, 100%, $F$9) + CHOOSE(CONTROL!$C$27, 0.0021, 0)</f>
        <v>23.737499999999997</v>
      </c>
      <c r="J23" s="14">
        <f>23.3752 * CHOOSE(CONTROL!$C$9, $D$9, 100%, $F$9) + CHOOSE(CONTROL!$C$27, 0.0021, 0)</f>
        <v>23.377299999999998</v>
      </c>
      <c r="K23" s="14">
        <f>23.7354 * CHOOSE(CONTROL!$C$9, $D$9, 100%, $F$9) + CHOOSE(CONTROL!$C$27, 0.0021, 0)</f>
        <v>23.737499999999997</v>
      </c>
      <c r="L23" s="14"/>
      <c r="M23" s="35"/>
      <c r="N23" s="35"/>
      <c r="O23" s="35"/>
      <c r="P23" s="35"/>
      <c r="Q23" s="35"/>
    </row>
    <row r="24" spans="1:17" ht="15" x14ac:dyDescent="0.2">
      <c r="A24" s="13">
        <v>41640</v>
      </c>
      <c r="B24" s="14">
        <f>24.1331 * CHOOSE(CONTROL!$C$9, $D$9, 100%, $F$9) + CHOOSE(CONTROL!$C$27, 0.0021, 0)</f>
        <v>24.135199999999998</v>
      </c>
      <c r="C24" s="14">
        <f>23.7008 * CHOOSE(CONTROL!$C$9, $D$9, 100%, $F$9) + CHOOSE(CONTROL!$C$27, 0.0021, 0)</f>
        <v>23.7029</v>
      </c>
      <c r="D24" s="14">
        <f>23.7008 * CHOOSE(CONTROL!$C$9, $D$9, 100%, $F$9) + CHOOSE(CONTROL!$C$27, 0.0021, 0)</f>
        <v>23.7029</v>
      </c>
      <c r="E24" s="14">
        <f>23.5642 * CHOOSE(CONTROL!$C$9, $D$9, 100%, $F$9) + CHOOSE(CONTROL!$C$27, 0.0021, 0)</f>
        <v>23.566299999999998</v>
      </c>
      <c r="F24" s="14">
        <f>23.5642 * CHOOSE(CONTROL!$C$9, $D$9, 100%, $F$9) + CHOOSE(CONTROL!$C$27, 0.0021, 0)</f>
        <v>23.566299999999998</v>
      </c>
      <c r="G24" s="14">
        <f>23.8355 * CHOOSE(CONTROL!$C$9, $D$9, 100%, $F$9) + CHOOSE(CONTROL!$C$27, 0.0021, 0)</f>
        <v>23.837599999999998</v>
      </c>
      <c r="H24" s="14">
        <f>23.7008 * CHOOSE(CONTROL!$C$9, $D$9, 100%, $F$9) + CHOOSE(CONTROL!$C$27, 0.0021, 0)</f>
        <v>23.7029</v>
      </c>
      <c r="I24" s="14">
        <f>23.7008 * CHOOSE(CONTROL!$C$9, $D$9, 100%, $F$9) + CHOOSE(CONTROL!$C$27, 0.0021, 0)</f>
        <v>23.7029</v>
      </c>
      <c r="J24" s="14">
        <f>23.3406 * CHOOSE(CONTROL!$C$9, $D$9, 100%, $F$9) + CHOOSE(CONTROL!$C$27, 0.0021, 0)</f>
        <v>23.342699999999997</v>
      </c>
      <c r="K24" s="14">
        <f>23.7008 * CHOOSE(CONTROL!$C$9, $D$9, 100%, $F$9) + CHOOSE(CONTROL!$C$27, 0.0021, 0)</f>
        <v>23.7029</v>
      </c>
      <c r="L24" s="14"/>
      <c r="M24" s="35"/>
      <c r="N24" s="35"/>
      <c r="O24" s="35"/>
      <c r="P24" s="35"/>
      <c r="Q24" s="35"/>
    </row>
    <row r="25" spans="1:17" ht="15" x14ac:dyDescent="0.2">
      <c r="A25" s="13">
        <v>41671</v>
      </c>
      <c r="B25" s="14">
        <f>24.0855 * CHOOSE(CONTROL!$C$9, $D$9, 100%, $F$9) + CHOOSE(CONTROL!$C$27, 0.0021, 0)</f>
        <v>24.087599999999998</v>
      </c>
      <c r="C25" s="14">
        <f>23.6533 * CHOOSE(CONTROL!$C$9, $D$9, 100%, $F$9) + CHOOSE(CONTROL!$C$27, 0.0021, 0)</f>
        <v>23.6554</v>
      </c>
      <c r="D25" s="14">
        <f>23.6533 * CHOOSE(CONTROL!$C$9, $D$9, 100%, $F$9) + CHOOSE(CONTROL!$C$27, 0.0021, 0)</f>
        <v>23.6554</v>
      </c>
      <c r="E25" s="14">
        <f>23.5166 * CHOOSE(CONTROL!$C$9, $D$9, 100%, $F$9) + CHOOSE(CONTROL!$C$27, 0.0021, 0)</f>
        <v>23.518699999999999</v>
      </c>
      <c r="F25" s="14">
        <f>23.5166 * CHOOSE(CONTROL!$C$9, $D$9, 100%, $F$9) + CHOOSE(CONTROL!$C$27, 0.0021, 0)</f>
        <v>23.518699999999999</v>
      </c>
      <c r="G25" s="14">
        <f>23.788 * CHOOSE(CONTROL!$C$9, $D$9, 100%, $F$9) + CHOOSE(CONTROL!$C$27, 0.0021, 0)</f>
        <v>23.790099999999999</v>
      </c>
      <c r="H25" s="14">
        <f>23.6533 * CHOOSE(CONTROL!$C$9, $D$9, 100%, $F$9) + CHOOSE(CONTROL!$C$27, 0.0021, 0)</f>
        <v>23.6554</v>
      </c>
      <c r="I25" s="14">
        <f>23.6533 * CHOOSE(CONTROL!$C$9, $D$9, 100%, $F$9) + CHOOSE(CONTROL!$C$27, 0.0021, 0)</f>
        <v>23.6554</v>
      </c>
      <c r="J25" s="14">
        <f>23.2931 * CHOOSE(CONTROL!$C$9, $D$9, 100%, $F$9) + CHOOSE(CONTROL!$C$27, 0.0021, 0)</f>
        <v>23.295199999999998</v>
      </c>
      <c r="K25" s="14">
        <f>23.6533 * CHOOSE(CONTROL!$C$9, $D$9, 100%, $F$9) + CHOOSE(CONTROL!$C$27, 0.0021, 0)</f>
        <v>23.6554</v>
      </c>
      <c r="L25" s="14"/>
      <c r="M25" s="35"/>
      <c r="N25" s="35"/>
      <c r="O25" s="35"/>
      <c r="P25" s="35"/>
      <c r="Q25" s="35"/>
    </row>
    <row r="26" spans="1:17" ht="15" x14ac:dyDescent="0.2">
      <c r="A26" s="13">
        <v>41699</v>
      </c>
      <c r="B26" s="14">
        <f>24.025 * CHOOSE(CONTROL!$C$9, $D$9, 100%, $F$9) + CHOOSE(CONTROL!$C$27, 0.0021, 0)</f>
        <v>24.027099999999997</v>
      </c>
      <c r="C26" s="14">
        <f>23.5928 * CHOOSE(CONTROL!$C$9, $D$9, 100%, $F$9) + CHOOSE(CONTROL!$C$27, 0.0021, 0)</f>
        <v>23.594899999999999</v>
      </c>
      <c r="D26" s="14">
        <f>23.5928 * CHOOSE(CONTROL!$C$9, $D$9, 100%, $F$9) + CHOOSE(CONTROL!$C$27, 0.0021, 0)</f>
        <v>23.594899999999999</v>
      </c>
      <c r="E26" s="14">
        <f>23.4561 * CHOOSE(CONTROL!$C$9, $D$9, 100%, $F$9) + CHOOSE(CONTROL!$C$27, 0.0021, 0)</f>
        <v>23.458199999999998</v>
      </c>
      <c r="F26" s="14">
        <f>23.4561 * CHOOSE(CONTROL!$C$9, $D$9, 100%, $F$9) + CHOOSE(CONTROL!$C$27, 0.0021, 0)</f>
        <v>23.458199999999998</v>
      </c>
      <c r="G26" s="14">
        <f>23.7275 * CHOOSE(CONTROL!$C$9, $D$9, 100%, $F$9) + CHOOSE(CONTROL!$C$27, 0.0021, 0)</f>
        <v>23.729599999999998</v>
      </c>
      <c r="H26" s="14">
        <f>23.5928 * CHOOSE(CONTROL!$C$9, $D$9, 100%, $F$9) + CHOOSE(CONTROL!$C$27, 0.0021, 0)</f>
        <v>23.594899999999999</v>
      </c>
      <c r="I26" s="14">
        <f>23.5928 * CHOOSE(CONTROL!$C$9, $D$9, 100%, $F$9) + CHOOSE(CONTROL!$C$27, 0.0021, 0)</f>
        <v>23.594899999999999</v>
      </c>
      <c r="J26" s="14">
        <f>23.2326 * CHOOSE(CONTROL!$C$9, $D$9, 100%, $F$9) + CHOOSE(CONTROL!$C$27, 0.0021, 0)</f>
        <v>23.2347</v>
      </c>
      <c r="K26" s="14">
        <f>23.5928 * CHOOSE(CONTROL!$C$9, $D$9, 100%, $F$9) + CHOOSE(CONTROL!$C$27, 0.0021, 0)</f>
        <v>23.594899999999999</v>
      </c>
      <c r="L26" s="14"/>
      <c r="M26" s="35"/>
      <c r="N26" s="35"/>
      <c r="O26" s="35"/>
      <c r="P26" s="35"/>
      <c r="Q26" s="35"/>
    </row>
    <row r="27" spans="1:17" ht="15" x14ac:dyDescent="0.2">
      <c r="A27" s="13">
        <v>41730</v>
      </c>
      <c r="B27" s="14">
        <f>23.94 * CHOOSE(CONTROL!$C$9, $D$9, 100%, $F$9) + CHOOSE(CONTROL!$C$27, 0.0021, 0)</f>
        <v>23.9421</v>
      </c>
      <c r="C27" s="14">
        <f>23.5078 * CHOOSE(CONTROL!$C$9, $D$9, 100%, $F$9) + CHOOSE(CONTROL!$C$27, 0.0021, 0)</f>
        <v>23.509899999999998</v>
      </c>
      <c r="D27" s="14">
        <f>23.5078 * CHOOSE(CONTROL!$C$9, $D$9, 100%, $F$9) + CHOOSE(CONTROL!$C$27, 0.0021, 0)</f>
        <v>23.509899999999998</v>
      </c>
      <c r="E27" s="14">
        <f>23.3711 * CHOOSE(CONTROL!$C$9, $D$9, 100%, $F$9) + CHOOSE(CONTROL!$C$27, 0.0021, 0)</f>
        <v>23.373199999999997</v>
      </c>
      <c r="F27" s="14">
        <f>23.3711 * CHOOSE(CONTROL!$C$9, $D$9, 100%, $F$9) + CHOOSE(CONTROL!$C$27, 0.0021, 0)</f>
        <v>23.373199999999997</v>
      </c>
      <c r="G27" s="14">
        <f>23.6425 * CHOOSE(CONTROL!$C$9, $D$9, 100%, $F$9) + CHOOSE(CONTROL!$C$27, 0.0021, 0)</f>
        <v>23.644599999999997</v>
      </c>
      <c r="H27" s="14">
        <f>23.5078 * CHOOSE(CONTROL!$C$9, $D$9, 100%, $F$9) + CHOOSE(CONTROL!$C$27, 0.0021, 0)</f>
        <v>23.509899999999998</v>
      </c>
      <c r="I27" s="14">
        <f>23.5078 * CHOOSE(CONTROL!$C$9, $D$9, 100%, $F$9) + CHOOSE(CONTROL!$C$27, 0.0021, 0)</f>
        <v>23.509899999999998</v>
      </c>
      <c r="J27" s="14">
        <f>23.1475 * CHOOSE(CONTROL!$C$9, $D$9, 100%, $F$9) + CHOOSE(CONTROL!$C$27, 0.0021, 0)</f>
        <v>23.1496</v>
      </c>
      <c r="K27" s="14">
        <f>23.5078 * CHOOSE(CONTROL!$C$9, $D$9, 100%, $F$9) + CHOOSE(CONTROL!$C$27, 0.0021, 0)</f>
        <v>23.509899999999998</v>
      </c>
      <c r="L27" s="14"/>
      <c r="M27" s="35"/>
      <c r="N27" s="35"/>
      <c r="O27" s="35"/>
      <c r="P27" s="35"/>
      <c r="Q27" s="35"/>
    </row>
    <row r="28" spans="1:17" ht="15" x14ac:dyDescent="0.2">
      <c r="A28" s="13">
        <v>41760</v>
      </c>
      <c r="B28" s="14">
        <f>23.8463 * CHOOSE(CONTROL!$C$9, $D$9, 100%, $F$9) + CHOOSE(CONTROL!$C$27, 0.0021, 0)</f>
        <v>23.848399999999998</v>
      </c>
      <c r="C28" s="14">
        <f>23.4141 * CHOOSE(CONTROL!$C$9, $D$9, 100%, $F$9) + CHOOSE(CONTROL!$C$27, 0.0021, 0)</f>
        <v>23.4162</v>
      </c>
      <c r="D28" s="14">
        <f>23.4141 * CHOOSE(CONTROL!$C$9, $D$9, 100%, $F$9) + CHOOSE(CONTROL!$C$27, 0.0021, 0)</f>
        <v>23.4162</v>
      </c>
      <c r="E28" s="14">
        <f>23.2774 * CHOOSE(CONTROL!$C$9, $D$9, 100%, $F$9) + CHOOSE(CONTROL!$C$27, 0.0021, 0)</f>
        <v>23.279499999999999</v>
      </c>
      <c r="F28" s="14">
        <f>23.2774 * CHOOSE(CONTROL!$C$9, $D$9, 100%, $F$9) + CHOOSE(CONTROL!$C$27, 0.0021, 0)</f>
        <v>23.279499999999999</v>
      </c>
      <c r="G28" s="14">
        <f>23.5488 * CHOOSE(CONTROL!$C$9, $D$9, 100%, $F$9) + CHOOSE(CONTROL!$C$27, 0.0021, 0)</f>
        <v>23.550899999999999</v>
      </c>
      <c r="H28" s="14">
        <f>23.4141 * CHOOSE(CONTROL!$C$9, $D$9, 100%, $F$9) + CHOOSE(CONTROL!$C$27, 0.0021, 0)</f>
        <v>23.4162</v>
      </c>
      <c r="I28" s="14">
        <f>23.4141 * CHOOSE(CONTROL!$C$9, $D$9, 100%, $F$9) + CHOOSE(CONTROL!$C$27, 0.0021, 0)</f>
        <v>23.4162</v>
      </c>
      <c r="J28" s="14">
        <f>23.0539 * CHOOSE(CONTROL!$C$9, $D$9, 100%, $F$9) + CHOOSE(CONTROL!$C$27, 0.0021, 0)</f>
        <v>23.055999999999997</v>
      </c>
      <c r="K28" s="14">
        <f>23.4141 * CHOOSE(CONTROL!$C$9, $D$9, 100%, $F$9) + CHOOSE(CONTROL!$C$27, 0.0021, 0)</f>
        <v>23.4162</v>
      </c>
      <c r="L28" s="14"/>
      <c r="M28" s="35"/>
      <c r="N28" s="35"/>
      <c r="O28" s="35"/>
      <c r="P28" s="35"/>
      <c r="Q28" s="35"/>
    </row>
    <row r="29" spans="1:17" ht="15" x14ac:dyDescent="0.2">
      <c r="A29" s="13">
        <v>41791</v>
      </c>
      <c r="B29" s="14">
        <f>23.7455 * CHOOSE(CONTROL!$C$9, $D$9, 100%, $F$9) + CHOOSE(CONTROL!$C$27, 0.0021, 0)</f>
        <v>23.747599999999998</v>
      </c>
      <c r="C29" s="14">
        <f>23.3132 * CHOOSE(CONTROL!$C$9, $D$9, 100%, $F$9) + CHOOSE(CONTROL!$C$27, 0.0021, 0)</f>
        <v>23.315299999999997</v>
      </c>
      <c r="D29" s="14">
        <f>23.3132 * CHOOSE(CONTROL!$C$9, $D$9, 100%, $F$9) + CHOOSE(CONTROL!$C$27, 0.0021, 0)</f>
        <v>23.315299999999997</v>
      </c>
      <c r="E29" s="14">
        <f>23.1766 * CHOOSE(CONTROL!$C$9, $D$9, 100%, $F$9) + CHOOSE(CONTROL!$C$27, 0.0021, 0)</f>
        <v>23.178699999999999</v>
      </c>
      <c r="F29" s="14">
        <f>23.1766 * CHOOSE(CONTROL!$C$9, $D$9, 100%, $F$9) + CHOOSE(CONTROL!$C$27, 0.0021, 0)</f>
        <v>23.178699999999999</v>
      </c>
      <c r="G29" s="14">
        <f>23.448 * CHOOSE(CONTROL!$C$9, $D$9, 100%, $F$9) + CHOOSE(CONTROL!$C$27, 0.0021, 0)</f>
        <v>23.450099999999999</v>
      </c>
      <c r="H29" s="14">
        <f>23.3132 * CHOOSE(CONTROL!$C$9, $D$9, 100%, $F$9) + CHOOSE(CONTROL!$C$27, 0.0021, 0)</f>
        <v>23.315299999999997</v>
      </c>
      <c r="I29" s="14">
        <f>23.3132 * CHOOSE(CONTROL!$C$9, $D$9, 100%, $F$9) + CHOOSE(CONTROL!$C$27, 0.0021, 0)</f>
        <v>23.315299999999997</v>
      </c>
      <c r="J29" s="14">
        <f>22.953 * CHOOSE(CONTROL!$C$9, $D$9, 100%, $F$9) + CHOOSE(CONTROL!$C$27, 0.0021, 0)</f>
        <v>22.955099999999998</v>
      </c>
      <c r="K29" s="14">
        <f>23.3132 * CHOOSE(CONTROL!$C$9, $D$9, 100%, $F$9) + CHOOSE(CONTROL!$C$27, 0.0021, 0)</f>
        <v>23.315299999999997</v>
      </c>
      <c r="L29" s="14"/>
      <c r="M29" s="35"/>
      <c r="N29" s="35"/>
      <c r="O29" s="35"/>
      <c r="P29" s="35"/>
      <c r="Q29" s="35"/>
    </row>
    <row r="30" spans="1:17" ht="15" x14ac:dyDescent="0.2">
      <c r="A30" s="13">
        <v>41821</v>
      </c>
      <c r="B30" s="14">
        <f>23.6871 * CHOOSE(CONTROL!$C$9, $D$9, 100%, $F$9) + CHOOSE(CONTROL!$C$27, 0.0021, 0)</f>
        <v>23.6892</v>
      </c>
      <c r="C30" s="14">
        <f>23.2549 * CHOOSE(CONTROL!$C$9, $D$9, 100%, $F$9) + CHOOSE(CONTROL!$C$27, 0.0021, 0)</f>
        <v>23.256999999999998</v>
      </c>
      <c r="D30" s="14">
        <f>23.2549 * CHOOSE(CONTROL!$C$9, $D$9, 100%, $F$9) + CHOOSE(CONTROL!$C$27, 0.0021, 0)</f>
        <v>23.256999999999998</v>
      </c>
      <c r="E30" s="14">
        <f>23.1182 * CHOOSE(CONTROL!$C$9, $D$9, 100%, $F$9) + CHOOSE(CONTROL!$C$27, 0.0021, 0)</f>
        <v>23.1203</v>
      </c>
      <c r="F30" s="14">
        <f>23.1182 * CHOOSE(CONTROL!$C$9, $D$9, 100%, $F$9) + CHOOSE(CONTROL!$C$27, 0.0021, 0)</f>
        <v>23.1203</v>
      </c>
      <c r="G30" s="14">
        <f>23.3896 * CHOOSE(CONTROL!$C$9, $D$9, 100%, $F$9) + CHOOSE(CONTROL!$C$27, 0.0021, 0)</f>
        <v>23.3917</v>
      </c>
      <c r="H30" s="14">
        <f>23.2549 * CHOOSE(CONTROL!$C$9, $D$9, 100%, $F$9) + CHOOSE(CONTROL!$C$27, 0.0021, 0)</f>
        <v>23.256999999999998</v>
      </c>
      <c r="I30" s="14">
        <f>23.2549 * CHOOSE(CONTROL!$C$9, $D$9, 100%, $F$9) + CHOOSE(CONTROL!$C$27, 0.0021, 0)</f>
        <v>23.256999999999998</v>
      </c>
      <c r="J30" s="14">
        <f>22.8947 * CHOOSE(CONTROL!$C$9, $D$9, 100%, $F$9) + CHOOSE(CONTROL!$C$27, 0.0021, 0)</f>
        <v>22.896799999999999</v>
      </c>
      <c r="K30" s="14">
        <f>23.2549 * CHOOSE(CONTROL!$C$9, $D$9, 100%, $F$9) + CHOOSE(CONTROL!$C$27, 0.0021, 0)</f>
        <v>23.256999999999998</v>
      </c>
      <c r="L30" s="14"/>
      <c r="M30" s="35"/>
      <c r="N30" s="35"/>
      <c r="O30" s="35"/>
      <c r="P30" s="35"/>
      <c r="Q30" s="35"/>
    </row>
    <row r="31" spans="1:17" ht="15" x14ac:dyDescent="0.2">
      <c r="A31" s="13">
        <v>41852</v>
      </c>
      <c r="B31" s="14">
        <f>23.6331 * CHOOSE(CONTROL!$C$9, $D$9, 100%, $F$9) + CHOOSE(CONTROL!$C$27, 0.0021, 0)</f>
        <v>23.635199999999998</v>
      </c>
      <c r="C31" s="14">
        <f>23.2009 * CHOOSE(CONTROL!$C$9, $D$9, 100%, $F$9) + CHOOSE(CONTROL!$C$27, 0.0021, 0)</f>
        <v>23.202999999999999</v>
      </c>
      <c r="D31" s="14">
        <f>23.2009 * CHOOSE(CONTROL!$C$9, $D$9, 100%, $F$9) + CHOOSE(CONTROL!$C$27, 0.0021, 0)</f>
        <v>23.202999999999999</v>
      </c>
      <c r="E31" s="14">
        <f>23.0642 * CHOOSE(CONTROL!$C$9, $D$9, 100%, $F$9) + CHOOSE(CONTROL!$C$27, 0.0021, 0)</f>
        <v>23.066299999999998</v>
      </c>
      <c r="F31" s="14">
        <f>23.0642 * CHOOSE(CONTROL!$C$9, $D$9, 100%, $F$9) + CHOOSE(CONTROL!$C$27, 0.0021, 0)</f>
        <v>23.066299999999998</v>
      </c>
      <c r="G31" s="14">
        <f>23.3356 * CHOOSE(CONTROL!$C$9, $D$9, 100%, $F$9) + CHOOSE(CONTROL!$C$27, 0.0021, 0)</f>
        <v>23.337699999999998</v>
      </c>
      <c r="H31" s="14">
        <f>23.2009 * CHOOSE(CONTROL!$C$9, $D$9, 100%, $F$9) + CHOOSE(CONTROL!$C$27, 0.0021, 0)</f>
        <v>23.202999999999999</v>
      </c>
      <c r="I31" s="14">
        <f>23.2009 * CHOOSE(CONTROL!$C$9, $D$9, 100%, $F$9) + CHOOSE(CONTROL!$C$27, 0.0021, 0)</f>
        <v>23.202999999999999</v>
      </c>
      <c r="J31" s="14">
        <f>22.8407 * CHOOSE(CONTROL!$C$9, $D$9, 100%, $F$9) + CHOOSE(CONTROL!$C$27, 0.0021, 0)</f>
        <v>22.842799999999997</v>
      </c>
      <c r="K31" s="14">
        <f>23.2009 * CHOOSE(CONTROL!$C$9, $D$9, 100%, $F$9) + CHOOSE(CONTROL!$C$27, 0.0021, 0)</f>
        <v>23.202999999999999</v>
      </c>
      <c r="L31" s="14"/>
      <c r="M31" s="35"/>
      <c r="N31" s="35"/>
      <c r="O31" s="35"/>
      <c r="P31" s="35"/>
      <c r="Q31" s="35"/>
    </row>
    <row r="32" spans="1:17" ht="15" x14ac:dyDescent="0.2">
      <c r="A32" s="13">
        <v>41883</v>
      </c>
      <c r="B32" s="14">
        <f>23.5791 * CHOOSE(CONTROL!$C$9, $D$9, 100%, $F$9) + CHOOSE(CONTROL!$C$27, 0.0021, 0)</f>
        <v>23.581199999999999</v>
      </c>
      <c r="C32" s="14">
        <f>23.1468 * CHOOSE(CONTROL!$C$9, $D$9, 100%, $F$9) + CHOOSE(CONTROL!$C$27, 0.0021, 0)</f>
        <v>23.148899999999998</v>
      </c>
      <c r="D32" s="14">
        <f>23.1468 * CHOOSE(CONTROL!$C$9, $D$9, 100%, $F$9) + CHOOSE(CONTROL!$C$27, 0.0021, 0)</f>
        <v>23.148899999999998</v>
      </c>
      <c r="E32" s="14">
        <f>23.0102 * CHOOSE(CONTROL!$C$9, $D$9, 100%, $F$9) + CHOOSE(CONTROL!$C$27, 0.0021, 0)</f>
        <v>23.0123</v>
      </c>
      <c r="F32" s="14">
        <f>23.0102 * CHOOSE(CONTROL!$C$9, $D$9, 100%, $F$9) + CHOOSE(CONTROL!$C$27, 0.0021, 0)</f>
        <v>23.0123</v>
      </c>
      <c r="G32" s="14">
        <f>23.2815 * CHOOSE(CONTROL!$C$9, $D$9, 100%, $F$9) + CHOOSE(CONTROL!$C$27, 0.0021, 0)</f>
        <v>23.2836</v>
      </c>
      <c r="H32" s="14">
        <f>23.1468 * CHOOSE(CONTROL!$C$9, $D$9, 100%, $F$9) + CHOOSE(CONTROL!$C$27, 0.0021, 0)</f>
        <v>23.148899999999998</v>
      </c>
      <c r="I32" s="14">
        <f>23.1468 * CHOOSE(CONTROL!$C$9, $D$9, 100%, $F$9) + CHOOSE(CONTROL!$C$27, 0.0021, 0)</f>
        <v>23.148899999999998</v>
      </c>
      <c r="J32" s="14">
        <f>22.7866 * CHOOSE(CONTROL!$C$9, $D$9, 100%, $F$9) + CHOOSE(CONTROL!$C$27, 0.0021, 0)</f>
        <v>22.788699999999999</v>
      </c>
      <c r="K32" s="14">
        <f>23.1468 * CHOOSE(CONTROL!$C$9, $D$9, 100%, $F$9) + CHOOSE(CONTROL!$C$27, 0.0021, 0)</f>
        <v>23.148899999999998</v>
      </c>
      <c r="L32" s="14"/>
      <c r="M32" s="35"/>
      <c r="N32" s="35"/>
      <c r="O32" s="35"/>
      <c r="P32" s="35"/>
      <c r="Q32" s="35"/>
    </row>
    <row r="33" spans="1:17" ht="15" x14ac:dyDescent="0.2">
      <c r="A33" s="13">
        <v>41913</v>
      </c>
      <c r="B33" s="14">
        <f>23.5286 * CHOOSE(CONTROL!$C$9, $D$9, 100%, $F$9) + CHOOSE(CONTROL!$C$27, 0.0021, 0)</f>
        <v>23.5307</v>
      </c>
      <c r="C33" s="14">
        <f>23.0964 * CHOOSE(CONTROL!$C$9, $D$9, 100%, $F$9) + CHOOSE(CONTROL!$C$27, 0.0021, 0)</f>
        <v>23.098499999999998</v>
      </c>
      <c r="D33" s="14">
        <f>23.0964 * CHOOSE(CONTROL!$C$9, $D$9, 100%, $F$9) + CHOOSE(CONTROL!$C$27, 0.0021, 0)</f>
        <v>23.098499999999998</v>
      </c>
      <c r="E33" s="14">
        <f>22.9597 * CHOOSE(CONTROL!$C$9, $D$9, 100%, $F$9) + CHOOSE(CONTROL!$C$27, 0.0021, 0)</f>
        <v>22.9618</v>
      </c>
      <c r="F33" s="14">
        <f>22.9597 * CHOOSE(CONTROL!$C$9, $D$9, 100%, $F$9) + CHOOSE(CONTROL!$C$27, 0.0021, 0)</f>
        <v>22.9618</v>
      </c>
      <c r="G33" s="14">
        <f>23.2311 * CHOOSE(CONTROL!$C$9, $D$9, 100%, $F$9) + CHOOSE(CONTROL!$C$27, 0.0021, 0)</f>
        <v>23.2332</v>
      </c>
      <c r="H33" s="14">
        <f>23.0964 * CHOOSE(CONTROL!$C$9, $D$9, 100%, $F$9) + CHOOSE(CONTROL!$C$27, 0.0021, 0)</f>
        <v>23.098499999999998</v>
      </c>
      <c r="I33" s="14">
        <f>23.0964 * CHOOSE(CONTROL!$C$9, $D$9, 100%, $F$9) + CHOOSE(CONTROL!$C$27, 0.0021, 0)</f>
        <v>23.098499999999998</v>
      </c>
      <c r="J33" s="14">
        <f>22.7362 * CHOOSE(CONTROL!$C$9, $D$9, 100%, $F$9) + CHOOSE(CONTROL!$C$27, 0.0021, 0)</f>
        <v>22.738299999999999</v>
      </c>
      <c r="K33" s="14">
        <f>23.0964 * CHOOSE(CONTROL!$C$9, $D$9, 100%, $F$9) + CHOOSE(CONTROL!$C$27, 0.0021, 0)</f>
        <v>23.098499999999998</v>
      </c>
      <c r="L33" s="14"/>
      <c r="M33" s="35"/>
      <c r="N33" s="35"/>
      <c r="O33" s="35"/>
      <c r="P33" s="35"/>
      <c r="Q33" s="35"/>
    </row>
    <row r="34" spans="1:17" ht="15" x14ac:dyDescent="0.2">
      <c r="A34" s="13">
        <v>41944</v>
      </c>
      <c r="B34" s="14">
        <f>23.4782 * CHOOSE(CONTROL!$C$9, $D$9, 100%, $F$9) + CHOOSE(CONTROL!$C$27, 0.0021, 0)</f>
        <v>23.4803</v>
      </c>
      <c r="C34" s="14">
        <f>23.046 * CHOOSE(CONTROL!$C$9, $D$9, 100%, $F$9) + CHOOSE(CONTROL!$C$27, 0.0021, 0)</f>
        <v>23.048099999999998</v>
      </c>
      <c r="D34" s="14">
        <f>23.046 * CHOOSE(CONTROL!$C$9, $D$9, 100%, $F$9) + CHOOSE(CONTROL!$C$27, 0.0021, 0)</f>
        <v>23.048099999999998</v>
      </c>
      <c r="E34" s="14">
        <f>22.9093 * CHOOSE(CONTROL!$C$9, $D$9, 100%, $F$9) + CHOOSE(CONTROL!$C$27, 0.0021, 0)</f>
        <v>22.9114</v>
      </c>
      <c r="F34" s="14">
        <f>22.9093 * CHOOSE(CONTROL!$C$9, $D$9, 100%, $F$9) + CHOOSE(CONTROL!$C$27, 0.0021, 0)</f>
        <v>22.9114</v>
      </c>
      <c r="G34" s="14">
        <f>23.1807 * CHOOSE(CONTROL!$C$9, $D$9, 100%, $F$9) + CHOOSE(CONTROL!$C$27, 0.0021, 0)</f>
        <v>23.1828</v>
      </c>
      <c r="H34" s="14">
        <f>23.046 * CHOOSE(CONTROL!$C$9, $D$9, 100%, $F$9) + CHOOSE(CONTROL!$C$27, 0.0021, 0)</f>
        <v>23.048099999999998</v>
      </c>
      <c r="I34" s="14">
        <f>23.046 * CHOOSE(CONTROL!$C$9, $D$9, 100%, $F$9) + CHOOSE(CONTROL!$C$27, 0.0021, 0)</f>
        <v>23.048099999999998</v>
      </c>
      <c r="J34" s="14">
        <f>22.6858 * CHOOSE(CONTROL!$C$9, $D$9, 100%, $F$9) + CHOOSE(CONTROL!$C$27, 0.0021, 0)</f>
        <v>22.687899999999999</v>
      </c>
      <c r="K34" s="14">
        <f>23.046 * CHOOSE(CONTROL!$C$9, $D$9, 100%, $F$9) + CHOOSE(CONTROL!$C$27, 0.0021, 0)</f>
        <v>23.048099999999998</v>
      </c>
      <c r="L34" s="14"/>
      <c r="M34" s="35"/>
      <c r="N34" s="35"/>
      <c r="O34" s="35"/>
      <c r="P34" s="35"/>
      <c r="Q34" s="35"/>
    </row>
    <row r="35" spans="1:17" ht="15" x14ac:dyDescent="0.2">
      <c r="A35" s="13">
        <v>41974</v>
      </c>
      <c r="B35" s="14">
        <f>23.4278 * CHOOSE(CONTROL!$C$9, $D$9, 100%, $F$9) + CHOOSE(CONTROL!$C$27, 0.0021, 0)</f>
        <v>23.4299</v>
      </c>
      <c r="C35" s="14">
        <f>22.9955 * CHOOSE(CONTROL!$C$9, $D$9, 100%, $F$9) + CHOOSE(CONTROL!$C$27, 0.0021, 0)</f>
        <v>22.997599999999998</v>
      </c>
      <c r="D35" s="14">
        <f>22.9955 * CHOOSE(CONTROL!$C$9, $D$9, 100%, $F$9) + CHOOSE(CONTROL!$C$27, 0.0021, 0)</f>
        <v>22.997599999999998</v>
      </c>
      <c r="E35" s="14">
        <f>22.8589 * CHOOSE(CONTROL!$C$9, $D$9, 100%, $F$9) + CHOOSE(CONTROL!$C$27, 0.0021, 0)</f>
        <v>22.860999999999997</v>
      </c>
      <c r="F35" s="14">
        <f>22.8589 * CHOOSE(CONTROL!$C$9, $D$9, 100%, $F$9) + CHOOSE(CONTROL!$C$27, 0.0021, 0)</f>
        <v>22.860999999999997</v>
      </c>
      <c r="G35" s="14">
        <f>23.1303 * CHOOSE(CONTROL!$C$9, $D$9, 100%, $F$9) + CHOOSE(CONTROL!$C$27, 0.0021, 0)</f>
        <v>23.132399999999997</v>
      </c>
      <c r="H35" s="14">
        <f>22.9955 * CHOOSE(CONTROL!$C$9, $D$9, 100%, $F$9) + CHOOSE(CONTROL!$C$27, 0.0021, 0)</f>
        <v>22.997599999999998</v>
      </c>
      <c r="I35" s="14">
        <f>22.9955 * CHOOSE(CONTROL!$C$9, $D$9, 100%, $F$9) + CHOOSE(CONTROL!$C$27, 0.0021, 0)</f>
        <v>22.997599999999998</v>
      </c>
      <c r="J35" s="14">
        <f>22.6353 * CHOOSE(CONTROL!$C$9, $D$9, 100%, $F$9) + CHOOSE(CONTROL!$C$27, 0.0021, 0)</f>
        <v>22.6374</v>
      </c>
      <c r="K35" s="14">
        <f>22.9955 * CHOOSE(CONTROL!$C$9, $D$9, 100%, $F$9) + CHOOSE(CONTROL!$C$27, 0.0021, 0)</f>
        <v>22.997599999999998</v>
      </c>
      <c r="L35" s="14"/>
      <c r="M35" s="35"/>
      <c r="N35" s="35"/>
      <c r="O35" s="35"/>
      <c r="P35" s="35"/>
      <c r="Q35" s="35"/>
    </row>
    <row r="36" spans="1:17" ht="15" x14ac:dyDescent="0.2">
      <c r="A36" s="13">
        <v>42005</v>
      </c>
      <c r="B36" s="14">
        <f>23.417 * CHOOSE(CONTROL!$C$9, $D$9, 100%, $F$9) + CHOOSE(CONTROL!$C$27, 0.0021, 0)</f>
        <v>23.4191</v>
      </c>
      <c r="C36" s="14">
        <f>22.9847 * CHOOSE(CONTROL!$C$9, $D$9, 100%, $F$9) + CHOOSE(CONTROL!$C$27, 0.0021, 0)</f>
        <v>22.986799999999999</v>
      </c>
      <c r="D36" s="14">
        <f>22.9847 * CHOOSE(CONTROL!$C$9, $D$9, 100%, $F$9) + CHOOSE(CONTROL!$C$27, 0.0021, 0)</f>
        <v>22.986799999999999</v>
      </c>
      <c r="E36" s="14">
        <f>22.8481 * CHOOSE(CONTROL!$C$9, $D$9, 100%, $F$9) + CHOOSE(CONTROL!$C$27, 0.0021, 0)</f>
        <v>22.850199999999997</v>
      </c>
      <c r="F36" s="14">
        <f>22.8481 * CHOOSE(CONTROL!$C$9, $D$9, 100%, $F$9) + CHOOSE(CONTROL!$C$27, 0.0021, 0)</f>
        <v>22.850199999999997</v>
      </c>
      <c r="G36" s="14">
        <f>23.1195 * CHOOSE(CONTROL!$C$9, $D$9, 100%, $F$9) + CHOOSE(CONTROL!$C$27, 0.0021, 0)</f>
        <v>23.121599999999997</v>
      </c>
      <c r="H36" s="14">
        <f>22.9847 * CHOOSE(CONTROL!$C$9, $D$9, 100%, $F$9) + CHOOSE(CONTROL!$C$27, 0.0021, 0)</f>
        <v>22.986799999999999</v>
      </c>
      <c r="I36" s="14">
        <f>22.9847 * CHOOSE(CONTROL!$C$9, $D$9, 100%, $F$9) + CHOOSE(CONTROL!$C$27, 0.0021, 0)</f>
        <v>22.986799999999999</v>
      </c>
      <c r="J36" s="14">
        <f>22.9847 * CHOOSE(CONTROL!$C$9, $D$9, 100%, $F$9) + CHOOSE(CONTROL!$C$27, 0.0021, 0)</f>
        <v>22.986799999999999</v>
      </c>
      <c r="K36" s="14">
        <f>22.9847 * CHOOSE(CONTROL!$C$9, $D$9, 100%, $F$9) + CHOOSE(CONTROL!$C$27, 0.0021, 0)</f>
        <v>22.986799999999999</v>
      </c>
      <c r="L36" s="14"/>
      <c r="M36" s="35"/>
      <c r="N36" s="35"/>
      <c r="O36" s="35"/>
      <c r="P36" s="35"/>
      <c r="Q36" s="35"/>
    </row>
    <row r="37" spans="1:17" ht="15" x14ac:dyDescent="0.2">
      <c r="A37" s="13">
        <v>42036</v>
      </c>
      <c r="B37" s="14">
        <f>23.3557 * CHOOSE(CONTROL!$C$9, $D$9, 100%, $F$9) + CHOOSE(CONTROL!$C$27, 0.0021, 0)</f>
        <v>23.357799999999997</v>
      </c>
      <c r="C37" s="14">
        <f>22.9235 * CHOOSE(CONTROL!$C$9, $D$9, 100%, $F$9) + CHOOSE(CONTROL!$C$27, 0.0021, 0)</f>
        <v>22.925599999999999</v>
      </c>
      <c r="D37" s="14">
        <f>22.9235 * CHOOSE(CONTROL!$C$9, $D$9, 100%, $F$9) + CHOOSE(CONTROL!$C$27, 0.0021, 0)</f>
        <v>22.925599999999999</v>
      </c>
      <c r="E37" s="14">
        <f>22.7868 * CHOOSE(CONTROL!$C$9, $D$9, 100%, $F$9) + CHOOSE(CONTROL!$C$27, 0.0021, 0)</f>
        <v>22.788899999999998</v>
      </c>
      <c r="F37" s="14">
        <f>22.7868 * CHOOSE(CONTROL!$C$9, $D$9, 100%, $F$9) + CHOOSE(CONTROL!$C$27, 0.0021, 0)</f>
        <v>22.788899999999998</v>
      </c>
      <c r="G37" s="14">
        <f>23.0582 * CHOOSE(CONTROL!$C$9, $D$9, 100%, $F$9) + CHOOSE(CONTROL!$C$27, 0.0021, 0)</f>
        <v>23.060299999999998</v>
      </c>
      <c r="H37" s="14">
        <f>22.9235 * CHOOSE(CONTROL!$C$9, $D$9, 100%, $F$9) + CHOOSE(CONTROL!$C$27, 0.0021, 0)</f>
        <v>22.925599999999999</v>
      </c>
      <c r="I37" s="14">
        <f>22.9235 * CHOOSE(CONTROL!$C$9, $D$9, 100%, $F$9) + CHOOSE(CONTROL!$C$27, 0.0021, 0)</f>
        <v>22.925599999999999</v>
      </c>
      <c r="J37" s="14">
        <f>22.9235 * CHOOSE(CONTROL!$C$9, $D$9, 100%, $F$9) + CHOOSE(CONTROL!$C$27, 0.0021, 0)</f>
        <v>22.925599999999999</v>
      </c>
      <c r="K37" s="14">
        <f>22.9235 * CHOOSE(CONTROL!$C$9, $D$9, 100%, $F$9) + CHOOSE(CONTROL!$C$27, 0.0021, 0)</f>
        <v>22.925599999999999</v>
      </c>
      <c r="L37" s="14"/>
      <c r="M37" s="35"/>
      <c r="N37" s="35"/>
      <c r="O37" s="35"/>
      <c r="P37" s="35"/>
      <c r="Q37" s="35"/>
    </row>
    <row r="38" spans="1:17" ht="15" x14ac:dyDescent="0.2">
      <c r="A38" s="13">
        <v>42064</v>
      </c>
      <c r="B38" s="14">
        <f>23.2693 * CHOOSE(CONTROL!$C$9, $D$9, 100%, $F$9) + CHOOSE(CONTROL!$C$27, 0.0021, 0)</f>
        <v>23.2714</v>
      </c>
      <c r="C38" s="14">
        <f>22.837 * CHOOSE(CONTROL!$C$9, $D$9, 100%, $F$9) + CHOOSE(CONTROL!$C$27, 0.0021, 0)</f>
        <v>22.839099999999998</v>
      </c>
      <c r="D38" s="14">
        <f>22.837 * CHOOSE(CONTROL!$C$9, $D$9, 100%, $F$9) + CHOOSE(CONTROL!$C$27, 0.0021, 0)</f>
        <v>22.839099999999998</v>
      </c>
      <c r="E38" s="14">
        <f>22.7004 * CHOOSE(CONTROL!$C$9, $D$9, 100%, $F$9) + CHOOSE(CONTROL!$C$27, 0.0021, 0)</f>
        <v>22.702499999999997</v>
      </c>
      <c r="F38" s="14">
        <f>22.7004 * CHOOSE(CONTROL!$C$9, $D$9, 100%, $F$9) + CHOOSE(CONTROL!$C$27, 0.0021, 0)</f>
        <v>22.702499999999997</v>
      </c>
      <c r="G38" s="14">
        <f>22.9718 * CHOOSE(CONTROL!$C$9, $D$9, 100%, $F$9) + CHOOSE(CONTROL!$C$27, 0.0021, 0)</f>
        <v>22.9739</v>
      </c>
      <c r="H38" s="14">
        <f>22.837 * CHOOSE(CONTROL!$C$9, $D$9, 100%, $F$9) + CHOOSE(CONTROL!$C$27, 0.0021, 0)</f>
        <v>22.839099999999998</v>
      </c>
      <c r="I38" s="14">
        <f>22.837 * CHOOSE(CONTROL!$C$9, $D$9, 100%, $F$9) + CHOOSE(CONTROL!$C$27, 0.0021, 0)</f>
        <v>22.839099999999998</v>
      </c>
      <c r="J38" s="14">
        <f>22.837 * CHOOSE(CONTROL!$C$9, $D$9, 100%, $F$9) + CHOOSE(CONTROL!$C$27, 0.0021, 0)</f>
        <v>22.839099999999998</v>
      </c>
      <c r="K38" s="14">
        <f>22.837 * CHOOSE(CONTROL!$C$9, $D$9, 100%, $F$9) + CHOOSE(CONTROL!$C$27, 0.0021, 0)</f>
        <v>22.839099999999998</v>
      </c>
      <c r="L38" s="14"/>
      <c r="M38" s="35"/>
      <c r="N38" s="35"/>
      <c r="O38" s="35"/>
      <c r="P38" s="35"/>
      <c r="Q38" s="35"/>
    </row>
    <row r="39" spans="1:17" ht="15" x14ac:dyDescent="0.2">
      <c r="A39" s="13">
        <v>42095</v>
      </c>
      <c r="B39" s="14">
        <f>23.1036 * CHOOSE(CONTROL!$C$9, $D$9, 100%, $F$9) + CHOOSE(CONTROL!$C$27, 0.0021, 0)</f>
        <v>23.105699999999999</v>
      </c>
      <c r="C39" s="14">
        <f>22.6714 * CHOOSE(CONTROL!$C$9, $D$9, 100%, $F$9) + CHOOSE(CONTROL!$C$27, 0.0021, 0)</f>
        <v>22.673499999999997</v>
      </c>
      <c r="D39" s="14">
        <f>22.6714 * CHOOSE(CONTROL!$C$9, $D$9, 100%, $F$9) + CHOOSE(CONTROL!$C$27, 0.0021, 0)</f>
        <v>22.673499999999997</v>
      </c>
      <c r="E39" s="14">
        <f>22.5347 * CHOOSE(CONTROL!$C$9, $D$9, 100%, $F$9) + CHOOSE(CONTROL!$C$27, 0.0021, 0)</f>
        <v>22.536799999999999</v>
      </c>
      <c r="F39" s="14">
        <f>22.5347 * CHOOSE(CONTROL!$C$9, $D$9, 100%, $F$9) + CHOOSE(CONTROL!$C$27, 0.0021, 0)</f>
        <v>22.536799999999999</v>
      </c>
      <c r="G39" s="14">
        <f>22.8061 * CHOOSE(CONTROL!$C$9, $D$9, 100%, $F$9) + CHOOSE(CONTROL!$C$27, 0.0021, 0)</f>
        <v>22.808199999999999</v>
      </c>
      <c r="H39" s="14">
        <f>22.6714 * CHOOSE(CONTROL!$C$9, $D$9, 100%, $F$9) + CHOOSE(CONTROL!$C$27, 0.0021, 0)</f>
        <v>22.673499999999997</v>
      </c>
      <c r="I39" s="14">
        <f>22.6714 * CHOOSE(CONTROL!$C$9, $D$9, 100%, $F$9) + CHOOSE(CONTROL!$C$27, 0.0021, 0)</f>
        <v>22.673499999999997</v>
      </c>
      <c r="J39" s="14">
        <f>22.6714 * CHOOSE(CONTROL!$C$9, $D$9, 100%, $F$9) + CHOOSE(CONTROL!$C$27, 0.0021, 0)</f>
        <v>22.673499999999997</v>
      </c>
      <c r="K39" s="14">
        <f>22.6714 * CHOOSE(CONTROL!$C$9, $D$9, 100%, $F$9) + CHOOSE(CONTROL!$C$27, 0.0021, 0)</f>
        <v>22.673499999999997</v>
      </c>
      <c r="L39" s="14"/>
      <c r="M39" s="35"/>
      <c r="N39" s="35"/>
      <c r="O39" s="35"/>
      <c r="P39" s="35"/>
      <c r="Q39" s="35"/>
    </row>
    <row r="40" spans="1:17" ht="15" x14ac:dyDescent="0.2">
      <c r="A40" s="13">
        <v>42125</v>
      </c>
      <c r="B40" s="14">
        <f>22.9955 * CHOOSE(CONTROL!$C$9, $D$9, 100%, $F$9) + CHOOSE(CONTROL!$C$27, 0.0021, 0)</f>
        <v>22.997599999999998</v>
      </c>
      <c r="C40" s="14">
        <f>22.5633 * CHOOSE(CONTROL!$C$9, $D$9, 100%, $F$9) + CHOOSE(CONTROL!$C$27, 0.0021, 0)</f>
        <v>22.5654</v>
      </c>
      <c r="D40" s="14">
        <f>22.5633 * CHOOSE(CONTROL!$C$9, $D$9, 100%, $F$9) + CHOOSE(CONTROL!$C$27, 0.0021, 0)</f>
        <v>22.5654</v>
      </c>
      <c r="E40" s="14">
        <f>22.4266 * CHOOSE(CONTROL!$C$9, $D$9, 100%, $F$9) + CHOOSE(CONTROL!$C$27, 0.0021, 0)</f>
        <v>22.428699999999999</v>
      </c>
      <c r="F40" s="14">
        <f>22.4266 * CHOOSE(CONTROL!$C$9, $D$9, 100%, $F$9) + CHOOSE(CONTROL!$C$27, 0.0021, 0)</f>
        <v>22.428699999999999</v>
      </c>
      <c r="G40" s="14">
        <f>22.698 * CHOOSE(CONTROL!$C$9, $D$9, 100%, $F$9) + CHOOSE(CONTROL!$C$27, 0.0021, 0)</f>
        <v>22.700099999999999</v>
      </c>
      <c r="H40" s="14">
        <f>22.5633 * CHOOSE(CONTROL!$C$9, $D$9, 100%, $F$9) + CHOOSE(CONTROL!$C$27, 0.0021, 0)</f>
        <v>22.5654</v>
      </c>
      <c r="I40" s="14">
        <f>22.5633 * CHOOSE(CONTROL!$C$9, $D$9, 100%, $F$9) + CHOOSE(CONTROL!$C$27, 0.0021, 0)</f>
        <v>22.5654</v>
      </c>
      <c r="J40" s="14">
        <f>22.5633 * CHOOSE(CONTROL!$C$9, $D$9, 100%, $F$9) + CHOOSE(CONTROL!$C$27, 0.0021, 0)</f>
        <v>22.5654</v>
      </c>
      <c r="K40" s="14">
        <f>22.5633 * CHOOSE(CONTROL!$C$9, $D$9, 100%, $F$9) + CHOOSE(CONTROL!$C$27, 0.0021, 0)</f>
        <v>22.5654</v>
      </c>
      <c r="L40" s="14"/>
      <c r="M40" s="35"/>
      <c r="N40" s="35"/>
      <c r="O40" s="35"/>
      <c r="P40" s="35"/>
      <c r="Q40" s="35"/>
    </row>
    <row r="41" spans="1:17" ht="15" x14ac:dyDescent="0.2">
      <c r="A41" s="13">
        <v>42156</v>
      </c>
      <c r="B41" s="14">
        <f>22.8947 * CHOOSE(CONTROL!$C$9, $D$9, 100%, $F$9) + CHOOSE(CONTROL!$C$27, 0.0021, 0)</f>
        <v>22.896799999999999</v>
      </c>
      <c r="C41" s="14">
        <f>22.4624 * CHOOSE(CONTROL!$C$9, $D$9, 100%, $F$9) + CHOOSE(CONTROL!$C$27, 0.0021, 0)</f>
        <v>22.464499999999997</v>
      </c>
      <c r="D41" s="14">
        <f>22.4624 * CHOOSE(CONTROL!$C$9, $D$9, 100%, $F$9) + CHOOSE(CONTROL!$C$27, 0.0021, 0)</f>
        <v>22.464499999999997</v>
      </c>
      <c r="E41" s="14">
        <f>22.3258 * CHOOSE(CONTROL!$C$9, $D$9, 100%, $F$9) + CHOOSE(CONTROL!$C$27, 0.0021, 0)</f>
        <v>22.3279</v>
      </c>
      <c r="F41" s="14">
        <f>22.3258 * CHOOSE(CONTROL!$C$9, $D$9, 100%, $F$9) + CHOOSE(CONTROL!$C$27, 0.0021, 0)</f>
        <v>22.3279</v>
      </c>
      <c r="G41" s="14">
        <f>22.5972 * CHOOSE(CONTROL!$C$9, $D$9, 100%, $F$9) + CHOOSE(CONTROL!$C$27, 0.0021, 0)</f>
        <v>22.599299999999999</v>
      </c>
      <c r="H41" s="14">
        <f>22.4624 * CHOOSE(CONTROL!$C$9, $D$9, 100%, $F$9) + CHOOSE(CONTROL!$C$27, 0.0021, 0)</f>
        <v>22.464499999999997</v>
      </c>
      <c r="I41" s="14">
        <f>22.4624 * CHOOSE(CONTROL!$C$9, $D$9, 100%, $F$9) + CHOOSE(CONTROL!$C$27, 0.0021, 0)</f>
        <v>22.464499999999997</v>
      </c>
      <c r="J41" s="14">
        <f>22.4624 * CHOOSE(CONTROL!$C$9, $D$9, 100%, $F$9) + CHOOSE(CONTROL!$C$27, 0.0021, 0)</f>
        <v>22.464499999999997</v>
      </c>
      <c r="K41" s="14">
        <f>22.4624 * CHOOSE(CONTROL!$C$9, $D$9, 100%, $F$9) + CHOOSE(CONTROL!$C$27, 0.0021, 0)</f>
        <v>22.464499999999997</v>
      </c>
      <c r="L41" s="14"/>
      <c r="M41" s="35"/>
      <c r="N41" s="35"/>
      <c r="O41" s="35"/>
      <c r="P41" s="35"/>
      <c r="Q41" s="35"/>
    </row>
    <row r="42" spans="1:17" ht="15" x14ac:dyDescent="0.2">
      <c r="A42" s="13">
        <v>42186</v>
      </c>
      <c r="B42" s="14">
        <f>22.8587 * CHOOSE(CONTROL!$C$9, $D$9, 100%, $F$9) + CHOOSE(CONTROL!$C$27, 0.0021, 0)</f>
        <v>22.860799999999998</v>
      </c>
      <c r="C42" s="14">
        <f>22.4264 * CHOOSE(CONTROL!$C$9, $D$9, 100%, $F$9) + CHOOSE(CONTROL!$C$27, 0.0021, 0)</f>
        <v>22.4285</v>
      </c>
      <c r="D42" s="14">
        <f>22.4264 * CHOOSE(CONTROL!$C$9, $D$9, 100%, $F$9) + CHOOSE(CONTROL!$C$27, 0.0021, 0)</f>
        <v>22.4285</v>
      </c>
      <c r="E42" s="14">
        <f>22.2898 * CHOOSE(CONTROL!$C$9, $D$9, 100%, $F$9) + CHOOSE(CONTROL!$C$27, 0.0021, 0)</f>
        <v>22.291899999999998</v>
      </c>
      <c r="F42" s="14">
        <f>22.2898 * CHOOSE(CONTROL!$C$9, $D$9, 100%, $F$9) + CHOOSE(CONTROL!$C$27, 0.0021, 0)</f>
        <v>22.291899999999998</v>
      </c>
      <c r="G42" s="14">
        <f>22.5611 * CHOOSE(CONTROL!$C$9, $D$9, 100%, $F$9) + CHOOSE(CONTROL!$C$27, 0.0021, 0)</f>
        <v>22.563199999999998</v>
      </c>
      <c r="H42" s="14">
        <f>22.4264 * CHOOSE(CONTROL!$C$9, $D$9, 100%, $F$9) + CHOOSE(CONTROL!$C$27, 0.0021, 0)</f>
        <v>22.4285</v>
      </c>
      <c r="I42" s="14">
        <f>22.4264 * CHOOSE(CONTROL!$C$9, $D$9, 100%, $F$9) + CHOOSE(CONTROL!$C$27, 0.0021, 0)</f>
        <v>22.4285</v>
      </c>
      <c r="J42" s="14">
        <f>22.4264 * CHOOSE(CONTROL!$C$9, $D$9, 100%, $F$9) + CHOOSE(CONTROL!$C$27, 0.0021, 0)</f>
        <v>22.4285</v>
      </c>
      <c r="K42" s="14">
        <f>22.4264 * CHOOSE(CONTROL!$C$9, $D$9, 100%, $F$9) + CHOOSE(CONTROL!$C$27, 0.0021, 0)</f>
        <v>22.4285</v>
      </c>
      <c r="L42" s="14"/>
      <c r="M42" s="35"/>
      <c r="N42" s="35"/>
      <c r="O42" s="35"/>
      <c r="P42" s="35"/>
      <c r="Q42" s="35"/>
    </row>
    <row r="43" spans="1:17" ht="15" x14ac:dyDescent="0.2">
      <c r="A43" s="13">
        <v>42217</v>
      </c>
      <c r="B43" s="14">
        <f>22.8334 * CHOOSE(CONTROL!$C$9, $D$9, 100%, $F$9) + CHOOSE(CONTROL!$C$27, 0.0021, 0)</f>
        <v>22.8355</v>
      </c>
      <c r="C43" s="14">
        <f>22.4012 * CHOOSE(CONTROL!$C$9, $D$9, 100%, $F$9) + CHOOSE(CONTROL!$C$27, 0.0021, 0)</f>
        <v>22.403299999999998</v>
      </c>
      <c r="D43" s="14">
        <f>22.4012 * CHOOSE(CONTROL!$C$9, $D$9, 100%, $F$9) + CHOOSE(CONTROL!$C$27, 0.0021, 0)</f>
        <v>22.403299999999998</v>
      </c>
      <c r="E43" s="14">
        <f>22.2645 * CHOOSE(CONTROL!$C$9, $D$9, 100%, $F$9) + CHOOSE(CONTROL!$C$27, 0.0021, 0)</f>
        <v>22.2666</v>
      </c>
      <c r="F43" s="14">
        <f>22.2645 * CHOOSE(CONTROL!$C$9, $D$9, 100%, $F$9) + CHOOSE(CONTROL!$C$27, 0.0021, 0)</f>
        <v>22.2666</v>
      </c>
      <c r="G43" s="14">
        <f>22.5359 * CHOOSE(CONTROL!$C$9, $D$9, 100%, $F$9) + CHOOSE(CONTROL!$C$27, 0.0021, 0)</f>
        <v>22.538</v>
      </c>
      <c r="H43" s="14">
        <f>22.4012 * CHOOSE(CONTROL!$C$9, $D$9, 100%, $F$9) + CHOOSE(CONTROL!$C$27, 0.0021, 0)</f>
        <v>22.403299999999998</v>
      </c>
      <c r="I43" s="14">
        <f>22.4012 * CHOOSE(CONTROL!$C$9, $D$9, 100%, $F$9) + CHOOSE(CONTROL!$C$27, 0.0021, 0)</f>
        <v>22.403299999999998</v>
      </c>
      <c r="J43" s="14">
        <f>22.4012 * CHOOSE(CONTROL!$C$9, $D$9, 100%, $F$9) + CHOOSE(CONTROL!$C$27, 0.0021, 0)</f>
        <v>22.403299999999998</v>
      </c>
      <c r="K43" s="14">
        <f>22.4012 * CHOOSE(CONTROL!$C$9, $D$9, 100%, $F$9) + CHOOSE(CONTROL!$C$27, 0.0021, 0)</f>
        <v>22.403299999999998</v>
      </c>
      <c r="L43" s="14"/>
      <c r="M43" s="35"/>
      <c r="N43" s="35"/>
      <c r="O43" s="35"/>
      <c r="P43" s="35"/>
      <c r="Q43" s="35"/>
    </row>
    <row r="44" spans="1:17" ht="15" x14ac:dyDescent="0.2">
      <c r="A44" s="13">
        <v>42248</v>
      </c>
      <c r="B44" s="14">
        <f>22.8118 * CHOOSE(CONTROL!$C$9, $D$9, 100%, $F$9) + CHOOSE(CONTROL!$C$27, 0.0021, 0)</f>
        <v>22.8139</v>
      </c>
      <c r="C44" s="14">
        <f>22.3796 * CHOOSE(CONTROL!$C$9, $D$9, 100%, $F$9) + CHOOSE(CONTROL!$C$27, 0.0021, 0)</f>
        <v>22.381699999999999</v>
      </c>
      <c r="D44" s="14">
        <f>22.3796 * CHOOSE(CONTROL!$C$9, $D$9, 100%, $F$9) + CHOOSE(CONTROL!$C$27, 0.0021, 0)</f>
        <v>22.381699999999999</v>
      </c>
      <c r="E44" s="14">
        <f>22.2429 * CHOOSE(CONTROL!$C$9, $D$9, 100%, $F$9) + CHOOSE(CONTROL!$C$27, 0.0021, 0)</f>
        <v>22.244999999999997</v>
      </c>
      <c r="F44" s="14">
        <f>22.2429 * CHOOSE(CONTROL!$C$9, $D$9, 100%, $F$9) + CHOOSE(CONTROL!$C$27, 0.0021, 0)</f>
        <v>22.244999999999997</v>
      </c>
      <c r="G44" s="14">
        <f>22.5143 * CHOOSE(CONTROL!$C$9, $D$9, 100%, $F$9) + CHOOSE(CONTROL!$C$27, 0.0021, 0)</f>
        <v>22.516399999999997</v>
      </c>
      <c r="H44" s="14">
        <f>22.3796 * CHOOSE(CONTROL!$C$9, $D$9, 100%, $F$9) + CHOOSE(CONTROL!$C$27, 0.0021, 0)</f>
        <v>22.381699999999999</v>
      </c>
      <c r="I44" s="14">
        <f>22.3796 * CHOOSE(CONTROL!$C$9, $D$9, 100%, $F$9) + CHOOSE(CONTROL!$C$27, 0.0021, 0)</f>
        <v>22.381699999999999</v>
      </c>
      <c r="J44" s="14">
        <f>22.3796 * CHOOSE(CONTROL!$C$9, $D$9, 100%, $F$9) + CHOOSE(CONTROL!$C$27, 0.0021, 0)</f>
        <v>22.381699999999999</v>
      </c>
      <c r="K44" s="14">
        <f>22.3796 * CHOOSE(CONTROL!$C$9, $D$9, 100%, $F$9) + CHOOSE(CONTROL!$C$27, 0.0021, 0)</f>
        <v>22.381699999999999</v>
      </c>
      <c r="L44" s="14"/>
      <c r="M44" s="35"/>
      <c r="N44" s="35"/>
      <c r="O44" s="35"/>
      <c r="P44" s="35"/>
      <c r="Q44" s="35"/>
    </row>
    <row r="45" spans="1:17" ht="15" x14ac:dyDescent="0.2">
      <c r="A45" s="13">
        <v>42278</v>
      </c>
      <c r="B45" s="14">
        <f>22.7902 * CHOOSE(CONTROL!$C$9, $D$9, 100%, $F$9) + CHOOSE(CONTROL!$C$27, 0.0021, 0)</f>
        <v>22.792299999999997</v>
      </c>
      <c r="C45" s="14">
        <f>22.358 * CHOOSE(CONTROL!$C$9, $D$9, 100%, $F$9) + CHOOSE(CONTROL!$C$27, 0.0021, 0)</f>
        <v>22.360099999999999</v>
      </c>
      <c r="D45" s="14">
        <f>22.358 * CHOOSE(CONTROL!$C$9, $D$9, 100%, $F$9) + CHOOSE(CONTROL!$C$27, 0.0021, 0)</f>
        <v>22.360099999999999</v>
      </c>
      <c r="E45" s="14">
        <f>22.2213 * CHOOSE(CONTROL!$C$9, $D$9, 100%, $F$9) + CHOOSE(CONTROL!$C$27, 0.0021, 0)</f>
        <v>22.223399999999998</v>
      </c>
      <c r="F45" s="14">
        <f>22.2213 * CHOOSE(CONTROL!$C$9, $D$9, 100%, $F$9) + CHOOSE(CONTROL!$C$27, 0.0021, 0)</f>
        <v>22.223399999999998</v>
      </c>
      <c r="G45" s="14">
        <f>22.4927 * CHOOSE(CONTROL!$C$9, $D$9, 100%, $F$9) + CHOOSE(CONTROL!$C$27, 0.0021, 0)</f>
        <v>22.494799999999998</v>
      </c>
      <c r="H45" s="14">
        <f>22.358 * CHOOSE(CONTROL!$C$9, $D$9, 100%, $F$9) + CHOOSE(CONTROL!$C$27, 0.0021, 0)</f>
        <v>22.360099999999999</v>
      </c>
      <c r="I45" s="14">
        <f>22.358 * CHOOSE(CONTROL!$C$9, $D$9, 100%, $F$9) + CHOOSE(CONTROL!$C$27, 0.0021, 0)</f>
        <v>22.360099999999999</v>
      </c>
      <c r="J45" s="14">
        <f>22.358 * CHOOSE(CONTROL!$C$9, $D$9, 100%, $F$9) + CHOOSE(CONTROL!$C$27, 0.0021, 0)</f>
        <v>22.360099999999999</v>
      </c>
      <c r="K45" s="14">
        <f>22.358 * CHOOSE(CONTROL!$C$9, $D$9, 100%, $F$9) + CHOOSE(CONTROL!$C$27, 0.0021, 0)</f>
        <v>22.360099999999999</v>
      </c>
      <c r="L45" s="14"/>
      <c r="M45" s="35"/>
      <c r="N45" s="35"/>
      <c r="O45" s="35"/>
      <c r="P45" s="35"/>
      <c r="Q45" s="35"/>
    </row>
    <row r="46" spans="1:17" ht="15" x14ac:dyDescent="0.2">
      <c r="A46" s="13">
        <v>42309</v>
      </c>
      <c r="B46" s="14">
        <f>22.7722 * CHOOSE(CONTROL!$C$9, $D$9, 100%, $F$9) + CHOOSE(CONTROL!$C$27, 0.0021, 0)</f>
        <v>22.7743</v>
      </c>
      <c r="C46" s="14">
        <f>22.34 * CHOOSE(CONTROL!$C$9, $D$9, 100%, $F$9) + CHOOSE(CONTROL!$C$27, 0.0021, 0)</f>
        <v>22.342099999999999</v>
      </c>
      <c r="D46" s="14">
        <f>22.34 * CHOOSE(CONTROL!$C$9, $D$9, 100%, $F$9) + CHOOSE(CONTROL!$C$27, 0.0021, 0)</f>
        <v>22.342099999999999</v>
      </c>
      <c r="E46" s="14">
        <f>22.2033 * CHOOSE(CONTROL!$C$9, $D$9, 100%, $F$9) + CHOOSE(CONTROL!$C$27, 0.0021, 0)</f>
        <v>22.205399999999997</v>
      </c>
      <c r="F46" s="14">
        <f>22.2033 * CHOOSE(CONTROL!$C$9, $D$9, 100%, $F$9) + CHOOSE(CONTROL!$C$27, 0.0021, 0)</f>
        <v>22.205399999999997</v>
      </c>
      <c r="G46" s="14">
        <f>22.4747 * CHOOSE(CONTROL!$C$9, $D$9, 100%, $F$9) + CHOOSE(CONTROL!$C$27, 0.0021, 0)</f>
        <v>22.476799999999997</v>
      </c>
      <c r="H46" s="14">
        <f>22.34 * CHOOSE(CONTROL!$C$9, $D$9, 100%, $F$9) + CHOOSE(CONTROL!$C$27, 0.0021, 0)</f>
        <v>22.342099999999999</v>
      </c>
      <c r="I46" s="14">
        <f>22.34 * CHOOSE(CONTROL!$C$9, $D$9, 100%, $F$9) + CHOOSE(CONTROL!$C$27, 0.0021, 0)</f>
        <v>22.342099999999999</v>
      </c>
      <c r="J46" s="14">
        <f>22.34 * CHOOSE(CONTROL!$C$9, $D$9, 100%, $F$9) + CHOOSE(CONTROL!$C$27, 0.0021, 0)</f>
        <v>22.342099999999999</v>
      </c>
      <c r="K46" s="14">
        <f>22.34 * CHOOSE(CONTROL!$C$9, $D$9, 100%, $F$9) + CHOOSE(CONTROL!$C$27, 0.0021, 0)</f>
        <v>22.342099999999999</v>
      </c>
      <c r="L46" s="14"/>
      <c r="M46" s="35"/>
      <c r="N46" s="35"/>
      <c r="O46" s="35"/>
      <c r="P46" s="35"/>
      <c r="Q46" s="35"/>
    </row>
    <row r="47" spans="1:17" ht="15" x14ac:dyDescent="0.2">
      <c r="A47" s="13">
        <v>42339</v>
      </c>
      <c r="B47" s="14">
        <f>22.7542 * CHOOSE(CONTROL!$C$9, $D$9, 100%, $F$9) + CHOOSE(CONTROL!$C$27, 0.0021, 0)</f>
        <v>22.7563</v>
      </c>
      <c r="C47" s="14">
        <f>22.322 * CHOOSE(CONTROL!$C$9, $D$9, 100%, $F$9) + CHOOSE(CONTROL!$C$27, 0.0021, 0)</f>
        <v>22.324099999999998</v>
      </c>
      <c r="D47" s="14">
        <f>22.322 * CHOOSE(CONTROL!$C$9, $D$9, 100%, $F$9) + CHOOSE(CONTROL!$C$27, 0.0021, 0)</f>
        <v>22.324099999999998</v>
      </c>
      <c r="E47" s="14">
        <f>22.1853 * CHOOSE(CONTROL!$C$9, $D$9, 100%, $F$9) + CHOOSE(CONTROL!$C$27, 0.0021, 0)</f>
        <v>22.1874</v>
      </c>
      <c r="F47" s="14">
        <f>22.1853 * CHOOSE(CONTROL!$C$9, $D$9, 100%, $F$9) + CHOOSE(CONTROL!$C$27, 0.0021, 0)</f>
        <v>22.1874</v>
      </c>
      <c r="G47" s="14">
        <f>22.4567 * CHOOSE(CONTROL!$C$9, $D$9, 100%, $F$9) + CHOOSE(CONTROL!$C$27, 0.0021, 0)</f>
        <v>22.4588</v>
      </c>
      <c r="H47" s="14">
        <f>22.322 * CHOOSE(CONTROL!$C$9, $D$9, 100%, $F$9) + CHOOSE(CONTROL!$C$27, 0.0021, 0)</f>
        <v>22.324099999999998</v>
      </c>
      <c r="I47" s="14">
        <f>22.322 * CHOOSE(CONTROL!$C$9, $D$9, 100%, $F$9) + CHOOSE(CONTROL!$C$27, 0.0021, 0)</f>
        <v>22.324099999999998</v>
      </c>
      <c r="J47" s="14">
        <f>22.322 * CHOOSE(CONTROL!$C$9, $D$9, 100%, $F$9) + CHOOSE(CONTROL!$C$27, 0.0021, 0)</f>
        <v>22.324099999999998</v>
      </c>
      <c r="K47" s="14">
        <f>22.322 * CHOOSE(CONTROL!$C$9, $D$9, 100%, $F$9) + CHOOSE(CONTROL!$C$27, 0.0021, 0)</f>
        <v>22.324099999999998</v>
      </c>
      <c r="L47" s="14"/>
      <c r="M47" s="35"/>
      <c r="N47" s="35"/>
      <c r="O47" s="35"/>
      <c r="P47" s="35"/>
      <c r="Q47" s="35"/>
    </row>
    <row r="48" spans="1:17" ht="15" x14ac:dyDescent="0.2">
      <c r="A48" s="13">
        <v>42370</v>
      </c>
      <c r="B48" s="14">
        <f>23.2352 * CHOOSE(CONTROL!$C$9, $D$9, 100%, $F$9) + CHOOSE(CONTROL!$C$27, 0.0021, 0)</f>
        <v>23.237299999999998</v>
      </c>
      <c r="C48" s="14">
        <f>22.8029 * CHOOSE(CONTROL!$C$9, $D$9, 100%, $F$9) + CHOOSE(CONTROL!$C$27, 0.0021, 0)</f>
        <v>22.805</v>
      </c>
      <c r="D48" s="14">
        <f>22.8029 * CHOOSE(CONTROL!$C$9, $D$9, 100%, $F$9) + CHOOSE(CONTROL!$C$27, 0.0021, 0)</f>
        <v>22.805</v>
      </c>
      <c r="E48" s="14">
        <f>22.6663 * CHOOSE(CONTROL!$C$9, $D$9, 100%, $F$9) + CHOOSE(CONTROL!$C$27, 0.0021, 0)</f>
        <v>22.668399999999998</v>
      </c>
      <c r="F48" s="14">
        <f>22.6663 * CHOOSE(CONTROL!$C$9, $D$9, 100%, $F$9) + CHOOSE(CONTROL!$C$27, 0.0021, 0)</f>
        <v>22.668399999999998</v>
      </c>
      <c r="G48" s="14">
        <f>22.9376 * CHOOSE(CONTROL!$C$9, $D$9, 100%, $F$9) + CHOOSE(CONTROL!$C$27, 0.0021, 0)</f>
        <v>22.939699999999998</v>
      </c>
      <c r="H48" s="14">
        <f>22.8029 * CHOOSE(CONTROL!$C$9, $D$9, 100%, $F$9) + CHOOSE(CONTROL!$C$27, 0.0021, 0)</f>
        <v>22.805</v>
      </c>
      <c r="I48" s="14">
        <f>22.8029 * CHOOSE(CONTROL!$C$9, $D$9, 100%, $F$9) + CHOOSE(CONTROL!$C$27, 0.0021, 0)</f>
        <v>22.805</v>
      </c>
      <c r="J48" s="14">
        <f>22.8029 * CHOOSE(CONTROL!$C$9, $D$9, 100%, $F$9) + CHOOSE(CONTROL!$C$27, 0.0021, 0)</f>
        <v>22.805</v>
      </c>
      <c r="K48" s="14">
        <f>22.8029 * CHOOSE(CONTROL!$C$9, $D$9, 100%, $F$9) + CHOOSE(CONTROL!$C$27, 0.0021, 0)</f>
        <v>22.805</v>
      </c>
      <c r="L48" s="14"/>
    </row>
    <row r="49" spans="1:12" ht="15" x14ac:dyDescent="0.2">
      <c r="A49" s="13">
        <v>42401</v>
      </c>
      <c r="B49" s="14">
        <f>22.6847 * CHOOSE(CONTROL!$C$9, $D$9, 100%, $F$9) + CHOOSE(CONTROL!$C$27, 0.0021, 0)</f>
        <v>22.686799999999998</v>
      </c>
      <c r="C49" s="14">
        <f>22.2525 * CHOOSE(CONTROL!$C$9, $D$9, 100%, $F$9) + CHOOSE(CONTROL!$C$27, 0.0021, 0)</f>
        <v>22.2546</v>
      </c>
      <c r="D49" s="14">
        <f>22.2525 * CHOOSE(CONTROL!$C$9, $D$9, 100%, $F$9) + CHOOSE(CONTROL!$C$27, 0.0021, 0)</f>
        <v>22.2546</v>
      </c>
      <c r="E49" s="14">
        <f>22.1158 * CHOOSE(CONTROL!$C$9, $D$9, 100%, $F$9) + CHOOSE(CONTROL!$C$27, 0.0021, 0)</f>
        <v>22.117899999999999</v>
      </c>
      <c r="F49" s="14">
        <f>22.1158 * CHOOSE(CONTROL!$C$9, $D$9, 100%, $F$9) + CHOOSE(CONTROL!$C$27, 0.0021, 0)</f>
        <v>22.117899999999999</v>
      </c>
      <c r="G49" s="14">
        <f>22.3872 * CHOOSE(CONTROL!$C$9, $D$9, 100%, $F$9) + CHOOSE(CONTROL!$C$27, 0.0021, 0)</f>
        <v>22.389299999999999</v>
      </c>
      <c r="H49" s="14">
        <f>22.2525 * CHOOSE(CONTROL!$C$9, $D$9, 100%, $F$9) + CHOOSE(CONTROL!$C$27, 0.0021, 0)</f>
        <v>22.2546</v>
      </c>
      <c r="I49" s="14">
        <f>22.2525 * CHOOSE(CONTROL!$C$9, $D$9, 100%, $F$9) + CHOOSE(CONTROL!$C$27, 0.0021, 0)</f>
        <v>22.2546</v>
      </c>
      <c r="J49" s="14">
        <f>22.2525 * CHOOSE(CONTROL!$C$9, $D$9, 100%, $F$9) + CHOOSE(CONTROL!$C$27, 0.0021, 0)</f>
        <v>22.2546</v>
      </c>
      <c r="K49" s="14">
        <f>22.2525 * CHOOSE(CONTROL!$C$9, $D$9, 100%, $F$9) + CHOOSE(CONTROL!$C$27, 0.0021, 0)</f>
        <v>22.2546</v>
      </c>
      <c r="L49" s="14"/>
    </row>
    <row r="50" spans="1:12" ht="15" x14ac:dyDescent="0.2">
      <c r="A50" s="13">
        <v>42430</v>
      </c>
      <c r="B50" s="14">
        <f>22.4812 * CHOOSE(CONTROL!$C$9, $D$9, 100%, $F$9) + CHOOSE(CONTROL!$C$27, 0.0021, 0)</f>
        <v>22.4833</v>
      </c>
      <c r="C50" s="14">
        <f>22.0489 * CHOOSE(CONTROL!$C$9, $D$9, 100%, $F$9) + CHOOSE(CONTROL!$C$27, 0.0021, 0)</f>
        <v>22.050999999999998</v>
      </c>
      <c r="D50" s="14">
        <f>22.0489 * CHOOSE(CONTROL!$C$9, $D$9, 100%, $F$9) + CHOOSE(CONTROL!$C$27, 0.0021, 0)</f>
        <v>22.050999999999998</v>
      </c>
      <c r="E50" s="14">
        <f>21.9123 * CHOOSE(CONTROL!$C$9, $D$9, 100%, $F$9) + CHOOSE(CONTROL!$C$27, 0.0021, 0)</f>
        <v>21.914399999999997</v>
      </c>
      <c r="F50" s="14">
        <f>21.9123 * CHOOSE(CONTROL!$C$9, $D$9, 100%, $F$9) + CHOOSE(CONTROL!$C$27, 0.0021, 0)</f>
        <v>21.914399999999997</v>
      </c>
      <c r="G50" s="14">
        <f>22.1836 * CHOOSE(CONTROL!$C$9, $D$9, 100%, $F$9) + CHOOSE(CONTROL!$C$27, 0.0021, 0)</f>
        <v>22.185699999999997</v>
      </c>
      <c r="H50" s="14">
        <f>22.0489 * CHOOSE(CONTROL!$C$9, $D$9, 100%, $F$9) + CHOOSE(CONTROL!$C$27, 0.0021, 0)</f>
        <v>22.050999999999998</v>
      </c>
      <c r="I50" s="14">
        <f>22.0489 * CHOOSE(CONTROL!$C$9, $D$9, 100%, $F$9) + CHOOSE(CONTROL!$C$27, 0.0021, 0)</f>
        <v>22.050999999999998</v>
      </c>
      <c r="J50" s="14">
        <f>22.0489 * CHOOSE(CONTROL!$C$9, $D$9, 100%, $F$9) + CHOOSE(CONTROL!$C$27, 0.0021, 0)</f>
        <v>22.050999999999998</v>
      </c>
      <c r="K50" s="14">
        <f>22.0489 * CHOOSE(CONTROL!$C$9, $D$9, 100%, $F$9) + CHOOSE(CONTROL!$C$27, 0.0021, 0)</f>
        <v>22.050999999999998</v>
      </c>
      <c r="L50" s="14"/>
    </row>
    <row r="51" spans="1:12" ht="15" x14ac:dyDescent="0.2">
      <c r="A51" s="13">
        <v>42461</v>
      </c>
      <c r="B51" s="14">
        <f>22.229 * CHOOSE(CONTROL!$C$9, $D$9, 100%, $F$9) + CHOOSE(CONTROL!$C$27, 0.0021, 0)</f>
        <v>22.231099999999998</v>
      </c>
      <c r="C51" s="14">
        <f>21.7967 * CHOOSE(CONTROL!$C$9, $D$9, 100%, $F$9) + CHOOSE(CONTROL!$C$27, 0.0021, 0)</f>
        <v>21.7988</v>
      </c>
      <c r="D51" s="14">
        <f>21.7967 * CHOOSE(CONTROL!$C$9, $D$9, 100%, $F$9) + CHOOSE(CONTROL!$C$27, 0.0021, 0)</f>
        <v>21.7988</v>
      </c>
      <c r="E51" s="14">
        <f>21.6601 * CHOOSE(CONTROL!$C$9, $D$9, 100%, $F$9) + CHOOSE(CONTROL!$C$27, 0.0021, 0)</f>
        <v>21.662199999999999</v>
      </c>
      <c r="F51" s="14">
        <f>21.6601 * CHOOSE(CONTROL!$C$9, $D$9, 100%, $F$9) + CHOOSE(CONTROL!$C$27, 0.0021, 0)</f>
        <v>21.662199999999999</v>
      </c>
      <c r="G51" s="14">
        <f>21.9315 * CHOOSE(CONTROL!$C$9, $D$9, 100%, $F$9) + CHOOSE(CONTROL!$C$27, 0.0021, 0)</f>
        <v>21.933599999999998</v>
      </c>
      <c r="H51" s="14">
        <f>21.7967 * CHOOSE(CONTROL!$C$9, $D$9, 100%, $F$9) + CHOOSE(CONTROL!$C$27, 0.0021, 0)</f>
        <v>21.7988</v>
      </c>
      <c r="I51" s="14">
        <f>21.7967 * CHOOSE(CONTROL!$C$9, $D$9, 100%, $F$9) + CHOOSE(CONTROL!$C$27, 0.0021, 0)</f>
        <v>21.7988</v>
      </c>
      <c r="J51" s="14">
        <f>21.7967 * CHOOSE(CONTROL!$C$9, $D$9, 100%, $F$9) + CHOOSE(CONTROL!$C$27, 0.0021, 0)</f>
        <v>21.7988</v>
      </c>
      <c r="K51" s="14">
        <f>21.7967 * CHOOSE(CONTROL!$C$9, $D$9, 100%, $F$9) + CHOOSE(CONTROL!$C$27, 0.0021, 0)</f>
        <v>21.7988</v>
      </c>
      <c r="L51" s="14"/>
    </row>
    <row r="52" spans="1:12" ht="15" x14ac:dyDescent="0.2">
      <c r="A52" s="13">
        <v>42491</v>
      </c>
      <c r="B52" s="14">
        <f>22.6896 * CHOOSE(CONTROL!$C$9, $D$9, 100%, $F$9) + CHOOSE(CONTROL!$C$27, 0.0021, 0)</f>
        <v>22.691699999999997</v>
      </c>
      <c r="C52" s="14">
        <f>22.2573 * CHOOSE(CONTROL!$C$9, $D$9, 100%, $F$9) + CHOOSE(CONTROL!$C$27, 0.0021, 0)</f>
        <v>22.259399999999999</v>
      </c>
      <c r="D52" s="14">
        <f>22.2573 * CHOOSE(CONTROL!$C$9, $D$9, 100%, $F$9) + CHOOSE(CONTROL!$C$27, 0.0021, 0)</f>
        <v>22.259399999999999</v>
      </c>
      <c r="E52" s="14">
        <f>22.1207 * CHOOSE(CONTROL!$C$9, $D$9, 100%, $F$9) + CHOOSE(CONTROL!$C$27, 0.0021, 0)</f>
        <v>22.122799999999998</v>
      </c>
      <c r="F52" s="14">
        <f>22.1207 * CHOOSE(CONTROL!$C$9, $D$9, 100%, $F$9) + CHOOSE(CONTROL!$C$27, 0.0021, 0)</f>
        <v>22.122799999999998</v>
      </c>
      <c r="G52" s="14">
        <f>22.3921 * CHOOSE(CONTROL!$C$9, $D$9, 100%, $F$9) + CHOOSE(CONTROL!$C$27, 0.0021, 0)</f>
        <v>22.394199999999998</v>
      </c>
      <c r="H52" s="14">
        <f>22.2573 * CHOOSE(CONTROL!$C$9, $D$9, 100%, $F$9) + CHOOSE(CONTROL!$C$27, 0.0021, 0)</f>
        <v>22.259399999999999</v>
      </c>
      <c r="I52" s="14">
        <f>22.2573 * CHOOSE(CONTROL!$C$9, $D$9, 100%, $F$9) + CHOOSE(CONTROL!$C$27, 0.0021, 0)</f>
        <v>22.259399999999999</v>
      </c>
      <c r="J52" s="14">
        <f>22.2573 * CHOOSE(CONTROL!$C$9, $D$9, 100%, $F$9) + CHOOSE(CONTROL!$C$27, 0.0021, 0)</f>
        <v>22.259399999999999</v>
      </c>
      <c r="K52" s="14">
        <f>22.2573 * CHOOSE(CONTROL!$C$9, $D$9, 100%, $F$9) + CHOOSE(CONTROL!$C$27, 0.0021, 0)</f>
        <v>22.259399999999999</v>
      </c>
      <c r="L52" s="14"/>
    </row>
    <row r="53" spans="1:12" ht="15" x14ac:dyDescent="0.2">
      <c r="A53" s="13">
        <v>42522</v>
      </c>
      <c r="B53" s="14">
        <f>22.9834 * CHOOSE(CONTROL!$C$9, $D$9, 100%, $F$9) + CHOOSE(CONTROL!$C$27, 0.0021, 0)</f>
        <v>22.985499999999998</v>
      </c>
      <c r="C53" s="14">
        <f>22.5512 * CHOOSE(CONTROL!$C$9, $D$9, 100%, $F$9) + CHOOSE(CONTROL!$C$27, 0.0021, 0)</f>
        <v>22.5533</v>
      </c>
      <c r="D53" s="14">
        <f>22.5512 * CHOOSE(CONTROL!$C$9, $D$9, 100%, $F$9) + CHOOSE(CONTROL!$C$27, 0.0021, 0)</f>
        <v>22.5533</v>
      </c>
      <c r="E53" s="14">
        <f>22.4145 * CHOOSE(CONTROL!$C$9, $D$9, 100%, $F$9) + CHOOSE(CONTROL!$C$27, 0.0021, 0)</f>
        <v>22.416599999999999</v>
      </c>
      <c r="F53" s="14">
        <f>22.4145 * CHOOSE(CONTROL!$C$9, $D$9, 100%, $F$9) + CHOOSE(CONTROL!$C$27, 0.0021, 0)</f>
        <v>22.416599999999999</v>
      </c>
      <c r="G53" s="14">
        <f>22.6859 * CHOOSE(CONTROL!$C$9, $D$9, 100%, $F$9) + CHOOSE(CONTROL!$C$27, 0.0021, 0)</f>
        <v>22.687999999999999</v>
      </c>
      <c r="H53" s="14">
        <f>22.5512 * CHOOSE(CONTROL!$C$9, $D$9, 100%, $F$9) + CHOOSE(CONTROL!$C$27, 0.0021, 0)</f>
        <v>22.5533</v>
      </c>
      <c r="I53" s="14">
        <f>22.5512 * CHOOSE(CONTROL!$C$9, $D$9, 100%, $F$9) + CHOOSE(CONTROL!$C$27, 0.0021, 0)</f>
        <v>22.5533</v>
      </c>
      <c r="J53" s="14">
        <f>22.5512 * CHOOSE(CONTROL!$C$9, $D$9, 100%, $F$9) + CHOOSE(CONTROL!$C$27, 0.0021, 0)</f>
        <v>22.5533</v>
      </c>
      <c r="K53" s="14">
        <f>22.5512 * CHOOSE(CONTROL!$C$9, $D$9, 100%, $F$9) + CHOOSE(CONTROL!$C$27, 0.0021, 0)</f>
        <v>22.5533</v>
      </c>
      <c r="L53" s="14"/>
    </row>
    <row r="54" spans="1:12" ht="15" x14ac:dyDescent="0.2">
      <c r="A54" s="13">
        <v>42552</v>
      </c>
      <c r="B54" s="14">
        <f>23.4423 * CHOOSE(CONTROL!$C$9, $D$9, 100%, $F$9) + CHOOSE(CONTROL!$C$27, 0.0021, 0)</f>
        <v>23.444399999999998</v>
      </c>
      <c r="C54" s="14">
        <f>23.01 * CHOOSE(CONTROL!$C$9, $D$9, 100%, $F$9) + CHOOSE(CONTROL!$C$27, 0.0021, 0)</f>
        <v>23.0121</v>
      </c>
      <c r="D54" s="14">
        <f>23.01 * CHOOSE(CONTROL!$C$9, $D$9, 100%, $F$9) + CHOOSE(CONTROL!$C$27, 0.0021, 0)</f>
        <v>23.0121</v>
      </c>
      <c r="E54" s="14">
        <f>22.8734 * CHOOSE(CONTROL!$C$9, $D$9, 100%, $F$9) + CHOOSE(CONTROL!$C$27, 0.0021, 0)</f>
        <v>22.875499999999999</v>
      </c>
      <c r="F54" s="14">
        <f>22.8734 * CHOOSE(CONTROL!$C$9, $D$9, 100%, $F$9) + CHOOSE(CONTROL!$C$27, 0.0021, 0)</f>
        <v>22.875499999999999</v>
      </c>
      <c r="G54" s="14">
        <f>23.1447 * CHOOSE(CONTROL!$C$9, $D$9, 100%, $F$9) + CHOOSE(CONTROL!$C$27, 0.0021, 0)</f>
        <v>23.146799999999999</v>
      </c>
      <c r="H54" s="14">
        <f>23.01 * CHOOSE(CONTROL!$C$9, $D$9, 100%, $F$9) + CHOOSE(CONTROL!$C$27, 0.0021, 0)</f>
        <v>23.0121</v>
      </c>
      <c r="I54" s="14">
        <f>23.01 * CHOOSE(CONTROL!$C$9, $D$9, 100%, $F$9) + CHOOSE(CONTROL!$C$27, 0.0021, 0)</f>
        <v>23.0121</v>
      </c>
      <c r="J54" s="14">
        <f>23.01 * CHOOSE(CONTROL!$C$9, $D$9, 100%, $F$9) + CHOOSE(CONTROL!$C$27, 0.0021, 0)</f>
        <v>23.0121</v>
      </c>
      <c r="K54" s="14">
        <f>23.01 * CHOOSE(CONTROL!$C$9, $D$9, 100%, $F$9) + CHOOSE(CONTROL!$C$27, 0.0021, 0)</f>
        <v>23.0121</v>
      </c>
      <c r="L54" s="14"/>
    </row>
    <row r="55" spans="1:12" ht="15" x14ac:dyDescent="0.2">
      <c r="A55" s="13">
        <v>42583</v>
      </c>
      <c r="B55" s="14">
        <f>23.6131 * CHOOSE(CONTROL!$C$9, $D$9, 100%, $F$9) + CHOOSE(CONTROL!$C$27, 0.0021, 0)</f>
        <v>23.615199999999998</v>
      </c>
      <c r="C55" s="14">
        <f>23.1809 * CHOOSE(CONTROL!$C$9, $D$9, 100%, $F$9) + CHOOSE(CONTROL!$C$27, 0.0021, 0)</f>
        <v>23.183</v>
      </c>
      <c r="D55" s="14">
        <f>23.1809 * CHOOSE(CONTROL!$C$9, $D$9, 100%, $F$9) + CHOOSE(CONTROL!$C$27, 0.0021, 0)</f>
        <v>23.183</v>
      </c>
      <c r="E55" s="14">
        <f>23.0442 * CHOOSE(CONTROL!$C$9, $D$9, 100%, $F$9) + CHOOSE(CONTROL!$C$27, 0.0021, 0)</f>
        <v>23.046299999999999</v>
      </c>
      <c r="F55" s="14">
        <f>23.0442 * CHOOSE(CONTROL!$C$9, $D$9, 100%, $F$9) + CHOOSE(CONTROL!$C$27, 0.0021, 0)</f>
        <v>23.046299999999999</v>
      </c>
      <c r="G55" s="14">
        <f>23.3156 * CHOOSE(CONTROL!$C$9, $D$9, 100%, $F$9) + CHOOSE(CONTROL!$C$27, 0.0021, 0)</f>
        <v>23.317699999999999</v>
      </c>
      <c r="H55" s="14">
        <f>23.1809 * CHOOSE(CONTROL!$C$9, $D$9, 100%, $F$9) + CHOOSE(CONTROL!$C$27, 0.0021, 0)</f>
        <v>23.183</v>
      </c>
      <c r="I55" s="14">
        <f>23.1809 * CHOOSE(CONTROL!$C$9, $D$9, 100%, $F$9) + CHOOSE(CONTROL!$C$27, 0.0021, 0)</f>
        <v>23.183</v>
      </c>
      <c r="J55" s="14">
        <f>23.1809 * CHOOSE(CONTROL!$C$9, $D$9, 100%, $F$9) + CHOOSE(CONTROL!$C$27, 0.0021, 0)</f>
        <v>23.183</v>
      </c>
      <c r="K55" s="14">
        <f>23.1809 * CHOOSE(CONTROL!$C$9, $D$9, 100%, $F$9) + CHOOSE(CONTROL!$C$27, 0.0021, 0)</f>
        <v>23.183</v>
      </c>
      <c r="L55" s="14"/>
    </row>
    <row r="56" spans="1:12" ht="15" x14ac:dyDescent="0.2">
      <c r="A56" s="13">
        <v>42614</v>
      </c>
      <c r="B56" s="14">
        <f>24.0915 * CHOOSE(CONTROL!$C$9, $D$9, 100%, $F$9) + CHOOSE(CONTROL!$C$27, 0.0021, 0)</f>
        <v>24.093599999999999</v>
      </c>
      <c r="C56" s="14">
        <f>23.6593 * CHOOSE(CONTROL!$C$9, $D$9, 100%, $F$9) + CHOOSE(CONTROL!$C$27, 0.0021, 0)</f>
        <v>23.6614</v>
      </c>
      <c r="D56" s="14">
        <f>23.6593 * CHOOSE(CONTROL!$C$9, $D$9, 100%, $F$9) + CHOOSE(CONTROL!$C$27, 0.0021, 0)</f>
        <v>23.6614</v>
      </c>
      <c r="E56" s="14">
        <f>23.5226 * CHOOSE(CONTROL!$C$9, $D$9, 100%, $F$9) + CHOOSE(CONTROL!$C$27, 0.0021, 0)</f>
        <v>23.524699999999999</v>
      </c>
      <c r="F56" s="14">
        <f>23.5226 * CHOOSE(CONTROL!$C$9, $D$9, 100%, $F$9) + CHOOSE(CONTROL!$C$27, 0.0021, 0)</f>
        <v>23.524699999999999</v>
      </c>
      <c r="G56" s="14">
        <f>23.794 * CHOOSE(CONTROL!$C$9, $D$9, 100%, $F$9) + CHOOSE(CONTROL!$C$27, 0.0021, 0)</f>
        <v>23.796099999999999</v>
      </c>
      <c r="H56" s="14">
        <f>23.6593 * CHOOSE(CONTROL!$C$9, $D$9, 100%, $F$9) + CHOOSE(CONTROL!$C$27, 0.0021, 0)</f>
        <v>23.6614</v>
      </c>
      <c r="I56" s="14">
        <f>23.6593 * CHOOSE(CONTROL!$C$9, $D$9, 100%, $F$9) + CHOOSE(CONTROL!$C$27, 0.0021, 0)</f>
        <v>23.6614</v>
      </c>
      <c r="J56" s="14">
        <f>23.6593 * CHOOSE(CONTROL!$C$9, $D$9, 100%, $F$9) + CHOOSE(CONTROL!$C$27, 0.0021, 0)</f>
        <v>23.6614</v>
      </c>
      <c r="K56" s="14">
        <f>23.6593 * CHOOSE(CONTROL!$C$9, $D$9, 100%, $F$9) + CHOOSE(CONTROL!$C$27, 0.0021, 0)</f>
        <v>23.6614</v>
      </c>
      <c r="L56" s="14"/>
    </row>
    <row r="57" spans="1:12" ht="15" x14ac:dyDescent="0.2">
      <c r="A57" s="13">
        <v>42644</v>
      </c>
      <c r="B57" s="14">
        <f>24.6875 * CHOOSE(CONTROL!$C$9, $D$9, 100%, $F$9) + CHOOSE(CONTROL!$C$27, 0.0021, 0)</f>
        <v>24.689599999999999</v>
      </c>
      <c r="C57" s="14">
        <f>24.2552 * CHOOSE(CONTROL!$C$9, $D$9, 100%, $F$9) + CHOOSE(CONTROL!$C$27, 0.0021, 0)</f>
        <v>24.257299999999997</v>
      </c>
      <c r="D57" s="14">
        <f>24.2552 * CHOOSE(CONTROL!$C$9, $D$9, 100%, $F$9) + CHOOSE(CONTROL!$C$27, 0.0021, 0)</f>
        <v>24.257299999999997</v>
      </c>
      <c r="E57" s="14">
        <f>24.1186 * CHOOSE(CONTROL!$C$9, $D$9, 100%, $F$9) + CHOOSE(CONTROL!$C$27, 0.0021, 0)</f>
        <v>24.120699999999999</v>
      </c>
      <c r="F57" s="14">
        <f>24.1186 * CHOOSE(CONTROL!$C$9, $D$9, 100%, $F$9) + CHOOSE(CONTROL!$C$27, 0.0021, 0)</f>
        <v>24.120699999999999</v>
      </c>
      <c r="G57" s="14">
        <f>24.39 * CHOOSE(CONTROL!$C$9, $D$9, 100%, $F$9) + CHOOSE(CONTROL!$C$27, 0.0021, 0)</f>
        <v>24.392099999999999</v>
      </c>
      <c r="H57" s="14">
        <f>24.2552 * CHOOSE(CONTROL!$C$9, $D$9, 100%, $F$9) + CHOOSE(CONTROL!$C$27, 0.0021, 0)</f>
        <v>24.257299999999997</v>
      </c>
      <c r="I57" s="14">
        <f>24.2552 * CHOOSE(CONTROL!$C$9, $D$9, 100%, $F$9) + CHOOSE(CONTROL!$C$27, 0.0021, 0)</f>
        <v>24.257299999999997</v>
      </c>
      <c r="J57" s="14">
        <f>24.2552 * CHOOSE(CONTROL!$C$9, $D$9, 100%, $F$9) + CHOOSE(CONTROL!$C$27, 0.0021, 0)</f>
        <v>24.257299999999997</v>
      </c>
      <c r="K57" s="14">
        <f>24.2552 * CHOOSE(CONTROL!$C$9, $D$9, 100%, $F$9) + CHOOSE(CONTROL!$C$27, 0.0021, 0)</f>
        <v>24.257299999999997</v>
      </c>
      <c r="L57" s="14"/>
    </row>
    <row r="58" spans="1:12" ht="15" x14ac:dyDescent="0.2">
      <c r="A58" s="13">
        <v>42675</v>
      </c>
      <c r="B58" s="14">
        <f>24.7855 * CHOOSE(CONTROL!$C$9, $D$9, 100%, $F$9) + CHOOSE(CONTROL!$C$27, 0.0021, 0)</f>
        <v>24.787599999999998</v>
      </c>
      <c r="C58" s="14">
        <f>24.3532 * CHOOSE(CONTROL!$C$9, $D$9, 100%, $F$9) + CHOOSE(CONTROL!$C$27, 0.0021, 0)</f>
        <v>24.3553</v>
      </c>
      <c r="D58" s="14">
        <f>24.3532 * CHOOSE(CONTROL!$C$9, $D$9, 100%, $F$9) + CHOOSE(CONTROL!$C$27, 0.0021, 0)</f>
        <v>24.3553</v>
      </c>
      <c r="E58" s="14">
        <f>24.2166 * CHOOSE(CONTROL!$C$9, $D$9, 100%, $F$9) + CHOOSE(CONTROL!$C$27, 0.0021, 0)</f>
        <v>24.218699999999998</v>
      </c>
      <c r="F58" s="14">
        <f>24.2166 * CHOOSE(CONTROL!$C$9, $D$9, 100%, $F$9) + CHOOSE(CONTROL!$C$27, 0.0021, 0)</f>
        <v>24.218699999999998</v>
      </c>
      <c r="G58" s="14">
        <f>24.4879 * CHOOSE(CONTROL!$C$9, $D$9, 100%, $F$9) + CHOOSE(CONTROL!$C$27, 0.0021, 0)</f>
        <v>24.49</v>
      </c>
      <c r="H58" s="14">
        <f>24.3532 * CHOOSE(CONTROL!$C$9, $D$9, 100%, $F$9) + CHOOSE(CONTROL!$C$27, 0.0021, 0)</f>
        <v>24.3553</v>
      </c>
      <c r="I58" s="14">
        <f>24.3532 * CHOOSE(CONTROL!$C$9, $D$9, 100%, $F$9) + CHOOSE(CONTROL!$C$27, 0.0021, 0)</f>
        <v>24.3553</v>
      </c>
      <c r="J58" s="14">
        <f>24.3532 * CHOOSE(CONTROL!$C$9, $D$9, 100%, $F$9) + CHOOSE(CONTROL!$C$27, 0.0021, 0)</f>
        <v>24.3553</v>
      </c>
      <c r="K58" s="14">
        <f>24.3532 * CHOOSE(CONTROL!$C$9, $D$9, 100%, $F$9) + CHOOSE(CONTROL!$C$27, 0.0021, 0)</f>
        <v>24.3553</v>
      </c>
      <c r="L58" s="14"/>
    </row>
    <row r="59" spans="1:12" ht="15" x14ac:dyDescent="0.2">
      <c r="A59" s="13">
        <v>42705</v>
      </c>
      <c r="B59" s="14">
        <f>24.3898 * CHOOSE(CONTROL!$C$9, $D$9, 100%, $F$9) + CHOOSE(CONTROL!$C$27, 0.0021, 0)</f>
        <v>24.3919</v>
      </c>
      <c r="C59" s="14">
        <f>23.9576 * CHOOSE(CONTROL!$C$9, $D$9, 100%, $F$9) + CHOOSE(CONTROL!$C$27, 0.0021, 0)</f>
        <v>23.959699999999998</v>
      </c>
      <c r="D59" s="14">
        <f>23.9576 * CHOOSE(CONTROL!$C$9, $D$9, 100%, $F$9) + CHOOSE(CONTROL!$C$27, 0.0021, 0)</f>
        <v>23.959699999999998</v>
      </c>
      <c r="E59" s="14">
        <f>23.8209 * CHOOSE(CONTROL!$C$9, $D$9, 100%, $F$9) + CHOOSE(CONTROL!$C$27, 0.0021, 0)</f>
        <v>23.823</v>
      </c>
      <c r="F59" s="14">
        <f>23.8209 * CHOOSE(CONTROL!$C$9, $D$9, 100%, $F$9) + CHOOSE(CONTROL!$C$27, 0.0021, 0)</f>
        <v>23.823</v>
      </c>
      <c r="G59" s="14">
        <f>24.0923 * CHOOSE(CONTROL!$C$9, $D$9, 100%, $F$9) + CHOOSE(CONTROL!$C$27, 0.0021, 0)</f>
        <v>24.0944</v>
      </c>
      <c r="H59" s="14">
        <f>23.9576 * CHOOSE(CONTROL!$C$9, $D$9, 100%, $F$9) + CHOOSE(CONTROL!$C$27, 0.0021, 0)</f>
        <v>23.959699999999998</v>
      </c>
      <c r="I59" s="14">
        <f>23.9576 * CHOOSE(CONTROL!$C$9, $D$9, 100%, $F$9) + CHOOSE(CONTROL!$C$27, 0.0021, 0)</f>
        <v>23.959699999999998</v>
      </c>
      <c r="J59" s="14">
        <f>23.9576 * CHOOSE(CONTROL!$C$9, $D$9, 100%, $F$9) + CHOOSE(CONTROL!$C$27, 0.0021, 0)</f>
        <v>23.959699999999998</v>
      </c>
      <c r="K59" s="14">
        <f>23.9576 * CHOOSE(CONTROL!$C$9, $D$9, 100%, $F$9) + CHOOSE(CONTROL!$C$27, 0.0021, 0)</f>
        <v>23.959699999999998</v>
      </c>
      <c r="L59" s="14"/>
    </row>
    <row r="60" spans="1:12" ht="15" x14ac:dyDescent="0.2">
      <c r="A60" s="13">
        <v>42736</v>
      </c>
      <c r="B60" s="14">
        <f>23.743 * CHOOSE(CONTROL!$C$9, $D$9, 100%, $F$9) + CHOOSE(CONTROL!$C$27, 0.0021, 0)</f>
        <v>23.745099999999997</v>
      </c>
      <c r="C60" s="14">
        <f>23.3107 * CHOOSE(CONTROL!$C$9, $D$9, 100%, $F$9) + CHOOSE(CONTROL!$C$27, 0.0021, 0)</f>
        <v>23.312799999999999</v>
      </c>
      <c r="D60" s="14">
        <f>23.3107 * CHOOSE(CONTROL!$C$9, $D$9, 100%, $F$9) + CHOOSE(CONTROL!$C$27, 0.0021, 0)</f>
        <v>23.312799999999999</v>
      </c>
      <c r="E60" s="14">
        <f>23.1741 * CHOOSE(CONTROL!$C$9, $D$9, 100%, $F$9) + CHOOSE(CONTROL!$C$27, 0.0021, 0)</f>
        <v>23.176199999999998</v>
      </c>
      <c r="F60" s="14">
        <f>23.1741 * CHOOSE(CONTROL!$C$9, $D$9, 100%, $F$9) + CHOOSE(CONTROL!$C$27, 0.0021, 0)</f>
        <v>23.176199999999998</v>
      </c>
      <c r="G60" s="14">
        <f>23.4455 * CHOOSE(CONTROL!$C$9, $D$9, 100%, $F$9) + CHOOSE(CONTROL!$C$27, 0.0021, 0)</f>
        <v>23.447599999999998</v>
      </c>
      <c r="H60" s="14">
        <f>23.3107 * CHOOSE(CONTROL!$C$9, $D$9, 100%, $F$9) + CHOOSE(CONTROL!$C$27, 0.0021, 0)</f>
        <v>23.312799999999999</v>
      </c>
      <c r="I60" s="14">
        <f>23.3107 * CHOOSE(CONTROL!$C$9, $D$9, 100%, $F$9) + CHOOSE(CONTROL!$C$27, 0.0021, 0)</f>
        <v>23.312799999999999</v>
      </c>
      <c r="J60" s="14">
        <f>23.3107 * CHOOSE(CONTROL!$C$9, $D$9, 100%, $F$9) + CHOOSE(CONTROL!$C$27, 0.0021, 0)</f>
        <v>23.312799999999999</v>
      </c>
      <c r="K60" s="14">
        <f>23.3107 * CHOOSE(CONTROL!$C$9, $D$9, 100%, $F$9) + CHOOSE(CONTROL!$C$27, 0.0021, 0)</f>
        <v>23.312799999999999</v>
      </c>
      <c r="L60" s="14"/>
    </row>
    <row r="61" spans="1:12" ht="15" x14ac:dyDescent="0.2">
      <c r="A61" s="13">
        <v>42767</v>
      </c>
      <c r="B61" s="14">
        <f>23.1792 * CHOOSE(CONTROL!$C$9, $D$9, 100%, $F$9) + CHOOSE(CONTROL!$C$27, 0.0021, 0)</f>
        <v>23.1813</v>
      </c>
      <c r="C61" s="14">
        <f>22.7469 * CHOOSE(CONTROL!$C$9, $D$9, 100%, $F$9) + CHOOSE(CONTROL!$C$27, 0.0021, 0)</f>
        <v>22.748999999999999</v>
      </c>
      <c r="D61" s="14">
        <f>22.7469 * CHOOSE(CONTROL!$C$9, $D$9, 100%, $F$9) + CHOOSE(CONTROL!$C$27, 0.0021, 0)</f>
        <v>22.748999999999999</v>
      </c>
      <c r="E61" s="14">
        <f>22.6103 * CHOOSE(CONTROL!$C$9, $D$9, 100%, $F$9) + CHOOSE(CONTROL!$C$27, 0.0021, 0)</f>
        <v>22.612399999999997</v>
      </c>
      <c r="F61" s="14">
        <f>22.6103 * CHOOSE(CONTROL!$C$9, $D$9, 100%, $F$9) + CHOOSE(CONTROL!$C$27, 0.0021, 0)</f>
        <v>22.612399999999997</v>
      </c>
      <c r="G61" s="14">
        <f>22.8816 * CHOOSE(CONTROL!$C$9, $D$9, 100%, $F$9) + CHOOSE(CONTROL!$C$27, 0.0021, 0)</f>
        <v>22.883699999999997</v>
      </c>
      <c r="H61" s="14">
        <f>22.7469 * CHOOSE(CONTROL!$C$9, $D$9, 100%, $F$9) + CHOOSE(CONTROL!$C$27, 0.0021, 0)</f>
        <v>22.748999999999999</v>
      </c>
      <c r="I61" s="14">
        <f>22.7469 * CHOOSE(CONTROL!$C$9, $D$9, 100%, $F$9) + CHOOSE(CONTROL!$C$27, 0.0021, 0)</f>
        <v>22.748999999999999</v>
      </c>
      <c r="J61" s="14">
        <f>22.7469 * CHOOSE(CONTROL!$C$9, $D$9, 100%, $F$9) + CHOOSE(CONTROL!$C$27, 0.0021, 0)</f>
        <v>22.748999999999999</v>
      </c>
      <c r="K61" s="14">
        <f>22.7469 * CHOOSE(CONTROL!$C$9, $D$9, 100%, $F$9) + CHOOSE(CONTROL!$C$27, 0.0021, 0)</f>
        <v>22.748999999999999</v>
      </c>
      <c r="L61" s="14"/>
    </row>
    <row r="62" spans="1:12" ht="15" x14ac:dyDescent="0.2">
      <c r="A62" s="13">
        <v>42795</v>
      </c>
      <c r="B62" s="14">
        <f>22.9707 * CHOOSE(CONTROL!$C$9, $D$9, 100%, $F$9) + CHOOSE(CONTROL!$C$27, 0.0021, 0)</f>
        <v>22.972799999999999</v>
      </c>
      <c r="C62" s="14">
        <f>22.5385 * CHOOSE(CONTROL!$C$9, $D$9, 100%, $F$9) + CHOOSE(CONTROL!$C$27, 0.0021, 0)</f>
        <v>22.540599999999998</v>
      </c>
      <c r="D62" s="14">
        <f>22.5385 * CHOOSE(CONTROL!$C$9, $D$9, 100%, $F$9) + CHOOSE(CONTROL!$C$27, 0.0021, 0)</f>
        <v>22.540599999999998</v>
      </c>
      <c r="E62" s="14">
        <f>22.4018 * CHOOSE(CONTROL!$C$9, $D$9, 100%, $F$9) + CHOOSE(CONTROL!$C$27, 0.0021, 0)</f>
        <v>22.4039</v>
      </c>
      <c r="F62" s="14">
        <f>22.4018 * CHOOSE(CONTROL!$C$9, $D$9, 100%, $F$9) + CHOOSE(CONTROL!$C$27, 0.0021, 0)</f>
        <v>22.4039</v>
      </c>
      <c r="G62" s="14">
        <f>22.6732 * CHOOSE(CONTROL!$C$9, $D$9, 100%, $F$9) + CHOOSE(CONTROL!$C$27, 0.0021, 0)</f>
        <v>22.6753</v>
      </c>
      <c r="H62" s="14">
        <f>22.5385 * CHOOSE(CONTROL!$C$9, $D$9, 100%, $F$9) + CHOOSE(CONTROL!$C$27, 0.0021, 0)</f>
        <v>22.540599999999998</v>
      </c>
      <c r="I62" s="14">
        <f>22.5385 * CHOOSE(CONTROL!$C$9, $D$9, 100%, $F$9) + CHOOSE(CONTROL!$C$27, 0.0021, 0)</f>
        <v>22.540599999999998</v>
      </c>
      <c r="J62" s="14">
        <f>22.5385 * CHOOSE(CONTROL!$C$9, $D$9, 100%, $F$9) + CHOOSE(CONTROL!$C$27, 0.0021, 0)</f>
        <v>22.540599999999998</v>
      </c>
      <c r="K62" s="14">
        <f>22.5385 * CHOOSE(CONTROL!$C$9, $D$9, 100%, $F$9) + CHOOSE(CONTROL!$C$27, 0.0021, 0)</f>
        <v>22.540599999999998</v>
      </c>
      <c r="L62" s="14"/>
    </row>
    <row r="63" spans="1:12" ht="15" x14ac:dyDescent="0.2">
      <c r="A63" s="13">
        <v>42826</v>
      </c>
      <c r="B63" s="14">
        <f>22.7124 * CHOOSE(CONTROL!$C$9, $D$9, 100%, $F$9) + CHOOSE(CONTROL!$C$27, 0.0021, 0)</f>
        <v>22.714499999999997</v>
      </c>
      <c r="C63" s="14">
        <f>22.2801 * CHOOSE(CONTROL!$C$9, $D$9, 100%, $F$9) + CHOOSE(CONTROL!$C$27, 0.0021, 0)</f>
        <v>22.2822</v>
      </c>
      <c r="D63" s="14">
        <f>22.2801 * CHOOSE(CONTROL!$C$9, $D$9, 100%, $F$9) + CHOOSE(CONTROL!$C$27, 0.0021, 0)</f>
        <v>22.2822</v>
      </c>
      <c r="E63" s="14">
        <f>22.1435 * CHOOSE(CONTROL!$C$9, $D$9, 100%, $F$9) + CHOOSE(CONTROL!$C$27, 0.0021, 0)</f>
        <v>22.145599999999998</v>
      </c>
      <c r="F63" s="14">
        <f>22.1435 * CHOOSE(CONTROL!$C$9, $D$9, 100%, $F$9) + CHOOSE(CONTROL!$C$27, 0.0021, 0)</f>
        <v>22.145599999999998</v>
      </c>
      <c r="G63" s="14">
        <f>22.4149 * CHOOSE(CONTROL!$C$9, $D$9, 100%, $F$9) + CHOOSE(CONTROL!$C$27, 0.0021, 0)</f>
        <v>22.416999999999998</v>
      </c>
      <c r="H63" s="14">
        <f>22.2801 * CHOOSE(CONTROL!$C$9, $D$9, 100%, $F$9) + CHOOSE(CONTROL!$C$27, 0.0021, 0)</f>
        <v>22.2822</v>
      </c>
      <c r="I63" s="14">
        <f>22.2801 * CHOOSE(CONTROL!$C$9, $D$9, 100%, $F$9) + CHOOSE(CONTROL!$C$27, 0.0021, 0)</f>
        <v>22.2822</v>
      </c>
      <c r="J63" s="14">
        <f>22.2801 * CHOOSE(CONTROL!$C$9, $D$9, 100%, $F$9) + CHOOSE(CONTROL!$C$27, 0.0021, 0)</f>
        <v>22.2822</v>
      </c>
      <c r="K63" s="14">
        <f>22.2801 * CHOOSE(CONTROL!$C$9, $D$9, 100%, $F$9) + CHOOSE(CONTROL!$C$27, 0.0021, 0)</f>
        <v>22.2822</v>
      </c>
      <c r="L63" s="14"/>
    </row>
    <row r="64" spans="1:12" ht="15" x14ac:dyDescent="0.2">
      <c r="A64" s="13">
        <v>42856</v>
      </c>
      <c r="B64" s="14">
        <f>23.1842 * CHOOSE(CONTROL!$C$9, $D$9, 100%, $F$9) + CHOOSE(CONTROL!$C$27, 0.0021, 0)</f>
        <v>23.186299999999999</v>
      </c>
      <c r="C64" s="14">
        <f>22.7519 * CHOOSE(CONTROL!$C$9, $D$9, 100%, $F$9) + CHOOSE(CONTROL!$C$27, 0.0021, 0)</f>
        <v>22.753999999999998</v>
      </c>
      <c r="D64" s="14">
        <f>22.7519 * CHOOSE(CONTROL!$C$9, $D$9, 100%, $F$9) + CHOOSE(CONTROL!$C$27, 0.0021, 0)</f>
        <v>22.753999999999998</v>
      </c>
      <c r="E64" s="14">
        <f>22.6153 * CHOOSE(CONTROL!$C$9, $D$9, 100%, $F$9) + CHOOSE(CONTROL!$C$27, 0.0021, 0)</f>
        <v>22.6174</v>
      </c>
      <c r="F64" s="14">
        <f>22.6153 * CHOOSE(CONTROL!$C$9, $D$9, 100%, $F$9) + CHOOSE(CONTROL!$C$27, 0.0021, 0)</f>
        <v>22.6174</v>
      </c>
      <c r="G64" s="14">
        <f>22.8866 * CHOOSE(CONTROL!$C$9, $D$9, 100%, $F$9) + CHOOSE(CONTROL!$C$27, 0.0021, 0)</f>
        <v>22.8887</v>
      </c>
      <c r="H64" s="14">
        <f>22.7519 * CHOOSE(CONTROL!$C$9, $D$9, 100%, $F$9) + CHOOSE(CONTROL!$C$27, 0.0021, 0)</f>
        <v>22.753999999999998</v>
      </c>
      <c r="I64" s="14">
        <f>22.7519 * CHOOSE(CONTROL!$C$9, $D$9, 100%, $F$9) + CHOOSE(CONTROL!$C$27, 0.0021, 0)</f>
        <v>22.753999999999998</v>
      </c>
      <c r="J64" s="14">
        <f>22.7519 * CHOOSE(CONTROL!$C$9, $D$9, 100%, $F$9) + CHOOSE(CONTROL!$C$27, 0.0021, 0)</f>
        <v>22.753999999999998</v>
      </c>
      <c r="K64" s="14">
        <f>22.7519 * CHOOSE(CONTROL!$C$9, $D$9, 100%, $F$9) + CHOOSE(CONTROL!$C$27, 0.0021, 0)</f>
        <v>22.753999999999998</v>
      </c>
      <c r="L64" s="14"/>
    </row>
    <row r="65" spans="1:12" ht="15" x14ac:dyDescent="0.2">
      <c r="A65" s="13">
        <v>42887</v>
      </c>
      <c r="B65" s="14">
        <f>23.4851 * CHOOSE(CONTROL!$C$9, $D$9, 100%, $F$9) + CHOOSE(CONTROL!$C$27, 0.0021, 0)</f>
        <v>23.487199999999998</v>
      </c>
      <c r="C65" s="14">
        <f>23.0529 * CHOOSE(CONTROL!$C$9, $D$9, 100%, $F$9) + CHOOSE(CONTROL!$C$27, 0.0021, 0)</f>
        <v>23.055</v>
      </c>
      <c r="D65" s="14">
        <f>23.0529 * CHOOSE(CONTROL!$C$9, $D$9, 100%, $F$9) + CHOOSE(CONTROL!$C$27, 0.0021, 0)</f>
        <v>23.055</v>
      </c>
      <c r="E65" s="14">
        <f>22.9162 * CHOOSE(CONTROL!$C$9, $D$9, 100%, $F$9) + CHOOSE(CONTROL!$C$27, 0.0021, 0)</f>
        <v>22.918299999999999</v>
      </c>
      <c r="F65" s="14">
        <f>22.9162 * CHOOSE(CONTROL!$C$9, $D$9, 100%, $F$9) + CHOOSE(CONTROL!$C$27, 0.0021, 0)</f>
        <v>22.918299999999999</v>
      </c>
      <c r="G65" s="14">
        <f>23.1876 * CHOOSE(CONTROL!$C$9, $D$9, 100%, $F$9) + CHOOSE(CONTROL!$C$27, 0.0021, 0)</f>
        <v>23.189699999999998</v>
      </c>
      <c r="H65" s="14">
        <f>23.0529 * CHOOSE(CONTROL!$C$9, $D$9, 100%, $F$9) + CHOOSE(CONTROL!$C$27, 0.0021, 0)</f>
        <v>23.055</v>
      </c>
      <c r="I65" s="14">
        <f>23.0529 * CHOOSE(CONTROL!$C$9, $D$9, 100%, $F$9) + CHOOSE(CONTROL!$C$27, 0.0021, 0)</f>
        <v>23.055</v>
      </c>
      <c r="J65" s="14">
        <f>23.0529 * CHOOSE(CONTROL!$C$9, $D$9, 100%, $F$9) + CHOOSE(CONTROL!$C$27, 0.0021, 0)</f>
        <v>23.055</v>
      </c>
      <c r="K65" s="14">
        <f>23.0529 * CHOOSE(CONTROL!$C$9, $D$9, 100%, $F$9) + CHOOSE(CONTROL!$C$27, 0.0021, 0)</f>
        <v>23.055</v>
      </c>
      <c r="L65" s="14"/>
    </row>
    <row r="66" spans="1:12" ht="15" x14ac:dyDescent="0.2">
      <c r="A66" s="13">
        <v>42917</v>
      </c>
      <c r="B66" s="14">
        <f>23.9551 * CHOOSE(CONTROL!$C$9, $D$9, 100%, $F$9) + CHOOSE(CONTROL!$C$27, 0.0021, 0)</f>
        <v>23.9572</v>
      </c>
      <c r="C66" s="14">
        <f>23.5229 * CHOOSE(CONTROL!$C$9, $D$9, 100%, $F$9) + CHOOSE(CONTROL!$C$27, 0.0021, 0)</f>
        <v>23.524999999999999</v>
      </c>
      <c r="D66" s="14">
        <f>23.5229 * CHOOSE(CONTROL!$C$9, $D$9, 100%, $F$9) + CHOOSE(CONTROL!$C$27, 0.0021, 0)</f>
        <v>23.524999999999999</v>
      </c>
      <c r="E66" s="14">
        <f>23.3862 * CHOOSE(CONTROL!$C$9, $D$9, 100%, $F$9) + CHOOSE(CONTROL!$C$27, 0.0021, 0)</f>
        <v>23.388299999999997</v>
      </c>
      <c r="F66" s="14">
        <f>23.3862 * CHOOSE(CONTROL!$C$9, $D$9, 100%, $F$9) + CHOOSE(CONTROL!$C$27, 0.0021, 0)</f>
        <v>23.388299999999997</v>
      </c>
      <c r="G66" s="14">
        <f>23.6576 * CHOOSE(CONTROL!$C$9, $D$9, 100%, $F$9) + CHOOSE(CONTROL!$C$27, 0.0021, 0)</f>
        <v>23.659699999999997</v>
      </c>
      <c r="H66" s="14">
        <f>23.5229 * CHOOSE(CONTROL!$C$9, $D$9, 100%, $F$9) + CHOOSE(CONTROL!$C$27, 0.0021, 0)</f>
        <v>23.524999999999999</v>
      </c>
      <c r="I66" s="14">
        <f>23.5229 * CHOOSE(CONTROL!$C$9, $D$9, 100%, $F$9) + CHOOSE(CONTROL!$C$27, 0.0021, 0)</f>
        <v>23.524999999999999</v>
      </c>
      <c r="J66" s="14">
        <f>23.5229 * CHOOSE(CONTROL!$C$9, $D$9, 100%, $F$9) + CHOOSE(CONTROL!$C$27, 0.0021, 0)</f>
        <v>23.524999999999999</v>
      </c>
      <c r="K66" s="14">
        <f>23.5229 * CHOOSE(CONTROL!$C$9, $D$9, 100%, $F$9) + CHOOSE(CONTROL!$C$27, 0.0021, 0)</f>
        <v>23.524999999999999</v>
      </c>
      <c r="L66" s="14"/>
    </row>
    <row r="67" spans="1:12" ht="15" x14ac:dyDescent="0.2">
      <c r="A67" s="13">
        <v>42948</v>
      </c>
      <c r="B67" s="14">
        <f>24.1301 * CHOOSE(CONTROL!$C$9, $D$9, 100%, $F$9) + CHOOSE(CONTROL!$C$27, 0.0021, 0)</f>
        <v>24.132199999999997</v>
      </c>
      <c r="C67" s="14">
        <f>23.6979 * CHOOSE(CONTROL!$C$9, $D$9, 100%, $F$9) + CHOOSE(CONTROL!$C$27, 0.0021, 0)</f>
        <v>23.7</v>
      </c>
      <c r="D67" s="14">
        <f>23.6979 * CHOOSE(CONTROL!$C$9, $D$9, 100%, $F$9) + CHOOSE(CONTROL!$C$27, 0.0021, 0)</f>
        <v>23.7</v>
      </c>
      <c r="E67" s="14">
        <f>23.5612 * CHOOSE(CONTROL!$C$9, $D$9, 100%, $F$9) + CHOOSE(CONTROL!$C$27, 0.0021, 0)</f>
        <v>23.563299999999998</v>
      </c>
      <c r="F67" s="14">
        <f>23.5612 * CHOOSE(CONTROL!$C$9, $D$9, 100%, $F$9) + CHOOSE(CONTROL!$C$27, 0.0021, 0)</f>
        <v>23.563299999999998</v>
      </c>
      <c r="G67" s="14">
        <f>23.8326 * CHOOSE(CONTROL!$C$9, $D$9, 100%, $F$9) + CHOOSE(CONTROL!$C$27, 0.0021, 0)</f>
        <v>23.834699999999998</v>
      </c>
      <c r="H67" s="14">
        <f>23.6979 * CHOOSE(CONTROL!$C$9, $D$9, 100%, $F$9) + CHOOSE(CONTROL!$C$27, 0.0021, 0)</f>
        <v>23.7</v>
      </c>
      <c r="I67" s="14">
        <f>23.6979 * CHOOSE(CONTROL!$C$9, $D$9, 100%, $F$9) + CHOOSE(CONTROL!$C$27, 0.0021, 0)</f>
        <v>23.7</v>
      </c>
      <c r="J67" s="14">
        <f>23.6979 * CHOOSE(CONTROL!$C$9, $D$9, 100%, $F$9) + CHOOSE(CONTROL!$C$27, 0.0021, 0)</f>
        <v>23.7</v>
      </c>
      <c r="K67" s="14">
        <f>23.6979 * CHOOSE(CONTROL!$C$9, $D$9, 100%, $F$9) + CHOOSE(CONTROL!$C$27, 0.0021, 0)</f>
        <v>23.7</v>
      </c>
      <c r="L67" s="14"/>
    </row>
    <row r="68" spans="1:12" ht="15" x14ac:dyDescent="0.2">
      <c r="A68" s="13">
        <v>42979</v>
      </c>
      <c r="B68" s="14">
        <f>24.6201 * CHOOSE(CONTROL!$C$9, $D$9, 100%, $F$9) + CHOOSE(CONTROL!$C$27, 0.0021, 0)</f>
        <v>24.622199999999999</v>
      </c>
      <c r="C68" s="14">
        <f>24.1878 * CHOOSE(CONTROL!$C$9, $D$9, 100%, $F$9) + CHOOSE(CONTROL!$C$27, 0.0021, 0)</f>
        <v>24.189899999999998</v>
      </c>
      <c r="D68" s="14">
        <f>24.1878 * CHOOSE(CONTROL!$C$9, $D$9, 100%, $F$9) + CHOOSE(CONTROL!$C$27, 0.0021, 0)</f>
        <v>24.189899999999998</v>
      </c>
      <c r="E68" s="14">
        <f>24.0512 * CHOOSE(CONTROL!$C$9, $D$9, 100%, $F$9) + CHOOSE(CONTROL!$C$27, 0.0021, 0)</f>
        <v>24.0533</v>
      </c>
      <c r="F68" s="14">
        <f>24.0512 * CHOOSE(CONTROL!$C$9, $D$9, 100%, $F$9) + CHOOSE(CONTROL!$C$27, 0.0021, 0)</f>
        <v>24.0533</v>
      </c>
      <c r="G68" s="14">
        <f>24.3226 * CHOOSE(CONTROL!$C$9, $D$9, 100%, $F$9) + CHOOSE(CONTROL!$C$27, 0.0021, 0)</f>
        <v>24.3247</v>
      </c>
      <c r="H68" s="14">
        <f>24.1878 * CHOOSE(CONTROL!$C$9, $D$9, 100%, $F$9) + CHOOSE(CONTROL!$C$27, 0.0021, 0)</f>
        <v>24.189899999999998</v>
      </c>
      <c r="I68" s="14">
        <f>24.1878 * CHOOSE(CONTROL!$C$9, $D$9, 100%, $F$9) + CHOOSE(CONTROL!$C$27, 0.0021, 0)</f>
        <v>24.189899999999998</v>
      </c>
      <c r="J68" s="14">
        <f>24.1878 * CHOOSE(CONTROL!$C$9, $D$9, 100%, $F$9) + CHOOSE(CONTROL!$C$27, 0.0021, 0)</f>
        <v>24.189899999999998</v>
      </c>
      <c r="K68" s="14">
        <f>24.1878 * CHOOSE(CONTROL!$C$9, $D$9, 100%, $F$9) + CHOOSE(CONTROL!$C$27, 0.0021, 0)</f>
        <v>24.189899999999998</v>
      </c>
      <c r="L68" s="14"/>
    </row>
    <row r="69" spans="1:12" ht="15" x14ac:dyDescent="0.2">
      <c r="A69" s="13">
        <v>43009</v>
      </c>
      <c r="B69" s="14">
        <f>25.2305 * CHOOSE(CONTROL!$C$9, $D$9, 100%, $F$9) + CHOOSE(CONTROL!$C$27, 0.0021, 0)</f>
        <v>25.232599999999998</v>
      </c>
      <c r="C69" s="14">
        <f>24.7983 * CHOOSE(CONTROL!$C$9, $D$9, 100%, $F$9) + CHOOSE(CONTROL!$C$27, 0.0021, 0)</f>
        <v>24.8004</v>
      </c>
      <c r="D69" s="14">
        <f>24.7983 * CHOOSE(CONTROL!$C$9, $D$9, 100%, $F$9) + CHOOSE(CONTROL!$C$27, 0.0021, 0)</f>
        <v>24.8004</v>
      </c>
      <c r="E69" s="14">
        <f>24.6616 * CHOOSE(CONTROL!$C$9, $D$9, 100%, $F$9) + CHOOSE(CONTROL!$C$27, 0.0021, 0)</f>
        <v>24.663699999999999</v>
      </c>
      <c r="F69" s="14">
        <f>24.6616 * CHOOSE(CONTROL!$C$9, $D$9, 100%, $F$9) + CHOOSE(CONTROL!$C$27, 0.0021, 0)</f>
        <v>24.663699999999999</v>
      </c>
      <c r="G69" s="14">
        <f>24.933 * CHOOSE(CONTROL!$C$9, $D$9, 100%, $F$9) + CHOOSE(CONTROL!$C$27, 0.0021, 0)</f>
        <v>24.935099999999998</v>
      </c>
      <c r="H69" s="14">
        <f>24.7983 * CHOOSE(CONTROL!$C$9, $D$9, 100%, $F$9) + CHOOSE(CONTROL!$C$27, 0.0021, 0)</f>
        <v>24.8004</v>
      </c>
      <c r="I69" s="14">
        <f>24.7983 * CHOOSE(CONTROL!$C$9, $D$9, 100%, $F$9) + CHOOSE(CONTROL!$C$27, 0.0021, 0)</f>
        <v>24.8004</v>
      </c>
      <c r="J69" s="14">
        <f>24.7983 * CHOOSE(CONTROL!$C$9, $D$9, 100%, $F$9) + CHOOSE(CONTROL!$C$27, 0.0021, 0)</f>
        <v>24.8004</v>
      </c>
      <c r="K69" s="14">
        <f>24.7983 * CHOOSE(CONTROL!$C$9, $D$9, 100%, $F$9) + CHOOSE(CONTROL!$C$27, 0.0021, 0)</f>
        <v>24.8004</v>
      </c>
      <c r="L69" s="14"/>
    </row>
    <row r="70" spans="1:12" ht="15" x14ac:dyDescent="0.2">
      <c r="A70" s="13">
        <v>43040</v>
      </c>
      <c r="B70" s="14">
        <f>25.3309 * CHOOSE(CONTROL!$C$9, $D$9, 100%, $F$9) + CHOOSE(CONTROL!$C$27, 0.0021, 0)</f>
        <v>25.332999999999998</v>
      </c>
      <c r="C70" s="14">
        <f>24.8986 * CHOOSE(CONTROL!$C$9, $D$9, 100%, $F$9) + CHOOSE(CONTROL!$C$27, 0.0021, 0)</f>
        <v>24.900699999999997</v>
      </c>
      <c r="D70" s="14">
        <f>24.8986 * CHOOSE(CONTROL!$C$9, $D$9, 100%, $F$9) + CHOOSE(CONTROL!$C$27, 0.0021, 0)</f>
        <v>24.900699999999997</v>
      </c>
      <c r="E70" s="14">
        <f>24.762 * CHOOSE(CONTROL!$C$9, $D$9, 100%, $F$9) + CHOOSE(CONTROL!$C$27, 0.0021, 0)</f>
        <v>24.764099999999999</v>
      </c>
      <c r="F70" s="14">
        <f>24.762 * CHOOSE(CONTROL!$C$9, $D$9, 100%, $F$9) + CHOOSE(CONTROL!$C$27, 0.0021, 0)</f>
        <v>24.764099999999999</v>
      </c>
      <c r="G70" s="14">
        <f>25.0333 * CHOOSE(CONTROL!$C$9, $D$9, 100%, $F$9) + CHOOSE(CONTROL!$C$27, 0.0021, 0)</f>
        <v>25.035399999999999</v>
      </c>
      <c r="H70" s="14">
        <f>24.8986 * CHOOSE(CONTROL!$C$9, $D$9, 100%, $F$9) + CHOOSE(CONTROL!$C$27, 0.0021, 0)</f>
        <v>24.900699999999997</v>
      </c>
      <c r="I70" s="14">
        <f>24.8986 * CHOOSE(CONTROL!$C$9, $D$9, 100%, $F$9) + CHOOSE(CONTROL!$C$27, 0.0021, 0)</f>
        <v>24.900699999999997</v>
      </c>
      <c r="J70" s="14">
        <f>24.8986 * CHOOSE(CONTROL!$C$9, $D$9, 100%, $F$9) + CHOOSE(CONTROL!$C$27, 0.0021, 0)</f>
        <v>24.900699999999997</v>
      </c>
      <c r="K70" s="14">
        <f>24.8986 * CHOOSE(CONTROL!$C$9, $D$9, 100%, $F$9) + CHOOSE(CONTROL!$C$27, 0.0021, 0)</f>
        <v>24.900699999999997</v>
      </c>
      <c r="L70" s="14"/>
    </row>
    <row r="71" spans="1:12" ht="15" x14ac:dyDescent="0.2">
      <c r="A71" s="13">
        <v>43070</v>
      </c>
      <c r="B71" s="14">
        <f>24.9257 * CHOOSE(CONTROL!$C$9, $D$9, 100%, $F$9) + CHOOSE(CONTROL!$C$27, 0.0021, 0)</f>
        <v>24.927799999999998</v>
      </c>
      <c r="C71" s="14">
        <f>24.4934 * CHOOSE(CONTROL!$C$9, $D$9, 100%, $F$9) + CHOOSE(CONTROL!$C$27, 0.0021, 0)</f>
        <v>24.4955</v>
      </c>
      <c r="D71" s="14">
        <f>24.4934 * CHOOSE(CONTROL!$C$9, $D$9, 100%, $F$9) + CHOOSE(CONTROL!$C$27, 0.0021, 0)</f>
        <v>24.4955</v>
      </c>
      <c r="E71" s="14">
        <f>24.3567 * CHOOSE(CONTROL!$C$9, $D$9, 100%, $F$9) + CHOOSE(CONTROL!$C$27, 0.0021, 0)</f>
        <v>24.358799999999999</v>
      </c>
      <c r="F71" s="14">
        <f>24.3567 * CHOOSE(CONTROL!$C$9, $D$9, 100%, $F$9) + CHOOSE(CONTROL!$C$27, 0.0021, 0)</f>
        <v>24.358799999999999</v>
      </c>
      <c r="G71" s="14">
        <f>24.6281 * CHOOSE(CONTROL!$C$9, $D$9, 100%, $F$9) + CHOOSE(CONTROL!$C$27, 0.0021, 0)</f>
        <v>24.630199999999999</v>
      </c>
      <c r="H71" s="14">
        <f>24.4934 * CHOOSE(CONTROL!$C$9, $D$9, 100%, $F$9) + CHOOSE(CONTROL!$C$27, 0.0021, 0)</f>
        <v>24.4955</v>
      </c>
      <c r="I71" s="14">
        <f>24.4934 * CHOOSE(CONTROL!$C$9, $D$9, 100%, $F$9) + CHOOSE(CONTROL!$C$27, 0.0021, 0)</f>
        <v>24.4955</v>
      </c>
      <c r="J71" s="14">
        <f>24.4934 * CHOOSE(CONTROL!$C$9, $D$9, 100%, $F$9) + CHOOSE(CONTROL!$C$27, 0.0021, 0)</f>
        <v>24.4955</v>
      </c>
      <c r="K71" s="14">
        <f>24.4934 * CHOOSE(CONTROL!$C$9, $D$9, 100%, $F$9) + CHOOSE(CONTROL!$C$27, 0.0021, 0)</f>
        <v>24.4955</v>
      </c>
      <c r="L71" s="14"/>
    </row>
    <row r="72" spans="1:12" ht="15" x14ac:dyDescent="0.2">
      <c r="A72" s="13">
        <v>43101</v>
      </c>
      <c r="B72" s="14">
        <f>25.0696 * CHOOSE(CONTROL!$C$9, $D$9, 100%, $F$9) + CHOOSE(CONTROL!$C$27, 0.0021, 0)</f>
        <v>25.0717</v>
      </c>
      <c r="C72" s="14">
        <f>24.6373 * CHOOSE(CONTROL!$C$9, $D$9, 100%, $F$9) + CHOOSE(CONTROL!$C$27, 0.0021, 0)</f>
        <v>24.639399999999998</v>
      </c>
      <c r="D72" s="14">
        <f>24.6373 * CHOOSE(CONTROL!$C$9, $D$9, 100%, $F$9) + CHOOSE(CONTROL!$C$27, 0.0021, 0)</f>
        <v>24.639399999999998</v>
      </c>
      <c r="E72" s="14">
        <f>24.5007 * CHOOSE(CONTROL!$C$9, $D$9, 100%, $F$9) + CHOOSE(CONTROL!$C$27, 0.0021, 0)</f>
        <v>24.502799999999997</v>
      </c>
      <c r="F72" s="14">
        <f>24.5007 * CHOOSE(CONTROL!$C$9, $D$9, 100%, $F$9) + CHOOSE(CONTROL!$C$27, 0.0021, 0)</f>
        <v>24.502799999999997</v>
      </c>
      <c r="G72" s="14">
        <f>24.772 * CHOOSE(CONTROL!$C$9, $D$9, 100%, $F$9) + CHOOSE(CONTROL!$C$27, 0.0021, 0)</f>
        <v>24.774099999999997</v>
      </c>
      <c r="H72" s="14">
        <f>24.6373 * CHOOSE(CONTROL!$C$9, $D$9, 100%, $F$9) + CHOOSE(CONTROL!$C$27, 0.0021, 0)</f>
        <v>24.639399999999998</v>
      </c>
      <c r="I72" s="14">
        <f>24.6373 * CHOOSE(CONTROL!$C$9, $D$9, 100%, $F$9) + CHOOSE(CONTROL!$C$27, 0.0021, 0)</f>
        <v>24.639399999999998</v>
      </c>
      <c r="J72" s="14">
        <f>24.6373 * CHOOSE(CONTROL!$C$9, $D$9, 100%, $F$9) + CHOOSE(CONTROL!$C$27, 0.0021, 0)</f>
        <v>24.639399999999998</v>
      </c>
      <c r="K72" s="14">
        <f>24.6373 * CHOOSE(CONTROL!$C$9, $D$9, 100%, $F$9) + CHOOSE(CONTROL!$C$27, 0.0021, 0)</f>
        <v>24.639399999999998</v>
      </c>
      <c r="L72" s="14"/>
    </row>
    <row r="73" spans="1:12" ht="15" x14ac:dyDescent="0.2">
      <c r="A73" s="13">
        <v>43132</v>
      </c>
      <c r="B73" s="14">
        <f>24.4709 * CHOOSE(CONTROL!$C$9, $D$9, 100%, $F$9) + CHOOSE(CONTROL!$C$27, 0.0021, 0)</f>
        <v>24.472999999999999</v>
      </c>
      <c r="C73" s="14">
        <f>24.0387 * CHOOSE(CONTROL!$C$9, $D$9, 100%, $F$9) + CHOOSE(CONTROL!$C$27, 0.0021, 0)</f>
        <v>24.040799999999997</v>
      </c>
      <c r="D73" s="14">
        <f>24.0387 * CHOOSE(CONTROL!$C$9, $D$9, 100%, $F$9) + CHOOSE(CONTROL!$C$27, 0.0021, 0)</f>
        <v>24.040799999999997</v>
      </c>
      <c r="E73" s="14">
        <f>23.902 * CHOOSE(CONTROL!$C$9, $D$9, 100%, $F$9) + CHOOSE(CONTROL!$C$27, 0.0021, 0)</f>
        <v>23.9041</v>
      </c>
      <c r="F73" s="14">
        <f>23.902 * CHOOSE(CONTROL!$C$9, $D$9, 100%, $F$9) + CHOOSE(CONTROL!$C$27, 0.0021, 0)</f>
        <v>23.9041</v>
      </c>
      <c r="G73" s="14">
        <f>24.1734 * CHOOSE(CONTROL!$C$9, $D$9, 100%, $F$9) + CHOOSE(CONTROL!$C$27, 0.0021, 0)</f>
        <v>24.1755</v>
      </c>
      <c r="H73" s="14">
        <f>24.0387 * CHOOSE(CONTROL!$C$9, $D$9, 100%, $F$9) + CHOOSE(CONTROL!$C$27, 0.0021, 0)</f>
        <v>24.040799999999997</v>
      </c>
      <c r="I73" s="14">
        <f>24.0387 * CHOOSE(CONTROL!$C$9, $D$9, 100%, $F$9) + CHOOSE(CONTROL!$C$27, 0.0021, 0)</f>
        <v>24.040799999999997</v>
      </c>
      <c r="J73" s="14">
        <f>24.0387 * CHOOSE(CONTROL!$C$9, $D$9, 100%, $F$9) + CHOOSE(CONTROL!$C$27, 0.0021, 0)</f>
        <v>24.040799999999997</v>
      </c>
      <c r="K73" s="14">
        <f>24.0387 * CHOOSE(CONTROL!$C$9, $D$9, 100%, $F$9) + CHOOSE(CONTROL!$C$27, 0.0021, 0)</f>
        <v>24.040799999999997</v>
      </c>
      <c r="L73" s="14"/>
    </row>
    <row r="74" spans="1:12" ht="15" x14ac:dyDescent="0.2">
      <c r="A74" s="13">
        <v>43160</v>
      </c>
      <c r="B74" s="14">
        <f>24.2495 * CHOOSE(CONTROL!$C$9, $D$9, 100%, $F$9) + CHOOSE(CONTROL!$C$27, 0.0021, 0)</f>
        <v>24.2516</v>
      </c>
      <c r="C74" s="14">
        <f>23.8173 * CHOOSE(CONTROL!$C$9, $D$9, 100%, $F$9) + CHOOSE(CONTROL!$C$27, 0.0021, 0)</f>
        <v>23.819399999999998</v>
      </c>
      <c r="D74" s="14">
        <f>23.8173 * CHOOSE(CONTROL!$C$9, $D$9, 100%, $F$9) + CHOOSE(CONTROL!$C$27, 0.0021, 0)</f>
        <v>23.819399999999998</v>
      </c>
      <c r="E74" s="14">
        <f>23.6806 * CHOOSE(CONTROL!$C$9, $D$9, 100%, $F$9) + CHOOSE(CONTROL!$C$27, 0.0021, 0)</f>
        <v>23.682699999999997</v>
      </c>
      <c r="F74" s="14">
        <f>23.6806 * CHOOSE(CONTROL!$C$9, $D$9, 100%, $F$9) + CHOOSE(CONTROL!$C$27, 0.0021, 0)</f>
        <v>23.682699999999997</v>
      </c>
      <c r="G74" s="14">
        <f>23.952 * CHOOSE(CONTROL!$C$9, $D$9, 100%, $F$9) + CHOOSE(CONTROL!$C$27, 0.0021, 0)</f>
        <v>23.9541</v>
      </c>
      <c r="H74" s="14">
        <f>23.8173 * CHOOSE(CONTROL!$C$9, $D$9, 100%, $F$9) + CHOOSE(CONTROL!$C$27, 0.0021, 0)</f>
        <v>23.819399999999998</v>
      </c>
      <c r="I74" s="14">
        <f>23.8173 * CHOOSE(CONTROL!$C$9, $D$9, 100%, $F$9) + CHOOSE(CONTROL!$C$27, 0.0021, 0)</f>
        <v>23.819399999999998</v>
      </c>
      <c r="J74" s="14">
        <f>23.8173 * CHOOSE(CONTROL!$C$9, $D$9, 100%, $F$9) + CHOOSE(CONTROL!$C$27, 0.0021, 0)</f>
        <v>23.819399999999998</v>
      </c>
      <c r="K74" s="14">
        <f>23.8173 * CHOOSE(CONTROL!$C$9, $D$9, 100%, $F$9) + CHOOSE(CONTROL!$C$27, 0.0021, 0)</f>
        <v>23.819399999999998</v>
      </c>
      <c r="L74" s="14"/>
    </row>
    <row r="75" spans="1:12" ht="15" x14ac:dyDescent="0.2">
      <c r="A75" s="13">
        <v>43191</v>
      </c>
      <c r="B75" s="14">
        <f>23.9753 * CHOOSE(CONTROL!$C$9, $D$9, 100%, $F$9) + CHOOSE(CONTROL!$C$27, 0.0021, 0)</f>
        <v>23.977399999999999</v>
      </c>
      <c r="C75" s="14">
        <f>23.543 * CHOOSE(CONTROL!$C$9, $D$9, 100%, $F$9) + CHOOSE(CONTROL!$C$27, 0.0021, 0)</f>
        <v>23.545099999999998</v>
      </c>
      <c r="D75" s="14">
        <f>23.543 * CHOOSE(CONTROL!$C$9, $D$9, 100%, $F$9) + CHOOSE(CONTROL!$C$27, 0.0021, 0)</f>
        <v>23.545099999999998</v>
      </c>
      <c r="E75" s="14">
        <f>23.4063 * CHOOSE(CONTROL!$C$9, $D$9, 100%, $F$9) + CHOOSE(CONTROL!$C$27, 0.0021, 0)</f>
        <v>23.4084</v>
      </c>
      <c r="F75" s="14">
        <f>23.4063 * CHOOSE(CONTROL!$C$9, $D$9, 100%, $F$9) + CHOOSE(CONTROL!$C$27, 0.0021, 0)</f>
        <v>23.4084</v>
      </c>
      <c r="G75" s="14">
        <f>23.6777 * CHOOSE(CONTROL!$C$9, $D$9, 100%, $F$9) + CHOOSE(CONTROL!$C$27, 0.0021, 0)</f>
        <v>23.6798</v>
      </c>
      <c r="H75" s="14">
        <f>23.543 * CHOOSE(CONTROL!$C$9, $D$9, 100%, $F$9) + CHOOSE(CONTROL!$C$27, 0.0021, 0)</f>
        <v>23.545099999999998</v>
      </c>
      <c r="I75" s="14">
        <f>23.543 * CHOOSE(CONTROL!$C$9, $D$9, 100%, $F$9) + CHOOSE(CONTROL!$C$27, 0.0021, 0)</f>
        <v>23.545099999999998</v>
      </c>
      <c r="J75" s="14">
        <f>23.543 * CHOOSE(CONTROL!$C$9, $D$9, 100%, $F$9) + CHOOSE(CONTROL!$C$27, 0.0021, 0)</f>
        <v>23.545099999999998</v>
      </c>
      <c r="K75" s="14">
        <f>23.543 * CHOOSE(CONTROL!$C$9, $D$9, 100%, $F$9) + CHOOSE(CONTROL!$C$27, 0.0021, 0)</f>
        <v>23.545099999999998</v>
      </c>
      <c r="L75" s="14"/>
    </row>
    <row r="76" spans="1:12" ht="15" x14ac:dyDescent="0.2">
      <c r="A76" s="13">
        <v>43221</v>
      </c>
      <c r="B76" s="14">
        <f>24.4762 * CHOOSE(CONTROL!$C$9, $D$9, 100%, $F$9) + CHOOSE(CONTROL!$C$27, 0.0021, 0)</f>
        <v>24.478299999999997</v>
      </c>
      <c r="C76" s="14">
        <f>24.044 * CHOOSE(CONTROL!$C$9, $D$9, 100%, $F$9) + CHOOSE(CONTROL!$C$27, 0.0021, 0)</f>
        <v>24.046099999999999</v>
      </c>
      <c r="D76" s="14">
        <f>24.044 * CHOOSE(CONTROL!$C$9, $D$9, 100%, $F$9) + CHOOSE(CONTROL!$C$27, 0.0021, 0)</f>
        <v>24.046099999999999</v>
      </c>
      <c r="E76" s="14">
        <f>23.9073 * CHOOSE(CONTROL!$C$9, $D$9, 100%, $F$9) + CHOOSE(CONTROL!$C$27, 0.0021, 0)</f>
        <v>23.909399999999998</v>
      </c>
      <c r="F76" s="14">
        <f>23.9073 * CHOOSE(CONTROL!$C$9, $D$9, 100%, $F$9) + CHOOSE(CONTROL!$C$27, 0.0021, 0)</f>
        <v>23.909399999999998</v>
      </c>
      <c r="G76" s="14">
        <f>24.1787 * CHOOSE(CONTROL!$C$9, $D$9, 100%, $F$9) + CHOOSE(CONTROL!$C$27, 0.0021, 0)</f>
        <v>24.180799999999998</v>
      </c>
      <c r="H76" s="14">
        <f>24.044 * CHOOSE(CONTROL!$C$9, $D$9, 100%, $F$9) + CHOOSE(CONTROL!$C$27, 0.0021, 0)</f>
        <v>24.046099999999999</v>
      </c>
      <c r="I76" s="14">
        <f>24.044 * CHOOSE(CONTROL!$C$9, $D$9, 100%, $F$9) + CHOOSE(CONTROL!$C$27, 0.0021, 0)</f>
        <v>24.046099999999999</v>
      </c>
      <c r="J76" s="14">
        <f>24.044 * CHOOSE(CONTROL!$C$9, $D$9, 100%, $F$9) + CHOOSE(CONTROL!$C$27, 0.0021, 0)</f>
        <v>24.046099999999999</v>
      </c>
      <c r="K76" s="14">
        <f>24.044 * CHOOSE(CONTROL!$C$9, $D$9, 100%, $F$9) + CHOOSE(CONTROL!$C$27, 0.0021, 0)</f>
        <v>24.046099999999999</v>
      </c>
      <c r="L76" s="14"/>
    </row>
    <row r="77" spans="1:12" ht="15" x14ac:dyDescent="0.2">
      <c r="A77" s="13">
        <v>43252</v>
      </c>
      <c r="B77" s="14">
        <f>24.7958 * CHOOSE(CONTROL!$C$9, $D$9, 100%, $F$9) + CHOOSE(CONTROL!$C$27, 0.0021, 0)</f>
        <v>24.797899999999998</v>
      </c>
      <c r="C77" s="14">
        <f>24.3635 * CHOOSE(CONTROL!$C$9, $D$9, 100%, $F$9) + CHOOSE(CONTROL!$C$27, 0.0021, 0)</f>
        <v>24.365599999999997</v>
      </c>
      <c r="D77" s="14">
        <f>24.3635 * CHOOSE(CONTROL!$C$9, $D$9, 100%, $F$9) + CHOOSE(CONTROL!$C$27, 0.0021, 0)</f>
        <v>24.365599999999997</v>
      </c>
      <c r="E77" s="14">
        <f>24.2269 * CHOOSE(CONTROL!$C$9, $D$9, 100%, $F$9) + CHOOSE(CONTROL!$C$27, 0.0021, 0)</f>
        <v>24.228999999999999</v>
      </c>
      <c r="F77" s="14">
        <f>24.2269 * CHOOSE(CONTROL!$C$9, $D$9, 100%, $F$9) + CHOOSE(CONTROL!$C$27, 0.0021, 0)</f>
        <v>24.228999999999999</v>
      </c>
      <c r="G77" s="14">
        <f>24.4982 * CHOOSE(CONTROL!$C$9, $D$9, 100%, $F$9) + CHOOSE(CONTROL!$C$27, 0.0021, 0)</f>
        <v>24.500299999999999</v>
      </c>
      <c r="H77" s="14">
        <f>24.3635 * CHOOSE(CONTROL!$C$9, $D$9, 100%, $F$9) + CHOOSE(CONTROL!$C$27, 0.0021, 0)</f>
        <v>24.365599999999997</v>
      </c>
      <c r="I77" s="14">
        <f>24.3635 * CHOOSE(CONTROL!$C$9, $D$9, 100%, $F$9) + CHOOSE(CONTROL!$C$27, 0.0021, 0)</f>
        <v>24.365599999999997</v>
      </c>
      <c r="J77" s="14">
        <f>24.3635 * CHOOSE(CONTROL!$C$9, $D$9, 100%, $F$9) + CHOOSE(CONTROL!$C$27, 0.0021, 0)</f>
        <v>24.365599999999997</v>
      </c>
      <c r="K77" s="14">
        <f>24.3635 * CHOOSE(CONTROL!$C$9, $D$9, 100%, $F$9) + CHOOSE(CONTROL!$C$27, 0.0021, 0)</f>
        <v>24.365599999999997</v>
      </c>
      <c r="L77" s="14"/>
    </row>
    <row r="78" spans="1:12" ht="15" x14ac:dyDescent="0.2">
      <c r="A78" s="13">
        <v>43282</v>
      </c>
      <c r="B78" s="14">
        <f>25.2948 * CHOOSE(CONTROL!$C$9, $D$9, 100%, $F$9) + CHOOSE(CONTROL!$C$27, 0.0021, 0)</f>
        <v>25.296899999999997</v>
      </c>
      <c r="C78" s="14">
        <f>24.8626 * CHOOSE(CONTROL!$C$9, $D$9, 100%, $F$9) + CHOOSE(CONTROL!$C$27, 0.0021, 0)</f>
        <v>24.864699999999999</v>
      </c>
      <c r="D78" s="14">
        <f>24.8626 * CHOOSE(CONTROL!$C$9, $D$9, 100%, $F$9) + CHOOSE(CONTROL!$C$27, 0.0021, 0)</f>
        <v>24.864699999999999</v>
      </c>
      <c r="E78" s="14">
        <f>24.7259 * CHOOSE(CONTROL!$C$9, $D$9, 100%, $F$9) + CHOOSE(CONTROL!$C$27, 0.0021, 0)</f>
        <v>24.727999999999998</v>
      </c>
      <c r="F78" s="14">
        <f>24.7259 * CHOOSE(CONTROL!$C$9, $D$9, 100%, $F$9) + CHOOSE(CONTROL!$C$27, 0.0021, 0)</f>
        <v>24.727999999999998</v>
      </c>
      <c r="G78" s="14">
        <f>24.9973 * CHOOSE(CONTROL!$C$9, $D$9, 100%, $F$9) + CHOOSE(CONTROL!$C$27, 0.0021, 0)</f>
        <v>24.999399999999998</v>
      </c>
      <c r="H78" s="14">
        <f>24.8626 * CHOOSE(CONTROL!$C$9, $D$9, 100%, $F$9) + CHOOSE(CONTROL!$C$27, 0.0021, 0)</f>
        <v>24.864699999999999</v>
      </c>
      <c r="I78" s="14">
        <f>24.8626 * CHOOSE(CONTROL!$C$9, $D$9, 100%, $F$9) + CHOOSE(CONTROL!$C$27, 0.0021, 0)</f>
        <v>24.864699999999999</v>
      </c>
      <c r="J78" s="14">
        <f>24.8626 * CHOOSE(CONTROL!$C$9, $D$9, 100%, $F$9) + CHOOSE(CONTROL!$C$27, 0.0021, 0)</f>
        <v>24.864699999999999</v>
      </c>
      <c r="K78" s="14">
        <f>24.8626 * CHOOSE(CONTROL!$C$9, $D$9, 100%, $F$9) + CHOOSE(CONTROL!$C$27, 0.0021, 0)</f>
        <v>24.864699999999999</v>
      </c>
      <c r="L78" s="14"/>
    </row>
    <row r="79" spans="1:12" ht="15" x14ac:dyDescent="0.2">
      <c r="A79" s="13">
        <v>43313</v>
      </c>
      <c r="B79" s="14">
        <f>25.4807 * CHOOSE(CONTROL!$C$9, $D$9, 100%, $F$9) + CHOOSE(CONTROL!$C$27, 0.0021, 0)</f>
        <v>25.482799999999997</v>
      </c>
      <c r="C79" s="14">
        <f>25.0484 * CHOOSE(CONTROL!$C$9, $D$9, 100%, $F$9) + CHOOSE(CONTROL!$C$27, 0.0021, 0)</f>
        <v>25.0505</v>
      </c>
      <c r="D79" s="14">
        <f>25.0484 * CHOOSE(CONTROL!$C$9, $D$9, 100%, $F$9) + CHOOSE(CONTROL!$C$27, 0.0021, 0)</f>
        <v>25.0505</v>
      </c>
      <c r="E79" s="14">
        <f>24.9118 * CHOOSE(CONTROL!$C$9, $D$9, 100%, $F$9) + CHOOSE(CONTROL!$C$27, 0.0021, 0)</f>
        <v>24.913899999999998</v>
      </c>
      <c r="F79" s="14">
        <f>24.9118 * CHOOSE(CONTROL!$C$9, $D$9, 100%, $F$9) + CHOOSE(CONTROL!$C$27, 0.0021, 0)</f>
        <v>24.913899999999998</v>
      </c>
      <c r="G79" s="14">
        <f>25.1831 * CHOOSE(CONTROL!$C$9, $D$9, 100%, $F$9) + CHOOSE(CONTROL!$C$27, 0.0021, 0)</f>
        <v>25.185199999999998</v>
      </c>
      <c r="H79" s="14">
        <f>25.0484 * CHOOSE(CONTROL!$C$9, $D$9, 100%, $F$9) + CHOOSE(CONTROL!$C$27, 0.0021, 0)</f>
        <v>25.0505</v>
      </c>
      <c r="I79" s="14">
        <f>25.0484 * CHOOSE(CONTROL!$C$9, $D$9, 100%, $F$9) + CHOOSE(CONTROL!$C$27, 0.0021, 0)</f>
        <v>25.0505</v>
      </c>
      <c r="J79" s="14">
        <f>25.0484 * CHOOSE(CONTROL!$C$9, $D$9, 100%, $F$9) + CHOOSE(CONTROL!$C$27, 0.0021, 0)</f>
        <v>25.0505</v>
      </c>
      <c r="K79" s="14">
        <f>25.0484 * CHOOSE(CONTROL!$C$9, $D$9, 100%, $F$9) + CHOOSE(CONTROL!$C$27, 0.0021, 0)</f>
        <v>25.0505</v>
      </c>
      <c r="L79" s="14"/>
    </row>
    <row r="80" spans="1:12" ht="15" x14ac:dyDescent="0.2">
      <c r="A80" s="13">
        <v>43344</v>
      </c>
      <c r="B80" s="14">
        <f>26.0009 * CHOOSE(CONTROL!$C$9, $D$9, 100%, $F$9) + CHOOSE(CONTROL!$C$27, 0.0021, 0)</f>
        <v>26.003</v>
      </c>
      <c r="C80" s="14">
        <f>25.5687 * CHOOSE(CONTROL!$C$9, $D$9, 100%, $F$9) + CHOOSE(CONTROL!$C$27, 0.0021, 0)</f>
        <v>25.570799999999998</v>
      </c>
      <c r="D80" s="14">
        <f>25.5687 * CHOOSE(CONTROL!$C$9, $D$9, 100%, $F$9) + CHOOSE(CONTROL!$C$27, 0.0021, 0)</f>
        <v>25.570799999999998</v>
      </c>
      <c r="E80" s="14">
        <f>25.432 * CHOOSE(CONTROL!$C$9, $D$9, 100%, $F$9) + CHOOSE(CONTROL!$C$27, 0.0021, 0)</f>
        <v>25.434099999999997</v>
      </c>
      <c r="F80" s="14">
        <f>25.432 * CHOOSE(CONTROL!$C$9, $D$9, 100%, $F$9) + CHOOSE(CONTROL!$C$27, 0.0021, 0)</f>
        <v>25.434099999999997</v>
      </c>
      <c r="G80" s="14">
        <f>25.7034 * CHOOSE(CONTROL!$C$9, $D$9, 100%, $F$9) + CHOOSE(CONTROL!$C$27, 0.0021, 0)</f>
        <v>25.705499999999997</v>
      </c>
      <c r="H80" s="14">
        <f>25.5687 * CHOOSE(CONTROL!$C$9, $D$9, 100%, $F$9) + CHOOSE(CONTROL!$C$27, 0.0021, 0)</f>
        <v>25.570799999999998</v>
      </c>
      <c r="I80" s="14">
        <f>25.5687 * CHOOSE(CONTROL!$C$9, $D$9, 100%, $F$9) + CHOOSE(CONTROL!$C$27, 0.0021, 0)</f>
        <v>25.570799999999998</v>
      </c>
      <c r="J80" s="14">
        <f>25.5687 * CHOOSE(CONTROL!$C$9, $D$9, 100%, $F$9) + CHOOSE(CONTROL!$C$27, 0.0021, 0)</f>
        <v>25.570799999999998</v>
      </c>
      <c r="K80" s="14">
        <f>25.5687 * CHOOSE(CONTROL!$C$9, $D$9, 100%, $F$9) + CHOOSE(CONTROL!$C$27, 0.0021, 0)</f>
        <v>25.570799999999998</v>
      </c>
      <c r="L80" s="14"/>
    </row>
    <row r="81" spans="1:12" ht="15" x14ac:dyDescent="0.2">
      <c r="A81" s="13">
        <v>43374</v>
      </c>
      <c r="B81" s="14">
        <f>26.6491 * CHOOSE(CONTROL!$C$9, $D$9, 100%, $F$9) + CHOOSE(CONTROL!$C$27, 0.0021, 0)</f>
        <v>26.651199999999999</v>
      </c>
      <c r="C81" s="14">
        <f>26.2169 * CHOOSE(CONTROL!$C$9, $D$9, 100%, $F$9) + CHOOSE(CONTROL!$C$27, 0.0021, 0)</f>
        <v>26.218999999999998</v>
      </c>
      <c r="D81" s="14">
        <f>26.2169 * CHOOSE(CONTROL!$C$9, $D$9, 100%, $F$9) + CHOOSE(CONTROL!$C$27, 0.0021, 0)</f>
        <v>26.218999999999998</v>
      </c>
      <c r="E81" s="14">
        <f>26.0802 * CHOOSE(CONTROL!$C$9, $D$9, 100%, $F$9) + CHOOSE(CONTROL!$C$27, 0.0021, 0)</f>
        <v>26.0823</v>
      </c>
      <c r="F81" s="14">
        <f>26.0802 * CHOOSE(CONTROL!$C$9, $D$9, 100%, $F$9) + CHOOSE(CONTROL!$C$27, 0.0021, 0)</f>
        <v>26.0823</v>
      </c>
      <c r="G81" s="14">
        <f>26.3516 * CHOOSE(CONTROL!$C$9, $D$9, 100%, $F$9) + CHOOSE(CONTROL!$C$27, 0.0021, 0)</f>
        <v>26.3537</v>
      </c>
      <c r="H81" s="14">
        <f>26.2169 * CHOOSE(CONTROL!$C$9, $D$9, 100%, $F$9) + CHOOSE(CONTROL!$C$27, 0.0021, 0)</f>
        <v>26.218999999999998</v>
      </c>
      <c r="I81" s="14">
        <f>26.2169 * CHOOSE(CONTROL!$C$9, $D$9, 100%, $F$9) + CHOOSE(CONTROL!$C$27, 0.0021, 0)</f>
        <v>26.218999999999998</v>
      </c>
      <c r="J81" s="14">
        <f>26.2169 * CHOOSE(CONTROL!$C$9, $D$9, 100%, $F$9) + CHOOSE(CONTROL!$C$27, 0.0021, 0)</f>
        <v>26.218999999999998</v>
      </c>
      <c r="K81" s="14">
        <f>26.2169 * CHOOSE(CONTROL!$C$9, $D$9, 100%, $F$9) + CHOOSE(CONTROL!$C$27, 0.0021, 0)</f>
        <v>26.218999999999998</v>
      </c>
      <c r="L81" s="14"/>
    </row>
    <row r="82" spans="1:12" ht="15" x14ac:dyDescent="0.2">
      <c r="A82" s="13">
        <v>43405</v>
      </c>
      <c r="B82" s="14">
        <f>26.7557 * CHOOSE(CONTROL!$C$9, $D$9, 100%, $F$9) + CHOOSE(CONTROL!$C$27, 0.0021, 0)</f>
        <v>26.7578</v>
      </c>
      <c r="C82" s="14">
        <f>26.3234 * CHOOSE(CONTROL!$C$9, $D$9, 100%, $F$9) + CHOOSE(CONTROL!$C$27, 0.0021, 0)</f>
        <v>26.325499999999998</v>
      </c>
      <c r="D82" s="14">
        <f>26.3234 * CHOOSE(CONTROL!$C$9, $D$9, 100%, $F$9) + CHOOSE(CONTROL!$C$27, 0.0021, 0)</f>
        <v>26.325499999999998</v>
      </c>
      <c r="E82" s="14">
        <f>26.1868 * CHOOSE(CONTROL!$C$9, $D$9, 100%, $F$9) + CHOOSE(CONTROL!$C$27, 0.0021, 0)</f>
        <v>26.1889</v>
      </c>
      <c r="F82" s="14">
        <f>26.1868 * CHOOSE(CONTROL!$C$9, $D$9, 100%, $F$9) + CHOOSE(CONTROL!$C$27, 0.0021, 0)</f>
        <v>26.1889</v>
      </c>
      <c r="G82" s="14">
        <f>26.4581 * CHOOSE(CONTROL!$C$9, $D$9, 100%, $F$9) + CHOOSE(CONTROL!$C$27, 0.0021, 0)</f>
        <v>26.4602</v>
      </c>
      <c r="H82" s="14">
        <f>26.3234 * CHOOSE(CONTROL!$C$9, $D$9, 100%, $F$9) + CHOOSE(CONTROL!$C$27, 0.0021, 0)</f>
        <v>26.325499999999998</v>
      </c>
      <c r="I82" s="14">
        <f>26.3234 * CHOOSE(CONTROL!$C$9, $D$9, 100%, $F$9) + CHOOSE(CONTROL!$C$27, 0.0021, 0)</f>
        <v>26.325499999999998</v>
      </c>
      <c r="J82" s="14">
        <f>26.3234 * CHOOSE(CONTROL!$C$9, $D$9, 100%, $F$9) + CHOOSE(CONTROL!$C$27, 0.0021, 0)</f>
        <v>26.325499999999998</v>
      </c>
      <c r="K82" s="14">
        <f>26.3234 * CHOOSE(CONTROL!$C$9, $D$9, 100%, $F$9) + CHOOSE(CONTROL!$C$27, 0.0021, 0)</f>
        <v>26.325499999999998</v>
      </c>
      <c r="L82" s="14"/>
    </row>
    <row r="83" spans="1:12" ht="15" x14ac:dyDescent="0.2">
      <c r="A83" s="13">
        <v>43435</v>
      </c>
      <c r="B83" s="14">
        <f>26.3254 * CHOOSE(CONTROL!$C$9, $D$9, 100%, $F$9) + CHOOSE(CONTROL!$C$27, 0.0021, 0)</f>
        <v>26.327499999999997</v>
      </c>
      <c r="C83" s="14">
        <f>25.8931 * CHOOSE(CONTROL!$C$9, $D$9, 100%, $F$9) + CHOOSE(CONTROL!$C$27, 0.0021, 0)</f>
        <v>25.895199999999999</v>
      </c>
      <c r="D83" s="14">
        <f>25.8931 * CHOOSE(CONTROL!$C$9, $D$9, 100%, $F$9) + CHOOSE(CONTROL!$C$27, 0.0021, 0)</f>
        <v>25.895199999999999</v>
      </c>
      <c r="E83" s="14">
        <f>25.7565 * CHOOSE(CONTROL!$C$9, $D$9, 100%, $F$9) + CHOOSE(CONTROL!$C$27, 0.0021, 0)</f>
        <v>25.758599999999998</v>
      </c>
      <c r="F83" s="14">
        <f>25.7565 * CHOOSE(CONTROL!$C$9, $D$9, 100%, $F$9) + CHOOSE(CONTROL!$C$27, 0.0021, 0)</f>
        <v>25.758599999999998</v>
      </c>
      <c r="G83" s="14">
        <f>26.0279 * CHOOSE(CONTROL!$C$9, $D$9, 100%, $F$9) + CHOOSE(CONTROL!$C$27, 0.0021, 0)</f>
        <v>26.029999999999998</v>
      </c>
      <c r="H83" s="14">
        <f>25.8931 * CHOOSE(CONTROL!$C$9, $D$9, 100%, $F$9) + CHOOSE(CONTROL!$C$27, 0.0021, 0)</f>
        <v>25.895199999999999</v>
      </c>
      <c r="I83" s="14">
        <f>25.8931 * CHOOSE(CONTROL!$C$9, $D$9, 100%, $F$9) + CHOOSE(CONTROL!$C$27, 0.0021, 0)</f>
        <v>25.895199999999999</v>
      </c>
      <c r="J83" s="14">
        <f>25.8931 * CHOOSE(CONTROL!$C$9, $D$9, 100%, $F$9) + CHOOSE(CONTROL!$C$27, 0.0021, 0)</f>
        <v>25.895199999999999</v>
      </c>
      <c r="K83" s="14">
        <f>25.8931 * CHOOSE(CONTROL!$C$9, $D$9, 100%, $F$9) + CHOOSE(CONTROL!$C$27, 0.0021, 0)</f>
        <v>25.895199999999999</v>
      </c>
      <c r="L83" s="14"/>
    </row>
    <row r="84" spans="1:12" ht="15" x14ac:dyDescent="0.2">
      <c r="A84" s="13">
        <v>43466</v>
      </c>
      <c r="B84" s="14">
        <f>25.7021 * CHOOSE(CONTROL!$C$9, $D$9, 100%, $F$9) + CHOOSE(CONTROL!$C$27, 0.0021, 0)</f>
        <v>25.7042</v>
      </c>
      <c r="C84" s="14">
        <f>25.2698 * CHOOSE(CONTROL!$C$9, $D$9, 100%, $F$9) + CHOOSE(CONTROL!$C$27, 0.0021, 0)</f>
        <v>25.271899999999999</v>
      </c>
      <c r="D84" s="14">
        <f>25.2698 * CHOOSE(CONTROL!$C$9, $D$9, 100%, $F$9) + CHOOSE(CONTROL!$C$27, 0.0021, 0)</f>
        <v>25.271899999999999</v>
      </c>
      <c r="E84" s="14">
        <f>25.1332 * CHOOSE(CONTROL!$C$9, $D$9, 100%, $F$9) + CHOOSE(CONTROL!$C$27, 0.0021, 0)</f>
        <v>25.135299999999997</v>
      </c>
      <c r="F84" s="14">
        <f>25.1332 * CHOOSE(CONTROL!$C$9, $D$9, 100%, $F$9) + CHOOSE(CONTROL!$C$27, 0.0021, 0)</f>
        <v>25.135299999999997</v>
      </c>
      <c r="G84" s="14">
        <f>25.4046 * CHOOSE(CONTROL!$C$9, $D$9, 100%, $F$9) + CHOOSE(CONTROL!$C$27, 0.0021, 0)</f>
        <v>25.406699999999997</v>
      </c>
      <c r="H84" s="14">
        <f>25.2698 * CHOOSE(CONTROL!$C$9, $D$9, 100%, $F$9) + CHOOSE(CONTROL!$C$27, 0.0021, 0)</f>
        <v>25.271899999999999</v>
      </c>
      <c r="I84" s="14">
        <f>25.2698 * CHOOSE(CONTROL!$C$9, $D$9, 100%, $F$9) + CHOOSE(CONTROL!$C$27, 0.0021, 0)</f>
        <v>25.271899999999999</v>
      </c>
      <c r="J84" s="14">
        <f>25.2698 * CHOOSE(CONTROL!$C$9, $D$9, 100%, $F$9) + CHOOSE(CONTROL!$C$27, 0.0021, 0)</f>
        <v>25.271899999999999</v>
      </c>
      <c r="K84" s="14">
        <f>25.2698 * CHOOSE(CONTROL!$C$9, $D$9, 100%, $F$9) + CHOOSE(CONTROL!$C$27, 0.0021, 0)</f>
        <v>25.271899999999999</v>
      </c>
      <c r="L84" s="14"/>
    </row>
    <row r="85" spans="1:12" ht="15" x14ac:dyDescent="0.2">
      <c r="A85" s="13">
        <v>43497</v>
      </c>
      <c r="B85" s="14">
        <f>25.0868 * CHOOSE(CONTROL!$C$9, $D$9, 100%, $F$9) + CHOOSE(CONTROL!$C$27, 0.0021, 0)</f>
        <v>25.088899999999999</v>
      </c>
      <c r="C85" s="14">
        <f>24.6546 * CHOOSE(CONTROL!$C$9, $D$9, 100%, $F$9) + CHOOSE(CONTROL!$C$27, 0.0021, 0)</f>
        <v>24.656699999999997</v>
      </c>
      <c r="D85" s="14">
        <f>24.6546 * CHOOSE(CONTROL!$C$9, $D$9, 100%, $F$9) + CHOOSE(CONTROL!$C$27, 0.0021, 0)</f>
        <v>24.656699999999997</v>
      </c>
      <c r="E85" s="14">
        <f>24.5179 * CHOOSE(CONTROL!$C$9, $D$9, 100%, $F$9) + CHOOSE(CONTROL!$C$27, 0.0021, 0)</f>
        <v>24.52</v>
      </c>
      <c r="F85" s="14">
        <f>24.5179 * CHOOSE(CONTROL!$C$9, $D$9, 100%, $F$9) + CHOOSE(CONTROL!$C$27, 0.0021, 0)</f>
        <v>24.52</v>
      </c>
      <c r="G85" s="14">
        <f>24.7893 * CHOOSE(CONTROL!$C$9, $D$9, 100%, $F$9) + CHOOSE(CONTROL!$C$27, 0.0021, 0)</f>
        <v>24.791399999999999</v>
      </c>
      <c r="H85" s="14">
        <f>24.6546 * CHOOSE(CONTROL!$C$9, $D$9, 100%, $F$9) + CHOOSE(CONTROL!$C$27, 0.0021, 0)</f>
        <v>24.656699999999997</v>
      </c>
      <c r="I85" s="14">
        <f>24.6546 * CHOOSE(CONTROL!$C$9, $D$9, 100%, $F$9) + CHOOSE(CONTROL!$C$27, 0.0021, 0)</f>
        <v>24.656699999999997</v>
      </c>
      <c r="J85" s="14">
        <f>24.6546 * CHOOSE(CONTROL!$C$9, $D$9, 100%, $F$9) + CHOOSE(CONTROL!$C$27, 0.0021, 0)</f>
        <v>24.656699999999997</v>
      </c>
      <c r="K85" s="14">
        <f>24.6546 * CHOOSE(CONTROL!$C$9, $D$9, 100%, $F$9) + CHOOSE(CONTROL!$C$27, 0.0021, 0)</f>
        <v>24.656699999999997</v>
      </c>
      <c r="L85" s="14"/>
    </row>
    <row r="86" spans="1:12" ht="15" x14ac:dyDescent="0.2">
      <c r="A86" s="13">
        <v>43525</v>
      </c>
      <c r="B86" s="14">
        <f>24.8593 * CHOOSE(CONTROL!$C$9, $D$9, 100%, $F$9) + CHOOSE(CONTROL!$C$27, 0.0021, 0)</f>
        <v>24.8614</v>
      </c>
      <c r="C86" s="14">
        <f>24.427 * CHOOSE(CONTROL!$C$9, $D$9, 100%, $F$9) + CHOOSE(CONTROL!$C$27, 0.0021, 0)</f>
        <v>24.429099999999998</v>
      </c>
      <c r="D86" s="14">
        <f>24.427 * CHOOSE(CONTROL!$C$9, $D$9, 100%, $F$9) + CHOOSE(CONTROL!$C$27, 0.0021, 0)</f>
        <v>24.429099999999998</v>
      </c>
      <c r="E86" s="14">
        <f>24.2904 * CHOOSE(CONTROL!$C$9, $D$9, 100%, $F$9) + CHOOSE(CONTROL!$C$27, 0.0021, 0)</f>
        <v>24.2925</v>
      </c>
      <c r="F86" s="14">
        <f>24.2904 * CHOOSE(CONTROL!$C$9, $D$9, 100%, $F$9) + CHOOSE(CONTROL!$C$27, 0.0021, 0)</f>
        <v>24.2925</v>
      </c>
      <c r="G86" s="14">
        <f>24.5618 * CHOOSE(CONTROL!$C$9, $D$9, 100%, $F$9) + CHOOSE(CONTROL!$C$27, 0.0021, 0)</f>
        <v>24.5639</v>
      </c>
      <c r="H86" s="14">
        <f>24.427 * CHOOSE(CONTROL!$C$9, $D$9, 100%, $F$9) + CHOOSE(CONTROL!$C$27, 0.0021, 0)</f>
        <v>24.429099999999998</v>
      </c>
      <c r="I86" s="14">
        <f>24.427 * CHOOSE(CONTROL!$C$9, $D$9, 100%, $F$9) + CHOOSE(CONTROL!$C$27, 0.0021, 0)</f>
        <v>24.429099999999998</v>
      </c>
      <c r="J86" s="14">
        <f>24.427 * CHOOSE(CONTROL!$C$9, $D$9, 100%, $F$9) + CHOOSE(CONTROL!$C$27, 0.0021, 0)</f>
        <v>24.429099999999998</v>
      </c>
      <c r="K86" s="14">
        <f>24.427 * CHOOSE(CONTROL!$C$9, $D$9, 100%, $F$9) + CHOOSE(CONTROL!$C$27, 0.0021, 0)</f>
        <v>24.429099999999998</v>
      </c>
      <c r="L86" s="14"/>
    </row>
    <row r="87" spans="1:12" ht="15" x14ac:dyDescent="0.2">
      <c r="A87" s="13">
        <v>43556</v>
      </c>
      <c r="B87" s="14">
        <f>24.5774 * CHOOSE(CONTROL!$C$9, $D$9, 100%, $F$9) + CHOOSE(CONTROL!$C$27, 0.0021, 0)</f>
        <v>24.579499999999999</v>
      </c>
      <c r="C87" s="14">
        <f>24.1451 * CHOOSE(CONTROL!$C$9, $D$9, 100%, $F$9) + CHOOSE(CONTROL!$C$27, 0.0021, 0)</f>
        <v>24.147199999999998</v>
      </c>
      <c r="D87" s="14">
        <f>24.1451 * CHOOSE(CONTROL!$C$9, $D$9, 100%, $F$9) + CHOOSE(CONTROL!$C$27, 0.0021, 0)</f>
        <v>24.147199999999998</v>
      </c>
      <c r="E87" s="14">
        <f>24.0085 * CHOOSE(CONTROL!$C$9, $D$9, 100%, $F$9) + CHOOSE(CONTROL!$C$27, 0.0021, 0)</f>
        <v>24.0106</v>
      </c>
      <c r="F87" s="14">
        <f>24.0085 * CHOOSE(CONTROL!$C$9, $D$9, 100%, $F$9) + CHOOSE(CONTROL!$C$27, 0.0021, 0)</f>
        <v>24.0106</v>
      </c>
      <c r="G87" s="14">
        <f>24.2799 * CHOOSE(CONTROL!$C$9, $D$9, 100%, $F$9) + CHOOSE(CONTROL!$C$27, 0.0021, 0)</f>
        <v>24.282</v>
      </c>
      <c r="H87" s="14">
        <f>24.1451 * CHOOSE(CONTROL!$C$9, $D$9, 100%, $F$9) + CHOOSE(CONTROL!$C$27, 0.0021, 0)</f>
        <v>24.147199999999998</v>
      </c>
      <c r="I87" s="14">
        <f>24.1451 * CHOOSE(CONTROL!$C$9, $D$9, 100%, $F$9) + CHOOSE(CONTROL!$C$27, 0.0021, 0)</f>
        <v>24.147199999999998</v>
      </c>
      <c r="J87" s="14">
        <f>24.1451 * CHOOSE(CONTROL!$C$9, $D$9, 100%, $F$9) + CHOOSE(CONTROL!$C$27, 0.0021, 0)</f>
        <v>24.147199999999998</v>
      </c>
      <c r="K87" s="14">
        <f>24.1451 * CHOOSE(CONTROL!$C$9, $D$9, 100%, $F$9) + CHOOSE(CONTROL!$C$27, 0.0021, 0)</f>
        <v>24.147199999999998</v>
      </c>
      <c r="L87" s="14"/>
    </row>
    <row r="88" spans="1:12" ht="15" x14ac:dyDescent="0.2">
      <c r="A88" s="13">
        <v>43586</v>
      </c>
      <c r="B88" s="14">
        <f>25.0922 * CHOOSE(CONTROL!$C$9, $D$9, 100%, $F$9) + CHOOSE(CONTROL!$C$27, 0.0021, 0)</f>
        <v>25.094299999999997</v>
      </c>
      <c r="C88" s="14">
        <f>24.66 * CHOOSE(CONTROL!$C$9, $D$9, 100%, $F$9) + CHOOSE(CONTROL!$C$27, 0.0021, 0)</f>
        <v>24.662099999999999</v>
      </c>
      <c r="D88" s="14">
        <f>24.66 * CHOOSE(CONTROL!$C$9, $D$9, 100%, $F$9) + CHOOSE(CONTROL!$C$27, 0.0021, 0)</f>
        <v>24.662099999999999</v>
      </c>
      <c r="E88" s="14">
        <f>24.5233 * CHOOSE(CONTROL!$C$9, $D$9, 100%, $F$9) + CHOOSE(CONTROL!$C$27, 0.0021, 0)</f>
        <v>24.525399999999998</v>
      </c>
      <c r="F88" s="14">
        <f>24.5233 * CHOOSE(CONTROL!$C$9, $D$9, 100%, $F$9) + CHOOSE(CONTROL!$C$27, 0.0021, 0)</f>
        <v>24.525399999999998</v>
      </c>
      <c r="G88" s="14">
        <f>24.7947 * CHOOSE(CONTROL!$C$9, $D$9, 100%, $F$9) + CHOOSE(CONTROL!$C$27, 0.0021, 0)</f>
        <v>24.796799999999998</v>
      </c>
      <c r="H88" s="14">
        <f>24.66 * CHOOSE(CONTROL!$C$9, $D$9, 100%, $F$9) + CHOOSE(CONTROL!$C$27, 0.0021, 0)</f>
        <v>24.662099999999999</v>
      </c>
      <c r="I88" s="14">
        <f>24.66 * CHOOSE(CONTROL!$C$9, $D$9, 100%, $F$9) + CHOOSE(CONTROL!$C$27, 0.0021, 0)</f>
        <v>24.662099999999999</v>
      </c>
      <c r="J88" s="14">
        <f>24.66 * CHOOSE(CONTROL!$C$9, $D$9, 100%, $F$9) + CHOOSE(CONTROL!$C$27, 0.0021, 0)</f>
        <v>24.662099999999999</v>
      </c>
      <c r="K88" s="14">
        <f>24.66 * CHOOSE(CONTROL!$C$9, $D$9, 100%, $F$9) + CHOOSE(CONTROL!$C$27, 0.0021, 0)</f>
        <v>24.662099999999999</v>
      </c>
      <c r="L88" s="14"/>
    </row>
    <row r="89" spans="1:12" ht="15" x14ac:dyDescent="0.2">
      <c r="A89" s="13">
        <v>43617</v>
      </c>
      <c r="B89" s="14">
        <f>25.4207 * CHOOSE(CONTROL!$C$9, $D$9, 100%, $F$9) + CHOOSE(CONTROL!$C$27, 0.0021, 0)</f>
        <v>25.422799999999999</v>
      </c>
      <c r="C89" s="14">
        <f>24.9884 * CHOOSE(CONTROL!$C$9, $D$9, 100%, $F$9) + CHOOSE(CONTROL!$C$27, 0.0021, 0)</f>
        <v>24.990499999999997</v>
      </c>
      <c r="D89" s="14">
        <f>24.9884 * CHOOSE(CONTROL!$C$9, $D$9, 100%, $F$9) + CHOOSE(CONTROL!$C$27, 0.0021, 0)</f>
        <v>24.990499999999997</v>
      </c>
      <c r="E89" s="14">
        <f>24.8518 * CHOOSE(CONTROL!$C$9, $D$9, 100%, $F$9) + CHOOSE(CONTROL!$C$27, 0.0021, 0)</f>
        <v>24.853899999999999</v>
      </c>
      <c r="F89" s="14">
        <f>24.8518 * CHOOSE(CONTROL!$C$9, $D$9, 100%, $F$9) + CHOOSE(CONTROL!$C$27, 0.0021, 0)</f>
        <v>24.853899999999999</v>
      </c>
      <c r="G89" s="14">
        <f>25.1231 * CHOOSE(CONTROL!$C$9, $D$9, 100%, $F$9) + CHOOSE(CONTROL!$C$27, 0.0021, 0)</f>
        <v>25.1252</v>
      </c>
      <c r="H89" s="14">
        <f>24.9884 * CHOOSE(CONTROL!$C$9, $D$9, 100%, $F$9) + CHOOSE(CONTROL!$C$27, 0.0021, 0)</f>
        <v>24.990499999999997</v>
      </c>
      <c r="I89" s="14">
        <f>24.9884 * CHOOSE(CONTROL!$C$9, $D$9, 100%, $F$9) + CHOOSE(CONTROL!$C$27, 0.0021, 0)</f>
        <v>24.990499999999997</v>
      </c>
      <c r="J89" s="14">
        <f>24.9884 * CHOOSE(CONTROL!$C$9, $D$9, 100%, $F$9) + CHOOSE(CONTROL!$C$27, 0.0021, 0)</f>
        <v>24.990499999999997</v>
      </c>
      <c r="K89" s="14">
        <f>24.9884 * CHOOSE(CONTROL!$C$9, $D$9, 100%, $F$9) + CHOOSE(CONTROL!$C$27, 0.0021, 0)</f>
        <v>24.990499999999997</v>
      </c>
      <c r="L89" s="14"/>
    </row>
    <row r="90" spans="1:12" ht="15" x14ac:dyDescent="0.2">
      <c r="A90" s="13">
        <v>43647</v>
      </c>
      <c r="B90" s="14">
        <f>25.9336 * CHOOSE(CONTROL!$C$9, $D$9, 100%, $F$9) + CHOOSE(CONTROL!$C$27, 0.0021, 0)</f>
        <v>25.935699999999997</v>
      </c>
      <c r="C90" s="14">
        <f>25.5013 * CHOOSE(CONTROL!$C$9, $D$9, 100%, $F$9) + CHOOSE(CONTROL!$C$27, 0.0021, 0)</f>
        <v>25.503399999999999</v>
      </c>
      <c r="D90" s="14">
        <f>25.5013 * CHOOSE(CONTROL!$C$9, $D$9, 100%, $F$9) + CHOOSE(CONTROL!$C$27, 0.0021, 0)</f>
        <v>25.503399999999999</v>
      </c>
      <c r="E90" s="14">
        <f>25.3647 * CHOOSE(CONTROL!$C$9, $D$9, 100%, $F$9) + CHOOSE(CONTROL!$C$27, 0.0021, 0)</f>
        <v>25.366799999999998</v>
      </c>
      <c r="F90" s="14">
        <f>25.3647 * CHOOSE(CONTROL!$C$9, $D$9, 100%, $F$9) + CHOOSE(CONTROL!$C$27, 0.0021, 0)</f>
        <v>25.366799999999998</v>
      </c>
      <c r="G90" s="14">
        <f>25.6361 * CHOOSE(CONTROL!$C$9, $D$9, 100%, $F$9) + CHOOSE(CONTROL!$C$27, 0.0021, 0)</f>
        <v>25.638199999999998</v>
      </c>
      <c r="H90" s="14">
        <f>25.5013 * CHOOSE(CONTROL!$C$9, $D$9, 100%, $F$9) + CHOOSE(CONTROL!$C$27, 0.0021, 0)</f>
        <v>25.503399999999999</v>
      </c>
      <c r="I90" s="14">
        <f>25.5013 * CHOOSE(CONTROL!$C$9, $D$9, 100%, $F$9) + CHOOSE(CONTROL!$C$27, 0.0021, 0)</f>
        <v>25.503399999999999</v>
      </c>
      <c r="J90" s="14">
        <f>25.5013 * CHOOSE(CONTROL!$C$9, $D$9, 100%, $F$9) + CHOOSE(CONTROL!$C$27, 0.0021, 0)</f>
        <v>25.503399999999999</v>
      </c>
      <c r="K90" s="14">
        <f>25.5013 * CHOOSE(CONTROL!$C$9, $D$9, 100%, $F$9) + CHOOSE(CONTROL!$C$27, 0.0021, 0)</f>
        <v>25.503399999999999</v>
      </c>
      <c r="L90" s="14"/>
    </row>
    <row r="91" spans="1:12" ht="15" x14ac:dyDescent="0.2">
      <c r="A91" s="13">
        <v>43678</v>
      </c>
      <c r="B91" s="14">
        <f>26.1246 * CHOOSE(CONTROL!$C$9, $D$9, 100%, $F$9) + CHOOSE(CONTROL!$C$27, 0.0021, 0)</f>
        <v>26.1267</v>
      </c>
      <c r="C91" s="14">
        <f>25.6923 * CHOOSE(CONTROL!$C$9, $D$9, 100%, $F$9) + CHOOSE(CONTROL!$C$27, 0.0021, 0)</f>
        <v>25.694399999999998</v>
      </c>
      <c r="D91" s="14">
        <f>25.6923 * CHOOSE(CONTROL!$C$9, $D$9, 100%, $F$9) + CHOOSE(CONTROL!$C$27, 0.0021, 0)</f>
        <v>25.694399999999998</v>
      </c>
      <c r="E91" s="14">
        <f>25.5557 * CHOOSE(CONTROL!$C$9, $D$9, 100%, $F$9) + CHOOSE(CONTROL!$C$27, 0.0021, 0)</f>
        <v>25.5578</v>
      </c>
      <c r="F91" s="14">
        <f>25.5557 * CHOOSE(CONTROL!$C$9, $D$9, 100%, $F$9) + CHOOSE(CONTROL!$C$27, 0.0021, 0)</f>
        <v>25.5578</v>
      </c>
      <c r="G91" s="14">
        <f>25.8271 * CHOOSE(CONTROL!$C$9, $D$9, 100%, $F$9) + CHOOSE(CONTROL!$C$27, 0.0021, 0)</f>
        <v>25.8292</v>
      </c>
      <c r="H91" s="14">
        <f>25.6923 * CHOOSE(CONTROL!$C$9, $D$9, 100%, $F$9) + CHOOSE(CONTROL!$C$27, 0.0021, 0)</f>
        <v>25.694399999999998</v>
      </c>
      <c r="I91" s="14">
        <f>25.6923 * CHOOSE(CONTROL!$C$9, $D$9, 100%, $F$9) + CHOOSE(CONTROL!$C$27, 0.0021, 0)</f>
        <v>25.694399999999998</v>
      </c>
      <c r="J91" s="14">
        <f>25.6923 * CHOOSE(CONTROL!$C$9, $D$9, 100%, $F$9) + CHOOSE(CONTROL!$C$27, 0.0021, 0)</f>
        <v>25.694399999999998</v>
      </c>
      <c r="K91" s="14">
        <f>25.6923 * CHOOSE(CONTROL!$C$9, $D$9, 100%, $F$9) + CHOOSE(CONTROL!$C$27, 0.0021, 0)</f>
        <v>25.694399999999998</v>
      </c>
      <c r="L91" s="14"/>
    </row>
    <row r="92" spans="1:12" ht="15" x14ac:dyDescent="0.2">
      <c r="A92" s="13">
        <v>43709</v>
      </c>
      <c r="B92" s="14">
        <f>26.6593 * CHOOSE(CONTROL!$C$9, $D$9, 100%, $F$9) + CHOOSE(CONTROL!$C$27, 0.0021, 0)</f>
        <v>26.6614</v>
      </c>
      <c r="C92" s="14">
        <f>26.2271 * CHOOSE(CONTROL!$C$9, $D$9, 100%, $F$9) + CHOOSE(CONTROL!$C$27, 0.0021, 0)</f>
        <v>26.229199999999999</v>
      </c>
      <c r="D92" s="14">
        <f>26.2271 * CHOOSE(CONTROL!$C$9, $D$9, 100%, $F$9) + CHOOSE(CONTROL!$C$27, 0.0021, 0)</f>
        <v>26.229199999999999</v>
      </c>
      <c r="E92" s="14">
        <f>26.0904 * CHOOSE(CONTROL!$C$9, $D$9, 100%, $F$9) + CHOOSE(CONTROL!$C$27, 0.0021, 0)</f>
        <v>26.092499999999998</v>
      </c>
      <c r="F92" s="14">
        <f>26.0904 * CHOOSE(CONTROL!$C$9, $D$9, 100%, $F$9) + CHOOSE(CONTROL!$C$27, 0.0021, 0)</f>
        <v>26.092499999999998</v>
      </c>
      <c r="G92" s="14">
        <f>26.3618 * CHOOSE(CONTROL!$C$9, $D$9, 100%, $F$9) + CHOOSE(CONTROL!$C$27, 0.0021, 0)</f>
        <v>26.363899999999997</v>
      </c>
      <c r="H92" s="14">
        <f>26.2271 * CHOOSE(CONTROL!$C$9, $D$9, 100%, $F$9) + CHOOSE(CONTROL!$C$27, 0.0021, 0)</f>
        <v>26.229199999999999</v>
      </c>
      <c r="I92" s="14">
        <f>26.2271 * CHOOSE(CONTROL!$C$9, $D$9, 100%, $F$9) + CHOOSE(CONTROL!$C$27, 0.0021, 0)</f>
        <v>26.229199999999999</v>
      </c>
      <c r="J92" s="14">
        <f>26.2271 * CHOOSE(CONTROL!$C$9, $D$9, 100%, $F$9) + CHOOSE(CONTROL!$C$27, 0.0021, 0)</f>
        <v>26.229199999999999</v>
      </c>
      <c r="K92" s="14">
        <f>26.2271 * CHOOSE(CONTROL!$C$9, $D$9, 100%, $F$9) + CHOOSE(CONTROL!$C$27, 0.0021, 0)</f>
        <v>26.229199999999999</v>
      </c>
      <c r="L92" s="14"/>
    </row>
    <row r="93" spans="1:12" ht="15" x14ac:dyDescent="0.2">
      <c r="A93" s="13">
        <v>43739</v>
      </c>
      <c r="B93" s="14">
        <f>27.3255 * CHOOSE(CONTROL!$C$9, $D$9, 100%, $F$9) + CHOOSE(CONTROL!$C$27, 0.0021, 0)</f>
        <v>27.3276</v>
      </c>
      <c r="C93" s="14">
        <f>26.8932 * CHOOSE(CONTROL!$C$9, $D$9, 100%, $F$9) + CHOOSE(CONTROL!$C$27, 0.0021, 0)</f>
        <v>26.895299999999999</v>
      </c>
      <c r="D93" s="14">
        <f>26.8932 * CHOOSE(CONTROL!$C$9, $D$9, 100%, $F$9) + CHOOSE(CONTROL!$C$27, 0.0021, 0)</f>
        <v>26.895299999999999</v>
      </c>
      <c r="E93" s="14">
        <f>26.7566 * CHOOSE(CONTROL!$C$9, $D$9, 100%, $F$9) + CHOOSE(CONTROL!$C$27, 0.0021, 0)</f>
        <v>26.758699999999997</v>
      </c>
      <c r="F93" s="14">
        <f>26.7566 * CHOOSE(CONTROL!$C$9, $D$9, 100%, $F$9) + CHOOSE(CONTROL!$C$27, 0.0021, 0)</f>
        <v>26.758699999999997</v>
      </c>
      <c r="G93" s="14">
        <f>27.028 * CHOOSE(CONTROL!$C$9, $D$9, 100%, $F$9) + CHOOSE(CONTROL!$C$27, 0.0021, 0)</f>
        <v>27.030099999999997</v>
      </c>
      <c r="H93" s="14">
        <f>26.8932 * CHOOSE(CONTROL!$C$9, $D$9, 100%, $F$9) + CHOOSE(CONTROL!$C$27, 0.0021, 0)</f>
        <v>26.895299999999999</v>
      </c>
      <c r="I93" s="14">
        <f>26.8932 * CHOOSE(CONTROL!$C$9, $D$9, 100%, $F$9) + CHOOSE(CONTROL!$C$27, 0.0021, 0)</f>
        <v>26.895299999999999</v>
      </c>
      <c r="J93" s="14">
        <f>26.8932 * CHOOSE(CONTROL!$C$9, $D$9, 100%, $F$9) + CHOOSE(CONTROL!$C$27, 0.0021, 0)</f>
        <v>26.895299999999999</v>
      </c>
      <c r="K93" s="14">
        <f>26.8932 * CHOOSE(CONTROL!$C$9, $D$9, 100%, $F$9) + CHOOSE(CONTROL!$C$27, 0.0021, 0)</f>
        <v>26.895299999999999</v>
      </c>
      <c r="L93" s="14"/>
    </row>
    <row r="94" spans="1:12" ht="15" x14ac:dyDescent="0.2">
      <c r="A94" s="13">
        <v>43770</v>
      </c>
      <c r="B94" s="14">
        <f>27.435 * CHOOSE(CONTROL!$C$9, $D$9, 100%, $F$9) + CHOOSE(CONTROL!$C$27, 0.0021, 0)</f>
        <v>27.437099999999997</v>
      </c>
      <c r="C94" s="14">
        <f>27.0028 * CHOOSE(CONTROL!$C$9, $D$9, 100%, $F$9) + CHOOSE(CONTROL!$C$27, 0.0021, 0)</f>
        <v>27.004899999999999</v>
      </c>
      <c r="D94" s="14">
        <f>27.0028 * CHOOSE(CONTROL!$C$9, $D$9, 100%, $F$9) + CHOOSE(CONTROL!$C$27, 0.0021, 0)</f>
        <v>27.004899999999999</v>
      </c>
      <c r="E94" s="14">
        <f>26.8661 * CHOOSE(CONTROL!$C$9, $D$9, 100%, $F$9) + CHOOSE(CONTROL!$C$27, 0.0021, 0)</f>
        <v>26.868199999999998</v>
      </c>
      <c r="F94" s="14">
        <f>26.8661 * CHOOSE(CONTROL!$C$9, $D$9, 100%, $F$9) + CHOOSE(CONTROL!$C$27, 0.0021, 0)</f>
        <v>26.868199999999998</v>
      </c>
      <c r="G94" s="14">
        <f>27.1375 * CHOOSE(CONTROL!$C$9, $D$9, 100%, $F$9) + CHOOSE(CONTROL!$C$27, 0.0021, 0)</f>
        <v>27.139599999999998</v>
      </c>
      <c r="H94" s="14">
        <f>27.0028 * CHOOSE(CONTROL!$C$9, $D$9, 100%, $F$9) + CHOOSE(CONTROL!$C$27, 0.0021, 0)</f>
        <v>27.004899999999999</v>
      </c>
      <c r="I94" s="14">
        <f>27.0028 * CHOOSE(CONTROL!$C$9, $D$9, 100%, $F$9) + CHOOSE(CONTROL!$C$27, 0.0021, 0)</f>
        <v>27.004899999999999</v>
      </c>
      <c r="J94" s="14">
        <f>27.0028 * CHOOSE(CONTROL!$C$9, $D$9, 100%, $F$9) + CHOOSE(CONTROL!$C$27, 0.0021, 0)</f>
        <v>27.004899999999999</v>
      </c>
      <c r="K94" s="14">
        <f>27.0028 * CHOOSE(CONTROL!$C$9, $D$9, 100%, $F$9) + CHOOSE(CONTROL!$C$27, 0.0021, 0)</f>
        <v>27.004899999999999</v>
      </c>
      <c r="L94" s="14"/>
    </row>
    <row r="95" spans="1:12" ht="15" x14ac:dyDescent="0.2">
      <c r="A95" s="13">
        <v>43800</v>
      </c>
      <c r="B95" s="14">
        <f>26.9928 * CHOOSE(CONTROL!$C$9, $D$9, 100%, $F$9) + CHOOSE(CONTROL!$C$27, 0.0021, 0)</f>
        <v>26.994899999999998</v>
      </c>
      <c r="C95" s="14">
        <f>26.5605 * CHOOSE(CONTROL!$C$9, $D$9, 100%, $F$9) + CHOOSE(CONTROL!$C$27, 0.0021, 0)</f>
        <v>26.5626</v>
      </c>
      <c r="D95" s="14">
        <f>26.5605 * CHOOSE(CONTROL!$C$9, $D$9, 100%, $F$9) + CHOOSE(CONTROL!$C$27, 0.0021, 0)</f>
        <v>26.5626</v>
      </c>
      <c r="E95" s="14">
        <f>26.4239 * CHOOSE(CONTROL!$C$9, $D$9, 100%, $F$9) + CHOOSE(CONTROL!$C$27, 0.0021, 0)</f>
        <v>26.425999999999998</v>
      </c>
      <c r="F95" s="14">
        <f>26.4239 * CHOOSE(CONTROL!$C$9, $D$9, 100%, $F$9) + CHOOSE(CONTROL!$C$27, 0.0021, 0)</f>
        <v>26.425999999999998</v>
      </c>
      <c r="G95" s="14">
        <f>26.6953 * CHOOSE(CONTROL!$C$9, $D$9, 100%, $F$9) + CHOOSE(CONTROL!$C$27, 0.0021, 0)</f>
        <v>26.697399999999998</v>
      </c>
      <c r="H95" s="14">
        <f>26.5605 * CHOOSE(CONTROL!$C$9, $D$9, 100%, $F$9) + CHOOSE(CONTROL!$C$27, 0.0021, 0)</f>
        <v>26.5626</v>
      </c>
      <c r="I95" s="14">
        <f>26.5605 * CHOOSE(CONTROL!$C$9, $D$9, 100%, $F$9) + CHOOSE(CONTROL!$C$27, 0.0021, 0)</f>
        <v>26.5626</v>
      </c>
      <c r="J95" s="14">
        <f>26.5605 * CHOOSE(CONTROL!$C$9, $D$9, 100%, $F$9) + CHOOSE(CONTROL!$C$27, 0.0021, 0)</f>
        <v>26.5626</v>
      </c>
      <c r="K95" s="14">
        <f>26.5605 * CHOOSE(CONTROL!$C$9, $D$9, 100%, $F$9) + CHOOSE(CONTROL!$C$27, 0.0021, 0)</f>
        <v>26.5626</v>
      </c>
      <c r="L95" s="14"/>
    </row>
    <row r="96" spans="1:12" ht="15" x14ac:dyDescent="0.2">
      <c r="A96" s="13">
        <v>43831</v>
      </c>
      <c r="B96" s="14">
        <f>26.4839 * CHOOSE(CONTROL!$C$9, $D$9, 100%, $F$9) + CHOOSE(CONTROL!$C$27, 0.0021, 0)</f>
        <v>26.485999999999997</v>
      </c>
      <c r="C96" s="14">
        <f>26.0517 * CHOOSE(CONTROL!$C$9, $D$9, 100%, $F$9) + CHOOSE(CONTROL!$C$27, 0.0021, 0)</f>
        <v>26.053799999999999</v>
      </c>
      <c r="D96" s="14">
        <f>26.0517 * CHOOSE(CONTROL!$C$9, $D$9, 100%, $F$9) + CHOOSE(CONTROL!$C$27, 0.0021, 0)</f>
        <v>26.053799999999999</v>
      </c>
      <c r="E96" s="14">
        <f>25.915 * CHOOSE(CONTROL!$C$9, $D$9, 100%, $F$9) + CHOOSE(CONTROL!$C$27, 0.0021, 0)</f>
        <v>25.917099999999998</v>
      </c>
      <c r="F96" s="14">
        <f>25.915 * CHOOSE(CONTROL!$C$9, $D$9, 100%, $F$9) + CHOOSE(CONTROL!$C$27, 0.0021, 0)</f>
        <v>25.917099999999998</v>
      </c>
      <c r="G96" s="14">
        <f>26.1864 * CHOOSE(CONTROL!$C$9, $D$9, 100%, $F$9) + CHOOSE(CONTROL!$C$27, 0.0021, 0)</f>
        <v>26.188499999999998</v>
      </c>
      <c r="H96" s="14">
        <f>26.0517 * CHOOSE(CONTROL!$C$9, $D$9, 100%, $F$9) + CHOOSE(CONTROL!$C$27, 0.0021, 0)</f>
        <v>26.053799999999999</v>
      </c>
      <c r="I96" s="14">
        <f>26.0517 * CHOOSE(CONTROL!$C$9, $D$9, 100%, $F$9) + CHOOSE(CONTROL!$C$27, 0.0021, 0)</f>
        <v>26.053799999999999</v>
      </c>
      <c r="J96" s="14">
        <f>26.0517 * CHOOSE(CONTROL!$C$9, $D$9, 100%, $F$9) + CHOOSE(CONTROL!$C$27, 0.0021, 0)</f>
        <v>26.053799999999999</v>
      </c>
      <c r="K96" s="14">
        <f>26.0517 * CHOOSE(CONTROL!$C$9, $D$9, 100%, $F$9) + CHOOSE(CONTROL!$C$27, 0.0021, 0)</f>
        <v>26.053799999999999</v>
      </c>
      <c r="L96" s="14"/>
    </row>
    <row r="97" spans="1:12" ht="15" x14ac:dyDescent="0.2">
      <c r="A97" s="13">
        <v>43862</v>
      </c>
      <c r="B97" s="14">
        <f>25.8481 * CHOOSE(CONTROL!$C$9, $D$9, 100%, $F$9) + CHOOSE(CONTROL!$C$27, 0.0021, 0)</f>
        <v>25.850199999999997</v>
      </c>
      <c r="C97" s="14">
        <f>25.4158 * CHOOSE(CONTROL!$C$9, $D$9, 100%, $F$9) + CHOOSE(CONTROL!$C$27, 0.0021, 0)</f>
        <v>25.417899999999999</v>
      </c>
      <c r="D97" s="14">
        <f>25.4158 * CHOOSE(CONTROL!$C$9, $D$9, 100%, $F$9) + CHOOSE(CONTROL!$C$27, 0.0021, 0)</f>
        <v>25.417899999999999</v>
      </c>
      <c r="E97" s="14">
        <f>25.2792 * CHOOSE(CONTROL!$C$9, $D$9, 100%, $F$9) + CHOOSE(CONTROL!$C$27, 0.0021, 0)</f>
        <v>25.281299999999998</v>
      </c>
      <c r="F97" s="14">
        <f>25.2792 * CHOOSE(CONTROL!$C$9, $D$9, 100%, $F$9) + CHOOSE(CONTROL!$C$27, 0.0021, 0)</f>
        <v>25.281299999999998</v>
      </c>
      <c r="G97" s="14">
        <f>25.5505 * CHOOSE(CONTROL!$C$9, $D$9, 100%, $F$9) + CHOOSE(CONTROL!$C$27, 0.0021, 0)</f>
        <v>25.552599999999998</v>
      </c>
      <c r="H97" s="14">
        <f>25.4158 * CHOOSE(CONTROL!$C$9, $D$9, 100%, $F$9) + CHOOSE(CONTROL!$C$27, 0.0021, 0)</f>
        <v>25.417899999999999</v>
      </c>
      <c r="I97" s="14">
        <f>25.4158 * CHOOSE(CONTROL!$C$9, $D$9, 100%, $F$9) + CHOOSE(CONTROL!$C$27, 0.0021, 0)</f>
        <v>25.417899999999999</v>
      </c>
      <c r="J97" s="14">
        <f>25.4158 * CHOOSE(CONTROL!$C$9, $D$9, 100%, $F$9) + CHOOSE(CONTROL!$C$27, 0.0021, 0)</f>
        <v>25.417899999999999</v>
      </c>
      <c r="K97" s="14">
        <f>25.4158 * CHOOSE(CONTROL!$C$9, $D$9, 100%, $F$9) + CHOOSE(CONTROL!$C$27, 0.0021, 0)</f>
        <v>25.417899999999999</v>
      </c>
      <c r="L97" s="14"/>
    </row>
    <row r="98" spans="1:12" ht="15" x14ac:dyDescent="0.2">
      <c r="A98" s="13">
        <v>43891</v>
      </c>
      <c r="B98" s="14">
        <f>25.613 * CHOOSE(CONTROL!$C$9, $D$9, 100%, $F$9) + CHOOSE(CONTROL!$C$27, 0.0021, 0)</f>
        <v>25.615099999999998</v>
      </c>
      <c r="C98" s="14">
        <f>25.1807 * CHOOSE(CONTROL!$C$9, $D$9, 100%, $F$9) + CHOOSE(CONTROL!$C$27, 0.0021, 0)</f>
        <v>25.1828</v>
      </c>
      <c r="D98" s="14">
        <f>25.1807 * CHOOSE(CONTROL!$C$9, $D$9, 100%, $F$9) + CHOOSE(CONTROL!$C$27, 0.0021, 0)</f>
        <v>25.1828</v>
      </c>
      <c r="E98" s="14">
        <f>25.0441 * CHOOSE(CONTROL!$C$9, $D$9, 100%, $F$9) + CHOOSE(CONTROL!$C$27, 0.0021, 0)</f>
        <v>25.046199999999999</v>
      </c>
      <c r="F98" s="14">
        <f>25.0441 * CHOOSE(CONTROL!$C$9, $D$9, 100%, $F$9) + CHOOSE(CONTROL!$C$27, 0.0021, 0)</f>
        <v>25.046199999999999</v>
      </c>
      <c r="G98" s="14">
        <f>25.3154 * CHOOSE(CONTROL!$C$9, $D$9, 100%, $F$9) + CHOOSE(CONTROL!$C$27, 0.0021, 0)</f>
        <v>25.317499999999999</v>
      </c>
      <c r="H98" s="14">
        <f>25.1807 * CHOOSE(CONTROL!$C$9, $D$9, 100%, $F$9) + CHOOSE(CONTROL!$C$27, 0.0021, 0)</f>
        <v>25.1828</v>
      </c>
      <c r="I98" s="14">
        <f>25.1807 * CHOOSE(CONTROL!$C$9, $D$9, 100%, $F$9) + CHOOSE(CONTROL!$C$27, 0.0021, 0)</f>
        <v>25.1828</v>
      </c>
      <c r="J98" s="14">
        <f>25.1807 * CHOOSE(CONTROL!$C$9, $D$9, 100%, $F$9) + CHOOSE(CONTROL!$C$27, 0.0021, 0)</f>
        <v>25.1828</v>
      </c>
      <c r="K98" s="14">
        <f>25.1807 * CHOOSE(CONTROL!$C$9, $D$9, 100%, $F$9) + CHOOSE(CONTROL!$C$27, 0.0021, 0)</f>
        <v>25.1828</v>
      </c>
      <c r="L98" s="14"/>
    </row>
    <row r="99" spans="1:12" ht="15" x14ac:dyDescent="0.2">
      <c r="A99" s="13">
        <v>43922</v>
      </c>
      <c r="B99" s="14">
        <f>25.3216 * CHOOSE(CONTROL!$C$9, $D$9, 100%, $F$9) + CHOOSE(CONTROL!$C$27, 0.0021, 0)</f>
        <v>25.323699999999999</v>
      </c>
      <c r="C99" s="14">
        <f>24.8894 * CHOOSE(CONTROL!$C$9, $D$9, 100%, $F$9) + CHOOSE(CONTROL!$C$27, 0.0021, 0)</f>
        <v>24.891499999999997</v>
      </c>
      <c r="D99" s="14">
        <f>24.8894 * CHOOSE(CONTROL!$C$9, $D$9, 100%, $F$9) + CHOOSE(CONTROL!$C$27, 0.0021, 0)</f>
        <v>24.891499999999997</v>
      </c>
      <c r="E99" s="14">
        <f>24.7527 * CHOOSE(CONTROL!$C$9, $D$9, 100%, $F$9) + CHOOSE(CONTROL!$C$27, 0.0021, 0)</f>
        <v>24.754799999999999</v>
      </c>
      <c r="F99" s="14">
        <f>24.7527 * CHOOSE(CONTROL!$C$9, $D$9, 100%, $F$9) + CHOOSE(CONTROL!$C$27, 0.0021, 0)</f>
        <v>24.754799999999999</v>
      </c>
      <c r="G99" s="14">
        <f>25.0241 * CHOOSE(CONTROL!$C$9, $D$9, 100%, $F$9) + CHOOSE(CONTROL!$C$27, 0.0021, 0)</f>
        <v>25.026199999999999</v>
      </c>
      <c r="H99" s="14">
        <f>24.8894 * CHOOSE(CONTROL!$C$9, $D$9, 100%, $F$9) + CHOOSE(CONTROL!$C$27, 0.0021, 0)</f>
        <v>24.891499999999997</v>
      </c>
      <c r="I99" s="14">
        <f>24.8894 * CHOOSE(CONTROL!$C$9, $D$9, 100%, $F$9) + CHOOSE(CONTROL!$C$27, 0.0021, 0)</f>
        <v>24.891499999999997</v>
      </c>
      <c r="J99" s="14">
        <f>24.8894 * CHOOSE(CONTROL!$C$9, $D$9, 100%, $F$9) + CHOOSE(CONTROL!$C$27, 0.0021, 0)</f>
        <v>24.891499999999997</v>
      </c>
      <c r="K99" s="14">
        <f>24.8894 * CHOOSE(CONTROL!$C$9, $D$9, 100%, $F$9) + CHOOSE(CONTROL!$C$27, 0.0021, 0)</f>
        <v>24.891499999999997</v>
      </c>
      <c r="L99" s="14"/>
    </row>
    <row r="100" spans="1:12" ht="15" x14ac:dyDescent="0.2">
      <c r="A100" s="13">
        <v>43952</v>
      </c>
      <c r="B100" s="14">
        <f>25.8537 * CHOOSE(CONTROL!$C$9, $D$9, 100%, $F$9) + CHOOSE(CONTROL!$C$27, 0.0021, 0)</f>
        <v>25.855799999999999</v>
      </c>
      <c r="C100" s="14">
        <f>25.4215 * CHOOSE(CONTROL!$C$9, $D$9, 100%, $F$9) + CHOOSE(CONTROL!$C$27, 0.0021, 0)</f>
        <v>25.4236</v>
      </c>
      <c r="D100" s="14">
        <f>25.4215 * CHOOSE(CONTROL!$C$9, $D$9, 100%, $F$9) + CHOOSE(CONTROL!$C$27, 0.0021, 0)</f>
        <v>25.4236</v>
      </c>
      <c r="E100" s="14">
        <f>25.2848 * CHOOSE(CONTROL!$C$9, $D$9, 100%, $F$9) + CHOOSE(CONTROL!$C$27, 0.0021, 0)</f>
        <v>25.286899999999999</v>
      </c>
      <c r="F100" s="14">
        <f>25.2848 * CHOOSE(CONTROL!$C$9, $D$9, 100%, $F$9) + CHOOSE(CONTROL!$C$27, 0.0021, 0)</f>
        <v>25.286899999999999</v>
      </c>
      <c r="G100" s="14">
        <f>25.5562 * CHOOSE(CONTROL!$C$9, $D$9, 100%, $F$9) + CHOOSE(CONTROL!$C$27, 0.0021, 0)</f>
        <v>25.558299999999999</v>
      </c>
      <c r="H100" s="14">
        <f>25.4215 * CHOOSE(CONTROL!$C$9, $D$9, 100%, $F$9) + CHOOSE(CONTROL!$C$27, 0.0021, 0)</f>
        <v>25.4236</v>
      </c>
      <c r="I100" s="14">
        <f>25.4215 * CHOOSE(CONTROL!$C$9, $D$9, 100%, $F$9) + CHOOSE(CONTROL!$C$27, 0.0021, 0)</f>
        <v>25.4236</v>
      </c>
      <c r="J100" s="14">
        <f>25.4215 * CHOOSE(CONTROL!$C$9, $D$9, 100%, $F$9) + CHOOSE(CONTROL!$C$27, 0.0021, 0)</f>
        <v>25.4236</v>
      </c>
      <c r="K100" s="14">
        <f>25.4215 * CHOOSE(CONTROL!$C$9, $D$9, 100%, $F$9) + CHOOSE(CONTROL!$C$27, 0.0021, 0)</f>
        <v>25.4236</v>
      </c>
      <c r="L100" s="14"/>
    </row>
    <row r="101" spans="1:12" ht="15" x14ac:dyDescent="0.2">
      <c r="A101" s="13">
        <v>43983</v>
      </c>
      <c r="B101" s="14">
        <f>26.1931 * CHOOSE(CONTROL!$C$9, $D$9, 100%, $F$9) + CHOOSE(CONTROL!$C$27, 0.0021, 0)</f>
        <v>26.1952</v>
      </c>
      <c r="C101" s="14">
        <f>25.7609 * CHOOSE(CONTROL!$C$9, $D$9, 100%, $F$9) + CHOOSE(CONTROL!$C$27, 0.0021, 0)</f>
        <v>25.762999999999998</v>
      </c>
      <c r="D101" s="14">
        <f>25.7609 * CHOOSE(CONTROL!$C$9, $D$9, 100%, $F$9) + CHOOSE(CONTROL!$C$27, 0.0021, 0)</f>
        <v>25.762999999999998</v>
      </c>
      <c r="E101" s="14">
        <f>25.6242 * CHOOSE(CONTROL!$C$9, $D$9, 100%, $F$9) + CHOOSE(CONTROL!$C$27, 0.0021, 0)</f>
        <v>25.626299999999997</v>
      </c>
      <c r="F101" s="14">
        <f>25.6242 * CHOOSE(CONTROL!$C$9, $D$9, 100%, $F$9) + CHOOSE(CONTROL!$C$27, 0.0021, 0)</f>
        <v>25.626299999999997</v>
      </c>
      <c r="G101" s="14">
        <f>25.8956 * CHOOSE(CONTROL!$C$9, $D$9, 100%, $F$9) + CHOOSE(CONTROL!$C$27, 0.0021, 0)</f>
        <v>25.8977</v>
      </c>
      <c r="H101" s="14">
        <f>25.7609 * CHOOSE(CONTROL!$C$9, $D$9, 100%, $F$9) + CHOOSE(CONTROL!$C$27, 0.0021, 0)</f>
        <v>25.762999999999998</v>
      </c>
      <c r="I101" s="14">
        <f>25.7609 * CHOOSE(CONTROL!$C$9, $D$9, 100%, $F$9) + CHOOSE(CONTROL!$C$27, 0.0021, 0)</f>
        <v>25.762999999999998</v>
      </c>
      <c r="J101" s="14">
        <f>25.7609 * CHOOSE(CONTROL!$C$9, $D$9, 100%, $F$9) + CHOOSE(CONTROL!$C$27, 0.0021, 0)</f>
        <v>25.762999999999998</v>
      </c>
      <c r="K101" s="14">
        <f>25.7609 * CHOOSE(CONTROL!$C$9, $D$9, 100%, $F$9) + CHOOSE(CONTROL!$C$27, 0.0021, 0)</f>
        <v>25.762999999999998</v>
      </c>
      <c r="L101" s="14"/>
    </row>
    <row r="102" spans="1:12" ht="15" x14ac:dyDescent="0.2">
      <c r="A102" s="13">
        <v>44013</v>
      </c>
      <c r="B102" s="14">
        <f>26.7231 * CHOOSE(CONTROL!$C$9, $D$9, 100%, $F$9) + CHOOSE(CONTROL!$C$27, 0.0021, 0)</f>
        <v>26.725199999999997</v>
      </c>
      <c r="C102" s="14">
        <f>26.2909 * CHOOSE(CONTROL!$C$9, $D$9, 100%, $F$9) + CHOOSE(CONTROL!$C$27, 0.0021, 0)</f>
        <v>26.292999999999999</v>
      </c>
      <c r="D102" s="14">
        <f>26.2909 * CHOOSE(CONTROL!$C$9, $D$9, 100%, $F$9) + CHOOSE(CONTROL!$C$27, 0.0021, 0)</f>
        <v>26.292999999999999</v>
      </c>
      <c r="E102" s="14">
        <f>26.1542 * CHOOSE(CONTROL!$C$9, $D$9, 100%, $F$9) + CHOOSE(CONTROL!$C$27, 0.0021, 0)</f>
        <v>26.156299999999998</v>
      </c>
      <c r="F102" s="14">
        <f>26.1542 * CHOOSE(CONTROL!$C$9, $D$9, 100%, $F$9) + CHOOSE(CONTROL!$C$27, 0.0021, 0)</f>
        <v>26.156299999999998</v>
      </c>
      <c r="G102" s="14">
        <f>26.4256 * CHOOSE(CONTROL!$C$9, $D$9, 100%, $F$9) + CHOOSE(CONTROL!$C$27, 0.0021, 0)</f>
        <v>26.427699999999998</v>
      </c>
      <c r="H102" s="14">
        <f>26.2909 * CHOOSE(CONTROL!$C$9, $D$9, 100%, $F$9) + CHOOSE(CONTROL!$C$27, 0.0021, 0)</f>
        <v>26.292999999999999</v>
      </c>
      <c r="I102" s="14">
        <f>26.2909 * CHOOSE(CONTROL!$C$9, $D$9, 100%, $F$9) + CHOOSE(CONTROL!$C$27, 0.0021, 0)</f>
        <v>26.292999999999999</v>
      </c>
      <c r="J102" s="14">
        <f>26.2909 * CHOOSE(CONTROL!$C$9, $D$9, 100%, $F$9) + CHOOSE(CONTROL!$C$27, 0.0021, 0)</f>
        <v>26.292999999999999</v>
      </c>
      <c r="K102" s="14">
        <f>26.2909 * CHOOSE(CONTROL!$C$9, $D$9, 100%, $F$9) + CHOOSE(CONTROL!$C$27, 0.0021, 0)</f>
        <v>26.292999999999999</v>
      </c>
      <c r="L102" s="14"/>
    </row>
    <row r="103" spans="1:12" ht="15" x14ac:dyDescent="0.2">
      <c r="A103" s="13">
        <v>44044</v>
      </c>
      <c r="B103" s="14">
        <f>26.9205 * CHOOSE(CONTROL!$C$9, $D$9, 100%, $F$9) + CHOOSE(CONTROL!$C$27, 0.0021, 0)</f>
        <v>26.922599999999999</v>
      </c>
      <c r="C103" s="14">
        <f>26.4883 * CHOOSE(CONTROL!$C$9, $D$9, 100%, $F$9) + CHOOSE(CONTROL!$C$27, 0.0021, 0)</f>
        <v>26.490399999999998</v>
      </c>
      <c r="D103" s="14">
        <f>26.4883 * CHOOSE(CONTROL!$C$9, $D$9, 100%, $F$9) + CHOOSE(CONTROL!$C$27, 0.0021, 0)</f>
        <v>26.490399999999998</v>
      </c>
      <c r="E103" s="14">
        <f>26.3516 * CHOOSE(CONTROL!$C$9, $D$9, 100%, $F$9) + CHOOSE(CONTROL!$C$27, 0.0021, 0)</f>
        <v>26.3537</v>
      </c>
      <c r="F103" s="14">
        <f>26.3516 * CHOOSE(CONTROL!$C$9, $D$9, 100%, $F$9) + CHOOSE(CONTROL!$C$27, 0.0021, 0)</f>
        <v>26.3537</v>
      </c>
      <c r="G103" s="14">
        <f>26.623 * CHOOSE(CONTROL!$C$9, $D$9, 100%, $F$9) + CHOOSE(CONTROL!$C$27, 0.0021, 0)</f>
        <v>26.6251</v>
      </c>
      <c r="H103" s="14">
        <f>26.4883 * CHOOSE(CONTROL!$C$9, $D$9, 100%, $F$9) + CHOOSE(CONTROL!$C$27, 0.0021, 0)</f>
        <v>26.490399999999998</v>
      </c>
      <c r="I103" s="14">
        <f>26.4883 * CHOOSE(CONTROL!$C$9, $D$9, 100%, $F$9) + CHOOSE(CONTROL!$C$27, 0.0021, 0)</f>
        <v>26.490399999999998</v>
      </c>
      <c r="J103" s="14">
        <f>26.4883 * CHOOSE(CONTROL!$C$9, $D$9, 100%, $F$9) + CHOOSE(CONTROL!$C$27, 0.0021, 0)</f>
        <v>26.490399999999998</v>
      </c>
      <c r="K103" s="14">
        <f>26.4883 * CHOOSE(CONTROL!$C$9, $D$9, 100%, $F$9) + CHOOSE(CONTROL!$C$27, 0.0021, 0)</f>
        <v>26.490399999999998</v>
      </c>
      <c r="L103" s="14"/>
    </row>
    <row r="104" spans="1:12" ht="15" x14ac:dyDescent="0.2">
      <c r="A104" s="13">
        <v>44075</v>
      </c>
      <c r="B104" s="14">
        <f>27.4731 * CHOOSE(CONTROL!$C$9, $D$9, 100%, $F$9) + CHOOSE(CONTROL!$C$27, 0.0021, 0)</f>
        <v>27.475199999999997</v>
      </c>
      <c r="C104" s="14">
        <f>27.0409 * CHOOSE(CONTROL!$C$9, $D$9, 100%, $F$9) + CHOOSE(CONTROL!$C$27, 0.0021, 0)</f>
        <v>27.042999999999999</v>
      </c>
      <c r="D104" s="14">
        <f>27.0409 * CHOOSE(CONTROL!$C$9, $D$9, 100%, $F$9) + CHOOSE(CONTROL!$C$27, 0.0021, 0)</f>
        <v>27.042999999999999</v>
      </c>
      <c r="E104" s="14">
        <f>26.9042 * CHOOSE(CONTROL!$C$9, $D$9, 100%, $F$9) + CHOOSE(CONTROL!$C$27, 0.0021, 0)</f>
        <v>26.906299999999998</v>
      </c>
      <c r="F104" s="14">
        <f>26.9042 * CHOOSE(CONTROL!$C$9, $D$9, 100%, $F$9) + CHOOSE(CONTROL!$C$27, 0.0021, 0)</f>
        <v>26.906299999999998</v>
      </c>
      <c r="G104" s="14">
        <f>27.1756 * CHOOSE(CONTROL!$C$9, $D$9, 100%, $F$9) + CHOOSE(CONTROL!$C$27, 0.0021, 0)</f>
        <v>27.177699999999998</v>
      </c>
      <c r="H104" s="14">
        <f>27.0409 * CHOOSE(CONTROL!$C$9, $D$9, 100%, $F$9) + CHOOSE(CONTROL!$C$27, 0.0021, 0)</f>
        <v>27.042999999999999</v>
      </c>
      <c r="I104" s="14">
        <f>27.0409 * CHOOSE(CONTROL!$C$9, $D$9, 100%, $F$9) + CHOOSE(CONTROL!$C$27, 0.0021, 0)</f>
        <v>27.042999999999999</v>
      </c>
      <c r="J104" s="14">
        <f>27.0409 * CHOOSE(CONTROL!$C$9, $D$9, 100%, $F$9) + CHOOSE(CONTROL!$C$27, 0.0021, 0)</f>
        <v>27.042999999999999</v>
      </c>
      <c r="K104" s="14">
        <f>27.0409 * CHOOSE(CONTROL!$C$9, $D$9, 100%, $F$9) + CHOOSE(CONTROL!$C$27, 0.0021, 0)</f>
        <v>27.042999999999999</v>
      </c>
      <c r="L104" s="14"/>
    </row>
    <row r="105" spans="1:12" ht="15" x14ac:dyDescent="0.2">
      <c r="A105" s="13">
        <v>44105</v>
      </c>
      <c r="B105" s="14">
        <f>28.1615 * CHOOSE(CONTROL!$C$9, $D$9, 100%, $F$9) + CHOOSE(CONTROL!$C$27, 0.0021, 0)</f>
        <v>28.163599999999999</v>
      </c>
      <c r="C105" s="14">
        <f>27.7293 * CHOOSE(CONTROL!$C$9, $D$9, 100%, $F$9) + CHOOSE(CONTROL!$C$27, 0.0021, 0)</f>
        <v>27.731399999999997</v>
      </c>
      <c r="D105" s="14">
        <f>27.7293 * CHOOSE(CONTROL!$C$9, $D$9, 100%, $F$9) + CHOOSE(CONTROL!$C$27, 0.0021, 0)</f>
        <v>27.731399999999997</v>
      </c>
      <c r="E105" s="14">
        <f>27.5926 * CHOOSE(CONTROL!$C$9, $D$9, 100%, $F$9) + CHOOSE(CONTROL!$C$27, 0.0021, 0)</f>
        <v>27.5947</v>
      </c>
      <c r="F105" s="14">
        <f>27.5926 * CHOOSE(CONTROL!$C$9, $D$9, 100%, $F$9) + CHOOSE(CONTROL!$C$27, 0.0021, 0)</f>
        <v>27.5947</v>
      </c>
      <c r="G105" s="14">
        <f>27.864 * CHOOSE(CONTROL!$C$9, $D$9, 100%, $F$9) + CHOOSE(CONTROL!$C$27, 0.0021, 0)</f>
        <v>27.866099999999999</v>
      </c>
      <c r="H105" s="14">
        <f>27.7293 * CHOOSE(CONTROL!$C$9, $D$9, 100%, $F$9) + CHOOSE(CONTROL!$C$27, 0.0021, 0)</f>
        <v>27.731399999999997</v>
      </c>
      <c r="I105" s="14">
        <f>27.7293 * CHOOSE(CONTROL!$C$9, $D$9, 100%, $F$9) + CHOOSE(CONTROL!$C$27, 0.0021, 0)</f>
        <v>27.731399999999997</v>
      </c>
      <c r="J105" s="14">
        <f>27.7293 * CHOOSE(CONTROL!$C$9, $D$9, 100%, $F$9) + CHOOSE(CONTROL!$C$27, 0.0021, 0)</f>
        <v>27.731399999999997</v>
      </c>
      <c r="K105" s="14">
        <f>27.7293 * CHOOSE(CONTROL!$C$9, $D$9, 100%, $F$9) + CHOOSE(CONTROL!$C$27, 0.0021, 0)</f>
        <v>27.731399999999997</v>
      </c>
      <c r="L105" s="14"/>
    </row>
    <row r="106" spans="1:12" ht="15" x14ac:dyDescent="0.2">
      <c r="A106" s="13">
        <v>44136</v>
      </c>
      <c r="B106" s="14">
        <f>28.2747 * CHOOSE(CONTROL!$C$9, $D$9, 100%, $F$9) + CHOOSE(CONTROL!$C$27, 0.0021, 0)</f>
        <v>28.276799999999998</v>
      </c>
      <c r="C106" s="14">
        <f>27.8424 * CHOOSE(CONTROL!$C$9, $D$9, 100%, $F$9) + CHOOSE(CONTROL!$C$27, 0.0021, 0)</f>
        <v>27.8445</v>
      </c>
      <c r="D106" s="14">
        <f>27.8424 * CHOOSE(CONTROL!$C$9, $D$9, 100%, $F$9) + CHOOSE(CONTROL!$C$27, 0.0021, 0)</f>
        <v>27.8445</v>
      </c>
      <c r="E106" s="14">
        <f>27.7058 * CHOOSE(CONTROL!$C$9, $D$9, 100%, $F$9) + CHOOSE(CONTROL!$C$27, 0.0021, 0)</f>
        <v>27.707899999999999</v>
      </c>
      <c r="F106" s="14">
        <f>27.7058 * CHOOSE(CONTROL!$C$9, $D$9, 100%, $F$9) + CHOOSE(CONTROL!$C$27, 0.0021, 0)</f>
        <v>27.707899999999999</v>
      </c>
      <c r="G106" s="14">
        <f>27.9772 * CHOOSE(CONTROL!$C$9, $D$9, 100%, $F$9) + CHOOSE(CONTROL!$C$27, 0.0021, 0)</f>
        <v>27.979299999999999</v>
      </c>
      <c r="H106" s="14">
        <f>27.8424 * CHOOSE(CONTROL!$C$9, $D$9, 100%, $F$9) + CHOOSE(CONTROL!$C$27, 0.0021, 0)</f>
        <v>27.8445</v>
      </c>
      <c r="I106" s="14">
        <f>27.8424 * CHOOSE(CONTROL!$C$9, $D$9, 100%, $F$9) + CHOOSE(CONTROL!$C$27, 0.0021, 0)</f>
        <v>27.8445</v>
      </c>
      <c r="J106" s="14">
        <f>27.8424 * CHOOSE(CONTROL!$C$9, $D$9, 100%, $F$9) + CHOOSE(CONTROL!$C$27, 0.0021, 0)</f>
        <v>27.8445</v>
      </c>
      <c r="K106" s="14">
        <f>27.8424 * CHOOSE(CONTROL!$C$9, $D$9, 100%, $F$9) + CHOOSE(CONTROL!$C$27, 0.0021, 0)</f>
        <v>27.8445</v>
      </c>
      <c r="L106" s="14"/>
    </row>
    <row r="107" spans="1:12" ht="15" x14ac:dyDescent="0.2">
      <c r="A107" s="13">
        <v>44166</v>
      </c>
      <c r="B107" s="14">
        <f>27.8177 * CHOOSE(CONTROL!$C$9, $D$9, 100%, $F$9) + CHOOSE(CONTROL!$C$27, 0.0021, 0)</f>
        <v>27.819799999999997</v>
      </c>
      <c r="C107" s="14">
        <f>27.3855 * CHOOSE(CONTROL!$C$9, $D$9, 100%, $F$9) + CHOOSE(CONTROL!$C$27, 0.0021, 0)</f>
        <v>27.387599999999999</v>
      </c>
      <c r="D107" s="14">
        <f>27.3855 * CHOOSE(CONTROL!$C$9, $D$9, 100%, $F$9) + CHOOSE(CONTROL!$C$27, 0.0021, 0)</f>
        <v>27.387599999999999</v>
      </c>
      <c r="E107" s="14">
        <f>27.2488 * CHOOSE(CONTROL!$C$9, $D$9, 100%, $F$9) + CHOOSE(CONTROL!$C$27, 0.0021, 0)</f>
        <v>27.250899999999998</v>
      </c>
      <c r="F107" s="14">
        <f>27.2488 * CHOOSE(CONTROL!$C$9, $D$9, 100%, $F$9) + CHOOSE(CONTROL!$C$27, 0.0021, 0)</f>
        <v>27.250899999999998</v>
      </c>
      <c r="G107" s="14">
        <f>27.5202 * CHOOSE(CONTROL!$C$9, $D$9, 100%, $F$9) + CHOOSE(CONTROL!$C$27, 0.0021, 0)</f>
        <v>27.522299999999998</v>
      </c>
      <c r="H107" s="14">
        <f>27.3855 * CHOOSE(CONTROL!$C$9, $D$9, 100%, $F$9) + CHOOSE(CONTROL!$C$27, 0.0021, 0)</f>
        <v>27.387599999999999</v>
      </c>
      <c r="I107" s="14">
        <f>27.3855 * CHOOSE(CONTROL!$C$9, $D$9, 100%, $F$9) + CHOOSE(CONTROL!$C$27, 0.0021, 0)</f>
        <v>27.387599999999999</v>
      </c>
      <c r="J107" s="14">
        <f>27.3855 * CHOOSE(CONTROL!$C$9, $D$9, 100%, $F$9) + CHOOSE(CONTROL!$C$27, 0.0021, 0)</f>
        <v>27.387599999999999</v>
      </c>
      <c r="K107" s="14">
        <f>27.3855 * CHOOSE(CONTROL!$C$9, $D$9, 100%, $F$9) + CHOOSE(CONTROL!$C$27, 0.0021, 0)</f>
        <v>27.387599999999999</v>
      </c>
      <c r="L107" s="14"/>
    </row>
    <row r="108" spans="1:12" ht="15" x14ac:dyDescent="0.2">
      <c r="A108" s="13">
        <v>44197</v>
      </c>
      <c r="B108" s="14">
        <f>27.8324 * CHOOSE(CONTROL!$C$9, $D$9, 100%, $F$9) + CHOOSE(CONTROL!$C$27, 0.0021, 0)</f>
        <v>27.834499999999998</v>
      </c>
      <c r="C108" s="14">
        <f>27.4002 * CHOOSE(CONTROL!$C$9, $D$9, 100%, $F$9) + CHOOSE(CONTROL!$C$27, 0.0021, 0)</f>
        <v>27.4023</v>
      </c>
      <c r="D108" s="14">
        <f>27.4002 * CHOOSE(CONTROL!$C$9, $D$9, 100%, $F$9) + CHOOSE(CONTROL!$C$27, 0.0021, 0)</f>
        <v>27.4023</v>
      </c>
      <c r="E108" s="14">
        <f>27.2635 * CHOOSE(CONTROL!$C$9, $D$9, 100%, $F$9) + CHOOSE(CONTROL!$C$27, 0.0021, 0)</f>
        <v>27.265599999999999</v>
      </c>
      <c r="F108" s="14">
        <f>27.2635 * CHOOSE(CONTROL!$C$9, $D$9, 100%, $F$9) + CHOOSE(CONTROL!$C$27, 0.0021, 0)</f>
        <v>27.265599999999999</v>
      </c>
      <c r="G108" s="14">
        <f>27.5349 * CHOOSE(CONTROL!$C$9, $D$9, 100%, $F$9) + CHOOSE(CONTROL!$C$27, 0.0021, 0)</f>
        <v>27.536999999999999</v>
      </c>
      <c r="H108" s="14">
        <f>27.4002 * CHOOSE(CONTROL!$C$9, $D$9, 100%, $F$9) + CHOOSE(CONTROL!$C$27, 0.0021, 0)</f>
        <v>27.4023</v>
      </c>
      <c r="I108" s="14">
        <f>27.4002 * CHOOSE(CONTROL!$C$9, $D$9, 100%, $F$9) + CHOOSE(CONTROL!$C$27, 0.0021, 0)</f>
        <v>27.4023</v>
      </c>
      <c r="J108" s="14">
        <f>27.4002 * CHOOSE(CONTROL!$C$9, $D$9, 100%, $F$9) + CHOOSE(CONTROL!$C$27, 0.0021, 0)</f>
        <v>27.4023</v>
      </c>
      <c r="K108" s="14">
        <f>27.4002 * CHOOSE(CONTROL!$C$9, $D$9, 100%, $F$9) + CHOOSE(CONTROL!$C$27, 0.0021, 0)</f>
        <v>27.4023</v>
      </c>
      <c r="L108" s="14"/>
    </row>
    <row r="109" spans="1:12" ht="15" x14ac:dyDescent="0.2">
      <c r="A109" s="13">
        <v>44228</v>
      </c>
      <c r="B109" s="14">
        <f>27.1611 * CHOOSE(CONTROL!$C$9, $D$9, 100%, $F$9) + CHOOSE(CONTROL!$C$27, 0.0021, 0)</f>
        <v>27.1632</v>
      </c>
      <c r="C109" s="14">
        <f>26.7289 * CHOOSE(CONTROL!$C$9, $D$9, 100%, $F$9) + CHOOSE(CONTROL!$C$27, 0.0021, 0)</f>
        <v>26.730999999999998</v>
      </c>
      <c r="D109" s="14">
        <f>26.7289 * CHOOSE(CONTROL!$C$9, $D$9, 100%, $F$9) + CHOOSE(CONTROL!$C$27, 0.0021, 0)</f>
        <v>26.730999999999998</v>
      </c>
      <c r="E109" s="14">
        <f>26.5922 * CHOOSE(CONTROL!$C$9, $D$9, 100%, $F$9) + CHOOSE(CONTROL!$C$27, 0.0021, 0)</f>
        <v>26.594299999999997</v>
      </c>
      <c r="F109" s="14">
        <f>26.5922 * CHOOSE(CONTROL!$C$9, $D$9, 100%, $F$9) + CHOOSE(CONTROL!$C$27, 0.0021, 0)</f>
        <v>26.594299999999997</v>
      </c>
      <c r="G109" s="14">
        <f>26.8636 * CHOOSE(CONTROL!$C$9, $D$9, 100%, $F$9) + CHOOSE(CONTROL!$C$27, 0.0021, 0)</f>
        <v>26.8657</v>
      </c>
      <c r="H109" s="14">
        <f>26.7289 * CHOOSE(CONTROL!$C$9, $D$9, 100%, $F$9) + CHOOSE(CONTROL!$C$27, 0.0021, 0)</f>
        <v>26.730999999999998</v>
      </c>
      <c r="I109" s="14">
        <f>26.7289 * CHOOSE(CONTROL!$C$9, $D$9, 100%, $F$9) + CHOOSE(CONTROL!$C$27, 0.0021, 0)</f>
        <v>26.730999999999998</v>
      </c>
      <c r="J109" s="14">
        <f>26.7289 * CHOOSE(CONTROL!$C$9, $D$9, 100%, $F$9) + CHOOSE(CONTROL!$C$27, 0.0021, 0)</f>
        <v>26.730999999999998</v>
      </c>
      <c r="K109" s="14">
        <f>26.7289 * CHOOSE(CONTROL!$C$9, $D$9, 100%, $F$9) + CHOOSE(CONTROL!$C$27, 0.0021, 0)</f>
        <v>26.730999999999998</v>
      </c>
      <c r="L109" s="14"/>
    </row>
    <row r="110" spans="1:12" ht="15" x14ac:dyDescent="0.2">
      <c r="A110" s="13">
        <v>44256</v>
      </c>
      <c r="B110" s="14">
        <f>26.9129 * CHOOSE(CONTROL!$C$9, $D$9, 100%, $F$9) + CHOOSE(CONTROL!$C$27, 0.0021, 0)</f>
        <v>26.914999999999999</v>
      </c>
      <c r="C110" s="14">
        <f>26.4807 * CHOOSE(CONTROL!$C$9, $D$9, 100%, $F$9) + CHOOSE(CONTROL!$C$27, 0.0021, 0)</f>
        <v>26.482799999999997</v>
      </c>
      <c r="D110" s="14">
        <f>26.4807 * CHOOSE(CONTROL!$C$9, $D$9, 100%, $F$9) + CHOOSE(CONTROL!$C$27, 0.0021, 0)</f>
        <v>26.482799999999997</v>
      </c>
      <c r="E110" s="14">
        <f>26.344 * CHOOSE(CONTROL!$C$9, $D$9, 100%, $F$9) + CHOOSE(CONTROL!$C$27, 0.0021, 0)</f>
        <v>26.3461</v>
      </c>
      <c r="F110" s="14">
        <f>26.344 * CHOOSE(CONTROL!$C$9, $D$9, 100%, $F$9) + CHOOSE(CONTROL!$C$27, 0.0021, 0)</f>
        <v>26.3461</v>
      </c>
      <c r="G110" s="14">
        <f>26.6154 * CHOOSE(CONTROL!$C$9, $D$9, 100%, $F$9) + CHOOSE(CONTROL!$C$27, 0.0021, 0)</f>
        <v>26.6175</v>
      </c>
      <c r="H110" s="14">
        <f>26.4807 * CHOOSE(CONTROL!$C$9, $D$9, 100%, $F$9) + CHOOSE(CONTROL!$C$27, 0.0021, 0)</f>
        <v>26.482799999999997</v>
      </c>
      <c r="I110" s="14">
        <f>26.4807 * CHOOSE(CONTROL!$C$9, $D$9, 100%, $F$9) + CHOOSE(CONTROL!$C$27, 0.0021, 0)</f>
        <v>26.482799999999997</v>
      </c>
      <c r="J110" s="14">
        <f>26.4807 * CHOOSE(CONTROL!$C$9, $D$9, 100%, $F$9) + CHOOSE(CONTROL!$C$27, 0.0021, 0)</f>
        <v>26.482799999999997</v>
      </c>
      <c r="K110" s="14">
        <f>26.4807 * CHOOSE(CONTROL!$C$9, $D$9, 100%, $F$9) + CHOOSE(CONTROL!$C$27, 0.0021, 0)</f>
        <v>26.482799999999997</v>
      </c>
      <c r="L110" s="14"/>
    </row>
    <row r="111" spans="1:12" ht="15" x14ac:dyDescent="0.2">
      <c r="A111" s="13">
        <v>44287</v>
      </c>
      <c r="B111" s="14">
        <f>26.6053 * CHOOSE(CONTROL!$C$9, $D$9, 100%, $F$9) + CHOOSE(CONTROL!$C$27, 0.0021, 0)</f>
        <v>26.607399999999998</v>
      </c>
      <c r="C111" s="14">
        <f>26.1731 * CHOOSE(CONTROL!$C$9, $D$9, 100%, $F$9) + CHOOSE(CONTROL!$C$27, 0.0021, 0)</f>
        <v>26.1752</v>
      </c>
      <c r="D111" s="14">
        <f>26.1731 * CHOOSE(CONTROL!$C$9, $D$9, 100%, $F$9) + CHOOSE(CONTROL!$C$27, 0.0021, 0)</f>
        <v>26.1752</v>
      </c>
      <c r="E111" s="14">
        <f>26.0364 * CHOOSE(CONTROL!$C$9, $D$9, 100%, $F$9) + CHOOSE(CONTROL!$C$27, 0.0021, 0)</f>
        <v>26.038499999999999</v>
      </c>
      <c r="F111" s="14">
        <f>26.0364 * CHOOSE(CONTROL!$C$9, $D$9, 100%, $F$9) + CHOOSE(CONTROL!$C$27, 0.0021, 0)</f>
        <v>26.038499999999999</v>
      </c>
      <c r="G111" s="14">
        <f>26.3078 * CHOOSE(CONTROL!$C$9, $D$9, 100%, $F$9) + CHOOSE(CONTROL!$C$27, 0.0021, 0)</f>
        <v>26.309899999999999</v>
      </c>
      <c r="H111" s="14">
        <f>26.1731 * CHOOSE(CONTROL!$C$9, $D$9, 100%, $F$9) + CHOOSE(CONTROL!$C$27, 0.0021, 0)</f>
        <v>26.1752</v>
      </c>
      <c r="I111" s="14">
        <f>26.1731 * CHOOSE(CONTROL!$C$9, $D$9, 100%, $F$9) + CHOOSE(CONTROL!$C$27, 0.0021, 0)</f>
        <v>26.1752</v>
      </c>
      <c r="J111" s="14">
        <f>26.1731 * CHOOSE(CONTROL!$C$9, $D$9, 100%, $F$9) + CHOOSE(CONTROL!$C$27, 0.0021, 0)</f>
        <v>26.1752</v>
      </c>
      <c r="K111" s="14">
        <f>26.1731 * CHOOSE(CONTROL!$C$9, $D$9, 100%, $F$9) + CHOOSE(CONTROL!$C$27, 0.0021, 0)</f>
        <v>26.1752</v>
      </c>
      <c r="L111" s="14"/>
    </row>
    <row r="112" spans="1:12" ht="15" x14ac:dyDescent="0.2">
      <c r="A112" s="13">
        <v>44317</v>
      </c>
      <c r="B112" s="14">
        <f>27.1671 * CHOOSE(CONTROL!$C$9, $D$9, 100%, $F$9) + CHOOSE(CONTROL!$C$27, 0.0021, 0)</f>
        <v>27.1692</v>
      </c>
      <c r="C112" s="14">
        <f>26.7348 * CHOOSE(CONTROL!$C$9, $D$9, 100%, $F$9) + CHOOSE(CONTROL!$C$27, 0.0021, 0)</f>
        <v>26.736899999999999</v>
      </c>
      <c r="D112" s="14">
        <f>26.7348 * CHOOSE(CONTROL!$C$9, $D$9, 100%, $F$9) + CHOOSE(CONTROL!$C$27, 0.0021, 0)</f>
        <v>26.736899999999999</v>
      </c>
      <c r="E112" s="14">
        <f>26.5982 * CHOOSE(CONTROL!$C$9, $D$9, 100%, $F$9) + CHOOSE(CONTROL!$C$27, 0.0021, 0)</f>
        <v>26.600299999999997</v>
      </c>
      <c r="F112" s="14">
        <f>26.5982 * CHOOSE(CONTROL!$C$9, $D$9, 100%, $F$9) + CHOOSE(CONTROL!$C$27, 0.0021, 0)</f>
        <v>26.600299999999997</v>
      </c>
      <c r="G112" s="14">
        <f>26.8695 * CHOOSE(CONTROL!$C$9, $D$9, 100%, $F$9) + CHOOSE(CONTROL!$C$27, 0.0021, 0)</f>
        <v>26.871599999999997</v>
      </c>
      <c r="H112" s="14">
        <f>26.7348 * CHOOSE(CONTROL!$C$9, $D$9, 100%, $F$9) + CHOOSE(CONTROL!$C$27, 0.0021, 0)</f>
        <v>26.736899999999999</v>
      </c>
      <c r="I112" s="14">
        <f>26.7348 * CHOOSE(CONTROL!$C$9, $D$9, 100%, $F$9) + CHOOSE(CONTROL!$C$27, 0.0021, 0)</f>
        <v>26.736899999999999</v>
      </c>
      <c r="J112" s="14">
        <f>26.7348 * CHOOSE(CONTROL!$C$9, $D$9, 100%, $F$9) + CHOOSE(CONTROL!$C$27, 0.0021, 0)</f>
        <v>26.736899999999999</v>
      </c>
      <c r="K112" s="14">
        <f>26.7348 * CHOOSE(CONTROL!$C$9, $D$9, 100%, $F$9) + CHOOSE(CONTROL!$C$27, 0.0021, 0)</f>
        <v>26.736899999999999</v>
      </c>
      <c r="L112" s="14"/>
    </row>
    <row r="113" spans="1:12" ht="15" x14ac:dyDescent="0.2">
      <c r="A113" s="13">
        <v>44348</v>
      </c>
      <c r="B113" s="14">
        <f>27.5254 * CHOOSE(CONTROL!$C$9, $D$9, 100%, $F$9) + CHOOSE(CONTROL!$C$27, 0.0021, 0)</f>
        <v>27.5275</v>
      </c>
      <c r="C113" s="14">
        <f>27.0931 * CHOOSE(CONTROL!$C$9, $D$9, 100%, $F$9) + CHOOSE(CONTROL!$C$27, 0.0021, 0)</f>
        <v>27.095199999999998</v>
      </c>
      <c r="D113" s="14">
        <f>27.0931 * CHOOSE(CONTROL!$C$9, $D$9, 100%, $F$9) + CHOOSE(CONTROL!$C$27, 0.0021, 0)</f>
        <v>27.095199999999998</v>
      </c>
      <c r="E113" s="14">
        <f>26.9565 * CHOOSE(CONTROL!$C$9, $D$9, 100%, $F$9) + CHOOSE(CONTROL!$C$27, 0.0021, 0)</f>
        <v>26.958599999999997</v>
      </c>
      <c r="F113" s="14">
        <f>26.9565 * CHOOSE(CONTROL!$C$9, $D$9, 100%, $F$9) + CHOOSE(CONTROL!$C$27, 0.0021, 0)</f>
        <v>26.958599999999997</v>
      </c>
      <c r="G113" s="14">
        <f>27.2278 * CHOOSE(CONTROL!$C$9, $D$9, 100%, $F$9) + CHOOSE(CONTROL!$C$27, 0.0021, 0)</f>
        <v>27.229899999999997</v>
      </c>
      <c r="H113" s="14">
        <f>27.0931 * CHOOSE(CONTROL!$C$9, $D$9, 100%, $F$9) + CHOOSE(CONTROL!$C$27, 0.0021, 0)</f>
        <v>27.095199999999998</v>
      </c>
      <c r="I113" s="14">
        <f>27.0931 * CHOOSE(CONTROL!$C$9, $D$9, 100%, $F$9) + CHOOSE(CONTROL!$C$27, 0.0021, 0)</f>
        <v>27.095199999999998</v>
      </c>
      <c r="J113" s="14">
        <f>27.0931 * CHOOSE(CONTROL!$C$9, $D$9, 100%, $F$9) + CHOOSE(CONTROL!$C$27, 0.0021, 0)</f>
        <v>27.095199999999998</v>
      </c>
      <c r="K113" s="14">
        <f>27.0931 * CHOOSE(CONTROL!$C$9, $D$9, 100%, $F$9) + CHOOSE(CONTROL!$C$27, 0.0021, 0)</f>
        <v>27.095199999999998</v>
      </c>
      <c r="L113" s="14"/>
    </row>
    <row r="114" spans="1:12" ht="15" x14ac:dyDescent="0.2">
      <c r="A114" s="13">
        <v>44378</v>
      </c>
      <c r="B114" s="14">
        <f>28.085 * CHOOSE(CONTROL!$C$9, $D$9, 100%, $F$9) + CHOOSE(CONTROL!$C$27, 0.0021, 0)</f>
        <v>28.0871</v>
      </c>
      <c r="C114" s="14">
        <f>27.6527 * CHOOSE(CONTROL!$C$9, $D$9, 100%, $F$9) + CHOOSE(CONTROL!$C$27, 0.0021, 0)</f>
        <v>27.654799999999998</v>
      </c>
      <c r="D114" s="14">
        <f>27.6527 * CHOOSE(CONTROL!$C$9, $D$9, 100%, $F$9) + CHOOSE(CONTROL!$C$27, 0.0021, 0)</f>
        <v>27.654799999999998</v>
      </c>
      <c r="E114" s="14">
        <f>27.5161 * CHOOSE(CONTROL!$C$9, $D$9, 100%, $F$9) + CHOOSE(CONTROL!$C$27, 0.0021, 0)</f>
        <v>27.5182</v>
      </c>
      <c r="F114" s="14">
        <f>27.5161 * CHOOSE(CONTROL!$C$9, $D$9, 100%, $F$9) + CHOOSE(CONTROL!$C$27, 0.0021, 0)</f>
        <v>27.5182</v>
      </c>
      <c r="G114" s="14">
        <f>27.7874 * CHOOSE(CONTROL!$C$9, $D$9, 100%, $F$9) + CHOOSE(CONTROL!$C$27, 0.0021, 0)</f>
        <v>27.7895</v>
      </c>
      <c r="H114" s="14">
        <f>27.6527 * CHOOSE(CONTROL!$C$9, $D$9, 100%, $F$9) + CHOOSE(CONTROL!$C$27, 0.0021, 0)</f>
        <v>27.654799999999998</v>
      </c>
      <c r="I114" s="14">
        <f>27.6527 * CHOOSE(CONTROL!$C$9, $D$9, 100%, $F$9) + CHOOSE(CONTROL!$C$27, 0.0021, 0)</f>
        <v>27.654799999999998</v>
      </c>
      <c r="J114" s="14">
        <f>27.6527 * CHOOSE(CONTROL!$C$9, $D$9, 100%, $F$9) + CHOOSE(CONTROL!$C$27, 0.0021, 0)</f>
        <v>27.654799999999998</v>
      </c>
      <c r="K114" s="14">
        <f>27.6527 * CHOOSE(CONTROL!$C$9, $D$9, 100%, $F$9) + CHOOSE(CONTROL!$C$27, 0.0021, 0)</f>
        <v>27.654799999999998</v>
      </c>
      <c r="L114" s="14"/>
    </row>
    <row r="115" spans="1:12" ht="15" x14ac:dyDescent="0.2">
      <c r="A115" s="13">
        <v>44409</v>
      </c>
      <c r="B115" s="14">
        <f>28.2934 * CHOOSE(CONTROL!$C$9, $D$9, 100%, $F$9) + CHOOSE(CONTROL!$C$27, 0.0021, 0)</f>
        <v>28.295499999999997</v>
      </c>
      <c r="C115" s="14">
        <f>27.8611 * CHOOSE(CONTROL!$C$9, $D$9, 100%, $F$9) + CHOOSE(CONTROL!$C$27, 0.0021, 0)</f>
        <v>27.863199999999999</v>
      </c>
      <c r="D115" s="14">
        <f>27.8611 * CHOOSE(CONTROL!$C$9, $D$9, 100%, $F$9) + CHOOSE(CONTROL!$C$27, 0.0021, 0)</f>
        <v>27.863199999999999</v>
      </c>
      <c r="E115" s="14">
        <f>27.7244 * CHOOSE(CONTROL!$C$9, $D$9, 100%, $F$9) + CHOOSE(CONTROL!$C$27, 0.0021, 0)</f>
        <v>27.726499999999998</v>
      </c>
      <c r="F115" s="14">
        <f>27.7244 * CHOOSE(CONTROL!$C$9, $D$9, 100%, $F$9) + CHOOSE(CONTROL!$C$27, 0.0021, 0)</f>
        <v>27.726499999999998</v>
      </c>
      <c r="G115" s="14">
        <f>27.9958 * CHOOSE(CONTROL!$C$9, $D$9, 100%, $F$9) + CHOOSE(CONTROL!$C$27, 0.0021, 0)</f>
        <v>27.997899999999998</v>
      </c>
      <c r="H115" s="14">
        <f>27.8611 * CHOOSE(CONTROL!$C$9, $D$9, 100%, $F$9) + CHOOSE(CONTROL!$C$27, 0.0021, 0)</f>
        <v>27.863199999999999</v>
      </c>
      <c r="I115" s="14">
        <f>27.8611 * CHOOSE(CONTROL!$C$9, $D$9, 100%, $F$9) + CHOOSE(CONTROL!$C$27, 0.0021, 0)</f>
        <v>27.863199999999999</v>
      </c>
      <c r="J115" s="14">
        <f>27.8611 * CHOOSE(CONTROL!$C$9, $D$9, 100%, $F$9) + CHOOSE(CONTROL!$C$27, 0.0021, 0)</f>
        <v>27.863199999999999</v>
      </c>
      <c r="K115" s="14">
        <f>27.8611 * CHOOSE(CONTROL!$C$9, $D$9, 100%, $F$9) + CHOOSE(CONTROL!$C$27, 0.0021, 0)</f>
        <v>27.863199999999999</v>
      </c>
      <c r="L115" s="14"/>
    </row>
    <row r="116" spans="1:12" ht="15" x14ac:dyDescent="0.2">
      <c r="A116" s="13">
        <v>44440</v>
      </c>
      <c r="B116" s="14">
        <f>28.8767 * CHOOSE(CONTROL!$C$9, $D$9, 100%, $F$9) + CHOOSE(CONTROL!$C$27, 0.0021, 0)</f>
        <v>28.878799999999998</v>
      </c>
      <c r="C116" s="14">
        <f>28.4445 * CHOOSE(CONTROL!$C$9, $D$9, 100%, $F$9) + CHOOSE(CONTROL!$C$27, 0.0021, 0)</f>
        <v>28.4466</v>
      </c>
      <c r="D116" s="14">
        <f>28.4445 * CHOOSE(CONTROL!$C$9, $D$9, 100%, $F$9) + CHOOSE(CONTROL!$C$27, 0.0021, 0)</f>
        <v>28.4466</v>
      </c>
      <c r="E116" s="14">
        <f>28.3078 * CHOOSE(CONTROL!$C$9, $D$9, 100%, $F$9) + CHOOSE(CONTROL!$C$27, 0.0021, 0)</f>
        <v>28.309899999999999</v>
      </c>
      <c r="F116" s="14">
        <f>28.3078 * CHOOSE(CONTROL!$C$9, $D$9, 100%, $F$9) + CHOOSE(CONTROL!$C$27, 0.0021, 0)</f>
        <v>28.309899999999999</v>
      </c>
      <c r="G116" s="14">
        <f>28.5792 * CHOOSE(CONTROL!$C$9, $D$9, 100%, $F$9) + CHOOSE(CONTROL!$C$27, 0.0021, 0)</f>
        <v>28.581299999999999</v>
      </c>
      <c r="H116" s="14">
        <f>28.4445 * CHOOSE(CONTROL!$C$9, $D$9, 100%, $F$9) + CHOOSE(CONTROL!$C$27, 0.0021, 0)</f>
        <v>28.4466</v>
      </c>
      <c r="I116" s="14">
        <f>28.4445 * CHOOSE(CONTROL!$C$9, $D$9, 100%, $F$9) + CHOOSE(CONTROL!$C$27, 0.0021, 0)</f>
        <v>28.4466</v>
      </c>
      <c r="J116" s="14">
        <f>28.4445 * CHOOSE(CONTROL!$C$9, $D$9, 100%, $F$9) + CHOOSE(CONTROL!$C$27, 0.0021, 0)</f>
        <v>28.4466</v>
      </c>
      <c r="K116" s="14">
        <f>28.4445 * CHOOSE(CONTROL!$C$9, $D$9, 100%, $F$9) + CHOOSE(CONTROL!$C$27, 0.0021, 0)</f>
        <v>28.4466</v>
      </c>
      <c r="L116" s="14"/>
    </row>
    <row r="117" spans="1:12" ht="15" x14ac:dyDescent="0.2">
      <c r="A117" s="13">
        <v>44470</v>
      </c>
      <c r="B117" s="14">
        <f>29.6035 * CHOOSE(CONTROL!$C$9, $D$9, 100%, $F$9) + CHOOSE(CONTROL!$C$27, 0.0021, 0)</f>
        <v>29.605599999999999</v>
      </c>
      <c r="C117" s="14">
        <f>29.1713 * CHOOSE(CONTROL!$C$9, $D$9, 100%, $F$9) + CHOOSE(CONTROL!$C$27, 0.0021, 0)</f>
        <v>29.173399999999997</v>
      </c>
      <c r="D117" s="14">
        <f>29.1713 * CHOOSE(CONTROL!$C$9, $D$9, 100%, $F$9) + CHOOSE(CONTROL!$C$27, 0.0021, 0)</f>
        <v>29.173399999999997</v>
      </c>
      <c r="E117" s="14">
        <f>29.0346 * CHOOSE(CONTROL!$C$9, $D$9, 100%, $F$9) + CHOOSE(CONTROL!$C$27, 0.0021, 0)</f>
        <v>29.0367</v>
      </c>
      <c r="F117" s="14">
        <f>29.0346 * CHOOSE(CONTROL!$C$9, $D$9, 100%, $F$9) + CHOOSE(CONTROL!$C$27, 0.0021, 0)</f>
        <v>29.0367</v>
      </c>
      <c r="G117" s="14">
        <f>29.306 * CHOOSE(CONTROL!$C$9, $D$9, 100%, $F$9) + CHOOSE(CONTROL!$C$27, 0.0021, 0)</f>
        <v>29.3081</v>
      </c>
      <c r="H117" s="14">
        <f>29.1713 * CHOOSE(CONTROL!$C$9, $D$9, 100%, $F$9) + CHOOSE(CONTROL!$C$27, 0.0021, 0)</f>
        <v>29.173399999999997</v>
      </c>
      <c r="I117" s="14">
        <f>29.1713 * CHOOSE(CONTROL!$C$9, $D$9, 100%, $F$9) + CHOOSE(CONTROL!$C$27, 0.0021, 0)</f>
        <v>29.173399999999997</v>
      </c>
      <c r="J117" s="14">
        <f>29.1713 * CHOOSE(CONTROL!$C$9, $D$9, 100%, $F$9) + CHOOSE(CONTROL!$C$27, 0.0021, 0)</f>
        <v>29.173399999999997</v>
      </c>
      <c r="K117" s="14">
        <f>29.1713 * CHOOSE(CONTROL!$C$9, $D$9, 100%, $F$9) + CHOOSE(CONTROL!$C$27, 0.0021, 0)</f>
        <v>29.173399999999997</v>
      </c>
      <c r="L117" s="14"/>
    </row>
    <row r="118" spans="1:12" ht="15" x14ac:dyDescent="0.2">
      <c r="A118" s="13">
        <v>44501</v>
      </c>
      <c r="B118" s="14">
        <f>29.723 * CHOOSE(CONTROL!$C$9, $D$9, 100%, $F$9) + CHOOSE(CONTROL!$C$27, 0.0021, 0)</f>
        <v>29.725099999999998</v>
      </c>
      <c r="C118" s="14">
        <f>29.2908 * CHOOSE(CONTROL!$C$9, $D$9, 100%, $F$9) + CHOOSE(CONTROL!$C$27, 0.0021, 0)</f>
        <v>29.292899999999999</v>
      </c>
      <c r="D118" s="14">
        <f>29.2908 * CHOOSE(CONTROL!$C$9, $D$9, 100%, $F$9) + CHOOSE(CONTROL!$C$27, 0.0021, 0)</f>
        <v>29.292899999999999</v>
      </c>
      <c r="E118" s="14">
        <f>29.1541 * CHOOSE(CONTROL!$C$9, $D$9, 100%, $F$9) + CHOOSE(CONTROL!$C$27, 0.0021, 0)</f>
        <v>29.156199999999998</v>
      </c>
      <c r="F118" s="14">
        <f>29.1541 * CHOOSE(CONTROL!$C$9, $D$9, 100%, $F$9) + CHOOSE(CONTROL!$C$27, 0.0021, 0)</f>
        <v>29.156199999999998</v>
      </c>
      <c r="G118" s="14">
        <f>29.4255 * CHOOSE(CONTROL!$C$9, $D$9, 100%, $F$9) + CHOOSE(CONTROL!$C$27, 0.0021, 0)</f>
        <v>29.427599999999998</v>
      </c>
      <c r="H118" s="14">
        <f>29.2908 * CHOOSE(CONTROL!$C$9, $D$9, 100%, $F$9) + CHOOSE(CONTROL!$C$27, 0.0021, 0)</f>
        <v>29.292899999999999</v>
      </c>
      <c r="I118" s="14">
        <f>29.2908 * CHOOSE(CONTROL!$C$9, $D$9, 100%, $F$9) + CHOOSE(CONTROL!$C$27, 0.0021, 0)</f>
        <v>29.292899999999999</v>
      </c>
      <c r="J118" s="14">
        <f>29.2908 * CHOOSE(CONTROL!$C$9, $D$9, 100%, $F$9) + CHOOSE(CONTROL!$C$27, 0.0021, 0)</f>
        <v>29.292899999999999</v>
      </c>
      <c r="K118" s="14">
        <f>29.2908 * CHOOSE(CONTROL!$C$9, $D$9, 100%, $F$9) + CHOOSE(CONTROL!$C$27, 0.0021, 0)</f>
        <v>29.292899999999999</v>
      </c>
      <c r="L118" s="14"/>
    </row>
    <row r="119" spans="1:12" ht="15" x14ac:dyDescent="0.2">
      <c r="A119" s="13">
        <v>44531</v>
      </c>
      <c r="B119" s="14">
        <f>29.2405 * CHOOSE(CONTROL!$C$9, $D$9, 100%, $F$9) + CHOOSE(CONTROL!$C$27, 0.0021, 0)</f>
        <v>29.242599999999999</v>
      </c>
      <c r="C119" s="14">
        <f>28.8083 * CHOOSE(CONTROL!$C$9, $D$9, 100%, $F$9) + CHOOSE(CONTROL!$C$27, 0.0021, 0)</f>
        <v>28.810399999999998</v>
      </c>
      <c r="D119" s="14">
        <f>28.8083 * CHOOSE(CONTROL!$C$9, $D$9, 100%, $F$9) + CHOOSE(CONTROL!$C$27, 0.0021, 0)</f>
        <v>28.810399999999998</v>
      </c>
      <c r="E119" s="14">
        <f>28.6716 * CHOOSE(CONTROL!$C$9, $D$9, 100%, $F$9) + CHOOSE(CONTROL!$C$27, 0.0021, 0)</f>
        <v>28.6737</v>
      </c>
      <c r="F119" s="14">
        <f>28.6716 * CHOOSE(CONTROL!$C$9, $D$9, 100%, $F$9) + CHOOSE(CONTROL!$C$27, 0.0021, 0)</f>
        <v>28.6737</v>
      </c>
      <c r="G119" s="14">
        <f>28.943 * CHOOSE(CONTROL!$C$9, $D$9, 100%, $F$9) + CHOOSE(CONTROL!$C$27, 0.0021, 0)</f>
        <v>28.9451</v>
      </c>
      <c r="H119" s="14">
        <f>28.8083 * CHOOSE(CONTROL!$C$9, $D$9, 100%, $F$9) + CHOOSE(CONTROL!$C$27, 0.0021, 0)</f>
        <v>28.810399999999998</v>
      </c>
      <c r="I119" s="14">
        <f>28.8083 * CHOOSE(CONTROL!$C$9, $D$9, 100%, $F$9) + CHOOSE(CONTROL!$C$27, 0.0021, 0)</f>
        <v>28.810399999999998</v>
      </c>
      <c r="J119" s="14">
        <f>28.8083 * CHOOSE(CONTROL!$C$9, $D$9, 100%, $F$9) + CHOOSE(CONTROL!$C$27, 0.0021, 0)</f>
        <v>28.810399999999998</v>
      </c>
      <c r="K119" s="14">
        <f>28.8083 * CHOOSE(CONTROL!$C$9, $D$9, 100%, $F$9) + CHOOSE(CONTROL!$C$27, 0.0021, 0)</f>
        <v>28.810399999999998</v>
      </c>
      <c r="L119" s="14"/>
    </row>
    <row r="120" spans="1:12" ht="15" x14ac:dyDescent="0.2">
      <c r="A120" s="13">
        <v>44562</v>
      </c>
      <c r="B120" s="14">
        <f>29.2825 * CHOOSE(CONTROL!$C$9, $D$9, 100%, $F$9) + CHOOSE(CONTROL!$C$27, 0.0021, 0)</f>
        <v>29.284599999999998</v>
      </c>
      <c r="C120" s="14">
        <f>28.8503 * CHOOSE(CONTROL!$C$9, $D$9, 100%, $F$9) + CHOOSE(CONTROL!$C$27, 0.0021, 0)</f>
        <v>28.852399999999999</v>
      </c>
      <c r="D120" s="14">
        <f>28.8503 * CHOOSE(CONTROL!$C$9, $D$9, 100%, $F$9) + CHOOSE(CONTROL!$C$27, 0.0021, 0)</f>
        <v>28.852399999999999</v>
      </c>
      <c r="E120" s="14">
        <f>28.7136 * CHOOSE(CONTROL!$C$9, $D$9, 100%, $F$9) + CHOOSE(CONTROL!$C$27, 0.0021, 0)</f>
        <v>28.715699999999998</v>
      </c>
      <c r="F120" s="14">
        <f>28.7136 * CHOOSE(CONTROL!$C$9, $D$9, 100%, $F$9) + CHOOSE(CONTROL!$C$27, 0.0021, 0)</f>
        <v>28.715699999999998</v>
      </c>
      <c r="G120" s="14">
        <f>28.985 * CHOOSE(CONTROL!$C$9, $D$9, 100%, $F$9) + CHOOSE(CONTROL!$C$27, 0.0021, 0)</f>
        <v>28.987099999999998</v>
      </c>
      <c r="H120" s="14">
        <f>28.8503 * CHOOSE(CONTROL!$C$9, $D$9, 100%, $F$9) + CHOOSE(CONTROL!$C$27, 0.0021, 0)</f>
        <v>28.852399999999999</v>
      </c>
      <c r="I120" s="14">
        <f>28.8503 * CHOOSE(CONTROL!$C$9, $D$9, 100%, $F$9) + CHOOSE(CONTROL!$C$27, 0.0021, 0)</f>
        <v>28.852399999999999</v>
      </c>
      <c r="J120" s="14">
        <f>28.8503 * CHOOSE(CONTROL!$C$9, $D$9, 100%, $F$9) + CHOOSE(CONTROL!$C$27, 0.0021, 0)</f>
        <v>28.852399999999999</v>
      </c>
      <c r="K120" s="14">
        <f>28.8503 * CHOOSE(CONTROL!$C$9, $D$9, 100%, $F$9) + CHOOSE(CONTROL!$C$27, 0.0021, 0)</f>
        <v>28.852399999999999</v>
      </c>
      <c r="L120" s="14"/>
    </row>
    <row r="121" spans="1:12" ht="15" x14ac:dyDescent="0.2">
      <c r="A121" s="13">
        <v>44593</v>
      </c>
      <c r="B121" s="14">
        <f>28.5731 * CHOOSE(CONTROL!$C$9, $D$9, 100%, $F$9) + CHOOSE(CONTROL!$C$27, 0.0021, 0)</f>
        <v>28.575199999999999</v>
      </c>
      <c r="C121" s="14">
        <f>28.1409 * CHOOSE(CONTROL!$C$9, $D$9, 100%, $F$9) + CHOOSE(CONTROL!$C$27, 0.0021, 0)</f>
        <v>28.142999999999997</v>
      </c>
      <c r="D121" s="14">
        <f>28.1409 * CHOOSE(CONTROL!$C$9, $D$9, 100%, $F$9) + CHOOSE(CONTROL!$C$27, 0.0021, 0)</f>
        <v>28.142999999999997</v>
      </c>
      <c r="E121" s="14">
        <f>28.0042 * CHOOSE(CONTROL!$C$9, $D$9, 100%, $F$9) + CHOOSE(CONTROL!$C$27, 0.0021, 0)</f>
        <v>28.0063</v>
      </c>
      <c r="F121" s="14">
        <f>28.0042 * CHOOSE(CONTROL!$C$9, $D$9, 100%, $F$9) + CHOOSE(CONTROL!$C$27, 0.0021, 0)</f>
        <v>28.0063</v>
      </c>
      <c r="G121" s="14">
        <f>28.2756 * CHOOSE(CONTROL!$C$9, $D$9, 100%, $F$9) + CHOOSE(CONTROL!$C$27, 0.0021, 0)</f>
        <v>28.277699999999999</v>
      </c>
      <c r="H121" s="14">
        <f>28.1409 * CHOOSE(CONTROL!$C$9, $D$9, 100%, $F$9) + CHOOSE(CONTROL!$C$27, 0.0021, 0)</f>
        <v>28.142999999999997</v>
      </c>
      <c r="I121" s="14">
        <f>28.1409 * CHOOSE(CONTROL!$C$9, $D$9, 100%, $F$9) + CHOOSE(CONTROL!$C$27, 0.0021, 0)</f>
        <v>28.142999999999997</v>
      </c>
      <c r="J121" s="14">
        <f>28.1409 * CHOOSE(CONTROL!$C$9, $D$9, 100%, $F$9) + CHOOSE(CONTROL!$C$27, 0.0021, 0)</f>
        <v>28.142999999999997</v>
      </c>
      <c r="K121" s="14">
        <f>28.1409 * CHOOSE(CONTROL!$C$9, $D$9, 100%, $F$9) + CHOOSE(CONTROL!$C$27, 0.0021, 0)</f>
        <v>28.142999999999997</v>
      </c>
      <c r="L121" s="14"/>
    </row>
    <row r="122" spans="1:12" ht="15" x14ac:dyDescent="0.2">
      <c r="A122" s="13">
        <v>44621</v>
      </c>
      <c r="B122" s="14">
        <f>28.3108 * CHOOSE(CONTROL!$C$9, $D$9, 100%, $F$9) + CHOOSE(CONTROL!$C$27, 0.0021, 0)</f>
        <v>28.312899999999999</v>
      </c>
      <c r="C122" s="14">
        <f>27.8786 * CHOOSE(CONTROL!$C$9, $D$9, 100%, $F$9) + CHOOSE(CONTROL!$C$27, 0.0021, 0)</f>
        <v>27.880699999999997</v>
      </c>
      <c r="D122" s="14">
        <f>27.8786 * CHOOSE(CONTROL!$C$9, $D$9, 100%, $F$9) + CHOOSE(CONTROL!$C$27, 0.0021, 0)</f>
        <v>27.880699999999997</v>
      </c>
      <c r="E122" s="14">
        <f>27.7419 * CHOOSE(CONTROL!$C$9, $D$9, 100%, $F$9) + CHOOSE(CONTROL!$C$27, 0.0021, 0)</f>
        <v>27.744</v>
      </c>
      <c r="F122" s="14">
        <f>27.7419 * CHOOSE(CONTROL!$C$9, $D$9, 100%, $F$9) + CHOOSE(CONTROL!$C$27, 0.0021, 0)</f>
        <v>27.744</v>
      </c>
      <c r="G122" s="14">
        <f>28.0133 * CHOOSE(CONTROL!$C$9, $D$9, 100%, $F$9) + CHOOSE(CONTROL!$C$27, 0.0021, 0)</f>
        <v>28.0154</v>
      </c>
      <c r="H122" s="14">
        <f>27.8786 * CHOOSE(CONTROL!$C$9, $D$9, 100%, $F$9) + CHOOSE(CONTROL!$C$27, 0.0021, 0)</f>
        <v>27.880699999999997</v>
      </c>
      <c r="I122" s="14">
        <f>27.8786 * CHOOSE(CONTROL!$C$9, $D$9, 100%, $F$9) + CHOOSE(CONTROL!$C$27, 0.0021, 0)</f>
        <v>27.880699999999997</v>
      </c>
      <c r="J122" s="14">
        <f>27.8786 * CHOOSE(CONTROL!$C$9, $D$9, 100%, $F$9) + CHOOSE(CONTROL!$C$27, 0.0021, 0)</f>
        <v>27.880699999999997</v>
      </c>
      <c r="K122" s="14">
        <f>27.8786 * CHOOSE(CONTROL!$C$9, $D$9, 100%, $F$9) + CHOOSE(CONTROL!$C$27, 0.0021, 0)</f>
        <v>27.880699999999997</v>
      </c>
      <c r="L122" s="14"/>
    </row>
    <row r="123" spans="1:12" ht="15" x14ac:dyDescent="0.2">
      <c r="A123" s="13">
        <v>44652</v>
      </c>
      <c r="B123" s="14">
        <f>27.9858 * CHOOSE(CONTROL!$C$9, $D$9, 100%, $F$9) + CHOOSE(CONTROL!$C$27, 0.0021, 0)</f>
        <v>27.9879</v>
      </c>
      <c r="C123" s="14">
        <f>27.5536 * CHOOSE(CONTROL!$C$9, $D$9, 100%, $F$9) + CHOOSE(CONTROL!$C$27, 0.0021, 0)</f>
        <v>27.555699999999998</v>
      </c>
      <c r="D123" s="14">
        <f>27.5536 * CHOOSE(CONTROL!$C$9, $D$9, 100%, $F$9) + CHOOSE(CONTROL!$C$27, 0.0021, 0)</f>
        <v>27.555699999999998</v>
      </c>
      <c r="E123" s="14">
        <f>27.4169 * CHOOSE(CONTROL!$C$9, $D$9, 100%, $F$9) + CHOOSE(CONTROL!$C$27, 0.0021, 0)</f>
        <v>27.418999999999997</v>
      </c>
      <c r="F123" s="14">
        <f>27.4169 * CHOOSE(CONTROL!$C$9, $D$9, 100%, $F$9) + CHOOSE(CONTROL!$C$27, 0.0021, 0)</f>
        <v>27.418999999999997</v>
      </c>
      <c r="G123" s="14">
        <f>27.6883 * CHOOSE(CONTROL!$C$9, $D$9, 100%, $F$9) + CHOOSE(CONTROL!$C$27, 0.0021, 0)</f>
        <v>27.6904</v>
      </c>
      <c r="H123" s="14">
        <f>27.5536 * CHOOSE(CONTROL!$C$9, $D$9, 100%, $F$9) + CHOOSE(CONTROL!$C$27, 0.0021, 0)</f>
        <v>27.555699999999998</v>
      </c>
      <c r="I123" s="14">
        <f>27.5536 * CHOOSE(CONTROL!$C$9, $D$9, 100%, $F$9) + CHOOSE(CONTROL!$C$27, 0.0021, 0)</f>
        <v>27.555699999999998</v>
      </c>
      <c r="J123" s="14">
        <f>27.5536 * CHOOSE(CONTROL!$C$9, $D$9, 100%, $F$9) + CHOOSE(CONTROL!$C$27, 0.0021, 0)</f>
        <v>27.555699999999998</v>
      </c>
      <c r="K123" s="14">
        <f>27.5536 * CHOOSE(CONTROL!$C$9, $D$9, 100%, $F$9) + CHOOSE(CONTROL!$C$27, 0.0021, 0)</f>
        <v>27.555699999999998</v>
      </c>
      <c r="L123" s="14"/>
    </row>
    <row r="124" spans="1:12" ht="15" x14ac:dyDescent="0.2">
      <c r="A124" s="13">
        <v>44682</v>
      </c>
      <c r="B124" s="14">
        <f>28.5794 * CHOOSE(CONTROL!$C$9, $D$9, 100%, $F$9) + CHOOSE(CONTROL!$C$27, 0.0021, 0)</f>
        <v>28.581499999999998</v>
      </c>
      <c r="C124" s="14">
        <f>28.1472 * CHOOSE(CONTROL!$C$9, $D$9, 100%, $F$9) + CHOOSE(CONTROL!$C$27, 0.0021, 0)</f>
        <v>28.1493</v>
      </c>
      <c r="D124" s="14">
        <f>28.1472 * CHOOSE(CONTROL!$C$9, $D$9, 100%, $F$9) + CHOOSE(CONTROL!$C$27, 0.0021, 0)</f>
        <v>28.1493</v>
      </c>
      <c r="E124" s="14">
        <f>28.0105 * CHOOSE(CONTROL!$C$9, $D$9, 100%, $F$9) + CHOOSE(CONTROL!$C$27, 0.0021, 0)</f>
        <v>28.012599999999999</v>
      </c>
      <c r="F124" s="14">
        <f>28.0105 * CHOOSE(CONTROL!$C$9, $D$9, 100%, $F$9) + CHOOSE(CONTROL!$C$27, 0.0021, 0)</f>
        <v>28.012599999999999</v>
      </c>
      <c r="G124" s="14">
        <f>28.2819 * CHOOSE(CONTROL!$C$9, $D$9, 100%, $F$9) + CHOOSE(CONTROL!$C$27, 0.0021, 0)</f>
        <v>28.283999999999999</v>
      </c>
      <c r="H124" s="14">
        <f>28.1472 * CHOOSE(CONTROL!$C$9, $D$9, 100%, $F$9) + CHOOSE(CONTROL!$C$27, 0.0021, 0)</f>
        <v>28.1493</v>
      </c>
      <c r="I124" s="14">
        <f>28.1472 * CHOOSE(CONTROL!$C$9, $D$9, 100%, $F$9) + CHOOSE(CONTROL!$C$27, 0.0021, 0)</f>
        <v>28.1493</v>
      </c>
      <c r="J124" s="14">
        <f>28.1472 * CHOOSE(CONTROL!$C$9, $D$9, 100%, $F$9) + CHOOSE(CONTROL!$C$27, 0.0021, 0)</f>
        <v>28.1493</v>
      </c>
      <c r="K124" s="14">
        <f>28.1472 * CHOOSE(CONTROL!$C$9, $D$9, 100%, $F$9) + CHOOSE(CONTROL!$C$27, 0.0021, 0)</f>
        <v>28.1493</v>
      </c>
      <c r="L124" s="14"/>
    </row>
    <row r="125" spans="1:12" ht="15" x14ac:dyDescent="0.2">
      <c r="A125" s="13">
        <v>44713</v>
      </c>
      <c r="B125" s="14">
        <f>28.9581 * CHOOSE(CONTROL!$C$9, $D$9, 100%, $F$9) + CHOOSE(CONTROL!$C$27, 0.0021, 0)</f>
        <v>28.9602</v>
      </c>
      <c r="C125" s="14">
        <f>28.5258 * CHOOSE(CONTROL!$C$9, $D$9, 100%, $F$9) + CHOOSE(CONTROL!$C$27, 0.0021, 0)</f>
        <v>28.527899999999999</v>
      </c>
      <c r="D125" s="14">
        <f>28.5258 * CHOOSE(CONTROL!$C$9, $D$9, 100%, $F$9) + CHOOSE(CONTROL!$C$27, 0.0021, 0)</f>
        <v>28.527899999999999</v>
      </c>
      <c r="E125" s="14">
        <f>28.3892 * CHOOSE(CONTROL!$C$9, $D$9, 100%, $F$9) + CHOOSE(CONTROL!$C$27, 0.0021, 0)</f>
        <v>28.391299999999998</v>
      </c>
      <c r="F125" s="14">
        <f>28.3892 * CHOOSE(CONTROL!$C$9, $D$9, 100%, $F$9) + CHOOSE(CONTROL!$C$27, 0.0021, 0)</f>
        <v>28.391299999999998</v>
      </c>
      <c r="G125" s="14">
        <f>28.6605 * CHOOSE(CONTROL!$C$9, $D$9, 100%, $F$9) + CHOOSE(CONTROL!$C$27, 0.0021, 0)</f>
        <v>28.662599999999998</v>
      </c>
      <c r="H125" s="14">
        <f>28.5258 * CHOOSE(CONTROL!$C$9, $D$9, 100%, $F$9) + CHOOSE(CONTROL!$C$27, 0.0021, 0)</f>
        <v>28.527899999999999</v>
      </c>
      <c r="I125" s="14">
        <f>28.5258 * CHOOSE(CONTROL!$C$9, $D$9, 100%, $F$9) + CHOOSE(CONTROL!$C$27, 0.0021, 0)</f>
        <v>28.527899999999999</v>
      </c>
      <c r="J125" s="14">
        <f>28.5258 * CHOOSE(CONTROL!$C$9, $D$9, 100%, $F$9) + CHOOSE(CONTROL!$C$27, 0.0021, 0)</f>
        <v>28.527899999999999</v>
      </c>
      <c r="K125" s="14">
        <f>28.5258 * CHOOSE(CONTROL!$C$9, $D$9, 100%, $F$9) + CHOOSE(CONTROL!$C$27, 0.0021, 0)</f>
        <v>28.527899999999999</v>
      </c>
      <c r="L125" s="14"/>
    </row>
    <row r="126" spans="1:12" ht="15" x14ac:dyDescent="0.2">
      <c r="A126" s="13">
        <v>44743</v>
      </c>
      <c r="B126" s="14">
        <f>29.5494 * CHOOSE(CONTROL!$C$9, $D$9, 100%, $F$9) + CHOOSE(CONTROL!$C$27, 0.0021, 0)</f>
        <v>29.551499999999997</v>
      </c>
      <c r="C126" s="14">
        <f>29.1172 * CHOOSE(CONTROL!$C$9, $D$9, 100%, $F$9) + CHOOSE(CONTROL!$C$27, 0.0021, 0)</f>
        <v>29.119299999999999</v>
      </c>
      <c r="D126" s="14">
        <f>29.1172 * CHOOSE(CONTROL!$C$9, $D$9, 100%, $F$9) + CHOOSE(CONTROL!$C$27, 0.0021, 0)</f>
        <v>29.119299999999999</v>
      </c>
      <c r="E126" s="14">
        <f>28.9805 * CHOOSE(CONTROL!$C$9, $D$9, 100%, $F$9) + CHOOSE(CONTROL!$C$27, 0.0021, 0)</f>
        <v>28.982599999999998</v>
      </c>
      <c r="F126" s="14">
        <f>28.9805 * CHOOSE(CONTROL!$C$9, $D$9, 100%, $F$9) + CHOOSE(CONTROL!$C$27, 0.0021, 0)</f>
        <v>28.982599999999998</v>
      </c>
      <c r="G126" s="14">
        <f>29.2519 * CHOOSE(CONTROL!$C$9, $D$9, 100%, $F$9) + CHOOSE(CONTROL!$C$27, 0.0021, 0)</f>
        <v>29.253999999999998</v>
      </c>
      <c r="H126" s="14">
        <f>29.1172 * CHOOSE(CONTROL!$C$9, $D$9, 100%, $F$9) + CHOOSE(CONTROL!$C$27, 0.0021, 0)</f>
        <v>29.119299999999999</v>
      </c>
      <c r="I126" s="14">
        <f>29.1172 * CHOOSE(CONTROL!$C$9, $D$9, 100%, $F$9) + CHOOSE(CONTROL!$C$27, 0.0021, 0)</f>
        <v>29.119299999999999</v>
      </c>
      <c r="J126" s="14">
        <f>29.1172 * CHOOSE(CONTROL!$C$9, $D$9, 100%, $F$9) + CHOOSE(CONTROL!$C$27, 0.0021, 0)</f>
        <v>29.119299999999999</v>
      </c>
      <c r="K126" s="14">
        <f>29.1172 * CHOOSE(CONTROL!$C$9, $D$9, 100%, $F$9) + CHOOSE(CONTROL!$C$27, 0.0021, 0)</f>
        <v>29.119299999999999</v>
      </c>
      <c r="L126" s="14"/>
    </row>
    <row r="127" spans="1:12" ht="15" x14ac:dyDescent="0.2">
      <c r="A127" s="13">
        <v>44774</v>
      </c>
      <c r="B127" s="14">
        <f>29.7697 * CHOOSE(CONTROL!$C$9, $D$9, 100%, $F$9) + CHOOSE(CONTROL!$C$27, 0.0021, 0)</f>
        <v>29.771799999999999</v>
      </c>
      <c r="C127" s="14">
        <f>29.3374 * CHOOSE(CONTROL!$C$9, $D$9, 100%, $F$9) + CHOOSE(CONTROL!$C$27, 0.0021, 0)</f>
        <v>29.339499999999997</v>
      </c>
      <c r="D127" s="14">
        <f>29.3374 * CHOOSE(CONTROL!$C$9, $D$9, 100%, $F$9) + CHOOSE(CONTROL!$C$27, 0.0021, 0)</f>
        <v>29.339499999999997</v>
      </c>
      <c r="E127" s="14">
        <f>29.2007 * CHOOSE(CONTROL!$C$9, $D$9, 100%, $F$9) + CHOOSE(CONTROL!$C$27, 0.0021, 0)</f>
        <v>29.2028</v>
      </c>
      <c r="F127" s="14">
        <f>29.2007 * CHOOSE(CONTROL!$C$9, $D$9, 100%, $F$9) + CHOOSE(CONTROL!$C$27, 0.0021, 0)</f>
        <v>29.2028</v>
      </c>
      <c r="G127" s="14">
        <f>29.4721 * CHOOSE(CONTROL!$C$9, $D$9, 100%, $F$9) + CHOOSE(CONTROL!$C$27, 0.0021, 0)</f>
        <v>29.4742</v>
      </c>
      <c r="H127" s="14">
        <f>29.3374 * CHOOSE(CONTROL!$C$9, $D$9, 100%, $F$9) + CHOOSE(CONTROL!$C$27, 0.0021, 0)</f>
        <v>29.339499999999997</v>
      </c>
      <c r="I127" s="14">
        <f>29.3374 * CHOOSE(CONTROL!$C$9, $D$9, 100%, $F$9) + CHOOSE(CONTROL!$C$27, 0.0021, 0)</f>
        <v>29.339499999999997</v>
      </c>
      <c r="J127" s="14">
        <f>29.3374 * CHOOSE(CONTROL!$C$9, $D$9, 100%, $F$9) + CHOOSE(CONTROL!$C$27, 0.0021, 0)</f>
        <v>29.339499999999997</v>
      </c>
      <c r="K127" s="14">
        <f>29.3374 * CHOOSE(CONTROL!$C$9, $D$9, 100%, $F$9) + CHOOSE(CONTROL!$C$27, 0.0021, 0)</f>
        <v>29.339499999999997</v>
      </c>
      <c r="L127" s="14"/>
    </row>
    <row r="128" spans="1:12" ht="15" x14ac:dyDescent="0.2">
      <c r="A128" s="13">
        <v>44805</v>
      </c>
      <c r="B128" s="14">
        <f>30.3862 * CHOOSE(CONTROL!$C$9, $D$9, 100%, $F$9) + CHOOSE(CONTROL!$C$27, 0.0021, 0)</f>
        <v>30.388299999999997</v>
      </c>
      <c r="C128" s="14">
        <f>29.9539 * CHOOSE(CONTROL!$C$9, $D$9, 100%, $F$9) + CHOOSE(CONTROL!$C$27, 0.0021, 0)</f>
        <v>29.956</v>
      </c>
      <c r="D128" s="14">
        <f>29.9539 * CHOOSE(CONTROL!$C$9, $D$9, 100%, $F$9) + CHOOSE(CONTROL!$C$27, 0.0021, 0)</f>
        <v>29.956</v>
      </c>
      <c r="E128" s="14">
        <f>29.8172 * CHOOSE(CONTROL!$C$9, $D$9, 100%, $F$9) + CHOOSE(CONTROL!$C$27, 0.0021, 0)</f>
        <v>29.819299999999998</v>
      </c>
      <c r="F128" s="14">
        <f>29.8172 * CHOOSE(CONTROL!$C$9, $D$9, 100%, $F$9) + CHOOSE(CONTROL!$C$27, 0.0021, 0)</f>
        <v>29.819299999999998</v>
      </c>
      <c r="G128" s="14">
        <f>30.0886 * CHOOSE(CONTROL!$C$9, $D$9, 100%, $F$9) + CHOOSE(CONTROL!$C$27, 0.0021, 0)</f>
        <v>30.090699999999998</v>
      </c>
      <c r="H128" s="14">
        <f>29.9539 * CHOOSE(CONTROL!$C$9, $D$9, 100%, $F$9) + CHOOSE(CONTROL!$C$27, 0.0021, 0)</f>
        <v>29.956</v>
      </c>
      <c r="I128" s="14">
        <f>29.9539 * CHOOSE(CONTROL!$C$9, $D$9, 100%, $F$9) + CHOOSE(CONTROL!$C$27, 0.0021, 0)</f>
        <v>29.956</v>
      </c>
      <c r="J128" s="14">
        <f>29.9539 * CHOOSE(CONTROL!$C$9, $D$9, 100%, $F$9) + CHOOSE(CONTROL!$C$27, 0.0021, 0)</f>
        <v>29.956</v>
      </c>
      <c r="K128" s="14">
        <f>29.9539 * CHOOSE(CONTROL!$C$9, $D$9, 100%, $F$9) + CHOOSE(CONTROL!$C$27, 0.0021, 0)</f>
        <v>29.956</v>
      </c>
      <c r="L128" s="14"/>
    </row>
    <row r="129" spans="1:12" ht="15" x14ac:dyDescent="0.2">
      <c r="A129" s="13">
        <v>44835</v>
      </c>
      <c r="B129" s="14">
        <f>31.1542 * CHOOSE(CONTROL!$C$9, $D$9, 100%, $F$9) + CHOOSE(CONTROL!$C$27, 0.0021, 0)</f>
        <v>31.156299999999998</v>
      </c>
      <c r="C129" s="14">
        <f>30.722 * CHOOSE(CONTROL!$C$9, $D$9, 100%, $F$9) + CHOOSE(CONTROL!$C$27, 0.0021, 0)</f>
        <v>30.7241</v>
      </c>
      <c r="D129" s="14">
        <f>30.722 * CHOOSE(CONTROL!$C$9, $D$9, 100%, $F$9) + CHOOSE(CONTROL!$C$27, 0.0021, 0)</f>
        <v>30.7241</v>
      </c>
      <c r="E129" s="14">
        <f>30.5853 * CHOOSE(CONTROL!$C$9, $D$9, 100%, $F$9) + CHOOSE(CONTROL!$C$27, 0.0021, 0)</f>
        <v>30.587399999999999</v>
      </c>
      <c r="F129" s="14">
        <f>30.5853 * CHOOSE(CONTROL!$C$9, $D$9, 100%, $F$9) + CHOOSE(CONTROL!$C$27, 0.0021, 0)</f>
        <v>30.587399999999999</v>
      </c>
      <c r="G129" s="14">
        <f>30.8567 * CHOOSE(CONTROL!$C$9, $D$9, 100%, $F$9) + CHOOSE(CONTROL!$C$27, 0.0021, 0)</f>
        <v>30.858799999999999</v>
      </c>
      <c r="H129" s="14">
        <f>30.722 * CHOOSE(CONTROL!$C$9, $D$9, 100%, $F$9) + CHOOSE(CONTROL!$C$27, 0.0021, 0)</f>
        <v>30.7241</v>
      </c>
      <c r="I129" s="14">
        <f>30.722 * CHOOSE(CONTROL!$C$9, $D$9, 100%, $F$9) + CHOOSE(CONTROL!$C$27, 0.0021, 0)</f>
        <v>30.7241</v>
      </c>
      <c r="J129" s="14">
        <f>30.722 * CHOOSE(CONTROL!$C$9, $D$9, 100%, $F$9) + CHOOSE(CONTROL!$C$27, 0.0021, 0)</f>
        <v>30.7241</v>
      </c>
      <c r="K129" s="14">
        <f>30.722 * CHOOSE(CONTROL!$C$9, $D$9, 100%, $F$9) + CHOOSE(CONTROL!$C$27, 0.0021, 0)</f>
        <v>30.7241</v>
      </c>
      <c r="L129" s="14"/>
    </row>
    <row r="130" spans="1:12" ht="15" x14ac:dyDescent="0.2">
      <c r="A130" s="13">
        <v>44866</v>
      </c>
      <c r="B130" s="14">
        <f>31.2805 * CHOOSE(CONTROL!$C$9, $D$9, 100%, $F$9) + CHOOSE(CONTROL!$C$27, 0.0021, 0)</f>
        <v>31.282599999999999</v>
      </c>
      <c r="C130" s="14">
        <f>30.8482 * CHOOSE(CONTROL!$C$9, $D$9, 100%, $F$9) + CHOOSE(CONTROL!$C$27, 0.0021, 0)</f>
        <v>30.850299999999997</v>
      </c>
      <c r="D130" s="14">
        <f>30.8482 * CHOOSE(CONTROL!$C$9, $D$9, 100%, $F$9) + CHOOSE(CONTROL!$C$27, 0.0021, 0)</f>
        <v>30.850299999999997</v>
      </c>
      <c r="E130" s="14">
        <f>30.7116 * CHOOSE(CONTROL!$C$9, $D$9, 100%, $F$9) + CHOOSE(CONTROL!$C$27, 0.0021, 0)</f>
        <v>30.713699999999999</v>
      </c>
      <c r="F130" s="14">
        <f>30.7116 * CHOOSE(CONTROL!$C$9, $D$9, 100%, $F$9) + CHOOSE(CONTROL!$C$27, 0.0021, 0)</f>
        <v>30.713699999999999</v>
      </c>
      <c r="G130" s="14">
        <f>30.983 * CHOOSE(CONTROL!$C$9, $D$9, 100%, $F$9) + CHOOSE(CONTROL!$C$27, 0.0021, 0)</f>
        <v>30.985099999999999</v>
      </c>
      <c r="H130" s="14">
        <f>30.8482 * CHOOSE(CONTROL!$C$9, $D$9, 100%, $F$9) + CHOOSE(CONTROL!$C$27, 0.0021, 0)</f>
        <v>30.850299999999997</v>
      </c>
      <c r="I130" s="14">
        <f>30.8482 * CHOOSE(CONTROL!$C$9, $D$9, 100%, $F$9) + CHOOSE(CONTROL!$C$27, 0.0021, 0)</f>
        <v>30.850299999999997</v>
      </c>
      <c r="J130" s="14">
        <f>30.8482 * CHOOSE(CONTROL!$C$9, $D$9, 100%, $F$9) + CHOOSE(CONTROL!$C$27, 0.0021, 0)</f>
        <v>30.850299999999997</v>
      </c>
      <c r="K130" s="14">
        <f>30.8482 * CHOOSE(CONTROL!$C$9, $D$9, 100%, $F$9) + CHOOSE(CONTROL!$C$27, 0.0021, 0)</f>
        <v>30.850299999999997</v>
      </c>
      <c r="L130" s="14"/>
    </row>
    <row r="131" spans="1:12" ht="15" x14ac:dyDescent="0.2">
      <c r="A131" s="13">
        <v>44896</v>
      </c>
      <c r="B131" s="14">
        <f>30.7706 * CHOOSE(CONTROL!$C$9, $D$9, 100%, $F$9) + CHOOSE(CONTROL!$C$27, 0.0021, 0)</f>
        <v>30.7727</v>
      </c>
      <c r="C131" s="14">
        <f>30.3384 * CHOOSE(CONTROL!$C$9, $D$9, 100%, $F$9) + CHOOSE(CONTROL!$C$27, 0.0021, 0)</f>
        <v>30.340499999999999</v>
      </c>
      <c r="D131" s="14">
        <f>30.3384 * CHOOSE(CONTROL!$C$9, $D$9, 100%, $F$9) + CHOOSE(CONTROL!$C$27, 0.0021, 0)</f>
        <v>30.340499999999999</v>
      </c>
      <c r="E131" s="14">
        <f>30.2017 * CHOOSE(CONTROL!$C$9, $D$9, 100%, $F$9) + CHOOSE(CONTROL!$C$27, 0.0021, 0)</f>
        <v>30.203799999999998</v>
      </c>
      <c r="F131" s="14">
        <f>30.2017 * CHOOSE(CONTROL!$C$9, $D$9, 100%, $F$9) + CHOOSE(CONTROL!$C$27, 0.0021, 0)</f>
        <v>30.203799999999998</v>
      </c>
      <c r="G131" s="14">
        <f>30.4731 * CHOOSE(CONTROL!$C$9, $D$9, 100%, $F$9) + CHOOSE(CONTROL!$C$27, 0.0021, 0)</f>
        <v>30.475199999999997</v>
      </c>
      <c r="H131" s="14">
        <f>30.3384 * CHOOSE(CONTROL!$C$9, $D$9, 100%, $F$9) + CHOOSE(CONTROL!$C$27, 0.0021, 0)</f>
        <v>30.340499999999999</v>
      </c>
      <c r="I131" s="14">
        <f>30.3384 * CHOOSE(CONTROL!$C$9, $D$9, 100%, $F$9) + CHOOSE(CONTROL!$C$27, 0.0021, 0)</f>
        <v>30.340499999999999</v>
      </c>
      <c r="J131" s="14">
        <f>30.3384 * CHOOSE(CONTROL!$C$9, $D$9, 100%, $F$9) + CHOOSE(CONTROL!$C$27, 0.0021, 0)</f>
        <v>30.340499999999999</v>
      </c>
      <c r="K131" s="14">
        <f>30.3384 * CHOOSE(CONTROL!$C$9, $D$9, 100%, $F$9) + CHOOSE(CONTROL!$C$27, 0.0021, 0)</f>
        <v>30.340499999999999</v>
      </c>
      <c r="L131" s="14"/>
    </row>
    <row r="132" spans="1:12" ht="15" x14ac:dyDescent="0.2">
      <c r="A132" s="13">
        <v>44927</v>
      </c>
      <c r="B132" s="14">
        <f>30.6993 * CHOOSE(CONTROL!$C$9, $D$9, 100%, $F$9) + CHOOSE(CONTROL!$C$27, 0.0021, 0)</f>
        <v>30.7014</v>
      </c>
      <c r="C132" s="14">
        <f>30.2671 * CHOOSE(CONTROL!$C$9, $D$9, 100%, $F$9) + CHOOSE(CONTROL!$C$27, 0.0021, 0)</f>
        <v>30.269199999999998</v>
      </c>
      <c r="D132" s="14">
        <f>30.2671 * CHOOSE(CONTROL!$C$9, $D$9, 100%, $F$9) + CHOOSE(CONTROL!$C$27, 0.0021, 0)</f>
        <v>30.269199999999998</v>
      </c>
      <c r="E132" s="14">
        <f>30.1304 * CHOOSE(CONTROL!$C$9, $D$9, 100%, $F$9) + CHOOSE(CONTROL!$C$27, 0.0021, 0)</f>
        <v>30.1325</v>
      </c>
      <c r="F132" s="14">
        <f>30.1304 * CHOOSE(CONTROL!$C$9, $D$9, 100%, $F$9) + CHOOSE(CONTROL!$C$27, 0.0021, 0)</f>
        <v>30.1325</v>
      </c>
      <c r="G132" s="14">
        <f>30.4018 * CHOOSE(CONTROL!$C$9, $D$9, 100%, $F$9) + CHOOSE(CONTROL!$C$27, 0.0021, 0)</f>
        <v>30.4039</v>
      </c>
      <c r="H132" s="14">
        <f>30.2671 * CHOOSE(CONTROL!$C$9, $D$9, 100%, $F$9) + CHOOSE(CONTROL!$C$27, 0.0021, 0)</f>
        <v>30.269199999999998</v>
      </c>
      <c r="I132" s="14">
        <f>30.2671 * CHOOSE(CONTROL!$C$9, $D$9, 100%, $F$9) + CHOOSE(CONTROL!$C$27, 0.0021, 0)</f>
        <v>30.269199999999998</v>
      </c>
      <c r="J132" s="14">
        <f>30.2671 * CHOOSE(CONTROL!$C$9, $D$9, 100%, $F$9) + CHOOSE(CONTROL!$C$27, 0.0021, 0)</f>
        <v>30.269199999999998</v>
      </c>
      <c r="K132" s="14">
        <f>30.2671 * CHOOSE(CONTROL!$C$9, $D$9, 100%, $F$9) + CHOOSE(CONTROL!$C$27, 0.0021, 0)</f>
        <v>30.269199999999998</v>
      </c>
      <c r="L132" s="14"/>
    </row>
    <row r="133" spans="1:12" ht="15" x14ac:dyDescent="0.2">
      <c r="A133" s="13">
        <v>44958</v>
      </c>
      <c r="B133" s="14">
        <f>29.9527 * CHOOSE(CONTROL!$C$9, $D$9, 100%, $F$9) + CHOOSE(CONTROL!$C$27, 0.0021, 0)</f>
        <v>29.954799999999999</v>
      </c>
      <c r="C133" s="14">
        <f>29.5204 * CHOOSE(CONTROL!$C$9, $D$9, 100%, $F$9) + CHOOSE(CONTROL!$C$27, 0.0021, 0)</f>
        <v>29.522499999999997</v>
      </c>
      <c r="D133" s="14">
        <f>29.5204 * CHOOSE(CONTROL!$C$9, $D$9, 100%, $F$9) + CHOOSE(CONTROL!$C$27, 0.0021, 0)</f>
        <v>29.522499999999997</v>
      </c>
      <c r="E133" s="14">
        <f>29.3838 * CHOOSE(CONTROL!$C$9, $D$9, 100%, $F$9) + CHOOSE(CONTROL!$C$27, 0.0021, 0)</f>
        <v>29.385899999999999</v>
      </c>
      <c r="F133" s="14">
        <f>29.3838 * CHOOSE(CONTROL!$C$9, $D$9, 100%, $F$9) + CHOOSE(CONTROL!$C$27, 0.0021, 0)</f>
        <v>29.385899999999999</v>
      </c>
      <c r="G133" s="14">
        <f>29.6551 * CHOOSE(CONTROL!$C$9, $D$9, 100%, $F$9) + CHOOSE(CONTROL!$C$27, 0.0021, 0)</f>
        <v>29.6572</v>
      </c>
      <c r="H133" s="14">
        <f>29.5204 * CHOOSE(CONTROL!$C$9, $D$9, 100%, $F$9) + CHOOSE(CONTROL!$C$27, 0.0021, 0)</f>
        <v>29.522499999999997</v>
      </c>
      <c r="I133" s="14">
        <f>29.5204 * CHOOSE(CONTROL!$C$9, $D$9, 100%, $F$9) + CHOOSE(CONTROL!$C$27, 0.0021, 0)</f>
        <v>29.522499999999997</v>
      </c>
      <c r="J133" s="14">
        <f>29.5204 * CHOOSE(CONTROL!$C$9, $D$9, 100%, $F$9) + CHOOSE(CONTROL!$C$27, 0.0021, 0)</f>
        <v>29.522499999999997</v>
      </c>
      <c r="K133" s="14">
        <f>29.5204 * CHOOSE(CONTROL!$C$9, $D$9, 100%, $F$9) + CHOOSE(CONTROL!$C$27, 0.0021, 0)</f>
        <v>29.522499999999997</v>
      </c>
      <c r="L133" s="14"/>
    </row>
    <row r="134" spans="1:12" ht="15" x14ac:dyDescent="0.2">
      <c r="A134" s="13">
        <v>44986</v>
      </c>
      <c r="B134" s="14">
        <f>29.6766 * CHOOSE(CONTROL!$C$9, $D$9, 100%, $F$9) + CHOOSE(CONTROL!$C$27, 0.0021, 0)</f>
        <v>29.678699999999999</v>
      </c>
      <c r="C134" s="14">
        <f>29.2443 * CHOOSE(CONTROL!$C$9, $D$9, 100%, $F$9) + CHOOSE(CONTROL!$C$27, 0.0021, 0)</f>
        <v>29.246399999999998</v>
      </c>
      <c r="D134" s="14">
        <f>29.2443 * CHOOSE(CONTROL!$C$9, $D$9, 100%, $F$9) + CHOOSE(CONTROL!$C$27, 0.0021, 0)</f>
        <v>29.246399999999998</v>
      </c>
      <c r="E134" s="14">
        <f>29.1077 * CHOOSE(CONTROL!$C$9, $D$9, 100%, $F$9) + CHOOSE(CONTROL!$C$27, 0.0021, 0)</f>
        <v>29.1098</v>
      </c>
      <c r="F134" s="14">
        <f>29.1077 * CHOOSE(CONTROL!$C$9, $D$9, 100%, $F$9) + CHOOSE(CONTROL!$C$27, 0.0021, 0)</f>
        <v>29.1098</v>
      </c>
      <c r="G134" s="14">
        <f>29.3791 * CHOOSE(CONTROL!$C$9, $D$9, 100%, $F$9) + CHOOSE(CONTROL!$C$27, 0.0021, 0)</f>
        <v>29.3812</v>
      </c>
      <c r="H134" s="14">
        <f>29.2443 * CHOOSE(CONTROL!$C$9, $D$9, 100%, $F$9) + CHOOSE(CONTROL!$C$27, 0.0021, 0)</f>
        <v>29.246399999999998</v>
      </c>
      <c r="I134" s="14">
        <f>29.2443 * CHOOSE(CONTROL!$C$9, $D$9, 100%, $F$9) + CHOOSE(CONTROL!$C$27, 0.0021, 0)</f>
        <v>29.246399999999998</v>
      </c>
      <c r="J134" s="14">
        <f>29.2443 * CHOOSE(CONTROL!$C$9, $D$9, 100%, $F$9) + CHOOSE(CONTROL!$C$27, 0.0021, 0)</f>
        <v>29.246399999999998</v>
      </c>
      <c r="K134" s="14">
        <f>29.2443 * CHOOSE(CONTROL!$C$9, $D$9, 100%, $F$9) + CHOOSE(CONTROL!$C$27, 0.0021, 0)</f>
        <v>29.246399999999998</v>
      </c>
      <c r="L134" s="14"/>
    </row>
    <row r="135" spans="1:12" ht="15" x14ac:dyDescent="0.2">
      <c r="A135" s="13">
        <v>45017</v>
      </c>
      <c r="B135" s="14">
        <f>29.3345 * CHOOSE(CONTROL!$C$9, $D$9, 100%, $F$9) + CHOOSE(CONTROL!$C$27, 0.0021, 0)</f>
        <v>29.336599999999997</v>
      </c>
      <c r="C135" s="14">
        <f>28.9023 * CHOOSE(CONTROL!$C$9, $D$9, 100%, $F$9) + CHOOSE(CONTROL!$C$27, 0.0021, 0)</f>
        <v>28.904399999999999</v>
      </c>
      <c r="D135" s="14">
        <f>28.9023 * CHOOSE(CONTROL!$C$9, $D$9, 100%, $F$9) + CHOOSE(CONTROL!$C$27, 0.0021, 0)</f>
        <v>28.904399999999999</v>
      </c>
      <c r="E135" s="14">
        <f>28.7656 * CHOOSE(CONTROL!$C$9, $D$9, 100%, $F$9) + CHOOSE(CONTROL!$C$27, 0.0021, 0)</f>
        <v>28.767699999999998</v>
      </c>
      <c r="F135" s="14">
        <f>28.7656 * CHOOSE(CONTROL!$C$9, $D$9, 100%, $F$9) + CHOOSE(CONTROL!$C$27, 0.0021, 0)</f>
        <v>28.767699999999998</v>
      </c>
      <c r="G135" s="14">
        <f>29.037 * CHOOSE(CONTROL!$C$9, $D$9, 100%, $F$9) + CHOOSE(CONTROL!$C$27, 0.0021, 0)</f>
        <v>29.039099999999998</v>
      </c>
      <c r="H135" s="14">
        <f>28.9023 * CHOOSE(CONTROL!$C$9, $D$9, 100%, $F$9) + CHOOSE(CONTROL!$C$27, 0.0021, 0)</f>
        <v>28.904399999999999</v>
      </c>
      <c r="I135" s="14">
        <f>28.9023 * CHOOSE(CONTROL!$C$9, $D$9, 100%, $F$9) + CHOOSE(CONTROL!$C$27, 0.0021, 0)</f>
        <v>28.904399999999999</v>
      </c>
      <c r="J135" s="14">
        <f>28.9023 * CHOOSE(CONTROL!$C$9, $D$9, 100%, $F$9) + CHOOSE(CONTROL!$C$27, 0.0021, 0)</f>
        <v>28.904399999999999</v>
      </c>
      <c r="K135" s="14">
        <f>28.9023 * CHOOSE(CONTROL!$C$9, $D$9, 100%, $F$9) + CHOOSE(CONTROL!$C$27, 0.0021, 0)</f>
        <v>28.904399999999999</v>
      </c>
      <c r="L135" s="14"/>
    </row>
    <row r="136" spans="1:12" ht="15" x14ac:dyDescent="0.2">
      <c r="A136" s="13">
        <v>45047</v>
      </c>
      <c r="B136" s="14">
        <f>29.9593 * CHOOSE(CONTROL!$C$9, $D$9, 100%, $F$9) + CHOOSE(CONTROL!$C$27, 0.0021, 0)</f>
        <v>29.961399999999998</v>
      </c>
      <c r="C136" s="14">
        <f>29.527 * CHOOSE(CONTROL!$C$9, $D$9, 100%, $F$9) + CHOOSE(CONTROL!$C$27, 0.0021, 0)</f>
        <v>29.5291</v>
      </c>
      <c r="D136" s="14">
        <f>29.527 * CHOOSE(CONTROL!$C$9, $D$9, 100%, $F$9) + CHOOSE(CONTROL!$C$27, 0.0021, 0)</f>
        <v>29.5291</v>
      </c>
      <c r="E136" s="14">
        <f>29.3904 * CHOOSE(CONTROL!$C$9, $D$9, 100%, $F$9) + CHOOSE(CONTROL!$C$27, 0.0021, 0)</f>
        <v>29.392499999999998</v>
      </c>
      <c r="F136" s="14">
        <f>29.3904 * CHOOSE(CONTROL!$C$9, $D$9, 100%, $F$9) + CHOOSE(CONTROL!$C$27, 0.0021, 0)</f>
        <v>29.392499999999998</v>
      </c>
      <c r="G136" s="14">
        <f>29.6617 * CHOOSE(CONTROL!$C$9, $D$9, 100%, $F$9) + CHOOSE(CONTROL!$C$27, 0.0021, 0)</f>
        <v>29.663799999999998</v>
      </c>
      <c r="H136" s="14">
        <f>29.527 * CHOOSE(CONTROL!$C$9, $D$9, 100%, $F$9) + CHOOSE(CONTROL!$C$27, 0.0021, 0)</f>
        <v>29.5291</v>
      </c>
      <c r="I136" s="14">
        <f>29.527 * CHOOSE(CONTROL!$C$9, $D$9, 100%, $F$9) + CHOOSE(CONTROL!$C$27, 0.0021, 0)</f>
        <v>29.5291</v>
      </c>
      <c r="J136" s="14">
        <f>29.527 * CHOOSE(CONTROL!$C$9, $D$9, 100%, $F$9) + CHOOSE(CONTROL!$C$27, 0.0021, 0)</f>
        <v>29.5291</v>
      </c>
      <c r="K136" s="14">
        <f>29.527 * CHOOSE(CONTROL!$C$9, $D$9, 100%, $F$9) + CHOOSE(CONTROL!$C$27, 0.0021, 0)</f>
        <v>29.5291</v>
      </c>
      <c r="L136" s="14"/>
    </row>
    <row r="137" spans="1:12" ht="15" x14ac:dyDescent="0.2">
      <c r="A137" s="13">
        <v>45078</v>
      </c>
      <c r="B137" s="14">
        <f>30.3578 * CHOOSE(CONTROL!$C$9, $D$9, 100%, $F$9) + CHOOSE(CONTROL!$C$27, 0.0021, 0)</f>
        <v>30.3599</v>
      </c>
      <c r="C137" s="14">
        <f>29.9256 * CHOOSE(CONTROL!$C$9, $D$9, 100%, $F$9) + CHOOSE(CONTROL!$C$27, 0.0021, 0)</f>
        <v>29.927699999999998</v>
      </c>
      <c r="D137" s="14">
        <f>29.9256 * CHOOSE(CONTROL!$C$9, $D$9, 100%, $F$9) + CHOOSE(CONTROL!$C$27, 0.0021, 0)</f>
        <v>29.927699999999998</v>
      </c>
      <c r="E137" s="14">
        <f>29.7889 * CHOOSE(CONTROL!$C$9, $D$9, 100%, $F$9) + CHOOSE(CONTROL!$C$27, 0.0021, 0)</f>
        <v>29.791</v>
      </c>
      <c r="F137" s="14">
        <f>29.7889 * CHOOSE(CONTROL!$C$9, $D$9, 100%, $F$9) + CHOOSE(CONTROL!$C$27, 0.0021, 0)</f>
        <v>29.791</v>
      </c>
      <c r="G137" s="14">
        <f>30.0603 * CHOOSE(CONTROL!$C$9, $D$9, 100%, $F$9) + CHOOSE(CONTROL!$C$27, 0.0021, 0)</f>
        <v>30.0624</v>
      </c>
      <c r="H137" s="14">
        <f>29.9256 * CHOOSE(CONTROL!$C$9, $D$9, 100%, $F$9) + CHOOSE(CONTROL!$C$27, 0.0021, 0)</f>
        <v>29.927699999999998</v>
      </c>
      <c r="I137" s="14">
        <f>29.9256 * CHOOSE(CONTROL!$C$9, $D$9, 100%, $F$9) + CHOOSE(CONTROL!$C$27, 0.0021, 0)</f>
        <v>29.927699999999998</v>
      </c>
      <c r="J137" s="14">
        <f>29.9256 * CHOOSE(CONTROL!$C$9, $D$9, 100%, $F$9) + CHOOSE(CONTROL!$C$27, 0.0021, 0)</f>
        <v>29.927699999999998</v>
      </c>
      <c r="K137" s="14">
        <f>29.9256 * CHOOSE(CONTROL!$C$9, $D$9, 100%, $F$9) + CHOOSE(CONTROL!$C$27, 0.0021, 0)</f>
        <v>29.927699999999998</v>
      </c>
      <c r="L137" s="14"/>
    </row>
    <row r="138" spans="1:12" ht="15" x14ac:dyDescent="0.2">
      <c r="A138" s="13">
        <v>45108</v>
      </c>
      <c r="B138" s="14">
        <f>30.9802 * CHOOSE(CONTROL!$C$9, $D$9, 100%, $F$9) + CHOOSE(CONTROL!$C$27, 0.0021, 0)</f>
        <v>30.982299999999999</v>
      </c>
      <c r="C138" s="14">
        <f>30.548 * CHOOSE(CONTROL!$C$9, $D$9, 100%, $F$9) + CHOOSE(CONTROL!$C$27, 0.0021, 0)</f>
        <v>30.550099999999997</v>
      </c>
      <c r="D138" s="14">
        <f>30.548 * CHOOSE(CONTROL!$C$9, $D$9, 100%, $F$9) + CHOOSE(CONTROL!$C$27, 0.0021, 0)</f>
        <v>30.550099999999997</v>
      </c>
      <c r="E138" s="14">
        <f>30.4113 * CHOOSE(CONTROL!$C$9, $D$9, 100%, $F$9) + CHOOSE(CONTROL!$C$27, 0.0021, 0)</f>
        <v>30.413399999999999</v>
      </c>
      <c r="F138" s="14">
        <f>30.4113 * CHOOSE(CONTROL!$C$9, $D$9, 100%, $F$9) + CHOOSE(CONTROL!$C$27, 0.0021, 0)</f>
        <v>30.413399999999999</v>
      </c>
      <c r="G138" s="14">
        <f>30.6827 * CHOOSE(CONTROL!$C$9, $D$9, 100%, $F$9) + CHOOSE(CONTROL!$C$27, 0.0021, 0)</f>
        <v>30.684799999999999</v>
      </c>
      <c r="H138" s="14">
        <f>30.548 * CHOOSE(CONTROL!$C$9, $D$9, 100%, $F$9) + CHOOSE(CONTROL!$C$27, 0.0021, 0)</f>
        <v>30.550099999999997</v>
      </c>
      <c r="I138" s="14">
        <f>30.548 * CHOOSE(CONTROL!$C$9, $D$9, 100%, $F$9) + CHOOSE(CONTROL!$C$27, 0.0021, 0)</f>
        <v>30.550099999999997</v>
      </c>
      <c r="J138" s="14">
        <f>30.548 * CHOOSE(CONTROL!$C$9, $D$9, 100%, $F$9) + CHOOSE(CONTROL!$C$27, 0.0021, 0)</f>
        <v>30.550099999999997</v>
      </c>
      <c r="K138" s="14">
        <f>30.548 * CHOOSE(CONTROL!$C$9, $D$9, 100%, $F$9) + CHOOSE(CONTROL!$C$27, 0.0021, 0)</f>
        <v>30.550099999999997</v>
      </c>
      <c r="L138" s="14"/>
    </row>
    <row r="139" spans="1:12" ht="15" x14ac:dyDescent="0.2">
      <c r="A139" s="13">
        <v>45139</v>
      </c>
      <c r="B139" s="14">
        <f>31.212 * CHOOSE(CONTROL!$C$9, $D$9, 100%, $F$9) + CHOOSE(CONTROL!$C$27, 0.0021, 0)</f>
        <v>31.214099999999998</v>
      </c>
      <c r="C139" s="14">
        <f>30.7797 * CHOOSE(CONTROL!$C$9, $D$9, 100%, $F$9) + CHOOSE(CONTROL!$C$27, 0.0021, 0)</f>
        <v>30.781799999999997</v>
      </c>
      <c r="D139" s="14">
        <f>30.7797 * CHOOSE(CONTROL!$C$9, $D$9, 100%, $F$9) + CHOOSE(CONTROL!$C$27, 0.0021, 0)</f>
        <v>30.781799999999997</v>
      </c>
      <c r="E139" s="14">
        <f>30.6431 * CHOOSE(CONTROL!$C$9, $D$9, 100%, $F$9) + CHOOSE(CONTROL!$C$27, 0.0021, 0)</f>
        <v>30.645199999999999</v>
      </c>
      <c r="F139" s="14">
        <f>30.6431 * CHOOSE(CONTROL!$C$9, $D$9, 100%, $F$9) + CHOOSE(CONTROL!$C$27, 0.0021, 0)</f>
        <v>30.645199999999999</v>
      </c>
      <c r="G139" s="14">
        <f>30.9145 * CHOOSE(CONTROL!$C$9, $D$9, 100%, $F$9) + CHOOSE(CONTROL!$C$27, 0.0021, 0)</f>
        <v>30.916599999999999</v>
      </c>
      <c r="H139" s="14">
        <f>30.7797 * CHOOSE(CONTROL!$C$9, $D$9, 100%, $F$9) + CHOOSE(CONTROL!$C$27, 0.0021, 0)</f>
        <v>30.781799999999997</v>
      </c>
      <c r="I139" s="14">
        <f>30.7797 * CHOOSE(CONTROL!$C$9, $D$9, 100%, $F$9) + CHOOSE(CONTROL!$C$27, 0.0021, 0)</f>
        <v>30.781799999999997</v>
      </c>
      <c r="J139" s="14">
        <f>30.7797 * CHOOSE(CONTROL!$C$9, $D$9, 100%, $F$9) + CHOOSE(CONTROL!$C$27, 0.0021, 0)</f>
        <v>30.781799999999997</v>
      </c>
      <c r="K139" s="14">
        <f>30.7797 * CHOOSE(CONTROL!$C$9, $D$9, 100%, $F$9) + CHOOSE(CONTROL!$C$27, 0.0021, 0)</f>
        <v>30.781799999999997</v>
      </c>
      <c r="L139" s="14"/>
    </row>
    <row r="140" spans="1:12" ht="15" x14ac:dyDescent="0.2">
      <c r="A140" s="13">
        <v>45170</v>
      </c>
      <c r="B140" s="14">
        <f>31.8609 * CHOOSE(CONTROL!$C$9, $D$9, 100%, $F$9) + CHOOSE(CONTROL!$C$27, 0.0021, 0)</f>
        <v>31.863</v>
      </c>
      <c r="C140" s="14">
        <f>31.4286 * CHOOSE(CONTROL!$C$9, $D$9, 100%, $F$9) + CHOOSE(CONTROL!$C$27, 0.0021, 0)</f>
        <v>31.430699999999998</v>
      </c>
      <c r="D140" s="14">
        <f>31.4286 * CHOOSE(CONTROL!$C$9, $D$9, 100%, $F$9) + CHOOSE(CONTROL!$C$27, 0.0021, 0)</f>
        <v>31.430699999999998</v>
      </c>
      <c r="E140" s="14">
        <f>31.292 * CHOOSE(CONTROL!$C$9, $D$9, 100%, $F$9) + CHOOSE(CONTROL!$C$27, 0.0021, 0)</f>
        <v>31.2941</v>
      </c>
      <c r="F140" s="14">
        <f>31.292 * CHOOSE(CONTROL!$C$9, $D$9, 100%, $F$9) + CHOOSE(CONTROL!$C$27, 0.0021, 0)</f>
        <v>31.2941</v>
      </c>
      <c r="G140" s="14">
        <f>31.5633 * CHOOSE(CONTROL!$C$9, $D$9, 100%, $F$9) + CHOOSE(CONTROL!$C$27, 0.0021, 0)</f>
        <v>31.5654</v>
      </c>
      <c r="H140" s="14">
        <f>31.4286 * CHOOSE(CONTROL!$C$9, $D$9, 100%, $F$9) + CHOOSE(CONTROL!$C$27, 0.0021, 0)</f>
        <v>31.430699999999998</v>
      </c>
      <c r="I140" s="14">
        <f>31.4286 * CHOOSE(CONTROL!$C$9, $D$9, 100%, $F$9) + CHOOSE(CONTROL!$C$27, 0.0021, 0)</f>
        <v>31.430699999999998</v>
      </c>
      <c r="J140" s="14">
        <f>31.4286 * CHOOSE(CONTROL!$C$9, $D$9, 100%, $F$9) + CHOOSE(CONTROL!$C$27, 0.0021, 0)</f>
        <v>31.430699999999998</v>
      </c>
      <c r="K140" s="14">
        <f>31.4286 * CHOOSE(CONTROL!$C$9, $D$9, 100%, $F$9) + CHOOSE(CONTROL!$C$27, 0.0021, 0)</f>
        <v>31.430699999999998</v>
      </c>
      <c r="L140" s="14"/>
    </row>
    <row r="141" spans="1:12" ht="15" x14ac:dyDescent="0.2">
      <c r="A141" s="13">
        <v>45200</v>
      </c>
      <c r="B141" s="14">
        <f>32.6692 * CHOOSE(CONTROL!$C$9, $D$9, 100%, $F$9) + CHOOSE(CONTROL!$C$27, 0.0021, 0)</f>
        <v>32.671299999999995</v>
      </c>
      <c r="C141" s="14">
        <f>32.237 * CHOOSE(CONTROL!$C$9, $D$9, 100%, $F$9) + CHOOSE(CONTROL!$C$27, 0.0021, 0)</f>
        <v>32.239100000000001</v>
      </c>
      <c r="D141" s="14">
        <f>32.237 * CHOOSE(CONTROL!$C$9, $D$9, 100%, $F$9) + CHOOSE(CONTROL!$C$27, 0.0021, 0)</f>
        <v>32.239100000000001</v>
      </c>
      <c r="E141" s="14">
        <f>32.1003 * CHOOSE(CONTROL!$C$9, $D$9, 100%, $F$9) + CHOOSE(CONTROL!$C$27, 0.0021, 0)</f>
        <v>32.102399999999996</v>
      </c>
      <c r="F141" s="14">
        <f>32.1003 * CHOOSE(CONTROL!$C$9, $D$9, 100%, $F$9) + CHOOSE(CONTROL!$C$27, 0.0021, 0)</f>
        <v>32.102399999999996</v>
      </c>
      <c r="G141" s="14">
        <f>32.3717 * CHOOSE(CONTROL!$C$9, $D$9, 100%, $F$9) + CHOOSE(CONTROL!$C$27, 0.0021, 0)</f>
        <v>32.373799999999996</v>
      </c>
      <c r="H141" s="14">
        <f>32.237 * CHOOSE(CONTROL!$C$9, $D$9, 100%, $F$9) + CHOOSE(CONTROL!$C$27, 0.0021, 0)</f>
        <v>32.239100000000001</v>
      </c>
      <c r="I141" s="14">
        <f>32.237 * CHOOSE(CONTROL!$C$9, $D$9, 100%, $F$9) + CHOOSE(CONTROL!$C$27, 0.0021, 0)</f>
        <v>32.239100000000001</v>
      </c>
      <c r="J141" s="14">
        <f>32.237 * CHOOSE(CONTROL!$C$9, $D$9, 100%, $F$9) + CHOOSE(CONTROL!$C$27, 0.0021, 0)</f>
        <v>32.239100000000001</v>
      </c>
      <c r="K141" s="14">
        <f>32.237 * CHOOSE(CONTROL!$C$9, $D$9, 100%, $F$9) + CHOOSE(CONTROL!$C$27, 0.0021, 0)</f>
        <v>32.239100000000001</v>
      </c>
      <c r="L141" s="14"/>
    </row>
    <row r="142" spans="1:12" ht="15" x14ac:dyDescent="0.2">
      <c r="A142" s="13">
        <v>45231</v>
      </c>
      <c r="B142" s="14">
        <f>32.8021 * CHOOSE(CONTROL!$C$9, $D$9, 100%, $F$9) + CHOOSE(CONTROL!$C$27, 0.0021, 0)</f>
        <v>32.804200000000002</v>
      </c>
      <c r="C142" s="14">
        <f>32.3699 * CHOOSE(CONTROL!$C$9, $D$9, 100%, $F$9) + CHOOSE(CONTROL!$C$27, 0.0021, 0)</f>
        <v>32.372</v>
      </c>
      <c r="D142" s="14">
        <f>32.3699 * CHOOSE(CONTROL!$C$9, $D$9, 100%, $F$9) + CHOOSE(CONTROL!$C$27, 0.0021, 0)</f>
        <v>32.372</v>
      </c>
      <c r="E142" s="14">
        <f>32.2332 * CHOOSE(CONTROL!$C$9, $D$9, 100%, $F$9) + CHOOSE(CONTROL!$C$27, 0.0021, 0)</f>
        <v>32.235299999999995</v>
      </c>
      <c r="F142" s="14">
        <f>32.2332 * CHOOSE(CONTROL!$C$9, $D$9, 100%, $F$9) + CHOOSE(CONTROL!$C$27, 0.0021, 0)</f>
        <v>32.235299999999995</v>
      </c>
      <c r="G142" s="14">
        <f>32.5046 * CHOOSE(CONTROL!$C$9, $D$9, 100%, $F$9) + CHOOSE(CONTROL!$C$27, 0.0021, 0)</f>
        <v>32.506700000000002</v>
      </c>
      <c r="H142" s="14">
        <f>32.3699 * CHOOSE(CONTROL!$C$9, $D$9, 100%, $F$9) + CHOOSE(CONTROL!$C$27, 0.0021, 0)</f>
        <v>32.372</v>
      </c>
      <c r="I142" s="14">
        <f>32.3699 * CHOOSE(CONTROL!$C$9, $D$9, 100%, $F$9) + CHOOSE(CONTROL!$C$27, 0.0021, 0)</f>
        <v>32.372</v>
      </c>
      <c r="J142" s="14">
        <f>32.3699 * CHOOSE(CONTROL!$C$9, $D$9, 100%, $F$9) + CHOOSE(CONTROL!$C$27, 0.0021, 0)</f>
        <v>32.372</v>
      </c>
      <c r="K142" s="14">
        <f>32.3699 * CHOOSE(CONTROL!$C$9, $D$9, 100%, $F$9) + CHOOSE(CONTROL!$C$27, 0.0021, 0)</f>
        <v>32.372</v>
      </c>
      <c r="L142" s="14"/>
    </row>
    <row r="143" spans="1:12" ht="15" x14ac:dyDescent="0.2">
      <c r="A143" s="13">
        <v>45261</v>
      </c>
      <c r="B143" s="14">
        <f>32.2655 * CHOOSE(CONTROL!$C$9, $D$9, 100%, $F$9) + CHOOSE(CONTROL!$C$27, 0.0021, 0)</f>
        <v>32.267600000000002</v>
      </c>
      <c r="C143" s="14">
        <f>31.8333 * CHOOSE(CONTROL!$C$9, $D$9, 100%, $F$9) + CHOOSE(CONTROL!$C$27, 0.0021, 0)</f>
        <v>31.8354</v>
      </c>
      <c r="D143" s="14">
        <f>31.8333 * CHOOSE(CONTROL!$C$9, $D$9, 100%, $F$9) + CHOOSE(CONTROL!$C$27, 0.0021, 0)</f>
        <v>31.8354</v>
      </c>
      <c r="E143" s="14">
        <f>31.6966 * CHOOSE(CONTROL!$C$9, $D$9, 100%, $F$9) + CHOOSE(CONTROL!$C$27, 0.0021, 0)</f>
        <v>31.698699999999999</v>
      </c>
      <c r="F143" s="14">
        <f>31.6966 * CHOOSE(CONTROL!$C$9, $D$9, 100%, $F$9) + CHOOSE(CONTROL!$C$27, 0.0021, 0)</f>
        <v>31.698699999999999</v>
      </c>
      <c r="G143" s="14">
        <f>31.968 * CHOOSE(CONTROL!$C$9, $D$9, 100%, $F$9) + CHOOSE(CONTROL!$C$27, 0.0021, 0)</f>
        <v>31.970099999999999</v>
      </c>
      <c r="H143" s="14">
        <f>31.8333 * CHOOSE(CONTROL!$C$9, $D$9, 100%, $F$9) + CHOOSE(CONTROL!$C$27, 0.0021, 0)</f>
        <v>31.8354</v>
      </c>
      <c r="I143" s="14">
        <f>31.8333 * CHOOSE(CONTROL!$C$9, $D$9, 100%, $F$9) + CHOOSE(CONTROL!$C$27, 0.0021, 0)</f>
        <v>31.8354</v>
      </c>
      <c r="J143" s="14">
        <f>31.8333 * CHOOSE(CONTROL!$C$9, $D$9, 100%, $F$9) + CHOOSE(CONTROL!$C$27, 0.0021, 0)</f>
        <v>31.8354</v>
      </c>
      <c r="K143" s="14">
        <f>31.8333 * CHOOSE(CONTROL!$C$9, $D$9, 100%, $F$9) + CHOOSE(CONTROL!$C$27, 0.0021, 0)</f>
        <v>31.8354</v>
      </c>
      <c r="L143" s="14"/>
    </row>
    <row r="144" spans="1:12" ht="15" x14ac:dyDescent="0.2">
      <c r="A144" s="13">
        <v>45292</v>
      </c>
      <c r="B144" s="14">
        <f>32.0947 * CHOOSE(CONTROL!$C$9, $D$9, 100%, $F$9) + CHOOSE(CONTROL!$C$27, 0.0021, 0)</f>
        <v>32.096800000000002</v>
      </c>
      <c r="C144" s="14">
        <f>31.6625 * CHOOSE(CONTROL!$C$9, $D$9, 100%, $F$9) + CHOOSE(CONTROL!$C$27, 0.0021, 0)</f>
        <v>31.6646</v>
      </c>
      <c r="D144" s="14">
        <f>31.6625 * CHOOSE(CONTROL!$C$9, $D$9, 100%, $F$9) + CHOOSE(CONTROL!$C$27, 0.0021, 0)</f>
        <v>31.6646</v>
      </c>
      <c r="E144" s="14">
        <f>31.5258 * CHOOSE(CONTROL!$C$9, $D$9, 100%, $F$9) + CHOOSE(CONTROL!$C$27, 0.0021, 0)</f>
        <v>31.527899999999999</v>
      </c>
      <c r="F144" s="14">
        <f>31.5258 * CHOOSE(CONTROL!$C$9, $D$9, 100%, $F$9) + CHOOSE(CONTROL!$C$27, 0.0021, 0)</f>
        <v>31.527899999999999</v>
      </c>
      <c r="G144" s="14">
        <f>31.7972 * CHOOSE(CONTROL!$C$9, $D$9, 100%, $F$9) + CHOOSE(CONTROL!$C$27, 0.0021, 0)</f>
        <v>31.799299999999999</v>
      </c>
      <c r="H144" s="14">
        <f>31.6625 * CHOOSE(CONTROL!$C$9, $D$9, 100%, $F$9) + CHOOSE(CONTROL!$C$27, 0.0021, 0)</f>
        <v>31.6646</v>
      </c>
      <c r="I144" s="14">
        <f>31.6625 * CHOOSE(CONTROL!$C$9, $D$9, 100%, $F$9) + CHOOSE(CONTROL!$C$27, 0.0021, 0)</f>
        <v>31.6646</v>
      </c>
      <c r="J144" s="14">
        <f>31.6625 * CHOOSE(CONTROL!$C$9, $D$9, 100%, $F$9) + CHOOSE(CONTROL!$C$27, 0.0021, 0)</f>
        <v>31.6646</v>
      </c>
      <c r="K144" s="14">
        <f>31.6625 * CHOOSE(CONTROL!$C$9, $D$9, 100%, $F$9) + CHOOSE(CONTROL!$C$27, 0.0021, 0)</f>
        <v>31.6646</v>
      </c>
      <c r="L144" s="14"/>
    </row>
    <row r="145" spans="1:12" ht="15" x14ac:dyDescent="0.2">
      <c r="A145" s="13">
        <v>45323</v>
      </c>
      <c r="B145" s="14">
        <f>31.3114 * CHOOSE(CONTROL!$C$9, $D$9, 100%, $F$9) + CHOOSE(CONTROL!$C$27, 0.0021, 0)</f>
        <v>31.313499999999998</v>
      </c>
      <c r="C145" s="14">
        <f>30.8792 * CHOOSE(CONTROL!$C$9, $D$9, 100%, $F$9) + CHOOSE(CONTROL!$C$27, 0.0021, 0)</f>
        <v>30.8813</v>
      </c>
      <c r="D145" s="14">
        <f>30.8792 * CHOOSE(CONTROL!$C$9, $D$9, 100%, $F$9) + CHOOSE(CONTROL!$C$27, 0.0021, 0)</f>
        <v>30.8813</v>
      </c>
      <c r="E145" s="14">
        <f>30.7425 * CHOOSE(CONTROL!$C$9, $D$9, 100%, $F$9) + CHOOSE(CONTROL!$C$27, 0.0021, 0)</f>
        <v>30.744599999999998</v>
      </c>
      <c r="F145" s="14">
        <f>30.7425 * CHOOSE(CONTROL!$C$9, $D$9, 100%, $F$9) + CHOOSE(CONTROL!$C$27, 0.0021, 0)</f>
        <v>30.744599999999998</v>
      </c>
      <c r="G145" s="14">
        <f>31.0139 * CHOOSE(CONTROL!$C$9, $D$9, 100%, $F$9) + CHOOSE(CONTROL!$C$27, 0.0021, 0)</f>
        <v>31.015999999999998</v>
      </c>
      <c r="H145" s="14">
        <f>30.8792 * CHOOSE(CONTROL!$C$9, $D$9, 100%, $F$9) + CHOOSE(CONTROL!$C$27, 0.0021, 0)</f>
        <v>30.8813</v>
      </c>
      <c r="I145" s="14">
        <f>30.8792 * CHOOSE(CONTROL!$C$9, $D$9, 100%, $F$9) + CHOOSE(CONTROL!$C$27, 0.0021, 0)</f>
        <v>30.8813</v>
      </c>
      <c r="J145" s="14">
        <f>30.8792 * CHOOSE(CONTROL!$C$9, $D$9, 100%, $F$9) + CHOOSE(CONTROL!$C$27, 0.0021, 0)</f>
        <v>30.8813</v>
      </c>
      <c r="K145" s="14">
        <f>30.8792 * CHOOSE(CONTROL!$C$9, $D$9, 100%, $F$9) + CHOOSE(CONTROL!$C$27, 0.0021, 0)</f>
        <v>30.8813</v>
      </c>
      <c r="L145" s="14"/>
    </row>
    <row r="146" spans="1:12" ht="15" x14ac:dyDescent="0.2">
      <c r="A146" s="13">
        <v>45352</v>
      </c>
      <c r="B146" s="14">
        <f>31.0218 * CHOOSE(CONTROL!$C$9, $D$9, 100%, $F$9) + CHOOSE(CONTROL!$C$27, 0.0021, 0)</f>
        <v>31.023899999999998</v>
      </c>
      <c r="C146" s="14">
        <f>30.5895 * CHOOSE(CONTROL!$C$9, $D$9, 100%, $F$9) + CHOOSE(CONTROL!$C$27, 0.0021, 0)</f>
        <v>30.5916</v>
      </c>
      <c r="D146" s="14">
        <f>30.5895 * CHOOSE(CONTROL!$C$9, $D$9, 100%, $F$9) + CHOOSE(CONTROL!$C$27, 0.0021, 0)</f>
        <v>30.5916</v>
      </c>
      <c r="E146" s="14">
        <f>30.4529 * CHOOSE(CONTROL!$C$9, $D$9, 100%, $F$9) + CHOOSE(CONTROL!$C$27, 0.0021, 0)</f>
        <v>30.454999999999998</v>
      </c>
      <c r="F146" s="14">
        <f>30.4529 * CHOOSE(CONTROL!$C$9, $D$9, 100%, $F$9) + CHOOSE(CONTROL!$C$27, 0.0021, 0)</f>
        <v>30.454999999999998</v>
      </c>
      <c r="G146" s="14">
        <f>30.7242 * CHOOSE(CONTROL!$C$9, $D$9, 100%, $F$9) + CHOOSE(CONTROL!$C$27, 0.0021, 0)</f>
        <v>30.726299999999998</v>
      </c>
      <c r="H146" s="14">
        <f>30.5895 * CHOOSE(CONTROL!$C$9, $D$9, 100%, $F$9) + CHOOSE(CONTROL!$C$27, 0.0021, 0)</f>
        <v>30.5916</v>
      </c>
      <c r="I146" s="14">
        <f>30.5895 * CHOOSE(CONTROL!$C$9, $D$9, 100%, $F$9) + CHOOSE(CONTROL!$C$27, 0.0021, 0)</f>
        <v>30.5916</v>
      </c>
      <c r="J146" s="14">
        <f>30.5895 * CHOOSE(CONTROL!$C$9, $D$9, 100%, $F$9) + CHOOSE(CONTROL!$C$27, 0.0021, 0)</f>
        <v>30.5916</v>
      </c>
      <c r="K146" s="14">
        <f>30.5895 * CHOOSE(CONTROL!$C$9, $D$9, 100%, $F$9) + CHOOSE(CONTROL!$C$27, 0.0021, 0)</f>
        <v>30.5916</v>
      </c>
      <c r="L146" s="14"/>
    </row>
    <row r="147" spans="1:12" ht="15" x14ac:dyDescent="0.2">
      <c r="A147" s="13">
        <v>45383</v>
      </c>
      <c r="B147" s="14">
        <f>30.6629 * CHOOSE(CONTROL!$C$9, $D$9, 100%, $F$9) + CHOOSE(CONTROL!$C$27, 0.0021, 0)</f>
        <v>30.664999999999999</v>
      </c>
      <c r="C147" s="14">
        <f>30.2306 * CHOOSE(CONTROL!$C$9, $D$9, 100%, $F$9) + CHOOSE(CONTROL!$C$27, 0.0021, 0)</f>
        <v>30.232699999999998</v>
      </c>
      <c r="D147" s="14">
        <f>30.2306 * CHOOSE(CONTROL!$C$9, $D$9, 100%, $F$9) + CHOOSE(CONTROL!$C$27, 0.0021, 0)</f>
        <v>30.232699999999998</v>
      </c>
      <c r="E147" s="14">
        <f>30.094 * CHOOSE(CONTROL!$C$9, $D$9, 100%, $F$9) + CHOOSE(CONTROL!$C$27, 0.0021, 0)</f>
        <v>30.0961</v>
      </c>
      <c r="F147" s="14">
        <f>30.094 * CHOOSE(CONTROL!$C$9, $D$9, 100%, $F$9) + CHOOSE(CONTROL!$C$27, 0.0021, 0)</f>
        <v>30.0961</v>
      </c>
      <c r="G147" s="14">
        <f>30.3653 * CHOOSE(CONTROL!$C$9, $D$9, 100%, $F$9) + CHOOSE(CONTROL!$C$27, 0.0021, 0)</f>
        <v>30.3674</v>
      </c>
      <c r="H147" s="14">
        <f>30.2306 * CHOOSE(CONTROL!$C$9, $D$9, 100%, $F$9) + CHOOSE(CONTROL!$C$27, 0.0021, 0)</f>
        <v>30.232699999999998</v>
      </c>
      <c r="I147" s="14">
        <f>30.2306 * CHOOSE(CONTROL!$C$9, $D$9, 100%, $F$9) + CHOOSE(CONTROL!$C$27, 0.0021, 0)</f>
        <v>30.232699999999998</v>
      </c>
      <c r="J147" s="14">
        <f>30.2306 * CHOOSE(CONTROL!$C$9, $D$9, 100%, $F$9) + CHOOSE(CONTROL!$C$27, 0.0021, 0)</f>
        <v>30.232699999999998</v>
      </c>
      <c r="K147" s="14">
        <f>30.2306 * CHOOSE(CONTROL!$C$9, $D$9, 100%, $F$9) + CHOOSE(CONTROL!$C$27, 0.0021, 0)</f>
        <v>30.232699999999998</v>
      </c>
      <c r="L147" s="14"/>
    </row>
    <row r="148" spans="1:12" ht="15" x14ac:dyDescent="0.2">
      <c r="A148" s="13">
        <v>45413</v>
      </c>
      <c r="B148" s="14">
        <f>31.3183 * CHOOSE(CONTROL!$C$9, $D$9, 100%, $F$9) + CHOOSE(CONTROL!$C$27, 0.0021, 0)</f>
        <v>31.320399999999999</v>
      </c>
      <c r="C148" s="14">
        <f>30.8861 * CHOOSE(CONTROL!$C$9, $D$9, 100%, $F$9) + CHOOSE(CONTROL!$C$27, 0.0021, 0)</f>
        <v>30.888199999999998</v>
      </c>
      <c r="D148" s="14">
        <f>30.8861 * CHOOSE(CONTROL!$C$9, $D$9, 100%, $F$9) + CHOOSE(CONTROL!$C$27, 0.0021, 0)</f>
        <v>30.888199999999998</v>
      </c>
      <c r="E148" s="14">
        <f>30.7494 * CHOOSE(CONTROL!$C$9, $D$9, 100%, $F$9) + CHOOSE(CONTROL!$C$27, 0.0021, 0)</f>
        <v>30.7515</v>
      </c>
      <c r="F148" s="14">
        <f>30.7494 * CHOOSE(CONTROL!$C$9, $D$9, 100%, $F$9) + CHOOSE(CONTROL!$C$27, 0.0021, 0)</f>
        <v>30.7515</v>
      </c>
      <c r="G148" s="14">
        <f>31.0208 * CHOOSE(CONTROL!$C$9, $D$9, 100%, $F$9) + CHOOSE(CONTROL!$C$27, 0.0021, 0)</f>
        <v>31.0229</v>
      </c>
      <c r="H148" s="14">
        <f>30.8861 * CHOOSE(CONTROL!$C$9, $D$9, 100%, $F$9) + CHOOSE(CONTROL!$C$27, 0.0021, 0)</f>
        <v>30.888199999999998</v>
      </c>
      <c r="I148" s="14">
        <f>30.8861 * CHOOSE(CONTROL!$C$9, $D$9, 100%, $F$9) + CHOOSE(CONTROL!$C$27, 0.0021, 0)</f>
        <v>30.888199999999998</v>
      </c>
      <c r="J148" s="14">
        <f>30.8861 * CHOOSE(CONTROL!$C$9, $D$9, 100%, $F$9) + CHOOSE(CONTROL!$C$27, 0.0021, 0)</f>
        <v>30.888199999999998</v>
      </c>
      <c r="K148" s="14">
        <f>30.8861 * CHOOSE(CONTROL!$C$9, $D$9, 100%, $F$9) + CHOOSE(CONTROL!$C$27, 0.0021, 0)</f>
        <v>30.888199999999998</v>
      </c>
      <c r="L148" s="14"/>
    </row>
    <row r="149" spans="1:12" ht="15" x14ac:dyDescent="0.2">
      <c r="A149" s="13">
        <v>45444</v>
      </c>
      <c r="B149" s="14">
        <f>31.7365 * CHOOSE(CONTROL!$C$9, $D$9, 100%, $F$9) + CHOOSE(CONTROL!$C$27, 0.0021, 0)</f>
        <v>31.738599999999998</v>
      </c>
      <c r="C149" s="14">
        <f>31.3042 * CHOOSE(CONTROL!$C$9, $D$9, 100%, $F$9) + CHOOSE(CONTROL!$C$27, 0.0021, 0)</f>
        <v>31.3063</v>
      </c>
      <c r="D149" s="14">
        <f>31.3042 * CHOOSE(CONTROL!$C$9, $D$9, 100%, $F$9) + CHOOSE(CONTROL!$C$27, 0.0021, 0)</f>
        <v>31.3063</v>
      </c>
      <c r="E149" s="14">
        <f>31.1675 * CHOOSE(CONTROL!$C$9, $D$9, 100%, $F$9) + CHOOSE(CONTROL!$C$27, 0.0021, 0)</f>
        <v>31.169599999999999</v>
      </c>
      <c r="F149" s="14">
        <f>31.1675 * CHOOSE(CONTROL!$C$9, $D$9, 100%, $F$9) + CHOOSE(CONTROL!$C$27, 0.0021, 0)</f>
        <v>31.169599999999999</v>
      </c>
      <c r="G149" s="14">
        <f>31.4389 * CHOOSE(CONTROL!$C$9, $D$9, 100%, $F$9) + CHOOSE(CONTROL!$C$27, 0.0021, 0)</f>
        <v>31.440999999999999</v>
      </c>
      <c r="H149" s="14">
        <f>31.3042 * CHOOSE(CONTROL!$C$9, $D$9, 100%, $F$9) + CHOOSE(CONTROL!$C$27, 0.0021, 0)</f>
        <v>31.3063</v>
      </c>
      <c r="I149" s="14">
        <f>31.3042 * CHOOSE(CONTROL!$C$9, $D$9, 100%, $F$9) + CHOOSE(CONTROL!$C$27, 0.0021, 0)</f>
        <v>31.3063</v>
      </c>
      <c r="J149" s="14">
        <f>31.3042 * CHOOSE(CONTROL!$C$9, $D$9, 100%, $F$9) + CHOOSE(CONTROL!$C$27, 0.0021, 0)</f>
        <v>31.3063</v>
      </c>
      <c r="K149" s="14">
        <f>31.3042 * CHOOSE(CONTROL!$C$9, $D$9, 100%, $F$9) + CHOOSE(CONTROL!$C$27, 0.0021, 0)</f>
        <v>31.3063</v>
      </c>
      <c r="L149" s="14"/>
    </row>
    <row r="150" spans="1:12" ht="15" x14ac:dyDescent="0.2">
      <c r="A150" s="13">
        <v>45474</v>
      </c>
      <c r="B150" s="14">
        <f>32.3894 * CHOOSE(CONTROL!$C$9, $D$9, 100%, $F$9) + CHOOSE(CONTROL!$C$27, 0.0021, 0)</f>
        <v>32.391500000000001</v>
      </c>
      <c r="C150" s="14">
        <f>31.9572 * CHOOSE(CONTROL!$C$9, $D$9, 100%, $F$9) + CHOOSE(CONTROL!$C$27, 0.0021, 0)</f>
        <v>31.959299999999999</v>
      </c>
      <c r="D150" s="14">
        <f>31.9572 * CHOOSE(CONTROL!$C$9, $D$9, 100%, $F$9) + CHOOSE(CONTROL!$C$27, 0.0021, 0)</f>
        <v>31.959299999999999</v>
      </c>
      <c r="E150" s="14">
        <f>31.8205 * CHOOSE(CONTROL!$C$9, $D$9, 100%, $F$9) + CHOOSE(CONTROL!$C$27, 0.0021, 0)</f>
        <v>31.822599999999998</v>
      </c>
      <c r="F150" s="14">
        <f>31.8205 * CHOOSE(CONTROL!$C$9, $D$9, 100%, $F$9) + CHOOSE(CONTROL!$C$27, 0.0021, 0)</f>
        <v>31.822599999999998</v>
      </c>
      <c r="G150" s="14">
        <f>32.0919 * CHOOSE(CONTROL!$C$9, $D$9, 100%, $F$9) + CHOOSE(CONTROL!$C$27, 0.0021, 0)</f>
        <v>32.094000000000001</v>
      </c>
      <c r="H150" s="14">
        <f>31.9572 * CHOOSE(CONTROL!$C$9, $D$9, 100%, $F$9) + CHOOSE(CONTROL!$C$27, 0.0021, 0)</f>
        <v>31.959299999999999</v>
      </c>
      <c r="I150" s="14">
        <f>31.9572 * CHOOSE(CONTROL!$C$9, $D$9, 100%, $F$9) + CHOOSE(CONTROL!$C$27, 0.0021, 0)</f>
        <v>31.959299999999999</v>
      </c>
      <c r="J150" s="14">
        <f>31.9572 * CHOOSE(CONTROL!$C$9, $D$9, 100%, $F$9) + CHOOSE(CONTROL!$C$27, 0.0021, 0)</f>
        <v>31.959299999999999</v>
      </c>
      <c r="K150" s="14">
        <f>31.9572 * CHOOSE(CONTROL!$C$9, $D$9, 100%, $F$9) + CHOOSE(CONTROL!$C$27, 0.0021, 0)</f>
        <v>31.959299999999999</v>
      </c>
      <c r="L150" s="14"/>
    </row>
    <row r="151" spans="1:12" ht="15" x14ac:dyDescent="0.2">
      <c r="A151" s="13">
        <v>45505</v>
      </c>
      <c r="B151" s="14">
        <f>32.6326 * CHOOSE(CONTROL!$C$9, $D$9, 100%, $F$9) + CHOOSE(CONTROL!$C$27, 0.0021, 0)</f>
        <v>32.634699999999995</v>
      </c>
      <c r="C151" s="14">
        <f>32.2003 * CHOOSE(CONTROL!$C$9, $D$9, 100%, $F$9) + CHOOSE(CONTROL!$C$27, 0.0021, 0)</f>
        <v>32.202399999999997</v>
      </c>
      <c r="D151" s="14">
        <f>32.2003 * CHOOSE(CONTROL!$C$9, $D$9, 100%, $F$9) + CHOOSE(CONTROL!$C$27, 0.0021, 0)</f>
        <v>32.202399999999997</v>
      </c>
      <c r="E151" s="14">
        <f>32.0637 * CHOOSE(CONTROL!$C$9, $D$9, 100%, $F$9) + CHOOSE(CONTROL!$C$27, 0.0021, 0)</f>
        <v>32.065799999999996</v>
      </c>
      <c r="F151" s="14">
        <f>32.0637 * CHOOSE(CONTROL!$C$9, $D$9, 100%, $F$9) + CHOOSE(CONTROL!$C$27, 0.0021, 0)</f>
        <v>32.065799999999996</v>
      </c>
      <c r="G151" s="14">
        <f>32.3351 * CHOOSE(CONTROL!$C$9, $D$9, 100%, $F$9) + CHOOSE(CONTROL!$C$27, 0.0021, 0)</f>
        <v>32.337199999999996</v>
      </c>
      <c r="H151" s="14">
        <f>32.2003 * CHOOSE(CONTROL!$C$9, $D$9, 100%, $F$9) + CHOOSE(CONTROL!$C$27, 0.0021, 0)</f>
        <v>32.202399999999997</v>
      </c>
      <c r="I151" s="14">
        <f>32.2003 * CHOOSE(CONTROL!$C$9, $D$9, 100%, $F$9) + CHOOSE(CONTROL!$C$27, 0.0021, 0)</f>
        <v>32.202399999999997</v>
      </c>
      <c r="J151" s="14">
        <f>32.2003 * CHOOSE(CONTROL!$C$9, $D$9, 100%, $F$9) + CHOOSE(CONTROL!$C$27, 0.0021, 0)</f>
        <v>32.202399999999997</v>
      </c>
      <c r="K151" s="14">
        <f>32.2003 * CHOOSE(CONTROL!$C$9, $D$9, 100%, $F$9) + CHOOSE(CONTROL!$C$27, 0.0021, 0)</f>
        <v>32.202399999999997</v>
      </c>
      <c r="L151" s="14"/>
    </row>
    <row r="152" spans="1:12" ht="15" x14ac:dyDescent="0.2">
      <c r="A152" s="13">
        <v>45536</v>
      </c>
      <c r="B152" s="14">
        <f>33.3133 * CHOOSE(CONTROL!$C$9, $D$9, 100%, $F$9) + CHOOSE(CONTROL!$C$27, 0.0021, 0)</f>
        <v>33.315399999999997</v>
      </c>
      <c r="C152" s="14">
        <f>32.8811 * CHOOSE(CONTROL!$C$9, $D$9, 100%, $F$9) + CHOOSE(CONTROL!$C$27, 0.0021, 0)</f>
        <v>32.883200000000002</v>
      </c>
      <c r="D152" s="14">
        <f>32.8811 * CHOOSE(CONTROL!$C$9, $D$9, 100%, $F$9) + CHOOSE(CONTROL!$C$27, 0.0021, 0)</f>
        <v>32.883200000000002</v>
      </c>
      <c r="E152" s="14">
        <f>32.7444 * CHOOSE(CONTROL!$C$9, $D$9, 100%, $F$9) + CHOOSE(CONTROL!$C$27, 0.0021, 0)</f>
        <v>32.746499999999997</v>
      </c>
      <c r="F152" s="14">
        <f>32.7444 * CHOOSE(CONTROL!$C$9, $D$9, 100%, $F$9) + CHOOSE(CONTROL!$C$27, 0.0021, 0)</f>
        <v>32.746499999999997</v>
      </c>
      <c r="G152" s="14">
        <f>33.0158 * CHOOSE(CONTROL!$C$9, $D$9, 100%, $F$9) + CHOOSE(CONTROL!$C$27, 0.0021, 0)</f>
        <v>33.017899999999997</v>
      </c>
      <c r="H152" s="14">
        <f>32.8811 * CHOOSE(CONTROL!$C$9, $D$9, 100%, $F$9) + CHOOSE(CONTROL!$C$27, 0.0021, 0)</f>
        <v>32.883200000000002</v>
      </c>
      <c r="I152" s="14">
        <f>32.8811 * CHOOSE(CONTROL!$C$9, $D$9, 100%, $F$9) + CHOOSE(CONTROL!$C$27, 0.0021, 0)</f>
        <v>32.883200000000002</v>
      </c>
      <c r="J152" s="14">
        <f>32.8811 * CHOOSE(CONTROL!$C$9, $D$9, 100%, $F$9) + CHOOSE(CONTROL!$C$27, 0.0021, 0)</f>
        <v>32.883200000000002</v>
      </c>
      <c r="K152" s="14">
        <f>32.8811 * CHOOSE(CONTROL!$C$9, $D$9, 100%, $F$9) + CHOOSE(CONTROL!$C$27, 0.0021, 0)</f>
        <v>32.883200000000002</v>
      </c>
      <c r="L152" s="14"/>
    </row>
    <row r="153" spans="1:12" ht="15" x14ac:dyDescent="0.2">
      <c r="A153" s="13">
        <v>45566</v>
      </c>
      <c r="B153" s="14">
        <f>34.1614 * CHOOSE(CONTROL!$C$9, $D$9, 100%, $F$9) + CHOOSE(CONTROL!$C$27, 0.0021, 0)</f>
        <v>34.163499999999999</v>
      </c>
      <c r="C153" s="14">
        <f>33.7292 * CHOOSE(CONTROL!$C$9, $D$9, 100%, $F$9) + CHOOSE(CONTROL!$C$27, 0.0021, 0)</f>
        <v>33.731299999999997</v>
      </c>
      <c r="D153" s="14">
        <f>33.7292 * CHOOSE(CONTROL!$C$9, $D$9, 100%, $F$9) + CHOOSE(CONTROL!$C$27, 0.0021, 0)</f>
        <v>33.731299999999997</v>
      </c>
      <c r="E153" s="14">
        <f>33.5925 * CHOOSE(CONTROL!$C$9, $D$9, 100%, $F$9) + CHOOSE(CONTROL!$C$27, 0.0021, 0)</f>
        <v>33.5946</v>
      </c>
      <c r="F153" s="14">
        <f>33.5925 * CHOOSE(CONTROL!$C$9, $D$9, 100%, $F$9) + CHOOSE(CONTROL!$C$27, 0.0021, 0)</f>
        <v>33.5946</v>
      </c>
      <c r="G153" s="14">
        <f>33.8639 * CHOOSE(CONTROL!$C$9, $D$9, 100%, $F$9) + CHOOSE(CONTROL!$C$27, 0.0021, 0)</f>
        <v>33.866</v>
      </c>
      <c r="H153" s="14">
        <f>33.7292 * CHOOSE(CONTROL!$C$9, $D$9, 100%, $F$9) + CHOOSE(CONTROL!$C$27, 0.0021, 0)</f>
        <v>33.731299999999997</v>
      </c>
      <c r="I153" s="14">
        <f>33.7292 * CHOOSE(CONTROL!$C$9, $D$9, 100%, $F$9) + CHOOSE(CONTROL!$C$27, 0.0021, 0)</f>
        <v>33.731299999999997</v>
      </c>
      <c r="J153" s="14">
        <f>33.7292 * CHOOSE(CONTROL!$C$9, $D$9, 100%, $F$9) + CHOOSE(CONTROL!$C$27, 0.0021, 0)</f>
        <v>33.731299999999997</v>
      </c>
      <c r="K153" s="14">
        <f>33.7292 * CHOOSE(CONTROL!$C$9, $D$9, 100%, $F$9) + CHOOSE(CONTROL!$C$27, 0.0021, 0)</f>
        <v>33.731299999999997</v>
      </c>
      <c r="L153" s="14"/>
    </row>
    <row r="154" spans="1:12" ht="15" x14ac:dyDescent="0.2">
      <c r="A154" s="13">
        <v>45597</v>
      </c>
      <c r="B154" s="14">
        <f>34.3008 * CHOOSE(CONTROL!$C$9, $D$9, 100%, $F$9) + CHOOSE(CONTROL!$C$27, 0.0021, 0)</f>
        <v>34.302900000000001</v>
      </c>
      <c r="C154" s="14">
        <f>33.8686 * CHOOSE(CONTROL!$C$9, $D$9, 100%, $F$9) + CHOOSE(CONTROL!$C$27, 0.0021, 0)</f>
        <v>33.870699999999999</v>
      </c>
      <c r="D154" s="14">
        <f>33.8686 * CHOOSE(CONTROL!$C$9, $D$9, 100%, $F$9) + CHOOSE(CONTROL!$C$27, 0.0021, 0)</f>
        <v>33.870699999999999</v>
      </c>
      <c r="E154" s="14">
        <f>33.7319 * CHOOSE(CONTROL!$C$9, $D$9, 100%, $F$9) + CHOOSE(CONTROL!$C$27, 0.0021, 0)</f>
        <v>33.734000000000002</v>
      </c>
      <c r="F154" s="14">
        <f>33.7319 * CHOOSE(CONTROL!$C$9, $D$9, 100%, $F$9) + CHOOSE(CONTROL!$C$27, 0.0021, 0)</f>
        <v>33.734000000000002</v>
      </c>
      <c r="G154" s="14">
        <f>34.0033 * CHOOSE(CONTROL!$C$9, $D$9, 100%, $F$9) + CHOOSE(CONTROL!$C$27, 0.0021, 0)</f>
        <v>34.005400000000002</v>
      </c>
      <c r="H154" s="14">
        <f>33.8686 * CHOOSE(CONTROL!$C$9, $D$9, 100%, $F$9) + CHOOSE(CONTROL!$C$27, 0.0021, 0)</f>
        <v>33.870699999999999</v>
      </c>
      <c r="I154" s="14">
        <f>33.8686 * CHOOSE(CONTROL!$C$9, $D$9, 100%, $F$9) + CHOOSE(CONTROL!$C$27, 0.0021, 0)</f>
        <v>33.870699999999999</v>
      </c>
      <c r="J154" s="14">
        <f>33.8686 * CHOOSE(CONTROL!$C$9, $D$9, 100%, $F$9) + CHOOSE(CONTROL!$C$27, 0.0021, 0)</f>
        <v>33.870699999999999</v>
      </c>
      <c r="K154" s="14">
        <f>33.8686 * CHOOSE(CONTROL!$C$9, $D$9, 100%, $F$9) + CHOOSE(CONTROL!$C$27, 0.0021, 0)</f>
        <v>33.870699999999999</v>
      </c>
      <c r="L154" s="14"/>
    </row>
    <row r="155" spans="1:12" ht="15" x14ac:dyDescent="0.2">
      <c r="A155" s="13">
        <v>45627</v>
      </c>
      <c r="B155" s="14">
        <f>33.7379 * CHOOSE(CONTROL!$C$9, $D$9, 100%, $F$9) + CHOOSE(CONTROL!$C$27, 0.0021, 0)</f>
        <v>33.74</v>
      </c>
      <c r="C155" s="14">
        <f>33.3056 * CHOOSE(CONTROL!$C$9, $D$9, 100%, $F$9) + CHOOSE(CONTROL!$C$27, 0.0021, 0)</f>
        <v>33.307699999999997</v>
      </c>
      <c r="D155" s="14">
        <f>33.3056 * CHOOSE(CONTROL!$C$9, $D$9, 100%, $F$9) + CHOOSE(CONTROL!$C$27, 0.0021, 0)</f>
        <v>33.307699999999997</v>
      </c>
      <c r="E155" s="14">
        <f>33.169 * CHOOSE(CONTROL!$C$9, $D$9, 100%, $F$9) + CHOOSE(CONTROL!$C$27, 0.0021, 0)</f>
        <v>33.171099999999996</v>
      </c>
      <c r="F155" s="14">
        <f>33.169 * CHOOSE(CONTROL!$C$9, $D$9, 100%, $F$9) + CHOOSE(CONTROL!$C$27, 0.0021, 0)</f>
        <v>33.171099999999996</v>
      </c>
      <c r="G155" s="14">
        <f>33.4403 * CHOOSE(CONTROL!$C$9, $D$9, 100%, $F$9) + CHOOSE(CONTROL!$C$27, 0.0021, 0)</f>
        <v>33.442399999999999</v>
      </c>
      <c r="H155" s="14">
        <f>33.3056 * CHOOSE(CONTROL!$C$9, $D$9, 100%, $F$9) + CHOOSE(CONTROL!$C$27, 0.0021, 0)</f>
        <v>33.307699999999997</v>
      </c>
      <c r="I155" s="14">
        <f>33.3056 * CHOOSE(CONTROL!$C$9, $D$9, 100%, $F$9) + CHOOSE(CONTROL!$C$27, 0.0021, 0)</f>
        <v>33.307699999999997</v>
      </c>
      <c r="J155" s="14">
        <f>33.3056 * CHOOSE(CONTROL!$C$9, $D$9, 100%, $F$9) + CHOOSE(CONTROL!$C$27, 0.0021, 0)</f>
        <v>33.307699999999997</v>
      </c>
      <c r="K155" s="14">
        <f>33.3056 * CHOOSE(CONTROL!$C$9, $D$9, 100%, $F$9) + CHOOSE(CONTROL!$C$27, 0.0021, 0)</f>
        <v>33.307699999999997</v>
      </c>
      <c r="L155" s="14"/>
    </row>
    <row r="156" spans="1:12" ht="15" x14ac:dyDescent="0.2">
      <c r="A156" s="13">
        <v>45658</v>
      </c>
      <c r="B156" s="14">
        <f>33.4543 * CHOOSE(CONTROL!$C$9, $D$9, 100%, $F$9) + CHOOSE(CONTROL!$C$27, 0.0021, 0)</f>
        <v>33.456400000000002</v>
      </c>
      <c r="C156" s="14">
        <f>33.022 * CHOOSE(CONTROL!$C$9, $D$9, 100%, $F$9) + CHOOSE(CONTROL!$C$27, 0.0021, 0)</f>
        <v>33.024099999999997</v>
      </c>
      <c r="D156" s="14">
        <f>33.022 * CHOOSE(CONTROL!$C$9, $D$9, 100%, $F$9) + CHOOSE(CONTROL!$C$27, 0.0021, 0)</f>
        <v>33.024099999999997</v>
      </c>
      <c r="E156" s="14">
        <f>32.8854 * CHOOSE(CONTROL!$C$9, $D$9, 100%, $F$9) + CHOOSE(CONTROL!$C$27, 0.0021, 0)</f>
        <v>32.887499999999996</v>
      </c>
      <c r="F156" s="14">
        <f>32.8854 * CHOOSE(CONTROL!$C$9, $D$9, 100%, $F$9) + CHOOSE(CONTROL!$C$27, 0.0021, 0)</f>
        <v>32.887499999999996</v>
      </c>
      <c r="G156" s="14">
        <f>33.1568 * CHOOSE(CONTROL!$C$9, $D$9, 100%, $F$9) + CHOOSE(CONTROL!$C$27, 0.0021, 0)</f>
        <v>33.158899999999996</v>
      </c>
      <c r="H156" s="14">
        <f>33.022 * CHOOSE(CONTROL!$C$9, $D$9, 100%, $F$9) + CHOOSE(CONTROL!$C$27, 0.0021, 0)</f>
        <v>33.024099999999997</v>
      </c>
      <c r="I156" s="14">
        <f>33.022 * CHOOSE(CONTROL!$C$9, $D$9, 100%, $F$9) + CHOOSE(CONTROL!$C$27, 0.0021, 0)</f>
        <v>33.024099999999997</v>
      </c>
      <c r="J156" s="14">
        <f>33.022 * CHOOSE(CONTROL!$C$9, $D$9, 100%, $F$9) + CHOOSE(CONTROL!$C$27, 0.0021, 0)</f>
        <v>33.024099999999997</v>
      </c>
      <c r="K156" s="14">
        <f>33.022 * CHOOSE(CONTROL!$C$9, $D$9, 100%, $F$9) + CHOOSE(CONTROL!$C$27, 0.0021, 0)</f>
        <v>33.024099999999997</v>
      </c>
      <c r="L156" s="14"/>
    </row>
    <row r="157" spans="1:12" ht="15" x14ac:dyDescent="0.2">
      <c r="A157" s="13">
        <v>45689</v>
      </c>
      <c r="B157" s="14">
        <f>32.6352 * CHOOSE(CONTROL!$C$9, $D$9, 100%, $F$9) + CHOOSE(CONTROL!$C$27, 0.0021, 0)</f>
        <v>32.637299999999996</v>
      </c>
      <c r="C157" s="14">
        <f>32.203 * CHOOSE(CONTROL!$C$9, $D$9, 100%, $F$9) + CHOOSE(CONTROL!$C$27, 0.0021, 0)</f>
        <v>32.205100000000002</v>
      </c>
      <c r="D157" s="14">
        <f>32.203 * CHOOSE(CONTROL!$C$9, $D$9, 100%, $F$9) + CHOOSE(CONTROL!$C$27, 0.0021, 0)</f>
        <v>32.205100000000002</v>
      </c>
      <c r="E157" s="14">
        <f>32.0663 * CHOOSE(CONTROL!$C$9, $D$9, 100%, $F$9) + CHOOSE(CONTROL!$C$27, 0.0021, 0)</f>
        <v>32.068399999999997</v>
      </c>
      <c r="F157" s="14">
        <f>32.0663 * CHOOSE(CONTROL!$C$9, $D$9, 100%, $F$9) + CHOOSE(CONTROL!$C$27, 0.0021, 0)</f>
        <v>32.068399999999997</v>
      </c>
      <c r="G157" s="14">
        <f>32.3377 * CHOOSE(CONTROL!$C$9, $D$9, 100%, $F$9) + CHOOSE(CONTROL!$C$27, 0.0021, 0)</f>
        <v>32.339799999999997</v>
      </c>
      <c r="H157" s="14">
        <f>32.203 * CHOOSE(CONTROL!$C$9, $D$9, 100%, $F$9) + CHOOSE(CONTROL!$C$27, 0.0021, 0)</f>
        <v>32.205100000000002</v>
      </c>
      <c r="I157" s="14">
        <f>32.203 * CHOOSE(CONTROL!$C$9, $D$9, 100%, $F$9) + CHOOSE(CONTROL!$C$27, 0.0021, 0)</f>
        <v>32.205100000000002</v>
      </c>
      <c r="J157" s="14">
        <f>32.203 * CHOOSE(CONTROL!$C$9, $D$9, 100%, $F$9) + CHOOSE(CONTROL!$C$27, 0.0021, 0)</f>
        <v>32.205100000000002</v>
      </c>
      <c r="K157" s="14">
        <f>32.203 * CHOOSE(CONTROL!$C$9, $D$9, 100%, $F$9) + CHOOSE(CONTROL!$C$27, 0.0021, 0)</f>
        <v>32.205100000000002</v>
      </c>
      <c r="L157" s="14"/>
    </row>
    <row r="158" spans="1:12" ht="15" x14ac:dyDescent="0.2">
      <c r="A158" s="13">
        <v>45717</v>
      </c>
      <c r="B158" s="14">
        <f>32.3324 * CHOOSE(CONTROL!$C$9, $D$9, 100%, $F$9) + CHOOSE(CONTROL!$C$27, 0.0021, 0)</f>
        <v>32.334499999999998</v>
      </c>
      <c r="C158" s="14">
        <f>31.9001 * CHOOSE(CONTROL!$C$9, $D$9, 100%, $F$9) + CHOOSE(CONTROL!$C$27, 0.0021, 0)</f>
        <v>31.902199999999997</v>
      </c>
      <c r="D158" s="14">
        <f>31.9001 * CHOOSE(CONTROL!$C$9, $D$9, 100%, $F$9) + CHOOSE(CONTROL!$C$27, 0.0021, 0)</f>
        <v>31.902199999999997</v>
      </c>
      <c r="E158" s="14">
        <f>31.7635 * CHOOSE(CONTROL!$C$9, $D$9, 100%, $F$9) + CHOOSE(CONTROL!$C$27, 0.0021, 0)</f>
        <v>31.765599999999999</v>
      </c>
      <c r="F158" s="14">
        <f>31.7635 * CHOOSE(CONTROL!$C$9, $D$9, 100%, $F$9) + CHOOSE(CONTROL!$C$27, 0.0021, 0)</f>
        <v>31.765599999999999</v>
      </c>
      <c r="G158" s="14">
        <f>32.0349 * CHOOSE(CONTROL!$C$9, $D$9, 100%, $F$9) + CHOOSE(CONTROL!$C$27, 0.0021, 0)</f>
        <v>32.036999999999999</v>
      </c>
      <c r="H158" s="14">
        <f>31.9001 * CHOOSE(CONTROL!$C$9, $D$9, 100%, $F$9) + CHOOSE(CONTROL!$C$27, 0.0021, 0)</f>
        <v>31.902199999999997</v>
      </c>
      <c r="I158" s="14">
        <f>31.9001 * CHOOSE(CONTROL!$C$9, $D$9, 100%, $F$9) + CHOOSE(CONTROL!$C$27, 0.0021, 0)</f>
        <v>31.902199999999997</v>
      </c>
      <c r="J158" s="14">
        <f>31.9001 * CHOOSE(CONTROL!$C$9, $D$9, 100%, $F$9) + CHOOSE(CONTROL!$C$27, 0.0021, 0)</f>
        <v>31.902199999999997</v>
      </c>
      <c r="K158" s="14">
        <f>31.9001 * CHOOSE(CONTROL!$C$9, $D$9, 100%, $F$9) + CHOOSE(CONTROL!$C$27, 0.0021, 0)</f>
        <v>31.902199999999997</v>
      </c>
      <c r="L158" s="14"/>
    </row>
    <row r="159" spans="1:12" ht="15" x14ac:dyDescent="0.2">
      <c r="A159" s="13">
        <v>45748</v>
      </c>
      <c r="B159" s="14">
        <f>31.9571 * CHOOSE(CONTROL!$C$9, $D$9, 100%, $F$9) + CHOOSE(CONTROL!$C$27, 0.0021, 0)</f>
        <v>31.959199999999999</v>
      </c>
      <c r="C159" s="14">
        <f>31.5249 * CHOOSE(CONTROL!$C$9, $D$9, 100%, $F$9) + CHOOSE(CONTROL!$C$27, 0.0021, 0)</f>
        <v>31.526999999999997</v>
      </c>
      <c r="D159" s="14">
        <f>31.5249 * CHOOSE(CONTROL!$C$9, $D$9, 100%, $F$9) + CHOOSE(CONTROL!$C$27, 0.0021, 0)</f>
        <v>31.526999999999997</v>
      </c>
      <c r="E159" s="14">
        <f>31.3882 * CHOOSE(CONTROL!$C$9, $D$9, 100%, $F$9) + CHOOSE(CONTROL!$C$27, 0.0021, 0)</f>
        <v>31.3903</v>
      </c>
      <c r="F159" s="14">
        <f>31.3882 * CHOOSE(CONTROL!$C$9, $D$9, 100%, $F$9) + CHOOSE(CONTROL!$C$27, 0.0021, 0)</f>
        <v>31.3903</v>
      </c>
      <c r="G159" s="14">
        <f>31.6596 * CHOOSE(CONTROL!$C$9, $D$9, 100%, $F$9) + CHOOSE(CONTROL!$C$27, 0.0021, 0)</f>
        <v>31.6617</v>
      </c>
      <c r="H159" s="14">
        <f>31.5249 * CHOOSE(CONTROL!$C$9, $D$9, 100%, $F$9) + CHOOSE(CONTROL!$C$27, 0.0021, 0)</f>
        <v>31.526999999999997</v>
      </c>
      <c r="I159" s="14">
        <f>31.5249 * CHOOSE(CONTROL!$C$9, $D$9, 100%, $F$9) + CHOOSE(CONTROL!$C$27, 0.0021, 0)</f>
        <v>31.526999999999997</v>
      </c>
      <c r="J159" s="14">
        <f>31.5249 * CHOOSE(CONTROL!$C$9, $D$9, 100%, $F$9) + CHOOSE(CONTROL!$C$27, 0.0021, 0)</f>
        <v>31.526999999999997</v>
      </c>
      <c r="K159" s="14">
        <f>31.5249 * CHOOSE(CONTROL!$C$9, $D$9, 100%, $F$9) + CHOOSE(CONTROL!$C$27, 0.0021, 0)</f>
        <v>31.526999999999997</v>
      </c>
      <c r="L159" s="14"/>
    </row>
    <row r="160" spans="1:12" ht="15" x14ac:dyDescent="0.2">
      <c r="A160" s="13">
        <v>45778</v>
      </c>
      <c r="B160" s="14">
        <f>32.6425 * CHOOSE(CONTROL!$C$9, $D$9, 100%, $F$9) + CHOOSE(CONTROL!$C$27, 0.0021, 0)</f>
        <v>32.644599999999997</v>
      </c>
      <c r="C160" s="14">
        <f>32.2102 * CHOOSE(CONTROL!$C$9, $D$9, 100%, $F$9) + CHOOSE(CONTROL!$C$27, 0.0021, 0)</f>
        <v>32.212299999999999</v>
      </c>
      <c r="D160" s="14">
        <f>32.2102 * CHOOSE(CONTROL!$C$9, $D$9, 100%, $F$9) + CHOOSE(CONTROL!$C$27, 0.0021, 0)</f>
        <v>32.212299999999999</v>
      </c>
      <c r="E160" s="14">
        <f>32.0736 * CHOOSE(CONTROL!$C$9, $D$9, 100%, $F$9) + CHOOSE(CONTROL!$C$27, 0.0021, 0)</f>
        <v>32.075699999999998</v>
      </c>
      <c r="F160" s="14">
        <f>32.0736 * CHOOSE(CONTROL!$C$9, $D$9, 100%, $F$9) + CHOOSE(CONTROL!$C$27, 0.0021, 0)</f>
        <v>32.075699999999998</v>
      </c>
      <c r="G160" s="14">
        <f>32.345 * CHOOSE(CONTROL!$C$9, $D$9, 100%, $F$9) + CHOOSE(CONTROL!$C$27, 0.0021, 0)</f>
        <v>32.347099999999998</v>
      </c>
      <c r="H160" s="14">
        <f>32.2102 * CHOOSE(CONTROL!$C$9, $D$9, 100%, $F$9) + CHOOSE(CONTROL!$C$27, 0.0021, 0)</f>
        <v>32.212299999999999</v>
      </c>
      <c r="I160" s="14">
        <f>32.2102 * CHOOSE(CONTROL!$C$9, $D$9, 100%, $F$9) + CHOOSE(CONTROL!$C$27, 0.0021, 0)</f>
        <v>32.212299999999999</v>
      </c>
      <c r="J160" s="14">
        <f>32.2102 * CHOOSE(CONTROL!$C$9, $D$9, 100%, $F$9) + CHOOSE(CONTROL!$C$27, 0.0021, 0)</f>
        <v>32.212299999999999</v>
      </c>
      <c r="K160" s="14">
        <f>32.2102 * CHOOSE(CONTROL!$C$9, $D$9, 100%, $F$9) + CHOOSE(CONTROL!$C$27, 0.0021, 0)</f>
        <v>32.212299999999999</v>
      </c>
      <c r="L160" s="14"/>
    </row>
    <row r="161" spans="1:12" ht="15" x14ac:dyDescent="0.2">
      <c r="A161" s="13">
        <v>45809</v>
      </c>
      <c r="B161" s="14">
        <f>33.0797 * CHOOSE(CONTROL!$C$9, $D$9, 100%, $F$9) + CHOOSE(CONTROL!$C$27, 0.0021, 0)</f>
        <v>33.081800000000001</v>
      </c>
      <c r="C161" s="14">
        <f>32.6474 * CHOOSE(CONTROL!$C$9, $D$9, 100%, $F$9) + CHOOSE(CONTROL!$C$27, 0.0021, 0)</f>
        <v>32.649499999999996</v>
      </c>
      <c r="D161" s="14">
        <f>32.6474 * CHOOSE(CONTROL!$C$9, $D$9, 100%, $F$9) + CHOOSE(CONTROL!$C$27, 0.0021, 0)</f>
        <v>32.649499999999996</v>
      </c>
      <c r="E161" s="14">
        <f>32.5108 * CHOOSE(CONTROL!$C$9, $D$9, 100%, $F$9) + CHOOSE(CONTROL!$C$27, 0.0021, 0)</f>
        <v>32.512900000000002</v>
      </c>
      <c r="F161" s="14">
        <f>32.5108 * CHOOSE(CONTROL!$C$9, $D$9, 100%, $F$9) + CHOOSE(CONTROL!$C$27, 0.0021, 0)</f>
        <v>32.512900000000002</v>
      </c>
      <c r="G161" s="14">
        <f>32.7821 * CHOOSE(CONTROL!$C$9, $D$9, 100%, $F$9) + CHOOSE(CONTROL!$C$27, 0.0021, 0)</f>
        <v>32.784199999999998</v>
      </c>
      <c r="H161" s="14">
        <f>32.6474 * CHOOSE(CONTROL!$C$9, $D$9, 100%, $F$9) + CHOOSE(CONTROL!$C$27, 0.0021, 0)</f>
        <v>32.649499999999996</v>
      </c>
      <c r="I161" s="14">
        <f>32.6474 * CHOOSE(CONTROL!$C$9, $D$9, 100%, $F$9) + CHOOSE(CONTROL!$C$27, 0.0021, 0)</f>
        <v>32.649499999999996</v>
      </c>
      <c r="J161" s="14">
        <f>32.6474 * CHOOSE(CONTROL!$C$9, $D$9, 100%, $F$9) + CHOOSE(CONTROL!$C$27, 0.0021, 0)</f>
        <v>32.649499999999996</v>
      </c>
      <c r="K161" s="14">
        <f>32.6474 * CHOOSE(CONTROL!$C$9, $D$9, 100%, $F$9) + CHOOSE(CONTROL!$C$27, 0.0021, 0)</f>
        <v>32.649499999999996</v>
      </c>
      <c r="L161" s="14"/>
    </row>
    <row r="162" spans="1:12" ht="15" x14ac:dyDescent="0.2">
      <c r="A162" s="13">
        <v>45839</v>
      </c>
      <c r="B162" s="14">
        <f>33.7624 * CHOOSE(CONTROL!$C$9, $D$9, 100%, $F$9) + CHOOSE(CONTROL!$C$27, 0.0021, 0)</f>
        <v>33.764499999999998</v>
      </c>
      <c r="C162" s="14">
        <f>33.3302 * CHOOSE(CONTROL!$C$9, $D$9, 100%, $F$9) + CHOOSE(CONTROL!$C$27, 0.0021, 0)</f>
        <v>33.332299999999996</v>
      </c>
      <c r="D162" s="14">
        <f>33.3302 * CHOOSE(CONTROL!$C$9, $D$9, 100%, $F$9) + CHOOSE(CONTROL!$C$27, 0.0021, 0)</f>
        <v>33.332299999999996</v>
      </c>
      <c r="E162" s="14">
        <f>33.1935 * CHOOSE(CONTROL!$C$9, $D$9, 100%, $F$9) + CHOOSE(CONTROL!$C$27, 0.0021, 0)</f>
        <v>33.195599999999999</v>
      </c>
      <c r="F162" s="14">
        <f>33.1935 * CHOOSE(CONTROL!$C$9, $D$9, 100%, $F$9) + CHOOSE(CONTROL!$C$27, 0.0021, 0)</f>
        <v>33.195599999999999</v>
      </c>
      <c r="G162" s="14">
        <f>33.4649 * CHOOSE(CONTROL!$C$9, $D$9, 100%, $F$9) + CHOOSE(CONTROL!$C$27, 0.0021, 0)</f>
        <v>33.466999999999999</v>
      </c>
      <c r="H162" s="14">
        <f>33.3302 * CHOOSE(CONTROL!$C$9, $D$9, 100%, $F$9) + CHOOSE(CONTROL!$C$27, 0.0021, 0)</f>
        <v>33.332299999999996</v>
      </c>
      <c r="I162" s="14">
        <f>33.3302 * CHOOSE(CONTROL!$C$9, $D$9, 100%, $F$9) + CHOOSE(CONTROL!$C$27, 0.0021, 0)</f>
        <v>33.332299999999996</v>
      </c>
      <c r="J162" s="14">
        <f>33.3302 * CHOOSE(CONTROL!$C$9, $D$9, 100%, $F$9) + CHOOSE(CONTROL!$C$27, 0.0021, 0)</f>
        <v>33.332299999999996</v>
      </c>
      <c r="K162" s="14">
        <f>33.3302 * CHOOSE(CONTROL!$C$9, $D$9, 100%, $F$9) + CHOOSE(CONTROL!$C$27, 0.0021, 0)</f>
        <v>33.332299999999996</v>
      </c>
      <c r="L162" s="14"/>
    </row>
    <row r="163" spans="1:12" ht="15" x14ac:dyDescent="0.2">
      <c r="A163" s="13">
        <v>45870</v>
      </c>
      <c r="B163" s="14">
        <f>34.0167 * CHOOSE(CONTROL!$C$9, $D$9, 100%, $F$9) + CHOOSE(CONTROL!$C$27, 0.0021, 0)</f>
        <v>34.018799999999999</v>
      </c>
      <c r="C163" s="14">
        <f>33.5845 * CHOOSE(CONTROL!$C$9, $D$9, 100%, $F$9) + CHOOSE(CONTROL!$C$27, 0.0021, 0)</f>
        <v>33.586599999999997</v>
      </c>
      <c r="D163" s="14">
        <f>33.5845 * CHOOSE(CONTROL!$C$9, $D$9, 100%, $F$9) + CHOOSE(CONTROL!$C$27, 0.0021, 0)</f>
        <v>33.586599999999997</v>
      </c>
      <c r="E163" s="14">
        <f>33.4478 * CHOOSE(CONTROL!$C$9, $D$9, 100%, $F$9) + CHOOSE(CONTROL!$C$27, 0.0021, 0)</f>
        <v>33.4499</v>
      </c>
      <c r="F163" s="14">
        <f>33.4478 * CHOOSE(CONTROL!$C$9, $D$9, 100%, $F$9) + CHOOSE(CONTROL!$C$27, 0.0021, 0)</f>
        <v>33.4499</v>
      </c>
      <c r="G163" s="14">
        <f>33.7192 * CHOOSE(CONTROL!$C$9, $D$9, 100%, $F$9) + CHOOSE(CONTROL!$C$27, 0.0021, 0)</f>
        <v>33.721299999999999</v>
      </c>
      <c r="H163" s="14">
        <f>33.5845 * CHOOSE(CONTROL!$C$9, $D$9, 100%, $F$9) + CHOOSE(CONTROL!$C$27, 0.0021, 0)</f>
        <v>33.586599999999997</v>
      </c>
      <c r="I163" s="14">
        <f>33.5845 * CHOOSE(CONTROL!$C$9, $D$9, 100%, $F$9) + CHOOSE(CONTROL!$C$27, 0.0021, 0)</f>
        <v>33.586599999999997</v>
      </c>
      <c r="J163" s="14">
        <f>33.5845 * CHOOSE(CONTROL!$C$9, $D$9, 100%, $F$9) + CHOOSE(CONTROL!$C$27, 0.0021, 0)</f>
        <v>33.586599999999997</v>
      </c>
      <c r="K163" s="14">
        <f>33.5845 * CHOOSE(CONTROL!$C$9, $D$9, 100%, $F$9) + CHOOSE(CONTROL!$C$27, 0.0021, 0)</f>
        <v>33.586599999999997</v>
      </c>
      <c r="L163" s="14"/>
    </row>
    <row r="164" spans="1:12" ht="15" x14ac:dyDescent="0.2">
      <c r="A164" s="13">
        <v>45901</v>
      </c>
      <c r="B164" s="14">
        <f>34.7285 * CHOOSE(CONTROL!$C$9, $D$9, 100%, $F$9) + CHOOSE(CONTROL!$C$27, 0.0021, 0)</f>
        <v>34.730599999999995</v>
      </c>
      <c r="C164" s="14">
        <f>34.2962 * CHOOSE(CONTROL!$C$9, $D$9, 100%, $F$9) + CHOOSE(CONTROL!$C$27, 0.0021, 0)</f>
        <v>34.298299999999998</v>
      </c>
      <c r="D164" s="14">
        <f>34.2962 * CHOOSE(CONTROL!$C$9, $D$9, 100%, $F$9) + CHOOSE(CONTROL!$C$27, 0.0021, 0)</f>
        <v>34.298299999999998</v>
      </c>
      <c r="E164" s="14">
        <f>34.1596 * CHOOSE(CONTROL!$C$9, $D$9, 100%, $F$9) + CHOOSE(CONTROL!$C$27, 0.0021, 0)</f>
        <v>34.161699999999996</v>
      </c>
      <c r="F164" s="14">
        <f>34.1596 * CHOOSE(CONTROL!$C$9, $D$9, 100%, $F$9) + CHOOSE(CONTROL!$C$27, 0.0021, 0)</f>
        <v>34.161699999999996</v>
      </c>
      <c r="G164" s="14">
        <f>34.431 * CHOOSE(CONTROL!$C$9, $D$9, 100%, $F$9) + CHOOSE(CONTROL!$C$27, 0.0021, 0)</f>
        <v>34.433099999999996</v>
      </c>
      <c r="H164" s="14">
        <f>34.2962 * CHOOSE(CONTROL!$C$9, $D$9, 100%, $F$9) + CHOOSE(CONTROL!$C$27, 0.0021, 0)</f>
        <v>34.298299999999998</v>
      </c>
      <c r="I164" s="14">
        <f>34.2962 * CHOOSE(CONTROL!$C$9, $D$9, 100%, $F$9) + CHOOSE(CONTROL!$C$27, 0.0021, 0)</f>
        <v>34.298299999999998</v>
      </c>
      <c r="J164" s="14">
        <f>34.2962 * CHOOSE(CONTROL!$C$9, $D$9, 100%, $F$9) + CHOOSE(CONTROL!$C$27, 0.0021, 0)</f>
        <v>34.298299999999998</v>
      </c>
      <c r="K164" s="14">
        <f>34.2962 * CHOOSE(CONTROL!$C$9, $D$9, 100%, $F$9) + CHOOSE(CONTROL!$C$27, 0.0021, 0)</f>
        <v>34.298299999999998</v>
      </c>
      <c r="L164" s="14"/>
    </row>
    <row r="165" spans="1:12" ht="15" x14ac:dyDescent="0.2">
      <c r="A165" s="13">
        <v>45931</v>
      </c>
      <c r="B165" s="14">
        <f>35.6153 * CHOOSE(CONTROL!$C$9, $D$9, 100%, $F$9) + CHOOSE(CONTROL!$C$27, 0.0021, 0)</f>
        <v>35.617399999999996</v>
      </c>
      <c r="C165" s="14">
        <f>35.183 * CHOOSE(CONTROL!$C$9, $D$9, 100%, $F$9) + CHOOSE(CONTROL!$C$27, 0.0021, 0)</f>
        <v>35.185099999999998</v>
      </c>
      <c r="D165" s="14">
        <f>35.183 * CHOOSE(CONTROL!$C$9, $D$9, 100%, $F$9) + CHOOSE(CONTROL!$C$27, 0.0021, 0)</f>
        <v>35.185099999999998</v>
      </c>
      <c r="E165" s="14">
        <f>35.0464 * CHOOSE(CONTROL!$C$9, $D$9, 100%, $F$9) + CHOOSE(CONTROL!$C$27, 0.0021, 0)</f>
        <v>35.048499999999997</v>
      </c>
      <c r="F165" s="14">
        <f>35.0464 * CHOOSE(CONTROL!$C$9, $D$9, 100%, $F$9) + CHOOSE(CONTROL!$C$27, 0.0021, 0)</f>
        <v>35.048499999999997</v>
      </c>
      <c r="G165" s="14">
        <f>35.3177 * CHOOSE(CONTROL!$C$9, $D$9, 100%, $F$9) + CHOOSE(CONTROL!$C$27, 0.0021, 0)</f>
        <v>35.319800000000001</v>
      </c>
      <c r="H165" s="14">
        <f>35.183 * CHOOSE(CONTROL!$C$9, $D$9, 100%, $F$9) + CHOOSE(CONTROL!$C$27, 0.0021, 0)</f>
        <v>35.185099999999998</v>
      </c>
      <c r="I165" s="14">
        <f>35.183 * CHOOSE(CONTROL!$C$9, $D$9, 100%, $F$9) + CHOOSE(CONTROL!$C$27, 0.0021, 0)</f>
        <v>35.185099999999998</v>
      </c>
      <c r="J165" s="14">
        <f>35.183 * CHOOSE(CONTROL!$C$9, $D$9, 100%, $F$9) + CHOOSE(CONTROL!$C$27, 0.0021, 0)</f>
        <v>35.185099999999998</v>
      </c>
      <c r="K165" s="14">
        <f>35.183 * CHOOSE(CONTROL!$C$9, $D$9, 100%, $F$9) + CHOOSE(CONTROL!$C$27, 0.0021, 0)</f>
        <v>35.185099999999998</v>
      </c>
      <c r="L165" s="14"/>
    </row>
    <row r="166" spans="1:12" ht="15" x14ac:dyDescent="0.2">
      <c r="A166" s="13">
        <v>45962</v>
      </c>
      <c r="B166" s="14">
        <f>35.761 * CHOOSE(CONTROL!$C$9, $D$9, 100%, $F$9) + CHOOSE(CONTROL!$C$27, 0.0021, 0)</f>
        <v>35.763100000000001</v>
      </c>
      <c r="C166" s="14">
        <f>35.3288 * CHOOSE(CONTROL!$C$9, $D$9, 100%, $F$9) + CHOOSE(CONTROL!$C$27, 0.0021, 0)</f>
        <v>35.3309</v>
      </c>
      <c r="D166" s="14">
        <f>35.3288 * CHOOSE(CONTROL!$C$9, $D$9, 100%, $F$9) + CHOOSE(CONTROL!$C$27, 0.0021, 0)</f>
        <v>35.3309</v>
      </c>
      <c r="E166" s="14">
        <f>35.1921 * CHOOSE(CONTROL!$C$9, $D$9, 100%, $F$9) + CHOOSE(CONTROL!$C$27, 0.0021, 0)</f>
        <v>35.194200000000002</v>
      </c>
      <c r="F166" s="14">
        <f>35.1921 * CHOOSE(CONTROL!$C$9, $D$9, 100%, $F$9) + CHOOSE(CONTROL!$C$27, 0.0021, 0)</f>
        <v>35.194200000000002</v>
      </c>
      <c r="G166" s="14">
        <f>35.4635 * CHOOSE(CONTROL!$C$9, $D$9, 100%, $F$9) + CHOOSE(CONTROL!$C$27, 0.0021, 0)</f>
        <v>35.465600000000002</v>
      </c>
      <c r="H166" s="14">
        <f>35.3288 * CHOOSE(CONTROL!$C$9, $D$9, 100%, $F$9) + CHOOSE(CONTROL!$C$27, 0.0021, 0)</f>
        <v>35.3309</v>
      </c>
      <c r="I166" s="14">
        <f>35.3288 * CHOOSE(CONTROL!$C$9, $D$9, 100%, $F$9) + CHOOSE(CONTROL!$C$27, 0.0021, 0)</f>
        <v>35.3309</v>
      </c>
      <c r="J166" s="14">
        <f>35.3288 * CHOOSE(CONTROL!$C$9, $D$9, 100%, $F$9) + CHOOSE(CONTROL!$C$27, 0.0021, 0)</f>
        <v>35.3309</v>
      </c>
      <c r="K166" s="14">
        <f>35.3288 * CHOOSE(CONTROL!$C$9, $D$9, 100%, $F$9) + CHOOSE(CONTROL!$C$27, 0.0021, 0)</f>
        <v>35.3309</v>
      </c>
      <c r="L166" s="14"/>
    </row>
    <row r="167" spans="1:12" ht="15" x14ac:dyDescent="0.2">
      <c r="A167" s="13">
        <v>45992</v>
      </c>
      <c r="B167" s="14">
        <f>35.1724 * CHOOSE(CONTROL!$C$9, $D$9, 100%, $F$9) + CHOOSE(CONTROL!$C$27, 0.0021, 0)</f>
        <v>35.174500000000002</v>
      </c>
      <c r="C167" s="14">
        <f>34.7401 * CHOOSE(CONTROL!$C$9, $D$9, 100%, $F$9) + CHOOSE(CONTROL!$C$27, 0.0021, 0)</f>
        <v>34.742199999999997</v>
      </c>
      <c r="D167" s="14">
        <f>34.7401 * CHOOSE(CONTROL!$C$9, $D$9, 100%, $F$9) + CHOOSE(CONTROL!$C$27, 0.0021, 0)</f>
        <v>34.742199999999997</v>
      </c>
      <c r="E167" s="14">
        <f>34.6035 * CHOOSE(CONTROL!$C$9, $D$9, 100%, $F$9) + CHOOSE(CONTROL!$C$27, 0.0021, 0)</f>
        <v>34.605599999999995</v>
      </c>
      <c r="F167" s="14">
        <f>34.6035 * CHOOSE(CONTROL!$C$9, $D$9, 100%, $F$9) + CHOOSE(CONTROL!$C$27, 0.0021, 0)</f>
        <v>34.605599999999995</v>
      </c>
      <c r="G167" s="14">
        <f>34.8749 * CHOOSE(CONTROL!$C$9, $D$9, 100%, $F$9) + CHOOSE(CONTROL!$C$27, 0.0021, 0)</f>
        <v>34.876999999999995</v>
      </c>
      <c r="H167" s="14">
        <f>34.7401 * CHOOSE(CONTROL!$C$9, $D$9, 100%, $F$9) + CHOOSE(CONTROL!$C$27, 0.0021, 0)</f>
        <v>34.742199999999997</v>
      </c>
      <c r="I167" s="14">
        <f>34.7401 * CHOOSE(CONTROL!$C$9, $D$9, 100%, $F$9) + CHOOSE(CONTROL!$C$27, 0.0021, 0)</f>
        <v>34.742199999999997</v>
      </c>
      <c r="J167" s="14">
        <f>34.7401 * CHOOSE(CONTROL!$C$9, $D$9, 100%, $F$9) + CHOOSE(CONTROL!$C$27, 0.0021, 0)</f>
        <v>34.742199999999997</v>
      </c>
      <c r="K167" s="14">
        <f>34.7401 * CHOOSE(CONTROL!$C$9, $D$9, 100%, $F$9) + CHOOSE(CONTROL!$C$27, 0.0021, 0)</f>
        <v>34.742199999999997</v>
      </c>
      <c r="L167" s="14"/>
    </row>
    <row r="168" spans="1:12" ht="15" x14ac:dyDescent="0.2">
      <c r="A168" s="13">
        <v>46023</v>
      </c>
      <c r="B168" s="14">
        <f>34.2754 * CHOOSE(CONTROL!$C$9, $D$9, 100%, $F$9) + CHOOSE(CONTROL!$C$27, 0.0021, 0)</f>
        <v>34.277499999999996</v>
      </c>
      <c r="C168" s="14">
        <f>33.8431 * CHOOSE(CONTROL!$C$9, $D$9, 100%, $F$9) + CHOOSE(CONTROL!$C$27, 0.0021, 0)</f>
        <v>33.845199999999998</v>
      </c>
      <c r="D168" s="14">
        <f>33.8431 * CHOOSE(CONTROL!$C$9, $D$9, 100%, $F$9) + CHOOSE(CONTROL!$C$27, 0.0021, 0)</f>
        <v>33.845199999999998</v>
      </c>
      <c r="E168" s="14">
        <f>33.7065 * CHOOSE(CONTROL!$C$9, $D$9, 100%, $F$9) + CHOOSE(CONTROL!$C$27, 0.0021, 0)</f>
        <v>33.708599999999997</v>
      </c>
      <c r="F168" s="14">
        <f>33.7065 * CHOOSE(CONTROL!$C$9, $D$9, 100%, $F$9) + CHOOSE(CONTROL!$C$27, 0.0021, 0)</f>
        <v>33.708599999999997</v>
      </c>
      <c r="G168" s="14">
        <f>33.9778 * CHOOSE(CONTROL!$C$9, $D$9, 100%, $F$9) + CHOOSE(CONTROL!$C$27, 0.0021, 0)</f>
        <v>33.979900000000001</v>
      </c>
      <c r="H168" s="14">
        <f>33.8431 * CHOOSE(CONTROL!$C$9, $D$9, 100%, $F$9) + CHOOSE(CONTROL!$C$27, 0.0021, 0)</f>
        <v>33.845199999999998</v>
      </c>
      <c r="I168" s="14">
        <f>33.8431 * CHOOSE(CONTROL!$C$9, $D$9, 100%, $F$9) + CHOOSE(CONTROL!$C$27, 0.0021, 0)</f>
        <v>33.845199999999998</v>
      </c>
      <c r="J168" s="14">
        <f>33.8431 * CHOOSE(CONTROL!$C$9, $D$9, 100%, $F$9) + CHOOSE(CONTROL!$C$27, 0.0021, 0)</f>
        <v>33.845199999999998</v>
      </c>
      <c r="K168" s="14">
        <f>33.8431 * CHOOSE(CONTROL!$C$9, $D$9, 100%, $F$9) + CHOOSE(CONTROL!$C$27, 0.0021, 0)</f>
        <v>33.845199999999998</v>
      </c>
      <c r="L168" s="14"/>
    </row>
    <row r="169" spans="1:12" ht="15" x14ac:dyDescent="0.2">
      <c r="A169" s="13">
        <v>46054</v>
      </c>
      <c r="B169" s="14">
        <f>33.4347 * CHOOSE(CONTROL!$C$9, $D$9, 100%, $F$9) + CHOOSE(CONTROL!$C$27, 0.0021, 0)</f>
        <v>33.436799999999998</v>
      </c>
      <c r="C169" s="14">
        <f>33.0025 * CHOOSE(CONTROL!$C$9, $D$9, 100%, $F$9) + CHOOSE(CONTROL!$C$27, 0.0021, 0)</f>
        <v>33.004599999999996</v>
      </c>
      <c r="D169" s="14">
        <f>33.0025 * CHOOSE(CONTROL!$C$9, $D$9, 100%, $F$9) + CHOOSE(CONTROL!$C$27, 0.0021, 0)</f>
        <v>33.004599999999996</v>
      </c>
      <c r="E169" s="14">
        <f>32.8658 * CHOOSE(CONTROL!$C$9, $D$9, 100%, $F$9) + CHOOSE(CONTROL!$C$27, 0.0021, 0)</f>
        <v>32.867899999999999</v>
      </c>
      <c r="F169" s="14">
        <f>32.8658 * CHOOSE(CONTROL!$C$9, $D$9, 100%, $F$9) + CHOOSE(CONTROL!$C$27, 0.0021, 0)</f>
        <v>32.867899999999999</v>
      </c>
      <c r="G169" s="14">
        <f>33.1372 * CHOOSE(CONTROL!$C$9, $D$9, 100%, $F$9) + CHOOSE(CONTROL!$C$27, 0.0021, 0)</f>
        <v>33.139299999999999</v>
      </c>
      <c r="H169" s="14">
        <f>33.0025 * CHOOSE(CONTROL!$C$9, $D$9, 100%, $F$9) + CHOOSE(CONTROL!$C$27, 0.0021, 0)</f>
        <v>33.004599999999996</v>
      </c>
      <c r="I169" s="14">
        <f>33.0025 * CHOOSE(CONTROL!$C$9, $D$9, 100%, $F$9) + CHOOSE(CONTROL!$C$27, 0.0021, 0)</f>
        <v>33.004599999999996</v>
      </c>
      <c r="J169" s="14">
        <f>33.0025 * CHOOSE(CONTROL!$C$9, $D$9, 100%, $F$9) + CHOOSE(CONTROL!$C$27, 0.0021, 0)</f>
        <v>33.004599999999996</v>
      </c>
      <c r="K169" s="14">
        <f>33.0025 * CHOOSE(CONTROL!$C$9, $D$9, 100%, $F$9) + CHOOSE(CONTROL!$C$27, 0.0021, 0)</f>
        <v>33.004599999999996</v>
      </c>
      <c r="L169" s="14"/>
    </row>
    <row r="170" spans="1:12" ht="15" x14ac:dyDescent="0.2">
      <c r="A170" s="13">
        <v>46082</v>
      </c>
      <c r="B170" s="14">
        <f>33.1239 * CHOOSE(CONTROL!$C$9, $D$9, 100%, $F$9) + CHOOSE(CONTROL!$C$27, 0.0021, 0)</f>
        <v>33.125999999999998</v>
      </c>
      <c r="C170" s="14">
        <f>32.6917 * CHOOSE(CONTROL!$C$9, $D$9, 100%, $F$9) + CHOOSE(CONTROL!$C$27, 0.0021, 0)</f>
        <v>32.693799999999996</v>
      </c>
      <c r="D170" s="14">
        <f>32.6917 * CHOOSE(CONTROL!$C$9, $D$9, 100%, $F$9) + CHOOSE(CONTROL!$C$27, 0.0021, 0)</f>
        <v>32.693799999999996</v>
      </c>
      <c r="E170" s="14">
        <f>32.555 * CHOOSE(CONTROL!$C$9, $D$9, 100%, $F$9) + CHOOSE(CONTROL!$C$27, 0.0021, 0)</f>
        <v>32.557099999999998</v>
      </c>
      <c r="F170" s="14">
        <f>32.555 * CHOOSE(CONTROL!$C$9, $D$9, 100%, $F$9) + CHOOSE(CONTROL!$C$27, 0.0021, 0)</f>
        <v>32.557099999999998</v>
      </c>
      <c r="G170" s="14">
        <f>32.8264 * CHOOSE(CONTROL!$C$9, $D$9, 100%, $F$9) + CHOOSE(CONTROL!$C$27, 0.0021, 0)</f>
        <v>32.828499999999998</v>
      </c>
      <c r="H170" s="14">
        <f>32.6917 * CHOOSE(CONTROL!$C$9, $D$9, 100%, $F$9) + CHOOSE(CONTROL!$C$27, 0.0021, 0)</f>
        <v>32.693799999999996</v>
      </c>
      <c r="I170" s="14">
        <f>32.6917 * CHOOSE(CONTROL!$C$9, $D$9, 100%, $F$9) + CHOOSE(CONTROL!$C$27, 0.0021, 0)</f>
        <v>32.693799999999996</v>
      </c>
      <c r="J170" s="14">
        <f>32.6917 * CHOOSE(CONTROL!$C$9, $D$9, 100%, $F$9) + CHOOSE(CONTROL!$C$27, 0.0021, 0)</f>
        <v>32.693799999999996</v>
      </c>
      <c r="K170" s="14">
        <f>32.6917 * CHOOSE(CONTROL!$C$9, $D$9, 100%, $F$9) + CHOOSE(CONTROL!$C$27, 0.0021, 0)</f>
        <v>32.693799999999996</v>
      </c>
      <c r="L170" s="14"/>
    </row>
    <row r="171" spans="1:12" ht="15" x14ac:dyDescent="0.2">
      <c r="A171" s="13">
        <v>46113</v>
      </c>
      <c r="B171" s="14">
        <f>32.7388 * CHOOSE(CONTROL!$C$9, $D$9, 100%, $F$9) + CHOOSE(CONTROL!$C$27, 0.0021, 0)</f>
        <v>32.740899999999996</v>
      </c>
      <c r="C171" s="14">
        <f>32.3065 * CHOOSE(CONTROL!$C$9, $D$9, 100%, $F$9) + CHOOSE(CONTROL!$C$27, 0.0021, 0)</f>
        <v>32.308599999999998</v>
      </c>
      <c r="D171" s="14">
        <f>32.3065 * CHOOSE(CONTROL!$C$9, $D$9, 100%, $F$9) + CHOOSE(CONTROL!$C$27, 0.0021, 0)</f>
        <v>32.308599999999998</v>
      </c>
      <c r="E171" s="14">
        <f>32.1699 * CHOOSE(CONTROL!$C$9, $D$9, 100%, $F$9) + CHOOSE(CONTROL!$C$27, 0.0021, 0)</f>
        <v>32.171999999999997</v>
      </c>
      <c r="F171" s="14">
        <f>32.1699 * CHOOSE(CONTROL!$C$9, $D$9, 100%, $F$9) + CHOOSE(CONTROL!$C$27, 0.0021, 0)</f>
        <v>32.171999999999997</v>
      </c>
      <c r="G171" s="14">
        <f>32.4412 * CHOOSE(CONTROL!$C$9, $D$9, 100%, $F$9) + CHOOSE(CONTROL!$C$27, 0.0021, 0)</f>
        <v>32.443300000000001</v>
      </c>
      <c r="H171" s="14">
        <f>32.3065 * CHOOSE(CONTROL!$C$9, $D$9, 100%, $F$9) + CHOOSE(CONTROL!$C$27, 0.0021, 0)</f>
        <v>32.308599999999998</v>
      </c>
      <c r="I171" s="14">
        <f>32.3065 * CHOOSE(CONTROL!$C$9, $D$9, 100%, $F$9) + CHOOSE(CONTROL!$C$27, 0.0021, 0)</f>
        <v>32.308599999999998</v>
      </c>
      <c r="J171" s="14">
        <f>32.3065 * CHOOSE(CONTROL!$C$9, $D$9, 100%, $F$9) + CHOOSE(CONTROL!$C$27, 0.0021, 0)</f>
        <v>32.308599999999998</v>
      </c>
      <c r="K171" s="14">
        <f>32.3065 * CHOOSE(CONTROL!$C$9, $D$9, 100%, $F$9) + CHOOSE(CONTROL!$C$27, 0.0021, 0)</f>
        <v>32.308599999999998</v>
      </c>
      <c r="L171" s="14"/>
    </row>
    <row r="172" spans="1:12" ht="15" x14ac:dyDescent="0.2">
      <c r="A172" s="13">
        <v>46143</v>
      </c>
      <c r="B172" s="14">
        <f>33.4422 * CHOOSE(CONTROL!$C$9, $D$9, 100%, $F$9) + CHOOSE(CONTROL!$C$27, 0.0021, 0)</f>
        <v>33.444299999999998</v>
      </c>
      <c r="C172" s="14">
        <f>33.0099 * CHOOSE(CONTROL!$C$9, $D$9, 100%, $F$9) + CHOOSE(CONTROL!$C$27, 0.0021, 0)</f>
        <v>33.012</v>
      </c>
      <c r="D172" s="14">
        <f>33.0099 * CHOOSE(CONTROL!$C$9, $D$9, 100%, $F$9) + CHOOSE(CONTROL!$C$27, 0.0021, 0)</f>
        <v>33.012</v>
      </c>
      <c r="E172" s="14">
        <f>32.8733 * CHOOSE(CONTROL!$C$9, $D$9, 100%, $F$9) + CHOOSE(CONTROL!$C$27, 0.0021, 0)</f>
        <v>32.875399999999999</v>
      </c>
      <c r="F172" s="14">
        <f>32.8733 * CHOOSE(CONTROL!$C$9, $D$9, 100%, $F$9) + CHOOSE(CONTROL!$C$27, 0.0021, 0)</f>
        <v>32.875399999999999</v>
      </c>
      <c r="G172" s="14">
        <f>33.1447 * CHOOSE(CONTROL!$C$9, $D$9, 100%, $F$9) + CHOOSE(CONTROL!$C$27, 0.0021, 0)</f>
        <v>33.146799999999999</v>
      </c>
      <c r="H172" s="14">
        <f>33.0099 * CHOOSE(CONTROL!$C$9, $D$9, 100%, $F$9) + CHOOSE(CONTROL!$C$27, 0.0021, 0)</f>
        <v>33.012</v>
      </c>
      <c r="I172" s="14">
        <f>33.0099 * CHOOSE(CONTROL!$C$9, $D$9, 100%, $F$9) + CHOOSE(CONTROL!$C$27, 0.0021, 0)</f>
        <v>33.012</v>
      </c>
      <c r="J172" s="14">
        <f>33.0099 * CHOOSE(CONTROL!$C$9, $D$9, 100%, $F$9) + CHOOSE(CONTROL!$C$27, 0.0021, 0)</f>
        <v>33.012</v>
      </c>
      <c r="K172" s="14">
        <f>33.0099 * CHOOSE(CONTROL!$C$9, $D$9, 100%, $F$9) + CHOOSE(CONTROL!$C$27, 0.0021, 0)</f>
        <v>33.012</v>
      </c>
      <c r="L172" s="14"/>
    </row>
    <row r="173" spans="1:12" ht="15" x14ac:dyDescent="0.2">
      <c r="A173" s="13">
        <v>46174</v>
      </c>
      <c r="B173" s="14">
        <f>33.8909 * CHOOSE(CONTROL!$C$9, $D$9, 100%, $F$9) + CHOOSE(CONTROL!$C$27, 0.0021, 0)</f>
        <v>33.893000000000001</v>
      </c>
      <c r="C173" s="14">
        <f>33.4586 * CHOOSE(CONTROL!$C$9, $D$9, 100%, $F$9) + CHOOSE(CONTROL!$C$27, 0.0021, 0)</f>
        <v>33.460699999999996</v>
      </c>
      <c r="D173" s="14">
        <f>33.4586 * CHOOSE(CONTROL!$C$9, $D$9, 100%, $F$9) + CHOOSE(CONTROL!$C$27, 0.0021, 0)</f>
        <v>33.460699999999996</v>
      </c>
      <c r="E173" s="14">
        <f>33.322 * CHOOSE(CONTROL!$C$9, $D$9, 100%, $F$9) + CHOOSE(CONTROL!$C$27, 0.0021, 0)</f>
        <v>33.324100000000001</v>
      </c>
      <c r="F173" s="14">
        <f>33.322 * CHOOSE(CONTROL!$C$9, $D$9, 100%, $F$9) + CHOOSE(CONTROL!$C$27, 0.0021, 0)</f>
        <v>33.324100000000001</v>
      </c>
      <c r="G173" s="14">
        <f>33.5934 * CHOOSE(CONTROL!$C$9, $D$9, 100%, $F$9) + CHOOSE(CONTROL!$C$27, 0.0021, 0)</f>
        <v>33.595500000000001</v>
      </c>
      <c r="H173" s="14">
        <f>33.4586 * CHOOSE(CONTROL!$C$9, $D$9, 100%, $F$9) + CHOOSE(CONTROL!$C$27, 0.0021, 0)</f>
        <v>33.460699999999996</v>
      </c>
      <c r="I173" s="14">
        <f>33.4586 * CHOOSE(CONTROL!$C$9, $D$9, 100%, $F$9) + CHOOSE(CONTROL!$C$27, 0.0021, 0)</f>
        <v>33.460699999999996</v>
      </c>
      <c r="J173" s="14">
        <f>33.4586 * CHOOSE(CONTROL!$C$9, $D$9, 100%, $F$9) + CHOOSE(CONTROL!$C$27, 0.0021, 0)</f>
        <v>33.460699999999996</v>
      </c>
      <c r="K173" s="14">
        <f>33.4586 * CHOOSE(CONTROL!$C$9, $D$9, 100%, $F$9) + CHOOSE(CONTROL!$C$27, 0.0021, 0)</f>
        <v>33.460699999999996</v>
      </c>
      <c r="L173" s="14"/>
    </row>
    <row r="174" spans="1:12" ht="15" x14ac:dyDescent="0.2">
      <c r="A174" s="13">
        <v>46204</v>
      </c>
      <c r="B174" s="14">
        <f>34.5917 * CHOOSE(CONTROL!$C$9, $D$9, 100%, $F$9) + CHOOSE(CONTROL!$C$27, 0.0021, 0)</f>
        <v>34.593800000000002</v>
      </c>
      <c r="C174" s="14">
        <f>34.1594 * CHOOSE(CONTROL!$C$9, $D$9, 100%, $F$9) + CHOOSE(CONTROL!$C$27, 0.0021, 0)</f>
        <v>34.161499999999997</v>
      </c>
      <c r="D174" s="14">
        <f>34.1594 * CHOOSE(CONTROL!$C$9, $D$9, 100%, $F$9) + CHOOSE(CONTROL!$C$27, 0.0021, 0)</f>
        <v>34.161499999999997</v>
      </c>
      <c r="E174" s="14">
        <f>34.0227 * CHOOSE(CONTROL!$C$9, $D$9, 100%, $F$9) + CHOOSE(CONTROL!$C$27, 0.0021, 0)</f>
        <v>34.024799999999999</v>
      </c>
      <c r="F174" s="14">
        <f>34.0227 * CHOOSE(CONTROL!$C$9, $D$9, 100%, $F$9) + CHOOSE(CONTROL!$C$27, 0.0021, 0)</f>
        <v>34.024799999999999</v>
      </c>
      <c r="G174" s="14">
        <f>34.2941 * CHOOSE(CONTROL!$C$9, $D$9, 100%, $F$9) + CHOOSE(CONTROL!$C$27, 0.0021, 0)</f>
        <v>34.296199999999999</v>
      </c>
      <c r="H174" s="14">
        <f>34.1594 * CHOOSE(CONTROL!$C$9, $D$9, 100%, $F$9) + CHOOSE(CONTROL!$C$27, 0.0021, 0)</f>
        <v>34.161499999999997</v>
      </c>
      <c r="I174" s="14">
        <f>34.1594 * CHOOSE(CONTROL!$C$9, $D$9, 100%, $F$9) + CHOOSE(CONTROL!$C$27, 0.0021, 0)</f>
        <v>34.161499999999997</v>
      </c>
      <c r="J174" s="14">
        <f>34.1594 * CHOOSE(CONTROL!$C$9, $D$9, 100%, $F$9) + CHOOSE(CONTROL!$C$27, 0.0021, 0)</f>
        <v>34.161499999999997</v>
      </c>
      <c r="K174" s="14">
        <f>34.1594 * CHOOSE(CONTROL!$C$9, $D$9, 100%, $F$9) + CHOOSE(CONTROL!$C$27, 0.0021, 0)</f>
        <v>34.161499999999997</v>
      </c>
      <c r="L174" s="14"/>
    </row>
    <row r="175" spans="1:12" ht="15" x14ac:dyDescent="0.2">
      <c r="A175" s="13">
        <v>46235</v>
      </c>
      <c r="B175" s="14">
        <f>34.8526 * CHOOSE(CONTROL!$C$9, $D$9, 100%, $F$9) + CHOOSE(CONTROL!$C$27, 0.0021, 0)</f>
        <v>34.854700000000001</v>
      </c>
      <c r="C175" s="14">
        <f>34.4204 * CHOOSE(CONTROL!$C$9, $D$9, 100%, $F$9) + CHOOSE(CONTROL!$C$27, 0.0021, 0)</f>
        <v>34.422499999999999</v>
      </c>
      <c r="D175" s="14">
        <f>34.4204 * CHOOSE(CONTROL!$C$9, $D$9, 100%, $F$9) + CHOOSE(CONTROL!$C$27, 0.0021, 0)</f>
        <v>34.422499999999999</v>
      </c>
      <c r="E175" s="14">
        <f>34.2837 * CHOOSE(CONTROL!$C$9, $D$9, 100%, $F$9) + CHOOSE(CONTROL!$C$27, 0.0021, 0)</f>
        <v>34.285800000000002</v>
      </c>
      <c r="F175" s="14">
        <f>34.2837 * CHOOSE(CONTROL!$C$9, $D$9, 100%, $F$9) + CHOOSE(CONTROL!$C$27, 0.0021, 0)</f>
        <v>34.285800000000002</v>
      </c>
      <c r="G175" s="14">
        <f>34.5551 * CHOOSE(CONTROL!$C$9, $D$9, 100%, $F$9) + CHOOSE(CONTROL!$C$27, 0.0021, 0)</f>
        <v>34.557200000000002</v>
      </c>
      <c r="H175" s="14">
        <f>34.4204 * CHOOSE(CONTROL!$C$9, $D$9, 100%, $F$9) + CHOOSE(CONTROL!$C$27, 0.0021, 0)</f>
        <v>34.422499999999999</v>
      </c>
      <c r="I175" s="14">
        <f>34.4204 * CHOOSE(CONTROL!$C$9, $D$9, 100%, $F$9) + CHOOSE(CONTROL!$C$27, 0.0021, 0)</f>
        <v>34.422499999999999</v>
      </c>
      <c r="J175" s="14">
        <f>34.4204 * CHOOSE(CONTROL!$C$9, $D$9, 100%, $F$9) + CHOOSE(CONTROL!$C$27, 0.0021, 0)</f>
        <v>34.422499999999999</v>
      </c>
      <c r="K175" s="14">
        <f>34.4204 * CHOOSE(CONTROL!$C$9, $D$9, 100%, $F$9) + CHOOSE(CONTROL!$C$27, 0.0021, 0)</f>
        <v>34.422499999999999</v>
      </c>
      <c r="L175" s="14"/>
    </row>
    <row r="176" spans="1:12" ht="15" x14ac:dyDescent="0.2">
      <c r="A176" s="13">
        <v>46266</v>
      </c>
      <c r="B176" s="14">
        <f>35.5832 * CHOOSE(CONTROL!$C$9, $D$9, 100%, $F$9) + CHOOSE(CONTROL!$C$27, 0.0021, 0)</f>
        <v>35.585299999999997</v>
      </c>
      <c r="C176" s="14">
        <f>35.1509 * CHOOSE(CONTROL!$C$9, $D$9, 100%, $F$9) + CHOOSE(CONTROL!$C$27, 0.0021, 0)</f>
        <v>35.152999999999999</v>
      </c>
      <c r="D176" s="14">
        <f>35.1509 * CHOOSE(CONTROL!$C$9, $D$9, 100%, $F$9) + CHOOSE(CONTROL!$C$27, 0.0021, 0)</f>
        <v>35.152999999999999</v>
      </c>
      <c r="E176" s="14">
        <f>35.0142 * CHOOSE(CONTROL!$C$9, $D$9, 100%, $F$9) + CHOOSE(CONTROL!$C$27, 0.0021, 0)</f>
        <v>35.016300000000001</v>
      </c>
      <c r="F176" s="14">
        <f>35.0142 * CHOOSE(CONTROL!$C$9, $D$9, 100%, $F$9) + CHOOSE(CONTROL!$C$27, 0.0021, 0)</f>
        <v>35.016300000000001</v>
      </c>
      <c r="G176" s="14">
        <f>35.2856 * CHOOSE(CONTROL!$C$9, $D$9, 100%, $F$9) + CHOOSE(CONTROL!$C$27, 0.0021, 0)</f>
        <v>35.287700000000001</v>
      </c>
      <c r="H176" s="14">
        <f>35.1509 * CHOOSE(CONTROL!$C$9, $D$9, 100%, $F$9) + CHOOSE(CONTROL!$C$27, 0.0021, 0)</f>
        <v>35.152999999999999</v>
      </c>
      <c r="I176" s="14">
        <f>35.1509 * CHOOSE(CONTROL!$C$9, $D$9, 100%, $F$9) + CHOOSE(CONTROL!$C$27, 0.0021, 0)</f>
        <v>35.152999999999999</v>
      </c>
      <c r="J176" s="14">
        <f>35.1509 * CHOOSE(CONTROL!$C$9, $D$9, 100%, $F$9) + CHOOSE(CONTROL!$C$27, 0.0021, 0)</f>
        <v>35.152999999999999</v>
      </c>
      <c r="K176" s="14">
        <f>35.1509 * CHOOSE(CONTROL!$C$9, $D$9, 100%, $F$9) + CHOOSE(CONTROL!$C$27, 0.0021, 0)</f>
        <v>35.152999999999999</v>
      </c>
      <c r="L176" s="14"/>
    </row>
    <row r="177" spans="1:12" ht="15" x14ac:dyDescent="0.2">
      <c r="A177" s="13">
        <v>46296</v>
      </c>
      <c r="B177" s="14">
        <f>36.4933 * CHOOSE(CONTROL!$C$9, $D$9, 100%, $F$9) + CHOOSE(CONTROL!$C$27, 0.0021, 0)</f>
        <v>36.495399999999997</v>
      </c>
      <c r="C177" s="14">
        <f>36.0611 * CHOOSE(CONTROL!$C$9, $D$9, 100%, $F$9) + CHOOSE(CONTROL!$C$27, 0.0021, 0)</f>
        <v>36.063200000000002</v>
      </c>
      <c r="D177" s="14">
        <f>36.0611 * CHOOSE(CONTROL!$C$9, $D$9, 100%, $F$9) + CHOOSE(CONTROL!$C$27, 0.0021, 0)</f>
        <v>36.063200000000002</v>
      </c>
      <c r="E177" s="14">
        <f>35.9244 * CHOOSE(CONTROL!$C$9, $D$9, 100%, $F$9) + CHOOSE(CONTROL!$C$27, 0.0021, 0)</f>
        <v>35.926499999999997</v>
      </c>
      <c r="F177" s="14">
        <f>35.9244 * CHOOSE(CONTROL!$C$9, $D$9, 100%, $F$9) + CHOOSE(CONTROL!$C$27, 0.0021, 0)</f>
        <v>35.926499999999997</v>
      </c>
      <c r="G177" s="14">
        <f>36.1958 * CHOOSE(CONTROL!$C$9, $D$9, 100%, $F$9) + CHOOSE(CONTROL!$C$27, 0.0021, 0)</f>
        <v>36.197899999999997</v>
      </c>
      <c r="H177" s="14">
        <f>36.0611 * CHOOSE(CONTROL!$C$9, $D$9, 100%, $F$9) + CHOOSE(CONTROL!$C$27, 0.0021, 0)</f>
        <v>36.063200000000002</v>
      </c>
      <c r="I177" s="14">
        <f>36.0611 * CHOOSE(CONTROL!$C$9, $D$9, 100%, $F$9) + CHOOSE(CONTROL!$C$27, 0.0021, 0)</f>
        <v>36.063200000000002</v>
      </c>
      <c r="J177" s="14">
        <f>36.0611 * CHOOSE(CONTROL!$C$9, $D$9, 100%, $F$9) + CHOOSE(CONTROL!$C$27, 0.0021, 0)</f>
        <v>36.063200000000002</v>
      </c>
      <c r="K177" s="14">
        <f>36.0611 * CHOOSE(CONTROL!$C$9, $D$9, 100%, $F$9) + CHOOSE(CONTROL!$C$27, 0.0021, 0)</f>
        <v>36.063200000000002</v>
      </c>
      <c r="L177" s="14"/>
    </row>
    <row r="178" spans="1:12" ht="15" x14ac:dyDescent="0.2">
      <c r="A178" s="13">
        <v>46327</v>
      </c>
      <c r="B178" s="14">
        <f>36.6429 * CHOOSE(CONTROL!$C$9, $D$9, 100%, $F$9) + CHOOSE(CONTROL!$C$27, 0.0021, 0)</f>
        <v>36.644999999999996</v>
      </c>
      <c r="C178" s="14">
        <f>36.2107 * CHOOSE(CONTROL!$C$9, $D$9, 100%, $F$9) + CHOOSE(CONTROL!$C$27, 0.0021, 0)</f>
        <v>36.212800000000001</v>
      </c>
      <c r="D178" s="14">
        <f>36.2107 * CHOOSE(CONTROL!$C$9, $D$9, 100%, $F$9) + CHOOSE(CONTROL!$C$27, 0.0021, 0)</f>
        <v>36.212800000000001</v>
      </c>
      <c r="E178" s="14">
        <f>36.074 * CHOOSE(CONTROL!$C$9, $D$9, 100%, $F$9) + CHOOSE(CONTROL!$C$27, 0.0021, 0)</f>
        <v>36.076099999999997</v>
      </c>
      <c r="F178" s="14">
        <f>36.074 * CHOOSE(CONTROL!$C$9, $D$9, 100%, $F$9) + CHOOSE(CONTROL!$C$27, 0.0021, 0)</f>
        <v>36.076099999999997</v>
      </c>
      <c r="G178" s="14">
        <f>36.3454 * CHOOSE(CONTROL!$C$9, $D$9, 100%, $F$9) + CHOOSE(CONTROL!$C$27, 0.0021, 0)</f>
        <v>36.347499999999997</v>
      </c>
      <c r="H178" s="14">
        <f>36.2107 * CHOOSE(CONTROL!$C$9, $D$9, 100%, $F$9) + CHOOSE(CONTROL!$C$27, 0.0021, 0)</f>
        <v>36.212800000000001</v>
      </c>
      <c r="I178" s="14">
        <f>36.2107 * CHOOSE(CONTROL!$C$9, $D$9, 100%, $F$9) + CHOOSE(CONTROL!$C$27, 0.0021, 0)</f>
        <v>36.212800000000001</v>
      </c>
      <c r="J178" s="14">
        <f>36.2107 * CHOOSE(CONTROL!$C$9, $D$9, 100%, $F$9) + CHOOSE(CONTROL!$C$27, 0.0021, 0)</f>
        <v>36.212800000000001</v>
      </c>
      <c r="K178" s="14">
        <f>36.2107 * CHOOSE(CONTROL!$C$9, $D$9, 100%, $F$9) + CHOOSE(CONTROL!$C$27, 0.0021, 0)</f>
        <v>36.212800000000001</v>
      </c>
      <c r="L178" s="14"/>
    </row>
    <row r="179" spans="1:12" ht="15" x14ac:dyDescent="0.2">
      <c r="A179" s="13">
        <v>46357</v>
      </c>
      <c r="B179" s="14">
        <f>36.0388 * CHOOSE(CONTROL!$C$9, $D$9, 100%, $F$9) + CHOOSE(CONTROL!$C$27, 0.0021, 0)</f>
        <v>36.040900000000001</v>
      </c>
      <c r="C179" s="14">
        <f>35.6065 * CHOOSE(CONTROL!$C$9, $D$9, 100%, $F$9) + CHOOSE(CONTROL!$C$27, 0.0021, 0)</f>
        <v>35.608599999999996</v>
      </c>
      <c r="D179" s="14">
        <f>35.6065 * CHOOSE(CONTROL!$C$9, $D$9, 100%, $F$9) + CHOOSE(CONTROL!$C$27, 0.0021, 0)</f>
        <v>35.608599999999996</v>
      </c>
      <c r="E179" s="14">
        <f>35.4698 * CHOOSE(CONTROL!$C$9, $D$9, 100%, $F$9) + CHOOSE(CONTROL!$C$27, 0.0021, 0)</f>
        <v>35.471899999999998</v>
      </c>
      <c r="F179" s="14">
        <f>35.4698 * CHOOSE(CONTROL!$C$9, $D$9, 100%, $F$9) + CHOOSE(CONTROL!$C$27, 0.0021, 0)</f>
        <v>35.471899999999998</v>
      </c>
      <c r="G179" s="14">
        <f>35.7412 * CHOOSE(CONTROL!$C$9, $D$9, 100%, $F$9) + CHOOSE(CONTROL!$C$27, 0.0021, 0)</f>
        <v>35.743299999999998</v>
      </c>
      <c r="H179" s="14">
        <f>35.6065 * CHOOSE(CONTROL!$C$9, $D$9, 100%, $F$9) + CHOOSE(CONTROL!$C$27, 0.0021, 0)</f>
        <v>35.608599999999996</v>
      </c>
      <c r="I179" s="14">
        <f>35.6065 * CHOOSE(CONTROL!$C$9, $D$9, 100%, $F$9) + CHOOSE(CONTROL!$C$27, 0.0021, 0)</f>
        <v>35.608599999999996</v>
      </c>
      <c r="J179" s="14">
        <f>35.6065 * CHOOSE(CONTROL!$C$9, $D$9, 100%, $F$9) + CHOOSE(CONTROL!$C$27, 0.0021, 0)</f>
        <v>35.608599999999996</v>
      </c>
      <c r="K179" s="14">
        <f>35.6065 * CHOOSE(CONTROL!$C$9, $D$9, 100%, $F$9) + CHOOSE(CONTROL!$C$27, 0.0021, 0)</f>
        <v>35.608599999999996</v>
      </c>
      <c r="L179" s="14"/>
    </row>
    <row r="180" spans="1:12" ht="15" x14ac:dyDescent="0.2">
      <c r="A180" s="13">
        <v>46388</v>
      </c>
      <c r="B180" s="14">
        <f>35.0784 * CHOOSE(CONTROL!$C$9, $D$9, 100%, $F$9) + CHOOSE(CONTROL!$C$27, 0.0021, 0)</f>
        <v>35.080500000000001</v>
      </c>
      <c r="C180" s="14">
        <f>34.6461 * CHOOSE(CONTROL!$C$9, $D$9, 100%, $F$9) + CHOOSE(CONTROL!$C$27, 0.0021, 0)</f>
        <v>34.648199999999996</v>
      </c>
      <c r="D180" s="14">
        <f>34.6461 * CHOOSE(CONTROL!$C$9, $D$9, 100%, $F$9) + CHOOSE(CONTROL!$C$27, 0.0021, 0)</f>
        <v>34.648199999999996</v>
      </c>
      <c r="E180" s="14">
        <f>34.5095 * CHOOSE(CONTROL!$C$9, $D$9, 100%, $F$9) + CHOOSE(CONTROL!$C$27, 0.0021, 0)</f>
        <v>34.511600000000001</v>
      </c>
      <c r="F180" s="14">
        <f>34.5095 * CHOOSE(CONTROL!$C$9, $D$9, 100%, $F$9) + CHOOSE(CONTROL!$C$27, 0.0021, 0)</f>
        <v>34.511600000000001</v>
      </c>
      <c r="G180" s="14">
        <f>34.7809 * CHOOSE(CONTROL!$C$9, $D$9, 100%, $F$9) + CHOOSE(CONTROL!$C$27, 0.0021, 0)</f>
        <v>34.783000000000001</v>
      </c>
      <c r="H180" s="14">
        <f>34.6461 * CHOOSE(CONTROL!$C$9, $D$9, 100%, $F$9) + CHOOSE(CONTROL!$C$27, 0.0021, 0)</f>
        <v>34.648199999999996</v>
      </c>
      <c r="I180" s="14">
        <f>34.6461 * CHOOSE(CONTROL!$C$9, $D$9, 100%, $F$9) + CHOOSE(CONTROL!$C$27, 0.0021, 0)</f>
        <v>34.648199999999996</v>
      </c>
      <c r="J180" s="14">
        <f>34.6461 * CHOOSE(CONTROL!$C$9, $D$9, 100%, $F$9) + CHOOSE(CONTROL!$C$27, 0.0021, 0)</f>
        <v>34.648199999999996</v>
      </c>
      <c r="K180" s="14">
        <f>34.6461 * CHOOSE(CONTROL!$C$9, $D$9, 100%, $F$9) + CHOOSE(CONTROL!$C$27, 0.0021, 0)</f>
        <v>34.648199999999996</v>
      </c>
      <c r="L180" s="14"/>
    </row>
    <row r="181" spans="1:12" ht="15" x14ac:dyDescent="0.2">
      <c r="A181" s="13">
        <v>46419</v>
      </c>
      <c r="B181" s="14">
        <f>34.2166 * CHOOSE(CONTROL!$C$9, $D$9, 100%, $F$9) + CHOOSE(CONTROL!$C$27, 0.0021, 0)</f>
        <v>34.218699999999998</v>
      </c>
      <c r="C181" s="14">
        <f>33.7844 * CHOOSE(CONTROL!$C$9, $D$9, 100%, $F$9) + CHOOSE(CONTROL!$C$27, 0.0021, 0)</f>
        <v>33.786499999999997</v>
      </c>
      <c r="D181" s="14">
        <f>33.7844 * CHOOSE(CONTROL!$C$9, $D$9, 100%, $F$9) + CHOOSE(CONTROL!$C$27, 0.0021, 0)</f>
        <v>33.786499999999997</v>
      </c>
      <c r="E181" s="14">
        <f>33.6477 * CHOOSE(CONTROL!$C$9, $D$9, 100%, $F$9) + CHOOSE(CONTROL!$C$27, 0.0021, 0)</f>
        <v>33.649799999999999</v>
      </c>
      <c r="F181" s="14">
        <f>33.6477 * CHOOSE(CONTROL!$C$9, $D$9, 100%, $F$9) + CHOOSE(CONTROL!$C$27, 0.0021, 0)</f>
        <v>33.649799999999999</v>
      </c>
      <c r="G181" s="14">
        <f>33.9191 * CHOOSE(CONTROL!$C$9, $D$9, 100%, $F$9) + CHOOSE(CONTROL!$C$27, 0.0021, 0)</f>
        <v>33.921199999999999</v>
      </c>
      <c r="H181" s="14">
        <f>33.7844 * CHOOSE(CONTROL!$C$9, $D$9, 100%, $F$9) + CHOOSE(CONTROL!$C$27, 0.0021, 0)</f>
        <v>33.786499999999997</v>
      </c>
      <c r="I181" s="14">
        <f>33.7844 * CHOOSE(CONTROL!$C$9, $D$9, 100%, $F$9) + CHOOSE(CONTROL!$C$27, 0.0021, 0)</f>
        <v>33.786499999999997</v>
      </c>
      <c r="J181" s="14">
        <f>33.7844 * CHOOSE(CONTROL!$C$9, $D$9, 100%, $F$9) + CHOOSE(CONTROL!$C$27, 0.0021, 0)</f>
        <v>33.786499999999997</v>
      </c>
      <c r="K181" s="14">
        <f>33.7844 * CHOOSE(CONTROL!$C$9, $D$9, 100%, $F$9) + CHOOSE(CONTROL!$C$27, 0.0021, 0)</f>
        <v>33.786499999999997</v>
      </c>
      <c r="L181" s="14"/>
    </row>
    <row r="182" spans="1:12" ht="15" x14ac:dyDescent="0.2">
      <c r="A182" s="13">
        <v>46447</v>
      </c>
      <c r="B182" s="14">
        <f>33.898 * CHOOSE(CONTROL!$C$9, $D$9, 100%, $F$9) + CHOOSE(CONTROL!$C$27, 0.0021, 0)</f>
        <v>33.900100000000002</v>
      </c>
      <c r="C182" s="14">
        <f>33.4658 * CHOOSE(CONTROL!$C$9, $D$9, 100%, $F$9) + CHOOSE(CONTROL!$C$27, 0.0021, 0)</f>
        <v>33.4679</v>
      </c>
      <c r="D182" s="14">
        <f>33.4658 * CHOOSE(CONTROL!$C$9, $D$9, 100%, $F$9) + CHOOSE(CONTROL!$C$27, 0.0021, 0)</f>
        <v>33.4679</v>
      </c>
      <c r="E182" s="14">
        <f>33.3291 * CHOOSE(CONTROL!$C$9, $D$9, 100%, $F$9) + CHOOSE(CONTROL!$C$27, 0.0021, 0)</f>
        <v>33.331199999999995</v>
      </c>
      <c r="F182" s="14">
        <f>33.3291 * CHOOSE(CONTROL!$C$9, $D$9, 100%, $F$9) + CHOOSE(CONTROL!$C$27, 0.0021, 0)</f>
        <v>33.331199999999995</v>
      </c>
      <c r="G182" s="14">
        <f>33.6005 * CHOOSE(CONTROL!$C$9, $D$9, 100%, $F$9) + CHOOSE(CONTROL!$C$27, 0.0021, 0)</f>
        <v>33.602599999999995</v>
      </c>
      <c r="H182" s="14">
        <f>33.4658 * CHOOSE(CONTROL!$C$9, $D$9, 100%, $F$9) + CHOOSE(CONTROL!$C$27, 0.0021, 0)</f>
        <v>33.4679</v>
      </c>
      <c r="I182" s="14">
        <f>33.4658 * CHOOSE(CONTROL!$C$9, $D$9, 100%, $F$9) + CHOOSE(CONTROL!$C$27, 0.0021, 0)</f>
        <v>33.4679</v>
      </c>
      <c r="J182" s="14">
        <f>33.4658 * CHOOSE(CONTROL!$C$9, $D$9, 100%, $F$9) + CHOOSE(CONTROL!$C$27, 0.0021, 0)</f>
        <v>33.4679</v>
      </c>
      <c r="K182" s="14">
        <f>33.4658 * CHOOSE(CONTROL!$C$9, $D$9, 100%, $F$9) + CHOOSE(CONTROL!$C$27, 0.0021, 0)</f>
        <v>33.4679</v>
      </c>
      <c r="L182" s="14"/>
    </row>
    <row r="183" spans="1:12" ht="15" x14ac:dyDescent="0.2">
      <c r="A183" s="13">
        <v>46478</v>
      </c>
      <c r="B183" s="14">
        <f>33.5032 * CHOOSE(CONTROL!$C$9, $D$9, 100%, $F$9) + CHOOSE(CONTROL!$C$27, 0.0021, 0)</f>
        <v>33.505299999999998</v>
      </c>
      <c r="C183" s="14">
        <f>33.0709 * CHOOSE(CONTROL!$C$9, $D$9, 100%, $F$9) + CHOOSE(CONTROL!$C$27, 0.0021, 0)</f>
        <v>33.073</v>
      </c>
      <c r="D183" s="14">
        <f>33.0709 * CHOOSE(CONTROL!$C$9, $D$9, 100%, $F$9) + CHOOSE(CONTROL!$C$27, 0.0021, 0)</f>
        <v>33.073</v>
      </c>
      <c r="E183" s="14">
        <f>32.9343 * CHOOSE(CONTROL!$C$9, $D$9, 100%, $F$9) + CHOOSE(CONTROL!$C$27, 0.0021, 0)</f>
        <v>32.936399999999999</v>
      </c>
      <c r="F183" s="14">
        <f>32.9343 * CHOOSE(CONTROL!$C$9, $D$9, 100%, $F$9) + CHOOSE(CONTROL!$C$27, 0.0021, 0)</f>
        <v>32.936399999999999</v>
      </c>
      <c r="G183" s="14">
        <f>33.2057 * CHOOSE(CONTROL!$C$9, $D$9, 100%, $F$9) + CHOOSE(CONTROL!$C$27, 0.0021, 0)</f>
        <v>33.207799999999999</v>
      </c>
      <c r="H183" s="14">
        <f>33.0709 * CHOOSE(CONTROL!$C$9, $D$9, 100%, $F$9) + CHOOSE(CONTROL!$C$27, 0.0021, 0)</f>
        <v>33.073</v>
      </c>
      <c r="I183" s="14">
        <f>33.0709 * CHOOSE(CONTROL!$C$9, $D$9, 100%, $F$9) + CHOOSE(CONTROL!$C$27, 0.0021, 0)</f>
        <v>33.073</v>
      </c>
      <c r="J183" s="14">
        <f>33.0709 * CHOOSE(CONTROL!$C$9, $D$9, 100%, $F$9) + CHOOSE(CONTROL!$C$27, 0.0021, 0)</f>
        <v>33.073</v>
      </c>
      <c r="K183" s="14">
        <f>33.0709 * CHOOSE(CONTROL!$C$9, $D$9, 100%, $F$9) + CHOOSE(CONTROL!$C$27, 0.0021, 0)</f>
        <v>33.073</v>
      </c>
      <c r="L183" s="14"/>
    </row>
    <row r="184" spans="1:12" ht="15" x14ac:dyDescent="0.2">
      <c r="A184" s="13">
        <v>46508</v>
      </c>
      <c r="B184" s="14">
        <f>34.2243 * CHOOSE(CONTROL!$C$9, $D$9, 100%, $F$9) + CHOOSE(CONTROL!$C$27, 0.0021, 0)</f>
        <v>34.226399999999998</v>
      </c>
      <c r="C184" s="14">
        <f>33.792 * CHOOSE(CONTROL!$C$9, $D$9, 100%, $F$9) + CHOOSE(CONTROL!$C$27, 0.0021, 0)</f>
        <v>33.7941</v>
      </c>
      <c r="D184" s="14">
        <f>33.792 * CHOOSE(CONTROL!$C$9, $D$9, 100%, $F$9) + CHOOSE(CONTROL!$C$27, 0.0021, 0)</f>
        <v>33.7941</v>
      </c>
      <c r="E184" s="14">
        <f>33.6554 * CHOOSE(CONTROL!$C$9, $D$9, 100%, $F$9) + CHOOSE(CONTROL!$C$27, 0.0021, 0)</f>
        <v>33.657499999999999</v>
      </c>
      <c r="F184" s="14">
        <f>33.6554 * CHOOSE(CONTROL!$C$9, $D$9, 100%, $F$9) + CHOOSE(CONTROL!$C$27, 0.0021, 0)</f>
        <v>33.657499999999999</v>
      </c>
      <c r="G184" s="14">
        <f>33.9267 * CHOOSE(CONTROL!$C$9, $D$9, 100%, $F$9) + CHOOSE(CONTROL!$C$27, 0.0021, 0)</f>
        <v>33.928799999999995</v>
      </c>
      <c r="H184" s="14">
        <f>33.792 * CHOOSE(CONTROL!$C$9, $D$9, 100%, $F$9) + CHOOSE(CONTROL!$C$27, 0.0021, 0)</f>
        <v>33.7941</v>
      </c>
      <c r="I184" s="14">
        <f>33.792 * CHOOSE(CONTROL!$C$9, $D$9, 100%, $F$9) + CHOOSE(CONTROL!$C$27, 0.0021, 0)</f>
        <v>33.7941</v>
      </c>
      <c r="J184" s="14">
        <f>33.792 * CHOOSE(CONTROL!$C$9, $D$9, 100%, $F$9) + CHOOSE(CONTROL!$C$27, 0.0021, 0)</f>
        <v>33.7941</v>
      </c>
      <c r="K184" s="14">
        <f>33.792 * CHOOSE(CONTROL!$C$9, $D$9, 100%, $F$9) + CHOOSE(CONTROL!$C$27, 0.0021, 0)</f>
        <v>33.7941</v>
      </c>
      <c r="L184" s="14"/>
    </row>
    <row r="185" spans="1:12" ht="15" x14ac:dyDescent="0.2">
      <c r="A185" s="13">
        <v>46539</v>
      </c>
      <c r="B185" s="14">
        <f>34.6842 * CHOOSE(CONTROL!$C$9, $D$9, 100%, $F$9) + CHOOSE(CONTROL!$C$27, 0.0021, 0)</f>
        <v>34.686299999999996</v>
      </c>
      <c r="C185" s="14">
        <f>34.252 * CHOOSE(CONTROL!$C$9, $D$9, 100%, $F$9) + CHOOSE(CONTROL!$C$27, 0.0021, 0)</f>
        <v>34.254100000000001</v>
      </c>
      <c r="D185" s="14">
        <f>34.252 * CHOOSE(CONTROL!$C$9, $D$9, 100%, $F$9) + CHOOSE(CONTROL!$C$27, 0.0021, 0)</f>
        <v>34.254100000000001</v>
      </c>
      <c r="E185" s="14">
        <f>34.1153 * CHOOSE(CONTROL!$C$9, $D$9, 100%, $F$9) + CHOOSE(CONTROL!$C$27, 0.0021, 0)</f>
        <v>34.117399999999996</v>
      </c>
      <c r="F185" s="14">
        <f>34.1153 * CHOOSE(CONTROL!$C$9, $D$9, 100%, $F$9) + CHOOSE(CONTROL!$C$27, 0.0021, 0)</f>
        <v>34.117399999999996</v>
      </c>
      <c r="G185" s="14">
        <f>34.3867 * CHOOSE(CONTROL!$C$9, $D$9, 100%, $F$9) + CHOOSE(CONTROL!$C$27, 0.0021, 0)</f>
        <v>34.388799999999996</v>
      </c>
      <c r="H185" s="14">
        <f>34.252 * CHOOSE(CONTROL!$C$9, $D$9, 100%, $F$9) + CHOOSE(CONTROL!$C$27, 0.0021, 0)</f>
        <v>34.254100000000001</v>
      </c>
      <c r="I185" s="14">
        <f>34.252 * CHOOSE(CONTROL!$C$9, $D$9, 100%, $F$9) + CHOOSE(CONTROL!$C$27, 0.0021, 0)</f>
        <v>34.254100000000001</v>
      </c>
      <c r="J185" s="14">
        <f>34.252 * CHOOSE(CONTROL!$C$9, $D$9, 100%, $F$9) + CHOOSE(CONTROL!$C$27, 0.0021, 0)</f>
        <v>34.254100000000001</v>
      </c>
      <c r="K185" s="14">
        <f>34.252 * CHOOSE(CONTROL!$C$9, $D$9, 100%, $F$9) + CHOOSE(CONTROL!$C$27, 0.0021, 0)</f>
        <v>34.254100000000001</v>
      </c>
      <c r="L185" s="14"/>
    </row>
    <row r="186" spans="1:12" ht="15" x14ac:dyDescent="0.2">
      <c r="A186" s="13">
        <v>46569</v>
      </c>
      <c r="B186" s="14">
        <f>35.4026 * CHOOSE(CONTROL!$C$9, $D$9, 100%, $F$9) + CHOOSE(CONTROL!$C$27, 0.0021, 0)</f>
        <v>35.404699999999998</v>
      </c>
      <c r="C186" s="14">
        <f>34.9703 * CHOOSE(CONTROL!$C$9, $D$9, 100%, $F$9) + CHOOSE(CONTROL!$C$27, 0.0021, 0)</f>
        <v>34.9724</v>
      </c>
      <c r="D186" s="14">
        <f>34.9703 * CHOOSE(CONTROL!$C$9, $D$9, 100%, $F$9) + CHOOSE(CONTROL!$C$27, 0.0021, 0)</f>
        <v>34.9724</v>
      </c>
      <c r="E186" s="14">
        <f>34.8337 * CHOOSE(CONTROL!$C$9, $D$9, 100%, $F$9) + CHOOSE(CONTROL!$C$27, 0.0021, 0)</f>
        <v>34.835799999999999</v>
      </c>
      <c r="F186" s="14">
        <f>34.8337 * CHOOSE(CONTROL!$C$9, $D$9, 100%, $F$9) + CHOOSE(CONTROL!$C$27, 0.0021, 0)</f>
        <v>34.835799999999999</v>
      </c>
      <c r="G186" s="14">
        <f>35.1051 * CHOOSE(CONTROL!$C$9, $D$9, 100%, $F$9) + CHOOSE(CONTROL!$C$27, 0.0021, 0)</f>
        <v>35.107199999999999</v>
      </c>
      <c r="H186" s="14">
        <f>34.9703 * CHOOSE(CONTROL!$C$9, $D$9, 100%, $F$9) + CHOOSE(CONTROL!$C$27, 0.0021, 0)</f>
        <v>34.9724</v>
      </c>
      <c r="I186" s="14">
        <f>34.9703 * CHOOSE(CONTROL!$C$9, $D$9, 100%, $F$9) + CHOOSE(CONTROL!$C$27, 0.0021, 0)</f>
        <v>34.9724</v>
      </c>
      <c r="J186" s="14">
        <f>34.9703 * CHOOSE(CONTROL!$C$9, $D$9, 100%, $F$9) + CHOOSE(CONTROL!$C$27, 0.0021, 0)</f>
        <v>34.9724</v>
      </c>
      <c r="K186" s="14">
        <f>34.9703 * CHOOSE(CONTROL!$C$9, $D$9, 100%, $F$9) + CHOOSE(CONTROL!$C$27, 0.0021, 0)</f>
        <v>34.9724</v>
      </c>
      <c r="L186" s="14"/>
    </row>
    <row r="187" spans="1:12" ht="15" x14ac:dyDescent="0.2">
      <c r="A187" s="13">
        <v>46600</v>
      </c>
      <c r="B187" s="14">
        <f>35.6701 * CHOOSE(CONTROL!$C$9, $D$9, 100%, $F$9) + CHOOSE(CONTROL!$C$27, 0.0021, 0)</f>
        <v>35.672199999999997</v>
      </c>
      <c r="C187" s="14">
        <f>35.2379 * CHOOSE(CONTROL!$C$9, $D$9, 100%, $F$9) + CHOOSE(CONTROL!$C$27, 0.0021, 0)</f>
        <v>35.24</v>
      </c>
      <c r="D187" s="14">
        <f>35.2379 * CHOOSE(CONTROL!$C$9, $D$9, 100%, $F$9) + CHOOSE(CONTROL!$C$27, 0.0021, 0)</f>
        <v>35.24</v>
      </c>
      <c r="E187" s="14">
        <f>35.1012 * CHOOSE(CONTROL!$C$9, $D$9, 100%, $F$9) + CHOOSE(CONTROL!$C$27, 0.0021, 0)</f>
        <v>35.103299999999997</v>
      </c>
      <c r="F187" s="14">
        <f>35.1012 * CHOOSE(CONTROL!$C$9, $D$9, 100%, $F$9) + CHOOSE(CONTROL!$C$27, 0.0021, 0)</f>
        <v>35.103299999999997</v>
      </c>
      <c r="G187" s="14">
        <f>35.3726 * CHOOSE(CONTROL!$C$9, $D$9, 100%, $F$9) + CHOOSE(CONTROL!$C$27, 0.0021, 0)</f>
        <v>35.374699999999997</v>
      </c>
      <c r="H187" s="14">
        <f>35.2379 * CHOOSE(CONTROL!$C$9, $D$9, 100%, $F$9) + CHOOSE(CONTROL!$C$27, 0.0021, 0)</f>
        <v>35.24</v>
      </c>
      <c r="I187" s="14">
        <f>35.2379 * CHOOSE(CONTROL!$C$9, $D$9, 100%, $F$9) + CHOOSE(CONTROL!$C$27, 0.0021, 0)</f>
        <v>35.24</v>
      </c>
      <c r="J187" s="14">
        <f>35.2379 * CHOOSE(CONTROL!$C$9, $D$9, 100%, $F$9) + CHOOSE(CONTROL!$C$27, 0.0021, 0)</f>
        <v>35.24</v>
      </c>
      <c r="K187" s="14">
        <f>35.2379 * CHOOSE(CONTROL!$C$9, $D$9, 100%, $F$9) + CHOOSE(CONTROL!$C$27, 0.0021, 0)</f>
        <v>35.24</v>
      </c>
      <c r="L187" s="14"/>
    </row>
    <row r="188" spans="1:12" ht="15" x14ac:dyDescent="0.2">
      <c r="A188" s="13">
        <v>46631</v>
      </c>
      <c r="B188" s="14">
        <f>36.419 * CHOOSE(CONTROL!$C$9, $D$9, 100%, $F$9) + CHOOSE(CONTROL!$C$27, 0.0021, 0)</f>
        <v>36.421099999999996</v>
      </c>
      <c r="C188" s="14">
        <f>35.9867 * CHOOSE(CONTROL!$C$9, $D$9, 100%, $F$9) + CHOOSE(CONTROL!$C$27, 0.0021, 0)</f>
        <v>35.988799999999998</v>
      </c>
      <c r="D188" s="14">
        <f>35.9867 * CHOOSE(CONTROL!$C$9, $D$9, 100%, $F$9) + CHOOSE(CONTROL!$C$27, 0.0021, 0)</f>
        <v>35.988799999999998</v>
      </c>
      <c r="E188" s="14">
        <f>35.8501 * CHOOSE(CONTROL!$C$9, $D$9, 100%, $F$9) + CHOOSE(CONTROL!$C$27, 0.0021, 0)</f>
        <v>35.852199999999996</v>
      </c>
      <c r="F188" s="14">
        <f>35.8501 * CHOOSE(CONTROL!$C$9, $D$9, 100%, $F$9) + CHOOSE(CONTROL!$C$27, 0.0021, 0)</f>
        <v>35.852199999999996</v>
      </c>
      <c r="G188" s="14">
        <f>36.1215 * CHOOSE(CONTROL!$C$9, $D$9, 100%, $F$9) + CHOOSE(CONTROL!$C$27, 0.0021, 0)</f>
        <v>36.123599999999996</v>
      </c>
      <c r="H188" s="14">
        <f>35.9867 * CHOOSE(CONTROL!$C$9, $D$9, 100%, $F$9) + CHOOSE(CONTROL!$C$27, 0.0021, 0)</f>
        <v>35.988799999999998</v>
      </c>
      <c r="I188" s="14">
        <f>35.9867 * CHOOSE(CONTROL!$C$9, $D$9, 100%, $F$9) + CHOOSE(CONTROL!$C$27, 0.0021, 0)</f>
        <v>35.988799999999998</v>
      </c>
      <c r="J188" s="14">
        <f>35.9867 * CHOOSE(CONTROL!$C$9, $D$9, 100%, $F$9) + CHOOSE(CONTROL!$C$27, 0.0021, 0)</f>
        <v>35.988799999999998</v>
      </c>
      <c r="K188" s="14">
        <f>35.9867 * CHOOSE(CONTROL!$C$9, $D$9, 100%, $F$9) + CHOOSE(CONTROL!$C$27, 0.0021, 0)</f>
        <v>35.988799999999998</v>
      </c>
      <c r="L188" s="14"/>
    </row>
    <row r="189" spans="1:12" ht="15" x14ac:dyDescent="0.2">
      <c r="A189" s="13">
        <v>46661</v>
      </c>
      <c r="B189" s="14">
        <f>37.352 * CHOOSE(CONTROL!$C$9, $D$9, 100%, $F$9) + CHOOSE(CONTROL!$C$27, 0.0021, 0)</f>
        <v>37.354099999999995</v>
      </c>
      <c r="C189" s="14">
        <f>36.9197 * CHOOSE(CONTROL!$C$9, $D$9, 100%, $F$9) + CHOOSE(CONTROL!$C$27, 0.0021, 0)</f>
        <v>36.921799999999998</v>
      </c>
      <c r="D189" s="14">
        <f>36.9197 * CHOOSE(CONTROL!$C$9, $D$9, 100%, $F$9) + CHOOSE(CONTROL!$C$27, 0.0021, 0)</f>
        <v>36.921799999999998</v>
      </c>
      <c r="E189" s="14">
        <f>36.7831 * CHOOSE(CONTROL!$C$9, $D$9, 100%, $F$9) + CHOOSE(CONTROL!$C$27, 0.0021, 0)</f>
        <v>36.785199999999996</v>
      </c>
      <c r="F189" s="14">
        <f>36.7831 * CHOOSE(CONTROL!$C$9, $D$9, 100%, $F$9) + CHOOSE(CONTROL!$C$27, 0.0021, 0)</f>
        <v>36.785199999999996</v>
      </c>
      <c r="G189" s="14">
        <f>37.0545 * CHOOSE(CONTROL!$C$9, $D$9, 100%, $F$9) + CHOOSE(CONTROL!$C$27, 0.0021, 0)</f>
        <v>37.056599999999996</v>
      </c>
      <c r="H189" s="14">
        <f>36.9197 * CHOOSE(CONTROL!$C$9, $D$9, 100%, $F$9) + CHOOSE(CONTROL!$C$27, 0.0021, 0)</f>
        <v>36.921799999999998</v>
      </c>
      <c r="I189" s="14">
        <f>36.9197 * CHOOSE(CONTROL!$C$9, $D$9, 100%, $F$9) + CHOOSE(CONTROL!$C$27, 0.0021, 0)</f>
        <v>36.921799999999998</v>
      </c>
      <c r="J189" s="14">
        <f>36.9197 * CHOOSE(CONTROL!$C$9, $D$9, 100%, $F$9) + CHOOSE(CONTROL!$C$27, 0.0021, 0)</f>
        <v>36.921799999999998</v>
      </c>
      <c r="K189" s="14">
        <f>36.9197 * CHOOSE(CONTROL!$C$9, $D$9, 100%, $F$9) + CHOOSE(CONTROL!$C$27, 0.0021, 0)</f>
        <v>36.921799999999998</v>
      </c>
      <c r="L189" s="14"/>
    </row>
    <row r="190" spans="1:12" ht="15" x14ac:dyDescent="0.2">
      <c r="A190" s="13">
        <v>46692</v>
      </c>
      <c r="B190" s="14">
        <f>37.5054 * CHOOSE(CONTROL!$C$9, $D$9, 100%, $F$9) + CHOOSE(CONTROL!$C$27, 0.0021, 0)</f>
        <v>37.5075</v>
      </c>
      <c r="C190" s="14">
        <f>37.0731 * CHOOSE(CONTROL!$C$9, $D$9, 100%, $F$9) + CHOOSE(CONTROL!$C$27, 0.0021, 0)</f>
        <v>37.075199999999995</v>
      </c>
      <c r="D190" s="14">
        <f>37.0731 * CHOOSE(CONTROL!$C$9, $D$9, 100%, $F$9) + CHOOSE(CONTROL!$C$27, 0.0021, 0)</f>
        <v>37.075199999999995</v>
      </c>
      <c r="E190" s="14">
        <f>36.9365 * CHOOSE(CONTROL!$C$9, $D$9, 100%, $F$9) + CHOOSE(CONTROL!$C$27, 0.0021, 0)</f>
        <v>36.938600000000001</v>
      </c>
      <c r="F190" s="14">
        <f>36.9365 * CHOOSE(CONTROL!$C$9, $D$9, 100%, $F$9) + CHOOSE(CONTROL!$C$27, 0.0021, 0)</f>
        <v>36.938600000000001</v>
      </c>
      <c r="G190" s="14">
        <f>37.2078 * CHOOSE(CONTROL!$C$9, $D$9, 100%, $F$9) + CHOOSE(CONTROL!$C$27, 0.0021, 0)</f>
        <v>37.209899999999998</v>
      </c>
      <c r="H190" s="14">
        <f>37.0731 * CHOOSE(CONTROL!$C$9, $D$9, 100%, $F$9) + CHOOSE(CONTROL!$C$27, 0.0021, 0)</f>
        <v>37.075199999999995</v>
      </c>
      <c r="I190" s="14">
        <f>37.0731 * CHOOSE(CONTROL!$C$9, $D$9, 100%, $F$9) + CHOOSE(CONTROL!$C$27, 0.0021, 0)</f>
        <v>37.075199999999995</v>
      </c>
      <c r="J190" s="14">
        <f>37.0731 * CHOOSE(CONTROL!$C$9, $D$9, 100%, $F$9) + CHOOSE(CONTROL!$C$27, 0.0021, 0)</f>
        <v>37.075199999999995</v>
      </c>
      <c r="K190" s="14">
        <f>37.0731 * CHOOSE(CONTROL!$C$9, $D$9, 100%, $F$9) + CHOOSE(CONTROL!$C$27, 0.0021, 0)</f>
        <v>37.075199999999995</v>
      </c>
      <c r="L190" s="14"/>
    </row>
    <row r="191" spans="1:12" ht="15" x14ac:dyDescent="0.2">
      <c r="A191" s="13">
        <v>46722</v>
      </c>
      <c r="B191" s="14">
        <f>36.886 * CHOOSE(CONTROL!$C$9, $D$9, 100%, $F$9) + CHOOSE(CONTROL!$C$27, 0.0021, 0)</f>
        <v>36.888100000000001</v>
      </c>
      <c r="C191" s="14">
        <f>36.4538 * CHOOSE(CONTROL!$C$9, $D$9, 100%, $F$9) + CHOOSE(CONTROL!$C$27, 0.0021, 0)</f>
        <v>36.4559</v>
      </c>
      <c r="D191" s="14">
        <f>36.4538 * CHOOSE(CONTROL!$C$9, $D$9, 100%, $F$9) + CHOOSE(CONTROL!$C$27, 0.0021, 0)</f>
        <v>36.4559</v>
      </c>
      <c r="E191" s="14">
        <f>36.3171 * CHOOSE(CONTROL!$C$9, $D$9, 100%, $F$9) + CHOOSE(CONTROL!$C$27, 0.0021, 0)</f>
        <v>36.319200000000002</v>
      </c>
      <c r="F191" s="14">
        <f>36.3171 * CHOOSE(CONTROL!$C$9, $D$9, 100%, $F$9) + CHOOSE(CONTROL!$C$27, 0.0021, 0)</f>
        <v>36.319200000000002</v>
      </c>
      <c r="G191" s="14">
        <f>36.5885 * CHOOSE(CONTROL!$C$9, $D$9, 100%, $F$9) + CHOOSE(CONTROL!$C$27, 0.0021, 0)</f>
        <v>36.590600000000002</v>
      </c>
      <c r="H191" s="14">
        <f>36.4538 * CHOOSE(CONTROL!$C$9, $D$9, 100%, $F$9) + CHOOSE(CONTROL!$C$27, 0.0021, 0)</f>
        <v>36.4559</v>
      </c>
      <c r="I191" s="14">
        <f>36.4538 * CHOOSE(CONTROL!$C$9, $D$9, 100%, $F$9) + CHOOSE(CONTROL!$C$27, 0.0021, 0)</f>
        <v>36.4559</v>
      </c>
      <c r="J191" s="14">
        <f>36.4538 * CHOOSE(CONTROL!$C$9, $D$9, 100%, $F$9) + CHOOSE(CONTROL!$C$27, 0.0021, 0)</f>
        <v>36.4559</v>
      </c>
      <c r="K191" s="14">
        <f>36.4538 * CHOOSE(CONTROL!$C$9, $D$9, 100%, $F$9) + CHOOSE(CONTROL!$C$27, 0.0021, 0)</f>
        <v>36.4559</v>
      </c>
      <c r="L191" s="14"/>
    </row>
    <row r="192" spans="1:12" ht="15" x14ac:dyDescent="0.2">
      <c r="A192" s="13">
        <v>46753</v>
      </c>
      <c r="B192" s="14">
        <f>35.836 * CHOOSE(CONTROL!$C$9, $D$9, 100%, $F$9) + CHOOSE(CONTROL!$C$27, 0.0021, 0)</f>
        <v>35.838099999999997</v>
      </c>
      <c r="C192" s="14">
        <f>35.4037 * CHOOSE(CONTROL!$C$9, $D$9, 100%, $F$9) + CHOOSE(CONTROL!$C$27, 0.0021, 0)</f>
        <v>35.405799999999999</v>
      </c>
      <c r="D192" s="14">
        <f>35.4037 * CHOOSE(CONTROL!$C$9, $D$9, 100%, $F$9) + CHOOSE(CONTROL!$C$27, 0.0021, 0)</f>
        <v>35.405799999999999</v>
      </c>
      <c r="E192" s="14">
        <f>35.2671 * CHOOSE(CONTROL!$C$9, $D$9, 100%, $F$9) + CHOOSE(CONTROL!$C$27, 0.0021, 0)</f>
        <v>35.269199999999998</v>
      </c>
      <c r="F192" s="14">
        <f>35.2671 * CHOOSE(CONTROL!$C$9, $D$9, 100%, $F$9) + CHOOSE(CONTROL!$C$27, 0.0021, 0)</f>
        <v>35.269199999999998</v>
      </c>
      <c r="G192" s="14">
        <f>35.5385 * CHOOSE(CONTROL!$C$9, $D$9, 100%, $F$9) + CHOOSE(CONTROL!$C$27, 0.0021, 0)</f>
        <v>35.540599999999998</v>
      </c>
      <c r="H192" s="14">
        <f>35.4037 * CHOOSE(CONTROL!$C$9, $D$9, 100%, $F$9) + CHOOSE(CONTROL!$C$27, 0.0021, 0)</f>
        <v>35.405799999999999</v>
      </c>
      <c r="I192" s="14">
        <f>35.4037 * CHOOSE(CONTROL!$C$9, $D$9, 100%, $F$9) + CHOOSE(CONTROL!$C$27, 0.0021, 0)</f>
        <v>35.405799999999999</v>
      </c>
      <c r="J192" s="14">
        <f>35.4037 * CHOOSE(CONTROL!$C$9, $D$9, 100%, $F$9) + CHOOSE(CONTROL!$C$27, 0.0021, 0)</f>
        <v>35.405799999999999</v>
      </c>
      <c r="K192" s="14">
        <f>35.4037 * CHOOSE(CONTROL!$C$9, $D$9, 100%, $F$9) + CHOOSE(CONTROL!$C$27, 0.0021, 0)</f>
        <v>35.405799999999999</v>
      </c>
      <c r="L192" s="14"/>
    </row>
    <row r="193" spans="1:12" ht="15" x14ac:dyDescent="0.2">
      <c r="A193" s="13">
        <v>46784</v>
      </c>
      <c r="B193" s="14">
        <f>34.9543 * CHOOSE(CONTROL!$C$9, $D$9, 100%, $F$9) + CHOOSE(CONTROL!$C$27, 0.0021, 0)</f>
        <v>34.956400000000002</v>
      </c>
      <c r="C193" s="14">
        <f>34.5221 * CHOOSE(CONTROL!$C$9, $D$9, 100%, $F$9) + CHOOSE(CONTROL!$C$27, 0.0021, 0)</f>
        <v>34.5242</v>
      </c>
      <c r="D193" s="14">
        <f>34.5221 * CHOOSE(CONTROL!$C$9, $D$9, 100%, $F$9) + CHOOSE(CONTROL!$C$27, 0.0021, 0)</f>
        <v>34.5242</v>
      </c>
      <c r="E193" s="14">
        <f>34.3854 * CHOOSE(CONTROL!$C$9, $D$9, 100%, $F$9) + CHOOSE(CONTROL!$C$27, 0.0021, 0)</f>
        <v>34.387499999999996</v>
      </c>
      <c r="F193" s="14">
        <f>34.3854 * CHOOSE(CONTROL!$C$9, $D$9, 100%, $F$9) + CHOOSE(CONTROL!$C$27, 0.0021, 0)</f>
        <v>34.387499999999996</v>
      </c>
      <c r="G193" s="14">
        <f>34.6568 * CHOOSE(CONTROL!$C$9, $D$9, 100%, $F$9) + CHOOSE(CONTROL!$C$27, 0.0021, 0)</f>
        <v>34.658899999999996</v>
      </c>
      <c r="H193" s="14">
        <f>34.5221 * CHOOSE(CONTROL!$C$9, $D$9, 100%, $F$9) + CHOOSE(CONTROL!$C$27, 0.0021, 0)</f>
        <v>34.5242</v>
      </c>
      <c r="I193" s="14">
        <f>34.5221 * CHOOSE(CONTROL!$C$9, $D$9, 100%, $F$9) + CHOOSE(CONTROL!$C$27, 0.0021, 0)</f>
        <v>34.5242</v>
      </c>
      <c r="J193" s="14">
        <f>34.5221 * CHOOSE(CONTROL!$C$9, $D$9, 100%, $F$9) + CHOOSE(CONTROL!$C$27, 0.0021, 0)</f>
        <v>34.5242</v>
      </c>
      <c r="K193" s="14">
        <f>34.5221 * CHOOSE(CONTROL!$C$9, $D$9, 100%, $F$9) + CHOOSE(CONTROL!$C$27, 0.0021, 0)</f>
        <v>34.5242</v>
      </c>
      <c r="L193" s="14"/>
    </row>
    <row r="194" spans="1:12" ht="15" x14ac:dyDescent="0.2">
      <c r="A194" s="13">
        <v>46813</v>
      </c>
      <c r="B194" s="14">
        <f>34.6283 * CHOOSE(CONTROL!$C$9, $D$9, 100%, $F$9) + CHOOSE(CONTROL!$C$27, 0.0021, 0)</f>
        <v>34.630400000000002</v>
      </c>
      <c r="C194" s="14">
        <f>34.1961 * CHOOSE(CONTROL!$C$9, $D$9, 100%, $F$9) + CHOOSE(CONTROL!$C$27, 0.0021, 0)</f>
        <v>34.1982</v>
      </c>
      <c r="D194" s="14">
        <f>34.1961 * CHOOSE(CONTROL!$C$9, $D$9, 100%, $F$9) + CHOOSE(CONTROL!$C$27, 0.0021, 0)</f>
        <v>34.1982</v>
      </c>
      <c r="E194" s="14">
        <f>34.0594 * CHOOSE(CONTROL!$C$9, $D$9, 100%, $F$9) + CHOOSE(CONTROL!$C$27, 0.0021, 0)</f>
        <v>34.061499999999995</v>
      </c>
      <c r="F194" s="14">
        <f>34.0594 * CHOOSE(CONTROL!$C$9, $D$9, 100%, $F$9) + CHOOSE(CONTROL!$C$27, 0.0021, 0)</f>
        <v>34.061499999999995</v>
      </c>
      <c r="G194" s="14">
        <f>34.3308 * CHOOSE(CONTROL!$C$9, $D$9, 100%, $F$9) + CHOOSE(CONTROL!$C$27, 0.0021, 0)</f>
        <v>34.332900000000002</v>
      </c>
      <c r="H194" s="14">
        <f>34.1961 * CHOOSE(CONTROL!$C$9, $D$9, 100%, $F$9) + CHOOSE(CONTROL!$C$27, 0.0021, 0)</f>
        <v>34.1982</v>
      </c>
      <c r="I194" s="14">
        <f>34.1961 * CHOOSE(CONTROL!$C$9, $D$9, 100%, $F$9) + CHOOSE(CONTROL!$C$27, 0.0021, 0)</f>
        <v>34.1982</v>
      </c>
      <c r="J194" s="14">
        <f>34.1961 * CHOOSE(CONTROL!$C$9, $D$9, 100%, $F$9) + CHOOSE(CONTROL!$C$27, 0.0021, 0)</f>
        <v>34.1982</v>
      </c>
      <c r="K194" s="14">
        <f>34.1961 * CHOOSE(CONTROL!$C$9, $D$9, 100%, $F$9) + CHOOSE(CONTROL!$C$27, 0.0021, 0)</f>
        <v>34.1982</v>
      </c>
      <c r="L194" s="14"/>
    </row>
    <row r="195" spans="1:12" ht="15" x14ac:dyDescent="0.2">
      <c r="A195" s="13">
        <v>46844</v>
      </c>
      <c r="B195" s="14">
        <f>34.2244 * CHOOSE(CONTROL!$C$9, $D$9, 100%, $F$9) + CHOOSE(CONTROL!$C$27, 0.0021, 0)</f>
        <v>34.226500000000001</v>
      </c>
      <c r="C195" s="14">
        <f>33.7922 * CHOOSE(CONTROL!$C$9, $D$9, 100%, $F$9) + CHOOSE(CONTROL!$C$27, 0.0021, 0)</f>
        <v>33.7943</v>
      </c>
      <c r="D195" s="14">
        <f>33.7922 * CHOOSE(CONTROL!$C$9, $D$9, 100%, $F$9) + CHOOSE(CONTROL!$C$27, 0.0021, 0)</f>
        <v>33.7943</v>
      </c>
      <c r="E195" s="14">
        <f>33.6555 * CHOOSE(CONTROL!$C$9, $D$9, 100%, $F$9) + CHOOSE(CONTROL!$C$27, 0.0021, 0)</f>
        <v>33.657600000000002</v>
      </c>
      <c r="F195" s="14">
        <f>33.6555 * CHOOSE(CONTROL!$C$9, $D$9, 100%, $F$9) + CHOOSE(CONTROL!$C$27, 0.0021, 0)</f>
        <v>33.657600000000002</v>
      </c>
      <c r="G195" s="14">
        <f>33.9269 * CHOOSE(CONTROL!$C$9, $D$9, 100%, $F$9) + CHOOSE(CONTROL!$C$27, 0.0021, 0)</f>
        <v>33.929000000000002</v>
      </c>
      <c r="H195" s="14">
        <f>33.7922 * CHOOSE(CONTROL!$C$9, $D$9, 100%, $F$9) + CHOOSE(CONTROL!$C$27, 0.0021, 0)</f>
        <v>33.7943</v>
      </c>
      <c r="I195" s="14">
        <f>33.7922 * CHOOSE(CONTROL!$C$9, $D$9, 100%, $F$9) + CHOOSE(CONTROL!$C$27, 0.0021, 0)</f>
        <v>33.7943</v>
      </c>
      <c r="J195" s="14">
        <f>33.7922 * CHOOSE(CONTROL!$C$9, $D$9, 100%, $F$9) + CHOOSE(CONTROL!$C$27, 0.0021, 0)</f>
        <v>33.7943</v>
      </c>
      <c r="K195" s="14">
        <f>33.7922 * CHOOSE(CONTROL!$C$9, $D$9, 100%, $F$9) + CHOOSE(CONTROL!$C$27, 0.0021, 0)</f>
        <v>33.7943</v>
      </c>
      <c r="L195" s="14"/>
    </row>
    <row r="196" spans="1:12" ht="15" x14ac:dyDescent="0.2">
      <c r="A196" s="13">
        <v>46874</v>
      </c>
      <c r="B196" s="14">
        <f>34.9621 * CHOOSE(CONTROL!$C$9, $D$9, 100%, $F$9) + CHOOSE(CONTROL!$C$27, 0.0021, 0)</f>
        <v>34.964199999999998</v>
      </c>
      <c r="C196" s="14">
        <f>34.5299 * CHOOSE(CONTROL!$C$9, $D$9, 100%, $F$9) + CHOOSE(CONTROL!$C$27, 0.0021, 0)</f>
        <v>34.531999999999996</v>
      </c>
      <c r="D196" s="14">
        <f>34.5299 * CHOOSE(CONTROL!$C$9, $D$9, 100%, $F$9) + CHOOSE(CONTROL!$C$27, 0.0021, 0)</f>
        <v>34.531999999999996</v>
      </c>
      <c r="E196" s="14">
        <f>34.3932 * CHOOSE(CONTROL!$C$9, $D$9, 100%, $F$9) + CHOOSE(CONTROL!$C$27, 0.0021, 0)</f>
        <v>34.395299999999999</v>
      </c>
      <c r="F196" s="14">
        <f>34.3932 * CHOOSE(CONTROL!$C$9, $D$9, 100%, $F$9) + CHOOSE(CONTROL!$C$27, 0.0021, 0)</f>
        <v>34.395299999999999</v>
      </c>
      <c r="G196" s="14">
        <f>34.6646 * CHOOSE(CONTROL!$C$9, $D$9, 100%, $F$9) + CHOOSE(CONTROL!$C$27, 0.0021, 0)</f>
        <v>34.666699999999999</v>
      </c>
      <c r="H196" s="14">
        <f>34.5299 * CHOOSE(CONTROL!$C$9, $D$9, 100%, $F$9) + CHOOSE(CONTROL!$C$27, 0.0021, 0)</f>
        <v>34.531999999999996</v>
      </c>
      <c r="I196" s="14">
        <f>34.5299 * CHOOSE(CONTROL!$C$9, $D$9, 100%, $F$9) + CHOOSE(CONTROL!$C$27, 0.0021, 0)</f>
        <v>34.531999999999996</v>
      </c>
      <c r="J196" s="14">
        <f>34.5299 * CHOOSE(CONTROL!$C$9, $D$9, 100%, $F$9) + CHOOSE(CONTROL!$C$27, 0.0021, 0)</f>
        <v>34.531999999999996</v>
      </c>
      <c r="K196" s="14">
        <f>34.5299 * CHOOSE(CONTROL!$C$9, $D$9, 100%, $F$9) + CHOOSE(CONTROL!$C$27, 0.0021, 0)</f>
        <v>34.531999999999996</v>
      </c>
      <c r="L196" s="14"/>
    </row>
    <row r="197" spans="1:12" ht="15" x14ac:dyDescent="0.2">
      <c r="A197" s="13">
        <v>46905</v>
      </c>
      <c r="B197" s="14">
        <f>35.4327 * CHOOSE(CONTROL!$C$9, $D$9, 100%, $F$9) + CHOOSE(CONTROL!$C$27, 0.0021, 0)</f>
        <v>35.434799999999996</v>
      </c>
      <c r="C197" s="14">
        <f>35.0005 * CHOOSE(CONTROL!$C$9, $D$9, 100%, $F$9) + CHOOSE(CONTROL!$C$27, 0.0021, 0)</f>
        <v>35.002600000000001</v>
      </c>
      <c r="D197" s="14">
        <f>35.0005 * CHOOSE(CONTROL!$C$9, $D$9, 100%, $F$9) + CHOOSE(CONTROL!$C$27, 0.0021, 0)</f>
        <v>35.002600000000001</v>
      </c>
      <c r="E197" s="14">
        <f>34.8638 * CHOOSE(CONTROL!$C$9, $D$9, 100%, $F$9) + CHOOSE(CONTROL!$C$27, 0.0021, 0)</f>
        <v>34.865899999999996</v>
      </c>
      <c r="F197" s="14">
        <f>34.8638 * CHOOSE(CONTROL!$C$9, $D$9, 100%, $F$9) + CHOOSE(CONTROL!$C$27, 0.0021, 0)</f>
        <v>34.865899999999996</v>
      </c>
      <c r="G197" s="14">
        <f>35.1352 * CHOOSE(CONTROL!$C$9, $D$9, 100%, $F$9) + CHOOSE(CONTROL!$C$27, 0.0021, 0)</f>
        <v>35.137299999999996</v>
      </c>
      <c r="H197" s="14">
        <f>35.0005 * CHOOSE(CONTROL!$C$9, $D$9, 100%, $F$9) + CHOOSE(CONTROL!$C$27, 0.0021, 0)</f>
        <v>35.002600000000001</v>
      </c>
      <c r="I197" s="14">
        <f>35.0005 * CHOOSE(CONTROL!$C$9, $D$9, 100%, $F$9) + CHOOSE(CONTROL!$C$27, 0.0021, 0)</f>
        <v>35.002600000000001</v>
      </c>
      <c r="J197" s="14">
        <f>35.0005 * CHOOSE(CONTROL!$C$9, $D$9, 100%, $F$9) + CHOOSE(CONTROL!$C$27, 0.0021, 0)</f>
        <v>35.002600000000001</v>
      </c>
      <c r="K197" s="14">
        <f>35.0005 * CHOOSE(CONTROL!$C$9, $D$9, 100%, $F$9) + CHOOSE(CONTROL!$C$27, 0.0021, 0)</f>
        <v>35.002600000000001</v>
      </c>
      <c r="L197" s="14"/>
    </row>
    <row r="198" spans="1:12" ht="15" x14ac:dyDescent="0.2">
      <c r="A198" s="13">
        <v>46935</v>
      </c>
      <c r="B198" s="14">
        <f>36.1677 * CHOOSE(CONTROL!$C$9, $D$9, 100%, $F$9) + CHOOSE(CONTROL!$C$27, 0.0021, 0)</f>
        <v>36.169800000000002</v>
      </c>
      <c r="C198" s="14">
        <f>35.7354 * CHOOSE(CONTROL!$C$9, $D$9, 100%, $F$9) + CHOOSE(CONTROL!$C$27, 0.0021, 0)</f>
        <v>35.737499999999997</v>
      </c>
      <c r="D198" s="14">
        <f>35.7354 * CHOOSE(CONTROL!$C$9, $D$9, 100%, $F$9) + CHOOSE(CONTROL!$C$27, 0.0021, 0)</f>
        <v>35.737499999999997</v>
      </c>
      <c r="E198" s="14">
        <f>35.5988 * CHOOSE(CONTROL!$C$9, $D$9, 100%, $F$9) + CHOOSE(CONTROL!$C$27, 0.0021, 0)</f>
        <v>35.600899999999996</v>
      </c>
      <c r="F198" s="14">
        <f>35.5988 * CHOOSE(CONTROL!$C$9, $D$9, 100%, $F$9) + CHOOSE(CONTROL!$C$27, 0.0021, 0)</f>
        <v>35.600899999999996</v>
      </c>
      <c r="G198" s="14">
        <f>35.8702 * CHOOSE(CONTROL!$C$9, $D$9, 100%, $F$9) + CHOOSE(CONTROL!$C$27, 0.0021, 0)</f>
        <v>35.872299999999996</v>
      </c>
      <c r="H198" s="14">
        <f>35.7354 * CHOOSE(CONTROL!$C$9, $D$9, 100%, $F$9) + CHOOSE(CONTROL!$C$27, 0.0021, 0)</f>
        <v>35.737499999999997</v>
      </c>
      <c r="I198" s="14">
        <f>35.7354 * CHOOSE(CONTROL!$C$9, $D$9, 100%, $F$9) + CHOOSE(CONTROL!$C$27, 0.0021, 0)</f>
        <v>35.737499999999997</v>
      </c>
      <c r="J198" s="14">
        <f>35.7354 * CHOOSE(CONTROL!$C$9, $D$9, 100%, $F$9) + CHOOSE(CONTROL!$C$27, 0.0021, 0)</f>
        <v>35.737499999999997</v>
      </c>
      <c r="K198" s="14">
        <f>35.7354 * CHOOSE(CONTROL!$C$9, $D$9, 100%, $F$9) + CHOOSE(CONTROL!$C$27, 0.0021, 0)</f>
        <v>35.737499999999997</v>
      </c>
      <c r="L198" s="14"/>
    </row>
    <row r="199" spans="1:12" ht="15" x14ac:dyDescent="0.2">
      <c r="A199" s="13">
        <v>46966</v>
      </c>
      <c r="B199" s="14">
        <f>36.4414 * CHOOSE(CONTROL!$C$9, $D$9, 100%, $F$9) + CHOOSE(CONTROL!$C$27, 0.0021, 0)</f>
        <v>36.4435</v>
      </c>
      <c r="C199" s="14">
        <f>36.0091 * CHOOSE(CONTROL!$C$9, $D$9, 100%, $F$9) + CHOOSE(CONTROL!$C$27, 0.0021, 0)</f>
        <v>36.011199999999995</v>
      </c>
      <c r="D199" s="14">
        <f>36.0091 * CHOOSE(CONTROL!$C$9, $D$9, 100%, $F$9) + CHOOSE(CONTROL!$C$27, 0.0021, 0)</f>
        <v>36.011199999999995</v>
      </c>
      <c r="E199" s="14">
        <f>35.8725 * CHOOSE(CONTROL!$C$9, $D$9, 100%, $F$9) + CHOOSE(CONTROL!$C$27, 0.0021, 0)</f>
        <v>35.874600000000001</v>
      </c>
      <c r="F199" s="14">
        <f>35.8725 * CHOOSE(CONTROL!$C$9, $D$9, 100%, $F$9) + CHOOSE(CONTROL!$C$27, 0.0021, 0)</f>
        <v>35.874600000000001</v>
      </c>
      <c r="G199" s="14">
        <f>36.1439 * CHOOSE(CONTROL!$C$9, $D$9, 100%, $F$9) + CHOOSE(CONTROL!$C$27, 0.0021, 0)</f>
        <v>36.146000000000001</v>
      </c>
      <c r="H199" s="14">
        <f>36.0091 * CHOOSE(CONTROL!$C$9, $D$9, 100%, $F$9) + CHOOSE(CONTROL!$C$27, 0.0021, 0)</f>
        <v>36.011199999999995</v>
      </c>
      <c r="I199" s="14">
        <f>36.0091 * CHOOSE(CONTROL!$C$9, $D$9, 100%, $F$9) + CHOOSE(CONTROL!$C$27, 0.0021, 0)</f>
        <v>36.011199999999995</v>
      </c>
      <c r="J199" s="14">
        <f>36.0091 * CHOOSE(CONTROL!$C$9, $D$9, 100%, $F$9) + CHOOSE(CONTROL!$C$27, 0.0021, 0)</f>
        <v>36.011199999999995</v>
      </c>
      <c r="K199" s="14">
        <f>36.0091 * CHOOSE(CONTROL!$C$9, $D$9, 100%, $F$9) + CHOOSE(CONTROL!$C$27, 0.0021, 0)</f>
        <v>36.011199999999995</v>
      </c>
      <c r="L199" s="14"/>
    </row>
    <row r="200" spans="1:12" ht="15" x14ac:dyDescent="0.2">
      <c r="A200" s="13">
        <v>46997</v>
      </c>
      <c r="B200" s="14">
        <f>37.2076 * CHOOSE(CONTROL!$C$9, $D$9, 100%, $F$9) + CHOOSE(CONTROL!$C$27, 0.0021, 0)</f>
        <v>37.209699999999998</v>
      </c>
      <c r="C200" s="14">
        <f>36.7753 * CHOOSE(CONTROL!$C$9, $D$9, 100%, $F$9) + CHOOSE(CONTROL!$C$27, 0.0021, 0)</f>
        <v>36.7774</v>
      </c>
      <c r="D200" s="14">
        <f>36.7753 * CHOOSE(CONTROL!$C$9, $D$9, 100%, $F$9) + CHOOSE(CONTROL!$C$27, 0.0021, 0)</f>
        <v>36.7774</v>
      </c>
      <c r="E200" s="14">
        <f>36.6387 * CHOOSE(CONTROL!$C$9, $D$9, 100%, $F$9) + CHOOSE(CONTROL!$C$27, 0.0021, 0)</f>
        <v>36.640799999999999</v>
      </c>
      <c r="F200" s="14">
        <f>36.6387 * CHOOSE(CONTROL!$C$9, $D$9, 100%, $F$9) + CHOOSE(CONTROL!$C$27, 0.0021, 0)</f>
        <v>36.640799999999999</v>
      </c>
      <c r="G200" s="14">
        <f>36.91 * CHOOSE(CONTROL!$C$9, $D$9, 100%, $F$9) + CHOOSE(CONTROL!$C$27, 0.0021, 0)</f>
        <v>36.912099999999995</v>
      </c>
      <c r="H200" s="14">
        <f>36.7753 * CHOOSE(CONTROL!$C$9, $D$9, 100%, $F$9) + CHOOSE(CONTROL!$C$27, 0.0021, 0)</f>
        <v>36.7774</v>
      </c>
      <c r="I200" s="14">
        <f>36.7753 * CHOOSE(CONTROL!$C$9, $D$9, 100%, $F$9) + CHOOSE(CONTROL!$C$27, 0.0021, 0)</f>
        <v>36.7774</v>
      </c>
      <c r="J200" s="14">
        <f>36.7753 * CHOOSE(CONTROL!$C$9, $D$9, 100%, $F$9) + CHOOSE(CONTROL!$C$27, 0.0021, 0)</f>
        <v>36.7774</v>
      </c>
      <c r="K200" s="14">
        <f>36.7753 * CHOOSE(CONTROL!$C$9, $D$9, 100%, $F$9) + CHOOSE(CONTROL!$C$27, 0.0021, 0)</f>
        <v>36.7774</v>
      </c>
      <c r="L200" s="14"/>
    </row>
    <row r="201" spans="1:12" ht="15" x14ac:dyDescent="0.2">
      <c r="A201" s="13">
        <v>47027</v>
      </c>
      <c r="B201" s="14">
        <f>38.1621 * CHOOSE(CONTROL!$C$9, $D$9, 100%, $F$9) + CHOOSE(CONTROL!$C$27, 0.0021, 0)</f>
        <v>38.164200000000001</v>
      </c>
      <c r="C201" s="14">
        <f>37.7299 * CHOOSE(CONTROL!$C$9, $D$9, 100%, $F$9) + CHOOSE(CONTROL!$C$27, 0.0021, 0)</f>
        <v>37.731999999999999</v>
      </c>
      <c r="D201" s="14">
        <f>37.7299 * CHOOSE(CONTROL!$C$9, $D$9, 100%, $F$9) + CHOOSE(CONTROL!$C$27, 0.0021, 0)</f>
        <v>37.731999999999999</v>
      </c>
      <c r="E201" s="14">
        <f>37.5932 * CHOOSE(CONTROL!$C$9, $D$9, 100%, $F$9) + CHOOSE(CONTROL!$C$27, 0.0021, 0)</f>
        <v>37.595300000000002</v>
      </c>
      <c r="F201" s="14">
        <f>37.5932 * CHOOSE(CONTROL!$C$9, $D$9, 100%, $F$9) + CHOOSE(CONTROL!$C$27, 0.0021, 0)</f>
        <v>37.595300000000002</v>
      </c>
      <c r="G201" s="14">
        <f>37.8646 * CHOOSE(CONTROL!$C$9, $D$9, 100%, $F$9) + CHOOSE(CONTROL!$C$27, 0.0021, 0)</f>
        <v>37.866700000000002</v>
      </c>
      <c r="H201" s="14">
        <f>37.7299 * CHOOSE(CONTROL!$C$9, $D$9, 100%, $F$9) + CHOOSE(CONTROL!$C$27, 0.0021, 0)</f>
        <v>37.731999999999999</v>
      </c>
      <c r="I201" s="14">
        <f>37.7299 * CHOOSE(CONTROL!$C$9, $D$9, 100%, $F$9) + CHOOSE(CONTROL!$C$27, 0.0021, 0)</f>
        <v>37.731999999999999</v>
      </c>
      <c r="J201" s="14">
        <f>37.7299 * CHOOSE(CONTROL!$C$9, $D$9, 100%, $F$9) + CHOOSE(CONTROL!$C$27, 0.0021, 0)</f>
        <v>37.731999999999999</v>
      </c>
      <c r="K201" s="14">
        <f>37.7299 * CHOOSE(CONTROL!$C$9, $D$9, 100%, $F$9) + CHOOSE(CONTROL!$C$27, 0.0021, 0)</f>
        <v>37.731999999999999</v>
      </c>
      <c r="L201" s="14"/>
    </row>
    <row r="202" spans="1:12" ht="15" x14ac:dyDescent="0.2">
      <c r="A202" s="13">
        <v>47058</v>
      </c>
      <c r="B202" s="14">
        <f>38.3191 * CHOOSE(CONTROL!$C$9, $D$9, 100%, $F$9) + CHOOSE(CONTROL!$C$27, 0.0021, 0)</f>
        <v>38.321199999999997</v>
      </c>
      <c r="C202" s="14">
        <f>37.8868 * CHOOSE(CONTROL!$C$9, $D$9, 100%, $F$9) + CHOOSE(CONTROL!$C$27, 0.0021, 0)</f>
        <v>37.8889</v>
      </c>
      <c r="D202" s="14">
        <f>37.8868 * CHOOSE(CONTROL!$C$9, $D$9, 100%, $F$9) + CHOOSE(CONTROL!$C$27, 0.0021, 0)</f>
        <v>37.8889</v>
      </c>
      <c r="E202" s="14">
        <f>37.7501 * CHOOSE(CONTROL!$C$9, $D$9, 100%, $F$9) + CHOOSE(CONTROL!$C$27, 0.0021, 0)</f>
        <v>37.752200000000002</v>
      </c>
      <c r="F202" s="14">
        <f>37.7501 * CHOOSE(CONTROL!$C$9, $D$9, 100%, $F$9) + CHOOSE(CONTROL!$C$27, 0.0021, 0)</f>
        <v>37.752200000000002</v>
      </c>
      <c r="G202" s="14">
        <f>38.0215 * CHOOSE(CONTROL!$C$9, $D$9, 100%, $F$9) + CHOOSE(CONTROL!$C$27, 0.0021, 0)</f>
        <v>38.023600000000002</v>
      </c>
      <c r="H202" s="14">
        <f>37.8868 * CHOOSE(CONTROL!$C$9, $D$9, 100%, $F$9) + CHOOSE(CONTROL!$C$27, 0.0021, 0)</f>
        <v>37.8889</v>
      </c>
      <c r="I202" s="14">
        <f>37.8868 * CHOOSE(CONTROL!$C$9, $D$9, 100%, $F$9) + CHOOSE(CONTROL!$C$27, 0.0021, 0)</f>
        <v>37.8889</v>
      </c>
      <c r="J202" s="14">
        <f>37.8868 * CHOOSE(CONTROL!$C$9, $D$9, 100%, $F$9) + CHOOSE(CONTROL!$C$27, 0.0021, 0)</f>
        <v>37.8889</v>
      </c>
      <c r="K202" s="14">
        <f>37.8868 * CHOOSE(CONTROL!$C$9, $D$9, 100%, $F$9) + CHOOSE(CONTROL!$C$27, 0.0021, 0)</f>
        <v>37.8889</v>
      </c>
      <c r="L202" s="14"/>
    </row>
    <row r="203" spans="1:12" ht="15" x14ac:dyDescent="0.2">
      <c r="A203" s="13">
        <v>47088</v>
      </c>
      <c r="B203" s="14">
        <f>37.6854 * CHOOSE(CONTROL!$C$9, $D$9, 100%, $F$9) + CHOOSE(CONTROL!$C$27, 0.0021, 0)</f>
        <v>37.6875</v>
      </c>
      <c r="C203" s="14">
        <f>37.2532 * CHOOSE(CONTROL!$C$9, $D$9, 100%, $F$9) + CHOOSE(CONTROL!$C$27, 0.0021, 0)</f>
        <v>37.255299999999998</v>
      </c>
      <c r="D203" s="14">
        <f>37.2532 * CHOOSE(CONTROL!$C$9, $D$9, 100%, $F$9) + CHOOSE(CONTROL!$C$27, 0.0021, 0)</f>
        <v>37.255299999999998</v>
      </c>
      <c r="E203" s="14">
        <f>37.1165 * CHOOSE(CONTROL!$C$9, $D$9, 100%, $F$9) + CHOOSE(CONTROL!$C$27, 0.0021, 0)</f>
        <v>37.118600000000001</v>
      </c>
      <c r="F203" s="14">
        <f>37.1165 * CHOOSE(CONTROL!$C$9, $D$9, 100%, $F$9) + CHOOSE(CONTROL!$C$27, 0.0021, 0)</f>
        <v>37.118600000000001</v>
      </c>
      <c r="G203" s="14">
        <f>37.3879 * CHOOSE(CONTROL!$C$9, $D$9, 100%, $F$9) + CHOOSE(CONTROL!$C$27, 0.0021, 0)</f>
        <v>37.39</v>
      </c>
      <c r="H203" s="14">
        <f>37.2532 * CHOOSE(CONTROL!$C$9, $D$9, 100%, $F$9) + CHOOSE(CONTROL!$C$27, 0.0021, 0)</f>
        <v>37.255299999999998</v>
      </c>
      <c r="I203" s="14">
        <f>37.2532 * CHOOSE(CONTROL!$C$9, $D$9, 100%, $F$9) + CHOOSE(CONTROL!$C$27, 0.0021, 0)</f>
        <v>37.255299999999998</v>
      </c>
      <c r="J203" s="14">
        <f>37.2532 * CHOOSE(CONTROL!$C$9, $D$9, 100%, $F$9) + CHOOSE(CONTROL!$C$27, 0.0021, 0)</f>
        <v>37.255299999999998</v>
      </c>
      <c r="K203" s="14">
        <f>37.2532 * CHOOSE(CONTROL!$C$9, $D$9, 100%, $F$9) + CHOOSE(CONTROL!$C$27, 0.0021, 0)</f>
        <v>37.255299999999998</v>
      </c>
      <c r="L203" s="14"/>
    </row>
    <row r="204" spans="1:12" ht="15" x14ac:dyDescent="0.2">
      <c r="A204" s="13">
        <v>47119</v>
      </c>
      <c r="B204" s="14">
        <f>36.6297 * CHOOSE(CONTROL!$C$9, $D$9, 100%, $F$9) + CHOOSE(CONTROL!$C$27, 0.0021, 0)</f>
        <v>36.631799999999998</v>
      </c>
      <c r="C204" s="14">
        <f>36.1975 * CHOOSE(CONTROL!$C$9, $D$9, 100%, $F$9) + CHOOSE(CONTROL!$C$27, 0.0021, 0)</f>
        <v>36.199599999999997</v>
      </c>
      <c r="D204" s="14">
        <f>36.1975 * CHOOSE(CONTROL!$C$9, $D$9, 100%, $F$9) + CHOOSE(CONTROL!$C$27, 0.0021, 0)</f>
        <v>36.199599999999997</v>
      </c>
      <c r="E204" s="14">
        <f>36.0608 * CHOOSE(CONTROL!$C$9, $D$9, 100%, $F$9) + CHOOSE(CONTROL!$C$27, 0.0021, 0)</f>
        <v>36.062899999999999</v>
      </c>
      <c r="F204" s="14">
        <f>36.0608 * CHOOSE(CONTROL!$C$9, $D$9, 100%, $F$9) + CHOOSE(CONTROL!$C$27, 0.0021, 0)</f>
        <v>36.062899999999999</v>
      </c>
      <c r="G204" s="14">
        <f>36.3322 * CHOOSE(CONTROL!$C$9, $D$9, 100%, $F$9) + CHOOSE(CONTROL!$C$27, 0.0021, 0)</f>
        <v>36.334299999999999</v>
      </c>
      <c r="H204" s="14">
        <f>36.1975 * CHOOSE(CONTROL!$C$9, $D$9, 100%, $F$9) + CHOOSE(CONTROL!$C$27, 0.0021, 0)</f>
        <v>36.199599999999997</v>
      </c>
      <c r="I204" s="14">
        <f>36.1975 * CHOOSE(CONTROL!$C$9, $D$9, 100%, $F$9) + CHOOSE(CONTROL!$C$27, 0.0021, 0)</f>
        <v>36.199599999999997</v>
      </c>
      <c r="J204" s="14">
        <f>36.1975 * CHOOSE(CONTROL!$C$9, $D$9, 100%, $F$9) + CHOOSE(CONTROL!$C$27, 0.0021, 0)</f>
        <v>36.199599999999997</v>
      </c>
      <c r="K204" s="14">
        <f>36.1975 * CHOOSE(CONTROL!$C$9, $D$9, 100%, $F$9) + CHOOSE(CONTROL!$C$27, 0.0021, 0)</f>
        <v>36.199599999999997</v>
      </c>
      <c r="L204" s="14"/>
    </row>
    <row r="205" spans="1:12" ht="15" x14ac:dyDescent="0.2">
      <c r="A205" s="13">
        <v>47150</v>
      </c>
      <c r="B205" s="14">
        <f>35.7272 * CHOOSE(CONTROL!$C$9, $D$9, 100%, $F$9) + CHOOSE(CONTROL!$C$27, 0.0021, 0)</f>
        <v>35.729300000000002</v>
      </c>
      <c r="C205" s="14">
        <f>35.295 * CHOOSE(CONTROL!$C$9, $D$9, 100%, $F$9) + CHOOSE(CONTROL!$C$27, 0.0021, 0)</f>
        <v>35.2971</v>
      </c>
      <c r="D205" s="14">
        <f>35.295 * CHOOSE(CONTROL!$C$9, $D$9, 100%, $F$9) + CHOOSE(CONTROL!$C$27, 0.0021, 0)</f>
        <v>35.2971</v>
      </c>
      <c r="E205" s="14">
        <f>35.1583 * CHOOSE(CONTROL!$C$9, $D$9, 100%, $F$9) + CHOOSE(CONTROL!$C$27, 0.0021, 0)</f>
        <v>35.160399999999996</v>
      </c>
      <c r="F205" s="14">
        <f>35.1583 * CHOOSE(CONTROL!$C$9, $D$9, 100%, $F$9) + CHOOSE(CONTROL!$C$27, 0.0021, 0)</f>
        <v>35.160399999999996</v>
      </c>
      <c r="G205" s="14">
        <f>35.4297 * CHOOSE(CONTROL!$C$9, $D$9, 100%, $F$9) + CHOOSE(CONTROL!$C$27, 0.0021, 0)</f>
        <v>35.431799999999996</v>
      </c>
      <c r="H205" s="14">
        <f>35.295 * CHOOSE(CONTROL!$C$9, $D$9, 100%, $F$9) + CHOOSE(CONTROL!$C$27, 0.0021, 0)</f>
        <v>35.2971</v>
      </c>
      <c r="I205" s="14">
        <f>35.295 * CHOOSE(CONTROL!$C$9, $D$9, 100%, $F$9) + CHOOSE(CONTROL!$C$27, 0.0021, 0)</f>
        <v>35.2971</v>
      </c>
      <c r="J205" s="14">
        <f>35.295 * CHOOSE(CONTROL!$C$9, $D$9, 100%, $F$9) + CHOOSE(CONTROL!$C$27, 0.0021, 0)</f>
        <v>35.2971</v>
      </c>
      <c r="K205" s="14">
        <f>35.295 * CHOOSE(CONTROL!$C$9, $D$9, 100%, $F$9) + CHOOSE(CONTROL!$C$27, 0.0021, 0)</f>
        <v>35.2971</v>
      </c>
      <c r="L205" s="14"/>
    </row>
    <row r="206" spans="1:12" ht="15" x14ac:dyDescent="0.2">
      <c r="A206" s="13">
        <v>47178</v>
      </c>
      <c r="B206" s="14">
        <f>35.3935 * CHOOSE(CONTROL!$C$9, $D$9, 100%, $F$9) + CHOOSE(CONTROL!$C$27, 0.0021, 0)</f>
        <v>35.395600000000002</v>
      </c>
      <c r="C206" s="14">
        <f>34.9613 * CHOOSE(CONTROL!$C$9, $D$9, 100%, $F$9) + CHOOSE(CONTROL!$C$27, 0.0021, 0)</f>
        <v>34.9634</v>
      </c>
      <c r="D206" s="14">
        <f>34.9613 * CHOOSE(CONTROL!$C$9, $D$9, 100%, $F$9) + CHOOSE(CONTROL!$C$27, 0.0021, 0)</f>
        <v>34.9634</v>
      </c>
      <c r="E206" s="14">
        <f>34.8246 * CHOOSE(CONTROL!$C$9, $D$9, 100%, $F$9) + CHOOSE(CONTROL!$C$27, 0.0021, 0)</f>
        <v>34.826699999999995</v>
      </c>
      <c r="F206" s="14">
        <f>34.8246 * CHOOSE(CONTROL!$C$9, $D$9, 100%, $F$9) + CHOOSE(CONTROL!$C$27, 0.0021, 0)</f>
        <v>34.826699999999995</v>
      </c>
      <c r="G206" s="14">
        <f>35.096 * CHOOSE(CONTROL!$C$9, $D$9, 100%, $F$9) + CHOOSE(CONTROL!$C$27, 0.0021, 0)</f>
        <v>35.098099999999995</v>
      </c>
      <c r="H206" s="14">
        <f>34.9613 * CHOOSE(CONTROL!$C$9, $D$9, 100%, $F$9) + CHOOSE(CONTROL!$C$27, 0.0021, 0)</f>
        <v>34.9634</v>
      </c>
      <c r="I206" s="14">
        <f>34.9613 * CHOOSE(CONTROL!$C$9, $D$9, 100%, $F$9) + CHOOSE(CONTROL!$C$27, 0.0021, 0)</f>
        <v>34.9634</v>
      </c>
      <c r="J206" s="14">
        <f>34.9613 * CHOOSE(CONTROL!$C$9, $D$9, 100%, $F$9) + CHOOSE(CONTROL!$C$27, 0.0021, 0)</f>
        <v>34.9634</v>
      </c>
      <c r="K206" s="14">
        <f>34.9613 * CHOOSE(CONTROL!$C$9, $D$9, 100%, $F$9) + CHOOSE(CONTROL!$C$27, 0.0021, 0)</f>
        <v>34.9634</v>
      </c>
      <c r="L206" s="14"/>
    </row>
    <row r="207" spans="1:12" ht="15" x14ac:dyDescent="0.2">
      <c r="A207" s="13">
        <v>47209</v>
      </c>
      <c r="B207" s="14">
        <f>34.98 * CHOOSE(CONTROL!$C$9, $D$9, 100%, $F$9) + CHOOSE(CONTROL!$C$27, 0.0021, 0)</f>
        <v>34.982099999999996</v>
      </c>
      <c r="C207" s="14">
        <f>34.5478 * CHOOSE(CONTROL!$C$9, $D$9, 100%, $F$9) + CHOOSE(CONTROL!$C$27, 0.0021, 0)</f>
        <v>34.549900000000001</v>
      </c>
      <c r="D207" s="14">
        <f>34.5478 * CHOOSE(CONTROL!$C$9, $D$9, 100%, $F$9) + CHOOSE(CONTROL!$C$27, 0.0021, 0)</f>
        <v>34.549900000000001</v>
      </c>
      <c r="E207" s="14">
        <f>34.4111 * CHOOSE(CONTROL!$C$9, $D$9, 100%, $F$9) + CHOOSE(CONTROL!$C$27, 0.0021, 0)</f>
        <v>34.413199999999996</v>
      </c>
      <c r="F207" s="14">
        <f>34.4111 * CHOOSE(CONTROL!$C$9, $D$9, 100%, $F$9) + CHOOSE(CONTROL!$C$27, 0.0021, 0)</f>
        <v>34.413199999999996</v>
      </c>
      <c r="G207" s="14">
        <f>34.6825 * CHOOSE(CONTROL!$C$9, $D$9, 100%, $F$9) + CHOOSE(CONTROL!$C$27, 0.0021, 0)</f>
        <v>34.684599999999996</v>
      </c>
      <c r="H207" s="14">
        <f>34.5478 * CHOOSE(CONTROL!$C$9, $D$9, 100%, $F$9) + CHOOSE(CONTROL!$C$27, 0.0021, 0)</f>
        <v>34.549900000000001</v>
      </c>
      <c r="I207" s="14">
        <f>34.5478 * CHOOSE(CONTROL!$C$9, $D$9, 100%, $F$9) + CHOOSE(CONTROL!$C$27, 0.0021, 0)</f>
        <v>34.549900000000001</v>
      </c>
      <c r="J207" s="14">
        <f>34.5478 * CHOOSE(CONTROL!$C$9, $D$9, 100%, $F$9) + CHOOSE(CONTROL!$C$27, 0.0021, 0)</f>
        <v>34.549900000000001</v>
      </c>
      <c r="K207" s="14">
        <f>34.5478 * CHOOSE(CONTROL!$C$9, $D$9, 100%, $F$9) + CHOOSE(CONTROL!$C$27, 0.0021, 0)</f>
        <v>34.549900000000001</v>
      </c>
      <c r="L207" s="14"/>
    </row>
    <row r="208" spans="1:12" ht="15" x14ac:dyDescent="0.2">
      <c r="A208" s="13">
        <v>47239</v>
      </c>
      <c r="B208" s="14">
        <f>35.7352 * CHOOSE(CONTROL!$C$9, $D$9, 100%, $F$9) + CHOOSE(CONTROL!$C$27, 0.0021, 0)</f>
        <v>35.737299999999998</v>
      </c>
      <c r="C208" s="14">
        <f>35.303 * CHOOSE(CONTROL!$C$9, $D$9, 100%, $F$9) + CHOOSE(CONTROL!$C$27, 0.0021, 0)</f>
        <v>35.305099999999996</v>
      </c>
      <c r="D208" s="14">
        <f>35.303 * CHOOSE(CONTROL!$C$9, $D$9, 100%, $F$9) + CHOOSE(CONTROL!$C$27, 0.0021, 0)</f>
        <v>35.305099999999996</v>
      </c>
      <c r="E208" s="14">
        <f>35.1663 * CHOOSE(CONTROL!$C$9, $D$9, 100%, $F$9) + CHOOSE(CONTROL!$C$27, 0.0021, 0)</f>
        <v>35.168399999999998</v>
      </c>
      <c r="F208" s="14">
        <f>35.1663 * CHOOSE(CONTROL!$C$9, $D$9, 100%, $F$9) + CHOOSE(CONTROL!$C$27, 0.0021, 0)</f>
        <v>35.168399999999998</v>
      </c>
      <c r="G208" s="14">
        <f>35.4377 * CHOOSE(CONTROL!$C$9, $D$9, 100%, $F$9) + CHOOSE(CONTROL!$C$27, 0.0021, 0)</f>
        <v>35.439799999999998</v>
      </c>
      <c r="H208" s="14">
        <f>35.303 * CHOOSE(CONTROL!$C$9, $D$9, 100%, $F$9) + CHOOSE(CONTROL!$C$27, 0.0021, 0)</f>
        <v>35.305099999999996</v>
      </c>
      <c r="I208" s="14">
        <f>35.303 * CHOOSE(CONTROL!$C$9, $D$9, 100%, $F$9) + CHOOSE(CONTROL!$C$27, 0.0021, 0)</f>
        <v>35.305099999999996</v>
      </c>
      <c r="J208" s="14">
        <f>35.303 * CHOOSE(CONTROL!$C$9, $D$9, 100%, $F$9) + CHOOSE(CONTROL!$C$27, 0.0021, 0)</f>
        <v>35.305099999999996</v>
      </c>
      <c r="K208" s="14">
        <f>35.303 * CHOOSE(CONTROL!$C$9, $D$9, 100%, $F$9) + CHOOSE(CONTROL!$C$27, 0.0021, 0)</f>
        <v>35.305099999999996</v>
      </c>
      <c r="L208" s="14"/>
    </row>
    <row r="209" spans="1:12" ht="15" x14ac:dyDescent="0.2">
      <c r="A209" s="13">
        <v>47270</v>
      </c>
      <c r="B209" s="14">
        <f>36.2169 * CHOOSE(CONTROL!$C$9, $D$9, 100%, $F$9) + CHOOSE(CONTROL!$C$27, 0.0021, 0)</f>
        <v>36.219000000000001</v>
      </c>
      <c r="C209" s="14">
        <f>35.7847 * CHOOSE(CONTROL!$C$9, $D$9, 100%, $F$9) + CHOOSE(CONTROL!$C$27, 0.0021, 0)</f>
        <v>35.786799999999999</v>
      </c>
      <c r="D209" s="14">
        <f>35.7847 * CHOOSE(CONTROL!$C$9, $D$9, 100%, $F$9) + CHOOSE(CONTROL!$C$27, 0.0021, 0)</f>
        <v>35.786799999999999</v>
      </c>
      <c r="E209" s="14">
        <f>35.648 * CHOOSE(CONTROL!$C$9, $D$9, 100%, $F$9) + CHOOSE(CONTROL!$C$27, 0.0021, 0)</f>
        <v>35.650100000000002</v>
      </c>
      <c r="F209" s="14">
        <f>35.648 * CHOOSE(CONTROL!$C$9, $D$9, 100%, $F$9) + CHOOSE(CONTROL!$C$27, 0.0021, 0)</f>
        <v>35.650100000000002</v>
      </c>
      <c r="G209" s="14">
        <f>35.9194 * CHOOSE(CONTROL!$C$9, $D$9, 100%, $F$9) + CHOOSE(CONTROL!$C$27, 0.0021, 0)</f>
        <v>35.921500000000002</v>
      </c>
      <c r="H209" s="14">
        <f>35.7847 * CHOOSE(CONTROL!$C$9, $D$9, 100%, $F$9) + CHOOSE(CONTROL!$C$27, 0.0021, 0)</f>
        <v>35.786799999999999</v>
      </c>
      <c r="I209" s="14">
        <f>35.7847 * CHOOSE(CONTROL!$C$9, $D$9, 100%, $F$9) + CHOOSE(CONTROL!$C$27, 0.0021, 0)</f>
        <v>35.786799999999999</v>
      </c>
      <c r="J209" s="14">
        <f>35.7847 * CHOOSE(CONTROL!$C$9, $D$9, 100%, $F$9) + CHOOSE(CONTROL!$C$27, 0.0021, 0)</f>
        <v>35.786799999999999</v>
      </c>
      <c r="K209" s="14">
        <f>35.7847 * CHOOSE(CONTROL!$C$9, $D$9, 100%, $F$9) + CHOOSE(CONTROL!$C$27, 0.0021, 0)</f>
        <v>35.786799999999999</v>
      </c>
      <c r="L209" s="14"/>
    </row>
    <row r="210" spans="1:12" ht="15" x14ac:dyDescent="0.2">
      <c r="A210" s="13">
        <v>47300</v>
      </c>
      <c r="B210" s="14">
        <f>36.9693 * CHOOSE(CONTROL!$C$9, $D$9, 100%, $F$9) + CHOOSE(CONTROL!$C$27, 0.0021, 0)</f>
        <v>36.971399999999996</v>
      </c>
      <c r="C210" s="14">
        <f>36.537 * CHOOSE(CONTROL!$C$9, $D$9, 100%, $F$9) + CHOOSE(CONTROL!$C$27, 0.0021, 0)</f>
        <v>36.539099999999998</v>
      </c>
      <c r="D210" s="14">
        <f>36.537 * CHOOSE(CONTROL!$C$9, $D$9, 100%, $F$9) + CHOOSE(CONTROL!$C$27, 0.0021, 0)</f>
        <v>36.539099999999998</v>
      </c>
      <c r="E210" s="14">
        <f>36.4004 * CHOOSE(CONTROL!$C$9, $D$9, 100%, $F$9) + CHOOSE(CONTROL!$C$27, 0.0021, 0)</f>
        <v>36.402499999999996</v>
      </c>
      <c r="F210" s="14">
        <f>36.4004 * CHOOSE(CONTROL!$C$9, $D$9, 100%, $F$9) + CHOOSE(CONTROL!$C$27, 0.0021, 0)</f>
        <v>36.402499999999996</v>
      </c>
      <c r="G210" s="14">
        <f>36.6718 * CHOOSE(CONTROL!$C$9, $D$9, 100%, $F$9) + CHOOSE(CONTROL!$C$27, 0.0021, 0)</f>
        <v>36.673899999999996</v>
      </c>
      <c r="H210" s="14">
        <f>36.537 * CHOOSE(CONTROL!$C$9, $D$9, 100%, $F$9) + CHOOSE(CONTROL!$C$27, 0.0021, 0)</f>
        <v>36.539099999999998</v>
      </c>
      <c r="I210" s="14">
        <f>36.537 * CHOOSE(CONTROL!$C$9, $D$9, 100%, $F$9) + CHOOSE(CONTROL!$C$27, 0.0021, 0)</f>
        <v>36.539099999999998</v>
      </c>
      <c r="J210" s="14">
        <f>36.537 * CHOOSE(CONTROL!$C$9, $D$9, 100%, $F$9) + CHOOSE(CONTROL!$C$27, 0.0021, 0)</f>
        <v>36.539099999999998</v>
      </c>
      <c r="K210" s="14">
        <f>36.537 * CHOOSE(CONTROL!$C$9, $D$9, 100%, $F$9) + CHOOSE(CONTROL!$C$27, 0.0021, 0)</f>
        <v>36.539099999999998</v>
      </c>
      <c r="L210" s="14"/>
    </row>
    <row r="211" spans="1:12" ht="15" x14ac:dyDescent="0.2">
      <c r="A211" s="13">
        <v>47331</v>
      </c>
      <c r="B211" s="14">
        <f>37.2495 * CHOOSE(CONTROL!$C$9, $D$9, 100%, $F$9) + CHOOSE(CONTROL!$C$27, 0.0021, 0)</f>
        <v>37.251599999999996</v>
      </c>
      <c r="C211" s="14">
        <f>36.8172 * CHOOSE(CONTROL!$C$9, $D$9, 100%, $F$9) + CHOOSE(CONTROL!$C$27, 0.0021, 0)</f>
        <v>36.819299999999998</v>
      </c>
      <c r="D211" s="14">
        <f>36.8172 * CHOOSE(CONTROL!$C$9, $D$9, 100%, $F$9) + CHOOSE(CONTROL!$C$27, 0.0021, 0)</f>
        <v>36.819299999999998</v>
      </c>
      <c r="E211" s="14">
        <f>36.6805 * CHOOSE(CONTROL!$C$9, $D$9, 100%, $F$9) + CHOOSE(CONTROL!$C$27, 0.0021, 0)</f>
        <v>36.682600000000001</v>
      </c>
      <c r="F211" s="14">
        <f>36.6805 * CHOOSE(CONTROL!$C$9, $D$9, 100%, $F$9) + CHOOSE(CONTROL!$C$27, 0.0021, 0)</f>
        <v>36.682600000000001</v>
      </c>
      <c r="G211" s="14">
        <f>36.9519 * CHOOSE(CONTROL!$C$9, $D$9, 100%, $F$9) + CHOOSE(CONTROL!$C$27, 0.0021, 0)</f>
        <v>36.954000000000001</v>
      </c>
      <c r="H211" s="14">
        <f>36.8172 * CHOOSE(CONTROL!$C$9, $D$9, 100%, $F$9) + CHOOSE(CONTROL!$C$27, 0.0021, 0)</f>
        <v>36.819299999999998</v>
      </c>
      <c r="I211" s="14">
        <f>36.8172 * CHOOSE(CONTROL!$C$9, $D$9, 100%, $F$9) + CHOOSE(CONTROL!$C$27, 0.0021, 0)</f>
        <v>36.819299999999998</v>
      </c>
      <c r="J211" s="14">
        <f>36.8172 * CHOOSE(CONTROL!$C$9, $D$9, 100%, $F$9) + CHOOSE(CONTROL!$C$27, 0.0021, 0)</f>
        <v>36.819299999999998</v>
      </c>
      <c r="K211" s="14">
        <f>36.8172 * CHOOSE(CONTROL!$C$9, $D$9, 100%, $F$9) + CHOOSE(CONTROL!$C$27, 0.0021, 0)</f>
        <v>36.819299999999998</v>
      </c>
      <c r="L211" s="14"/>
    </row>
    <row r="212" spans="1:12" ht="15" x14ac:dyDescent="0.2">
      <c r="A212" s="13">
        <v>47362</v>
      </c>
      <c r="B212" s="14">
        <f>38.0338 * CHOOSE(CONTROL!$C$9, $D$9, 100%, $F$9) + CHOOSE(CONTROL!$C$27, 0.0021, 0)</f>
        <v>38.035899999999998</v>
      </c>
      <c r="C212" s="14">
        <f>37.6015 * CHOOSE(CONTROL!$C$9, $D$9, 100%, $F$9) + CHOOSE(CONTROL!$C$27, 0.0021, 0)</f>
        <v>37.6036</v>
      </c>
      <c r="D212" s="14">
        <f>37.6015 * CHOOSE(CONTROL!$C$9, $D$9, 100%, $F$9) + CHOOSE(CONTROL!$C$27, 0.0021, 0)</f>
        <v>37.6036</v>
      </c>
      <c r="E212" s="14">
        <f>37.4649 * CHOOSE(CONTROL!$C$9, $D$9, 100%, $F$9) + CHOOSE(CONTROL!$C$27, 0.0021, 0)</f>
        <v>37.466999999999999</v>
      </c>
      <c r="F212" s="14">
        <f>37.4649 * CHOOSE(CONTROL!$C$9, $D$9, 100%, $F$9) + CHOOSE(CONTROL!$C$27, 0.0021, 0)</f>
        <v>37.466999999999999</v>
      </c>
      <c r="G212" s="14">
        <f>37.7362 * CHOOSE(CONTROL!$C$9, $D$9, 100%, $F$9) + CHOOSE(CONTROL!$C$27, 0.0021, 0)</f>
        <v>37.738299999999995</v>
      </c>
      <c r="H212" s="14">
        <f>37.6015 * CHOOSE(CONTROL!$C$9, $D$9, 100%, $F$9) + CHOOSE(CONTROL!$C$27, 0.0021, 0)</f>
        <v>37.6036</v>
      </c>
      <c r="I212" s="14">
        <f>37.6015 * CHOOSE(CONTROL!$C$9, $D$9, 100%, $F$9) + CHOOSE(CONTROL!$C$27, 0.0021, 0)</f>
        <v>37.6036</v>
      </c>
      <c r="J212" s="14">
        <f>37.6015 * CHOOSE(CONTROL!$C$9, $D$9, 100%, $F$9) + CHOOSE(CONTROL!$C$27, 0.0021, 0)</f>
        <v>37.6036</v>
      </c>
      <c r="K212" s="14">
        <f>37.6015 * CHOOSE(CONTROL!$C$9, $D$9, 100%, $F$9) + CHOOSE(CONTROL!$C$27, 0.0021, 0)</f>
        <v>37.6036</v>
      </c>
      <c r="L212" s="14"/>
    </row>
    <row r="213" spans="1:12" ht="15" x14ac:dyDescent="0.2">
      <c r="A213" s="13">
        <v>47392</v>
      </c>
      <c r="B213" s="14">
        <f>39.0109 * CHOOSE(CONTROL!$C$9, $D$9, 100%, $F$9) + CHOOSE(CONTROL!$C$27, 0.0021, 0)</f>
        <v>39.012999999999998</v>
      </c>
      <c r="C213" s="14">
        <f>38.5787 * CHOOSE(CONTROL!$C$9, $D$9, 100%, $F$9) + CHOOSE(CONTROL!$C$27, 0.0021, 0)</f>
        <v>38.580799999999996</v>
      </c>
      <c r="D213" s="14">
        <f>38.5787 * CHOOSE(CONTROL!$C$9, $D$9, 100%, $F$9) + CHOOSE(CONTROL!$C$27, 0.0021, 0)</f>
        <v>38.580799999999996</v>
      </c>
      <c r="E213" s="14">
        <f>38.442 * CHOOSE(CONTROL!$C$9, $D$9, 100%, $F$9) + CHOOSE(CONTROL!$C$27, 0.0021, 0)</f>
        <v>38.444099999999999</v>
      </c>
      <c r="F213" s="14">
        <f>38.442 * CHOOSE(CONTROL!$C$9, $D$9, 100%, $F$9) + CHOOSE(CONTROL!$C$27, 0.0021, 0)</f>
        <v>38.444099999999999</v>
      </c>
      <c r="G213" s="14">
        <f>38.7134 * CHOOSE(CONTROL!$C$9, $D$9, 100%, $F$9) + CHOOSE(CONTROL!$C$27, 0.0021, 0)</f>
        <v>38.715499999999999</v>
      </c>
      <c r="H213" s="14">
        <f>38.5787 * CHOOSE(CONTROL!$C$9, $D$9, 100%, $F$9) + CHOOSE(CONTROL!$C$27, 0.0021, 0)</f>
        <v>38.580799999999996</v>
      </c>
      <c r="I213" s="14">
        <f>38.5787 * CHOOSE(CONTROL!$C$9, $D$9, 100%, $F$9) + CHOOSE(CONTROL!$C$27, 0.0021, 0)</f>
        <v>38.580799999999996</v>
      </c>
      <c r="J213" s="14">
        <f>38.5787 * CHOOSE(CONTROL!$C$9, $D$9, 100%, $F$9) + CHOOSE(CONTROL!$C$27, 0.0021, 0)</f>
        <v>38.580799999999996</v>
      </c>
      <c r="K213" s="14">
        <f>38.5787 * CHOOSE(CONTROL!$C$9, $D$9, 100%, $F$9) + CHOOSE(CONTROL!$C$27, 0.0021, 0)</f>
        <v>38.580799999999996</v>
      </c>
      <c r="L213" s="14"/>
    </row>
    <row r="214" spans="1:12" ht="15" x14ac:dyDescent="0.2">
      <c r="A214" s="13">
        <v>47423</v>
      </c>
      <c r="B214" s="14">
        <f>39.1716 * CHOOSE(CONTROL!$C$9, $D$9, 100%, $F$9) + CHOOSE(CONTROL!$C$27, 0.0021, 0)</f>
        <v>39.173699999999997</v>
      </c>
      <c r="C214" s="14">
        <f>38.7393 * CHOOSE(CONTROL!$C$9, $D$9, 100%, $F$9) + CHOOSE(CONTROL!$C$27, 0.0021, 0)</f>
        <v>38.741399999999999</v>
      </c>
      <c r="D214" s="14">
        <f>38.7393 * CHOOSE(CONTROL!$C$9, $D$9, 100%, $F$9) + CHOOSE(CONTROL!$C$27, 0.0021, 0)</f>
        <v>38.741399999999999</v>
      </c>
      <c r="E214" s="14">
        <f>38.6026 * CHOOSE(CONTROL!$C$9, $D$9, 100%, $F$9) + CHOOSE(CONTROL!$C$27, 0.0021, 0)</f>
        <v>38.604700000000001</v>
      </c>
      <c r="F214" s="14">
        <f>38.6026 * CHOOSE(CONTROL!$C$9, $D$9, 100%, $F$9) + CHOOSE(CONTROL!$C$27, 0.0021, 0)</f>
        <v>38.604700000000001</v>
      </c>
      <c r="G214" s="14">
        <f>38.874 * CHOOSE(CONTROL!$C$9, $D$9, 100%, $F$9) + CHOOSE(CONTROL!$C$27, 0.0021, 0)</f>
        <v>38.876100000000001</v>
      </c>
      <c r="H214" s="14">
        <f>38.7393 * CHOOSE(CONTROL!$C$9, $D$9, 100%, $F$9) + CHOOSE(CONTROL!$C$27, 0.0021, 0)</f>
        <v>38.741399999999999</v>
      </c>
      <c r="I214" s="14">
        <f>38.7393 * CHOOSE(CONTROL!$C$9, $D$9, 100%, $F$9) + CHOOSE(CONTROL!$C$27, 0.0021, 0)</f>
        <v>38.741399999999999</v>
      </c>
      <c r="J214" s="14">
        <f>38.7393 * CHOOSE(CONTROL!$C$9, $D$9, 100%, $F$9) + CHOOSE(CONTROL!$C$27, 0.0021, 0)</f>
        <v>38.741399999999999</v>
      </c>
      <c r="K214" s="14">
        <f>38.7393 * CHOOSE(CONTROL!$C$9, $D$9, 100%, $F$9) + CHOOSE(CONTROL!$C$27, 0.0021, 0)</f>
        <v>38.741399999999999</v>
      </c>
      <c r="L214" s="14"/>
    </row>
    <row r="215" spans="1:12" ht="15" x14ac:dyDescent="0.2">
      <c r="A215" s="13">
        <v>47453</v>
      </c>
      <c r="B215" s="14">
        <f>38.5229 * CHOOSE(CONTROL!$C$9, $D$9, 100%, $F$9) + CHOOSE(CONTROL!$C$27, 0.0021, 0)</f>
        <v>38.524999999999999</v>
      </c>
      <c r="C215" s="14">
        <f>38.0907 * CHOOSE(CONTROL!$C$9, $D$9, 100%, $F$9) + CHOOSE(CONTROL!$C$27, 0.0021, 0)</f>
        <v>38.092799999999997</v>
      </c>
      <c r="D215" s="14">
        <f>38.0907 * CHOOSE(CONTROL!$C$9, $D$9, 100%, $F$9) + CHOOSE(CONTROL!$C$27, 0.0021, 0)</f>
        <v>38.092799999999997</v>
      </c>
      <c r="E215" s="14">
        <f>37.954 * CHOOSE(CONTROL!$C$9, $D$9, 100%, $F$9) + CHOOSE(CONTROL!$C$27, 0.0021, 0)</f>
        <v>37.956099999999999</v>
      </c>
      <c r="F215" s="14">
        <f>37.954 * CHOOSE(CONTROL!$C$9, $D$9, 100%, $F$9) + CHOOSE(CONTROL!$C$27, 0.0021, 0)</f>
        <v>37.956099999999999</v>
      </c>
      <c r="G215" s="14">
        <f>38.2254 * CHOOSE(CONTROL!$C$9, $D$9, 100%, $F$9) + CHOOSE(CONTROL!$C$27, 0.0021, 0)</f>
        <v>38.227499999999999</v>
      </c>
      <c r="H215" s="14">
        <f>38.0907 * CHOOSE(CONTROL!$C$9, $D$9, 100%, $F$9) + CHOOSE(CONTROL!$C$27, 0.0021, 0)</f>
        <v>38.092799999999997</v>
      </c>
      <c r="I215" s="14">
        <f>38.0907 * CHOOSE(CONTROL!$C$9, $D$9, 100%, $F$9) + CHOOSE(CONTROL!$C$27, 0.0021, 0)</f>
        <v>38.092799999999997</v>
      </c>
      <c r="J215" s="14">
        <f>38.0907 * CHOOSE(CONTROL!$C$9, $D$9, 100%, $F$9) + CHOOSE(CONTROL!$C$27, 0.0021, 0)</f>
        <v>38.092799999999997</v>
      </c>
      <c r="K215" s="14">
        <f>38.0907 * CHOOSE(CONTROL!$C$9, $D$9, 100%, $F$9) + CHOOSE(CONTROL!$C$27, 0.0021, 0)</f>
        <v>38.092799999999997</v>
      </c>
      <c r="L215" s="14"/>
    </row>
    <row r="216" spans="1:12" ht="15" x14ac:dyDescent="0.2">
      <c r="A216" s="13">
        <v>47484</v>
      </c>
      <c r="B216" s="14">
        <f>37.4237 * CHOOSE(CONTROL!$C$9, $D$9, 100%, $F$9) + CHOOSE(CONTROL!$C$27, 0.0021, 0)</f>
        <v>37.425799999999995</v>
      </c>
      <c r="C216" s="14">
        <f>36.9914 * CHOOSE(CONTROL!$C$9, $D$9, 100%, $F$9) + CHOOSE(CONTROL!$C$27, 0.0021, 0)</f>
        <v>36.993499999999997</v>
      </c>
      <c r="D216" s="14">
        <f>36.9914 * CHOOSE(CONTROL!$C$9, $D$9, 100%, $F$9) + CHOOSE(CONTROL!$C$27, 0.0021, 0)</f>
        <v>36.993499999999997</v>
      </c>
      <c r="E216" s="14">
        <f>36.8548 * CHOOSE(CONTROL!$C$9, $D$9, 100%, $F$9) + CHOOSE(CONTROL!$C$27, 0.0021, 0)</f>
        <v>36.856899999999996</v>
      </c>
      <c r="F216" s="14">
        <f>36.8548 * CHOOSE(CONTROL!$C$9, $D$9, 100%, $F$9) + CHOOSE(CONTROL!$C$27, 0.0021, 0)</f>
        <v>36.856899999999996</v>
      </c>
      <c r="G216" s="14">
        <f>37.1261 * CHOOSE(CONTROL!$C$9, $D$9, 100%, $F$9) + CHOOSE(CONTROL!$C$27, 0.0021, 0)</f>
        <v>37.1282</v>
      </c>
      <c r="H216" s="14">
        <f>36.9914 * CHOOSE(CONTROL!$C$9, $D$9, 100%, $F$9) + CHOOSE(CONTROL!$C$27, 0.0021, 0)</f>
        <v>36.993499999999997</v>
      </c>
      <c r="I216" s="14">
        <f>36.9914 * CHOOSE(CONTROL!$C$9, $D$9, 100%, $F$9) + CHOOSE(CONTROL!$C$27, 0.0021, 0)</f>
        <v>36.993499999999997</v>
      </c>
      <c r="J216" s="14">
        <f>36.9914 * CHOOSE(CONTROL!$C$9, $D$9, 100%, $F$9) + CHOOSE(CONTROL!$C$27, 0.0021, 0)</f>
        <v>36.993499999999997</v>
      </c>
      <c r="K216" s="14">
        <f>36.9914 * CHOOSE(CONTROL!$C$9, $D$9, 100%, $F$9) + CHOOSE(CONTROL!$C$27, 0.0021, 0)</f>
        <v>36.993499999999997</v>
      </c>
      <c r="L216" s="14"/>
    </row>
    <row r="217" spans="1:12" ht="15" x14ac:dyDescent="0.2">
      <c r="A217" s="13">
        <v>47515</v>
      </c>
      <c r="B217" s="14">
        <f>36.5003 * CHOOSE(CONTROL!$C$9, $D$9, 100%, $F$9) + CHOOSE(CONTROL!$C$27, 0.0021, 0)</f>
        <v>36.502400000000002</v>
      </c>
      <c r="C217" s="14">
        <f>36.068 * CHOOSE(CONTROL!$C$9, $D$9, 100%, $F$9) + CHOOSE(CONTROL!$C$27, 0.0021, 0)</f>
        <v>36.070099999999996</v>
      </c>
      <c r="D217" s="14">
        <f>36.068 * CHOOSE(CONTROL!$C$9, $D$9, 100%, $F$9) + CHOOSE(CONTROL!$C$27, 0.0021, 0)</f>
        <v>36.070099999999996</v>
      </c>
      <c r="E217" s="14">
        <f>35.9314 * CHOOSE(CONTROL!$C$9, $D$9, 100%, $F$9) + CHOOSE(CONTROL!$C$27, 0.0021, 0)</f>
        <v>35.933499999999995</v>
      </c>
      <c r="F217" s="14">
        <f>35.9314 * CHOOSE(CONTROL!$C$9, $D$9, 100%, $F$9) + CHOOSE(CONTROL!$C$27, 0.0021, 0)</f>
        <v>35.933499999999995</v>
      </c>
      <c r="G217" s="14">
        <f>36.2028 * CHOOSE(CONTROL!$C$9, $D$9, 100%, $F$9) + CHOOSE(CONTROL!$C$27, 0.0021, 0)</f>
        <v>36.204900000000002</v>
      </c>
      <c r="H217" s="14">
        <f>36.068 * CHOOSE(CONTROL!$C$9, $D$9, 100%, $F$9) + CHOOSE(CONTROL!$C$27, 0.0021, 0)</f>
        <v>36.070099999999996</v>
      </c>
      <c r="I217" s="14">
        <f>36.068 * CHOOSE(CONTROL!$C$9, $D$9, 100%, $F$9) + CHOOSE(CONTROL!$C$27, 0.0021, 0)</f>
        <v>36.070099999999996</v>
      </c>
      <c r="J217" s="14">
        <f>36.068 * CHOOSE(CONTROL!$C$9, $D$9, 100%, $F$9) + CHOOSE(CONTROL!$C$27, 0.0021, 0)</f>
        <v>36.070099999999996</v>
      </c>
      <c r="K217" s="14">
        <f>36.068 * CHOOSE(CONTROL!$C$9, $D$9, 100%, $F$9) + CHOOSE(CONTROL!$C$27, 0.0021, 0)</f>
        <v>36.070099999999996</v>
      </c>
      <c r="L217" s="14"/>
    </row>
    <row r="218" spans="1:12" ht="15" x14ac:dyDescent="0.2">
      <c r="A218" s="13">
        <v>47543</v>
      </c>
      <c r="B218" s="14">
        <f>36.1589 * CHOOSE(CONTROL!$C$9, $D$9, 100%, $F$9) + CHOOSE(CONTROL!$C$27, 0.0021, 0)</f>
        <v>36.161000000000001</v>
      </c>
      <c r="C218" s="14">
        <f>35.7266 * CHOOSE(CONTROL!$C$9, $D$9, 100%, $F$9) + CHOOSE(CONTROL!$C$27, 0.0021, 0)</f>
        <v>35.728699999999996</v>
      </c>
      <c r="D218" s="14">
        <f>35.7266 * CHOOSE(CONTROL!$C$9, $D$9, 100%, $F$9) + CHOOSE(CONTROL!$C$27, 0.0021, 0)</f>
        <v>35.728699999999996</v>
      </c>
      <c r="E218" s="14">
        <f>35.59 * CHOOSE(CONTROL!$C$9, $D$9, 100%, $F$9) + CHOOSE(CONTROL!$C$27, 0.0021, 0)</f>
        <v>35.592100000000002</v>
      </c>
      <c r="F218" s="14">
        <f>35.59 * CHOOSE(CONTROL!$C$9, $D$9, 100%, $F$9) + CHOOSE(CONTROL!$C$27, 0.0021, 0)</f>
        <v>35.592100000000002</v>
      </c>
      <c r="G218" s="14">
        <f>35.8613 * CHOOSE(CONTROL!$C$9, $D$9, 100%, $F$9) + CHOOSE(CONTROL!$C$27, 0.0021, 0)</f>
        <v>35.863399999999999</v>
      </c>
      <c r="H218" s="14">
        <f>35.7266 * CHOOSE(CONTROL!$C$9, $D$9, 100%, $F$9) + CHOOSE(CONTROL!$C$27, 0.0021, 0)</f>
        <v>35.728699999999996</v>
      </c>
      <c r="I218" s="14">
        <f>35.7266 * CHOOSE(CONTROL!$C$9, $D$9, 100%, $F$9) + CHOOSE(CONTROL!$C$27, 0.0021, 0)</f>
        <v>35.728699999999996</v>
      </c>
      <c r="J218" s="14">
        <f>35.7266 * CHOOSE(CONTROL!$C$9, $D$9, 100%, $F$9) + CHOOSE(CONTROL!$C$27, 0.0021, 0)</f>
        <v>35.728699999999996</v>
      </c>
      <c r="K218" s="14">
        <f>35.7266 * CHOOSE(CONTROL!$C$9, $D$9, 100%, $F$9) + CHOOSE(CONTROL!$C$27, 0.0021, 0)</f>
        <v>35.728699999999996</v>
      </c>
      <c r="L218" s="14"/>
    </row>
    <row r="219" spans="1:12" ht="15" x14ac:dyDescent="0.2">
      <c r="A219" s="13">
        <v>47574</v>
      </c>
      <c r="B219" s="14">
        <f>35.7358 * CHOOSE(CONTROL!$C$9, $D$9, 100%, $F$9) + CHOOSE(CONTROL!$C$27, 0.0021, 0)</f>
        <v>35.737899999999996</v>
      </c>
      <c r="C219" s="14">
        <f>35.3036 * CHOOSE(CONTROL!$C$9, $D$9, 100%, $F$9) + CHOOSE(CONTROL!$C$27, 0.0021, 0)</f>
        <v>35.305700000000002</v>
      </c>
      <c r="D219" s="14">
        <f>35.3036 * CHOOSE(CONTROL!$C$9, $D$9, 100%, $F$9) + CHOOSE(CONTROL!$C$27, 0.0021, 0)</f>
        <v>35.305700000000002</v>
      </c>
      <c r="E219" s="14">
        <f>35.1669 * CHOOSE(CONTROL!$C$9, $D$9, 100%, $F$9) + CHOOSE(CONTROL!$C$27, 0.0021, 0)</f>
        <v>35.168999999999997</v>
      </c>
      <c r="F219" s="14">
        <f>35.1669 * CHOOSE(CONTROL!$C$9, $D$9, 100%, $F$9) + CHOOSE(CONTROL!$C$27, 0.0021, 0)</f>
        <v>35.168999999999997</v>
      </c>
      <c r="G219" s="14">
        <f>35.4383 * CHOOSE(CONTROL!$C$9, $D$9, 100%, $F$9) + CHOOSE(CONTROL!$C$27, 0.0021, 0)</f>
        <v>35.440399999999997</v>
      </c>
      <c r="H219" s="14">
        <f>35.3036 * CHOOSE(CONTROL!$C$9, $D$9, 100%, $F$9) + CHOOSE(CONTROL!$C$27, 0.0021, 0)</f>
        <v>35.305700000000002</v>
      </c>
      <c r="I219" s="14">
        <f>35.3036 * CHOOSE(CONTROL!$C$9, $D$9, 100%, $F$9) + CHOOSE(CONTROL!$C$27, 0.0021, 0)</f>
        <v>35.305700000000002</v>
      </c>
      <c r="J219" s="14">
        <f>35.3036 * CHOOSE(CONTROL!$C$9, $D$9, 100%, $F$9) + CHOOSE(CONTROL!$C$27, 0.0021, 0)</f>
        <v>35.305700000000002</v>
      </c>
      <c r="K219" s="14">
        <f>35.3036 * CHOOSE(CONTROL!$C$9, $D$9, 100%, $F$9) + CHOOSE(CONTROL!$C$27, 0.0021, 0)</f>
        <v>35.305700000000002</v>
      </c>
      <c r="L219" s="14"/>
    </row>
    <row r="220" spans="1:12" ht="15" x14ac:dyDescent="0.2">
      <c r="A220" s="13">
        <v>47604</v>
      </c>
      <c r="B220" s="14">
        <f>36.5085 * CHOOSE(CONTROL!$C$9, $D$9, 100%, $F$9) + CHOOSE(CONTROL!$C$27, 0.0021, 0)</f>
        <v>36.510599999999997</v>
      </c>
      <c r="C220" s="14">
        <f>36.0762 * CHOOSE(CONTROL!$C$9, $D$9, 100%, $F$9) + CHOOSE(CONTROL!$C$27, 0.0021, 0)</f>
        <v>36.078299999999999</v>
      </c>
      <c r="D220" s="14">
        <f>36.0762 * CHOOSE(CONTROL!$C$9, $D$9, 100%, $F$9) + CHOOSE(CONTROL!$C$27, 0.0021, 0)</f>
        <v>36.078299999999999</v>
      </c>
      <c r="E220" s="14">
        <f>35.9396 * CHOOSE(CONTROL!$C$9, $D$9, 100%, $F$9) + CHOOSE(CONTROL!$C$27, 0.0021, 0)</f>
        <v>35.941699999999997</v>
      </c>
      <c r="F220" s="14">
        <f>35.9396 * CHOOSE(CONTROL!$C$9, $D$9, 100%, $F$9) + CHOOSE(CONTROL!$C$27, 0.0021, 0)</f>
        <v>35.941699999999997</v>
      </c>
      <c r="G220" s="14">
        <f>36.2109 * CHOOSE(CONTROL!$C$9, $D$9, 100%, $F$9) + CHOOSE(CONTROL!$C$27, 0.0021, 0)</f>
        <v>36.213000000000001</v>
      </c>
      <c r="H220" s="14">
        <f>36.0762 * CHOOSE(CONTROL!$C$9, $D$9, 100%, $F$9) + CHOOSE(CONTROL!$C$27, 0.0021, 0)</f>
        <v>36.078299999999999</v>
      </c>
      <c r="I220" s="14">
        <f>36.0762 * CHOOSE(CONTROL!$C$9, $D$9, 100%, $F$9) + CHOOSE(CONTROL!$C$27, 0.0021, 0)</f>
        <v>36.078299999999999</v>
      </c>
      <c r="J220" s="14">
        <f>36.0762 * CHOOSE(CONTROL!$C$9, $D$9, 100%, $F$9) + CHOOSE(CONTROL!$C$27, 0.0021, 0)</f>
        <v>36.078299999999999</v>
      </c>
      <c r="K220" s="14">
        <f>36.0762 * CHOOSE(CONTROL!$C$9, $D$9, 100%, $F$9) + CHOOSE(CONTROL!$C$27, 0.0021, 0)</f>
        <v>36.078299999999999</v>
      </c>
      <c r="L220" s="14"/>
    </row>
    <row r="221" spans="1:12" ht="15" x14ac:dyDescent="0.2">
      <c r="A221" s="13">
        <v>47635</v>
      </c>
      <c r="B221" s="14">
        <f>37.0013 * CHOOSE(CONTROL!$C$9, $D$9, 100%, $F$9) + CHOOSE(CONTROL!$C$27, 0.0021, 0)</f>
        <v>37.003399999999999</v>
      </c>
      <c r="C221" s="14">
        <f>36.5691 * CHOOSE(CONTROL!$C$9, $D$9, 100%, $F$9) + CHOOSE(CONTROL!$C$27, 0.0021, 0)</f>
        <v>36.571199999999997</v>
      </c>
      <c r="D221" s="14">
        <f>36.5691 * CHOOSE(CONTROL!$C$9, $D$9, 100%, $F$9) + CHOOSE(CONTROL!$C$27, 0.0021, 0)</f>
        <v>36.571199999999997</v>
      </c>
      <c r="E221" s="14">
        <f>36.4324 * CHOOSE(CONTROL!$C$9, $D$9, 100%, $F$9) + CHOOSE(CONTROL!$C$27, 0.0021, 0)</f>
        <v>36.4345</v>
      </c>
      <c r="F221" s="14">
        <f>36.4324 * CHOOSE(CONTROL!$C$9, $D$9, 100%, $F$9) + CHOOSE(CONTROL!$C$27, 0.0021, 0)</f>
        <v>36.4345</v>
      </c>
      <c r="G221" s="14">
        <f>36.7038 * CHOOSE(CONTROL!$C$9, $D$9, 100%, $F$9) + CHOOSE(CONTROL!$C$27, 0.0021, 0)</f>
        <v>36.7059</v>
      </c>
      <c r="H221" s="14">
        <f>36.5691 * CHOOSE(CONTROL!$C$9, $D$9, 100%, $F$9) + CHOOSE(CONTROL!$C$27, 0.0021, 0)</f>
        <v>36.571199999999997</v>
      </c>
      <c r="I221" s="14">
        <f>36.5691 * CHOOSE(CONTROL!$C$9, $D$9, 100%, $F$9) + CHOOSE(CONTROL!$C$27, 0.0021, 0)</f>
        <v>36.571199999999997</v>
      </c>
      <c r="J221" s="14">
        <f>36.5691 * CHOOSE(CONTROL!$C$9, $D$9, 100%, $F$9) + CHOOSE(CONTROL!$C$27, 0.0021, 0)</f>
        <v>36.571199999999997</v>
      </c>
      <c r="K221" s="14">
        <f>36.5691 * CHOOSE(CONTROL!$C$9, $D$9, 100%, $F$9) + CHOOSE(CONTROL!$C$27, 0.0021, 0)</f>
        <v>36.571199999999997</v>
      </c>
      <c r="L221" s="14"/>
    </row>
    <row r="222" spans="1:12" ht="15" x14ac:dyDescent="0.2">
      <c r="A222" s="13">
        <v>47665</v>
      </c>
      <c r="B222" s="14">
        <f>37.7711 * CHOOSE(CONTROL!$C$9, $D$9, 100%, $F$9) + CHOOSE(CONTROL!$C$27, 0.0021, 0)</f>
        <v>37.773199999999996</v>
      </c>
      <c r="C222" s="14">
        <f>37.3388 * CHOOSE(CONTROL!$C$9, $D$9, 100%, $F$9) + CHOOSE(CONTROL!$C$27, 0.0021, 0)</f>
        <v>37.340899999999998</v>
      </c>
      <c r="D222" s="14">
        <f>37.3388 * CHOOSE(CONTROL!$C$9, $D$9, 100%, $F$9) + CHOOSE(CONTROL!$C$27, 0.0021, 0)</f>
        <v>37.340899999999998</v>
      </c>
      <c r="E222" s="14">
        <f>37.2022 * CHOOSE(CONTROL!$C$9, $D$9, 100%, $F$9) + CHOOSE(CONTROL!$C$27, 0.0021, 0)</f>
        <v>37.204299999999996</v>
      </c>
      <c r="F222" s="14">
        <f>37.2022 * CHOOSE(CONTROL!$C$9, $D$9, 100%, $F$9) + CHOOSE(CONTROL!$C$27, 0.0021, 0)</f>
        <v>37.204299999999996</v>
      </c>
      <c r="G222" s="14">
        <f>37.4735 * CHOOSE(CONTROL!$C$9, $D$9, 100%, $F$9) + CHOOSE(CONTROL!$C$27, 0.0021, 0)</f>
        <v>37.4756</v>
      </c>
      <c r="H222" s="14">
        <f>37.3388 * CHOOSE(CONTROL!$C$9, $D$9, 100%, $F$9) + CHOOSE(CONTROL!$C$27, 0.0021, 0)</f>
        <v>37.340899999999998</v>
      </c>
      <c r="I222" s="14">
        <f>37.3388 * CHOOSE(CONTROL!$C$9, $D$9, 100%, $F$9) + CHOOSE(CONTROL!$C$27, 0.0021, 0)</f>
        <v>37.340899999999998</v>
      </c>
      <c r="J222" s="14">
        <f>37.3388 * CHOOSE(CONTROL!$C$9, $D$9, 100%, $F$9) + CHOOSE(CONTROL!$C$27, 0.0021, 0)</f>
        <v>37.340899999999998</v>
      </c>
      <c r="K222" s="14">
        <f>37.3388 * CHOOSE(CONTROL!$C$9, $D$9, 100%, $F$9) + CHOOSE(CONTROL!$C$27, 0.0021, 0)</f>
        <v>37.340899999999998</v>
      </c>
      <c r="L222" s="14"/>
    </row>
    <row r="223" spans="1:12" ht="15" x14ac:dyDescent="0.2">
      <c r="A223" s="13">
        <v>47696</v>
      </c>
      <c r="B223" s="14">
        <f>37.9842 * CHOOSE(CONTROL!$C$9, $D$9, 100%, $F$9) + CHOOSE(CONTROL!$C$27, 0.0021, 0)</f>
        <v>37.9863</v>
      </c>
      <c r="C223" s="14">
        <f>37.552 * CHOOSE(CONTROL!$C$9, $D$9, 100%, $F$9) + CHOOSE(CONTROL!$C$27, 0.0021, 0)</f>
        <v>37.554099999999998</v>
      </c>
      <c r="D223" s="14">
        <f>37.552 * CHOOSE(CONTROL!$C$9, $D$9, 100%, $F$9) + CHOOSE(CONTROL!$C$27, 0.0021, 0)</f>
        <v>37.554099999999998</v>
      </c>
      <c r="E223" s="14">
        <f>37.4153 * CHOOSE(CONTROL!$C$9, $D$9, 100%, $F$9) + CHOOSE(CONTROL!$C$27, 0.0021, 0)</f>
        <v>37.417400000000001</v>
      </c>
      <c r="F223" s="14">
        <f>37.4153 * CHOOSE(CONTROL!$C$9, $D$9, 100%, $F$9) + CHOOSE(CONTROL!$C$27, 0.0021, 0)</f>
        <v>37.417400000000001</v>
      </c>
      <c r="G223" s="14">
        <f>37.6867 * CHOOSE(CONTROL!$C$9, $D$9, 100%, $F$9) + CHOOSE(CONTROL!$C$27, 0.0021, 0)</f>
        <v>37.688800000000001</v>
      </c>
      <c r="H223" s="14">
        <f>37.552 * CHOOSE(CONTROL!$C$9, $D$9, 100%, $F$9) + CHOOSE(CONTROL!$C$27, 0.0021, 0)</f>
        <v>37.554099999999998</v>
      </c>
      <c r="I223" s="14">
        <f>37.552 * CHOOSE(CONTROL!$C$9, $D$9, 100%, $F$9) + CHOOSE(CONTROL!$C$27, 0.0021, 0)</f>
        <v>37.554099999999998</v>
      </c>
      <c r="J223" s="14">
        <f>37.552 * CHOOSE(CONTROL!$C$9, $D$9, 100%, $F$9) + CHOOSE(CONTROL!$C$27, 0.0021, 0)</f>
        <v>37.554099999999998</v>
      </c>
      <c r="K223" s="14">
        <f>37.552 * CHOOSE(CONTROL!$C$9, $D$9, 100%, $F$9) + CHOOSE(CONTROL!$C$27, 0.0021, 0)</f>
        <v>37.554099999999998</v>
      </c>
      <c r="L223" s="14"/>
    </row>
    <row r="224" spans="1:12" ht="15" x14ac:dyDescent="0.2">
      <c r="A224" s="13">
        <v>47727</v>
      </c>
      <c r="B224" s="14">
        <f>38.71 * CHOOSE(CONTROL!$C$9, $D$9, 100%, $F$9) + CHOOSE(CONTROL!$C$27, 0.0021, 0)</f>
        <v>38.7121</v>
      </c>
      <c r="C224" s="14">
        <f>38.2778 * CHOOSE(CONTROL!$C$9, $D$9, 100%, $F$9) + CHOOSE(CONTROL!$C$27, 0.0021, 0)</f>
        <v>38.279899999999998</v>
      </c>
      <c r="D224" s="14">
        <f>38.2778 * CHOOSE(CONTROL!$C$9, $D$9, 100%, $F$9) + CHOOSE(CONTROL!$C$27, 0.0021, 0)</f>
        <v>38.279899999999998</v>
      </c>
      <c r="E224" s="14">
        <f>38.1411 * CHOOSE(CONTROL!$C$9, $D$9, 100%, $F$9) + CHOOSE(CONTROL!$C$27, 0.0021, 0)</f>
        <v>38.1432</v>
      </c>
      <c r="F224" s="14">
        <f>38.1411 * CHOOSE(CONTROL!$C$9, $D$9, 100%, $F$9) + CHOOSE(CONTROL!$C$27, 0.0021, 0)</f>
        <v>38.1432</v>
      </c>
      <c r="G224" s="14">
        <f>38.4125 * CHOOSE(CONTROL!$C$9, $D$9, 100%, $F$9) + CHOOSE(CONTROL!$C$27, 0.0021, 0)</f>
        <v>38.4146</v>
      </c>
      <c r="H224" s="14">
        <f>38.2778 * CHOOSE(CONTROL!$C$9, $D$9, 100%, $F$9) + CHOOSE(CONTROL!$C$27, 0.0021, 0)</f>
        <v>38.279899999999998</v>
      </c>
      <c r="I224" s="14">
        <f>38.2778 * CHOOSE(CONTROL!$C$9, $D$9, 100%, $F$9) + CHOOSE(CONTROL!$C$27, 0.0021, 0)</f>
        <v>38.279899999999998</v>
      </c>
      <c r="J224" s="14">
        <f>38.2778 * CHOOSE(CONTROL!$C$9, $D$9, 100%, $F$9) + CHOOSE(CONTROL!$C$27, 0.0021, 0)</f>
        <v>38.279899999999998</v>
      </c>
      <c r="K224" s="14">
        <f>38.2778 * CHOOSE(CONTROL!$C$9, $D$9, 100%, $F$9) + CHOOSE(CONTROL!$C$27, 0.0021, 0)</f>
        <v>38.279899999999998</v>
      </c>
      <c r="L224" s="14"/>
    </row>
    <row r="225" spans="1:12" ht="15" x14ac:dyDescent="0.2">
      <c r="A225" s="13">
        <v>47757</v>
      </c>
      <c r="B225" s="14">
        <f>39.6287 * CHOOSE(CONTROL!$C$9, $D$9, 100%, $F$9) + CHOOSE(CONTROL!$C$27, 0.0021, 0)</f>
        <v>39.630800000000001</v>
      </c>
      <c r="C225" s="14">
        <f>39.1965 * CHOOSE(CONTROL!$C$9, $D$9, 100%, $F$9) + CHOOSE(CONTROL!$C$27, 0.0021, 0)</f>
        <v>39.198599999999999</v>
      </c>
      <c r="D225" s="14">
        <f>39.1965 * CHOOSE(CONTROL!$C$9, $D$9, 100%, $F$9) + CHOOSE(CONTROL!$C$27, 0.0021, 0)</f>
        <v>39.198599999999999</v>
      </c>
      <c r="E225" s="14">
        <f>39.0598 * CHOOSE(CONTROL!$C$9, $D$9, 100%, $F$9) + CHOOSE(CONTROL!$C$27, 0.0021, 0)</f>
        <v>39.061900000000001</v>
      </c>
      <c r="F225" s="14">
        <f>39.0598 * CHOOSE(CONTROL!$C$9, $D$9, 100%, $F$9) + CHOOSE(CONTROL!$C$27, 0.0021, 0)</f>
        <v>39.061900000000001</v>
      </c>
      <c r="G225" s="14">
        <f>39.3312 * CHOOSE(CONTROL!$C$9, $D$9, 100%, $F$9) + CHOOSE(CONTROL!$C$27, 0.0021, 0)</f>
        <v>39.333300000000001</v>
      </c>
      <c r="H225" s="14">
        <f>39.1965 * CHOOSE(CONTROL!$C$9, $D$9, 100%, $F$9) + CHOOSE(CONTROL!$C$27, 0.0021, 0)</f>
        <v>39.198599999999999</v>
      </c>
      <c r="I225" s="14">
        <f>39.1965 * CHOOSE(CONTROL!$C$9, $D$9, 100%, $F$9) + CHOOSE(CONTROL!$C$27, 0.0021, 0)</f>
        <v>39.198599999999999</v>
      </c>
      <c r="J225" s="14">
        <f>39.1965 * CHOOSE(CONTROL!$C$9, $D$9, 100%, $F$9) + CHOOSE(CONTROL!$C$27, 0.0021, 0)</f>
        <v>39.198599999999999</v>
      </c>
      <c r="K225" s="14">
        <f>39.1965 * CHOOSE(CONTROL!$C$9, $D$9, 100%, $F$9) + CHOOSE(CONTROL!$C$27, 0.0021, 0)</f>
        <v>39.198599999999999</v>
      </c>
      <c r="L225" s="14"/>
    </row>
    <row r="226" spans="1:12" ht="15" x14ac:dyDescent="0.2">
      <c r="A226" s="13">
        <v>47788</v>
      </c>
      <c r="B226" s="14">
        <f>39.715 * CHOOSE(CONTROL!$C$9, $D$9, 100%, $F$9) + CHOOSE(CONTROL!$C$27, 0.0021, 0)</f>
        <v>39.717100000000002</v>
      </c>
      <c r="C226" s="14">
        <f>39.2827 * CHOOSE(CONTROL!$C$9, $D$9, 100%, $F$9) + CHOOSE(CONTROL!$C$27, 0.0021, 0)</f>
        <v>39.284799999999997</v>
      </c>
      <c r="D226" s="14">
        <f>39.2827 * CHOOSE(CONTROL!$C$9, $D$9, 100%, $F$9) + CHOOSE(CONTROL!$C$27, 0.0021, 0)</f>
        <v>39.284799999999997</v>
      </c>
      <c r="E226" s="14">
        <f>39.1461 * CHOOSE(CONTROL!$C$9, $D$9, 100%, $F$9) + CHOOSE(CONTROL!$C$27, 0.0021, 0)</f>
        <v>39.148199999999996</v>
      </c>
      <c r="F226" s="14">
        <f>39.1461 * CHOOSE(CONTROL!$C$9, $D$9, 100%, $F$9) + CHOOSE(CONTROL!$C$27, 0.0021, 0)</f>
        <v>39.148199999999996</v>
      </c>
      <c r="G226" s="14">
        <f>39.4174 * CHOOSE(CONTROL!$C$9, $D$9, 100%, $F$9) + CHOOSE(CONTROL!$C$27, 0.0021, 0)</f>
        <v>39.419499999999999</v>
      </c>
      <c r="H226" s="14">
        <f>39.2827 * CHOOSE(CONTROL!$C$9, $D$9, 100%, $F$9) + CHOOSE(CONTROL!$C$27, 0.0021, 0)</f>
        <v>39.284799999999997</v>
      </c>
      <c r="I226" s="14">
        <f>39.2827 * CHOOSE(CONTROL!$C$9, $D$9, 100%, $F$9) + CHOOSE(CONTROL!$C$27, 0.0021, 0)</f>
        <v>39.284799999999997</v>
      </c>
      <c r="J226" s="14">
        <f>39.2827 * CHOOSE(CONTROL!$C$9, $D$9, 100%, $F$9) + CHOOSE(CONTROL!$C$27, 0.0021, 0)</f>
        <v>39.284799999999997</v>
      </c>
      <c r="K226" s="14">
        <f>39.2827 * CHOOSE(CONTROL!$C$9, $D$9, 100%, $F$9) + CHOOSE(CONTROL!$C$27, 0.0021, 0)</f>
        <v>39.284799999999997</v>
      </c>
      <c r="L226" s="14"/>
    </row>
    <row r="227" spans="1:12" ht="15" x14ac:dyDescent="0.2">
      <c r="A227" s="13">
        <v>47818</v>
      </c>
      <c r="B227" s="14">
        <f>38.9812 * CHOOSE(CONTROL!$C$9, $D$9, 100%, $F$9) + CHOOSE(CONTROL!$C$27, 0.0021, 0)</f>
        <v>38.9833</v>
      </c>
      <c r="C227" s="14">
        <f>38.549 * CHOOSE(CONTROL!$C$9, $D$9, 100%, $F$9) + CHOOSE(CONTROL!$C$27, 0.0021, 0)</f>
        <v>38.551099999999998</v>
      </c>
      <c r="D227" s="14">
        <f>38.549 * CHOOSE(CONTROL!$C$9, $D$9, 100%, $F$9) + CHOOSE(CONTROL!$C$27, 0.0021, 0)</f>
        <v>38.551099999999998</v>
      </c>
      <c r="E227" s="14">
        <f>38.4123 * CHOOSE(CONTROL!$C$9, $D$9, 100%, $F$9) + CHOOSE(CONTROL!$C$27, 0.0021, 0)</f>
        <v>38.414400000000001</v>
      </c>
      <c r="F227" s="14">
        <f>38.4123 * CHOOSE(CONTROL!$C$9, $D$9, 100%, $F$9) + CHOOSE(CONTROL!$C$27, 0.0021, 0)</f>
        <v>38.414400000000001</v>
      </c>
      <c r="G227" s="14">
        <f>38.6837 * CHOOSE(CONTROL!$C$9, $D$9, 100%, $F$9) + CHOOSE(CONTROL!$C$27, 0.0021, 0)</f>
        <v>38.6858</v>
      </c>
      <c r="H227" s="14">
        <f>38.549 * CHOOSE(CONTROL!$C$9, $D$9, 100%, $F$9) + CHOOSE(CONTROL!$C$27, 0.0021, 0)</f>
        <v>38.551099999999998</v>
      </c>
      <c r="I227" s="14">
        <f>38.549 * CHOOSE(CONTROL!$C$9, $D$9, 100%, $F$9) + CHOOSE(CONTROL!$C$27, 0.0021, 0)</f>
        <v>38.551099999999998</v>
      </c>
      <c r="J227" s="14">
        <f>38.549 * CHOOSE(CONTROL!$C$9, $D$9, 100%, $F$9) + CHOOSE(CONTROL!$C$27, 0.0021, 0)</f>
        <v>38.551099999999998</v>
      </c>
      <c r="K227" s="14">
        <f>38.549 * CHOOSE(CONTROL!$C$9, $D$9, 100%, $F$9) + CHOOSE(CONTROL!$C$27, 0.0021, 0)</f>
        <v>38.551099999999998</v>
      </c>
      <c r="L227" s="14"/>
    </row>
    <row r="228" spans="1:12" ht="15" x14ac:dyDescent="0.2">
      <c r="A228" s="13">
        <v>47849</v>
      </c>
      <c r="B228" s="14">
        <f>38.5174 * CHOOSE(CONTROL!$C$9, $D$9, 100%, $F$9) + CHOOSE(CONTROL!$C$27, 0.0021, 0)</f>
        <v>38.519500000000001</v>
      </c>
      <c r="C228" s="14">
        <f>38.0852 * CHOOSE(CONTROL!$C$9, $D$9, 100%, $F$9) + CHOOSE(CONTROL!$C$27, 0.0021, 0)</f>
        <v>38.087299999999999</v>
      </c>
      <c r="D228" s="14">
        <f>38.0852 * CHOOSE(CONTROL!$C$9, $D$9, 100%, $F$9) + CHOOSE(CONTROL!$C$27, 0.0021, 0)</f>
        <v>38.087299999999999</v>
      </c>
      <c r="E228" s="14">
        <f>37.9485 * CHOOSE(CONTROL!$C$9, $D$9, 100%, $F$9) + CHOOSE(CONTROL!$C$27, 0.0021, 0)</f>
        <v>37.950600000000001</v>
      </c>
      <c r="F228" s="14">
        <f>37.9485 * CHOOSE(CONTROL!$C$9, $D$9, 100%, $F$9) + CHOOSE(CONTROL!$C$27, 0.0021, 0)</f>
        <v>37.950600000000001</v>
      </c>
      <c r="G228" s="14">
        <f>38.2199 * CHOOSE(CONTROL!$C$9, $D$9, 100%, $F$9) + CHOOSE(CONTROL!$C$27, 0.0021, 0)</f>
        <v>38.222000000000001</v>
      </c>
      <c r="H228" s="14">
        <f>38.0852 * CHOOSE(CONTROL!$C$9, $D$9, 100%, $F$9) + CHOOSE(CONTROL!$C$27, 0.0021, 0)</f>
        <v>38.087299999999999</v>
      </c>
      <c r="I228" s="14">
        <f>38.0852 * CHOOSE(CONTROL!$C$9, $D$9, 100%, $F$9) + CHOOSE(CONTROL!$C$27, 0.0021, 0)</f>
        <v>38.087299999999999</v>
      </c>
      <c r="J228" s="14">
        <f>38.0852 * CHOOSE(CONTROL!$C$9, $D$9, 100%, $F$9) + CHOOSE(CONTROL!$C$27, 0.0021, 0)</f>
        <v>38.087299999999999</v>
      </c>
      <c r="K228" s="14">
        <f>38.0852 * CHOOSE(CONTROL!$C$9, $D$9, 100%, $F$9) + CHOOSE(CONTROL!$C$27, 0.0021, 0)</f>
        <v>38.087299999999999</v>
      </c>
      <c r="L228" s="14"/>
    </row>
    <row r="229" spans="1:12" ht="15" x14ac:dyDescent="0.2">
      <c r="A229" s="13">
        <v>47880</v>
      </c>
      <c r="B229" s="14">
        <f>37.4928 * CHOOSE(CONTROL!$C$9, $D$9, 100%, $F$9) + CHOOSE(CONTROL!$C$27, 0.0021, 0)</f>
        <v>37.494900000000001</v>
      </c>
      <c r="C229" s="14">
        <f>37.0605 * CHOOSE(CONTROL!$C$9, $D$9, 100%, $F$9) + CHOOSE(CONTROL!$C$27, 0.0021, 0)</f>
        <v>37.062599999999996</v>
      </c>
      <c r="D229" s="14">
        <f>37.0605 * CHOOSE(CONTROL!$C$9, $D$9, 100%, $F$9) + CHOOSE(CONTROL!$C$27, 0.0021, 0)</f>
        <v>37.062599999999996</v>
      </c>
      <c r="E229" s="14">
        <f>36.9239 * CHOOSE(CONTROL!$C$9, $D$9, 100%, $F$9) + CHOOSE(CONTROL!$C$27, 0.0021, 0)</f>
        <v>36.926000000000002</v>
      </c>
      <c r="F229" s="14">
        <f>36.9239 * CHOOSE(CONTROL!$C$9, $D$9, 100%, $F$9) + CHOOSE(CONTROL!$C$27, 0.0021, 0)</f>
        <v>36.926000000000002</v>
      </c>
      <c r="G229" s="14">
        <f>37.1953 * CHOOSE(CONTROL!$C$9, $D$9, 100%, $F$9) + CHOOSE(CONTROL!$C$27, 0.0021, 0)</f>
        <v>37.197400000000002</v>
      </c>
      <c r="H229" s="14">
        <f>37.0605 * CHOOSE(CONTROL!$C$9, $D$9, 100%, $F$9) + CHOOSE(CONTROL!$C$27, 0.0021, 0)</f>
        <v>37.062599999999996</v>
      </c>
      <c r="I229" s="14">
        <f>37.0605 * CHOOSE(CONTROL!$C$9, $D$9, 100%, $F$9) + CHOOSE(CONTROL!$C$27, 0.0021, 0)</f>
        <v>37.062599999999996</v>
      </c>
      <c r="J229" s="14">
        <f>37.0605 * CHOOSE(CONTROL!$C$9, $D$9, 100%, $F$9) + CHOOSE(CONTROL!$C$27, 0.0021, 0)</f>
        <v>37.062599999999996</v>
      </c>
      <c r="K229" s="14">
        <f>37.0605 * CHOOSE(CONTROL!$C$9, $D$9, 100%, $F$9) + CHOOSE(CONTROL!$C$27, 0.0021, 0)</f>
        <v>37.062599999999996</v>
      </c>
      <c r="L229" s="14"/>
    </row>
    <row r="230" spans="1:12" ht="15" x14ac:dyDescent="0.2">
      <c r="A230" s="13">
        <v>47908</v>
      </c>
      <c r="B230" s="14">
        <f>37.0698 * CHOOSE(CONTROL!$C$9, $D$9, 100%, $F$9) + CHOOSE(CONTROL!$C$27, 0.0021, 0)</f>
        <v>37.071899999999999</v>
      </c>
      <c r="C230" s="14">
        <f>36.6376 * CHOOSE(CONTROL!$C$9, $D$9, 100%, $F$9) + CHOOSE(CONTROL!$C$27, 0.0021, 0)</f>
        <v>36.639699999999998</v>
      </c>
      <c r="D230" s="14">
        <f>36.6376 * CHOOSE(CONTROL!$C$9, $D$9, 100%, $F$9) + CHOOSE(CONTROL!$C$27, 0.0021, 0)</f>
        <v>36.639699999999998</v>
      </c>
      <c r="E230" s="14">
        <f>36.5009 * CHOOSE(CONTROL!$C$9, $D$9, 100%, $F$9) + CHOOSE(CONTROL!$C$27, 0.0021, 0)</f>
        <v>36.503</v>
      </c>
      <c r="F230" s="14">
        <f>36.5009 * CHOOSE(CONTROL!$C$9, $D$9, 100%, $F$9) + CHOOSE(CONTROL!$C$27, 0.0021, 0)</f>
        <v>36.503</v>
      </c>
      <c r="G230" s="14">
        <f>36.7723 * CHOOSE(CONTROL!$C$9, $D$9, 100%, $F$9) + CHOOSE(CONTROL!$C$27, 0.0021, 0)</f>
        <v>36.7744</v>
      </c>
      <c r="H230" s="14">
        <f>36.6376 * CHOOSE(CONTROL!$C$9, $D$9, 100%, $F$9) + CHOOSE(CONTROL!$C$27, 0.0021, 0)</f>
        <v>36.639699999999998</v>
      </c>
      <c r="I230" s="14">
        <f>36.6376 * CHOOSE(CONTROL!$C$9, $D$9, 100%, $F$9) + CHOOSE(CONTROL!$C$27, 0.0021, 0)</f>
        <v>36.639699999999998</v>
      </c>
      <c r="J230" s="14">
        <f>36.6376 * CHOOSE(CONTROL!$C$9, $D$9, 100%, $F$9) + CHOOSE(CONTROL!$C$27, 0.0021, 0)</f>
        <v>36.639699999999998</v>
      </c>
      <c r="K230" s="14">
        <f>36.6376 * CHOOSE(CONTROL!$C$9, $D$9, 100%, $F$9) + CHOOSE(CONTROL!$C$27, 0.0021, 0)</f>
        <v>36.639699999999998</v>
      </c>
      <c r="L230" s="14"/>
    </row>
    <row r="231" spans="1:12" ht="15" x14ac:dyDescent="0.2">
      <c r="A231" s="13">
        <v>47939</v>
      </c>
      <c r="B231" s="14">
        <f>36.5648 * CHOOSE(CONTROL!$C$9, $D$9, 100%, $F$9) + CHOOSE(CONTROL!$C$27, 0.0021, 0)</f>
        <v>36.566899999999997</v>
      </c>
      <c r="C231" s="14">
        <f>36.1325 * CHOOSE(CONTROL!$C$9, $D$9, 100%, $F$9) + CHOOSE(CONTROL!$C$27, 0.0021, 0)</f>
        <v>36.134599999999999</v>
      </c>
      <c r="D231" s="14">
        <f>36.1325 * CHOOSE(CONTROL!$C$9, $D$9, 100%, $F$9) + CHOOSE(CONTROL!$C$27, 0.0021, 0)</f>
        <v>36.134599999999999</v>
      </c>
      <c r="E231" s="14">
        <f>35.9959 * CHOOSE(CONTROL!$C$9, $D$9, 100%, $F$9) + CHOOSE(CONTROL!$C$27, 0.0021, 0)</f>
        <v>35.997999999999998</v>
      </c>
      <c r="F231" s="14">
        <f>35.9959 * CHOOSE(CONTROL!$C$9, $D$9, 100%, $F$9) + CHOOSE(CONTROL!$C$27, 0.0021, 0)</f>
        <v>35.997999999999998</v>
      </c>
      <c r="G231" s="14">
        <f>36.2672 * CHOOSE(CONTROL!$C$9, $D$9, 100%, $F$9) + CHOOSE(CONTROL!$C$27, 0.0021, 0)</f>
        <v>36.269300000000001</v>
      </c>
      <c r="H231" s="14">
        <f>36.1325 * CHOOSE(CONTROL!$C$9, $D$9, 100%, $F$9) + CHOOSE(CONTROL!$C$27, 0.0021, 0)</f>
        <v>36.134599999999999</v>
      </c>
      <c r="I231" s="14">
        <f>36.1325 * CHOOSE(CONTROL!$C$9, $D$9, 100%, $F$9) + CHOOSE(CONTROL!$C$27, 0.0021, 0)</f>
        <v>36.134599999999999</v>
      </c>
      <c r="J231" s="14">
        <f>36.1325 * CHOOSE(CONTROL!$C$9, $D$9, 100%, $F$9) + CHOOSE(CONTROL!$C$27, 0.0021, 0)</f>
        <v>36.134599999999999</v>
      </c>
      <c r="K231" s="14">
        <f>36.1325 * CHOOSE(CONTROL!$C$9, $D$9, 100%, $F$9) + CHOOSE(CONTROL!$C$27, 0.0021, 0)</f>
        <v>36.134599999999999</v>
      </c>
      <c r="L231" s="14"/>
    </row>
    <row r="232" spans="1:12" ht="15" x14ac:dyDescent="0.2">
      <c r="A232" s="13">
        <v>47969</v>
      </c>
      <c r="B232" s="14">
        <f>37.2845 * CHOOSE(CONTROL!$C$9, $D$9, 100%, $F$9) + CHOOSE(CONTROL!$C$27, 0.0021, 0)</f>
        <v>37.2866</v>
      </c>
      <c r="C232" s="14">
        <f>36.8523 * CHOOSE(CONTROL!$C$9, $D$9, 100%, $F$9) + CHOOSE(CONTROL!$C$27, 0.0021, 0)</f>
        <v>36.854399999999998</v>
      </c>
      <c r="D232" s="14">
        <f>36.8523 * CHOOSE(CONTROL!$C$9, $D$9, 100%, $F$9) + CHOOSE(CONTROL!$C$27, 0.0021, 0)</f>
        <v>36.854399999999998</v>
      </c>
      <c r="E232" s="14">
        <f>36.7156 * CHOOSE(CONTROL!$C$9, $D$9, 100%, $F$9) + CHOOSE(CONTROL!$C$27, 0.0021, 0)</f>
        <v>36.717700000000001</v>
      </c>
      <c r="F232" s="14">
        <f>36.7156 * CHOOSE(CONTROL!$C$9, $D$9, 100%, $F$9) + CHOOSE(CONTROL!$C$27, 0.0021, 0)</f>
        <v>36.717700000000001</v>
      </c>
      <c r="G232" s="14">
        <f>36.987 * CHOOSE(CONTROL!$C$9, $D$9, 100%, $F$9) + CHOOSE(CONTROL!$C$27, 0.0021, 0)</f>
        <v>36.989100000000001</v>
      </c>
      <c r="H232" s="14">
        <f>36.8523 * CHOOSE(CONTROL!$C$9, $D$9, 100%, $F$9) + CHOOSE(CONTROL!$C$27, 0.0021, 0)</f>
        <v>36.854399999999998</v>
      </c>
      <c r="I232" s="14">
        <f>36.8523 * CHOOSE(CONTROL!$C$9, $D$9, 100%, $F$9) + CHOOSE(CONTROL!$C$27, 0.0021, 0)</f>
        <v>36.854399999999998</v>
      </c>
      <c r="J232" s="14">
        <f>36.8523 * CHOOSE(CONTROL!$C$9, $D$9, 100%, $F$9) + CHOOSE(CONTROL!$C$27, 0.0021, 0)</f>
        <v>36.854399999999998</v>
      </c>
      <c r="K232" s="14">
        <f>36.8523 * CHOOSE(CONTROL!$C$9, $D$9, 100%, $F$9) + CHOOSE(CONTROL!$C$27, 0.0021, 0)</f>
        <v>36.854399999999998</v>
      </c>
      <c r="L232" s="14"/>
    </row>
    <row r="233" spans="1:12" ht="15" x14ac:dyDescent="0.2">
      <c r="A233" s="13">
        <v>48000</v>
      </c>
      <c r="B233" s="14">
        <f>37.7156 * CHOOSE(CONTROL!$C$9, $D$9, 100%, $F$9) + CHOOSE(CONTROL!$C$27, 0.0021, 0)</f>
        <v>37.717700000000001</v>
      </c>
      <c r="C233" s="14">
        <f>37.2834 * CHOOSE(CONTROL!$C$9, $D$9, 100%, $F$9) + CHOOSE(CONTROL!$C$27, 0.0021, 0)</f>
        <v>37.285499999999999</v>
      </c>
      <c r="D233" s="14">
        <f>37.2834 * CHOOSE(CONTROL!$C$9, $D$9, 100%, $F$9) + CHOOSE(CONTROL!$C$27, 0.0021, 0)</f>
        <v>37.285499999999999</v>
      </c>
      <c r="E233" s="14">
        <f>37.1467 * CHOOSE(CONTROL!$C$9, $D$9, 100%, $F$9) + CHOOSE(CONTROL!$C$27, 0.0021, 0)</f>
        <v>37.148800000000001</v>
      </c>
      <c r="F233" s="14">
        <f>37.1467 * CHOOSE(CONTROL!$C$9, $D$9, 100%, $F$9) + CHOOSE(CONTROL!$C$27, 0.0021, 0)</f>
        <v>37.148800000000001</v>
      </c>
      <c r="G233" s="14">
        <f>37.4181 * CHOOSE(CONTROL!$C$9, $D$9, 100%, $F$9) + CHOOSE(CONTROL!$C$27, 0.0021, 0)</f>
        <v>37.420200000000001</v>
      </c>
      <c r="H233" s="14">
        <f>37.2834 * CHOOSE(CONTROL!$C$9, $D$9, 100%, $F$9) + CHOOSE(CONTROL!$C$27, 0.0021, 0)</f>
        <v>37.285499999999999</v>
      </c>
      <c r="I233" s="14">
        <f>37.2834 * CHOOSE(CONTROL!$C$9, $D$9, 100%, $F$9) + CHOOSE(CONTROL!$C$27, 0.0021, 0)</f>
        <v>37.285499999999999</v>
      </c>
      <c r="J233" s="14">
        <f>37.2834 * CHOOSE(CONTROL!$C$9, $D$9, 100%, $F$9) + CHOOSE(CONTROL!$C$27, 0.0021, 0)</f>
        <v>37.285499999999999</v>
      </c>
      <c r="K233" s="14">
        <f>37.2834 * CHOOSE(CONTROL!$C$9, $D$9, 100%, $F$9) + CHOOSE(CONTROL!$C$27, 0.0021, 0)</f>
        <v>37.285499999999999</v>
      </c>
      <c r="L233" s="14"/>
    </row>
    <row r="234" spans="1:12" ht="15" x14ac:dyDescent="0.2">
      <c r="A234" s="13">
        <v>48030</v>
      </c>
      <c r="B234" s="14">
        <f>38.4268 * CHOOSE(CONTROL!$C$9, $D$9, 100%, $F$9) + CHOOSE(CONTROL!$C$27, 0.0021, 0)</f>
        <v>38.428899999999999</v>
      </c>
      <c r="C234" s="14">
        <f>37.9945 * CHOOSE(CONTROL!$C$9, $D$9, 100%, $F$9) + CHOOSE(CONTROL!$C$27, 0.0021, 0)</f>
        <v>37.996600000000001</v>
      </c>
      <c r="D234" s="14">
        <f>37.9945 * CHOOSE(CONTROL!$C$9, $D$9, 100%, $F$9) + CHOOSE(CONTROL!$C$27, 0.0021, 0)</f>
        <v>37.996600000000001</v>
      </c>
      <c r="E234" s="14">
        <f>37.8578 * CHOOSE(CONTROL!$C$9, $D$9, 100%, $F$9) + CHOOSE(CONTROL!$C$27, 0.0021, 0)</f>
        <v>37.859899999999996</v>
      </c>
      <c r="F234" s="14">
        <f>37.8578 * CHOOSE(CONTROL!$C$9, $D$9, 100%, $F$9) + CHOOSE(CONTROL!$C$27, 0.0021, 0)</f>
        <v>37.859899999999996</v>
      </c>
      <c r="G234" s="14">
        <f>38.1292 * CHOOSE(CONTROL!$C$9, $D$9, 100%, $F$9) + CHOOSE(CONTROL!$C$27, 0.0021, 0)</f>
        <v>38.131299999999996</v>
      </c>
      <c r="H234" s="14">
        <f>37.9945 * CHOOSE(CONTROL!$C$9, $D$9, 100%, $F$9) + CHOOSE(CONTROL!$C$27, 0.0021, 0)</f>
        <v>37.996600000000001</v>
      </c>
      <c r="I234" s="14">
        <f>37.9945 * CHOOSE(CONTROL!$C$9, $D$9, 100%, $F$9) + CHOOSE(CONTROL!$C$27, 0.0021, 0)</f>
        <v>37.996600000000001</v>
      </c>
      <c r="J234" s="14">
        <f>37.9945 * CHOOSE(CONTROL!$C$9, $D$9, 100%, $F$9) + CHOOSE(CONTROL!$C$27, 0.0021, 0)</f>
        <v>37.996600000000001</v>
      </c>
      <c r="K234" s="14">
        <f>37.9945 * CHOOSE(CONTROL!$C$9, $D$9, 100%, $F$9) + CHOOSE(CONTROL!$C$27, 0.0021, 0)</f>
        <v>37.996600000000001</v>
      </c>
      <c r="L234" s="14"/>
    </row>
    <row r="235" spans="1:12" ht="15" x14ac:dyDescent="0.2">
      <c r="A235" s="13">
        <v>48061</v>
      </c>
      <c r="B235" s="14">
        <f>38.6438 * CHOOSE(CONTROL!$C$9, $D$9, 100%, $F$9) + CHOOSE(CONTROL!$C$27, 0.0021, 0)</f>
        <v>38.645899999999997</v>
      </c>
      <c r="C235" s="14">
        <f>38.2116 * CHOOSE(CONTROL!$C$9, $D$9, 100%, $F$9) + CHOOSE(CONTROL!$C$27, 0.0021, 0)</f>
        <v>38.213699999999996</v>
      </c>
      <c r="D235" s="14">
        <f>38.2116 * CHOOSE(CONTROL!$C$9, $D$9, 100%, $F$9) + CHOOSE(CONTROL!$C$27, 0.0021, 0)</f>
        <v>38.213699999999996</v>
      </c>
      <c r="E235" s="14">
        <f>38.0749 * CHOOSE(CONTROL!$C$9, $D$9, 100%, $F$9) + CHOOSE(CONTROL!$C$27, 0.0021, 0)</f>
        <v>38.076999999999998</v>
      </c>
      <c r="F235" s="14">
        <f>38.0749 * CHOOSE(CONTROL!$C$9, $D$9, 100%, $F$9) + CHOOSE(CONTROL!$C$27, 0.0021, 0)</f>
        <v>38.076999999999998</v>
      </c>
      <c r="G235" s="14">
        <f>38.3463 * CHOOSE(CONTROL!$C$9, $D$9, 100%, $F$9) + CHOOSE(CONTROL!$C$27, 0.0021, 0)</f>
        <v>38.348399999999998</v>
      </c>
      <c r="H235" s="14">
        <f>38.2116 * CHOOSE(CONTROL!$C$9, $D$9, 100%, $F$9) + CHOOSE(CONTROL!$C$27, 0.0021, 0)</f>
        <v>38.213699999999996</v>
      </c>
      <c r="I235" s="14">
        <f>38.2116 * CHOOSE(CONTROL!$C$9, $D$9, 100%, $F$9) + CHOOSE(CONTROL!$C$27, 0.0021, 0)</f>
        <v>38.213699999999996</v>
      </c>
      <c r="J235" s="14">
        <f>38.2116 * CHOOSE(CONTROL!$C$9, $D$9, 100%, $F$9) + CHOOSE(CONTROL!$C$27, 0.0021, 0)</f>
        <v>38.213699999999996</v>
      </c>
      <c r="K235" s="14">
        <f>38.2116 * CHOOSE(CONTROL!$C$9, $D$9, 100%, $F$9) + CHOOSE(CONTROL!$C$27, 0.0021, 0)</f>
        <v>38.213699999999996</v>
      </c>
      <c r="L235" s="14"/>
    </row>
    <row r="236" spans="1:12" ht="15" x14ac:dyDescent="0.2">
      <c r="A236" s="13">
        <v>48092</v>
      </c>
      <c r="B236" s="14">
        <f>39.383 * CHOOSE(CONTROL!$C$9, $D$9, 100%, $F$9) + CHOOSE(CONTROL!$C$27, 0.0021, 0)</f>
        <v>39.385100000000001</v>
      </c>
      <c r="C236" s="14">
        <f>38.9508 * CHOOSE(CONTROL!$C$9, $D$9, 100%, $F$9) + CHOOSE(CONTROL!$C$27, 0.0021, 0)</f>
        <v>38.9529</v>
      </c>
      <c r="D236" s="14">
        <f>38.9508 * CHOOSE(CONTROL!$C$9, $D$9, 100%, $F$9) + CHOOSE(CONTROL!$C$27, 0.0021, 0)</f>
        <v>38.9529</v>
      </c>
      <c r="E236" s="14">
        <f>38.8141 * CHOOSE(CONTROL!$C$9, $D$9, 100%, $F$9) + CHOOSE(CONTROL!$C$27, 0.0021, 0)</f>
        <v>38.816200000000002</v>
      </c>
      <c r="F236" s="14">
        <f>38.8141 * CHOOSE(CONTROL!$C$9, $D$9, 100%, $F$9) + CHOOSE(CONTROL!$C$27, 0.0021, 0)</f>
        <v>38.816200000000002</v>
      </c>
      <c r="G236" s="14">
        <f>39.0855 * CHOOSE(CONTROL!$C$9, $D$9, 100%, $F$9) + CHOOSE(CONTROL!$C$27, 0.0021, 0)</f>
        <v>39.087600000000002</v>
      </c>
      <c r="H236" s="14">
        <f>38.9508 * CHOOSE(CONTROL!$C$9, $D$9, 100%, $F$9) + CHOOSE(CONTROL!$C$27, 0.0021, 0)</f>
        <v>38.9529</v>
      </c>
      <c r="I236" s="14">
        <f>38.9508 * CHOOSE(CONTROL!$C$9, $D$9, 100%, $F$9) + CHOOSE(CONTROL!$C$27, 0.0021, 0)</f>
        <v>38.9529</v>
      </c>
      <c r="J236" s="14">
        <f>38.9508 * CHOOSE(CONTROL!$C$9, $D$9, 100%, $F$9) + CHOOSE(CONTROL!$C$27, 0.0021, 0)</f>
        <v>38.9529</v>
      </c>
      <c r="K236" s="14">
        <f>38.9508 * CHOOSE(CONTROL!$C$9, $D$9, 100%, $F$9) + CHOOSE(CONTROL!$C$27, 0.0021, 0)</f>
        <v>38.9529</v>
      </c>
      <c r="L236" s="14"/>
    </row>
    <row r="237" spans="1:12" ht="15" x14ac:dyDescent="0.2">
      <c r="A237" s="13">
        <v>48122</v>
      </c>
      <c r="B237" s="14">
        <f>40.3187 * CHOOSE(CONTROL!$C$9, $D$9, 100%, $F$9) + CHOOSE(CONTROL!$C$27, 0.0021, 0)</f>
        <v>40.320799999999998</v>
      </c>
      <c r="C237" s="14">
        <f>39.8865 * CHOOSE(CONTROL!$C$9, $D$9, 100%, $F$9) + CHOOSE(CONTROL!$C$27, 0.0021, 0)</f>
        <v>39.888599999999997</v>
      </c>
      <c r="D237" s="14">
        <f>39.8865 * CHOOSE(CONTROL!$C$9, $D$9, 100%, $F$9) + CHOOSE(CONTROL!$C$27, 0.0021, 0)</f>
        <v>39.888599999999997</v>
      </c>
      <c r="E237" s="14">
        <f>39.7498 * CHOOSE(CONTROL!$C$9, $D$9, 100%, $F$9) + CHOOSE(CONTROL!$C$27, 0.0021, 0)</f>
        <v>39.751899999999999</v>
      </c>
      <c r="F237" s="14">
        <f>39.7498 * CHOOSE(CONTROL!$C$9, $D$9, 100%, $F$9) + CHOOSE(CONTROL!$C$27, 0.0021, 0)</f>
        <v>39.751899999999999</v>
      </c>
      <c r="G237" s="14">
        <f>40.0212 * CHOOSE(CONTROL!$C$9, $D$9, 100%, $F$9) + CHOOSE(CONTROL!$C$27, 0.0021, 0)</f>
        <v>40.023299999999999</v>
      </c>
      <c r="H237" s="14">
        <f>39.8865 * CHOOSE(CONTROL!$C$9, $D$9, 100%, $F$9) + CHOOSE(CONTROL!$C$27, 0.0021, 0)</f>
        <v>39.888599999999997</v>
      </c>
      <c r="I237" s="14">
        <f>39.8865 * CHOOSE(CONTROL!$C$9, $D$9, 100%, $F$9) + CHOOSE(CONTROL!$C$27, 0.0021, 0)</f>
        <v>39.888599999999997</v>
      </c>
      <c r="J237" s="14">
        <f>39.8865 * CHOOSE(CONTROL!$C$9, $D$9, 100%, $F$9) + CHOOSE(CONTROL!$C$27, 0.0021, 0)</f>
        <v>39.888599999999997</v>
      </c>
      <c r="K237" s="14">
        <f>39.8865 * CHOOSE(CONTROL!$C$9, $D$9, 100%, $F$9) + CHOOSE(CONTROL!$C$27, 0.0021, 0)</f>
        <v>39.888599999999997</v>
      </c>
      <c r="L237" s="14"/>
    </row>
    <row r="238" spans="1:12" ht="15" x14ac:dyDescent="0.2">
      <c r="A238" s="13">
        <v>48153</v>
      </c>
      <c r="B238" s="14">
        <f>40.4066 * CHOOSE(CONTROL!$C$9, $D$9, 100%, $F$9) + CHOOSE(CONTROL!$C$27, 0.0021, 0)</f>
        <v>40.408699999999996</v>
      </c>
      <c r="C238" s="14">
        <f>39.9743 * CHOOSE(CONTROL!$C$9, $D$9, 100%, $F$9) + CHOOSE(CONTROL!$C$27, 0.0021, 0)</f>
        <v>39.976399999999998</v>
      </c>
      <c r="D238" s="14">
        <f>39.9743 * CHOOSE(CONTROL!$C$9, $D$9, 100%, $F$9) + CHOOSE(CONTROL!$C$27, 0.0021, 0)</f>
        <v>39.976399999999998</v>
      </c>
      <c r="E238" s="14">
        <f>39.8377 * CHOOSE(CONTROL!$C$9, $D$9, 100%, $F$9) + CHOOSE(CONTROL!$C$27, 0.0021, 0)</f>
        <v>39.839799999999997</v>
      </c>
      <c r="F238" s="14">
        <f>39.8377 * CHOOSE(CONTROL!$C$9, $D$9, 100%, $F$9) + CHOOSE(CONTROL!$C$27, 0.0021, 0)</f>
        <v>39.839799999999997</v>
      </c>
      <c r="G238" s="14">
        <f>40.109 * CHOOSE(CONTROL!$C$9, $D$9, 100%, $F$9) + CHOOSE(CONTROL!$C$27, 0.0021, 0)</f>
        <v>40.1111</v>
      </c>
      <c r="H238" s="14">
        <f>39.9743 * CHOOSE(CONTROL!$C$9, $D$9, 100%, $F$9) + CHOOSE(CONTROL!$C$27, 0.0021, 0)</f>
        <v>39.976399999999998</v>
      </c>
      <c r="I238" s="14">
        <f>39.9743 * CHOOSE(CONTROL!$C$9, $D$9, 100%, $F$9) + CHOOSE(CONTROL!$C$27, 0.0021, 0)</f>
        <v>39.976399999999998</v>
      </c>
      <c r="J238" s="14">
        <f>39.9743 * CHOOSE(CONTROL!$C$9, $D$9, 100%, $F$9) + CHOOSE(CONTROL!$C$27, 0.0021, 0)</f>
        <v>39.976399999999998</v>
      </c>
      <c r="K238" s="14">
        <f>39.9743 * CHOOSE(CONTROL!$C$9, $D$9, 100%, $F$9) + CHOOSE(CONTROL!$C$27, 0.0021, 0)</f>
        <v>39.976399999999998</v>
      </c>
      <c r="L238" s="14"/>
    </row>
    <row r="239" spans="1:12" ht="15" x14ac:dyDescent="0.2">
      <c r="A239" s="13">
        <v>48183</v>
      </c>
      <c r="B239" s="14">
        <f>39.6592 * CHOOSE(CONTROL!$C$9, $D$9, 100%, $F$9) + CHOOSE(CONTROL!$C$27, 0.0021, 0)</f>
        <v>39.661299999999997</v>
      </c>
      <c r="C239" s="14">
        <f>39.227 * CHOOSE(CONTROL!$C$9, $D$9, 100%, $F$9) + CHOOSE(CONTROL!$C$27, 0.0021, 0)</f>
        <v>39.229099999999995</v>
      </c>
      <c r="D239" s="14">
        <f>39.227 * CHOOSE(CONTROL!$C$9, $D$9, 100%, $F$9) + CHOOSE(CONTROL!$C$27, 0.0021, 0)</f>
        <v>39.229099999999995</v>
      </c>
      <c r="E239" s="14">
        <f>39.0903 * CHOOSE(CONTROL!$C$9, $D$9, 100%, $F$9) + CHOOSE(CONTROL!$C$27, 0.0021, 0)</f>
        <v>39.092399999999998</v>
      </c>
      <c r="F239" s="14">
        <f>39.0903 * CHOOSE(CONTROL!$C$9, $D$9, 100%, $F$9) + CHOOSE(CONTROL!$C$27, 0.0021, 0)</f>
        <v>39.092399999999998</v>
      </c>
      <c r="G239" s="14">
        <f>39.3617 * CHOOSE(CONTROL!$C$9, $D$9, 100%, $F$9) + CHOOSE(CONTROL!$C$27, 0.0021, 0)</f>
        <v>39.363799999999998</v>
      </c>
      <c r="H239" s="14">
        <f>39.227 * CHOOSE(CONTROL!$C$9, $D$9, 100%, $F$9) + CHOOSE(CONTROL!$C$27, 0.0021, 0)</f>
        <v>39.229099999999995</v>
      </c>
      <c r="I239" s="14">
        <f>39.227 * CHOOSE(CONTROL!$C$9, $D$9, 100%, $F$9) + CHOOSE(CONTROL!$C$27, 0.0021, 0)</f>
        <v>39.229099999999995</v>
      </c>
      <c r="J239" s="14">
        <f>39.227 * CHOOSE(CONTROL!$C$9, $D$9, 100%, $F$9) + CHOOSE(CONTROL!$C$27, 0.0021, 0)</f>
        <v>39.229099999999995</v>
      </c>
      <c r="K239" s="14">
        <f>39.227 * CHOOSE(CONTROL!$C$9, $D$9, 100%, $F$9) + CHOOSE(CONTROL!$C$27, 0.0021, 0)</f>
        <v>39.229099999999995</v>
      </c>
      <c r="L239" s="14"/>
    </row>
    <row r="240" spans="1:12" ht="15" x14ac:dyDescent="0.2">
      <c r="A240" s="13">
        <v>48214</v>
      </c>
      <c r="B240" s="14">
        <f>39.1869 * CHOOSE(CONTROL!$C$9, $D$9, 100%, $F$9) + CHOOSE(CONTROL!$C$27, 0.0021, 0)</f>
        <v>39.189</v>
      </c>
      <c r="C240" s="14">
        <f>38.7546 * CHOOSE(CONTROL!$C$9, $D$9, 100%, $F$9) + CHOOSE(CONTROL!$C$27, 0.0021, 0)</f>
        <v>38.756700000000002</v>
      </c>
      <c r="D240" s="14">
        <f>38.7546 * CHOOSE(CONTROL!$C$9, $D$9, 100%, $F$9) + CHOOSE(CONTROL!$C$27, 0.0021, 0)</f>
        <v>38.756700000000002</v>
      </c>
      <c r="E240" s="14">
        <f>38.618 * CHOOSE(CONTROL!$C$9, $D$9, 100%, $F$9) + CHOOSE(CONTROL!$C$27, 0.0021, 0)</f>
        <v>38.620100000000001</v>
      </c>
      <c r="F240" s="14">
        <f>38.618 * CHOOSE(CONTROL!$C$9, $D$9, 100%, $F$9) + CHOOSE(CONTROL!$C$27, 0.0021, 0)</f>
        <v>38.620100000000001</v>
      </c>
      <c r="G240" s="14">
        <f>38.8894 * CHOOSE(CONTROL!$C$9, $D$9, 100%, $F$9) + CHOOSE(CONTROL!$C$27, 0.0021, 0)</f>
        <v>38.891500000000001</v>
      </c>
      <c r="H240" s="14">
        <f>38.7546 * CHOOSE(CONTROL!$C$9, $D$9, 100%, $F$9) + CHOOSE(CONTROL!$C$27, 0.0021, 0)</f>
        <v>38.756700000000002</v>
      </c>
      <c r="I240" s="14">
        <f>38.7546 * CHOOSE(CONTROL!$C$9, $D$9, 100%, $F$9) + CHOOSE(CONTROL!$C$27, 0.0021, 0)</f>
        <v>38.756700000000002</v>
      </c>
      <c r="J240" s="14">
        <f>38.7546 * CHOOSE(CONTROL!$C$9, $D$9, 100%, $F$9) + CHOOSE(CONTROL!$C$27, 0.0021, 0)</f>
        <v>38.756700000000002</v>
      </c>
      <c r="K240" s="14">
        <f>38.7546 * CHOOSE(CONTROL!$C$9, $D$9, 100%, $F$9) + CHOOSE(CONTROL!$C$27, 0.0021, 0)</f>
        <v>38.756700000000002</v>
      </c>
      <c r="L240" s="14"/>
    </row>
    <row r="241" spans="1:12" ht="15" x14ac:dyDescent="0.2">
      <c r="A241" s="13">
        <v>48245</v>
      </c>
      <c r="B241" s="14">
        <f>38.1433 * CHOOSE(CONTROL!$C$9, $D$9, 100%, $F$9) + CHOOSE(CONTROL!$C$27, 0.0021, 0)</f>
        <v>38.145400000000002</v>
      </c>
      <c r="C241" s="14">
        <f>37.7111 * CHOOSE(CONTROL!$C$9, $D$9, 100%, $F$9) + CHOOSE(CONTROL!$C$27, 0.0021, 0)</f>
        <v>37.713200000000001</v>
      </c>
      <c r="D241" s="14">
        <f>37.7111 * CHOOSE(CONTROL!$C$9, $D$9, 100%, $F$9) + CHOOSE(CONTROL!$C$27, 0.0021, 0)</f>
        <v>37.713200000000001</v>
      </c>
      <c r="E241" s="14">
        <f>37.5744 * CHOOSE(CONTROL!$C$9, $D$9, 100%, $F$9) + CHOOSE(CONTROL!$C$27, 0.0021, 0)</f>
        <v>37.576499999999996</v>
      </c>
      <c r="F241" s="14">
        <f>37.5744 * CHOOSE(CONTROL!$C$9, $D$9, 100%, $F$9) + CHOOSE(CONTROL!$C$27, 0.0021, 0)</f>
        <v>37.576499999999996</v>
      </c>
      <c r="G241" s="14">
        <f>37.8458 * CHOOSE(CONTROL!$C$9, $D$9, 100%, $F$9) + CHOOSE(CONTROL!$C$27, 0.0021, 0)</f>
        <v>37.847899999999996</v>
      </c>
      <c r="H241" s="14">
        <f>37.7111 * CHOOSE(CONTROL!$C$9, $D$9, 100%, $F$9) + CHOOSE(CONTROL!$C$27, 0.0021, 0)</f>
        <v>37.713200000000001</v>
      </c>
      <c r="I241" s="14">
        <f>37.7111 * CHOOSE(CONTROL!$C$9, $D$9, 100%, $F$9) + CHOOSE(CONTROL!$C$27, 0.0021, 0)</f>
        <v>37.713200000000001</v>
      </c>
      <c r="J241" s="14">
        <f>37.7111 * CHOOSE(CONTROL!$C$9, $D$9, 100%, $F$9) + CHOOSE(CONTROL!$C$27, 0.0021, 0)</f>
        <v>37.713200000000001</v>
      </c>
      <c r="K241" s="14">
        <f>37.7111 * CHOOSE(CONTROL!$C$9, $D$9, 100%, $F$9) + CHOOSE(CONTROL!$C$27, 0.0021, 0)</f>
        <v>37.713200000000001</v>
      </c>
      <c r="L241" s="14"/>
    </row>
    <row r="242" spans="1:12" ht="15" x14ac:dyDescent="0.2">
      <c r="A242" s="13">
        <v>48274</v>
      </c>
      <c r="B242" s="14">
        <f>37.7125 * CHOOSE(CONTROL!$C$9, $D$9, 100%, $F$9) + CHOOSE(CONTROL!$C$27, 0.0021, 0)</f>
        <v>37.714599999999997</v>
      </c>
      <c r="C242" s="14">
        <f>37.2803 * CHOOSE(CONTROL!$C$9, $D$9, 100%, $F$9) + CHOOSE(CONTROL!$C$27, 0.0021, 0)</f>
        <v>37.282399999999996</v>
      </c>
      <c r="D242" s="14">
        <f>37.2803 * CHOOSE(CONTROL!$C$9, $D$9, 100%, $F$9) + CHOOSE(CONTROL!$C$27, 0.0021, 0)</f>
        <v>37.282399999999996</v>
      </c>
      <c r="E242" s="14">
        <f>37.1436 * CHOOSE(CONTROL!$C$9, $D$9, 100%, $F$9) + CHOOSE(CONTROL!$C$27, 0.0021, 0)</f>
        <v>37.145699999999998</v>
      </c>
      <c r="F242" s="14">
        <f>37.1436 * CHOOSE(CONTROL!$C$9, $D$9, 100%, $F$9) + CHOOSE(CONTROL!$C$27, 0.0021, 0)</f>
        <v>37.145699999999998</v>
      </c>
      <c r="G242" s="14">
        <f>37.415 * CHOOSE(CONTROL!$C$9, $D$9, 100%, $F$9) + CHOOSE(CONTROL!$C$27, 0.0021, 0)</f>
        <v>37.417099999999998</v>
      </c>
      <c r="H242" s="14">
        <f>37.2803 * CHOOSE(CONTROL!$C$9, $D$9, 100%, $F$9) + CHOOSE(CONTROL!$C$27, 0.0021, 0)</f>
        <v>37.282399999999996</v>
      </c>
      <c r="I242" s="14">
        <f>37.2803 * CHOOSE(CONTROL!$C$9, $D$9, 100%, $F$9) + CHOOSE(CONTROL!$C$27, 0.0021, 0)</f>
        <v>37.282399999999996</v>
      </c>
      <c r="J242" s="14">
        <f>37.2803 * CHOOSE(CONTROL!$C$9, $D$9, 100%, $F$9) + CHOOSE(CONTROL!$C$27, 0.0021, 0)</f>
        <v>37.282399999999996</v>
      </c>
      <c r="K242" s="14">
        <f>37.2803 * CHOOSE(CONTROL!$C$9, $D$9, 100%, $F$9) + CHOOSE(CONTROL!$C$27, 0.0021, 0)</f>
        <v>37.282399999999996</v>
      </c>
      <c r="L242" s="14"/>
    </row>
    <row r="243" spans="1:12" ht="15" x14ac:dyDescent="0.2">
      <c r="A243" s="13">
        <v>48305</v>
      </c>
      <c r="B243" s="14">
        <f>37.1982 * CHOOSE(CONTROL!$C$9, $D$9, 100%, $F$9) + CHOOSE(CONTROL!$C$27, 0.0021, 0)</f>
        <v>37.200299999999999</v>
      </c>
      <c r="C243" s="14">
        <f>36.7659 * CHOOSE(CONTROL!$C$9, $D$9, 100%, $F$9) + CHOOSE(CONTROL!$C$27, 0.0021, 0)</f>
        <v>36.768000000000001</v>
      </c>
      <c r="D243" s="14">
        <f>36.7659 * CHOOSE(CONTROL!$C$9, $D$9, 100%, $F$9) + CHOOSE(CONTROL!$C$27, 0.0021, 0)</f>
        <v>36.768000000000001</v>
      </c>
      <c r="E243" s="14">
        <f>36.6293 * CHOOSE(CONTROL!$C$9, $D$9, 100%, $F$9) + CHOOSE(CONTROL!$C$27, 0.0021, 0)</f>
        <v>36.631399999999999</v>
      </c>
      <c r="F243" s="14">
        <f>36.6293 * CHOOSE(CONTROL!$C$9, $D$9, 100%, $F$9) + CHOOSE(CONTROL!$C$27, 0.0021, 0)</f>
        <v>36.631399999999999</v>
      </c>
      <c r="G243" s="14">
        <f>36.9006 * CHOOSE(CONTROL!$C$9, $D$9, 100%, $F$9) + CHOOSE(CONTROL!$C$27, 0.0021, 0)</f>
        <v>36.902699999999996</v>
      </c>
      <c r="H243" s="14">
        <f>36.7659 * CHOOSE(CONTROL!$C$9, $D$9, 100%, $F$9) + CHOOSE(CONTROL!$C$27, 0.0021, 0)</f>
        <v>36.768000000000001</v>
      </c>
      <c r="I243" s="14">
        <f>36.7659 * CHOOSE(CONTROL!$C$9, $D$9, 100%, $F$9) + CHOOSE(CONTROL!$C$27, 0.0021, 0)</f>
        <v>36.768000000000001</v>
      </c>
      <c r="J243" s="14">
        <f>36.7659 * CHOOSE(CONTROL!$C$9, $D$9, 100%, $F$9) + CHOOSE(CONTROL!$C$27, 0.0021, 0)</f>
        <v>36.768000000000001</v>
      </c>
      <c r="K243" s="14">
        <f>36.7659 * CHOOSE(CONTROL!$C$9, $D$9, 100%, $F$9) + CHOOSE(CONTROL!$C$27, 0.0021, 0)</f>
        <v>36.768000000000001</v>
      </c>
      <c r="L243" s="14"/>
    </row>
    <row r="244" spans="1:12" ht="15" x14ac:dyDescent="0.2">
      <c r="A244" s="13">
        <v>48335</v>
      </c>
      <c r="B244" s="14">
        <f>37.9312 * CHOOSE(CONTROL!$C$9, $D$9, 100%, $F$9) + CHOOSE(CONTROL!$C$27, 0.0021, 0)</f>
        <v>37.933299999999996</v>
      </c>
      <c r="C244" s="14">
        <f>37.4989 * CHOOSE(CONTROL!$C$9, $D$9, 100%, $F$9) + CHOOSE(CONTROL!$C$27, 0.0021, 0)</f>
        <v>37.500999999999998</v>
      </c>
      <c r="D244" s="14">
        <f>37.4989 * CHOOSE(CONTROL!$C$9, $D$9, 100%, $F$9) + CHOOSE(CONTROL!$C$27, 0.0021, 0)</f>
        <v>37.500999999999998</v>
      </c>
      <c r="E244" s="14">
        <f>37.3623 * CHOOSE(CONTROL!$C$9, $D$9, 100%, $F$9) + CHOOSE(CONTROL!$C$27, 0.0021, 0)</f>
        <v>37.364399999999996</v>
      </c>
      <c r="F244" s="14">
        <f>37.3623 * CHOOSE(CONTROL!$C$9, $D$9, 100%, $F$9) + CHOOSE(CONTROL!$C$27, 0.0021, 0)</f>
        <v>37.364399999999996</v>
      </c>
      <c r="G244" s="14">
        <f>37.6337 * CHOOSE(CONTROL!$C$9, $D$9, 100%, $F$9) + CHOOSE(CONTROL!$C$27, 0.0021, 0)</f>
        <v>37.635799999999996</v>
      </c>
      <c r="H244" s="14">
        <f>37.4989 * CHOOSE(CONTROL!$C$9, $D$9, 100%, $F$9) + CHOOSE(CONTROL!$C$27, 0.0021, 0)</f>
        <v>37.500999999999998</v>
      </c>
      <c r="I244" s="14">
        <f>37.4989 * CHOOSE(CONTROL!$C$9, $D$9, 100%, $F$9) + CHOOSE(CONTROL!$C$27, 0.0021, 0)</f>
        <v>37.500999999999998</v>
      </c>
      <c r="J244" s="14">
        <f>37.4989 * CHOOSE(CONTROL!$C$9, $D$9, 100%, $F$9) + CHOOSE(CONTROL!$C$27, 0.0021, 0)</f>
        <v>37.500999999999998</v>
      </c>
      <c r="K244" s="14">
        <f>37.4989 * CHOOSE(CONTROL!$C$9, $D$9, 100%, $F$9) + CHOOSE(CONTROL!$C$27, 0.0021, 0)</f>
        <v>37.500999999999998</v>
      </c>
      <c r="L244" s="14"/>
    </row>
    <row r="245" spans="1:12" ht="15" x14ac:dyDescent="0.2">
      <c r="A245" s="13">
        <v>48366</v>
      </c>
      <c r="B245" s="14">
        <f>38.3703 * CHOOSE(CONTROL!$C$9, $D$9, 100%, $F$9) + CHOOSE(CONTROL!$C$27, 0.0021, 0)</f>
        <v>38.372399999999999</v>
      </c>
      <c r="C245" s="14">
        <f>37.938 * CHOOSE(CONTROL!$C$9, $D$9, 100%, $F$9) + CHOOSE(CONTROL!$C$27, 0.0021, 0)</f>
        <v>37.940100000000001</v>
      </c>
      <c r="D245" s="14">
        <f>37.938 * CHOOSE(CONTROL!$C$9, $D$9, 100%, $F$9) + CHOOSE(CONTROL!$C$27, 0.0021, 0)</f>
        <v>37.940100000000001</v>
      </c>
      <c r="E245" s="14">
        <f>37.8014 * CHOOSE(CONTROL!$C$9, $D$9, 100%, $F$9) + CHOOSE(CONTROL!$C$27, 0.0021, 0)</f>
        <v>37.8035</v>
      </c>
      <c r="F245" s="14">
        <f>37.8014 * CHOOSE(CONTROL!$C$9, $D$9, 100%, $F$9) + CHOOSE(CONTROL!$C$27, 0.0021, 0)</f>
        <v>37.8035</v>
      </c>
      <c r="G245" s="14">
        <f>38.0727 * CHOOSE(CONTROL!$C$9, $D$9, 100%, $F$9) + CHOOSE(CONTROL!$C$27, 0.0021, 0)</f>
        <v>38.074799999999996</v>
      </c>
      <c r="H245" s="14">
        <f>37.938 * CHOOSE(CONTROL!$C$9, $D$9, 100%, $F$9) + CHOOSE(CONTROL!$C$27, 0.0021, 0)</f>
        <v>37.940100000000001</v>
      </c>
      <c r="I245" s="14">
        <f>37.938 * CHOOSE(CONTROL!$C$9, $D$9, 100%, $F$9) + CHOOSE(CONTROL!$C$27, 0.0021, 0)</f>
        <v>37.940100000000001</v>
      </c>
      <c r="J245" s="14">
        <f>37.938 * CHOOSE(CONTROL!$C$9, $D$9, 100%, $F$9) + CHOOSE(CONTROL!$C$27, 0.0021, 0)</f>
        <v>37.940100000000001</v>
      </c>
      <c r="K245" s="14">
        <f>37.938 * CHOOSE(CONTROL!$C$9, $D$9, 100%, $F$9) + CHOOSE(CONTROL!$C$27, 0.0021, 0)</f>
        <v>37.940100000000001</v>
      </c>
      <c r="L245" s="14"/>
    </row>
    <row r="246" spans="1:12" ht="15" x14ac:dyDescent="0.2">
      <c r="A246" s="13">
        <v>48396</v>
      </c>
      <c r="B246" s="14">
        <f>39.0945 * CHOOSE(CONTROL!$C$9, $D$9, 100%, $F$9) + CHOOSE(CONTROL!$C$27, 0.0021, 0)</f>
        <v>39.096599999999995</v>
      </c>
      <c r="C246" s="14">
        <f>38.6623 * CHOOSE(CONTROL!$C$9, $D$9, 100%, $F$9) + CHOOSE(CONTROL!$C$27, 0.0021, 0)</f>
        <v>38.664400000000001</v>
      </c>
      <c r="D246" s="14">
        <f>38.6623 * CHOOSE(CONTROL!$C$9, $D$9, 100%, $F$9) + CHOOSE(CONTROL!$C$27, 0.0021, 0)</f>
        <v>38.664400000000001</v>
      </c>
      <c r="E246" s="14">
        <f>38.5256 * CHOOSE(CONTROL!$C$9, $D$9, 100%, $F$9) + CHOOSE(CONTROL!$C$27, 0.0021, 0)</f>
        <v>38.527699999999996</v>
      </c>
      <c r="F246" s="14">
        <f>38.5256 * CHOOSE(CONTROL!$C$9, $D$9, 100%, $F$9) + CHOOSE(CONTROL!$C$27, 0.0021, 0)</f>
        <v>38.527699999999996</v>
      </c>
      <c r="G246" s="14">
        <f>38.797 * CHOOSE(CONTROL!$C$9, $D$9, 100%, $F$9) + CHOOSE(CONTROL!$C$27, 0.0021, 0)</f>
        <v>38.799099999999996</v>
      </c>
      <c r="H246" s="14">
        <f>38.6623 * CHOOSE(CONTROL!$C$9, $D$9, 100%, $F$9) + CHOOSE(CONTROL!$C$27, 0.0021, 0)</f>
        <v>38.664400000000001</v>
      </c>
      <c r="I246" s="14">
        <f>38.6623 * CHOOSE(CONTROL!$C$9, $D$9, 100%, $F$9) + CHOOSE(CONTROL!$C$27, 0.0021, 0)</f>
        <v>38.664400000000001</v>
      </c>
      <c r="J246" s="14">
        <f>38.6623 * CHOOSE(CONTROL!$C$9, $D$9, 100%, $F$9) + CHOOSE(CONTROL!$C$27, 0.0021, 0)</f>
        <v>38.664400000000001</v>
      </c>
      <c r="K246" s="14">
        <f>38.6623 * CHOOSE(CONTROL!$C$9, $D$9, 100%, $F$9) + CHOOSE(CONTROL!$C$27, 0.0021, 0)</f>
        <v>38.664400000000001</v>
      </c>
      <c r="L246" s="14"/>
    </row>
    <row r="247" spans="1:12" ht="15" x14ac:dyDescent="0.2">
      <c r="A247" s="13">
        <v>48427</v>
      </c>
      <c r="B247" s="14">
        <f>39.3156 * CHOOSE(CONTROL!$C$9, $D$9, 100%, $F$9) + CHOOSE(CONTROL!$C$27, 0.0021, 0)</f>
        <v>39.317700000000002</v>
      </c>
      <c r="C247" s="14">
        <f>38.8834 * CHOOSE(CONTROL!$C$9, $D$9, 100%, $F$9) + CHOOSE(CONTROL!$C$27, 0.0021, 0)</f>
        <v>38.8855</v>
      </c>
      <c r="D247" s="14">
        <f>38.8834 * CHOOSE(CONTROL!$C$9, $D$9, 100%, $F$9) + CHOOSE(CONTROL!$C$27, 0.0021, 0)</f>
        <v>38.8855</v>
      </c>
      <c r="E247" s="14">
        <f>38.7467 * CHOOSE(CONTROL!$C$9, $D$9, 100%, $F$9) + CHOOSE(CONTROL!$C$27, 0.0021, 0)</f>
        <v>38.748799999999996</v>
      </c>
      <c r="F247" s="14">
        <f>38.7467 * CHOOSE(CONTROL!$C$9, $D$9, 100%, $F$9) + CHOOSE(CONTROL!$C$27, 0.0021, 0)</f>
        <v>38.748799999999996</v>
      </c>
      <c r="G247" s="14">
        <f>39.0181 * CHOOSE(CONTROL!$C$9, $D$9, 100%, $F$9) + CHOOSE(CONTROL!$C$27, 0.0021, 0)</f>
        <v>39.020199999999996</v>
      </c>
      <c r="H247" s="14">
        <f>38.8834 * CHOOSE(CONTROL!$C$9, $D$9, 100%, $F$9) + CHOOSE(CONTROL!$C$27, 0.0021, 0)</f>
        <v>38.8855</v>
      </c>
      <c r="I247" s="14">
        <f>38.8834 * CHOOSE(CONTROL!$C$9, $D$9, 100%, $F$9) + CHOOSE(CONTROL!$C$27, 0.0021, 0)</f>
        <v>38.8855</v>
      </c>
      <c r="J247" s="14">
        <f>38.8834 * CHOOSE(CONTROL!$C$9, $D$9, 100%, $F$9) + CHOOSE(CONTROL!$C$27, 0.0021, 0)</f>
        <v>38.8855</v>
      </c>
      <c r="K247" s="14">
        <f>38.8834 * CHOOSE(CONTROL!$C$9, $D$9, 100%, $F$9) + CHOOSE(CONTROL!$C$27, 0.0021, 0)</f>
        <v>38.8855</v>
      </c>
      <c r="L247" s="14"/>
    </row>
    <row r="248" spans="1:12" ht="15" x14ac:dyDescent="0.2">
      <c r="A248" s="13">
        <v>48458</v>
      </c>
      <c r="B248" s="14">
        <f>40.0685 * CHOOSE(CONTROL!$C$9, $D$9, 100%, $F$9) + CHOOSE(CONTROL!$C$27, 0.0021, 0)</f>
        <v>40.070599999999999</v>
      </c>
      <c r="C248" s="14">
        <f>39.6362 * CHOOSE(CONTROL!$C$9, $D$9, 100%, $F$9) + CHOOSE(CONTROL!$C$27, 0.0021, 0)</f>
        <v>39.638300000000001</v>
      </c>
      <c r="D248" s="14">
        <f>39.6362 * CHOOSE(CONTROL!$C$9, $D$9, 100%, $F$9) + CHOOSE(CONTROL!$C$27, 0.0021, 0)</f>
        <v>39.638300000000001</v>
      </c>
      <c r="E248" s="14">
        <f>39.4996 * CHOOSE(CONTROL!$C$9, $D$9, 100%, $F$9) + CHOOSE(CONTROL!$C$27, 0.0021, 0)</f>
        <v>39.5017</v>
      </c>
      <c r="F248" s="14">
        <f>39.4996 * CHOOSE(CONTROL!$C$9, $D$9, 100%, $F$9) + CHOOSE(CONTROL!$C$27, 0.0021, 0)</f>
        <v>39.5017</v>
      </c>
      <c r="G248" s="14">
        <f>39.771 * CHOOSE(CONTROL!$C$9, $D$9, 100%, $F$9) + CHOOSE(CONTROL!$C$27, 0.0021, 0)</f>
        <v>39.773099999999999</v>
      </c>
      <c r="H248" s="14">
        <f>39.6362 * CHOOSE(CONTROL!$C$9, $D$9, 100%, $F$9) + CHOOSE(CONTROL!$C$27, 0.0021, 0)</f>
        <v>39.638300000000001</v>
      </c>
      <c r="I248" s="14">
        <f>39.6362 * CHOOSE(CONTROL!$C$9, $D$9, 100%, $F$9) + CHOOSE(CONTROL!$C$27, 0.0021, 0)</f>
        <v>39.638300000000001</v>
      </c>
      <c r="J248" s="14">
        <f>39.6362 * CHOOSE(CONTROL!$C$9, $D$9, 100%, $F$9) + CHOOSE(CONTROL!$C$27, 0.0021, 0)</f>
        <v>39.638300000000001</v>
      </c>
      <c r="K248" s="14">
        <f>39.6362 * CHOOSE(CONTROL!$C$9, $D$9, 100%, $F$9) + CHOOSE(CONTROL!$C$27, 0.0021, 0)</f>
        <v>39.638300000000001</v>
      </c>
      <c r="L248" s="14"/>
    </row>
    <row r="249" spans="1:12" ht="15" x14ac:dyDescent="0.2">
      <c r="A249" s="13">
        <v>48488</v>
      </c>
      <c r="B249" s="14">
        <f>41.0215 * CHOOSE(CONTROL!$C$9, $D$9, 100%, $F$9) + CHOOSE(CONTROL!$C$27, 0.0021, 0)</f>
        <v>41.023600000000002</v>
      </c>
      <c r="C249" s="14">
        <f>40.5892 * CHOOSE(CONTROL!$C$9, $D$9, 100%, $F$9) + CHOOSE(CONTROL!$C$27, 0.0021, 0)</f>
        <v>40.591299999999997</v>
      </c>
      <c r="D249" s="14">
        <f>40.5892 * CHOOSE(CONTROL!$C$9, $D$9, 100%, $F$9) + CHOOSE(CONTROL!$C$27, 0.0021, 0)</f>
        <v>40.591299999999997</v>
      </c>
      <c r="E249" s="14">
        <f>40.4526 * CHOOSE(CONTROL!$C$9, $D$9, 100%, $F$9) + CHOOSE(CONTROL!$C$27, 0.0021, 0)</f>
        <v>40.454699999999995</v>
      </c>
      <c r="F249" s="14">
        <f>40.4526 * CHOOSE(CONTROL!$C$9, $D$9, 100%, $F$9) + CHOOSE(CONTROL!$C$27, 0.0021, 0)</f>
        <v>40.454699999999995</v>
      </c>
      <c r="G249" s="14">
        <f>40.724 * CHOOSE(CONTROL!$C$9, $D$9, 100%, $F$9) + CHOOSE(CONTROL!$C$27, 0.0021, 0)</f>
        <v>40.726099999999995</v>
      </c>
      <c r="H249" s="14">
        <f>40.5892 * CHOOSE(CONTROL!$C$9, $D$9, 100%, $F$9) + CHOOSE(CONTROL!$C$27, 0.0021, 0)</f>
        <v>40.591299999999997</v>
      </c>
      <c r="I249" s="14">
        <f>40.5892 * CHOOSE(CONTROL!$C$9, $D$9, 100%, $F$9) + CHOOSE(CONTROL!$C$27, 0.0021, 0)</f>
        <v>40.591299999999997</v>
      </c>
      <c r="J249" s="14">
        <f>40.5892 * CHOOSE(CONTROL!$C$9, $D$9, 100%, $F$9) + CHOOSE(CONTROL!$C$27, 0.0021, 0)</f>
        <v>40.591299999999997</v>
      </c>
      <c r="K249" s="14">
        <f>40.5892 * CHOOSE(CONTROL!$C$9, $D$9, 100%, $F$9) + CHOOSE(CONTROL!$C$27, 0.0021, 0)</f>
        <v>40.591299999999997</v>
      </c>
      <c r="L249" s="14"/>
    </row>
    <row r="250" spans="1:12" ht="15" x14ac:dyDescent="0.2">
      <c r="A250" s="13">
        <v>48519</v>
      </c>
      <c r="B250" s="14">
        <f>41.111 * CHOOSE(CONTROL!$C$9, $D$9, 100%, $F$9) + CHOOSE(CONTROL!$C$27, 0.0021, 0)</f>
        <v>41.113099999999996</v>
      </c>
      <c r="C250" s="14">
        <f>40.6787 * CHOOSE(CONTROL!$C$9, $D$9, 100%, $F$9) + CHOOSE(CONTROL!$C$27, 0.0021, 0)</f>
        <v>40.680799999999998</v>
      </c>
      <c r="D250" s="14">
        <f>40.6787 * CHOOSE(CONTROL!$C$9, $D$9, 100%, $F$9) + CHOOSE(CONTROL!$C$27, 0.0021, 0)</f>
        <v>40.680799999999998</v>
      </c>
      <c r="E250" s="14">
        <f>40.542 * CHOOSE(CONTROL!$C$9, $D$9, 100%, $F$9) + CHOOSE(CONTROL!$C$27, 0.0021, 0)</f>
        <v>40.5441</v>
      </c>
      <c r="F250" s="14">
        <f>40.542 * CHOOSE(CONTROL!$C$9, $D$9, 100%, $F$9) + CHOOSE(CONTROL!$C$27, 0.0021, 0)</f>
        <v>40.5441</v>
      </c>
      <c r="G250" s="14">
        <f>40.8134 * CHOOSE(CONTROL!$C$9, $D$9, 100%, $F$9) + CHOOSE(CONTROL!$C$27, 0.0021, 0)</f>
        <v>40.8155</v>
      </c>
      <c r="H250" s="14">
        <f>40.6787 * CHOOSE(CONTROL!$C$9, $D$9, 100%, $F$9) + CHOOSE(CONTROL!$C$27, 0.0021, 0)</f>
        <v>40.680799999999998</v>
      </c>
      <c r="I250" s="14">
        <f>40.6787 * CHOOSE(CONTROL!$C$9, $D$9, 100%, $F$9) + CHOOSE(CONTROL!$C$27, 0.0021, 0)</f>
        <v>40.680799999999998</v>
      </c>
      <c r="J250" s="14">
        <f>40.6787 * CHOOSE(CONTROL!$C$9, $D$9, 100%, $F$9) + CHOOSE(CONTROL!$C$27, 0.0021, 0)</f>
        <v>40.680799999999998</v>
      </c>
      <c r="K250" s="14">
        <f>40.6787 * CHOOSE(CONTROL!$C$9, $D$9, 100%, $F$9) + CHOOSE(CONTROL!$C$27, 0.0021, 0)</f>
        <v>40.680799999999998</v>
      </c>
      <c r="L250" s="14"/>
    </row>
    <row r="251" spans="1:12" ht="15" x14ac:dyDescent="0.2">
      <c r="A251" s="13">
        <v>48549</v>
      </c>
      <c r="B251" s="14">
        <f>40.3498 * CHOOSE(CONTROL!$C$9, $D$9, 100%, $F$9) + CHOOSE(CONTROL!$C$27, 0.0021, 0)</f>
        <v>40.351900000000001</v>
      </c>
      <c r="C251" s="14">
        <f>39.9176 * CHOOSE(CONTROL!$C$9, $D$9, 100%, $F$9) + CHOOSE(CONTROL!$C$27, 0.0021, 0)</f>
        <v>39.919699999999999</v>
      </c>
      <c r="D251" s="14">
        <f>39.9176 * CHOOSE(CONTROL!$C$9, $D$9, 100%, $F$9) + CHOOSE(CONTROL!$C$27, 0.0021, 0)</f>
        <v>39.919699999999999</v>
      </c>
      <c r="E251" s="14">
        <f>39.7809 * CHOOSE(CONTROL!$C$9, $D$9, 100%, $F$9) + CHOOSE(CONTROL!$C$27, 0.0021, 0)</f>
        <v>39.783000000000001</v>
      </c>
      <c r="F251" s="14">
        <f>39.7809 * CHOOSE(CONTROL!$C$9, $D$9, 100%, $F$9) + CHOOSE(CONTROL!$C$27, 0.0021, 0)</f>
        <v>39.783000000000001</v>
      </c>
      <c r="G251" s="14">
        <f>40.0523 * CHOOSE(CONTROL!$C$9, $D$9, 100%, $F$9) + CHOOSE(CONTROL!$C$27, 0.0021, 0)</f>
        <v>40.054400000000001</v>
      </c>
      <c r="H251" s="14">
        <f>39.9176 * CHOOSE(CONTROL!$C$9, $D$9, 100%, $F$9) + CHOOSE(CONTROL!$C$27, 0.0021, 0)</f>
        <v>39.919699999999999</v>
      </c>
      <c r="I251" s="14">
        <f>39.9176 * CHOOSE(CONTROL!$C$9, $D$9, 100%, $F$9) + CHOOSE(CONTROL!$C$27, 0.0021, 0)</f>
        <v>39.919699999999999</v>
      </c>
      <c r="J251" s="14">
        <f>39.9176 * CHOOSE(CONTROL!$C$9, $D$9, 100%, $F$9) + CHOOSE(CONTROL!$C$27, 0.0021, 0)</f>
        <v>39.919699999999999</v>
      </c>
      <c r="K251" s="14">
        <f>39.9176 * CHOOSE(CONTROL!$C$9, $D$9, 100%, $F$9) + CHOOSE(CONTROL!$C$27, 0.0021, 0)</f>
        <v>39.919699999999999</v>
      </c>
      <c r="L251" s="14"/>
    </row>
    <row r="252" spans="1:12" ht="15" x14ac:dyDescent="0.2">
      <c r="A252" s="13">
        <v>48580</v>
      </c>
      <c r="B252" s="14">
        <f>39.8687 * CHOOSE(CONTROL!$C$9, $D$9, 100%, $F$9) + CHOOSE(CONTROL!$C$27, 0.0021, 0)</f>
        <v>39.870799999999996</v>
      </c>
      <c r="C252" s="14">
        <f>39.4365 * CHOOSE(CONTROL!$C$9, $D$9, 100%, $F$9) + CHOOSE(CONTROL!$C$27, 0.0021, 0)</f>
        <v>39.438600000000001</v>
      </c>
      <c r="D252" s="14">
        <f>39.4365 * CHOOSE(CONTROL!$C$9, $D$9, 100%, $F$9) + CHOOSE(CONTROL!$C$27, 0.0021, 0)</f>
        <v>39.438600000000001</v>
      </c>
      <c r="E252" s="14">
        <f>39.2998 * CHOOSE(CONTROL!$C$9, $D$9, 100%, $F$9) + CHOOSE(CONTROL!$C$27, 0.0021, 0)</f>
        <v>39.301899999999996</v>
      </c>
      <c r="F252" s="14">
        <f>39.2998 * CHOOSE(CONTROL!$C$9, $D$9, 100%, $F$9) + CHOOSE(CONTROL!$C$27, 0.0021, 0)</f>
        <v>39.301899999999996</v>
      </c>
      <c r="G252" s="14">
        <f>39.5712 * CHOOSE(CONTROL!$C$9, $D$9, 100%, $F$9) + CHOOSE(CONTROL!$C$27, 0.0021, 0)</f>
        <v>39.573299999999996</v>
      </c>
      <c r="H252" s="14">
        <f>39.4365 * CHOOSE(CONTROL!$C$9, $D$9, 100%, $F$9) + CHOOSE(CONTROL!$C$27, 0.0021, 0)</f>
        <v>39.438600000000001</v>
      </c>
      <c r="I252" s="14">
        <f>39.4365 * CHOOSE(CONTROL!$C$9, $D$9, 100%, $F$9) + CHOOSE(CONTROL!$C$27, 0.0021, 0)</f>
        <v>39.438600000000001</v>
      </c>
      <c r="J252" s="14">
        <f>39.4365 * CHOOSE(CONTROL!$C$9, $D$9, 100%, $F$9) + CHOOSE(CONTROL!$C$27, 0.0021, 0)</f>
        <v>39.438600000000001</v>
      </c>
      <c r="K252" s="14">
        <f>39.4365 * CHOOSE(CONTROL!$C$9, $D$9, 100%, $F$9) + CHOOSE(CONTROL!$C$27, 0.0021, 0)</f>
        <v>39.438600000000001</v>
      </c>
      <c r="L252" s="14"/>
    </row>
    <row r="253" spans="1:12" ht="15" x14ac:dyDescent="0.2">
      <c r="A253" s="13">
        <v>48611</v>
      </c>
      <c r="B253" s="14">
        <f>38.8059 * CHOOSE(CONTROL!$C$9, $D$9, 100%, $F$9) + CHOOSE(CONTROL!$C$27, 0.0021, 0)</f>
        <v>38.808</v>
      </c>
      <c r="C253" s="14">
        <f>38.3736 * CHOOSE(CONTROL!$C$9, $D$9, 100%, $F$9) + CHOOSE(CONTROL!$C$27, 0.0021, 0)</f>
        <v>38.375700000000002</v>
      </c>
      <c r="D253" s="14">
        <f>38.3736 * CHOOSE(CONTROL!$C$9, $D$9, 100%, $F$9) + CHOOSE(CONTROL!$C$27, 0.0021, 0)</f>
        <v>38.375700000000002</v>
      </c>
      <c r="E253" s="14">
        <f>38.237 * CHOOSE(CONTROL!$C$9, $D$9, 100%, $F$9) + CHOOSE(CONTROL!$C$27, 0.0021, 0)</f>
        <v>38.239100000000001</v>
      </c>
      <c r="F253" s="14">
        <f>38.237 * CHOOSE(CONTROL!$C$9, $D$9, 100%, $F$9) + CHOOSE(CONTROL!$C$27, 0.0021, 0)</f>
        <v>38.239100000000001</v>
      </c>
      <c r="G253" s="14">
        <f>38.5083 * CHOOSE(CONTROL!$C$9, $D$9, 100%, $F$9) + CHOOSE(CONTROL!$C$27, 0.0021, 0)</f>
        <v>38.510399999999997</v>
      </c>
      <c r="H253" s="14">
        <f>38.3736 * CHOOSE(CONTROL!$C$9, $D$9, 100%, $F$9) + CHOOSE(CONTROL!$C$27, 0.0021, 0)</f>
        <v>38.375700000000002</v>
      </c>
      <c r="I253" s="14">
        <f>38.3736 * CHOOSE(CONTROL!$C$9, $D$9, 100%, $F$9) + CHOOSE(CONTROL!$C$27, 0.0021, 0)</f>
        <v>38.375700000000002</v>
      </c>
      <c r="J253" s="14">
        <f>38.3736 * CHOOSE(CONTROL!$C$9, $D$9, 100%, $F$9) + CHOOSE(CONTROL!$C$27, 0.0021, 0)</f>
        <v>38.375700000000002</v>
      </c>
      <c r="K253" s="14">
        <f>38.3736 * CHOOSE(CONTROL!$C$9, $D$9, 100%, $F$9) + CHOOSE(CONTROL!$C$27, 0.0021, 0)</f>
        <v>38.375700000000002</v>
      </c>
      <c r="L253" s="14"/>
    </row>
    <row r="254" spans="1:12" ht="15" x14ac:dyDescent="0.2">
      <c r="A254" s="13">
        <v>48639</v>
      </c>
      <c r="B254" s="14">
        <f>38.3671 * CHOOSE(CONTROL!$C$9, $D$9, 100%, $F$9) + CHOOSE(CONTROL!$C$27, 0.0021, 0)</f>
        <v>38.369199999999999</v>
      </c>
      <c r="C254" s="14">
        <f>37.9349 * CHOOSE(CONTROL!$C$9, $D$9, 100%, $F$9) + CHOOSE(CONTROL!$C$27, 0.0021, 0)</f>
        <v>37.936999999999998</v>
      </c>
      <c r="D254" s="14">
        <f>37.9349 * CHOOSE(CONTROL!$C$9, $D$9, 100%, $F$9) + CHOOSE(CONTROL!$C$27, 0.0021, 0)</f>
        <v>37.936999999999998</v>
      </c>
      <c r="E254" s="14">
        <f>37.7982 * CHOOSE(CONTROL!$C$9, $D$9, 100%, $F$9) + CHOOSE(CONTROL!$C$27, 0.0021, 0)</f>
        <v>37.8003</v>
      </c>
      <c r="F254" s="14">
        <f>37.7982 * CHOOSE(CONTROL!$C$9, $D$9, 100%, $F$9) + CHOOSE(CONTROL!$C$27, 0.0021, 0)</f>
        <v>37.8003</v>
      </c>
      <c r="G254" s="14">
        <f>38.0696 * CHOOSE(CONTROL!$C$9, $D$9, 100%, $F$9) + CHOOSE(CONTROL!$C$27, 0.0021, 0)</f>
        <v>38.0717</v>
      </c>
      <c r="H254" s="14">
        <f>37.9349 * CHOOSE(CONTROL!$C$9, $D$9, 100%, $F$9) + CHOOSE(CONTROL!$C$27, 0.0021, 0)</f>
        <v>37.936999999999998</v>
      </c>
      <c r="I254" s="14">
        <f>37.9349 * CHOOSE(CONTROL!$C$9, $D$9, 100%, $F$9) + CHOOSE(CONTROL!$C$27, 0.0021, 0)</f>
        <v>37.936999999999998</v>
      </c>
      <c r="J254" s="14">
        <f>37.9349 * CHOOSE(CONTROL!$C$9, $D$9, 100%, $F$9) + CHOOSE(CONTROL!$C$27, 0.0021, 0)</f>
        <v>37.936999999999998</v>
      </c>
      <c r="K254" s="14">
        <f>37.9349 * CHOOSE(CONTROL!$C$9, $D$9, 100%, $F$9) + CHOOSE(CONTROL!$C$27, 0.0021, 0)</f>
        <v>37.936999999999998</v>
      </c>
      <c r="L254" s="14"/>
    </row>
    <row r="255" spans="1:12" ht="15" x14ac:dyDescent="0.2">
      <c r="A255" s="13">
        <v>48670</v>
      </c>
      <c r="B255" s="14">
        <f>37.8432 * CHOOSE(CONTROL!$C$9, $D$9, 100%, $F$9) + CHOOSE(CONTROL!$C$27, 0.0021, 0)</f>
        <v>37.845300000000002</v>
      </c>
      <c r="C255" s="14">
        <f>37.411 * CHOOSE(CONTROL!$C$9, $D$9, 100%, $F$9) + CHOOSE(CONTROL!$C$27, 0.0021, 0)</f>
        <v>37.4131</v>
      </c>
      <c r="D255" s="14">
        <f>37.411 * CHOOSE(CONTROL!$C$9, $D$9, 100%, $F$9) + CHOOSE(CONTROL!$C$27, 0.0021, 0)</f>
        <v>37.4131</v>
      </c>
      <c r="E255" s="14">
        <f>37.2743 * CHOOSE(CONTROL!$C$9, $D$9, 100%, $F$9) + CHOOSE(CONTROL!$C$27, 0.0021, 0)</f>
        <v>37.276399999999995</v>
      </c>
      <c r="F255" s="14">
        <f>37.2743 * CHOOSE(CONTROL!$C$9, $D$9, 100%, $F$9) + CHOOSE(CONTROL!$C$27, 0.0021, 0)</f>
        <v>37.276399999999995</v>
      </c>
      <c r="G255" s="14">
        <f>37.5457 * CHOOSE(CONTROL!$C$9, $D$9, 100%, $F$9) + CHOOSE(CONTROL!$C$27, 0.0021, 0)</f>
        <v>37.547799999999995</v>
      </c>
      <c r="H255" s="14">
        <f>37.411 * CHOOSE(CONTROL!$C$9, $D$9, 100%, $F$9) + CHOOSE(CONTROL!$C$27, 0.0021, 0)</f>
        <v>37.4131</v>
      </c>
      <c r="I255" s="14">
        <f>37.411 * CHOOSE(CONTROL!$C$9, $D$9, 100%, $F$9) + CHOOSE(CONTROL!$C$27, 0.0021, 0)</f>
        <v>37.4131</v>
      </c>
      <c r="J255" s="14">
        <f>37.411 * CHOOSE(CONTROL!$C$9, $D$9, 100%, $F$9) + CHOOSE(CONTROL!$C$27, 0.0021, 0)</f>
        <v>37.4131</v>
      </c>
      <c r="K255" s="14">
        <f>37.411 * CHOOSE(CONTROL!$C$9, $D$9, 100%, $F$9) + CHOOSE(CONTROL!$C$27, 0.0021, 0)</f>
        <v>37.4131</v>
      </c>
      <c r="L255" s="14"/>
    </row>
    <row r="256" spans="1:12" ht="15" x14ac:dyDescent="0.2">
      <c r="A256" s="13">
        <v>48700</v>
      </c>
      <c r="B256" s="14">
        <f>38.5898 * CHOOSE(CONTROL!$C$9, $D$9, 100%, $F$9) + CHOOSE(CONTROL!$C$27, 0.0021, 0)</f>
        <v>38.591899999999995</v>
      </c>
      <c r="C256" s="14">
        <f>38.1576 * CHOOSE(CONTROL!$C$9, $D$9, 100%, $F$9) + CHOOSE(CONTROL!$C$27, 0.0021, 0)</f>
        <v>38.159700000000001</v>
      </c>
      <c r="D256" s="14">
        <f>38.1576 * CHOOSE(CONTROL!$C$9, $D$9, 100%, $F$9) + CHOOSE(CONTROL!$C$27, 0.0021, 0)</f>
        <v>38.159700000000001</v>
      </c>
      <c r="E256" s="14">
        <f>38.0209 * CHOOSE(CONTROL!$C$9, $D$9, 100%, $F$9) + CHOOSE(CONTROL!$C$27, 0.0021, 0)</f>
        <v>38.022999999999996</v>
      </c>
      <c r="F256" s="14">
        <f>38.0209 * CHOOSE(CONTROL!$C$9, $D$9, 100%, $F$9) + CHOOSE(CONTROL!$C$27, 0.0021, 0)</f>
        <v>38.022999999999996</v>
      </c>
      <c r="G256" s="14">
        <f>38.2923 * CHOOSE(CONTROL!$C$9, $D$9, 100%, $F$9) + CHOOSE(CONTROL!$C$27, 0.0021, 0)</f>
        <v>38.294399999999996</v>
      </c>
      <c r="H256" s="14">
        <f>38.1576 * CHOOSE(CONTROL!$C$9, $D$9, 100%, $F$9) + CHOOSE(CONTROL!$C$27, 0.0021, 0)</f>
        <v>38.159700000000001</v>
      </c>
      <c r="I256" s="14">
        <f>38.1576 * CHOOSE(CONTROL!$C$9, $D$9, 100%, $F$9) + CHOOSE(CONTROL!$C$27, 0.0021, 0)</f>
        <v>38.159700000000001</v>
      </c>
      <c r="J256" s="14">
        <f>38.1576 * CHOOSE(CONTROL!$C$9, $D$9, 100%, $F$9) + CHOOSE(CONTROL!$C$27, 0.0021, 0)</f>
        <v>38.159700000000001</v>
      </c>
      <c r="K256" s="14">
        <f>38.1576 * CHOOSE(CONTROL!$C$9, $D$9, 100%, $F$9) + CHOOSE(CONTROL!$C$27, 0.0021, 0)</f>
        <v>38.159700000000001</v>
      </c>
      <c r="L256" s="14"/>
    </row>
    <row r="257" spans="1:12" ht="15" x14ac:dyDescent="0.2">
      <c r="A257" s="13">
        <v>48731</v>
      </c>
      <c r="B257" s="14">
        <f>39.037 * CHOOSE(CONTROL!$C$9, $D$9, 100%, $F$9) + CHOOSE(CONTROL!$C$27, 0.0021, 0)</f>
        <v>39.039099999999998</v>
      </c>
      <c r="C257" s="14">
        <f>38.6048 * CHOOSE(CONTROL!$C$9, $D$9, 100%, $F$9) + CHOOSE(CONTROL!$C$27, 0.0021, 0)</f>
        <v>38.606899999999996</v>
      </c>
      <c r="D257" s="14">
        <f>38.6048 * CHOOSE(CONTROL!$C$9, $D$9, 100%, $F$9) + CHOOSE(CONTROL!$C$27, 0.0021, 0)</f>
        <v>38.606899999999996</v>
      </c>
      <c r="E257" s="14">
        <f>38.4681 * CHOOSE(CONTROL!$C$9, $D$9, 100%, $F$9) + CHOOSE(CONTROL!$C$27, 0.0021, 0)</f>
        <v>38.470199999999998</v>
      </c>
      <c r="F257" s="14">
        <f>38.4681 * CHOOSE(CONTROL!$C$9, $D$9, 100%, $F$9) + CHOOSE(CONTROL!$C$27, 0.0021, 0)</f>
        <v>38.470199999999998</v>
      </c>
      <c r="G257" s="14">
        <f>38.7395 * CHOOSE(CONTROL!$C$9, $D$9, 100%, $F$9) + CHOOSE(CONTROL!$C$27, 0.0021, 0)</f>
        <v>38.741599999999998</v>
      </c>
      <c r="H257" s="14">
        <f>38.6048 * CHOOSE(CONTROL!$C$9, $D$9, 100%, $F$9) + CHOOSE(CONTROL!$C$27, 0.0021, 0)</f>
        <v>38.606899999999996</v>
      </c>
      <c r="I257" s="14">
        <f>38.6048 * CHOOSE(CONTROL!$C$9, $D$9, 100%, $F$9) + CHOOSE(CONTROL!$C$27, 0.0021, 0)</f>
        <v>38.606899999999996</v>
      </c>
      <c r="J257" s="14">
        <f>38.6048 * CHOOSE(CONTROL!$C$9, $D$9, 100%, $F$9) + CHOOSE(CONTROL!$C$27, 0.0021, 0)</f>
        <v>38.606899999999996</v>
      </c>
      <c r="K257" s="14">
        <f>38.6048 * CHOOSE(CONTROL!$C$9, $D$9, 100%, $F$9) + CHOOSE(CONTROL!$C$27, 0.0021, 0)</f>
        <v>38.606899999999996</v>
      </c>
      <c r="L257" s="14"/>
    </row>
    <row r="258" spans="1:12" ht="15" x14ac:dyDescent="0.2">
      <c r="A258" s="13">
        <v>48761</v>
      </c>
      <c r="B258" s="14">
        <f>39.7747 * CHOOSE(CONTROL!$C$9, $D$9, 100%, $F$9) + CHOOSE(CONTROL!$C$27, 0.0021, 0)</f>
        <v>39.776800000000001</v>
      </c>
      <c r="C258" s="14">
        <f>39.3424 * CHOOSE(CONTROL!$C$9, $D$9, 100%, $F$9) + CHOOSE(CONTROL!$C$27, 0.0021, 0)</f>
        <v>39.344499999999996</v>
      </c>
      <c r="D258" s="14">
        <f>39.3424 * CHOOSE(CONTROL!$C$9, $D$9, 100%, $F$9) + CHOOSE(CONTROL!$C$27, 0.0021, 0)</f>
        <v>39.344499999999996</v>
      </c>
      <c r="E258" s="14">
        <f>39.2058 * CHOOSE(CONTROL!$C$9, $D$9, 100%, $F$9) + CHOOSE(CONTROL!$C$27, 0.0021, 0)</f>
        <v>39.207900000000002</v>
      </c>
      <c r="F258" s="14">
        <f>39.2058 * CHOOSE(CONTROL!$C$9, $D$9, 100%, $F$9) + CHOOSE(CONTROL!$C$27, 0.0021, 0)</f>
        <v>39.207900000000002</v>
      </c>
      <c r="G258" s="14">
        <f>39.4771 * CHOOSE(CONTROL!$C$9, $D$9, 100%, $F$9) + CHOOSE(CONTROL!$C$27, 0.0021, 0)</f>
        <v>39.479199999999999</v>
      </c>
      <c r="H258" s="14">
        <f>39.3424 * CHOOSE(CONTROL!$C$9, $D$9, 100%, $F$9) + CHOOSE(CONTROL!$C$27, 0.0021, 0)</f>
        <v>39.344499999999996</v>
      </c>
      <c r="I258" s="14">
        <f>39.3424 * CHOOSE(CONTROL!$C$9, $D$9, 100%, $F$9) + CHOOSE(CONTROL!$C$27, 0.0021, 0)</f>
        <v>39.344499999999996</v>
      </c>
      <c r="J258" s="14">
        <f>39.3424 * CHOOSE(CONTROL!$C$9, $D$9, 100%, $F$9) + CHOOSE(CONTROL!$C$27, 0.0021, 0)</f>
        <v>39.344499999999996</v>
      </c>
      <c r="K258" s="14">
        <f>39.3424 * CHOOSE(CONTROL!$C$9, $D$9, 100%, $F$9) + CHOOSE(CONTROL!$C$27, 0.0021, 0)</f>
        <v>39.344499999999996</v>
      </c>
      <c r="L258" s="14"/>
    </row>
    <row r="259" spans="1:12" ht="15" x14ac:dyDescent="0.2">
      <c r="A259" s="13">
        <v>48792</v>
      </c>
      <c r="B259" s="14">
        <f>39.9998 * CHOOSE(CONTROL!$C$9, $D$9, 100%, $F$9) + CHOOSE(CONTROL!$C$27, 0.0021, 0)</f>
        <v>40.001899999999999</v>
      </c>
      <c r="C259" s="14">
        <f>39.5676 * CHOOSE(CONTROL!$C$9, $D$9, 100%, $F$9) + CHOOSE(CONTROL!$C$27, 0.0021, 0)</f>
        <v>39.569699999999997</v>
      </c>
      <c r="D259" s="14">
        <f>39.5676 * CHOOSE(CONTROL!$C$9, $D$9, 100%, $F$9) + CHOOSE(CONTROL!$C$27, 0.0021, 0)</f>
        <v>39.569699999999997</v>
      </c>
      <c r="E259" s="14">
        <f>39.4309 * CHOOSE(CONTROL!$C$9, $D$9, 100%, $F$9) + CHOOSE(CONTROL!$C$27, 0.0021, 0)</f>
        <v>39.433</v>
      </c>
      <c r="F259" s="14">
        <f>39.4309 * CHOOSE(CONTROL!$C$9, $D$9, 100%, $F$9) + CHOOSE(CONTROL!$C$27, 0.0021, 0)</f>
        <v>39.433</v>
      </c>
      <c r="G259" s="14">
        <f>39.7023 * CHOOSE(CONTROL!$C$9, $D$9, 100%, $F$9) + CHOOSE(CONTROL!$C$27, 0.0021, 0)</f>
        <v>39.7044</v>
      </c>
      <c r="H259" s="14">
        <f>39.5676 * CHOOSE(CONTROL!$C$9, $D$9, 100%, $F$9) + CHOOSE(CONTROL!$C$27, 0.0021, 0)</f>
        <v>39.569699999999997</v>
      </c>
      <c r="I259" s="14">
        <f>39.5676 * CHOOSE(CONTROL!$C$9, $D$9, 100%, $F$9) + CHOOSE(CONTROL!$C$27, 0.0021, 0)</f>
        <v>39.569699999999997</v>
      </c>
      <c r="J259" s="14">
        <f>39.5676 * CHOOSE(CONTROL!$C$9, $D$9, 100%, $F$9) + CHOOSE(CONTROL!$C$27, 0.0021, 0)</f>
        <v>39.569699999999997</v>
      </c>
      <c r="K259" s="14">
        <f>39.5676 * CHOOSE(CONTROL!$C$9, $D$9, 100%, $F$9) + CHOOSE(CONTROL!$C$27, 0.0021, 0)</f>
        <v>39.569699999999997</v>
      </c>
      <c r="L259" s="14"/>
    </row>
    <row r="260" spans="1:12" ht="15" x14ac:dyDescent="0.2">
      <c r="A260" s="13">
        <v>48823</v>
      </c>
      <c r="B260" s="14">
        <f>40.7666 * CHOOSE(CONTROL!$C$9, $D$9, 100%, $F$9) + CHOOSE(CONTROL!$C$27, 0.0021, 0)</f>
        <v>40.768699999999995</v>
      </c>
      <c r="C260" s="14">
        <f>40.3344 * CHOOSE(CONTROL!$C$9, $D$9, 100%, $F$9) + CHOOSE(CONTROL!$C$27, 0.0021, 0)</f>
        <v>40.336500000000001</v>
      </c>
      <c r="D260" s="14">
        <f>40.3344 * CHOOSE(CONTROL!$C$9, $D$9, 100%, $F$9) + CHOOSE(CONTROL!$C$27, 0.0021, 0)</f>
        <v>40.336500000000001</v>
      </c>
      <c r="E260" s="14">
        <f>40.1977 * CHOOSE(CONTROL!$C$9, $D$9, 100%, $F$9) + CHOOSE(CONTROL!$C$27, 0.0021, 0)</f>
        <v>40.199799999999996</v>
      </c>
      <c r="F260" s="14">
        <f>40.1977 * CHOOSE(CONTROL!$C$9, $D$9, 100%, $F$9) + CHOOSE(CONTROL!$C$27, 0.0021, 0)</f>
        <v>40.199799999999996</v>
      </c>
      <c r="G260" s="14">
        <f>40.4691 * CHOOSE(CONTROL!$C$9, $D$9, 100%, $F$9) + CHOOSE(CONTROL!$C$27, 0.0021, 0)</f>
        <v>40.471199999999996</v>
      </c>
      <c r="H260" s="14">
        <f>40.3344 * CHOOSE(CONTROL!$C$9, $D$9, 100%, $F$9) + CHOOSE(CONTROL!$C$27, 0.0021, 0)</f>
        <v>40.336500000000001</v>
      </c>
      <c r="I260" s="14">
        <f>40.3344 * CHOOSE(CONTROL!$C$9, $D$9, 100%, $F$9) + CHOOSE(CONTROL!$C$27, 0.0021, 0)</f>
        <v>40.336500000000001</v>
      </c>
      <c r="J260" s="14">
        <f>40.3344 * CHOOSE(CONTROL!$C$9, $D$9, 100%, $F$9) + CHOOSE(CONTROL!$C$27, 0.0021, 0)</f>
        <v>40.336500000000001</v>
      </c>
      <c r="K260" s="14">
        <f>40.3344 * CHOOSE(CONTROL!$C$9, $D$9, 100%, $F$9) + CHOOSE(CONTROL!$C$27, 0.0021, 0)</f>
        <v>40.336500000000001</v>
      </c>
      <c r="L260" s="14"/>
    </row>
    <row r="261" spans="1:12" ht="15" x14ac:dyDescent="0.2">
      <c r="A261" s="13">
        <v>48853</v>
      </c>
      <c r="B261" s="14">
        <f>41.7372 * CHOOSE(CONTROL!$C$9, $D$9, 100%, $F$9) + CHOOSE(CONTROL!$C$27, 0.0021, 0)</f>
        <v>41.7393</v>
      </c>
      <c r="C261" s="14">
        <f>41.305 * CHOOSE(CONTROL!$C$9, $D$9, 100%, $F$9) + CHOOSE(CONTROL!$C$27, 0.0021, 0)</f>
        <v>41.307099999999998</v>
      </c>
      <c r="D261" s="14">
        <f>41.305 * CHOOSE(CONTROL!$C$9, $D$9, 100%, $F$9) + CHOOSE(CONTROL!$C$27, 0.0021, 0)</f>
        <v>41.307099999999998</v>
      </c>
      <c r="E261" s="14">
        <f>41.1683 * CHOOSE(CONTROL!$C$9, $D$9, 100%, $F$9) + CHOOSE(CONTROL!$C$27, 0.0021, 0)</f>
        <v>41.170400000000001</v>
      </c>
      <c r="F261" s="14">
        <f>41.1683 * CHOOSE(CONTROL!$C$9, $D$9, 100%, $F$9) + CHOOSE(CONTROL!$C$27, 0.0021, 0)</f>
        <v>41.170400000000001</v>
      </c>
      <c r="G261" s="14">
        <f>41.4397 * CHOOSE(CONTROL!$C$9, $D$9, 100%, $F$9) + CHOOSE(CONTROL!$C$27, 0.0021, 0)</f>
        <v>41.441800000000001</v>
      </c>
      <c r="H261" s="14">
        <f>41.305 * CHOOSE(CONTROL!$C$9, $D$9, 100%, $F$9) + CHOOSE(CONTROL!$C$27, 0.0021, 0)</f>
        <v>41.307099999999998</v>
      </c>
      <c r="I261" s="14">
        <f>41.305 * CHOOSE(CONTROL!$C$9, $D$9, 100%, $F$9) + CHOOSE(CONTROL!$C$27, 0.0021, 0)</f>
        <v>41.307099999999998</v>
      </c>
      <c r="J261" s="14">
        <f>41.305 * CHOOSE(CONTROL!$C$9, $D$9, 100%, $F$9) + CHOOSE(CONTROL!$C$27, 0.0021, 0)</f>
        <v>41.307099999999998</v>
      </c>
      <c r="K261" s="14">
        <f>41.305 * CHOOSE(CONTROL!$C$9, $D$9, 100%, $F$9) + CHOOSE(CONTROL!$C$27, 0.0021, 0)</f>
        <v>41.307099999999998</v>
      </c>
      <c r="L261" s="14"/>
    </row>
    <row r="262" spans="1:12" ht="15" x14ac:dyDescent="0.2">
      <c r="A262" s="13">
        <v>48884</v>
      </c>
      <c r="B262" s="14">
        <f>41.8283 * CHOOSE(CONTROL!$C$9, $D$9, 100%, $F$9) + CHOOSE(CONTROL!$C$27, 0.0021, 0)</f>
        <v>41.830399999999997</v>
      </c>
      <c r="C262" s="14">
        <f>41.3961 * CHOOSE(CONTROL!$C$9, $D$9, 100%, $F$9) + CHOOSE(CONTROL!$C$27, 0.0021, 0)</f>
        <v>41.398199999999996</v>
      </c>
      <c r="D262" s="14">
        <f>41.3961 * CHOOSE(CONTROL!$C$9, $D$9, 100%, $F$9) + CHOOSE(CONTROL!$C$27, 0.0021, 0)</f>
        <v>41.398199999999996</v>
      </c>
      <c r="E262" s="14">
        <f>41.2594 * CHOOSE(CONTROL!$C$9, $D$9, 100%, $F$9) + CHOOSE(CONTROL!$C$27, 0.0021, 0)</f>
        <v>41.261499999999998</v>
      </c>
      <c r="F262" s="14">
        <f>41.2594 * CHOOSE(CONTROL!$C$9, $D$9, 100%, $F$9) + CHOOSE(CONTROL!$C$27, 0.0021, 0)</f>
        <v>41.261499999999998</v>
      </c>
      <c r="G262" s="14">
        <f>41.5308 * CHOOSE(CONTROL!$C$9, $D$9, 100%, $F$9) + CHOOSE(CONTROL!$C$27, 0.0021, 0)</f>
        <v>41.532899999999998</v>
      </c>
      <c r="H262" s="14">
        <f>41.3961 * CHOOSE(CONTROL!$C$9, $D$9, 100%, $F$9) + CHOOSE(CONTROL!$C$27, 0.0021, 0)</f>
        <v>41.398199999999996</v>
      </c>
      <c r="I262" s="14">
        <f>41.3961 * CHOOSE(CONTROL!$C$9, $D$9, 100%, $F$9) + CHOOSE(CONTROL!$C$27, 0.0021, 0)</f>
        <v>41.398199999999996</v>
      </c>
      <c r="J262" s="14">
        <f>41.3961 * CHOOSE(CONTROL!$C$9, $D$9, 100%, $F$9) + CHOOSE(CONTROL!$C$27, 0.0021, 0)</f>
        <v>41.398199999999996</v>
      </c>
      <c r="K262" s="14">
        <f>41.3961 * CHOOSE(CONTROL!$C$9, $D$9, 100%, $F$9) + CHOOSE(CONTROL!$C$27, 0.0021, 0)</f>
        <v>41.398199999999996</v>
      </c>
      <c r="L262" s="14"/>
    </row>
    <row r="263" spans="1:12" ht="15" x14ac:dyDescent="0.2">
      <c r="A263" s="13">
        <v>48914</v>
      </c>
      <c r="B263" s="14">
        <f>41.0531 * CHOOSE(CONTROL!$C$9, $D$9, 100%, $F$9) + CHOOSE(CONTROL!$C$27, 0.0021, 0)</f>
        <v>41.055199999999999</v>
      </c>
      <c r="C263" s="14">
        <f>40.6209 * CHOOSE(CONTROL!$C$9, $D$9, 100%, $F$9) + CHOOSE(CONTROL!$C$27, 0.0021, 0)</f>
        <v>40.622999999999998</v>
      </c>
      <c r="D263" s="14">
        <f>40.6209 * CHOOSE(CONTROL!$C$9, $D$9, 100%, $F$9) + CHOOSE(CONTROL!$C$27, 0.0021, 0)</f>
        <v>40.622999999999998</v>
      </c>
      <c r="E263" s="14">
        <f>40.4842 * CHOOSE(CONTROL!$C$9, $D$9, 100%, $F$9) + CHOOSE(CONTROL!$C$27, 0.0021, 0)</f>
        <v>40.4863</v>
      </c>
      <c r="F263" s="14">
        <f>40.4842 * CHOOSE(CONTROL!$C$9, $D$9, 100%, $F$9) + CHOOSE(CONTROL!$C$27, 0.0021, 0)</f>
        <v>40.4863</v>
      </c>
      <c r="G263" s="14">
        <f>40.7556 * CHOOSE(CONTROL!$C$9, $D$9, 100%, $F$9) + CHOOSE(CONTROL!$C$27, 0.0021, 0)</f>
        <v>40.7577</v>
      </c>
      <c r="H263" s="14">
        <f>40.6209 * CHOOSE(CONTROL!$C$9, $D$9, 100%, $F$9) + CHOOSE(CONTROL!$C$27, 0.0021, 0)</f>
        <v>40.622999999999998</v>
      </c>
      <c r="I263" s="14">
        <f>40.6209 * CHOOSE(CONTROL!$C$9, $D$9, 100%, $F$9) + CHOOSE(CONTROL!$C$27, 0.0021, 0)</f>
        <v>40.622999999999998</v>
      </c>
      <c r="J263" s="14">
        <f>40.6209 * CHOOSE(CONTROL!$C$9, $D$9, 100%, $F$9) + CHOOSE(CONTROL!$C$27, 0.0021, 0)</f>
        <v>40.622999999999998</v>
      </c>
      <c r="K263" s="14">
        <f>40.6209 * CHOOSE(CONTROL!$C$9, $D$9, 100%, $F$9) + CHOOSE(CONTROL!$C$27, 0.0021, 0)</f>
        <v>40.622999999999998</v>
      </c>
      <c r="L263" s="14"/>
    </row>
    <row r="264" spans="1:12" ht="15" x14ac:dyDescent="0.2">
      <c r="A264" s="13">
        <v>48945</v>
      </c>
      <c r="B264" s="14">
        <f>40.5632 * CHOOSE(CONTROL!$C$9, $D$9, 100%, $F$9) + CHOOSE(CONTROL!$C$27, 0.0021, 0)</f>
        <v>40.565300000000001</v>
      </c>
      <c r="C264" s="14">
        <f>40.1309 * CHOOSE(CONTROL!$C$9, $D$9, 100%, $F$9) + CHOOSE(CONTROL!$C$27, 0.0021, 0)</f>
        <v>40.132999999999996</v>
      </c>
      <c r="D264" s="14">
        <f>40.1309 * CHOOSE(CONTROL!$C$9, $D$9, 100%, $F$9) + CHOOSE(CONTROL!$C$27, 0.0021, 0)</f>
        <v>40.132999999999996</v>
      </c>
      <c r="E264" s="14">
        <f>39.9943 * CHOOSE(CONTROL!$C$9, $D$9, 100%, $F$9) + CHOOSE(CONTROL!$C$27, 0.0021, 0)</f>
        <v>39.996400000000001</v>
      </c>
      <c r="F264" s="14">
        <f>39.9943 * CHOOSE(CONTROL!$C$9, $D$9, 100%, $F$9) + CHOOSE(CONTROL!$C$27, 0.0021, 0)</f>
        <v>39.996400000000001</v>
      </c>
      <c r="G264" s="14">
        <f>40.2656 * CHOOSE(CONTROL!$C$9, $D$9, 100%, $F$9) + CHOOSE(CONTROL!$C$27, 0.0021, 0)</f>
        <v>40.267699999999998</v>
      </c>
      <c r="H264" s="14">
        <f>40.1309 * CHOOSE(CONTROL!$C$9, $D$9, 100%, $F$9) + CHOOSE(CONTROL!$C$27, 0.0021, 0)</f>
        <v>40.132999999999996</v>
      </c>
      <c r="I264" s="14">
        <f>40.1309 * CHOOSE(CONTROL!$C$9, $D$9, 100%, $F$9) + CHOOSE(CONTROL!$C$27, 0.0021, 0)</f>
        <v>40.132999999999996</v>
      </c>
      <c r="J264" s="14">
        <f>40.1309 * CHOOSE(CONTROL!$C$9, $D$9, 100%, $F$9) + CHOOSE(CONTROL!$C$27, 0.0021, 0)</f>
        <v>40.132999999999996</v>
      </c>
      <c r="K264" s="14">
        <f>40.1309 * CHOOSE(CONTROL!$C$9, $D$9, 100%, $F$9) + CHOOSE(CONTROL!$C$27, 0.0021, 0)</f>
        <v>40.132999999999996</v>
      </c>
      <c r="L264" s="14"/>
    </row>
    <row r="265" spans="1:12" ht="15" x14ac:dyDescent="0.2">
      <c r="A265" s="13">
        <v>48976</v>
      </c>
      <c r="B265" s="14">
        <f>39.4807 * CHOOSE(CONTROL!$C$9, $D$9, 100%, $F$9) + CHOOSE(CONTROL!$C$27, 0.0021, 0)</f>
        <v>39.482799999999997</v>
      </c>
      <c r="C265" s="14">
        <f>39.0484 * CHOOSE(CONTROL!$C$9, $D$9, 100%, $F$9) + CHOOSE(CONTROL!$C$27, 0.0021, 0)</f>
        <v>39.0505</v>
      </c>
      <c r="D265" s="14">
        <f>39.0484 * CHOOSE(CONTROL!$C$9, $D$9, 100%, $F$9) + CHOOSE(CONTROL!$C$27, 0.0021, 0)</f>
        <v>39.0505</v>
      </c>
      <c r="E265" s="14">
        <f>38.9118 * CHOOSE(CONTROL!$C$9, $D$9, 100%, $F$9) + CHOOSE(CONTROL!$C$27, 0.0021, 0)</f>
        <v>38.913899999999998</v>
      </c>
      <c r="F265" s="14">
        <f>38.9118 * CHOOSE(CONTROL!$C$9, $D$9, 100%, $F$9) + CHOOSE(CONTROL!$C$27, 0.0021, 0)</f>
        <v>38.913899999999998</v>
      </c>
      <c r="G265" s="14">
        <f>39.1831 * CHOOSE(CONTROL!$C$9, $D$9, 100%, $F$9) + CHOOSE(CONTROL!$C$27, 0.0021, 0)</f>
        <v>39.185200000000002</v>
      </c>
      <c r="H265" s="14">
        <f>39.0484 * CHOOSE(CONTROL!$C$9, $D$9, 100%, $F$9) + CHOOSE(CONTROL!$C$27, 0.0021, 0)</f>
        <v>39.0505</v>
      </c>
      <c r="I265" s="14">
        <f>39.0484 * CHOOSE(CONTROL!$C$9, $D$9, 100%, $F$9) + CHOOSE(CONTROL!$C$27, 0.0021, 0)</f>
        <v>39.0505</v>
      </c>
      <c r="J265" s="14">
        <f>39.0484 * CHOOSE(CONTROL!$C$9, $D$9, 100%, $F$9) + CHOOSE(CONTROL!$C$27, 0.0021, 0)</f>
        <v>39.0505</v>
      </c>
      <c r="K265" s="14">
        <f>39.0484 * CHOOSE(CONTROL!$C$9, $D$9, 100%, $F$9) + CHOOSE(CONTROL!$C$27, 0.0021, 0)</f>
        <v>39.0505</v>
      </c>
      <c r="L265" s="14"/>
    </row>
    <row r="266" spans="1:12" ht="15" x14ac:dyDescent="0.2">
      <c r="A266" s="13">
        <v>49004</v>
      </c>
      <c r="B266" s="14">
        <f>39.0338 * CHOOSE(CONTROL!$C$9, $D$9, 100%, $F$9) + CHOOSE(CONTROL!$C$27, 0.0021, 0)</f>
        <v>39.035899999999998</v>
      </c>
      <c r="C266" s="14">
        <f>38.6016 * CHOOSE(CONTROL!$C$9, $D$9, 100%, $F$9) + CHOOSE(CONTROL!$C$27, 0.0021, 0)</f>
        <v>38.603699999999996</v>
      </c>
      <c r="D266" s="14">
        <f>38.6016 * CHOOSE(CONTROL!$C$9, $D$9, 100%, $F$9) + CHOOSE(CONTROL!$C$27, 0.0021, 0)</f>
        <v>38.603699999999996</v>
      </c>
      <c r="E266" s="14">
        <f>38.4649 * CHOOSE(CONTROL!$C$9, $D$9, 100%, $F$9) + CHOOSE(CONTROL!$C$27, 0.0021, 0)</f>
        <v>38.466999999999999</v>
      </c>
      <c r="F266" s="14">
        <f>38.4649 * CHOOSE(CONTROL!$C$9, $D$9, 100%, $F$9) + CHOOSE(CONTROL!$C$27, 0.0021, 0)</f>
        <v>38.466999999999999</v>
      </c>
      <c r="G266" s="14">
        <f>38.7363 * CHOOSE(CONTROL!$C$9, $D$9, 100%, $F$9) + CHOOSE(CONTROL!$C$27, 0.0021, 0)</f>
        <v>38.738399999999999</v>
      </c>
      <c r="H266" s="14">
        <f>38.6016 * CHOOSE(CONTROL!$C$9, $D$9, 100%, $F$9) + CHOOSE(CONTROL!$C$27, 0.0021, 0)</f>
        <v>38.603699999999996</v>
      </c>
      <c r="I266" s="14">
        <f>38.6016 * CHOOSE(CONTROL!$C$9, $D$9, 100%, $F$9) + CHOOSE(CONTROL!$C$27, 0.0021, 0)</f>
        <v>38.603699999999996</v>
      </c>
      <c r="J266" s="14">
        <f>38.6016 * CHOOSE(CONTROL!$C$9, $D$9, 100%, $F$9) + CHOOSE(CONTROL!$C$27, 0.0021, 0)</f>
        <v>38.603699999999996</v>
      </c>
      <c r="K266" s="14">
        <f>38.6016 * CHOOSE(CONTROL!$C$9, $D$9, 100%, $F$9) + CHOOSE(CONTROL!$C$27, 0.0021, 0)</f>
        <v>38.603699999999996</v>
      </c>
      <c r="L266" s="14"/>
    </row>
    <row r="267" spans="1:12" ht="15" x14ac:dyDescent="0.2">
      <c r="A267" s="13">
        <v>49035</v>
      </c>
      <c r="B267" s="14">
        <f>38.5003 * CHOOSE(CONTROL!$C$9, $D$9, 100%, $F$9) + CHOOSE(CONTROL!$C$27, 0.0021, 0)</f>
        <v>38.502400000000002</v>
      </c>
      <c r="C267" s="14">
        <f>38.068 * CHOOSE(CONTROL!$C$9, $D$9, 100%, $F$9) + CHOOSE(CONTROL!$C$27, 0.0021, 0)</f>
        <v>38.070099999999996</v>
      </c>
      <c r="D267" s="14">
        <f>38.068 * CHOOSE(CONTROL!$C$9, $D$9, 100%, $F$9) + CHOOSE(CONTROL!$C$27, 0.0021, 0)</f>
        <v>38.070099999999996</v>
      </c>
      <c r="E267" s="14">
        <f>37.9313 * CHOOSE(CONTROL!$C$9, $D$9, 100%, $F$9) + CHOOSE(CONTROL!$C$27, 0.0021, 0)</f>
        <v>37.933399999999999</v>
      </c>
      <c r="F267" s="14">
        <f>37.9313 * CHOOSE(CONTROL!$C$9, $D$9, 100%, $F$9) + CHOOSE(CONTROL!$C$27, 0.0021, 0)</f>
        <v>37.933399999999999</v>
      </c>
      <c r="G267" s="14">
        <f>38.2027 * CHOOSE(CONTROL!$C$9, $D$9, 100%, $F$9) + CHOOSE(CONTROL!$C$27, 0.0021, 0)</f>
        <v>38.204799999999999</v>
      </c>
      <c r="H267" s="14">
        <f>38.068 * CHOOSE(CONTROL!$C$9, $D$9, 100%, $F$9) + CHOOSE(CONTROL!$C$27, 0.0021, 0)</f>
        <v>38.070099999999996</v>
      </c>
      <c r="I267" s="14">
        <f>38.068 * CHOOSE(CONTROL!$C$9, $D$9, 100%, $F$9) + CHOOSE(CONTROL!$C$27, 0.0021, 0)</f>
        <v>38.070099999999996</v>
      </c>
      <c r="J267" s="14">
        <f>38.068 * CHOOSE(CONTROL!$C$9, $D$9, 100%, $F$9) + CHOOSE(CONTROL!$C$27, 0.0021, 0)</f>
        <v>38.070099999999996</v>
      </c>
      <c r="K267" s="14">
        <f>38.068 * CHOOSE(CONTROL!$C$9, $D$9, 100%, $F$9) + CHOOSE(CONTROL!$C$27, 0.0021, 0)</f>
        <v>38.070099999999996</v>
      </c>
      <c r="L267" s="14"/>
    </row>
    <row r="268" spans="1:12" ht="15" x14ac:dyDescent="0.2">
      <c r="A268" s="13">
        <v>49065</v>
      </c>
      <c r="B268" s="14">
        <f>39.2606 * CHOOSE(CONTROL!$C$9, $D$9, 100%, $F$9) + CHOOSE(CONTROL!$C$27, 0.0021, 0)</f>
        <v>39.262699999999995</v>
      </c>
      <c r="C268" s="14">
        <f>38.8284 * CHOOSE(CONTROL!$C$9, $D$9, 100%, $F$9) + CHOOSE(CONTROL!$C$27, 0.0021, 0)</f>
        <v>38.830500000000001</v>
      </c>
      <c r="D268" s="14">
        <f>38.8284 * CHOOSE(CONTROL!$C$9, $D$9, 100%, $F$9) + CHOOSE(CONTROL!$C$27, 0.0021, 0)</f>
        <v>38.830500000000001</v>
      </c>
      <c r="E268" s="14">
        <f>38.6917 * CHOOSE(CONTROL!$C$9, $D$9, 100%, $F$9) + CHOOSE(CONTROL!$C$27, 0.0021, 0)</f>
        <v>38.693799999999996</v>
      </c>
      <c r="F268" s="14">
        <f>38.6917 * CHOOSE(CONTROL!$C$9, $D$9, 100%, $F$9) + CHOOSE(CONTROL!$C$27, 0.0021, 0)</f>
        <v>38.693799999999996</v>
      </c>
      <c r="G268" s="14">
        <f>38.9631 * CHOOSE(CONTROL!$C$9, $D$9, 100%, $F$9) + CHOOSE(CONTROL!$C$27, 0.0021, 0)</f>
        <v>38.965199999999996</v>
      </c>
      <c r="H268" s="14">
        <f>38.8284 * CHOOSE(CONTROL!$C$9, $D$9, 100%, $F$9) + CHOOSE(CONTROL!$C$27, 0.0021, 0)</f>
        <v>38.830500000000001</v>
      </c>
      <c r="I268" s="14">
        <f>38.8284 * CHOOSE(CONTROL!$C$9, $D$9, 100%, $F$9) + CHOOSE(CONTROL!$C$27, 0.0021, 0)</f>
        <v>38.830500000000001</v>
      </c>
      <c r="J268" s="14">
        <f>38.8284 * CHOOSE(CONTROL!$C$9, $D$9, 100%, $F$9) + CHOOSE(CONTROL!$C$27, 0.0021, 0)</f>
        <v>38.830500000000001</v>
      </c>
      <c r="K268" s="14">
        <f>38.8284 * CHOOSE(CONTROL!$C$9, $D$9, 100%, $F$9) + CHOOSE(CONTROL!$C$27, 0.0021, 0)</f>
        <v>38.830500000000001</v>
      </c>
      <c r="L268" s="14"/>
    </row>
    <row r="269" spans="1:12" ht="15" x14ac:dyDescent="0.2">
      <c r="A269" s="13">
        <v>49096</v>
      </c>
      <c r="B269" s="14">
        <f>39.7161 * CHOOSE(CONTROL!$C$9, $D$9, 100%, $F$9) + CHOOSE(CONTROL!$C$27, 0.0021, 0)</f>
        <v>39.718199999999996</v>
      </c>
      <c r="C269" s="14">
        <f>39.2838 * CHOOSE(CONTROL!$C$9, $D$9, 100%, $F$9) + CHOOSE(CONTROL!$C$27, 0.0021, 0)</f>
        <v>39.285899999999998</v>
      </c>
      <c r="D269" s="14">
        <f>39.2838 * CHOOSE(CONTROL!$C$9, $D$9, 100%, $F$9) + CHOOSE(CONTROL!$C$27, 0.0021, 0)</f>
        <v>39.285899999999998</v>
      </c>
      <c r="E269" s="14">
        <f>39.1472 * CHOOSE(CONTROL!$C$9, $D$9, 100%, $F$9) + CHOOSE(CONTROL!$C$27, 0.0021, 0)</f>
        <v>39.149299999999997</v>
      </c>
      <c r="F269" s="14">
        <f>39.1472 * CHOOSE(CONTROL!$C$9, $D$9, 100%, $F$9) + CHOOSE(CONTROL!$C$27, 0.0021, 0)</f>
        <v>39.149299999999997</v>
      </c>
      <c r="G269" s="14">
        <f>39.4185 * CHOOSE(CONTROL!$C$9, $D$9, 100%, $F$9) + CHOOSE(CONTROL!$C$27, 0.0021, 0)</f>
        <v>39.4206</v>
      </c>
      <c r="H269" s="14">
        <f>39.2838 * CHOOSE(CONTROL!$C$9, $D$9, 100%, $F$9) + CHOOSE(CONTROL!$C$27, 0.0021, 0)</f>
        <v>39.285899999999998</v>
      </c>
      <c r="I269" s="14">
        <f>39.2838 * CHOOSE(CONTROL!$C$9, $D$9, 100%, $F$9) + CHOOSE(CONTROL!$C$27, 0.0021, 0)</f>
        <v>39.285899999999998</v>
      </c>
      <c r="J269" s="14">
        <f>39.2838 * CHOOSE(CONTROL!$C$9, $D$9, 100%, $F$9) + CHOOSE(CONTROL!$C$27, 0.0021, 0)</f>
        <v>39.285899999999998</v>
      </c>
      <c r="K269" s="14">
        <f>39.2838 * CHOOSE(CONTROL!$C$9, $D$9, 100%, $F$9) + CHOOSE(CONTROL!$C$27, 0.0021, 0)</f>
        <v>39.285899999999998</v>
      </c>
      <c r="L269" s="14"/>
    </row>
    <row r="270" spans="1:12" ht="15" x14ac:dyDescent="0.2">
      <c r="A270" s="13">
        <v>49126</v>
      </c>
      <c r="B270" s="14">
        <f>40.4674 * CHOOSE(CONTROL!$C$9, $D$9, 100%, $F$9) + CHOOSE(CONTROL!$C$27, 0.0021, 0)</f>
        <v>40.469499999999996</v>
      </c>
      <c r="C270" s="14">
        <f>40.0351 * CHOOSE(CONTROL!$C$9, $D$9, 100%, $F$9) + CHOOSE(CONTROL!$C$27, 0.0021, 0)</f>
        <v>40.037199999999999</v>
      </c>
      <c r="D270" s="14">
        <f>40.0351 * CHOOSE(CONTROL!$C$9, $D$9, 100%, $F$9) + CHOOSE(CONTROL!$C$27, 0.0021, 0)</f>
        <v>40.037199999999999</v>
      </c>
      <c r="E270" s="14">
        <f>39.8985 * CHOOSE(CONTROL!$C$9, $D$9, 100%, $F$9) + CHOOSE(CONTROL!$C$27, 0.0021, 0)</f>
        <v>39.900599999999997</v>
      </c>
      <c r="F270" s="14">
        <f>39.8985 * CHOOSE(CONTROL!$C$9, $D$9, 100%, $F$9) + CHOOSE(CONTROL!$C$27, 0.0021, 0)</f>
        <v>39.900599999999997</v>
      </c>
      <c r="G270" s="14">
        <f>40.1698 * CHOOSE(CONTROL!$C$9, $D$9, 100%, $F$9) + CHOOSE(CONTROL!$C$27, 0.0021, 0)</f>
        <v>40.171900000000001</v>
      </c>
      <c r="H270" s="14">
        <f>40.0351 * CHOOSE(CONTROL!$C$9, $D$9, 100%, $F$9) + CHOOSE(CONTROL!$C$27, 0.0021, 0)</f>
        <v>40.037199999999999</v>
      </c>
      <c r="I270" s="14">
        <f>40.0351 * CHOOSE(CONTROL!$C$9, $D$9, 100%, $F$9) + CHOOSE(CONTROL!$C$27, 0.0021, 0)</f>
        <v>40.037199999999999</v>
      </c>
      <c r="J270" s="14">
        <f>40.0351 * CHOOSE(CONTROL!$C$9, $D$9, 100%, $F$9) + CHOOSE(CONTROL!$C$27, 0.0021, 0)</f>
        <v>40.037199999999999</v>
      </c>
      <c r="K270" s="14">
        <f>40.0351 * CHOOSE(CONTROL!$C$9, $D$9, 100%, $F$9) + CHOOSE(CONTROL!$C$27, 0.0021, 0)</f>
        <v>40.037199999999999</v>
      </c>
      <c r="L270" s="14"/>
    </row>
    <row r="271" spans="1:12" ht="15" x14ac:dyDescent="0.2">
      <c r="A271" s="13">
        <v>49157</v>
      </c>
      <c r="B271" s="14">
        <f>40.6967 * CHOOSE(CONTROL!$C$9, $D$9, 100%, $F$9) + CHOOSE(CONTROL!$C$27, 0.0021, 0)</f>
        <v>40.698799999999999</v>
      </c>
      <c r="C271" s="14">
        <f>40.2645 * CHOOSE(CONTROL!$C$9, $D$9, 100%, $F$9) + CHOOSE(CONTROL!$C$27, 0.0021, 0)</f>
        <v>40.266599999999997</v>
      </c>
      <c r="D271" s="14">
        <f>40.2645 * CHOOSE(CONTROL!$C$9, $D$9, 100%, $F$9) + CHOOSE(CONTROL!$C$27, 0.0021, 0)</f>
        <v>40.266599999999997</v>
      </c>
      <c r="E271" s="14">
        <f>40.1278 * CHOOSE(CONTROL!$C$9, $D$9, 100%, $F$9) + CHOOSE(CONTROL!$C$27, 0.0021, 0)</f>
        <v>40.129899999999999</v>
      </c>
      <c r="F271" s="14">
        <f>40.1278 * CHOOSE(CONTROL!$C$9, $D$9, 100%, $F$9) + CHOOSE(CONTROL!$C$27, 0.0021, 0)</f>
        <v>40.129899999999999</v>
      </c>
      <c r="G271" s="14">
        <f>40.3992 * CHOOSE(CONTROL!$C$9, $D$9, 100%, $F$9) + CHOOSE(CONTROL!$C$27, 0.0021, 0)</f>
        <v>40.401299999999999</v>
      </c>
      <c r="H271" s="14">
        <f>40.2645 * CHOOSE(CONTROL!$C$9, $D$9, 100%, $F$9) + CHOOSE(CONTROL!$C$27, 0.0021, 0)</f>
        <v>40.266599999999997</v>
      </c>
      <c r="I271" s="14">
        <f>40.2645 * CHOOSE(CONTROL!$C$9, $D$9, 100%, $F$9) + CHOOSE(CONTROL!$C$27, 0.0021, 0)</f>
        <v>40.266599999999997</v>
      </c>
      <c r="J271" s="14">
        <f>40.2645 * CHOOSE(CONTROL!$C$9, $D$9, 100%, $F$9) + CHOOSE(CONTROL!$C$27, 0.0021, 0)</f>
        <v>40.266599999999997</v>
      </c>
      <c r="K271" s="14">
        <f>40.2645 * CHOOSE(CONTROL!$C$9, $D$9, 100%, $F$9) + CHOOSE(CONTROL!$C$27, 0.0021, 0)</f>
        <v>40.266599999999997</v>
      </c>
      <c r="L271" s="14"/>
    </row>
    <row r="272" spans="1:12" ht="15" x14ac:dyDescent="0.2">
      <c r="A272" s="13">
        <v>49188</v>
      </c>
      <c r="B272" s="14">
        <f>41.4777 * CHOOSE(CONTROL!$C$9, $D$9, 100%, $F$9) + CHOOSE(CONTROL!$C$27, 0.0021, 0)</f>
        <v>41.479799999999997</v>
      </c>
      <c r="C272" s="14">
        <f>41.0454 * CHOOSE(CONTROL!$C$9, $D$9, 100%, $F$9) + CHOOSE(CONTROL!$C$27, 0.0021, 0)</f>
        <v>41.047499999999999</v>
      </c>
      <c r="D272" s="14">
        <f>41.0454 * CHOOSE(CONTROL!$C$9, $D$9, 100%, $F$9) + CHOOSE(CONTROL!$C$27, 0.0021, 0)</f>
        <v>41.047499999999999</v>
      </c>
      <c r="E272" s="14">
        <f>40.9087 * CHOOSE(CONTROL!$C$9, $D$9, 100%, $F$9) + CHOOSE(CONTROL!$C$27, 0.0021, 0)</f>
        <v>40.910800000000002</v>
      </c>
      <c r="F272" s="14">
        <f>40.9087 * CHOOSE(CONTROL!$C$9, $D$9, 100%, $F$9) + CHOOSE(CONTROL!$C$27, 0.0021, 0)</f>
        <v>40.910800000000002</v>
      </c>
      <c r="G272" s="14">
        <f>41.1801 * CHOOSE(CONTROL!$C$9, $D$9, 100%, $F$9) + CHOOSE(CONTROL!$C$27, 0.0021, 0)</f>
        <v>41.182200000000002</v>
      </c>
      <c r="H272" s="14">
        <f>41.0454 * CHOOSE(CONTROL!$C$9, $D$9, 100%, $F$9) + CHOOSE(CONTROL!$C$27, 0.0021, 0)</f>
        <v>41.047499999999999</v>
      </c>
      <c r="I272" s="14">
        <f>41.0454 * CHOOSE(CONTROL!$C$9, $D$9, 100%, $F$9) + CHOOSE(CONTROL!$C$27, 0.0021, 0)</f>
        <v>41.047499999999999</v>
      </c>
      <c r="J272" s="14">
        <f>41.0454 * CHOOSE(CONTROL!$C$9, $D$9, 100%, $F$9) + CHOOSE(CONTROL!$C$27, 0.0021, 0)</f>
        <v>41.047499999999999</v>
      </c>
      <c r="K272" s="14">
        <f>41.0454 * CHOOSE(CONTROL!$C$9, $D$9, 100%, $F$9) + CHOOSE(CONTROL!$C$27, 0.0021, 0)</f>
        <v>41.047499999999999</v>
      </c>
      <c r="L272" s="14"/>
    </row>
    <row r="273" spans="1:12" ht="15" x14ac:dyDescent="0.2">
      <c r="A273" s="13">
        <v>49218</v>
      </c>
      <c r="B273" s="14">
        <f>42.4662 * CHOOSE(CONTROL!$C$9, $D$9, 100%, $F$9) + CHOOSE(CONTROL!$C$27, 0.0021, 0)</f>
        <v>42.468299999999999</v>
      </c>
      <c r="C273" s="14">
        <f>42.034 * CHOOSE(CONTROL!$C$9, $D$9, 100%, $F$9) + CHOOSE(CONTROL!$C$27, 0.0021, 0)</f>
        <v>42.036099999999998</v>
      </c>
      <c r="D273" s="14">
        <f>42.034 * CHOOSE(CONTROL!$C$9, $D$9, 100%, $F$9) + CHOOSE(CONTROL!$C$27, 0.0021, 0)</f>
        <v>42.036099999999998</v>
      </c>
      <c r="E273" s="14">
        <f>41.8973 * CHOOSE(CONTROL!$C$9, $D$9, 100%, $F$9) + CHOOSE(CONTROL!$C$27, 0.0021, 0)</f>
        <v>41.8994</v>
      </c>
      <c r="F273" s="14">
        <f>41.8973 * CHOOSE(CONTROL!$C$9, $D$9, 100%, $F$9) + CHOOSE(CONTROL!$C$27, 0.0021, 0)</f>
        <v>41.8994</v>
      </c>
      <c r="G273" s="14">
        <f>42.1687 * CHOOSE(CONTROL!$C$9, $D$9, 100%, $F$9) + CHOOSE(CONTROL!$C$27, 0.0021, 0)</f>
        <v>42.1708</v>
      </c>
      <c r="H273" s="14">
        <f>42.034 * CHOOSE(CONTROL!$C$9, $D$9, 100%, $F$9) + CHOOSE(CONTROL!$C$27, 0.0021, 0)</f>
        <v>42.036099999999998</v>
      </c>
      <c r="I273" s="14">
        <f>42.034 * CHOOSE(CONTROL!$C$9, $D$9, 100%, $F$9) + CHOOSE(CONTROL!$C$27, 0.0021, 0)</f>
        <v>42.036099999999998</v>
      </c>
      <c r="J273" s="14">
        <f>42.034 * CHOOSE(CONTROL!$C$9, $D$9, 100%, $F$9) + CHOOSE(CONTROL!$C$27, 0.0021, 0)</f>
        <v>42.036099999999998</v>
      </c>
      <c r="K273" s="14">
        <f>42.034 * CHOOSE(CONTROL!$C$9, $D$9, 100%, $F$9) + CHOOSE(CONTROL!$C$27, 0.0021, 0)</f>
        <v>42.036099999999998</v>
      </c>
      <c r="L273" s="14"/>
    </row>
    <row r="274" spans="1:12" ht="15" x14ac:dyDescent="0.2">
      <c r="A274" s="13">
        <v>49249</v>
      </c>
      <c r="B274" s="14">
        <f>42.559 * CHOOSE(CONTROL!$C$9, $D$9, 100%, $F$9) + CHOOSE(CONTROL!$C$27, 0.0021, 0)</f>
        <v>42.561099999999996</v>
      </c>
      <c r="C274" s="14">
        <f>42.1268 * CHOOSE(CONTROL!$C$9, $D$9, 100%, $F$9) + CHOOSE(CONTROL!$C$27, 0.0021, 0)</f>
        <v>42.128900000000002</v>
      </c>
      <c r="D274" s="14">
        <f>42.1268 * CHOOSE(CONTROL!$C$9, $D$9, 100%, $F$9) + CHOOSE(CONTROL!$C$27, 0.0021, 0)</f>
        <v>42.128900000000002</v>
      </c>
      <c r="E274" s="14">
        <f>41.9901 * CHOOSE(CONTROL!$C$9, $D$9, 100%, $F$9) + CHOOSE(CONTROL!$C$27, 0.0021, 0)</f>
        <v>41.992199999999997</v>
      </c>
      <c r="F274" s="14">
        <f>41.9901 * CHOOSE(CONTROL!$C$9, $D$9, 100%, $F$9) + CHOOSE(CONTROL!$C$27, 0.0021, 0)</f>
        <v>41.992199999999997</v>
      </c>
      <c r="G274" s="14">
        <f>42.2615 * CHOOSE(CONTROL!$C$9, $D$9, 100%, $F$9) + CHOOSE(CONTROL!$C$27, 0.0021, 0)</f>
        <v>42.263599999999997</v>
      </c>
      <c r="H274" s="14">
        <f>42.1268 * CHOOSE(CONTROL!$C$9, $D$9, 100%, $F$9) + CHOOSE(CONTROL!$C$27, 0.0021, 0)</f>
        <v>42.128900000000002</v>
      </c>
      <c r="I274" s="14">
        <f>42.1268 * CHOOSE(CONTROL!$C$9, $D$9, 100%, $F$9) + CHOOSE(CONTROL!$C$27, 0.0021, 0)</f>
        <v>42.128900000000002</v>
      </c>
      <c r="J274" s="14">
        <f>42.1268 * CHOOSE(CONTROL!$C$9, $D$9, 100%, $F$9) + CHOOSE(CONTROL!$C$27, 0.0021, 0)</f>
        <v>42.128900000000002</v>
      </c>
      <c r="K274" s="14">
        <f>42.1268 * CHOOSE(CONTROL!$C$9, $D$9, 100%, $F$9) + CHOOSE(CONTROL!$C$27, 0.0021, 0)</f>
        <v>42.128900000000002</v>
      </c>
      <c r="L274" s="14"/>
    </row>
    <row r="275" spans="1:12" ht="15" x14ac:dyDescent="0.2">
      <c r="A275" s="13">
        <v>49279</v>
      </c>
      <c r="B275" s="14">
        <f>41.7695 * CHOOSE(CONTROL!$C$9, $D$9, 100%, $F$9) + CHOOSE(CONTROL!$C$27, 0.0021, 0)</f>
        <v>41.771599999999999</v>
      </c>
      <c r="C275" s="14">
        <f>41.3372 * CHOOSE(CONTROL!$C$9, $D$9, 100%, $F$9) + CHOOSE(CONTROL!$C$27, 0.0021, 0)</f>
        <v>41.339300000000001</v>
      </c>
      <c r="D275" s="14">
        <f>41.3372 * CHOOSE(CONTROL!$C$9, $D$9, 100%, $F$9) + CHOOSE(CONTROL!$C$27, 0.0021, 0)</f>
        <v>41.339300000000001</v>
      </c>
      <c r="E275" s="14">
        <f>41.2006 * CHOOSE(CONTROL!$C$9, $D$9, 100%, $F$9) + CHOOSE(CONTROL!$C$27, 0.0021, 0)</f>
        <v>41.2027</v>
      </c>
      <c r="F275" s="14">
        <f>41.2006 * CHOOSE(CONTROL!$C$9, $D$9, 100%, $F$9) + CHOOSE(CONTROL!$C$27, 0.0021, 0)</f>
        <v>41.2027</v>
      </c>
      <c r="G275" s="14">
        <f>41.4719 * CHOOSE(CONTROL!$C$9, $D$9, 100%, $F$9) + CHOOSE(CONTROL!$C$27, 0.0021, 0)</f>
        <v>41.473999999999997</v>
      </c>
      <c r="H275" s="14">
        <f>41.3372 * CHOOSE(CONTROL!$C$9, $D$9, 100%, $F$9) + CHOOSE(CONTROL!$C$27, 0.0021, 0)</f>
        <v>41.339300000000001</v>
      </c>
      <c r="I275" s="14">
        <f>41.3372 * CHOOSE(CONTROL!$C$9, $D$9, 100%, $F$9) + CHOOSE(CONTROL!$C$27, 0.0021, 0)</f>
        <v>41.339300000000001</v>
      </c>
      <c r="J275" s="14">
        <f>41.3372 * CHOOSE(CONTROL!$C$9, $D$9, 100%, $F$9) + CHOOSE(CONTROL!$C$27, 0.0021, 0)</f>
        <v>41.339300000000001</v>
      </c>
      <c r="K275" s="14">
        <f>41.3372 * CHOOSE(CONTROL!$C$9, $D$9, 100%, $F$9) + CHOOSE(CONTROL!$C$27, 0.0021, 0)</f>
        <v>41.339300000000001</v>
      </c>
      <c r="L275" s="14"/>
    </row>
    <row r="276" spans="1:12" ht="15" x14ac:dyDescent="0.2">
      <c r="A276" s="13">
        <v>49310</v>
      </c>
      <c r="B276" s="14">
        <f>41.2704 * CHOOSE(CONTROL!$C$9, $D$9, 100%, $F$9) + CHOOSE(CONTROL!$C$27, 0.0021, 0)</f>
        <v>41.272500000000001</v>
      </c>
      <c r="C276" s="14">
        <f>40.8382 * CHOOSE(CONTROL!$C$9, $D$9, 100%, $F$9) + CHOOSE(CONTROL!$C$27, 0.0021, 0)</f>
        <v>40.840299999999999</v>
      </c>
      <c r="D276" s="14">
        <f>40.8382 * CHOOSE(CONTROL!$C$9, $D$9, 100%, $F$9) + CHOOSE(CONTROL!$C$27, 0.0021, 0)</f>
        <v>40.840299999999999</v>
      </c>
      <c r="E276" s="14">
        <f>40.7015 * CHOOSE(CONTROL!$C$9, $D$9, 100%, $F$9) + CHOOSE(CONTROL!$C$27, 0.0021, 0)</f>
        <v>40.703600000000002</v>
      </c>
      <c r="F276" s="14">
        <f>40.7015 * CHOOSE(CONTROL!$C$9, $D$9, 100%, $F$9) + CHOOSE(CONTROL!$C$27, 0.0021, 0)</f>
        <v>40.703600000000002</v>
      </c>
      <c r="G276" s="14">
        <f>40.9729 * CHOOSE(CONTROL!$C$9, $D$9, 100%, $F$9) + CHOOSE(CONTROL!$C$27, 0.0021, 0)</f>
        <v>40.975000000000001</v>
      </c>
      <c r="H276" s="14">
        <f>40.8382 * CHOOSE(CONTROL!$C$9, $D$9, 100%, $F$9) + CHOOSE(CONTROL!$C$27, 0.0021, 0)</f>
        <v>40.840299999999999</v>
      </c>
      <c r="I276" s="14">
        <f>40.8382 * CHOOSE(CONTROL!$C$9, $D$9, 100%, $F$9) + CHOOSE(CONTROL!$C$27, 0.0021, 0)</f>
        <v>40.840299999999999</v>
      </c>
      <c r="J276" s="14">
        <f>40.8382 * CHOOSE(CONTROL!$C$9, $D$9, 100%, $F$9) + CHOOSE(CONTROL!$C$27, 0.0021, 0)</f>
        <v>40.840299999999999</v>
      </c>
      <c r="K276" s="14">
        <f>40.8382 * CHOOSE(CONTROL!$C$9, $D$9, 100%, $F$9) + CHOOSE(CONTROL!$C$27, 0.0021, 0)</f>
        <v>40.840299999999999</v>
      </c>
      <c r="L276" s="14"/>
    </row>
    <row r="277" spans="1:12" ht="15" x14ac:dyDescent="0.2">
      <c r="A277" s="13">
        <v>49341</v>
      </c>
      <c r="B277" s="14">
        <f>40.1679 * CHOOSE(CONTROL!$C$9, $D$9, 100%, $F$9) + CHOOSE(CONTROL!$C$27, 0.0021, 0)</f>
        <v>40.17</v>
      </c>
      <c r="C277" s="14">
        <f>39.7357 * CHOOSE(CONTROL!$C$9, $D$9, 100%, $F$9) + CHOOSE(CONTROL!$C$27, 0.0021, 0)</f>
        <v>39.7378</v>
      </c>
      <c r="D277" s="14">
        <f>39.7357 * CHOOSE(CONTROL!$C$9, $D$9, 100%, $F$9) + CHOOSE(CONTROL!$C$27, 0.0021, 0)</f>
        <v>39.7378</v>
      </c>
      <c r="E277" s="14">
        <f>39.599 * CHOOSE(CONTROL!$C$9, $D$9, 100%, $F$9) + CHOOSE(CONTROL!$C$27, 0.0021, 0)</f>
        <v>39.601099999999995</v>
      </c>
      <c r="F277" s="14">
        <f>39.599 * CHOOSE(CONTROL!$C$9, $D$9, 100%, $F$9) + CHOOSE(CONTROL!$C$27, 0.0021, 0)</f>
        <v>39.601099999999995</v>
      </c>
      <c r="G277" s="14">
        <f>39.8704 * CHOOSE(CONTROL!$C$9, $D$9, 100%, $F$9) + CHOOSE(CONTROL!$C$27, 0.0021, 0)</f>
        <v>39.872499999999995</v>
      </c>
      <c r="H277" s="14">
        <f>39.7357 * CHOOSE(CONTROL!$C$9, $D$9, 100%, $F$9) + CHOOSE(CONTROL!$C$27, 0.0021, 0)</f>
        <v>39.7378</v>
      </c>
      <c r="I277" s="14">
        <f>39.7357 * CHOOSE(CONTROL!$C$9, $D$9, 100%, $F$9) + CHOOSE(CONTROL!$C$27, 0.0021, 0)</f>
        <v>39.7378</v>
      </c>
      <c r="J277" s="14">
        <f>39.7357 * CHOOSE(CONTROL!$C$9, $D$9, 100%, $F$9) + CHOOSE(CONTROL!$C$27, 0.0021, 0)</f>
        <v>39.7378</v>
      </c>
      <c r="K277" s="14">
        <f>39.7357 * CHOOSE(CONTROL!$C$9, $D$9, 100%, $F$9) + CHOOSE(CONTROL!$C$27, 0.0021, 0)</f>
        <v>39.7378</v>
      </c>
      <c r="L277" s="14"/>
    </row>
    <row r="278" spans="1:12" ht="15" x14ac:dyDescent="0.2">
      <c r="A278" s="13">
        <v>49369</v>
      </c>
      <c r="B278" s="14">
        <f>39.7128 * CHOOSE(CONTROL!$C$9, $D$9, 100%, $F$9) + CHOOSE(CONTROL!$C$27, 0.0021, 0)</f>
        <v>39.7149</v>
      </c>
      <c r="C278" s="14">
        <f>39.2806 * CHOOSE(CONTROL!$C$9, $D$9, 100%, $F$9) + CHOOSE(CONTROL!$C$27, 0.0021, 0)</f>
        <v>39.282699999999998</v>
      </c>
      <c r="D278" s="14">
        <f>39.2806 * CHOOSE(CONTROL!$C$9, $D$9, 100%, $F$9) + CHOOSE(CONTROL!$C$27, 0.0021, 0)</f>
        <v>39.282699999999998</v>
      </c>
      <c r="E278" s="14">
        <f>39.1439 * CHOOSE(CONTROL!$C$9, $D$9, 100%, $F$9) + CHOOSE(CONTROL!$C$27, 0.0021, 0)</f>
        <v>39.146000000000001</v>
      </c>
      <c r="F278" s="14">
        <f>39.1439 * CHOOSE(CONTROL!$C$9, $D$9, 100%, $F$9) + CHOOSE(CONTROL!$C$27, 0.0021, 0)</f>
        <v>39.146000000000001</v>
      </c>
      <c r="G278" s="14">
        <f>39.4153 * CHOOSE(CONTROL!$C$9, $D$9, 100%, $F$9) + CHOOSE(CONTROL!$C$27, 0.0021, 0)</f>
        <v>39.417400000000001</v>
      </c>
      <c r="H278" s="14">
        <f>39.2806 * CHOOSE(CONTROL!$C$9, $D$9, 100%, $F$9) + CHOOSE(CONTROL!$C$27, 0.0021, 0)</f>
        <v>39.282699999999998</v>
      </c>
      <c r="I278" s="14">
        <f>39.2806 * CHOOSE(CONTROL!$C$9, $D$9, 100%, $F$9) + CHOOSE(CONTROL!$C$27, 0.0021, 0)</f>
        <v>39.282699999999998</v>
      </c>
      <c r="J278" s="14">
        <f>39.2806 * CHOOSE(CONTROL!$C$9, $D$9, 100%, $F$9) + CHOOSE(CONTROL!$C$27, 0.0021, 0)</f>
        <v>39.282699999999998</v>
      </c>
      <c r="K278" s="14">
        <f>39.2806 * CHOOSE(CONTROL!$C$9, $D$9, 100%, $F$9) + CHOOSE(CONTROL!$C$27, 0.0021, 0)</f>
        <v>39.282699999999998</v>
      </c>
      <c r="L278" s="14"/>
    </row>
    <row r="279" spans="1:12" ht="15" x14ac:dyDescent="0.2">
      <c r="A279" s="13">
        <v>49400</v>
      </c>
      <c r="B279" s="14">
        <f>39.1694 * CHOOSE(CONTROL!$C$9, $D$9, 100%, $F$9) + CHOOSE(CONTROL!$C$27, 0.0021, 0)</f>
        <v>39.171500000000002</v>
      </c>
      <c r="C279" s="14">
        <f>38.7372 * CHOOSE(CONTROL!$C$9, $D$9, 100%, $F$9) + CHOOSE(CONTROL!$C$27, 0.0021, 0)</f>
        <v>38.7393</v>
      </c>
      <c r="D279" s="14">
        <f>38.7372 * CHOOSE(CONTROL!$C$9, $D$9, 100%, $F$9) + CHOOSE(CONTROL!$C$27, 0.0021, 0)</f>
        <v>38.7393</v>
      </c>
      <c r="E279" s="14">
        <f>38.6005 * CHOOSE(CONTROL!$C$9, $D$9, 100%, $F$9) + CHOOSE(CONTROL!$C$27, 0.0021, 0)</f>
        <v>38.602599999999995</v>
      </c>
      <c r="F279" s="14">
        <f>38.6005 * CHOOSE(CONTROL!$C$9, $D$9, 100%, $F$9) + CHOOSE(CONTROL!$C$27, 0.0021, 0)</f>
        <v>38.602599999999995</v>
      </c>
      <c r="G279" s="14">
        <f>38.8719 * CHOOSE(CONTROL!$C$9, $D$9, 100%, $F$9) + CHOOSE(CONTROL!$C$27, 0.0021, 0)</f>
        <v>38.873999999999995</v>
      </c>
      <c r="H279" s="14">
        <f>38.7372 * CHOOSE(CONTROL!$C$9, $D$9, 100%, $F$9) + CHOOSE(CONTROL!$C$27, 0.0021, 0)</f>
        <v>38.7393</v>
      </c>
      <c r="I279" s="14">
        <f>38.7372 * CHOOSE(CONTROL!$C$9, $D$9, 100%, $F$9) + CHOOSE(CONTROL!$C$27, 0.0021, 0)</f>
        <v>38.7393</v>
      </c>
      <c r="J279" s="14">
        <f>38.7372 * CHOOSE(CONTROL!$C$9, $D$9, 100%, $F$9) + CHOOSE(CONTROL!$C$27, 0.0021, 0)</f>
        <v>38.7393</v>
      </c>
      <c r="K279" s="14">
        <f>38.7372 * CHOOSE(CONTROL!$C$9, $D$9, 100%, $F$9) + CHOOSE(CONTROL!$C$27, 0.0021, 0)</f>
        <v>38.7393</v>
      </c>
      <c r="L279" s="14"/>
    </row>
    <row r="280" spans="1:12" ht="15" x14ac:dyDescent="0.2">
      <c r="A280" s="13">
        <v>49430</v>
      </c>
      <c r="B280" s="14">
        <f>39.9438 * CHOOSE(CONTROL!$C$9, $D$9, 100%, $F$9) + CHOOSE(CONTROL!$C$27, 0.0021, 0)</f>
        <v>39.945900000000002</v>
      </c>
      <c r="C280" s="14">
        <f>39.5116 * CHOOSE(CONTROL!$C$9, $D$9, 100%, $F$9) + CHOOSE(CONTROL!$C$27, 0.0021, 0)</f>
        <v>39.5137</v>
      </c>
      <c r="D280" s="14">
        <f>39.5116 * CHOOSE(CONTROL!$C$9, $D$9, 100%, $F$9) + CHOOSE(CONTROL!$C$27, 0.0021, 0)</f>
        <v>39.5137</v>
      </c>
      <c r="E280" s="14">
        <f>39.3749 * CHOOSE(CONTROL!$C$9, $D$9, 100%, $F$9) + CHOOSE(CONTROL!$C$27, 0.0021, 0)</f>
        <v>39.376999999999995</v>
      </c>
      <c r="F280" s="14">
        <f>39.3749 * CHOOSE(CONTROL!$C$9, $D$9, 100%, $F$9) + CHOOSE(CONTROL!$C$27, 0.0021, 0)</f>
        <v>39.376999999999995</v>
      </c>
      <c r="G280" s="14">
        <f>39.6463 * CHOOSE(CONTROL!$C$9, $D$9, 100%, $F$9) + CHOOSE(CONTROL!$C$27, 0.0021, 0)</f>
        <v>39.648399999999995</v>
      </c>
      <c r="H280" s="14">
        <f>39.5116 * CHOOSE(CONTROL!$C$9, $D$9, 100%, $F$9) + CHOOSE(CONTROL!$C$27, 0.0021, 0)</f>
        <v>39.5137</v>
      </c>
      <c r="I280" s="14">
        <f>39.5116 * CHOOSE(CONTROL!$C$9, $D$9, 100%, $F$9) + CHOOSE(CONTROL!$C$27, 0.0021, 0)</f>
        <v>39.5137</v>
      </c>
      <c r="J280" s="14">
        <f>39.5116 * CHOOSE(CONTROL!$C$9, $D$9, 100%, $F$9) + CHOOSE(CONTROL!$C$27, 0.0021, 0)</f>
        <v>39.5137</v>
      </c>
      <c r="K280" s="14">
        <f>39.5116 * CHOOSE(CONTROL!$C$9, $D$9, 100%, $F$9) + CHOOSE(CONTROL!$C$27, 0.0021, 0)</f>
        <v>39.5137</v>
      </c>
      <c r="L280" s="14"/>
    </row>
    <row r="281" spans="1:12" ht="15" x14ac:dyDescent="0.2">
      <c r="A281" s="34">
        <v>49461</v>
      </c>
      <c r="B281" s="14">
        <f>40.4077 * CHOOSE(CONTROL!$C$9, $D$9, 100%, $F$9) + CHOOSE(CONTROL!$C$27, 0.0021, 0)</f>
        <v>40.409799999999997</v>
      </c>
      <c r="C281" s="14">
        <f>39.9754 * CHOOSE(CONTROL!$C$9, $D$9, 100%, $F$9) + CHOOSE(CONTROL!$C$27, 0.0021, 0)</f>
        <v>39.977499999999999</v>
      </c>
      <c r="D281" s="14">
        <f>39.9754 * CHOOSE(CONTROL!$C$9, $D$9, 100%, $F$9) + CHOOSE(CONTROL!$C$27, 0.0021, 0)</f>
        <v>39.977499999999999</v>
      </c>
      <c r="E281" s="14">
        <f>39.8388 * CHOOSE(CONTROL!$C$9, $D$9, 100%, $F$9) + CHOOSE(CONTROL!$C$27, 0.0021, 0)</f>
        <v>39.840899999999998</v>
      </c>
      <c r="F281" s="14">
        <f>39.8388 * CHOOSE(CONTROL!$C$9, $D$9, 100%, $F$9) + CHOOSE(CONTROL!$C$27, 0.0021, 0)</f>
        <v>39.840899999999998</v>
      </c>
      <c r="G281" s="14">
        <f>40.1102 * CHOOSE(CONTROL!$C$9, $D$9, 100%, $F$9) + CHOOSE(CONTROL!$C$27, 0.0021, 0)</f>
        <v>40.112299999999998</v>
      </c>
      <c r="H281" s="14">
        <f>39.9754 * CHOOSE(CONTROL!$C$9, $D$9, 100%, $F$9) + CHOOSE(CONTROL!$C$27, 0.0021, 0)</f>
        <v>39.977499999999999</v>
      </c>
      <c r="I281" s="14">
        <f>39.9754 * CHOOSE(CONTROL!$C$9, $D$9, 100%, $F$9) + CHOOSE(CONTROL!$C$27, 0.0021, 0)</f>
        <v>39.977499999999999</v>
      </c>
      <c r="J281" s="14">
        <f>39.9754 * CHOOSE(CONTROL!$C$9, $D$9, 100%, $F$9) + CHOOSE(CONTROL!$C$27, 0.0021, 0)</f>
        <v>39.977499999999999</v>
      </c>
      <c r="K281" s="14">
        <f>39.9754 * CHOOSE(CONTROL!$C$9, $D$9, 100%, $F$9) + CHOOSE(CONTROL!$C$27, 0.0021, 0)</f>
        <v>39.977499999999999</v>
      </c>
      <c r="L281" s="14"/>
    </row>
    <row r="282" spans="1:12" ht="15" x14ac:dyDescent="0.2">
      <c r="A282" s="34">
        <v>49491</v>
      </c>
      <c r="B282" s="14">
        <f>41.1729 * CHOOSE(CONTROL!$C$9, $D$9, 100%, $F$9) + CHOOSE(CONTROL!$C$27, 0.0021, 0)</f>
        <v>41.174999999999997</v>
      </c>
      <c r="C282" s="14">
        <f>40.7406 * CHOOSE(CONTROL!$C$9, $D$9, 100%, $F$9) + CHOOSE(CONTROL!$C$27, 0.0021, 0)</f>
        <v>40.742699999999999</v>
      </c>
      <c r="D282" s="14">
        <f>40.7406 * CHOOSE(CONTROL!$C$9, $D$9, 100%, $F$9) + CHOOSE(CONTROL!$C$27, 0.0021, 0)</f>
        <v>40.742699999999999</v>
      </c>
      <c r="E282" s="14">
        <f>40.604 * CHOOSE(CONTROL!$C$9, $D$9, 100%, $F$9) + CHOOSE(CONTROL!$C$27, 0.0021, 0)</f>
        <v>40.606099999999998</v>
      </c>
      <c r="F282" s="14">
        <f>40.604 * CHOOSE(CONTROL!$C$9, $D$9, 100%, $F$9) + CHOOSE(CONTROL!$C$27, 0.0021, 0)</f>
        <v>40.606099999999998</v>
      </c>
      <c r="G282" s="14">
        <f>40.8754 * CHOOSE(CONTROL!$C$9, $D$9, 100%, $F$9) + CHOOSE(CONTROL!$C$27, 0.0021, 0)</f>
        <v>40.877499999999998</v>
      </c>
      <c r="H282" s="14">
        <f>40.7406 * CHOOSE(CONTROL!$C$9, $D$9, 100%, $F$9) + CHOOSE(CONTROL!$C$27, 0.0021, 0)</f>
        <v>40.742699999999999</v>
      </c>
      <c r="I282" s="14">
        <f>40.7406 * CHOOSE(CONTROL!$C$9, $D$9, 100%, $F$9) + CHOOSE(CONTROL!$C$27, 0.0021, 0)</f>
        <v>40.742699999999999</v>
      </c>
      <c r="J282" s="14">
        <f>40.7406 * CHOOSE(CONTROL!$C$9, $D$9, 100%, $F$9) + CHOOSE(CONTROL!$C$27, 0.0021, 0)</f>
        <v>40.742699999999999</v>
      </c>
      <c r="K282" s="14">
        <f>40.7406 * CHOOSE(CONTROL!$C$9, $D$9, 100%, $F$9) + CHOOSE(CONTROL!$C$27, 0.0021, 0)</f>
        <v>40.742699999999999</v>
      </c>
      <c r="L282" s="14"/>
    </row>
    <row r="283" spans="1:12" ht="15" x14ac:dyDescent="0.2">
      <c r="A283" s="34">
        <v>49522</v>
      </c>
      <c r="B283" s="14">
        <f>41.4064 * CHOOSE(CONTROL!$C$9, $D$9, 100%, $F$9) + CHOOSE(CONTROL!$C$27, 0.0021, 0)</f>
        <v>41.408499999999997</v>
      </c>
      <c r="C283" s="14">
        <f>40.9742 * CHOOSE(CONTROL!$C$9, $D$9, 100%, $F$9) + CHOOSE(CONTROL!$C$27, 0.0021, 0)</f>
        <v>40.976300000000002</v>
      </c>
      <c r="D283" s="14">
        <f>40.9742 * CHOOSE(CONTROL!$C$9, $D$9, 100%, $F$9) + CHOOSE(CONTROL!$C$27, 0.0021, 0)</f>
        <v>40.976300000000002</v>
      </c>
      <c r="E283" s="14">
        <f>40.8375 * CHOOSE(CONTROL!$C$9, $D$9, 100%, $F$9) + CHOOSE(CONTROL!$C$27, 0.0021, 0)</f>
        <v>40.839599999999997</v>
      </c>
      <c r="F283" s="14">
        <f>40.8375 * CHOOSE(CONTROL!$C$9, $D$9, 100%, $F$9) + CHOOSE(CONTROL!$C$27, 0.0021, 0)</f>
        <v>40.839599999999997</v>
      </c>
      <c r="G283" s="14">
        <f>41.1089 * CHOOSE(CONTROL!$C$9, $D$9, 100%, $F$9) + CHOOSE(CONTROL!$C$27, 0.0021, 0)</f>
        <v>41.110999999999997</v>
      </c>
      <c r="H283" s="14">
        <f>40.9742 * CHOOSE(CONTROL!$C$9, $D$9, 100%, $F$9) + CHOOSE(CONTROL!$C$27, 0.0021, 0)</f>
        <v>40.976300000000002</v>
      </c>
      <c r="I283" s="14">
        <f>40.9742 * CHOOSE(CONTROL!$C$9, $D$9, 100%, $F$9) + CHOOSE(CONTROL!$C$27, 0.0021, 0)</f>
        <v>40.976300000000002</v>
      </c>
      <c r="J283" s="14">
        <f>40.9742 * CHOOSE(CONTROL!$C$9, $D$9, 100%, $F$9) + CHOOSE(CONTROL!$C$27, 0.0021, 0)</f>
        <v>40.976300000000002</v>
      </c>
      <c r="K283" s="14">
        <f>40.9742 * CHOOSE(CONTROL!$C$9, $D$9, 100%, $F$9) + CHOOSE(CONTROL!$C$27, 0.0021, 0)</f>
        <v>40.976300000000002</v>
      </c>
      <c r="L283" s="14"/>
    </row>
    <row r="284" spans="1:12" ht="15" x14ac:dyDescent="0.2">
      <c r="A284" s="34">
        <v>49553</v>
      </c>
      <c r="B284" s="14">
        <f>42.2018 * CHOOSE(CONTROL!$C$9, $D$9, 100%, $F$9) + CHOOSE(CONTROL!$C$27, 0.0021, 0)</f>
        <v>42.203899999999997</v>
      </c>
      <c r="C284" s="14">
        <f>41.7696 * CHOOSE(CONTROL!$C$9, $D$9, 100%, $F$9) + CHOOSE(CONTROL!$C$27, 0.0021, 0)</f>
        <v>41.771699999999996</v>
      </c>
      <c r="D284" s="14">
        <f>41.7696 * CHOOSE(CONTROL!$C$9, $D$9, 100%, $F$9) + CHOOSE(CONTROL!$C$27, 0.0021, 0)</f>
        <v>41.771699999999996</v>
      </c>
      <c r="E284" s="14">
        <f>41.6329 * CHOOSE(CONTROL!$C$9, $D$9, 100%, $F$9) + CHOOSE(CONTROL!$C$27, 0.0021, 0)</f>
        <v>41.634999999999998</v>
      </c>
      <c r="F284" s="14">
        <f>41.6329 * CHOOSE(CONTROL!$C$9, $D$9, 100%, $F$9) + CHOOSE(CONTROL!$C$27, 0.0021, 0)</f>
        <v>41.634999999999998</v>
      </c>
      <c r="G284" s="14">
        <f>41.9043 * CHOOSE(CONTROL!$C$9, $D$9, 100%, $F$9) + CHOOSE(CONTROL!$C$27, 0.0021, 0)</f>
        <v>41.906399999999998</v>
      </c>
      <c r="H284" s="14">
        <f>41.7696 * CHOOSE(CONTROL!$C$9, $D$9, 100%, $F$9) + CHOOSE(CONTROL!$C$27, 0.0021, 0)</f>
        <v>41.771699999999996</v>
      </c>
      <c r="I284" s="14">
        <f>41.7696 * CHOOSE(CONTROL!$C$9, $D$9, 100%, $F$9) + CHOOSE(CONTROL!$C$27, 0.0021, 0)</f>
        <v>41.771699999999996</v>
      </c>
      <c r="J284" s="14">
        <f>41.7696 * CHOOSE(CONTROL!$C$9, $D$9, 100%, $F$9) + CHOOSE(CONTROL!$C$27, 0.0021, 0)</f>
        <v>41.771699999999996</v>
      </c>
      <c r="K284" s="14">
        <f>41.7696 * CHOOSE(CONTROL!$C$9, $D$9, 100%, $F$9) + CHOOSE(CONTROL!$C$27, 0.0021, 0)</f>
        <v>41.771699999999996</v>
      </c>
      <c r="L284" s="14"/>
    </row>
    <row r="285" spans="1:12" ht="15" x14ac:dyDescent="0.2">
      <c r="A285" s="34">
        <v>49583</v>
      </c>
      <c r="B285" s="14">
        <f>43.2086 * CHOOSE(CONTROL!$C$9, $D$9, 100%, $F$9) + CHOOSE(CONTROL!$C$27, 0.0021, 0)</f>
        <v>43.210699999999996</v>
      </c>
      <c r="C285" s="14">
        <f>42.7764 * CHOOSE(CONTROL!$C$9, $D$9, 100%, $F$9) + CHOOSE(CONTROL!$C$27, 0.0021, 0)</f>
        <v>42.778500000000001</v>
      </c>
      <c r="D285" s="14">
        <f>42.7764 * CHOOSE(CONTROL!$C$9, $D$9, 100%, $F$9) + CHOOSE(CONTROL!$C$27, 0.0021, 0)</f>
        <v>42.778500000000001</v>
      </c>
      <c r="E285" s="14">
        <f>42.6397 * CHOOSE(CONTROL!$C$9, $D$9, 100%, $F$9) + CHOOSE(CONTROL!$C$27, 0.0021, 0)</f>
        <v>42.641799999999996</v>
      </c>
      <c r="F285" s="14">
        <f>42.6397 * CHOOSE(CONTROL!$C$9, $D$9, 100%, $F$9) + CHOOSE(CONTROL!$C$27, 0.0021, 0)</f>
        <v>42.641799999999996</v>
      </c>
      <c r="G285" s="14">
        <f>42.9111 * CHOOSE(CONTROL!$C$9, $D$9, 100%, $F$9) + CHOOSE(CONTROL!$C$27, 0.0021, 0)</f>
        <v>42.913199999999996</v>
      </c>
      <c r="H285" s="14">
        <f>42.7764 * CHOOSE(CONTROL!$C$9, $D$9, 100%, $F$9) + CHOOSE(CONTROL!$C$27, 0.0021, 0)</f>
        <v>42.778500000000001</v>
      </c>
      <c r="I285" s="14">
        <f>42.7764 * CHOOSE(CONTROL!$C$9, $D$9, 100%, $F$9) + CHOOSE(CONTROL!$C$27, 0.0021, 0)</f>
        <v>42.778500000000001</v>
      </c>
      <c r="J285" s="14">
        <f>42.7764 * CHOOSE(CONTROL!$C$9, $D$9, 100%, $F$9) + CHOOSE(CONTROL!$C$27, 0.0021, 0)</f>
        <v>42.778500000000001</v>
      </c>
      <c r="K285" s="14">
        <f>42.7764 * CHOOSE(CONTROL!$C$9, $D$9, 100%, $F$9) + CHOOSE(CONTROL!$C$27, 0.0021, 0)</f>
        <v>42.778500000000001</v>
      </c>
      <c r="L285" s="14"/>
    </row>
    <row r="286" spans="1:12" ht="15" x14ac:dyDescent="0.2">
      <c r="A286" s="34">
        <v>49614</v>
      </c>
      <c r="B286" s="14">
        <f>43.3032 * CHOOSE(CONTROL!$C$9, $D$9, 100%, $F$9) + CHOOSE(CONTROL!$C$27, 0.0021, 0)</f>
        <v>43.305299999999995</v>
      </c>
      <c r="C286" s="14">
        <f>42.8709 * CHOOSE(CONTROL!$C$9, $D$9, 100%, $F$9) + CHOOSE(CONTROL!$C$27, 0.0021, 0)</f>
        <v>42.872999999999998</v>
      </c>
      <c r="D286" s="14">
        <f>42.8709 * CHOOSE(CONTROL!$C$9, $D$9, 100%, $F$9) + CHOOSE(CONTROL!$C$27, 0.0021, 0)</f>
        <v>42.872999999999998</v>
      </c>
      <c r="E286" s="14">
        <f>42.7343 * CHOOSE(CONTROL!$C$9, $D$9, 100%, $F$9) + CHOOSE(CONTROL!$C$27, 0.0021, 0)</f>
        <v>42.736399999999996</v>
      </c>
      <c r="F286" s="14">
        <f>42.7343 * CHOOSE(CONTROL!$C$9, $D$9, 100%, $F$9) + CHOOSE(CONTROL!$C$27, 0.0021, 0)</f>
        <v>42.736399999999996</v>
      </c>
      <c r="G286" s="14">
        <f>43.0056 * CHOOSE(CONTROL!$C$9, $D$9, 100%, $F$9) + CHOOSE(CONTROL!$C$27, 0.0021, 0)</f>
        <v>43.0077</v>
      </c>
      <c r="H286" s="14">
        <f>42.8709 * CHOOSE(CONTROL!$C$9, $D$9, 100%, $F$9) + CHOOSE(CONTROL!$C$27, 0.0021, 0)</f>
        <v>42.872999999999998</v>
      </c>
      <c r="I286" s="14">
        <f>42.8709 * CHOOSE(CONTROL!$C$9, $D$9, 100%, $F$9) + CHOOSE(CONTROL!$C$27, 0.0021, 0)</f>
        <v>42.872999999999998</v>
      </c>
      <c r="J286" s="14">
        <f>42.8709 * CHOOSE(CONTROL!$C$9, $D$9, 100%, $F$9) + CHOOSE(CONTROL!$C$27, 0.0021, 0)</f>
        <v>42.872999999999998</v>
      </c>
      <c r="K286" s="14">
        <f>42.8709 * CHOOSE(CONTROL!$C$9, $D$9, 100%, $F$9) + CHOOSE(CONTROL!$C$27, 0.0021, 0)</f>
        <v>42.872999999999998</v>
      </c>
      <c r="L286" s="14"/>
    </row>
    <row r="287" spans="1:12" ht="15" x14ac:dyDescent="0.2">
      <c r="A287" s="34">
        <v>49644</v>
      </c>
      <c r="B287" s="14">
        <f>42.499 * CHOOSE(CONTROL!$C$9, $D$9, 100%, $F$9) + CHOOSE(CONTROL!$C$27, 0.0021, 0)</f>
        <v>42.501100000000001</v>
      </c>
      <c r="C287" s="14">
        <f>42.0668 * CHOOSE(CONTROL!$C$9, $D$9, 100%, $F$9) + CHOOSE(CONTROL!$C$27, 0.0021, 0)</f>
        <v>42.068899999999999</v>
      </c>
      <c r="D287" s="14">
        <f>42.0668 * CHOOSE(CONTROL!$C$9, $D$9, 100%, $F$9) + CHOOSE(CONTROL!$C$27, 0.0021, 0)</f>
        <v>42.068899999999999</v>
      </c>
      <c r="E287" s="14">
        <f>41.9301 * CHOOSE(CONTROL!$C$9, $D$9, 100%, $F$9) + CHOOSE(CONTROL!$C$27, 0.0021, 0)</f>
        <v>41.932200000000002</v>
      </c>
      <c r="F287" s="14">
        <f>41.9301 * CHOOSE(CONTROL!$C$9, $D$9, 100%, $F$9) + CHOOSE(CONTROL!$C$27, 0.0021, 0)</f>
        <v>41.932200000000002</v>
      </c>
      <c r="G287" s="14">
        <f>42.2015 * CHOOSE(CONTROL!$C$9, $D$9, 100%, $F$9) + CHOOSE(CONTROL!$C$27, 0.0021, 0)</f>
        <v>42.203600000000002</v>
      </c>
      <c r="H287" s="14">
        <f>42.0668 * CHOOSE(CONTROL!$C$9, $D$9, 100%, $F$9) + CHOOSE(CONTROL!$C$27, 0.0021, 0)</f>
        <v>42.068899999999999</v>
      </c>
      <c r="I287" s="14">
        <f>42.0668 * CHOOSE(CONTROL!$C$9, $D$9, 100%, $F$9) + CHOOSE(CONTROL!$C$27, 0.0021, 0)</f>
        <v>42.068899999999999</v>
      </c>
      <c r="J287" s="14">
        <f>42.0668 * CHOOSE(CONTROL!$C$9, $D$9, 100%, $F$9) + CHOOSE(CONTROL!$C$27, 0.0021, 0)</f>
        <v>42.068899999999999</v>
      </c>
      <c r="K287" s="14">
        <f>42.0668 * CHOOSE(CONTROL!$C$9, $D$9, 100%, $F$9) + CHOOSE(CONTROL!$C$27, 0.0021, 0)</f>
        <v>42.068899999999999</v>
      </c>
      <c r="L287" s="14"/>
    </row>
    <row r="288" spans="1:12" ht="15" x14ac:dyDescent="0.2">
      <c r="A288" s="34">
        <v>49675</v>
      </c>
      <c r="B288" s="14">
        <f>41.9908 * CHOOSE(CONTROL!$C$9, $D$9, 100%, $F$9) + CHOOSE(CONTROL!$C$27, 0.0021, 0)</f>
        <v>41.992899999999999</v>
      </c>
      <c r="C288" s="14">
        <f>41.5585 * CHOOSE(CONTROL!$C$9, $D$9, 100%, $F$9) + CHOOSE(CONTROL!$C$27, 0.0021, 0)</f>
        <v>41.560600000000001</v>
      </c>
      <c r="D288" s="14">
        <f>41.5585 * CHOOSE(CONTROL!$C$9, $D$9, 100%, $F$9) + CHOOSE(CONTROL!$C$27, 0.0021, 0)</f>
        <v>41.560600000000001</v>
      </c>
      <c r="E288" s="14">
        <f>41.4219 * CHOOSE(CONTROL!$C$9, $D$9, 100%, $F$9) + CHOOSE(CONTROL!$C$27, 0.0021, 0)</f>
        <v>41.423999999999999</v>
      </c>
      <c r="F288" s="14">
        <f>41.4219 * CHOOSE(CONTROL!$C$9, $D$9, 100%, $F$9) + CHOOSE(CONTROL!$C$27, 0.0021, 0)</f>
        <v>41.423999999999999</v>
      </c>
      <c r="G288" s="14">
        <f>41.6933 * CHOOSE(CONTROL!$C$9, $D$9, 100%, $F$9) + CHOOSE(CONTROL!$C$27, 0.0021, 0)</f>
        <v>41.695399999999999</v>
      </c>
      <c r="H288" s="14">
        <f>41.5585 * CHOOSE(CONTROL!$C$9, $D$9, 100%, $F$9) + CHOOSE(CONTROL!$C$27, 0.0021, 0)</f>
        <v>41.560600000000001</v>
      </c>
      <c r="I288" s="14">
        <f>41.5585 * CHOOSE(CONTROL!$C$9, $D$9, 100%, $F$9) + CHOOSE(CONTROL!$C$27, 0.0021, 0)</f>
        <v>41.560600000000001</v>
      </c>
      <c r="J288" s="14">
        <f>41.5585 * CHOOSE(CONTROL!$C$9, $D$9, 100%, $F$9) + CHOOSE(CONTROL!$C$27, 0.0021, 0)</f>
        <v>41.560600000000001</v>
      </c>
      <c r="K288" s="14">
        <f>41.5585 * CHOOSE(CONTROL!$C$9, $D$9, 100%, $F$9) + CHOOSE(CONTROL!$C$27, 0.0021, 0)</f>
        <v>41.560600000000001</v>
      </c>
      <c r="L288" s="14"/>
    </row>
    <row r="289" spans="1:12" ht="15" x14ac:dyDescent="0.2">
      <c r="A289" s="34">
        <v>49706</v>
      </c>
      <c r="B289" s="14">
        <f>40.8679 * CHOOSE(CONTROL!$C$9, $D$9, 100%, $F$9) + CHOOSE(CONTROL!$C$27, 0.0021, 0)</f>
        <v>40.869999999999997</v>
      </c>
      <c r="C289" s="14">
        <f>40.4357 * CHOOSE(CONTROL!$C$9, $D$9, 100%, $F$9) + CHOOSE(CONTROL!$C$27, 0.0021, 0)</f>
        <v>40.437799999999996</v>
      </c>
      <c r="D289" s="14">
        <f>40.4357 * CHOOSE(CONTROL!$C$9, $D$9, 100%, $F$9) + CHOOSE(CONTROL!$C$27, 0.0021, 0)</f>
        <v>40.437799999999996</v>
      </c>
      <c r="E289" s="14">
        <f>40.299 * CHOOSE(CONTROL!$C$9, $D$9, 100%, $F$9) + CHOOSE(CONTROL!$C$27, 0.0021, 0)</f>
        <v>40.301099999999998</v>
      </c>
      <c r="F289" s="14">
        <f>40.299 * CHOOSE(CONTROL!$C$9, $D$9, 100%, $F$9) + CHOOSE(CONTROL!$C$27, 0.0021, 0)</f>
        <v>40.301099999999998</v>
      </c>
      <c r="G289" s="14">
        <f>40.5704 * CHOOSE(CONTROL!$C$9, $D$9, 100%, $F$9) + CHOOSE(CONTROL!$C$27, 0.0021, 0)</f>
        <v>40.572499999999998</v>
      </c>
      <c r="H289" s="14">
        <f>40.4357 * CHOOSE(CONTROL!$C$9, $D$9, 100%, $F$9) + CHOOSE(CONTROL!$C$27, 0.0021, 0)</f>
        <v>40.437799999999996</v>
      </c>
      <c r="I289" s="14">
        <f>40.4357 * CHOOSE(CONTROL!$C$9, $D$9, 100%, $F$9) + CHOOSE(CONTROL!$C$27, 0.0021, 0)</f>
        <v>40.437799999999996</v>
      </c>
      <c r="J289" s="14">
        <f>40.4357 * CHOOSE(CONTROL!$C$9, $D$9, 100%, $F$9) + CHOOSE(CONTROL!$C$27, 0.0021, 0)</f>
        <v>40.437799999999996</v>
      </c>
      <c r="K289" s="14">
        <f>40.4357 * CHOOSE(CONTROL!$C$9, $D$9, 100%, $F$9) + CHOOSE(CONTROL!$C$27, 0.0021, 0)</f>
        <v>40.437799999999996</v>
      </c>
      <c r="L289" s="14"/>
    </row>
    <row r="290" spans="1:12" ht="15" x14ac:dyDescent="0.2">
      <c r="A290" s="34">
        <v>49735</v>
      </c>
      <c r="B290" s="14">
        <f>40.4044 * CHOOSE(CONTROL!$C$9, $D$9, 100%, $F$9) + CHOOSE(CONTROL!$C$27, 0.0021, 0)</f>
        <v>40.406500000000001</v>
      </c>
      <c r="C290" s="14">
        <f>39.9721 * CHOOSE(CONTROL!$C$9, $D$9, 100%, $F$9) + CHOOSE(CONTROL!$C$27, 0.0021, 0)</f>
        <v>39.974199999999996</v>
      </c>
      <c r="D290" s="14">
        <f>39.9721 * CHOOSE(CONTROL!$C$9, $D$9, 100%, $F$9) + CHOOSE(CONTROL!$C$27, 0.0021, 0)</f>
        <v>39.974199999999996</v>
      </c>
      <c r="E290" s="14">
        <f>39.8355 * CHOOSE(CONTROL!$C$9, $D$9, 100%, $F$9) + CHOOSE(CONTROL!$C$27, 0.0021, 0)</f>
        <v>39.837600000000002</v>
      </c>
      <c r="F290" s="14">
        <f>39.8355 * CHOOSE(CONTROL!$C$9, $D$9, 100%, $F$9) + CHOOSE(CONTROL!$C$27, 0.0021, 0)</f>
        <v>39.837600000000002</v>
      </c>
      <c r="G290" s="14">
        <f>40.1068 * CHOOSE(CONTROL!$C$9, $D$9, 100%, $F$9) + CHOOSE(CONTROL!$C$27, 0.0021, 0)</f>
        <v>40.108899999999998</v>
      </c>
      <c r="H290" s="14">
        <f>39.9721 * CHOOSE(CONTROL!$C$9, $D$9, 100%, $F$9) + CHOOSE(CONTROL!$C$27, 0.0021, 0)</f>
        <v>39.974199999999996</v>
      </c>
      <c r="I290" s="14">
        <f>39.9721 * CHOOSE(CONTROL!$C$9, $D$9, 100%, $F$9) + CHOOSE(CONTROL!$C$27, 0.0021, 0)</f>
        <v>39.974199999999996</v>
      </c>
      <c r="J290" s="14">
        <f>39.9721 * CHOOSE(CONTROL!$C$9, $D$9, 100%, $F$9) + CHOOSE(CONTROL!$C$27, 0.0021, 0)</f>
        <v>39.974199999999996</v>
      </c>
      <c r="K290" s="14">
        <f>39.9721 * CHOOSE(CONTROL!$C$9, $D$9, 100%, $F$9) + CHOOSE(CONTROL!$C$27, 0.0021, 0)</f>
        <v>39.974199999999996</v>
      </c>
      <c r="L290" s="14"/>
    </row>
    <row r="291" spans="1:12" ht="15" x14ac:dyDescent="0.2">
      <c r="A291" s="34">
        <v>49766</v>
      </c>
      <c r="B291" s="14">
        <f>39.8509 * CHOOSE(CONTROL!$C$9, $D$9, 100%, $F$9) + CHOOSE(CONTROL!$C$27, 0.0021, 0)</f>
        <v>39.853000000000002</v>
      </c>
      <c r="C291" s="14">
        <f>39.4187 * CHOOSE(CONTROL!$C$9, $D$9, 100%, $F$9) + CHOOSE(CONTROL!$C$27, 0.0021, 0)</f>
        <v>39.4208</v>
      </c>
      <c r="D291" s="14">
        <f>39.4187 * CHOOSE(CONTROL!$C$9, $D$9, 100%, $F$9) + CHOOSE(CONTROL!$C$27, 0.0021, 0)</f>
        <v>39.4208</v>
      </c>
      <c r="E291" s="14">
        <f>39.282 * CHOOSE(CONTROL!$C$9, $D$9, 100%, $F$9) + CHOOSE(CONTROL!$C$27, 0.0021, 0)</f>
        <v>39.284099999999995</v>
      </c>
      <c r="F291" s="14">
        <f>39.282 * CHOOSE(CONTROL!$C$9, $D$9, 100%, $F$9) + CHOOSE(CONTROL!$C$27, 0.0021, 0)</f>
        <v>39.284099999999995</v>
      </c>
      <c r="G291" s="14">
        <f>39.5534 * CHOOSE(CONTROL!$C$9, $D$9, 100%, $F$9) + CHOOSE(CONTROL!$C$27, 0.0021, 0)</f>
        <v>39.555500000000002</v>
      </c>
      <c r="H291" s="14">
        <f>39.4187 * CHOOSE(CONTROL!$C$9, $D$9, 100%, $F$9) + CHOOSE(CONTROL!$C$27, 0.0021, 0)</f>
        <v>39.4208</v>
      </c>
      <c r="I291" s="14">
        <f>39.4187 * CHOOSE(CONTROL!$C$9, $D$9, 100%, $F$9) + CHOOSE(CONTROL!$C$27, 0.0021, 0)</f>
        <v>39.4208</v>
      </c>
      <c r="J291" s="14">
        <f>39.4187 * CHOOSE(CONTROL!$C$9, $D$9, 100%, $F$9) + CHOOSE(CONTROL!$C$27, 0.0021, 0)</f>
        <v>39.4208</v>
      </c>
      <c r="K291" s="14">
        <f>39.4187 * CHOOSE(CONTROL!$C$9, $D$9, 100%, $F$9) + CHOOSE(CONTROL!$C$27, 0.0021, 0)</f>
        <v>39.4208</v>
      </c>
      <c r="L291" s="14"/>
    </row>
    <row r="292" spans="1:12" ht="15" x14ac:dyDescent="0.2">
      <c r="A292" s="34">
        <v>49796</v>
      </c>
      <c r="B292" s="14">
        <f>40.6397 * CHOOSE(CONTROL!$C$9, $D$9, 100%, $F$9) + CHOOSE(CONTROL!$C$27, 0.0021, 0)</f>
        <v>40.641799999999996</v>
      </c>
      <c r="C292" s="14">
        <f>40.2074 * CHOOSE(CONTROL!$C$9, $D$9, 100%, $F$9) + CHOOSE(CONTROL!$C$27, 0.0021, 0)</f>
        <v>40.209499999999998</v>
      </c>
      <c r="D292" s="14">
        <f>40.2074 * CHOOSE(CONTROL!$C$9, $D$9, 100%, $F$9) + CHOOSE(CONTROL!$C$27, 0.0021, 0)</f>
        <v>40.209499999999998</v>
      </c>
      <c r="E292" s="14">
        <f>40.0708 * CHOOSE(CONTROL!$C$9, $D$9, 100%, $F$9) + CHOOSE(CONTROL!$C$27, 0.0021, 0)</f>
        <v>40.072899999999997</v>
      </c>
      <c r="F292" s="14">
        <f>40.0708 * CHOOSE(CONTROL!$C$9, $D$9, 100%, $F$9) + CHOOSE(CONTROL!$C$27, 0.0021, 0)</f>
        <v>40.072899999999997</v>
      </c>
      <c r="G292" s="14">
        <f>40.3421 * CHOOSE(CONTROL!$C$9, $D$9, 100%, $F$9) + CHOOSE(CONTROL!$C$27, 0.0021, 0)</f>
        <v>40.344200000000001</v>
      </c>
      <c r="H292" s="14">
        <f>40.2074 * CHOOSE(CONTROL!$C$9, $D$9, 100%, $F$9) + CHOOSE(CONTROL!$C$27, 0.0021, 0)</f>
        <v>40.209499999999998</v>
      </c>
      <c r="I292" s="14">
        <f>40.2074 * CHOOSE(CONTROL!$C$9, $D$9, 100%, $F$9) + CHOOSE(CONTROL!$C$27, 0.0021, 0)</f>
        <v>40.209499999999998</v>
      </c>
      <c r="J292" s="14">
        <f>40.2074 * CHOOSE(CONTROL!$C$9, $D$9, 100%, $F$9) + CHOOSE(CONTROL!$C$27, 0.0021, 0)</f>
        <v>40.209499999999998</v>
      </c>
      <c r="K292" s="14">
        <f>40.2074 * CHOOSE(CONTROL!$C$9, $D$9, 100%, $F$9) + CHOOSE(CONTROL!$C$27, 0.0021, 0)</f>
        <v>40.209499999999998</v>
      </c>
      <c r="L292" s="14"/>
    </row>
    <row r="293" spans="1:12" ht="15" x14ac:dyDescent="0.2">
      <c r="A293" s="34">
        <v>49827</v>
      </c>
      <c r="B293" s="14">
        <f>41.1121 * CHOOSE(CONTROL!$C$9, $D$9, 100%, $F$9) + CHOOSE(CONTROL!$C$27, 0.0021, 0)</f>
        <v>41.114199999999997</v>
      </c>
      <c r="C293" s="14">
        <f>40.6798 * CHOOSE(CONTROL!$C$9, $D$9, 100%, $F$9) + CHOOSE(CONTROL!$C$27, 0.0021, 0)</f>
        <v>40.681899999999999</v>
      </c>
      <c r="D293" s="14">
        <f>40.6798 * CHOOSE(CONTROL!$C$9, $D$9, 100%, $F$9) + CHOOSE(CONTROL!$C$27, 0.0021, 0)</f>
        <v>40.681899999999999</v>
      </c>
      <c r="E293" s="14">
        <f>40.5432 * CHOOSE(CONTROL!$C$9, $D$9, 100%, $F$9) + CHOOSE(CONTROL!$C$27, 0.0021, 0)</f>
        <v>40.545299999999997</v>
      </c>
      <c r="F293" s="14">
        <f>40.5432 * CHOOSE(CONTROL!$C$9, $D$9, 100%, $F$9) + CHOOSE(CONTROL!$C$27, 0.0021, 0)</f>
        <v>40.545299999999997</v>
      </c>
      <c r="G293" s="14">
        <f>40.8146 * CHOOSE(CONTROL!$C$9, $D$9, 100%, $F$9) + CHOOSE(CONTROL!$C$27, 0.0021, 0)</f>
        <v>40.816699999999997</v>
      </c>
      <c r="H293" s="14">
        <f>40.6798 * CHOOSE(CONTROL!$C$9, $D$9, 100%, $F$9) + CHOOSE(CONTROL!$C$27, 0.0021, 0)</f>
        <v>40.681899999999999</v>
      </c>
      <c r="I293" s="14">
        <f>40.6798 * CHOOSE(CONTROL!$C$9, $D$9, 100%, $F$9) + CHOOSE(CONTROL!$C$27, 0.0021, 0)</f>
        <v>40.681899999999999</v>
      </c>
      <c r="J293" s="14">
        <f>40.6798 * CHOOSE(CONTROL!$C$9, $D$9, 100%, $F$9) + CHOOSE(CONTROL!$C$27, 0.0021, 0)</f>
        <v>40.681899999999999</v>
      </c>
      <c r="K293" s="14">
        <f>40.6798 * CHOOSE(CONTROL!$C$9, $D$9, 100%, $F$9) + CHOOSE(CONTROL!$C$27, 0.0021, 0)</f>
        <v>40.681899999999999</v>
      </c>
      <c r="L293" s="14"/>
    </row>
    <row r="294" spans="1:12" ht="15" x14ac:dyDescent="0.2">
      <c r="A294" s="34">
        <v>49857</v>
      </c>
      <c r="B294" s="14">
        <f>41.8914 * CHOOSE(CONTROL!$C$9, $D$9, 100%, $F$9) + CHOOSE(CONTROL!$C$27, 0.0021, 0)</f>
        <v>41.893499999999996</v>
      </c>
      <c r="C294" s="14">
        <f>41.4592 * CHOOSE(CONTROL!$C$9, $D$9, 100%, $F$9) + CHOOSE(CONTROL!$C$27, 0.0021, 0)</f>
        <v>41.461300000000001</v>
      </c>
      <c r="D294" s="14">
        <f>41.4592 * CHOOSE(CONTROL!$C$9, $D$9, 100%, $F$9) + CHOOSE(CONTROL!$C$27, 0.0021, 0)</f>
        <v>41.461300000000001</v>
      </c>
      <c r="E294" s="14">
        <f>41.3225 * CHOOSE(CONTROL!$C$9, $D$9, 100%, $F$9) + CHOOSE(CONTROL!$C$27, 0.0021, 0)</f>
        <v>41.324599999999997</v>
      </c>
      <c r="F294" s="14">
        <f>41.3225 * CHOOSE(CONTROL!$C$9, $D$9, 100%, $F$9) + CHOOSE(CONTROL!$C$27, 0.0021, 0)</f>
        <v>41.324599999999997</v>
      </c>
      <c r="G294" s="14">
        <f>41.5939 * CHOOSE(CONTROL!$C$9, $D$9, 100%, $F$9) + CHOOSE(CONTROL!$C$27, 0.0021, 0)</f>
        <v>41.595999999999997</v>
      </c>
      <c r="H294" s="14">
        <f>41.4592 * CHOOSE(CONTROL!$C$9, $D$9, 100%, $F$9) + CHOOSE(CONTROL!$C$27, 0.0021, 0)</f>
        <v>41.461300000000001</v>
      </c>
      <c r="I294" s="14">
        <f>41.4592 * CHOOSE(CONTROL!$C$9, $D$9, 100%, $F$9) + CHOOSE(CONTROL!$C$27, 0.0021, 0)</f>
        <v>41.461300000000001</v>
      </c>
      <c r="J294" s="14">
        <f>41.4592 * CHOOSE(CONTROL!$C$9, $D$9, 100%, $F$9) + CHOOSE(CONTROL!$C$27, 0.0021, 0)</f>
        <v>41.461300000000001</v>
      </c>
      <c r="K294" s="14">
        <f>41.4592 * CHOOSE(CONTROL!$C$9, $D$9, 100%, $F$9) + CHOOSE(CONTROL!$C$27, 0.0021, 0)</f>
        <v>41.461300000000001</v>
      </c>
      <c r="L294" s="14"/>
    </row>
    <row r="295" spans="1:12" ht="15" x14ac:dyDescent="0.2">
      <c r="A295" s="34">
        <v>49888</v>
      </c>
      <c r="B295" s="14">
        <f>42.1293 * CHOOSE(CONTROL!$C$9, $D$9, 100%, $F$9) + CHOOSE(CONTROL!$C$27, 0.0021, 0)</f>
        <v>42.131399999999999</v>
      </c>
      <c r="C295" s="14">
        <f>41.6971 * CHOOSE(CONTROL!$C$9, $D$9, 100%, $F$9) + CHOOSE(CONTROL!$C$27, 0.0021, 0)</f>
        <v>41.699199999999998</v>
      </c>
      <c r="D295" s="14">
        <f>41.6971 * CHOOSE(CONTROL!$C$9, $D$9, 100%, $F$9) + CHOOSE(CONTROL!$C$27, 0.0021, 0)</f>
        <v>41.699199999999998</v>
      </c>
      <c r="E295" s="14">
        <f>41.5604 * CHOOSE(CONTROL!$C$9, $D$9, 100%, $F$9) + CHOOSE(CONTROL!$C$27, 0.0021, 0)</f>
        <v>41.5625</v>
      </c>
      <c r="F295" s="14">
        <f>41.5604 * CHOOSE(CONTROL!$C$9, $D$9, 100%, $F$9) + CHOOSE(CONTROL!$C$27, 0.0021, 0)</f>
        <v>41.5625</v>
      </c>
      <c r="G295" s="14">
        <f>41.8318 * CHOOSE(CONTROL!$C$9, $D$9, 100%, $F$9) + CHOOSE(CONTROL!$C$27, 0.0021, 0)</f>
        <v>41.8339</v>
      </c>
      <c r="H295" s="14">
        <f>41.6971 * CHOOSE(CONTROL!$C$9, $D$9, 100%, $F$9) + CHOOSE(CONTROL!$C$27, 0.0021, 0)</f>
        <v>41.699199999999998</v>
      </c>
      <c r="I295" s="14">
        <f>41.6971 * CHOOSE(CONTROL!$C$9, $D$9, 100%, $F$9) + CHOOSE(CONTROL!$C$27, 0.0021, 0)</f>
        <v>41.699199999999998</v>
      </c>
      <c r="J295" s="14">
        <f>41.6971 * CHOOSE(CONTROL!$C$9, $D$9, 100%, $F$9) + CHOOSE(CONTROL!$C$27, 0.0021, 0)</f>
        <v>41.699199999999998</v>
      </c>
      <c r="K295" s="14">
        <f>41.6971 * CHOOSE(CONTROL!$C$9, $D$9, 100%, $F$9) + CHOOSE(CONTROL!$C$27, 0.0021, 0)</f>
        <v>41.699199999999998</v>
      </c>
      <c r="L295" s="14"/>
    </row>
    <row r="296" spans="1:12" ht="15" x14ac:dyDescent="0.2">
      <c r="A296" s="34">
        <v>49919</v>
      </c>
      <c r="B296" s="14">
        <f>42.9394 * CHOOSE(CONTROL!$C$9, $D$9, 100%, $F$9) + CHOOSE(CONTROL!$C$27, 0.0021, 0)</f>
        <v>42.941499999999998</v>
      </c>
      <c r="C296" s="14">
        <f>42.5071 * CHOOSE(CONTROL!$C$9, $D$9, 100%, $F$9) + CHOOSE(CONTROL!$C$27, 0.0021, 0)</f>
        <v>42.5092</v>
      </c>
      <c r="D296" s="14">
        <f>42.5071 * CHOOSE(CONTROL!$C$9, $D$9, 100%, $F$9) + CHOOSE(CONTROL!$C$27, 0.0021, 0)</f>
        <v>42.5092</v>
      </c>
      <c r="E296" s="14">
        <f>42.3705 * CHOOSE(CONTROL!$C$9, $D$9, 100%, $F$9) + CHOOSE(CONTROL!$C$27, 0.0021, 0)</f>
        <v>42.372599999999998</v>
      </c>
      <c r="F296" s="14">
        <f>42.3705 * CHOOSE(CONTROL!$C$9, $D$9, 100%, $F$9) + CHOOSE(CONTROL!$C$27, 0.0021, 0)</f>
        <v>42.372599999999998</v>
      </c>
      <c r="G296" s="14">
        <f>42.6419 * CHOOSE(CONTROL!$C$9, $D$9, 100%, $F$9) + CHOOSE(CONTROL!$C$27, 0.0021, 0)</f>
        <v>42.643999999999998</v>
      </c>
      <c r="H296" s="14">
        <f>42.5071 * CHOOSE(CONTROL!$C$9, $D$9, 100%, $F$9) + CHOOSE(CONTROL!$C$27, 0.0021, 0)</f>
        <v>42.5092</v>
      </c>
      <c r="I296" s="14">
        <f>42.5071 * CHOOSE(CONTROL!$C$9, $D$9, 100%, $F$9) + CHOOSE(CONTROL!$C$27, 0.0021, 0)</f>
        <v>42.5092</v>
      </c>
      <c r="J296" s="14">
        <f>42.5071 * CHOOSE(CONTROL!$C$9, $D$9, 100%, $F$9) + CHOOSE(CONTROL!$C$27, 0.0021, 0)</f>
        <v>42.5092</v>
      </c>
      <c r="K296" s="14">
        <f>42.5071 * CHOOSE(CONTROL!$C$9, $D$9, 100%, $F$9) + CHOOSE(CONTROL!$C$27, 0.0021, 0)</f>
        <v>42.5092</v>
      </c>
      <c r="L296" s="14"/>
    </row>
    <row r="297" spans="1:12" ht="15" x14ac:dyDescent="0.2">
      <c r="A297" s="34">
        <v>49949</v>
      </c>
      <c r="B297" s="14">
        <f>43.9648 * CHOOSE(CONTROL!$C$9, $D$9, 100%, $F$9) + CHOOSE(CONTROL!$C$27, 0.0021, 0)</f>
        <v>43.966899999999995</v>
      </c>
      <c r="C297" s="14">
        <f>43.5326 * CHOOSE(CONTROL!$C$9, $D$9, 100%, $F$9) + CHOOSE(CONTROL!$C$27, 0.0021, 0)</f>
        <v>43.534700000000001</v>
      </c>
      <c r="D297" s="14">
        <f>43.5326 * CHOOSE(CONTROL!$C$9, $D$9, 100%, $F$9) + CHOOSE(CONTROL!$C$27, 0.0021, 0)</f>
        <v>43.534700000000001</v>
      </c>
      <c r="E297" s="14">
        <f>43.3959 * CHOOSE(CONTROL!$C$9, $D$9, 100%, $F$9) + CHOOSE(CONTROL!$C$27, 0.0021, 0)</f>
        <v>43.397999999999996</v>
      </c>
      <c r="F297" s="14">
        <f>43.3959 * CHOOSE(CONTROL!$C$9, $D$9, 100%, $F$9) + CHOOSE(CONTROL!$C$27, 0.0021, 0)</f>
        <v>43.397999999999996</v>
      </c>
      <c r="G297" s="14">
        <f>43.6673 * CHOOSE(CONTROL!$C$9, $D$9, 100%, $F$9) + CHOOSE(CONTROL!$C$27, 0.0021, 0)</f>
        <v>43.669399999999996</v>
      </c>
      <c r="H297" s="14">
        <f>43.5326 * CHOOSE(CONTROL!$C$9, $D$9, 100%, $F$9) + CHOOSE(CONTROL!$C$27, 0.0021, 0)</f>
        <v>43.534700000000001</v>
      </c>
      <c r="I297" s="14">
        <f>43.5326 * CHOOSE(CONTROL!$C$9, $D$9, 100%, $F$9) + CHOOSE(CONTROL!$C$27, 0.0021, 0)</f>
        <v>43.534700000000001</v>
      </c>
      <c r="J297" s="14">
        <f>43.5326 * CHOOSE(CONTROL!$C$9, $D$9, 100%, $F$9) + CHOOSE(CONTROL!$C$27, 0.0021, 0)</f>
        <v>43.534700000000001</v>
      </c>
      <c r="K297" s="14">
        <f>43.5326 * CHOOSE(CONTROL!$C$9, $D$9, 100%, $F$9) + CHOOSE(CONTROL!$C$27, 0.0021, 0)</f>
        <v>43.534700000000001</v>
      </c>
      <c r="L297" s="14"/>
    </row>
    <row r="298" spans="1:12" ht="15" x14ac:dyDescent="0.2">
      <c r="A298" s="34">
        <v>49980</v>
      </c>
      <c r="B298" s="14">
        <f>44.0611 * CHOOSE(CONTROL!$C$9, $D$9, 100%, $F$9) + CHOOSE(CONTROL!$C$27, 0.0021, 0)</f>
        <v>44.063200000000002</v>
      </c>
      <c r="C298" s="14">
        <f>43.6288 * CHOOSE(CONTROL!$C$9, $D$9, 100%, $F$9) + CHOOSE(CONTROL!$C$27, 0.0021, 0)</f>
        <v>43.630899999999997</v>
      </c>
      <c r="D298" s="14">
        <f>43.6288 * CHOOSE(CONTROL!$C$9, $D$9, 100%, $F$9) + CHOOSE(CONTROL!$C$27, 0.0021, 0)</f>
        <v>43.630899999999997</v>
      </c>
      <c r="E298" s="14">
        <f>43.4922 * CHOOSE(CONTROL!$C$9, $D$9, 100%, $F$9) + CHOOSE(CONTROL!$C$27, 0.0021, 0)</f>
        <v>43.494299999999996</v>
      </c>
      <c r="F298" s="14">
        <f>43.4922 * CHOOSE(CONTROL!$C$9, $D$9, 100%, $F$9) + CHOOSE(CONTROL!$C$27, 0.0021, 0)</f>
        <v>43.494299999999996</v>
      </c>
      <c r="G298" s="14">
        <f>43.7635 * CHOOSE(CONTROL!$C$9, $D$9, 100%, $F$9) + CHOOSE(CONTROL!$C$27, 0.0021, 0)</f>
        <v>43.765599999999999</v>
      </c>
      <c r="H298" s="14">
        <f>43.6288 * CHOOSE(CONTROL!$C$9, $D$9, 100%, $F$9) + CHOOSE(CONTROL!$C$27, 0.0021, 0)</f>
        <v>43.630899999999997</v>
      </c>
      <c r="I298" s="14">
        <f>43.6288 * CHOOSE(CONTROL!$C$9, $D$9, 100%, $F$9) + CHOOSE(CONTROL!$C$27, 0.0021, 0)</f>
        <v>43.630899999999997</v>
      </c>
      <c r="J298" s="14">
        <f>43.6288 * CHOOSE(CONTROL!$C$9, $D$9, 100%, $F$9) + CHOOSE(CONTROL!$C$27, 0.0021, 0)</f>
        <v>43.630899999999997</v>
      </c>
      <c r="K298" s="14">
        <f>43.6288 * CHOOSE(CONTROL!$C$9, $D$9, 100%, $F$9) + CHOOSE(CONTROL!$C$27, 0.0021, 0)</f>
        <v>43.630899999999997</v>
      </c>
      <c r="L298" s="14"/>
    </row>
    <row r="299" spans="1:12" ht="15" x14ac:dyDescent="0.2">
      <c r="A299" s="34">
        <v>50010</v>
      </c>
      <c r="B299" s="14">
        <f>43.2421 * CHOOSE(CONTROL!$C$9, $D$9, 100%, $F$9) + CHOOSE(CONTROL!$C$27, 0.0021, 0)</f>
        <v>43.244199999999999</v>
      </c>
      <c r="C299" s="14">
        <f>42.8098 * CHOOSE(CONTROL!$C$9, $D$9, 100%, $F$9) + CHOOSE(CONTROL!$C$27, 0.0021, 0)</f>
        <v>42.811900000000001</v>
      </c>
      <c r="D299" s="14">
        <f>42.8098 * CHOOSE(CONTROL!$C$9, $D$9, 100%, $F$9) + CHOOSE(CONTROL!$C$27, 0.0021, 0)</f>
        <v>42.811900000000001</v>
      </c>
      <c r="E299" s="14">
        <f>42.6732 * CHOOSE(CONTROL!$C$9, $D$9, 100%, $F$9) + CHOOSE(CONTROL!$C$27, 0.0021, 0)</f>
        <v>42.6753</v>
      </c>
      <c r="F299" s="14">
        <f>42.6732 * CHOOSE(CONTROL!$C$9, $D$9, 100%, $F$9) + CHOOSE(CONTROL!$C$27, 0.0021, 0)</f>
        <v>42.6753</v>
      </c>
      <c r="G299" s="14">
        <f>42.9446 * CHOOSE(CONTROL!$C$9, $D$9, 100%, $F$9) + CHOOSE(CONTROL!$C$27, 0.0021, 0)</f>
        <v>42.9467</v>
      </c>
      <c r="H299" s="14">
        <f>42.8098 * CHOOSE(CONTROL!$C$9, $D$9, 100%, $F$9) + CHOOSE(CONTROL!$C$27, 0.0021, 0)</f>
        <v>42.811900000000001</v>
      </c>
      <c r="I299" s="14">
        <f>42.8098 * CHOOSE(CONTROL!$C$9, $D$9, 100%, $F$9) + CHOOSE(CONTROL!$C$27, 0.0021, 0)</f>
        <v>42.811900000000001</v>
      </c>
      <c r="J299" s="14">
        <f>42.8098 * CHOOSE(CONTROL!$C$9, $D$9, 100%, $F$9) + CHOOSE(CONTROL!$C$27, 0.0021, 0)</f>
        <v>42.811900000000001</v>
      </c>
      <c r="K299" s="14">
        <f>42.8098 * CHOOSE(CONTROL!$C$9, $D$9, 100%, $F$9) + CHOOSE(CONTROL!$C$27, 0.0021, 0)</f>
        <v>42.811900000000001</v>
      </c>
      <c r="L299" s="14"/>
    </row>
    <row r="300" spans="1:12" ht="15" x14ac:dyDescent="0.2">
      <c r="A300" s="34">
        <v>50041</v>
      </c>
      <c r="B300" s="14">
        <f>42.7244 * CHOOSE(CONTROL!$C$9, $D$9, 100%, $F$9) + CHOOSE(CONTROL!$C$27, 0.0021, 0)</f>
        <v>42.726500000000001</v>
      </c>
      <c r="C300" s="14">
        <f>42.2922 * CHOOSE(CONTROL!$C$9, $D$9, 100%, $F$9) + CHOOSE(CONTROL!$C$27, 0.0021, 0)</f>
        <v>42.2943</v>
      </c>
      <c r="D300" s="14">
        <f>42.2922 * CHOOSE(CONTROL!$C$9, $D$9, 100%, $F$9) + CHOOSE(CONTROL!$C$27, 0.0021, 0)</f>
        <v>42.2943</v>
      </c>
      <c r="E300" s="14">
        <f>42.1555 * CHOOSE(CONTROL!$C$9, $D$9, 100%, $F$9) + CHOOSE(CONTROL!$C$27, 0.0021, 0)</f>
        <v>42.157600000000002</v>
      </c>
      <c r="F300" s="14">
        <f>42.1555 * CHOOSE(CONTROL!$C$9, $D$9, 100%, $F$9) + CHOOSE(CONTROL!$C$27, 0.0021, 0)</f>
        <v>42.157600000000002</v>
      </c>
      <c r="G300" s="14">
        <f>42.4269 * CHOOSE(CONTROL!$C$9, $D$9, 100%, $F$9) + CHOOSE(CONTROL!$C$27, 0.0021, 0)</f>
        <v>42.429000000000002</v>
      </c>
      <c r="H300" s="14">
        <f>42.2922 * CHOOSE(CONTROL!$C$9, $D$9, 100%, $F$9) + CHOOSE(CONTROL!$C$27, 0.0021, 0)</f>
        <v>42.2943</v>
      </c>
      <c r="I300" s="14">
        <f>42.2922 * CHOOSE(CONTROL!$C$9, $D$9, 100%, $F$9) + CHOOSE(CONTROL!$C$27, 0.0021, 0)</f>
        <v>42.2943</v>
      </c>
      <c r="J300" s="14">
        <f>42.2922 * CHOOSE(CONTROL!$C$9, $D$9, 100%, $F$9) + CHOOSE(CONTROL!$C$27, 0.0021, 0)</f>
        <v>42.2943</v>
      </c>
      <c r="K300" s="14">
        <f>42.2922 * CHOOSE(CONTROL!$C$9, $D$9, 100%, $F$9) + CHOOSE(CONTROL!$C$27, 0.0021, 0)</f>
        <v>42.2943</v>
      </c>
      <c r="L300" s="14"/>
    </row>
    <row r="301" spans="1:12" ht="15" x14ac:dyDescent="0.2">
      <c r="A301" s="34">
        <v>50072</v>
      </c>
      <c r="B301" s="14">
        <f>41.5808 * CHOOSE(CONTROL!$C$9, $D$9, 100%, $F$9) + CHOOSE(CONTROL!$C$27, 0.0021, 0)</f>
        <v>41.582900000000002</v>
      </c>
      <c r="C301" s="14">
        <f>41.1486 * CHOOSE(CONTROL!$C$9, $D$9, 100%, $F$9) + CHOOSE(CONTROL!$C$27, 0.0021, 0)</f>
        <v>41.150700000000001</v>
      </c>
      <c r="D301" s="14">
        <f>41.1486 * CHOOSE(CONTROL!$C$9, $D$9, 100%, $F$9) + CHOOSE(CONTROL!$C$27, 0.0021, 0)</f>
        <v>41.150700000000001</v>
      </c>
      <c r="E301" s="14">
        <f>41.0119 * CHOOSE(CONTROL!$C$9, $D$9, 100%, $F$9) + CHOOSE(CONTROL!$C$27, 0.0021, 0)</f>
        <v>41.013999999999996</v>
      </c>
      <c r="F301" s="14">
        <f>41.0119 * CHOOSE(CONTROL!$C$9, $D$9, 100%, $F$9) + CHOOSE(CONTROL!$C$27, 0.0021, 0)</f>
        <v>41.013999999999996</v>
      </c>
      <c r="G301" s="14">
        <f>41.2833 * CHOOSE(CONTROL!$C$9, $D$9, 100%, $F$9) + CHOOSE(CONTROL!$C$27, 0.0021, 0)</f>
        <v>41.285399999999996</v>
      </c>
      <c r="H301" s="14">
        <f>41.1486 * CHOOSE(CONTROL!$C$9, $D$9, 100%, $F$9) + CHOOSE(CONTROL!$C$27, 0.0021, 0)</f>
        <v>41.150700000000001</v>
      </c>
      <c r="I301" s="14">
        <f>41.1486 * CHOOSE(CONTROL!$C$9, $D$9, 100%, $F$9) + CHOOSE(CONTROL!$C$27, 0.0021, 0)</f>
        <v>41.150700000000001</v>
      </c>
      <c r="J301" s="14">
        <f>41.1486 * CHOOSE(CONTROL!$C$9, $D$9, 100%, $F$9) + CHOOSE(CONTROL!$C$27, 0.0021, 0)</f>
        <v>41.150700000000001</v>
      </c>
      <c r="K301" s="14">
        <f>41.1486 * CHOOSE(CONTROL!$C$9, $D$9, 100%, $F$9) + CHOOSE(CONTROL!$C$27, 0.0021, 0)</f>
        <v>41.150700000000001</v>
      </c>
      <c r="L301" s="14"/>
    </row>
    <row r="302" spans="1:12" ht="15" x14ac:dyDescent="0.2">
      <c r="A302" s="34">
        <v>50100</v>
      </c>
      <c r="B302" s="14">
        <f>41.1087 * CHOOSE(CONTROL!$C$9, $D$9, 100%, $F$9) + CHOOSE(CONTROL!$C$27, 0.0021, 0)</f>
        <v>41.110799999999998</v>
      </c>
      <c r="C302" s="14">
        <f>40.6765 * CHOOSE(CONTROL!$C$9, $D$9, 100%, $F$9) + CHOOSE(CONTROL!$C$27, 0.0021, 0)</f>
        <v>40.678599999999996</v>
      </c>
      <c r="D302" s="14">
        <f>40.6765 * CHOOSE(CONTROL!$C$9, $D$9, 100%, $F$9) + CHOOSE(CONTROL!$C$27, 0.0021, 0)</f>
        <v>40.678599999999996</v>
      </c>
      <c r="E302" s="14">
        <f>40.5398 * CHOOSE(CONTROL!$C$9, $D$9, 100%, $F$9) + CHOOSE(CONTROL!$C$27, 0.0021, 0)</f>
        <v>40.541899999999998</v>
      </c>
      <c r="F302" s="14">
        <f>40.5398 * CHOOSE(CONTROL!$C$9, $D$9, 100%, $F$9) + CHOOSE(CONTROL!$C$27, 0.0021, 0)</f>
        <v>40.541899999999998</v>
      </c>
      <c r="G302" s="14">
        <f>40.8112 * CHOOSE(CONTROL!$C$9, $D$9, 100%, $F$9) + CHOOSE(CONTROL!$C$27, 0.0021, 0)</f>
        <v>40.813299999999998</v>
      </c>
      <c r="H302" s="14">
        <f>40.6765 * CHOOSE(CONTROL!$C$9, $D$9, 100%, $F$9) + CHOOSE(CONTROL!$C$27, 0.0021, 0)</f>
        <v>40.678599999999996</v>
      </c>
      <c r="I302" s="14">
        <f>40.6765 * CHOOSE(CONTROL!$C$9, $D$9, 100%, $F$9) + CHOOSE(CONTROL!$C$27, 0.0021, 0)</f>
        <v>40.678599999999996</v>
      </c>
      <c r="J302" s="14">
        <f>40.6765 * CHOOSE(CONTROL!$C$9, $D$9, 100%, $F$9) + CHOOSE(CONTROL!$C$27, 0.0021, 0)</f>
        <v>40.678599999999996</v>
      </c>
      <c r="K302" s="14">
        <f>40.6765 * CHOOSE(CONTROL!$C$9, $D$9, 100%, $F$9) + CHOOSE(CONTROL!$C$27, 0.0021, 0)</f>
        <v>40.678599999999996</v>
      </c>
      <c r="L302" s="14"/>
    </row>
    <row r="303" spans="1:12" ht="15" x14ac:dyDescent="0.2">
      <c r="A303" s="34">
        <v>50131</v>
      </c>
      <c r="B303" s="14">
        <f>40.545 * CHOOSE(CONTROL!$C$9, $D$9, 100%, $F$9) + CHOOSE(CONTROL!$C$27, 0.0021, 0)</f>
        <v>40.5471</v>
      </c>
      <c r="C303" s="14">
        <f>40.1128 * CHOOSE(CONTROL!$C$9, $D$9, 100%, $F$9) + CHOOSE(CONTROL!$C$27, 0.0021, 0)</f>
        <v>40.114899999999999</v>
      </c>
      <c r="D303" s="14">
        <f>40.1128 * CHOOSE(CONTROL!$C$9, $D$9, 100%, $F$9) + CHOOSE(CONTROL!$C$27, 0.0021, 0)</f>
        <v>40.114899999999999</v>
      </c>
      <c r="E303" s="14">
        <f>39.9761 * CHOOSE(CONTROL!$C$9, $D$9, 100%, $F$9) + CHOOSE(CONTROL!$C$27, 0.0021, 0)</f>
        <v>39.978200000000001</v>
      </c>
      <c r="F303" s="14">
        <f>39.9761 * CHOOSE(CONTROL!$C$9, $D$9, 100%, $F$9) + CHOOSE(CONTROL!$C$27, 0.0021, 0)</f>
        <v>39.978200000000001</v>
      </c>
      <c r="G303" s="14">
        <f>40.2475 * CHOOSE(CONTROL!$C$9, $D$9, 100%, $F$9) + CHOOSE(CONTROL!$C$27, 0.0021, 0)</f>
        <v>40.249600000000001</v>
      </c>
      <c r="H303" s="14">
        <f>40.1128 * CHOOSE(CONTROL!$C$9, $D$9, 100%, $F$9) + CHOOSE(CONTROL!$C$27, 0.0021, 0)</f>
        <v>40.114899999999999</v>
      </c>
      <c r="I303" s="14">
        <f>40.1128 * CHOOSE(CONTROL!$C$9, $D$9, 100%, $F$9) + CHOOSE(CONTROL!$C$27, 0.0021, 0)</f>
        <v>40.114899999999999</v>
      </c>
      <c r="J303" s="14">
        <f>40.1128 * CHOOSE(CONTROL!$C$9, $D$9, 100%, $F$9) + CHOOSE(CONTROL!$C$27, 0.0021, 0)</f>
        <v>40.114899999999999</v>
      </c>
      <c r="K303" s="14">
        <f>40.1128 * CHOOSE(CONTROL!$C$9, $D$9, 100%, $F$9) + CHOOSE(CONTROL!$C$27, 0.0021, 0)</f>
        <v>40.114899999999999</v>
      </c>
      <c r="L303" s="14"/>
    </row>
    <row r="304" spans="1:12" ht="15" x14ac:dyDescent="0.2">
      <c r="A304" s="34">
        <v>50161</v>
      </c>
      <c r="B304" s="14">
        <f>41.3483 * CHOOSE(CONTROL!$C$9, $D$9, 100%, $F$9) + CHOOSE(CONTROL!$C$27, 0.0021, 0)</f>
        <v>41.3504</v>
      </c>
      <c r="C304" s="14">
        <f>40.9161 * CHOOSE(CONTROL!$C$9, $D$9, 100%, $F$9) + CHOOSE(CONTROL!$C$27, 0.0021, 0)</f>
        <v>40.918199999999999</v>
      </c>
      <c r="D304" s="14">
        <f>40.9161 * CHOOSE(CONTROL!$C$9, $D$9, 100%, $F$9) + CHOOSE(CONTROL!$C$27, 0.0021, 0)</f>
        <v>40.918199999999999</v>
      </c>
      <c r="E304" s="14">
        <f>40.7794 * CHOOSE(CONTROL!$C$9, $D$9, 100%, $F$9) + CHOOSE(CONTROL!$C$27, 0.0021, 0)</f>
        <v>40.781500000000001</v>
      </c>
      <c r="F304" s="14">
        <f>40.7794 * CHOOSE(CONTROL!$C$9, $D$9, 100%, $F$9) + CHOOSE(CONTROL!$C$27, 0.0021, 0)</f>
        <v>40.781500000000001</v>
      </c>
      <c r="G304" s="14">
        <f>41.0508 * CHOOSE(CONTROL!$C$9, $D$9, 100%, $F$9) + CHOOSE(CONTROL!$C$27, 0.0021, 0)</f>
        <v>41.052900000000001</v>
      </c>
      <c r="H304" s="14">
        <f>40.9161 * CHOOSE(CONTROL!$C$9, $D$9, 100%, $F$9) + CHOOSE(CONTROL!$C$27, 0.0021, 0)</f>
        <v>40.918199999999999</v>
      </c>
      <c r="I304" s="14">
        <f>40.9161 * CHOOSE(CONTROL!$C$9, $D$9, 100%, $F$9) + CHOOSE(CONTROL!$C$27, 0.0021, 0)</f>
        <v>40.918199999999999</v>
      </c>
      <c r="J304" s="14">
        <f>40.9161 * CHOOSE(CONTROL!$C$9, $D$9, 100%, $F$9) + CHOOSE(CONTROL!$C$27, 0.0021, 0)</f>
        <v>40.918199999999999</v>
      </c>
      <c r="K304" s="14">
        <f>40.9161 * CHOOSE(CONTROL!$C$9, $D$9, 100%, $F$9) + CHOOSE(CONTROL!$C$27, 0.0021, 0)</f>
        <v>40.918199999999999</v>
      </c>
      <c r="L304" s="14"/>
    </row>
    <row r="305" spans="1:12" ht="15" x14ac:dyDescent="0.2">
      <c r="A305" s="34">
        <v>50192</v>
      </c>
      <c r="B305" s="14">
        <f>41.8295 * CHOOSE(CONTROL!$C$9, $D$9, 100%, $F$9) + CHOOSE(CONTROL!$C$27, 0.0021, 0)</f>
        <v>41.831600000000002</v>
      </c>
      <c r="C305" s="14">
        <f>41.3973 * CHOOSE(CONTROL!$C$9, $D$9, 100%, $F$9) + CHOOSE(CONTROL!$C$27, 0.0021, 0)</f>
        <v>41.3994</v>
      </c>
      <c r="D305" s="14">
        <f>41.3973 * CHOOSE(CONTROL!$C$9, $D$9, 100%, $F$9) + CHOOSE(CONTROL!$C$27, 0.0021, 0)</f>
        <v>41.3994</v>
      </c>
      <c r="E305" s="14">
        <f>41.2606 * CHOOSE(CONTROL!$C$9, $D$9, 100%, $F$9) + CHOOSE(CONTROL!$C$27, 0.0021, 0)</f>
        <v>41.262699999999995</v>
      </c>
      <c r="F305" s="14">
        <f>41.2606 * CHOOSE(CONTROL!$C$9, $D$9, 100%, $F$9) + CHOOSE(CONTROL!$C$27, 0.0021, 0)</f>
        <v>41.262699999999995</v>
      </c>
      <c r="G305" s="14">
        <f>41.532 * CHOOSE(CONTROL!$C$9, $D$9, 100%, $F$9) + CHOOSE(CONTROL!$C$27, 0.0021, 0)</f>
        <v>41.534099999999995</v>
      </c>
      <c r="H305" s="14">
        <f>41.3973 * CHOOSE(CONTROL!$C$9, $D$9, 100%, $F$9) + CHOOSE(CONTROL!$C$27, 0.0021, 0)</f>
        <v>41.3994</v>
      </c>
      <c r="I305" s="14">
        <f>41.3973 * CHOOSE(CONTROL!$C$9, $D$9, 100%, $F$9) + CHOOSE(CONTROL!$C$27, 0.0021, 0)</f>
        <v>41.3994</v>
      </c>
      <c r="J305" s="14">
        <f>41.3973 * CHOOSE(CONTROL!$C$9, $D$9, 100%, $F$9) + CHOOSE(CONTROL!$C$27, 0.0021, 0)</f>
        <v>41.3994</v>
      </c>
      <c r="K305" s="14">
        <f>41.3973 * CHOOSE(CONTROL!$C$9, $D$9, 100%, $F$9) + CHOOSE(CONTROL!$C$27, 0.0021, 0)</f>
        <v>41.3994</v>
      </c>
      <c r="L305" s="14"/>
    </row>
    <row r="306" spans="1:12" ht="15" x14ac:dyDescent="0.2">
      <c r="A306" s="34">
        <v>50222</v>
      </c>
      <c r="B306" s="14">
        <f>42.6232 * CHOOSE(CONTROL!$C$9, $D$9, 100%, $F$9) + CHOOSE(CONTROL!$C$27, 0.0021, 0)</f>
        <v>42.625299999999996</v>
      </c>
      <c r="C306" s="14">
        <f>42.191 * CHOOSE(CONTROL!$C$9, $D$9, 100%, $F$9) + CHOOSE(CONTROL!$C$27, 0.0021, 0)</f>
        <v>42.193100000000001</v>
      </c>
      <c r="D306" s="14">
        <f>42.191 * CHOOSE(CONTROL!$C$9, $D$9, 100%, $F$9) + CHOOSE(CONTROL!$C$27, 0.0021, 0)</f>
        <v>42.193100000000001</v>
      </c>
      <c r="E306" s="14">
        <f>42.0543 * CHOOSE(CONTROL!$C$9, $D$9, 100%, $F$9) + CHOOSE(CONTROL!$C$27, 0.0021, 0)</f>
        <v>42.056399999999996</v>
      </c>
      <c r="F306" s="14">
        <f>42.0543 * CHOOSE(CONTROL!$C$9, $D$9, 100%, $F$9) + CHOOSE(CONTROL!$C$27, 0.0021, 0)</f>
        <v>42.056399999999996</v>
      </c>
      <c r="G306" s="14">
        <f>42.3257 * CHOOSE(CONTROL!$C$9, $D$9, 100%, $F$9) + CHOOSE(CONTROL!$C$27, 0.0021, 0)</f>
        <v>42.327799999999996</v>
      </c>
      <c r="H306" s="14">
        <f>42.191 * CHOOSE(CONTROL!$C$9, $D$9, 100%, $F$9) + CHOOSE(CONTROL!$C$27, 0.0021, 0)</f>
        <v>42.193100000000001</v>
      </c>
      <c r="I306" s="14">
        <f>42.191 * CHOOSE(CONTROL!$C$9, $D$9, 100%, $F$9) + CHOOSE(CONTROL!$C$27, 0.0021, 0)</f>
        <v>42.193100000000001</v>
      </c>
      <c r="J306" s="14">
        <f>42.191 * CHOOSE(CONTROL!$C$9, $D$9, 100%, $F$9) + CHOOSE(CONTROL!$C$27, 0.0021, 0)</f>
        <v>42.193100000000001</v>
      </c>
      <c r="K306" s="14">
        <f>42.191 * CHOOSE(CONTROL!$C$9, $D$9, 100%, $F$9) + CHOOSE(CONTROL!$C$27, 0.0021, 0)</f>
        <v>42.193100000000001</v>
      </c>
      <c r="L306" s="14"/>
    </row>
    <row r="307" spans="1:12" ht="15" x14ac:dyDescent="0.2">
      <c r="A307" s="34">
        <v>50253</v>
      </c>
      <c r="B307" s="14">
        <f>42.8655 * CHOOSE(CONTROL!$C$9, $D$9, 100%, $F$9) + CHOOSE(CONTROL!$C$27, 0.0021, 0)</f>
        <v>42.867599999999996</v>
      </c>
      <c r="C307" s="14">
        <f>42.4333 * CHOOSE(CONTROL!$C$9, $D$9, 100%, $F$9) + CHOOSE(CONTROL!$C$27, 0.0021, 0)</f>
        <v>42.435400000000001</v>
      </c>
      <c r="D307" s="14">
        <f>42.4333 * CHOOSE(CONTROL!$C$9, $D$9, 100%, $F$9) + CHOOSE(CONTROL!$C$27, 0.0021, 0)</f>
        <v>42.435400000000001</v>
      </c>
      <c r="E307" s="14">
        <f>42.2966 * CHOOSE(CONTROL!$C$9, $D$9, 100%, $F$9) + CHOOSE(CONTROL!$C$27, 0.0021, 0)</f>
        <v>42.298699999999997</v>
      </c>
      <c r="F307" s="14">
        <f>42.2966 * CHOOSE(CONTROL!$C$9, $D$9, 100%, $F$9) + CHOOSE(CONTROL!$C$27, 0.0021, 0)</f>
        <v>42.298699999999997</v>
      </c>
      <c r="G307" s="14">
        <f>42.568 * CHOOSE(CONTROL!$C$9, $D$9, 100%, $F$9) + CHOOSE(CONTROL!$C$27, 0.0021, 0)</f>
        <v>42.570099999999996</v>
      </c>
      <c r="H307" s="14">
        <f>42.4333 * CHOOSE(CONTROL!$C$9, $D$9, 100%, $F$9) + CHOOSE(CONTROL!$C$27, 0.0021, 0)</f>
        <v>42.435400000000001</v>
      </c>
      <c r="I307" s="14">
        <f>42.4333 * CHOOSE(CONTROL!$C$9, $D$9, 100%, $F$9) + CHOOSE(CONTROL!$C$27, 0.0021, 0)</f>
        <v>42.435400000000001</v>
      </c>
      <c r="J307" s="14">
        <f>42.4333 * CHOOSE(CONTROL!$C$9, $D$9, 100%, $F$9) + CHOOSE(CONTROL!$C$27, 0.0021, 0)</f>
        <v>42.435400000000001</v>
      </c>
      <c r="K307" s="14">
        <f>42.4333 * CHOOSE(CONTROL!$C$9, $D$9, 100%, $F$9) + CHOOSE(CONTROL!$C$27, 0.0021, 0)</f>
        <v>42.435400000000001</v>
      </c>
      <c r="L307" s="14"/>
    </row>
    <row r="308" spans="1:12" ht="15" x14ac:dyDescent="0.2">
      <c r="A308" s="34">
        <v>50284</v>
      </c>
      <c r="B308" s="14">
        <f>43.6906 * CHOOSE(CONTROL!$C$9, $D$9, 100%, $F$9) + CHOOSE(CONTROL!$C$27, 0.0021, 0)</f>
        <v>43.692700000000002</v>
      </c>
      <c r="C308" s="14">
        <f>43.2583 * CHOOSE(CONTROL!$C$9, $D$9, 100%, $F$9) + CHOOSE(CONTROL!$C$27, 0.0021, 0)</f>
        <v>43.260399999999997</v>
      </c>
      <c r="D308" s="14">
        <f>43.2583 * CHOOSE(CONTROL!$C$9, $D$9, 100%, $F$9) + CHOOSE(CONTROL!$C$27, 0.0021, 0)</f>
        <v>43.260399999999997</v>
      </c>
      <c r="E308" s="14">
        <f>43.1217 * CHOOSE(CONTROL!$C$9, $D$9, 100%, $F$9) + CHOOSE(CONTROL!$C$27, 0.0021, 0)</f>
        <v>43.123799999999996</v>
      </c>
      <c r="F308" s="14">
        <f>43.1217 * CHOOSE(CONTROL!$C$9, $D$9, 100%, $F$9) + CHOOSE(CONTROL!$C$27, 0.0021, 0)</f>
        <v>43.123799999999996</v>
      </c>
      <c r="G308" s="14">
        <f>43.393 * CHOOSE(CONTROL!$C$9, $D$9, 100%, $F$9) + CHOOSE(CONTROL!$C$27, 0.0021, 0)</f>
        <v>43.395099999999999</v>
      </c>
      <c r="H308" s="14">
        <f>43.2583 * CHOOSE(CONTROL!$C$9, $D$9, 100%, $F$9) + CHOOSE(CONTROL!$C$27, 0.0021, 0)</f>
        <v>43.260399999999997</v>
      </c>
      <c r="I308" s="14">
        <f>43.2583 * CHOOSE(CONTROL!$C$9, $D$9, 100%, $F$9) + CHOOSE(CONTROL!$C$27, 0.0021, 0)</f>
        <v>43.260399999999997</v>
      </c>
      <c r="J308" s="14">
        <f>43.2583 * CHOOSE(CONTROL!$C$9, $D$9, 100%, $F$9) + CHOOSE(CONTROL!$C$27, 0.0021, 0)</f>
        <v>43.260399999999997</v>
      </c>
      <c r="K308" s="14">
        <f>43.2583 * CHOOSE(CONTROL!$C$9, $D$9, 100%, $F$9) + CHOOSE(CONTROL!$C$27, 0.0021, 0)</f>
        <v>43.260399999999997</v>
      </c>
      <c r="L308" s="14"/>
    </row>
    <row r="309" spans="1:12" ht="15" x14ac:dyDescent="0.2">
      <c r="A309" s="34">
        <v>50314</v>
      </c>
      <c r="B309" s="14">
        <f>44.7349 * CHOOSE(CONTROL!$C$9, $D$9, 100%, $F$9) + CHOOSE(CONTROL!$C$27, 0.0021, 0)</f>
        <v>44.737000000000002</v>
      </c>
      <c r="C309" s="14">
        <f>44.3027 * CHOOSE(CONTROL!$C$9, $D$9, 100%, $F$9) + CHOOSE(CONTROL!$C$27, 0.0021, 0)</f>
        <v>44.3048</v>
      </c>
      <c r="D309" s="14">
        <f>44.3027 * CHOOSE(CONTROL!$C$9, $D$9, 100%, $F$9) + CHOOSE(CONTROL!$C$27, 0.0021, 0)</f>
        <v>44.3048</v>
      </c>
      <c r="E309" s="14">
        <f>44.166 * CHOOSE(CONTROL!$C$9, $D$9, 100%, $F$9) + CHOOSE(CONTROL!$C$27, 0.0021, 0)</f>
        <v>44.168099999999995</v>
      </c>
      <c r="F309" s="14">
        <f>44.166 * CHOOSE(CONTROL!$C$9, $D$9, 100%, $F$9) + CHOOSE(CONTROL!$C$27, 0.0021, 0)</f>
        <v>44.168099999999995</v>
      </c>
      <c r="G309" s="14">
        <f>44.4374 * CHOOSE(CONTROL!$C$9, $D$9, 100%, $F$9) + CHOOSE(CONTROL!$C$27, 0.0021, 0)</f>
        <v>44.439499999999995</v>
      </c>
      <c r="H309" s="14">
        <f>44.3027 * CHOOSE(CONTROL!$C$9, $D$9, 100%, $F$9) + CHOOSE(CONTROL!$C$27, 0.0021, 0)</f>
        <v>44.3048</v>
      </c>
      <c r="I309" s="14">
        <f>44.3027 * CHOOSE(CONTROL!$C$9, $D$9, 100%, $F$9) + CHOOSE(CONTROL!$C$27, 0.0021, 0)</f>
        <v>44.3048</v>
      </c>
      <c r="J309" s="14">
        <f>44.3027 * CHOOSE(CONTROL!$C$9, $D$9, 100%, $F$9) + CHOOSE(CONTROL!$C$27, 0.0021, 0)</f>
        <v>44.3048</v>
      </c>
      <c r="K309" s="14">
        <f>44.3027 * CHOOSE(CONTROL!$C$9, $D$9, 100%, $F$9) + CHOOSE(CONTROL!$C$27, 0.0021, 0)</f>
        <v>44.3048</v>
      </c>
      <c r="L309" s="14"/>
    </row>
    <row r="310" spans="1:12" ht="15" x14ac:dyDescent="0.2">
      <c r="A310" s="34">
        <v>50345</v>
      </c>
      <c r="B310" s="14">
        <f>44.833 * CHOOSE(CONTROL!$C$9, $D$9, 100%, $F$9) + CHOOSE(CONTROL!$C$27, 0.0021, 0)</f>
        <v>44.835099999999997</v>
      </c>
      <c r="C310" s="14">
        <f>44.4007 * CHOOSE(CONTROL!$C$9, $D$9, 100%, $F$9) + CHOOSE(CONTROL!$C$27, 0.0021, 0)</f>
        <v>44.402799999999999</v>
      </c>
      <c r="D310" s="14">
        <f>44.4007 * CHOOSE(CONTROL!$C$9, $D$9, 100%, $F$9) + CHOOSE(CONTROL!$C$27, 0.0021, 0)</f>
        <v>44.402799999999999</v>
      </c>
      <c r="E310" s="14">
        <f>44.2641 * CHOOSE(CONTROL!$C$9, $D$9, 100%, $F$9) + CHOOSE(CONTROL!$C$27, 0.0021, 0)</f>
        <v>44.266199999999998</v>
      </c>
      <c r="F310" s="14">
        <f>44.2641 * CHOOSE(CONTROL!$C$9, $D$9, 100%, $F$9) + CHOOSE(CONTROL!$C$27, 0.0021, 0)</f>
        <v>44.266199999999998</v>
      </c>
      <c r="G310" s="14">
        <f>44.5355 * CHOOSE(CONTROL!$C$9, $D$9, 100%, $F$9) + CHOOSE(CONTROL!$C$27, 0.0021, 0)</f>
        <v>44.537599999999998</v>
      </c>
      <c r="H310" s="14">
        <f>44.4007 * CHOOSE(CONTROL!$C$9, $D$9, 100%, $F$9) + CHOOSE(CONTROL!$C$27, 0.0021, 0)</f>
        <v>44.402799999999999</v>
      </c>
      <c r="I310" s="14">
        <f>44.4007 * CHOOSE(CONTROL!$C$9, $D$9, 100%, $F$9) + CHOOSE(CONTROL!$C$27, 0.0021, 0)</f>
        <v>44.402799999999999</v>
      </c>
      <c r="J310" s="14">
        <f>44.4007 * CHOOSE(CONTROL!$C$9, $D$9, 100%, $F$9) + CHOOSE(CONTROL!$C$27, 0.0021, 0)</f>
        <v>44.402799999999999</v>
      </c>
      <c r="K310" s="14">
        <f>44.4007 * CHOOSE(CONTROL!$C$9, $D$9, 100%, $F$9) + CHOOSE(CONTROL!$C$27, 0.0021, 0)</f>
        <v>44.402799999999999</v>
      </c>
      <c r="L310" s="14"/>
    </row>
    <row r="311" spans="1:12" ht="15" x14ac:dyDescent="0.2">
      <c r="A311" s="34">
        <v>50375</v>
      </c>
      <c r="B311" s="14">
        <f>43.9989 * CHOOSE(CONTROL!$C$9, $D$9, 100%, $F$9) + CHOOSE(CONTROL!$C$27, 0.0021, 0)</f>
        <v>44.000999999999998</v>
      </c>
      <c r="C311" s="14">
        <f>43.5666 * CHOOSE(CONTROL!$C$9, $D$9, 100%, $F$9) + CHOOSE(CONTROL!$C$27, 0.0021, 0)</f>
        <v>43.5687</v>
      </c>
      <c r="D311" s="14">
        <f>43.5666 * CHOOSE(CONTROL!$C$9, $D$9, 100%, $F$9) + CHOOSE(CONTROL!$C$27, 0.0021, 0)</f>
        <v>43.5687</v>
      </c>
      <c r="E311" s="14">
        <f>43.43 * CHOOSE(CONTROL!$C$9, $D$9, 100%, $F$9) + CHOOSE(CONTROL!$C$27, 0.0021, 0)</f>
        <v>43.432099999999998</v>
      </c>
      <c r="F311" s="14">
        <f>43.43 * CHOOSE(CONTROL!$C$9, $D$9, 100%, $F$9) + CHOOSE(CONTROL!$C$27, 0.0021, 0)</f>
        <v>43.432099999999998</v>
      </c>
      <c r="G311" s="14">
        <f>43.7013 * CHOOSE(CONTROL!$C$9, $D$9, 100%, $F$9) + CHOOSE(CONTROL!$C$27, 0.0021, 0)</f>
        <v>43.703400000000002</v>
      </c>
      <c r="H311" s="14">
        <f>43.5666 * CHOOSE(CONTROL!$C$9, $D$9, 100%, $F$9) + CHOOSE(CONTROL!$C$27, 0.0021, 0)</f>
        <v>43.5687</v>
      </c>
      <c r="I311" s="14">
        <f>43.5666 * CHOOSE(CONTROL!$C$9, $D$9, 100%, $F$9) + CHOOSE(CONTROL!$C$27, 0.0021, 0)</f>
        <v>43.5687</v>
      </c>
      <c r="J311" s="14">
        <f>43.5666 * CHOOSE(CONTROL!$C$9, $D$9, 100%, $F$9) + CHOOSE(CONTROL!$C$27, 0.0021, 0)</f>
        <v>43.5687</v>
      </c>
      <c r="K311" s="14">
        <f>43.5666 * CHOOSE(CONTROL!$C$9, $D$9, 100%, $F$9) + CHOOSE(CONTROL!$C$27, 0.0021, 0)</f>
        <v>43.5687</v>
      </c>
      <c r="L311" s="14"/>
    </row>
    <row r="312" spans="1:12" ht="15.75" x14ac:dyDescent="0.25">
      <c r="A312" s="33">
        <v>50436</v>
      </c>
      <c r="B312" s="14">
        <f>43.4717 * CHOOSE(CONTROL!$C$9, $D$9, 100%, $F$9) + CHOOSE(CONTROL!$C$27, 0.0021, 0)</f>
        <v>43.473799999999997</v>
      </c>
      <c r="C312" s="14">
        <f>43.0394 * CHOOSE(CONTROL!$C$9, $D$9, 100%, $F$9) + CHOOSE(CONTROL!$C$27, 0.0021, 0)</f>
        <v>43.041499999999999</v>
      </c>
      <c r="D312" s="14">
        <f>43.0394 * CHOOSE(CONTROL!$C$9, $D$9, 100%, $F$9) + CHOOSE(CONTROL!$C$27, 0.0021, 0)</f>
        <v>43.041499999999999</v>
      </c>
      <c r="E312" s="14">
        <f>42.9028 * CHOOSE(CONTROL!$C$9, $D$9, 100%, $F$9) + CHOOSE(CONTROL!$C$27, 0.0021, 0)</f>
        <v>42.904899999999998</v>
      </c>
      <c r="F312" s="14">
        <f>42.9028 * CHOOSE(CONTROL!$C$9, $D$9, 100%, $F$9) + CHOOSE(CONTROL!$C$27, 0.0021, 0)</f>
        <v>42.904899999999998</v>
      </c>
      <c r="G312" s="14">
        <f>43.1741 * CHOOSE(CONTROL!$C$9, $D$9, 100%, $F$9) + CHOOSE(CONTROL!$C$27, 0.0021, 0)</f>
        <v>43.176200000000001</v>
      </c>
      <c r="H312" s="14">
        <f>43.0394 * CHOOSE(CONTROL!$C$9, $D$9, 100%, $F$9) + CHOOSE(CONTROL!$C$27, 0.0021, 0)</f>
        <v>43.041499999999999</v>
      </c>
      <c r="I312" s="14">
        <f>43.0394 * CHOOSE(CONTROL!$C$9, $D$9, 100%, $F$9) + CHOOSE(CONTROL!$C$27, 0.0021, 0)</f>
        <v>43.041499999999999</v>
      </c>
      <c r="J312" s="14">
        <f>43.0394 * CHOOSE(CONTROL!$C$9, $D$9, 100%, $F$9) + CHOOSE(CONTROL!$C$27, 0.0021, 0)</f>
        <v>43.041499999999999</v>
      </c>
      <c r="K312" s="14">
        <f>43.0394 * CHOOSE(CONTROL!$C$9, $D$9, 100%, $F$9) + CHOOSE(CONTROL!$C$27, 0.0021, 0)</f>
        <v>43.041499999999999</v>
      </c>
      <c r="L312" s="14"/>
    </row>
    <row r="313" spans="1:12" ht="15.75" x14ac:dyDescent="0.25">
      <c r="A313" s="33">
        <v>50464</v>
      </c>
      <c r="B313" s="14">
        <f>42.3069 * CHOOSE(CONTROL!$C$9, $D$9, 100%, $F$9) + CHOOSE(CONTROL!$C$27, 0.0021, 0)</f>
        <v>42.308999999999997</v>
      </c>
      <c r="C313" s="14">
        <f>41.8746 * CHOOSE(CONTROL!$C$9, $D$9, 100%, $F$9) + CHOOSE(CONTROL!$C$27, 0.0021, 0)</f>
        <v>41.8767</v>
      </c>
      <c r="D313" s="14">
        <f>41.8746 * CHOOSE(CONTROL!$C$9, $D$9, 100%, $F$9) + CHOOSE(CONTROL!$C$27, 0.0021, 0)</f>
        <v>41.8767</v>
      </c>
      <c r="E313" s="14">
        <f>41.738 * CHOOSE(CONTROL!$C$9, $D$9, 100%, $F$9) + CHOOSE(CONTROL!$C$27, 0.0021, 0)</f>
        <v>41.740099999999998</v>
      </c>
      <c r="F313" s="14">
        <f>41.738 * CHOOSE(CONTROL!$C$9, $D$9, 100%, $F$9) + CHOOSE(CONTROL!$C$27, 0.0021, 0)</f>
        <v>41.740099999999998</v>
      </c>
      <c r="G313" s="14">
        <f>42.0094 * CHOOSE(CONTROL!$C$9, $D$9, 100%, $F$9) + CHOOSE(CONTROL!$C$27, 0.0021, 0)</f>
        <v>42.011499999999998</v>
      </c>
      <c r="H313" s="14">
        <f>41.8746 * CHOOSE(CONTROL!$C$9, $D$9, 100%, $F$9) + CHOOSE(CONTROL!$C$27, 0.0021, 0)</f>
        <v>41.8767</v>
      </c>
      <c r="I313" s="14">
        <f>41.8746 * CHOOSE(CONTROL!$C$9, $D$9, 100%, $F$9) + CHOOSE(CONTROL!$C$27, 0.0021, 0)</f>
        <v>41.8767</v>
      </c>
      <c r="J313" s="14">
        <f>41.8746 * CHOOSE(CONTROL!$C$9, $D$9, 100%, $F$9) + CHOOSE(CONTROL!$C$27, 0.0021, 0)</f>
        <v>41.8767</v>
      </c>
      <c r="K313" s="14">
        <f>41.8746 * CHOOSE(CONTROL!$C$9, $D$9, 100%, $F$9) + CHOOSE(CONTROL!$C$27, 0.0021, 0)</f>
        <v>41.8767</v>
      </c>
      <c r="L313" s="14"/>
    </row>
    <row r="314" spans="1:12" ht="15.75" x14ac:dyDescent="0.25">
      <c r="A314" s="33">
        <v>50495</v>
      </c>
      <c r="B314" s="14">
        <f>41.8261 * CHOOSE(CONTROL!$C$9, $D$9, 100%, $F$9) + CHOOSE(CONTROL!$C$27, 0.0021, 0)</f>
        <v>41.828199999999995</v>
      </c>
      <c r="C314" s="14">
        <f>41.3938 * CHOOSE(CONTROL!$C$9, $D$9, 100%, $F$9) + CHOOSE(CONTROL!$C$27, 0.0021, 0)</f>
        <v>41.395899999999997</v>
      </c>
      <c r="D314" s="14">
        <f>41.3938 * CHOOSE(CONTROL!$C$9, $D$9, 100%, $F$9) + CHOOSE(CONTROL!$C$27, 0.0021, 0)</f>
        <v>41.395899999999997</v>
      </c>
      <c r="E314" s="14">
        <f>41.2572 * CHOOSE(CONTROL!$C$9, $D$9, 100%, $F$9) + CHOOSE(CONTROL!$C$27, 0.0021, 0)</f>
        <v>41.259299999999996</v>
      </c>
      <c r="F314" s="14">
        <f>41.2572 * CHOOSE(CONTROL!$C$9, $D$9, 100%, $F$9) + CHOOSE(CONTROL!$C$27, 0.0021, 0)</f>
        <v>41.259299999999996</v>
      </c>
      <c r="G314" s="14">
        <f>41.5285 * CHOOSE(CONTROL!$C$9, $D$9, 100%, $F$9) + CHOOSE(CONTROL!$C$27, 0.0021, 0)</f>
        <v>41.5306</v>
      </c>
      <c r="H314" s="14">
        <f>41.3938 * CHOOSE(CONTROL!$C$9, $D$9, 100%, $F$9) + CHOOSE(CONTROL!$C$27, 0.0021, 0)</f>
        <v>41.395899999999997</v>
      </c>
      <c r="I314" s="14">
        <f>41.3938 * CHOOSE(CONTROL!$C$9, $D$9, 100%, $F$9) + CHOOSE(CONTROL!$C$27, 0.0021, 0)</f>
        <v>41.395899999999997</v>
      </c>
      <c r="J314" s="14">
        <f>41.3938 * CHOOSE(CONTROL!$C$9, $D$9, 100%, $F$9) + CHOOSE(CONTROL!$C$27, 0.0021, 0)</f>
        <v>41.395899999999997</v>
      </c>
      <c r="K314" s="14">
        <f>41.3938 * CHOOSE(CONTROL!$C$9, $D$9, 100%, $F$9) + CHOOSE(CONTROL!$C$27, 0.0021, 0)</f>
        <v>41.395899999999997</v>
      </c>
      <c r="L314" s="14"/>
    </row>
    <row r="315" spans="1:12" ht="15.75" x14ac:dyDescent="0.25">
      <c r="A315" s="33">
        <v>50525</v>
      </c>
      <c r="B315" s="14">
        <f>41.252 * CHOOSE(CONTROL!$C$9, $D$9, 100%, $F$9) + CHOOSE(CONTROL!$C$27, 0.0021, 0)</f>
        <v>41.254100000000001</v>
      </c>
      <c r="C315" s="14">
        <f>40.8197 * CHOOSE(CONTROL!$C$9, $D$9, 100%, $F$9) + CHOOSE(CONTROL!$C$27, 0.0021, 0)</f>
        <v>40.821799999999996</v>
      </c>
      <c r="D315" s="14">
        <f>40.8197 * CHOOSE(CONTROL!$C$9, $D$9, 100%, $F$9) + CHOOSE(CONTROL!$C$27, 0.0021, 0)</f>
        <v>40.821799999999996</v>
      </c>
      <c r="E315" s="14">
        <f>40.6831 * CHOOSE(CONTROL!$C$9, $D$9, 100%, $F$9) + CHOOSE(CONTROL!$C$27, 0.0021, 0)</f>
        <v>40.685200000000002</v>
      </c>
      <c r="F315" s="14">
        <f>40.6831 * CHOOSE(CONTROL!$C$9, $D$9, 100%, $F$9) + CHOOSE(CONTROL!$C$27, 0.0021, 0)</f>
        <v>40.685200000000002</v>
      </c>
      <c r="G315" s="14">
        <f>40.9544 * CHOOSE(CONTROL!$C$9, $D$9, 100%, $F$9) + CHOOSE(CONTROL!$C$27, 0.0021, 0)</f>
        <v>40.956499999999998</v>
      </c>
      <c r="H315" s="14">
        <f>40.8197 * CHOOSE(CONTROL!$C$9, $D$9, 100%, $F$9) + CHOOSE(CONTROL!$C$27, 0.0021, 0)</f>
        <v>40.821799999999996</v>
      </c>
      <c r="I315" s="14">
        <f>40.8197 * CHOOSE(CONTROL!$C$9, $D$9, 100%, $F$9) + CHOOSE(CONTROL!$C$27, 0.0021, 0)</f>
        <v>40.821799999999996</v>
      </c>
      <c r="J315" s="14">
        <f>40.8197 * CHOOSE(CONTROL!$C$9, $D$9, 100%, $F$9) + CHOOSE(CONTROL!$C$27, 0.0021, 0)</f>
        <v>40.821799999999996</v>
      </c>
      <c r="K315" s="14">
        <f>40.8197 * CHOOSE(CONTROL!$C$9, $D$9, 100%, $F$9) + CHOOSE(CONTROL!$C$27, 0.0021, 0)</f>
        <v>40.821799999999996</v>
      </c>
      <c r="L315" s="14"/>
    </row>
    <row r="316" spans="1:12" ht="15.75" x14ac:dyDescent="0.25">
      <c r="A316" s="33">
        <v>50556</v>
      </c>
      <c r="B316" s="14">
        <f>42.0701 * CHOOSE(CONTROL!$C$9, $D$9, 100%, $F$9) + CHOOSE(CONTROL!$C$27, 0.0021, 0)</f>
        <v>42.072199999999995</v>
      </c>
      <c r="C316" s="14">
        <f>41.6379 * CHOOSE(CONTROL!$C$9, $D$9, 100%, $F$9) + CHOOSE(CONTROL!$C$27, 0.0021, 0)</f>
        <v>41.64</v>
      </c>
      <c r="D316" s="14">
        <f>41.6379 * CHOOSE(CONTROL!$C$9, $D$9, 100%, $F$9) + CHOOSE(CONTROL!$C$27, 0.0021, 0)</f>
        <v>41.64</v>
      </c>
      <c r="E316" s="14">
        <f>41.5012 * CHOOSE(CONTROL!$C$9, $D$9, 100%, $F$9) + CHOOSE(CONTROL!$C$27, 0.0021, 0)</f>
        <v>41.503299999999996</v>
      </c>
      <c r="F316" s="14">
        <f>41.5012 * CHOOSE(CONTROL!$C$9, $D$9, 100%, $F$9) + CHOOSE(CONTROL!$C$27, 0.0021, 0)</f>
        <v>41.503299999999996</v>
      </c>
      <c r="G316" s="14">
        <f>41.7726 * CHOOSE(CONTROL!$C$9, $D$9, 100%, $F$9) + CHOOSE(CONTROL!$C$27, 0.0021, 0)</f>
        <v>41.774699999999996</v>
      </c>
      <c r="H316" s="14">
        <f>41.6379 * CHOOSE(CONTROL!$C$9, $D$9, 100%, $F$9) + CHOOSE(CONTROL!$C$27, 0.0021, 0)</f>
        <v>41.64</v>
      </c>
      <c r="I316" s="14">
        <f>41.6379 * CHOOSE(CONTROL!$C$9, $D$9, 100%, $F$9) + CHOOSE(CONTROL!$C$27, 0.0021, 0)</f>
        <v>41.64</v>
      </c>
      <c r="J316" s="14">
        <f>41.6379 * CHOOSE(CONTROL!$C$9, $D$9, 100%, $F$9) + CHOOSE(CONTROL!$C$27, 0.0021, 0)</f>
        <v>41.64</v>
      </c>
      <c r="K316" s="14">
        <f>41.6379 * CHOOSE(CONTROL!$C$9, $D$9, 100%, $F$9) + CHOOSE(CONTROL!$C$27, 0.0021, 0)</f>
        <v>41.64</v>
      </c>
      <c r="L316" s="14"/>
    </row>
    <row r="317" spans="1:12" ht="15.75" x14ac:dyDescent="0.25">
      <c r="A317" s="33">
        <v>50586</v>
      </c>
      <c r="B317" s="14">
        <f>42.5602 * CHOOSE(CONTROL!$C$9, $D$9, 100%, $F$9) + CHOOSE(CONTROL!$C$27, 0.0021, 0)</f>
        <v>42.5623</v>
      </c>
      <c r="C317" s="14">
        <f>42.1279 * CHOOSE(CONTROL!$C$9, $D$9, 100%, $F$9) + CHOOSE(CONTROL!$C$27, 0.0021, 0)</f>
        <v>42.129999999999995</v>
      </c>
      <c r="D317" s="14">
        <f>42.1279 * CHOOSE(CONTROL!$C$9, $D$9, 100%, $F$9) + CHOOSE(CONTROL!$C$27, 0.0021, 0)</f>
        <v>42.129999999999995</v>
      </c>
      <c r="E317" s="14">
        <f>41.9913 * CHOOSE(CONTROL!$C$9, $D$9, 100%, $F$9) + CHOOSE(CONTROL!$C$27, 0.0021, 0)</f>
        <v>41.993400000000001</v>
      </c>
      <c r="F317" s="14">
        <f>41.9913 * CHOOSE(CONTROL!$C$9, $D$9, 100%, $F$9) + CHOOSE(CONTROL!$C$27, 0.0021, 0)</f>
        <v>41.993400000000001</v>
      </c>
      <c r="G317" s="14">
        <f>42.2627 * CHOOSE(CONTROL!$C$9, $D$9, 100%, $F$9) + CHOOSE(CONTROL!$C$27, 0.0021, 0)</f>
        <v>42.264800000000001</v>
      </c>
      <c r="H317" s="14">
        <f>42.1279 * CHOOSE(CONTROL!$C$9, $D$9, 100%, $F$9) + CHOOSE(CONTROL!$C$27, 0.0021, 0)</f>
        <v>42.129999999999995</v>
      </c>
      <c r="I317" s="14">
        <f>42.1279 * CHOOSE(CONTROL!$C$9, $D$9, 100%, $F$9) + CHOOSE(CONTROL!$C$27, 0.0021, 0)</f>
        <v>42.129999999999995</v>
      </c>
      <c r="J317" s="14">
        <f>42.1279 * CHOOSE(CONTROL!$C$9, $D$9, 100%, $F$9) + CHOOSE(CONTROL!$C$27, 0.0021, 0)</f>
        <v>42.129999999999995</v>
      </c>
      <c r="K317" s="14">
        <f>42.1279 * CHOOSE(CONTROL!$C$9, $D$9, 100%, $F$9) + CHOOSE(CONTROL!$C$27, 0.0021, 0)</f>
        <v>42.129999999999995</v>
      </c>
      <c r="L317" s="14"/>
    </row>
    <row r="318" spans="1:12" ht="15.75" x14ac:dyDescent="0.25">
      <c r="A318" s="33">
        <v>50617</v>
      </c>
      <c r="B318" s="14">
        <f>43.3686 * CHOOSE(CONTROL!$C$9, $D$9, 100%, $F$9) + CHOOSE(CONTROL!$C$27, 0.0021, 0)</f>
        <v>43.370699999999999</v>
      </c>
      <c r="C318" s="14">
        <f>42.9363 * CHOOSE(CONTROL!$C$9, $D$9, 100%, $F$9) + CHOOSE(CONTROL!$C$27, 0.0021, 0)</f>
        <v>42.938400000000001</v>
      </c>
      <c r="D318" s="14">
        <f>42.9363 * CHOOSE(CONTROL!$C$9, $D$9, 100%, $F$9) + CHOOSE(CONTROL!$C$27, 0.0021, 0)</f>
        <v>42.938400000000001</v>
      </c>
      <c r="E318" s="14">
        <f>42.7997 * CHOOSE(CONTROL!$C$9, $D$9, 100%, $F$9) + CHOOSE(CONTROL!$C$27, 0.0021, 0)</f>
        <v>42.8018</v>
      </c>
      <c r="F318" s="14">
        <f>42.7997 * CHOOSE(CONTROL!$C$9, $D$9, 100%, $F$9) + CHOOSE(CONTROL!$C$27, 0.0021, 0)</f>
        <v>42.8018</v>
      </c>
      <c r="G318" s="14">
        <f>43.0711 * CHOOSE(CONTROL!$C$9, $D$9, 100%, $F$9) + CHOOSE(CONTROL!$C$27, 0.0021, 0)</f>
        <v>43.0732</v>
      </c>
      <c r="H318" s="14">
        <f>42.9363 * CHOOSE(CONTROL!$C$9, $D$9, 100%, $F$9) + CHOOSE(CONTROL!$C$27, 0.0021, 0)</f>
        <v>42.938400000000001</v>
      </c>
      <c r="I318" s="14">
        <f>42.9363 * CHOOSE(CONTROL!$C$9, $D$9, 100%, $F$9) + CHOOSE(CONTROL!$C$27, 0.0021, 0)</f>
        <v>42.938400000000001</v>
      </c>
      <c r="J318" s="14">
        <f>42.9363 * CHOOSE(CONTROL!$C$9, $D$9, 100%, $F$9) + CHOOSE(CONTROL!$C$27, 0.0021, 0)</f>
        <v>42.938400000000001</v>
      </c>
      <c r="K318" s="14">
        <f>42.9363 * CHOOSE(CONTROL!$C$9, $D$9, 100%, $F$9) + CHOOSE(CONTROL!$C$27, 0.0021, 0)</f>
        <v>42.938400000000001</v>
      </c>
      <c r="L318" s="14"/>
    </row>
    <row r="319" spans="1:12" ht="15.75" x14ac:dyDescent="0.25">
      <c r="A319" s="33">
        <v>50648</v>
      </c>
      <c r="B319" s="14">
        <f>43.6153 * CHOOSE(CONTROL!$C$9, $D$9, 100%, $F$9) + CHOOSE(CONTROL!$C$27, 0.0021, 0)</f>
        <v>43.617399999999996</v>
      </c>
      <c r="C319" s="14">
        <f>43.1831 * CHOOSE(CONTROL!$C$9, $D$9, 100%, $F$9) + CHOOSE(CONTROL!$C$27, 0.0021, 0)</f>
        <v>43.185200000000002</v>
      </c>
      <c r="D319" s="14">
        <f>43.1831 * CHOOSE(CONTROL!$C$9, $D$9, 100%, $F$9) + CHOOSE(CONTROL!$C$27, 0.0021, 0)</f>
        <v>43.185200000000002</v>
      </c>
      <c r="E319" s="14">
        <f>43.0464 * CHOOSE(CONTROL!$C$9, $D$9, 100%, $F$9) + CHOOSE(CONTROL!$C$27, 0.0021, 0)</f>
        <v>43.048499999999997</v>
      </c>
      <c r="F319" s="14">
        <f>43.0464 * CHOOSE(CONTROL!$C$9, $D$9, 100%, $F$9) + CHOOSE(CONTROL!$C$27, 0.0021, 0)</f>
        <v>43.048499999999997</v>
      </c>
      <c r="G319" s="14">
        <f>43.3178 * CHOOSE(CONTROL!$C$9, $D$9, 100%, $F$9) + CHOOSE(CONTROL!$C$27, 0.0021, 0)</f>
        <v>43.319899999999997</v>
      </c>
      <c r="H319" s="14">
        <f>43.1831 * CHOOSE(CONTROL!$C$9, $D$9, 100%, $F$9) + CHOOSE(CONTROL!$C$27, 0.0021, 0)</f>
        <v>43.185200000000002</v>
      </c>
      <c r="I319" s="14">
        <f>43.1831 * CHOOSE(CONTROL!$C$9, $D$9, 100%, $F$9) + CHOOSE(CONTROL!$C$27, 0.0021, 0)</f>
        <v>43.185200000000002</v>
      </c>
      <c r="J319" s="14">
        <f>43.1831 * CHOOSE(CONTROL!$C$9, $D$9, 100%, $F$9) + CHOOSE(CONTROL!$C$27, 0.0021, 0)</f>
        <v>43.185200000000002</v>
      </c>
      <c r="K319" s="14">
        <f>43.1831 * CHOOSE(CONTROL!$C$9, $D$9, 100%, $F$9) + CHOOSE(CONTROL!$C$27, 0.0021, 0)</f>
        <v>43.185200000000002</v>
      </c>
      <c r="L319" s="14"/>
    </row>
    <row r="320" spans="1:12" ht="15.75" x14ac:dyDescent="0.25">
      <c r="A320" s="33">
        <v>50678</v>
      </c>
      <c r="B320" s="14">
        <f>44.4556 * CHOOSE(CONTROL!$C$9, $D$9, 100%, $F$9) + CHOOSE(CONTROL!$C$27, 0.0021, 0)</f>
        <v>44.457699999999996</v>
      </c>
      <c r="C320" s="14">
        <f>44.0234 * CHOOSE(CONTROL!$C$9, $D$9, 100%, $F$9) + CHOOSE(CONTROL!$C$27, 0.0021, 0)</f>
        <v>44.025500000000001</v>
      </c>
      <c r="D320" s="14">
        <f>44.0234 * CHOOSE(CONTROL!$C$9, $D$9, 100%, $F$9) + CHOOSE(CONTROL!$C$27, 0.0021, 0)</f>
        <v>44.025500000000001</v>
      </c>
      <c r="E320" s="14">
        <f>43.8867 * CHOOSE(CONTROL!$C$9, $D$9, 100%, $F$9) + CHOOSE(CONTROL!$C$27, 0.0021, 0)</f>
        <v>43.888799999999996</v>
      </c>
      <c r="F320" s="14">
        <f>43.8867 * CHOOSE(CONTROL!$C$9, $D$9, 100%, $F$9) + CHOOSE(CONTROL!$C$27, 0.0021, 0)</f>
        <v>43.888799999999996</v>
      </c>
      <c r="G320" s="14">
        <f>44.1581 * CHOOSE(CONTROL!$C$9, $D$9, 100%, $F$9) + CHOOSE(CONTROL!$C$27, 0.0021, 0)</f>
        <v>44.160199999999996</v>
      </c>
      <c r="H320" s="14">
        <f>44.0234 * CHOOSE(CONTROL!$C$9, $D$9, 100%, $F$9) + CHOOSE(CONTROL!$C$27, 0.0021, 0)</f>
        <v>44.025500000000001</v>
      </c>
      <c r="I320" s="14">
        <f>44.0234 * CHOOSE(CONTROL!$C$9, $D$9, 100%, $F$9) + CHOOSE(CONTROL!$C$27, 0.0021, 0)</f>
        <v>44.025500000000001</v>
      </c>
      <c r="J320" s="14">
        <f>44.0234 * CHOOSE(CONTROL!$C$9, $D$9, 100%, $F$9) + CHOOSE(CONTROL!$C$27, 0.0021, 0)</f>
        <v>44.025500000000001</v>
      </c>
      <c r="K320" s="14">
        <f>44.0234 * CHOOSE(CONTROL!$C$9, $D$9, 100%, $F$9) + CHOOSE(CONTROL!$C$27, 0.0021, 0)</f>
        <v>44.025500000000001</v>
      </c>
      <c r="L320" s="14"/>
    </row>
    <row r="321" spans="1:12" ht="15.75" x14ac:dyDescent="0.25">
      <c r="A321" s="33">
        <v>50709</v>
      </c>
      <c r="B321" s="14">
        <f>45.5193 * CHOOSE(CONTROL!$C$9, $D$9, 100%, $F$9) + CHOOSE(CONTROL!$C$27, 0.0021, 0)</f>
        <v>45.5214</v>
      </c>
      <c r="C321" s="14">
        <f>45.0871 * CHOOSE(CONTROL!$C$9, $D$9, 100%, $F$9) + CHOOSE(CONTROL!$C$27, 0.0021, 0)</f>
        <v>45.089199999999998</v>
      </c>
      <c r="D321" s="14">
        <f>45.0871 * CHOOSE(CONTROL!$C$9, $D$9, 100%, $F$9) + CHOOSE(CONTROL!$C$27, 0.0021, 0)</f>
        <v>45.089199999999998</v>
      </c>
      <c r="E321" s="14">
        <f>44.9504 * CHOOSE(CONTROL!$C$9, $D$9, 100%, $F$9) + CHOOSE(CONTROL!$C$27, 0.0021, 0)</f>
        <v>44.952500000000001</v>
      </c>
      <c r="F321" s="14">
        <f>44.9504 * CHOOSE(CONTROL!$C$9, $D$9, 100%, $F$9) + CHOOSE(CONTROL!$C$27, 0.0021, 0)</f>
        <v>44.952500000000001</v>
      </c>
      <c r="G321" s="14">
        <f>45.2218 * CHOOSE(CONTROL!$C$9, $D$9, 100%, $F$9) + CHOOSE(CONTROL!$C$27, 0.0021, 0)</f>
        <v>45.2239</v>
      </c>
      <c r="H321" s="14">
        <f>45.0871 * CHOOSE(CONTROL!$C$9, $D$9, 100%, $F$9) + CHOOSE(CONTROL!$C$27, 0.0021, 0)</f>
        <v>45.089199999999998</v>
      </c>
      <c r="I321" s="14">
        <f>45.0871 * CHOOSE(CONTROL!$C$9, $D$9, 100%, $F$9) + CHOOSE(CONTROL!$C$27, 0.0021, 0)</f>
        <v>45.089199999999998</v>
      </c>
      <c r="J321" s="14">
        <f>45.0871 * CHOOSE(CONTROL!$C$9, $D$9, 100%, $F$9) + CHOOSE(CONTROL!$C$27, 0.0021, 0)</f>
        <v>45.089199999999998</v>
      </c>
      <c r="K321" s="14">
        <f>45.0871 * CHOOSE(CONTROL!$C$9, $D$9, 100%, $F$9) + CHOOSE(CONTROL!$C$27, 0.0021, 0)</f>
        <v>45.089199999999998</v>
      </c>
      <c r="L321" s="14"/>
    </row>
    <row r="322" spans="1:12" ht="15.75" x14ac:dyDescent="0.25">
      <c r="A322" s="33">
        <v>50739</v>
      </c>
      <c r="B322" s="14">
        <f>45.6192 * CHOOSE(CONTROL!$C$9, $D$9, 100%, $F$9) + CHOOSE(CONTROL!$C$27, 0.0021, 0)</f>
        <v>45.621299999999998</v>
      </c>
      <c r="C322" s="14">
        <f>45.1869 * CHOOSE(CONTROL!$C$9, $D$9, 100%, $F$9) + CHOOSE(CONTROL!$C$27, 0.0021, 0)</f>
        <v>45.189</v>
      </c>
      <c r="D322" s="14">
        <f>45.1869 * CHOOSE(CONTROL!$C$9, $D$9, 100%, $F$9) + CHOOSE(CONTROL!$C$27, 0.0021, 0)</f>
        <v>45.189</v>
      </c>
      <c r="E322" s="14">
        <f>45.0503 * CHOOSE(CONTROL!$C$9, $D$9, 100%, $F$9) + CHOOSE(CONTROL!$C$27, 0.0021, 0)</f>
        <v>45.052399999999999</v>
      </c>
      <c r="F322" s="14">
        <f>45.0503 * CHOOSE(CONTROL!$C$9, $D$9, 100%, $F$9) + CHOOSE(CONTROL!$C$27, 0.0021, 0)</f>
        <v>45.052399999999999</v>
      </c>
      <c r="G322" s="14">
        <f>45.3216 * CHOOSE(CONTROL!$C$9, $D$9, 100%, $F$9) + CHOOSE(CONTROL!$C$27, 0.0021, 0)</f>
        <v>45.323699999999995</v>
      </c>
      <c r="H322" s="14">
        <f>45.1869 * CHOOSE(CONTROL!$C$9, $D$9, 100%, $F$9) + CHOOSE(CONTROL!$C$27, 0.0021, 0)</f>
        <v>45.189</v>
      </c>
      <c r="I322" s="14">
        <f>45.1869 * CHOOSE(CONTROL!$C$9, $D$9, 100%, $F$9) + CHOOSE(CONTROL!$C$27, 0.0021, 0)</f>
        <v>45.189</v>
      </c>
      <c r="J322" s="14">
        <f>45.1869 * CHOOSE(CONTROL!$C$9, $D$9, 100%, $F$9) + CHOOSE(CONTROL!$C$27, 0.0021, 0)</f>
        <v>45.189</v>
      </c>
      <c r="K322" s="14">
        <f>45.1869 * CHOOSE(CONTROL!$C$9, $D$9, 100%, $F$9) + CHOOSE(CONTROL!$C$27, 0.0021, 0)</f>
        <v>45.189</v>
      </c>
      <c r="L322" s="14"/>
    </row>
    <row r="323" spans="1:12" ht="15.75" x14ac:dyDescent="0.25">
      <c r="A323" s="33">
        <v>50770</v>
      </c>
      <c r="B323" s="14">
        <f>44.7696 * CHOOSE(CONTROL!$C$9, $D$9, 100%, $F$9) + CHOOSE(CONTROL!$C$27, 0.0021, 0)</f>
        <v>44.771699999999996</v>
      </c>
      <c r="C323" s="14">
        <f>44.3374 * CHOOSE(CONTROL!$C$9, $D$9, 100%, $F$9) + CHOOSE(CONTROL!$C$27, 0.0021, 0)</f>
        <v>44.339500000000001</v>
      </c>
      <c r="D323" s="14">
        <f>44.3374 * CHOOSE(CONTROL!$C$9, $D$9, 100%, $F$9) + CHOOSE(CONTROL!$C$27, 0.0021, 0)</f>
        <v>44.339500000000001</v>
      </c>
      <c r="E323" s="14">
        <f>44.2007 * CHOOSE(CONTROL!$C$9, $D$9, 100%, $F$9) + CHOOSE(CONTROL!$C$27, 0.0021, 0)</f>
        <v>44.202799999999996</v>
      </c>
      <c r="F323" s="14">
        <f>44.2007 * CHOOSE(CONTROL!$C$9, $D$9, 100%, $F$9) + CHOOSE(CONTROL!$C$27, 0.0021, 0)</f>
        <v>44.202799999999996</v>
      </c>
      <c r="G323" s="14">
        <f>44.4721 * CHOOSE(CONTROL!$C$9, $D$9, 100%, $F$9) + CHOOSE(CONTROL!$C$27, 0.0021, 0)</f>
        <v>44.474199999999996</v>
      </c>
      <c r="H323" s="14">
        <f>44.3374 * CHOOSE(CONTROL!$C$9, $D$9, 100%, $F$9) + CHOOSE(CONTROL!$C$27, 0.0021, 0)</f>
        <v>44.339500000000001</v>
      </c>
      <c r="I323" s="14">
        <f>44.3374 * CHOOSE(CONTROL!$C$9, $D$9, 100%, $F$9) + CHOOSE(CONTROL!$C$27, 0.0021, 0)</f>
        <v>44.339500000000001</v>
      </c>
      <c r="J323" s="14">
        <f>44.3374 * CHOOSE(CONTROL!$C$9, $D$9, 100%, $F$9) + CHOOSE(CONTROL!$C$27, 0.0021, 0)</f>
        <v>44.339500000000001</v>
      </c>
      <c r="K323" s="14">
        <f>44.3374 * CHOOSE(CONTROL!$C$9, $D$9, 100%, $F$9) + CHOOSE(CONTROL!$C$27, 0.0021, 0)</f>
        <v>44.339500000000001</v>
      </c>
      <c r="L323" s="14"/>
    </row>
    <row r="324" spans="1:12" ht="15.75" x14ac:dyDescent="0.25">
      <c r="A324" s="33">
        <v>50801</v>
      </c>
      <c r="B324" s="14">
        <f>44.2327 * CHOOSE(CONTROL!$C$9, $D$9, 100%, $F$9) + CHOOSE(CONTROL!$C$27, 0.0021, 0)</f>
        <v>44.2348</v>
      </c>
      <c r="C324" s="14">
        <f>43.8004 * CHOOSE(CONTROL!$C$9, $D$9, 100%, $F$9) + CHOOSE(CONTROL!$C$27, 0.0021, 0)</f>
        <v>43.802500000000002</v>
      </c>
      <c r="D324" s="14">
        <f>43.8004 * CHOOSE(CONTROL!$C$9, $D$9, 100%, $F$9) + CHOOSE(CONTROL!$C$27, 0.0021, 0)</f>
        <v>43.802500000000002</v>
      </c>
      <c r="E324" s="14">
        <f>43.6638 * CHOOSE(CONTROL!$C$9, $D$9, 100%, $F$9) + CHOOSE(CONTROL!$C$27, 0.0021, 0)</f>
        <v>43.665900000000001</v>
      </c>
      <c r="F324" s="14">
        <f>43.6638 * CHOOSE(CONTROL!$C$9, $D$9, 100%, $F$9) + CHOOSE(CONTROL!$C$27, 0.0021, 0)</f>
        <v>43.665900000000001</v>
      </c>
      <c r="G324" s="14">
        <f>43.9352 * CHOOSE(CONTROL!$C$9, $D$9, 100%, $F$9) + CHOOSE(CONTROL!$C$27, 0.0021, 0)</f>
        <v>43.9373</v>
      </c>
      <c r="H324" s="14">
        <f>43.8004 * CHOOSE(CONTROL!$C$9, $D$9, 100%, $F$9) + CHOOSE(CONTROL!$C$27, 0.0021, 0)</f>
        <v>43.802500000000002</v>
      </c>
      <c r="I324" s="14">
        <f>43.8004 * CHOOSE(CONTROL!$C$9, $D$9, 100%, $F$9) + CHOOSE(CONTROL!$C$27, 0.0021, 0)</f>
        <v>43.802500000000002</v>
      </c>
      <c r="J324" s="14">
        <f>43.8004 * CHOOSE(CONTROL!$C$9, $D$9, 100%, $F$9) + CHOOSE(CONTROL!$C$27, 0.0021, 0)</f>
        <v>43.802500000000002</v>
      </c>
      <c r="K324" s="14">
        <f>43.8004 * CHOOSE(CONTROL!$C$9, $D$9, 100%, $F$9) + CHOOSE(CONTROL!$C$27, 0.0021, 0)</f>
        <v>43.802500000000002</v>
      </c>
      <c r="L324" s="14"/>
    </row>
    <row r="325" spans="1:12" ht="15.75" x14ac:dyDescent="0.25">
      <c r="A325" s="33">
        <v>50829</v>
      </c>
      <c r="B325" s="14">
        <f>43.0464 * CHOOSE(CONTROL!$C$9, $D$9, 100%, $F$9) + CHOOSE(CONTROL!$C$27, 0.0021, 0)</f>
        <v>43.048499999999997</v>
      </c>
      <c r="C325" s="14">
        <f>42.6141 * CHOOSE(CONTROL!$C$9, $D$9, 100%, $F$9) + CHOOSE(CONTROL!$C$27, 0.0021, 0)</f>
        <v>42.616199999999999</v>
      </c>
      <c r="D325" s="14">
        <f>42.6141 * CHOOSE(CONTROL!$C$9, $D$9, 100%, $F$9) + CHOOSE(CONTROL!$C$27, 0.0021, 0)</f>
        <v>42.616199999999999</v>
      </c>
      <c r="E325" s="14">
        <f>42.4775 * CHOOSE(CONTROL!$C$9, $D$9, 100%, $F$9) + CHOOSE(CONTROL!$C$27, 0.0021, 0)</f>
        <v>42.479599999999998</v>
      </c>
      <c r="F325" s="14">
        <f>42.4775 * CHOOSE(CONTROL!$C$9, $D$9, 100%, $F$9) + CHOOSE(CONTROL!$C$27, 0.0021, 0)</f>
        <v>42.479599999999998</v>
      </c>
      <c r="G325" s="14">
        <f>42.7489 * CHOOSE(CONTROL!$C$9, $D$9, 100%, $F$9) + CHOOSE(CONTROL!$C$27, 0.0021, 0)</f>
        <v>42.750999999999998</v>
      </c>
      <c r="H325" s="14">
        <f>42.6141 * CHOOSE(CONTROL!$C$9, $D$9, 100%, $F$9) + CHOOSE(CONTROL!$C$27, 0.0021, 0)</f>
        <v>42.616199999999999</v>
      </c>
      <c r="I325" s="14">
        <f>42.6141 * CHOOSE(CONTROL!$C$9, $D$9, 100%, $F$9) + CHOOSE(CONTROL!$C$27, 0.0021, 0)</f>
        <v>42.616199999999999</v>
      </c>
      <c r="J325" s="14">
        <f>42.6141 * CHOOSE(CONTROL!$C$9, $D$9, 100%, $F$9) + CHOOSE(CONTROL!$C$27, 0.0021, 0)</f>
        <v>42.616199999999999</v>
      </c>
      <c r="K325" s="14">
        <f>42.6141 * CHOOSE(CONTROL!$C$9, $D$9, 100%, $F$9) + CHOOSE(CONTROL!$C$27, 0.0021, 0)</f>
        <v>42.616199999999999</v>
      </c>
      <c r="L325" s="14"/>
    </row>
    <row r="326" spans="1:12" ht="15.75" x14ac:dyDescent="0.25">
      <c r="A326" s="33">
        <v>50860</v>
      </c>
      <c r="B326" s="14">
        <f>42.5567 * CHOOSE(CONTROL!$C$9, $D$9, 100%, $F$9) + CHOOSE(CONTROL!$C$27, 0.0021, 0)</f>
        <v>42.558799999999998</v>
      </c>
      <c r="C326" s="14">
        <f>42.1244 * CHOOSE(CONTROL!$C$9, $D$9, 100%, $F$9) + CHOOSE(CONTROL!$C$27, 0.0021, 0)</f>
        <v>42.1265</v>
      </c>
      <c r="D326" s="14">
        <f>42.1244 * CHOOSE(CONTROL!$C$9, $D$9, 100%, $F$9) + CHOOSE(CONTROL!$C$27, 0.0021, 0)</f>
        <v>42.1265</v>
      </c>
      <c r="E326" s="14">
        <f>41.9878 * CHOOSE(CONTROL!$C$9, $D$9, 100%, $F$9) + CHOOSE(CONTROL!$C$27, 0.0021, 0)</f>
        <v>41.989899999999999</v>
      </c>
      <c r="F326" s="14">
        <f>41.9878 * CHOOSE(CONTROL!$C$9, $D$9, 100%, $F$9) + CHOOSE(CONTROL!$C$27, 0.0021, 0)</f>
        <v>41.989899999999999</v>
      </c>
      <c r="G326" s="14">
        <f>42.2592 * CHOOSE(CONTROL!$C$9, $D$9, 100%, $F$9) + CHOOSE(CONTROL!$C$27, 0.0021, 0)</f>
        <v>42.261299999999999</v>
      </c>
      <c r="H326" s="14">
        <f>42.1244 * CHOOSE(CONTROL!$C$9, $D$9, 100%, $F$9) + CHOOSE(CONTROL!$C$27, 0.0021, 0)</f>
        <v>42.1265</v>
      </c>
      <c r="I326" s="14">
        <f>42.1244 * CHOOSE(CONTROL!$C$9, $D$9, 100%, $F$9) + CHOOSE(CONTROL!$C$27, 0.0021, 0)</f>
        <v>42.1265</v>
      </c>
      <c r="J326" s="14">
        <f>42.1244 * CHOOSE(CONTROL!$C$9, $D$9, 100%, $F$9) + CHOOSE(CONTROL!$C$27, 0.0021, 0)</f>
        <v>42.1265</v>
      </c>
      <c r="K326" s="14">
        <f>42.1244 * CHOOSE(CONTROL!$C$9, $D$9, 100%, $F$9) + CHOOSE(CONTROL!$C$27, 0.0021, 0)</f>
        <v>42.1265</v>
      </c>
      <c r="L326" s="14"/>
    </row>
    <row r="327" spans="1:12" ht="15.75" x14ac:dyDescent="0.25">
      <c r="A327" s="33">
        <v>50890</v>
      </c>
      <c r="B327" s="14">
        <f>41.972 * CHOOSE(CONTROL!$C$9, $D$9, 100%, $F$9) + CHOOSE(CONTROL!$C$27, 0.0021, 0)</f>
        <v>41.9741</v>
      </c>
      <c r="C327" s="14">
        <f>41.5397 * CHOOSE(CONTROL!$C$9, $D$9, 100%, $F$9) + CHOOSE(CONTROL!$C$27, 0.0021, 0)</f>
        <v>41.541800000000002</v>
      </c>
      <c r="D327" s="14">
        <f>41.5397 * CHOOSE(CONTROL!$C$9, $D$9, 100%, $F$9) + CHOOSE(CONTROL!$C$27, 0.0021, 0)</f>
        <v>41.541800000000002</v>
      </c>
      <c r="E327" s="14">
        <f>41.4031 * CHOOSE(CONTROL!$C$9, $D$9, 100%, $F$9) + CHOOSE(CONTROL!$C$27, 0.0021, 0)</f>
        <v>41.405200000000001</v>
      </c>
      <c r="F327" s="14">
        <f>41.4031 * CHOOSE(CONTROL!$C$9, $D$9, 100%, $F$9) + CHOOSE(CONTROL!$C$27, 0.0021, 0)</f>
        <v>41.405200000000001</v>
      </c>
      <c r="G327" s="14">
        <f>41.6744 * CHOOSE(CONTROL!$C$9, $D$9, 100%, $F$9) + CHOOSE(CONTROL!$C$27, 0.0021, 0)</f>
        <v>41.676499999999997</v>
      </c>
      <c r="H327" s="14">
        <f>41.5397 * CHOOSE(CONTROL!$C$9, $D$9, 100%, $F$9) + CHOOSE(CONTROL!$C$27, 0.0021, 0)</f>
        <v>41.541800000000002</v>
      </c>
      <c r="I327" s="14">
        <f>41.5397 * CHOOSE(CONTROL!$C$9, $D$9, 100%, $F$9) + CHOOSE(CONTROL!$C$27, 0.0021, 0)</f>
        <v>41.541800000000002</v>
      </c>
      <c r="J327" s="14">
        <f>41.5397 * CHOOSE(CONTROL!$C$9, $D$9, 100%, $F$9) + CHOOSE(CONTROL!$C$27, 0.0021, 0)</f>
        <v>41.541800000000002</v>
      </c>
      <c r="K327" s="14">
        <f>41.5397 * CHOOSE(CONTROL!$C$9, $D$9, 100%, $F$9) + CHOOSE(CONTROL!$C$27, 0.0021, 0)</f>
        <v>41.541800000000002</v>
      </c>
      <c r="L327" s="14"/>
    </row>
    <row r="328" spans="1:12" ht="15.75" x14ac:dyDescent="0.25">
      <c r="A328" s="33">
        <v>50921</v>
      </c>
      <c r="B328" s="14">
        <f>42.8053 * CHOOSE(CONTROL!$C$9, $D$9, 100%, $F$9) + CHOOSE(CONTROL!$C$27, 0.0021, 0)</f>
        <v>42.807400000000001</v>
      </c>
      <c r="C328" s="14">
        <f>42.373 * CHOOSE(CONTROL!$C$9, $D$9, 100%, $F$9) + CHOOSE(CONTROL!$C$27, 0.0021, 0)</f>
        <v>42.375099999999996</v>
      </c>
      <c r="D328" s="14">
        <f>42.373 * CHOOSE(CONTROL!$C$9, $D$9, 100%, $F$9) + CHOOSE(CONTROL!$C$27, 0.0021, 0)</f>
        <v>42.375099999999996</v>
      </c>
      <c r="E328" s="14">
        <f>42.2364 * CHOOSE(CONTROL!$C$9, $D$9, 100%, $F$9) + CHOOSE(CONTROL!$C$27, 0.0021, 0)</f>
        <v>42.238500000000002</v>
      </c>
      <c r="F328" s="14">
        <f>42.2364 * CHOOSE(CONTROL!$C$9, $D$9, 100%, $F$9) + CHOOSE(CONTROL!$C$27, 0.0021, 0)</f>
        <v>42.238500000000002</v>
      </c>
      <c r="G328" s="14">
        <f>42.5077 * CHOOSE(CONTROL!$C$9, $D$9, 100%, $F$9) + CHOOSE(CONTROL!$C$27, 0.0021, 0)</f>
        <v>42.509799999999998</v>
      </c>
      <c r="H328" s="14">
        <f>42.373 * CHOOSE(CONTROL!$C$9, $D$9, 100%, $F$9) + CHOOSE(CONTROL!$C$27, 0.0021, 0)</f>
        <v>42.375099999999996</v>
      </c>
      <c r="I328" s="14">
        <f>42.373 * CHOOSE(CONTROL!$C$9, $D$9, 100%, $F$9) + CHOOSE(CONTROL!$C$27, 0.0021, 0)</f>
        <v>42.375099999999996</v>
      </c>
      <c r="J328" s="14">
        <f>42.373 * CHOOSE(CONTROL!$C$9, $D$9, 100%, $F$9) + CHOOSE(CONTROL!$C$27, 0.0021, 0)</f>
        <v>42.375099999999996</v>
      </c>
      <c r="K328" s="14">
        <f>42.373 * CHOOSE(CONTROL!$C$9, $D$9, 100%, $F$9) + CHOOSE(CONTROL!$C$27, 0.0021, 0)</f>
        <v>42.375099999999996</v>
      </c>
      <c r="L328" s="14"/>
    </row>
    <row r="329" spans="1:12" ht="15.75" x14ac:dyDescent="0.25">
      <c r="A329" s="33">
        <v>50951</v>
      </c>
      <c r="B329" s="14">
        <f>43.3044 * CHOOSE(CONTROL!$C$9, $D$9, 100%, $F$9) + CHOOSE(CONTROL!$C$27, 0.0021, 0)</f>
        <v>43.3065</v>
      </c>
      <c r="C329" s="14">
        <f>42.8721 * CHOOSE(CONTROL!$C$9, $D$9, 100%, $F$9) + CHOOSE(CONTROL!$C$27, 0.0021, 0)</f>
        <v>42.874200000000002</v>
      </c>
      <c r="D329" s="14">
        <f>42.8721 * CHOOSE(CONTROL!$C$9, $D$9, 100%, $F$9) + CHOOSE(CONTROL!$C$27, 0.0021, 0)</f>
        <v>42.874200000000002</v>
      </c>
      <c r="E329" s="14">
        <f>42.7355 * CHOOSE(CONTROL!$C$9, $D$9, 100%, $F$9) + CHOOSE(CONTROL!$C$27, 0.0021, 0)</f>
        <v>42.7376</v>
      </c>
      <c r="F329" s="14">
        <f>42.7355 * CHOOSE(CONTROL!$C$9, $D$9, 100%, $F$9) + CHOOSE(CONTROL!$C$27, 0.0021, 0)</f>
        <v>42.7376</v>
      </c>
      <c r="G329" s="14">
        <f>43.0068 * CHOOSE(CONTROL!$C$9, $D$9, 100%, $F$9) + CHOOSE(CONTROL!$C$27, 0.0021, 0)</f>
        <v>43.008899999999997</v>
      </c>
      <c r="H329" s="14">
        <f>42.8721 * CHOOSE(CONTROL!$C$9, $D$9, 100%, $F$9) + CHOOSE(CONTROL!$C$27, 0.0021, 0)</f>
        <v>42.874200000000002</v>
      </c>
      <c r="I329" s="14">
        <f>42.8721 * CHOOSE(CONTROL!$C$9, $D$9, 100%, $F$9) + CHOOSE(CONTROL!$C$27, 0.0021, 0)</f>
        <v>42.874200000000002</v>
      </c>
      <c r="J329" s="14">
        <f>42.8721 * CHOOSE(CONTROL!$C$9, $D$9, 100%, $F$9) + CHOOSE(CONTROL!$C$27, 0.0021, 0)</f>
        <v>42.874200000000002</v>
      </c>
      <c r="K329" s="14">
        <f>42.8721 * CHOOSE(CONTROL!$C$9, $D$9, 100%, $F$9) + CHOOSE(CONTROL!$C$27, 0.0021, 0)</f>
        <v>42.874200000000002</v>
      </c>
      <c r="L329" s="14"/>
    </row>
    <row r="330" spans="1:12" ht="15.75" x14ac:dyDescent="0.25">
      <c r="A330" s="33">
        <v>50982</v>
      </c>
      <c r="B330" s="14">
        <f>44.1277 * CHOOSE(CONTROL!$C$9, $D$9, 100%, $F$9) + CHOOSE(CONTROL!$C$27, 0.0021, 0)</f>
        <v>44.129799999999996</v>
      </c>
      <c r="C330" s="14">
        <f>43.6955 * CHOOSE(CONTROL!$C$9, $D$9, 100%, $F$9) + CHOOSE(CONTROL!$C$27, 0.0021, 0)</f>
        <v>43.697600000000001</v>
      </c>
      <c r="D330" s="14">
        <f>43.6955 * CHOOSE(CONTROL!$C$9, $D$9, 100%, $F$9) + CHOOSE(CONTROL!$C$27, 0.0021, 0)</f>
        <v>43.697600000000001</v>
      </c>
      <c r="E330" s="14">
        <f>43.5588 * CHOOSE(CONTROL!$C$9, $D$9, 100%, $F$9) + CHOOSE(CONTROL!$C$27, 0.0021, 0)</f>
        <v>43.560899999999997</v>
      </c>
      <c r="F330" s="14">
        <f>43.5588 * CHOOSE(CONTROL!$C$9, $D$9, 100%, $F$9) + CHOOSE(CONTROL!$C$27, 0.0021, 0)</f>
        <v>43.560899999999997</v>
      </c>
      <c r="G330" s="14">
        <f>43.8302 * CHOOSE(CONTROL!$C$9, $D$9, 100%, $F$9) + CHOOSE(CONTROL!$C$27, 0.0021, 0)</f>
        <v>43.832299999999996</v>
      </c>
      <c r="H330" s="14">
        <f>43.6955 * CHOOSE(CONTROL!$C$9, $D$9, 100%, $F$9) + CHOOSE(CONTROL!$C$27, 0.0021, 0)</f>
        <v>43.697600000000001</v>
      </c>
      <c r="I330" s="14">
        <f>43.6955 * CHOOSE(CONTROL!$C$9, $D$9, 100%, $F$9) + CHOOSE(CONTROL!$C$27, 0.0021, 0)</f>
        <v>43.697600000000001</v>
      </c>
      <c r="J330" s="14">
        <f>43.6955 * CHOOSE(CONTROL!$C$9, $D$9, 100%, $F$9) + CHOOSE(CONTROL!$C$27, 0.0021, 0)</f>
        <v>43.697600000000001</v>
      </c>
      <c r="K330" s="14">
        <f>43.6955 * CHOOSE(CONTROL!$C$9, $D$9, 100%, $F$9) + CHOOSE(CONTROL!$C$27, 0.0021, 0)</f>
        <v>43.697600000000001</v>
      </c>
      <c r="L330" s="14"/>
    </row>
    <row r="331" spans="1:12" ht="15.75" x14ac:dyDescent="0.25">
      <c r="A331" s="33">
        <v>51013</v>
      </c>
      <c r="B331" s="14">
        <f>44.379 * CHOOSE(CONTROL!$C$9, $D$9, 100%, $F$9) + CHOOSE(CONTROL!$C$27, 0.0021, 0)</f>
        <v>44.381099999999996</v>
      </c>
      <c r="C331" s="14">
        <f>43.9468 * CHOOSE(CONTROL!$C$9, $D$9, 100%, $F$9) + CHOOSE(CONTROL!$C$27, 0.0021, 0)</f>
        <v>43.948900000000002</v>
      </c>
      <c r="D331" s="14">
        <f>43.9468 * CHOOSE(CONTROL!$C$9, $D$9, 100%, $F$9) + CHOOSE(CONTROL!$C$27, 0.0021, 0)</f>
        <v>43.948900000000002</v>
      </c>
      <c r="E331" s="14">
        <f>43.8101 * CHOOSE(CONTROL!$C$9, $D$9, 100%, $F$9) + CHOOSE(CONTROL!$C$27, 0.0021, 0)</f>
        <v>43.812199999999997</v>
      </c>
      <c r="F331" s="14">
        <f>43.8101 * CHOOSE(CONTROL!$C$9, $D$9, 100%, $F$9) + CHOOSE(CONTROL!$C$27, 0.0021, 0)</f>
        <v>43.812199999999997</v>
      </c>
      <c r="G331" s="14">
        <f>44.0815 * CHOOSE(CONTROL!$C$9, $D$9, 100%, $F$9) + CHOOSE(CONTROL!$C$27, 0.0021, 0)</f>
        <v>44.083599999999997</v>
      </c>
      <c r="H331" s="14">
        <f>43.9468 * CHOOSE(CONTROL!$C$9, $D$9, 100%, $F$9) + CHOOSE(CONTROL!$C$27, 0.0021, 0)</f>
        <v>43.948900000000002</v>
      </c>
      <c r="I331" s="14">
        <f>43.9468 * CHOOSE(CONTROL!$C$9, $D$9, 100%, $F$9) + CHOOSE(CONTROL!$C$27, 0.0021, 0)</f>
        <v>43.948900000000002</v>
      </c>
      <c r="J331" s="14">
        <f>43.9468 * CHOOSE(CONTROL!$C$9, $D$9, 100%, $F$9) + CHOOSE(CONTROL!$C$27, 0.0021, 0)</f>
        <v>43.948900000000002</v>
      </c>
      <c r="K331" s="14">
        <f>43.9468 * CHOOSE(CONTROL!$C$9, $D$9, 100%, $F$9) + CHOOSE(CONTROL!$C$27, 0.0021, 0)</f>
        <v>43.948900000000002</v>
      </c>
      <c r="L331" s="14"/>
    </row>
    <row r="332" spans="1:12" ht="15.75" x14ac:dyDescent="0.25">
      <c r="A332" s="33">
        <v>51043</v>
      </c>
      <c r="B332" s="14">
        <f>45.2348 * CHOOSE(CONTROL!$C$9, $D$9, 100%, $F$9) + CHOOSE(CONTROL!$C$27, 0.0021, 0)</f>
        <v>45.236899999999999</v>
      </c>
      <c r="C332" s="14">
        <f>44.8026 * CHOOSE(CONTROL!$C$9, $D$9, 100%, $F$9) + CHOOSE(CONTROL!$C$27, 0.0021, 0)</f>
        <v>44.804699999999997</v>
      </c>
      <c r="D332" s="14">
        <f>44.8026 * CHOOSE(CONTROL!$C$9, $D$9, 100%, $F$9) + CHOOSE(CONTROL!$C$27, 0.0021, 0)</f>
        <v>44.804699999999997</v>
      </c>
      <c r="E332" s="14">
        <f>44.6659 * CHOOSE(CONTROL!$C$9, $D$9, 100%, $F$9) + CHOOSE(CONTROL!$C$27, 0.0021, 0)</f>
        <v>44.667999999999999</v>
      </c>
      <c r="F332" s="14">
        <f>44.6659 * CHOOSE(CONTROL!$C$9, $D$9, 100%, $F$9) + CHOOSE(CONTROL!$C$27, 0.0021, 0)</f>
        <v>44.667999999999999</v>
      </c>
      <c r="G332" s="14">
        <f>44.9373 * CHOOSE(CONTROL!$C$9, $D$9, 100%, $F$9) + CHOOSE(CONTROL!$C$27, 0.0021, 0)</f>
        <v>44.939399999999999</v>
      </c>
      <c r="H332" s="14">
        <f>44.8026 * CHOOSE(CONTROL!$C$9, $D$9, 100%, $F$9) + CHOOSE(CONTROL!$C$27, 0.0021, 0)</f>
        <v>44.804699999999997</v>
      </c>
      <c r="I332" s="14">
        <f>44.8026 * CHOOSE(CONTROL!$C$9, $D$9, 100%, $F$9) + CHOOSE(CONTROL!$C$27, 0.0021, 0)</f>
        <v>44.804699999999997</v>
      </c>
      <c r="J332" s="14">
        <f>44.8026 * CHOOSE(CONTROL!$C$9, $D$9, 100%, $F$9) + CHOOSE(CONTROL!$C$27, 0.0021, 0)</f>
        <v>44.804699999999997</v>
      </c>
      <c r="K332" s="14">
        <f>44.8026 * CHOOSE(CONTROL!$C$9, $D$9, 100%, $F$9) + CHOOSE(CONTROL!$C$27, 0.0021, 0)</f>
        <v>44.804699999999997</v>
      </c>
      <c r="L332" s="14"/>
    </row>
    <row r="333" spans="1:12" ht="15.75" x14ac:dyDescent="0.25">
      <c r="A333" s="33">
        <v>51074</v>
      </c>
      <c r="B333" s="14">
        <f>46.3182 * CHOOSE(CONTROL!$C$9, $D$9, 100%, $F$9) + CHOOSE(CONTROL!$C$27, 0.0021, 0)</f>
        <v>46.320299999999996</v>
      </c>
      <c r="C333" s="14">
        <f>45.8859 * CHOOSE(CONTROL!$C$9, $D$9, 100%, $F$9) + CHOOSE(CONTROL!$C$27, 0.0021, 0)</f>
        <v>45.887999999999998</v>
      </c>
      <c r="D333" s="14">
        <f>45.8859 * CHOOSE(CONTROL!$C$9, $D$9, 100%, $F$9) + CHOOSE(CONTROL!$C$27, 0.0021, 0)</f>
        <v>45.887999999999998</v>
      </c>
      <c r="E333" s="14">
        <f>45.7493 * CHOOSE(CONTROL!$C$9, $D$9, 100%, $F$9) + CHOOSE(CONTROL!$C$27, 0.0021, 0)</f>
        <v>45.751399999999997</v>
      </c>
      <c r="F333" s="14">
        <f>45.7493 * CHOOSE(CONTROL!$C$9, $D$9, 100%, $F$9) + CHOOSE(CONTROL!$C$27, 0.0021, 0)</f>
        <v>45.751399999999997</v>
      </c>
      <c r="G333" s="14">
        <f>46.0207 * CHOOSE(CONTROL!$C$9, $D$9, 100%, $F$9) + CHOOSE(CONTROL!$C$27, 0.0021, 0)</f>
        <v>46.022799999999997</v>
      </c>
      <c r="H333" s="14">
        <f>45.8859 * CHOOSE(CONTROL!$C$9, $D$9, 100%, $F$9) + CHOOSE(CONTROL!$C$27, 0.0021, 0)</f>
        <v>45.887999999999998</v>
      </c>
      <c r="I333" s="14">
        <f>45.8859 * CHOOSE(CONTROL!$C$9, $D$9, 100%, $F$9) + CHOOSE(CONTROL!$C$27, 0.0021, 0)</f>
        <v>45.887999999999998</v>
      </c>
      <c r="J333" s="14">
        <f>45.8859 * CHOOSE(CONTROL!$C$9, $D$9, 100%, $F$9) + CHOOSE(CONTROL!$C$27, 0.0021, 0)</f>
        <v>45.887999999999998</v>
      </c>
      <c r="K333" s="14">
        <f>45.8859 * CHOOSE(CONTROL!$C$9, $D$9, 100%, $F$9) + CHOOSE(CONTROL!$C$27, 0.0021, 0)</f>
        <v>45.887999999999998</v>
      </c>
      <c r="L333" s="14"/>
    </row>
    <row r="334" spans="1:12" ht="15.75" x14ac:dyDescent="0.25">
      <c r="A334" s="33">
        <v>51104</v>
      </c>
      <c r="B334" s="14">
        <f>46.4199 * CHOOSE(CONTROL!$C$9, $D$9, 100%, $F$9) + CHOOSE(CONTROL!$C$27, 0.0021, 0)</f>
        <v>46.421999999999997</v>
      </c>
      <c r="C334" s="14">
        <f>45.9876 * CHOOSE(CONTROL!$C$9, $D$9, 100%, $F$9) + CHOOSE(CONTROL!$C$27, 0.0021, 0)</f>
        <v>45.989699999999999</v>
      </c>
      <c r="D334" s="14">
        <f>45.9876 * CHOOSE(CONTROL!$C$9, $D$9, 100%, $F$9) + CHOOSE(CONTROL!$C$27, 0.0021, 0)</f>
        <v>45.989699999999999</v>
      </c>
      <c r="E334" s="14">
        <f>45.851 * CHOOSE(CONTROL!$C$9, $D$9, 100%, $F$9) + CHOOSE(CONTROL!$C$27, 0.0021, 0)</f>
        <v>45.853099999999998</v>
      </c>
      <c r="F334" s="14">
        <f>45.851 * CHOOSE(CONTROL!$C$9, $D$9, 100%, $F$9) + CHOOSE(CONTROL!$C$27, 0.0021, 0)</f>
        <v>45.853099999999998</v>
      </c>
      <c r="G334" s="14">
        <f>46.1224 * CHOOSE(CONTROL!$C$9, $D$9, 100%, $F$9) + CHOOSE(CONTROL!$C$27, 0.0021, 0)</f>
        <v>46.124499999999998</v>
      </c>
      <c r="H334" s="14">
        <f>45.9876 * CHOOSE(CONTROL!$C$9, $D$9, 100%, $F$9) + CHOOSE(CONTROL!$C$27, 0.0021, 0)</f>
        <v>45.989699999999999</v>
      </c>
      <c r="I334" s="14">
        <f>45.9876 * CHOOSE(CONTROL!$C$9, $D$9, 100%, $F$9) + CHOOSE(CONTROL!$C$27, 0.0021, 0)</f>
        <v>45.989699999999999</v>
      </c>
      <c r="J334" s="14">
        <f>45.9876 * CHOOSE(CONTROL!$C$9, $D$9, 100%, $F$9) + CHOOSE(CONTROL!$C$27, 0.0021, 0)</f>
        <v>45.989699999999999</v>
      </c>
      <c r="K334" s="14">
        <f>45.9876 * CHOOSE(CONTROL!$C$9, $D$9, 100%, $F$9) + CHOOSE(CONTROL!$C$27, 0.0021, 0)</f>
        <v>45.989699999999999</v>
      </c>
      <c r="L334" s="14"/>
    </row>
    <row r="335" spans="1:12" ht="15.75" x14ac:dyDescent="0.25">
      <c r="A335" s="33">
        <v>51135</v>
      </c>
      <c r="B335" s="14">
        <f>45.5546 * CHOOSE(CONTROL!$C$9, $D$9, 100%, $F$9) + CHOOSE(CONTROL!$C$27, 0.0021, 0)</f>
        <v>45.556699999999999</v>
      </c>
      <c r="C335" s="14">
        <f>45.1224 * CHOOSE(CONTROL!$C$9, $D$9, 100%, $F$9) + CHOOSE(CONTROL!$C$27, 0.0021, 0)</f>
        <v>45.124499999999998</v>
      </c>
      <c r="D335" s="14">
        <f>45.1224 * CHOOSE(CONTROL!$C$9, $D$9, 100%, $F$9) + CHOOSE(CONTROL!$C$27, 0.0021, 0)</f>
        <v>45.124499999999998</v>
      </c>
      <c r="E335" s="14">
        <f>44.9857 * CHOOSE(CONTROL!$C$9, $D$9, 100%, $F$9) + CHOOSE(CONTROL!$C$27, 0.0021, 0)</f>
        <v>44.9878</v>
      </c>
      <c r="F335" s="14">
        <f>44.9857 * CHOOSE(CONTROL!$C$9, $D$9, 100%, $F$9) + CHOOSE(CONTROL!$C$27, 0.0021, 0)</f>
        <v>44.9878</v>
      </c>
      <c r="G335" s="14">
        <f>45.2571 * CHOOSE(CONTROL!$C$9, $D$9, 100%, $F$9) + CHOOSE(CONTROL!$C$27, 0.0021, 0)</f>
        <v>45.2592</v>
      </c>
      <c r="H335" s="14">
        <f>45.1224 * CHOOSE(CONTROL!$C$9, $D$9, 100%, $F$9) + CHOOSE(CONTROL!$C$27, 0.0021, 0)</f>
        <v>45.124499999999998</v>
      </c>
      <c r="I335" s="14">
        <f>45.1224 * CHOOSE(CONTROL!$C$9, $D$9, 100%, $F$9) + CHOOSE(CONTROL!$C$27, 0.0021, 0)</f>
        <v>45.124499999999998</v>
      </c>
      <c r="J335" s="14">
        <f>45.1224 * CHOOSE(CONTROL!$C$9, $D$9, 100%, $F$9) + CHOOSE(CONTROL!$C$27, 0.0021, 0)</f>
        <v>45.124499999999998</v>
      </c>
      <c r="K335" s="14">
        <f>45.1224 * CHOOSE(CONTROL!$C$9, $D$9, 100%, $F$9) + CHOOSE(CONTROL!$C$27, 0.0021, 0)</f>
        <v>45.124499999999998</v>
      </c>
      <c r="L335" s="14"/>
    </row>
    <row r="336" spans="1:12" ht="15.75" x14ac:dyDescent="0.25">
      <c r="A336" s="33">
        <v>51166</v>
      </c>
      <c r="B336" s="14">
        <f>45.0078 * CHOOSE(CONTROL!$C$9, $D$9, 100%, $F$9) + CHOOSE(CONTROL!$C$27, 0.0021, 0)</f>
        <v>45.009900000000002</v>
      </c>
      <c r="C336" s="14">
        <f>44.5755 * CHOOSE(CONTROL!$C$9, $D$9, 100%, $F$9) + CHOOSE(CONTROL!$C$27, 0.0021, 0)</f>
        <v>44.577599999999997</v>
      </c>
      <c r="D336" s="14">
        <f>44.5755 * CHOOSE(CONTROL!$C$9, $D$9, 100%, $F$9) + CHOOSE(CONTROL!$C$27, 0.0021, 0)</f>
        <v>44.577599999999997</v>
      </c>
      <c r="E336" s="14">
        <f>44.4389 * CHOOSE(CONTROL!$C$9, $D$9, 100%, $F$9) + CHOOSE(CONTROL!$C$27, 0.0021, 0)</f>
        <v>44.440999999999995</v>
      </c>
      <c r="F336" s="14">
        <f>44.4389 * CHOOSE(CONTROL!$C$9, $D$9, 100%, $F$9) + CHOOSE(CONTROL!$C$27, 0.0021, 0)</f>
        <v>44.440999999999995</v>
      </c>
      <c r="G336" s="14">
        <f>44.7102 * CHOOSE(CONTROL!$C$9, $D$9, 100%, $F$9) + CHOOSE(CONTROL!$C$27, 0.0021, 0)</f>
        <v>44.712299999999999</v>
      </c>
      <c r="H336" s="14">
        <f>44.5755 * CHOOSE(CONTROL!$C$9, $D$9, 100%, $F$9) + CHOOSE(CONTROL!$C$27, 0.0021, 0)</f>
        <v>44.577599999999997</v>
      </c>
      <c r="I336" s="14">
        <f>44.5755 * CHOOSE(CONTROL!$C$9, $D$9, 100%, $F$9) + CHOOSE(CONTROL!$C$27, 0.0021, 0)</f>
        <v>44.577599999999997</v>
      </c>
      <c r="J336" s="14">
        <f>44.5755 * CHOOSE(CONTROL!$C$9, $D$9, 100%, $F$9) + CHOOSE(CONTROL!$C$27, 0.0021, 0)</f>
        <v>44.577599999999997</v>
      </c>
      <c r="K336" s="14">
        <f>44.5755 * CHOOSE(CONTROL!$C$9, $D$9, 100%, $F$9) + CHOOSE(CONTROL!$C$27, 0.0021, 0)</f>
        <v>44.577599999999997</v>
      </c>
      <c r="L336" s="14"/>
    </row>
    <row r="337" spans="1:12" ht="15.75" x14ac:dyDescent="0.25">
      <c r="A337" s="33">
        <v>51194</v>
      </c>
      <c r="B337" s="14">
        <f>43.7995 * CHOOSE(CONTROL!$C$9, $D$9, 100%, $F$9) + CHOOSE(CONTROL!$C$27, 0.0021, 0)</f>
        <v>43.801600000000001</v>
      </c>
      <c r="C337" s="14">
        <f>43.3673 * CHOOSE(CONTROL!$C$9, $D$9, 100%, $F$9) + CHOOSE(CONTROL!$C$27, 0.0021, 0)</f>
        <v>43.369399999999999</v>
      </c>
      <c r="D337" s="14">
        <f>43.3673 * CHOOSE(CONTROL!$C$9, $D$9, 100%, $F$9) + CHOOSE(CONTROL!$C$27, 0.0021, 0)</f>
        <v>43.369399999999999</v>
      </c>
      <c r="E337" s="14">
        <f>43.2306 * CHOOSE(CONTROL!$C$9, $D$9, 100%, $F$9) + CHOOSE(CONTROL!$C$27, 0.0021, 0)</f>
        <v>43.232700000000001</v>
      </c>
      <c r="F337" s="14">
        <f>43.2306 * CHOOSE(CONTROL!$C$9, $D$9, 100%, $F$9) + CHOOSE(CONTROL!$C$27, 0.0021, 0)</f>
        <v>43.232700000000001</v>
      </c>
      <c r="G337" s="14">
        <f>43.502 * CHOOSE(CONTROL!$C$9, $D$9, 100%, $F$9) + CHOOSE(CONTROL!$C$27, 0.0021, 0)</f>
        <v>43.504100000000001</v>
      </c>
      <c r="H337" s="14">
        <f>43.3673 * CHOOSE(CONTROL!$C$9, $D$9, 100%, $F$9) + CHOOSE(CONTROL!$C$27, 0.0021, 0)</f>
        <v>43.369399999999999</v>
      </c>
      <c r="I337" s="14">
        <f>43.3673 * CHOOSE(CONTROL!$C$9, $D$9, 100%, $F$9) + CHOOSE(CONTROL!$C$27, 0.0021, 0)</f>
        <v>43.369399999999999</v>
      </c>
      <c r="J337" s="14">
        <f>43.3673 * CHOOSE(CONTROL!$C$9, $D$9, 100%, $F$9) + CHOOSE(CONTROL!$C$27, 0.0021, 0)</f>
        <v>43.369399999999999</v>
      </c>
      <c r="K337" s="14">
        <f>43.3673 * CHOOSE(CONTROL!$C$9, $D$9, 100%, $F$9) + CHOOSE(CONTROL!$C$27, 0.0021, 0)</f>
        <v>43.369399999999999</v>
      </c>
      <c r="L337" s="14"/>
    </row>
    <row r="338" spans="1:12" ht="15.75" x14ac:dyDescent="0.25">
      <c r="A338" s="33">
        <v>51226</v>
      </c>
      <c r="B338" s="14">
        <f>43.3008 * CHOOSE(CONTROL!$C$9, $D$9, 100%, $F$9) + CHOOSE(CONTROL!$C$27, 0.0021, 0)</f>
        <v>43.302900000000001</v>
      </c>
      <c r="C338" s="14">
        <f>42.8686 * CHOOSE(CONTROL!$C$9, $D$9, 100%, $F$9) + CHOOSE(CONTROL!$C$27, 0.0021, 0)</f>
        <v>42.870699999999999</v>
      </c>
      <c r="D338" s="14">
        <f>42.8686 * CHOOSE(CONTROL!$C$9, $D$9, 100%, $F$9) + CHOOSE(CONTROL!$C$27, 0.0021, 0)</f>
        <v>42.870699999999999</v>
      </c>
      <c r="E338" s="14">
        <f>42.7319 * CHOOSE(CONTROL!$C$9, $D$9, 100%, $F$9) + CHOOSE(CONTROL!$C$27, 0.0021, 0)</f>
        <v>42.734000000000002</v>
      </c>
      <c r="F338" s="14">
        <f>42.7319 * CHOOSE(CONTROL!$C$9, $D$9, 100%, $F$9) + CHOOSE(CONTROL!$C$27, 0.0021, 0)</f>
        <v>42.734000000000002</v>
      </c>
      <c r="G338" s="14">
        <f>43.0033 * CHOOSE(CONTROL!$C$9, $D$9, 100%, $F$9) + CHOOSE(CONTROL!$C$27, 0.0021, 0)</f>
        <v>43.005400000000002</v>
      </c>
      <c r="H338" s="14">
        <f>42.8686 * CHOOSE(CONTROL!$C$9, $D$9, 100%, $F$9) + CHOOSE(CONTROL!$C$27, 0.0021, 0)</f>
        <v>42.870699999999999</v>
      </c>
      <c r="I338" s="14">
        <f>42.8686 * CHOOSE(CONTROL!$C$9, $D$9, 100%, $F$9) + CHOOSE(CONTROL!$C$27, 0.0021, 0)</f>
        <v>42.870699999999999</v>
      </c>
      <c r="J338" s="14">
        <f>42.8686 * CHOOSE(CONTROL!$C$9, $D$9, 100%, $F$9) + CHOOSE(CONTROL!$C$27, 0.0021, 0)</f>
        <v>42.870699999999999</v>
      </c>
      <c r="K338" s="14">
        <f>42.8686 * CHOOSE(CONTROL!$C$9, $D$9, 100%, $F$9) + CHOOSE(CONTROL!$C$27, 0.0021, 0)</f>
        <v>42.870699999999999</v>
      </c>
      <c r="L338" s="14"/>
    </row>
    <row r="339" spans="1:12" ht="15.75" x14ac:dyDescent="0.25">
      <c r="A339" s="33">
        <v>51256</v>
      </c>
      <c r="B339" s="14">
        <f>42.7053 * CHOOSE(CONTROL!$C$9, $D$9, 100%, $F$9) + CHOOSE(CONTROL!$C$27, 0.0021, 0)</f>
        <v>42.7074</v>
      </c>
      <c r="C339" s="14">
        <f>42.273 * CHOOSE(CONTROL!$C$9, $D$9, 100%, $F$9) + CHOOSE(CONTROL!$C$27, 0.0021, 0)</f>
        <v>42.275100000000002</v>
      </c>
      <c r="D339" s="14">
        <f>42.273 * CHOOSE(CONTROL!$C$9, $D$9, 100%, $F$9) + CHOOSE(CONTROL!$C$27, 0.0021, 0)</f>
        <v>42.275100000000002</v>
      </c>
      <c r="E339" s="14">
        <f>42.1364 * CHOOSE(CONTROL!$C$9, $D$9, 100%, $F$9) + CHOOSE(CONTROL!$C$27, 0.0021, 0)</f>
        <v>42.138500000000001</v>
      </c>
      <c r="F339" s="14">
        <f>42.1364 * CHOOSE(CONTROL!$C$9, $D$9, 100%, $F$9) + CHOOSE(CONTROL!$C$27, 0.0021, 0)</f>
        <v>42.138500000000001</v>
      </c>
      <c r="G339" s="14">
        <f>42.4077 * CHOOSE(CONTROL!$C$9, $D$9, 100%, $F$9) + CHOOSE(CONTROL!$C$27, 0.0021, 0)</f>
        <v>42.409799999999997</v>
      </c>
      <c r="H339" s="14">
        <f>42.273 * CHOOSE(CONTROL!$C$9, $D$9, 100%, $F$9) + CHOOSE(CONTROL!$C$27, 0.0021, 0)</f>
        <v>42.275100000000002</v>
      </c>
      <c r="I339" s="14">
        <f>42.273 * CHOOSE(CONTROL!$C$9, $D$9, 100%, $F$9) + CHOOSE(CONTROL!$C$27, 0.0021, 0)</f>
        <v>42.275100000000002</v>
      </c>
      <c r="J339" s="14">
        <f>42.273 * CHOOSE(CONTROL!$C$9, $D$9, 100%, $F$9) + CHOOSE(CONTROL!$C$27, 0.0021, 0)</f>
        <v>42.275100000000002</v>
      </c>
      <c r="K339" s="14">
        <f>42.273 * CHOOSE(CONTROL!$C$9, $D$9, 100%, $F$9) + CHOOSE(CONTROL!$C$27, 0.0021, 0)</f>
        <v>42.275100000000002</v>
      </c>
      <c r="L339" s="14"/>
    </row>
    <row r="340" spans="1:12" ht="15.75" x14ac:dyDescent="0.25">
      <c r="A340" s="33">
        <v>51287</v>
      </c>
      <c r="B340" s="14">
        <f>43.554 * CHOOSE(CONTROL!$C$9, $D$9, 100%, $F$9) + CHOOSE(CONTROL!$C$27, 0.0021, 0)</f>
        <v>43.556100000000001</v>
      </c>
      <c r="C340" s="14">
        <f>43.1217 * CHOOSE(CONTROL!$C$9, $D$9, 100%, $F$9) + CHOOSE(CONTROL!$C$27, 0.0021, 0)</f>
        <v>43.123799999999996</v>
      </c>
      <c r="D340" s="14">
        <f>43.1217 * CHOOSE(CONTROL!$C$9, $D$9, 100%, $F$9) + CHOOSE(CONTROL!$C$27, 0.0021, 0)</f>
        <v>43.123799999999996</v>
      </c>
      <c r="E340" s="14">
        <f>42.9851 * CHOOSE(CONTROL!$C$9, $D$9, 100%, $F$9) + CHOOSE(CONTROL!$C$27, 0.0021, 0)</f>
        <v>42.987200000000001</v>
      </c>
      <c r="F340" s="14">
        <f>42.9851 * CHOOSE(CONTROL!$C$9, $D$9, 100%, $F$9) + CHOOSE(CONTROL!$C$27, 0.0021, 0)</f>
        <v>42.987200000000001</v>
      </c>
      <c r="G340" s="14">
        <f>43.2564 * CHOOSE(CONTROL!$C$9, $D$9, 100%, $F$9) + CHOOSE(CONTROL!$C$27, 0.0021, 0)</f>
        <v>43.258499999999998</v>
      </c>
      <c r="H340" s="14">
        <f>43.1217 * CHOOSE(CONTROL!$C$9, $D$9, 100%, $F$9) + CHOOSE(CONTROL!$C$27, 0.0021, 0)</f>
        <v>43.123799999999996</v>
      </c>
      <c r="I340" s="14">
        <f>43.1217 * CHOOSE(CONTROL!$C$9, $D$9, 100%, $F$9) + CHOOSE(CONTROL!$C$27, 0.0021, 0)</f>
        <v>43.123799999999996</v>
      </c>
      <c r="J340" s="14">
        <f>43.1217 * CHOOSE(CONTROL!$C$9, $D$9, 100%, $F$9) + CHOOSE(CONTROL!$C$27, 0.0021, 0)</f>
        <v>43.123799999999996</v>
      </c>
      <c r="K340" s="14">
        <f>43.1217 * CHOOSE(CONTROL!$C$9, $D$9, 100%, $F$9) + CHOOSE(CONTROL!$C$27, 0.0021, 0)</f>
        <v>43.123799999999996</v>
      </c>
      <c r="L340" s="14"/>
    </row>
    <row r="341" spans="1:12" ht="15.75" x14ac:dyDescent="0.25">
      <c r="A341" s="33">
        <v>51317</v>
      </c>
      <c r="B341" s="14">
        <f>44.0623 * CHOOSE(CONTROL!$C$9, $D$9, 100%, $F$9) + CHOOSE(CONTROL!$C$27, 0.0021, 0)</f>
        <v>44.064399999999999</v>
      </c>
      <c r="C341" s="14">
        <f>43.6301 * CHOOSE(CONTROL!$C$9, $D$9, 100%, $F$9) + CHOOSE(CONTROL!$C$27, 0.0021, 0)</f>
        <v>43.632199999999997</v>
      </c>
      <c r="D341" s="14">
        <f>43.6301 * CHOOSE(CONTROL!$C$9, $D$9, 100%, $F$9) + CHOOSE(CONTROL!$C$27, 0.0021, 0)</f>
        <v>43.632199999999997</v>
      </c>
      <c r="E341" s="14">
        <f>43.4934 * CHOOSE(CONTROL!$C$9, $D$9, 100%, $F$9) + CHOOSE(CONTROL!$C$27, 0.0021, 0)</f>
        <v>43.4955</v>
      </c>
      <c r="F341" s="14">
        <f>43.4934 * CHOOSE(CONTROL!$C$9, $D$9, 100%, $F$9) + CHOOSE(CONTROL!$C$27, 0.0021, 0)</f>
        <v>43.4955</v>
      </c>
      <c r="G341" s="14">
        <f>43.7648 * CHOOSE(CONTROL!$C$9, $D$9, 100%, $F$9) + CHOOSE(CONTROL!$C$27, 0.0021, 0)</f>
        <v>43.7669</v>
      </c>
      <c r="H341" s="14">
        <f>43.6301 * CHOOSE(CONTROL!$C$9, $D$9, 100%, $F$9) + CHOOSE(CONTROL!$C$27, 0.0021, 0)</f>
        <v>43.632199999999997</v>
      </c>
      <c r="I341" s="14">
        <f>43.6301 * CHOOSE(CONTROL!$C$9, $D$9, 100%, $F$9) + CHOOSE(CONTROL!$C$27, 0.0021, 0)</f>
        <v>43.632199999999997</v>
      </c>
      <c r="J341" s="14">
        <f>43.6301 * CHOOSE(CONTROL!$C$9, $D$9, 100%, $F$9) + CHOOSE(CONTROL!$C$27, 0.0021, 0)</f>
        <v>43.632199999999997</v>
      </c>
      <c r="K341" s="14">
        <f>43.6301 * CHOOSE(CONTROL!$C$9, $D$9, 100%, $F$9) + CHOOSE(CONTROL!$C$27, 0.0021, 0)</f>
        <v>43.632199999999997</v>
      </c>
      <c r="L341" s="14"/>
    </row>
    <row r="342" spans="1:12" ht="15.75" x14ac:dyDescent="0.25">
      <c r="A342" s="33">
        <v>51348</v>
      </c>
      <c r="B342" s="14">
        <f>44.9009 * CHOOSE(CONTROL!$C$9, $D$9, 100%, $F$9) + CHOOSE(CONTROL!$C$27, 0.0021, 0)</f>
        <v>44.902999999999999</v>
      </c>
      <c r="C342" s="14">
        <f>44.4686 * CHOOSE(CONTROL!$C$9, $D$9, 100%, $F$9) + CHOOSE(CONTROL!$C$27, 0.0021, 0)</f>
        <v>44.470700000000001</v>
      </c>
      <c r="D342" s="14">
        <f>44.4686 * CHOOSE(CONTROL!$C$9, $D$9, 100%, $F$9) + CHOOSE(CONTROL!$C$27, 0.0021, 0)</f>
        <v>44.470700000000001</v>
      </c>
      <c r="E342" s="14">
        <f>44.332 * CHOOSE(CONTROL!$C$9, $D$9, 100%, $F$9) + CHOOSE(CONTROL!$C$27, 0.0021, 0)</f>
        <v>44.334099999999999</v>
      </c>
      <c r="F342" s="14">
        <f>44.332 * CHOOSE(CONTROL!$C$9, $D$9, 100%, $F$9) + CHOOSE(CONTROL!$C$27, 0.0021, 0)</f>
        <v>44.334099999999999</v>
      </c>
      <c r="G342" s="14">
        <f>44.6033 * CHOOSE(CONTROL!$C$9, $D$9, 100%, $F$9) + CHOOSE(CONTROL!$C$27, 0.0021, 0)</f>
        <v>44.605399999999996</v>
      </c>
      <c r="H342" s="14">
        <f>44.4686 * CHOOSE(CONTROL!$C$9, $D$9, 100%, $F$9) + CHOOSE(CONTROL!$C$27, 0.0021, 0)</f>
        <v>44.470700000000001</v>
      </c>
      <c r="I342" s="14">
        <f>44.4686 * CHOOSE(CONTROL!$C$9, $D$9, 100%, $F$9) + CHOOSE(CONTROL!$C$27, 0.0021, 0)</f>
        <v>44.470700000000001</v>
      </c>
      <c r="J342" s="14">
        <f>44.4686 * CHOOSE(CONTROL!$C$9, $D$9, 100%, $F$9) + CHOOSE(CONTROL!$C$27, 0.0021, 0)</f>
        <v>44.470700000000001</v>
      </c>
      <c r="K342" s="14">
        <f>44.4686 * CHOOSE(CONTROL!$C$9, $D$9, 100%, $F$9) + CHOOSE(CONTROL!$C$27, 0.0021, 0)</f>
        <v>44.470700000000001</v>
      </c>
      <c r="L342" s="14"/>
    </row>
    <row r="343" spans="1:12" ht="15.75" x14ac:dyDescent="0.25">
      <c r="A343" s="33">
        <v>51379</v>
      </c>
      <c r="B343" s="14">
        <f>45.1568 * CHOOSE(CONTROL!$C$9, $D$9, 100%, $F$9) + CHOOSE(CONTROL!$C$27, 0.0021, 0)</f>
        <v>45.158899999999996</v>
      </c>
      <c r="C343" s="14">
        <f>44.7246 * CHOOSE(CONTROL!$C$9, $D$9, 100%, $F$9) + CHOOSE(CONTROL!$C$27, 0.0021, 0)</f>
        <v>44.726700000000001</v>
      </c>
      <c r="D343" s="14">
        <f>44.7246 * CHOOSE(CONTROL!$C$9, $D$9, 100%, $F$9) + CHOOSE(CONTROL!$C$27, 0.0021, 0)</f>
        <v>44.726700000000001</v>
      </c>
      <c r="E343" s="14">
        <f>44.5879 * CHOOSE(CONTROL!$C$9, $D$9, 100%, $F$9) + CHOOSE(CONTROL!$C$27, 0.0021, 0)</f>
        <v>44.589999999999996</v>
      </c>
      <c r="F343" s="14">
        <f>44.5879 * CHOOSE(CONTROL!$C$9, $D$9, 100%, $F$9) + CHOOSE(CONTROL!$C$27, 0.0021, 0)</f>
        <v>44.589999999999996</v>
      </c>
      <c r="G343" s="14">
        <f>44.8593 * CHOOSE(CONTROL!$C$9, $D$9, 100%, $F$9) + CHOOSE(CONTROL!$C$27, 0.0021, 0)</f>
        <v>44.861399999999996</v>
      </c>
      <c r="H343" s="14">
        <f>44.7246 * CHOOSE(CONTROL!$C$9, $D$9, 100%, $F$9) + CHOOSE(CONTROL!$C$27, 0.0021, 0)</f>
        <v>44.726700000000001</v>
      </c>
      <c r="I343" s="14">
        <f>44.7246 * CHOOSE(CONTROL!$C$9, $D$9, 100%, $F$9) + CHOOSE(CONTROL!$C$27, 0.0021, 0)</f>
        <v>44.726700000000001</v>
      </c>
      <c r="J343" s="14">
        <f>44.7246 * CHOOSE(CONTROL!$C$9, $D$9, 100%, $F$9) + CHOOSE(CONTROL!$C$27, 0.0021, 0)</f>
        <v>44.726700000000001</v>
      </c>
      <c r="K343" s="14">
        <f>44.7246 * CHOOSE(CONTROL!$C$9, $D$9, 100%, $F$9) + CHOOSE(CONTROL!$C$27, 0.0021, 0)</f>
        <v>44.726700000000001</v>
      </c>
      <c r="L343" s="14"/>
    </row>
    <row r="344" spans="1:12" ht="15.75" x14ac:dyDescent="0.25">
      <c r="A344" s="33">
        <v>51409</v>
      </c>
      <c r="B344" s="14">
        <f>46.0285 * CHOOSE(CONTROL!$C$9, $D$9, 100%, $F$9) + CHOOSE(CONTROL!$C$27, 0.0021, 0)</f>
        <v>46.0306</v>
      </c>
      <c r="C344" s="14">
        <f>45.5962 * CHOOSE(CONTROL!$C$9, $D$9, 100%, $F$9) + CHOOSE(CONTROL!$C$27, 0.0021, 0)</f>
        <v>45.598300000000002</v>
      </c>
      <c r="D344" s="14">
        <f>45.5962 * CHOOSE(CONTROL!$C$9, $D$9, 100%, $F$9) + CHOOSE(CONTROL!$C$27, 0.0021, 0)</f>
        <v>45.598300000000002</v>
      </c>
      <c r="E344" s="14">
        <f>45.4596 * CHOOSE(CONTROL!$C$9, $D$9, 100%, $F$9) + CHOOSE(CONTROL!$C$27, 0.0021, 0)</f>
        <v>45.4617</v>
      </c>
      <c r="F344" s="14">
        <f>45.4596 * CHOOSE(CONTROL!$C$9, $D$9, 100%, $F$9) + CHOOSE(CONTROL!$C$27, 0.0021, 0)</f>
        <v>45.4617</v>
      </c>
      <c r="G344" s="14">
        <f>45.7309 * CHOOSE(CONTROL!$C$9, $D$9, 100%, $F$9) + CHOOSE(CONTROL!$C$27, 0.0021, 0)</f>
        <v>45.732999999999997</v>
      </c>
      <c r="H344" s="14">
        <f>45.5962 * CHOOSE(CONTROL!$C$9, $D$9, 100%, $F$9) + CHOOSE(CONTROL!$C$27, 0.0021, 0)</f>
        <v>45.598300000000002</v>
      </c>
      <c r="I344" s="14">
        <f>45.5962 * CHOOSE(CONTROL!$C$9, $D$9, 100%, $F$9) + CHOOSE(CONTROL!$C$27, 0.0021, 0)</f>
        <v>45.598300000000002</v>
      </c>
      <c r="J344" s="14">
        <f>45.5962 * CHOOSE(CONTROL!$C$9, $D$9, 100%, $F$9) + CHOOSE(CONTROL!$C$27, 0.0021, 0)</f>
        <v>45.598300000000002</v>
      </c>
      <c r="K344" s="14">
        <f>45.5962 * CHOOSE(CONTROL!$C$9, $D$9, 100%, $F$9) + CHOOSE(CONTROL!$C$27, 0.0021, 0)</f>
        <v>45.598300000000002</v>
      </c>
      <c r="L344" s="14"/>
    </row>
    <row r="345" spans="1:12" ht="15.75" x14ac:dyDescent="0.25">
      <c r="A345" s="33">
        <v>51440</v>
      </c>
      <c r="B345" s="14">
        <f>47.1318 * CHOOSE(CONTROL!$C$9, $D$9, 100%, $F$9) + CHOOSE(CONTROL!$C$27, 0.0021, 0)</f>
        <v>47.133899999999997</v>
      </c>
      <c r="C345" s="14">
        <f>46.6996 * CHOOSE(CONTROL!$C$9, $D$9, 100%, $F$9) + CHOOSE(CONTROL!$C$27, 0.0021, 0)</f>
        <v>46.701699999999995</v>
      </c>
      <c r="D345" s="14">
        <f>46.6996 * CHOOSE(CONTROL!$C$9, $D$9, 100%, $F$9) + CHOOSE(CONTROL!$C$27, 0.0021, 0)</f>
        <v>46.701699999999995</v>
      </c>
      <c r="E345" s="14">
        <f>46.5629 * CHOOSE(CONTROL!$C$9, $D$9, 100%, $F$9) + CHOOSE(CONTROL!$C$27, 0.0021, 0)</f>
        <v>46.564999999999998</v>
      </c>
      <c r="F345" s="14">
        <f>46.5629 * CHOOSE(CONTROL!$C$9, $D$9, 100%, $F$9) + CHOOSE(CONTROL!$C$27, 0.0021, 0)</f>
        <v>46.564999999999998</v>
      </c>
      <c r="G345" s="14">
        <f>46.8343 * CHOOSE(CONTROL!$C$9, $D$9, 100%, $F$9) + CHOOSE(CONTROL!$C$27, 0.0021, 0)</f>
        <v>46.836399999999998</v>
      </c>
      <c r="H345" s="14">
        <f>46.6996 * CHOOSE(CONTROL!$C$9, $D$9, 100%, $F$9) + CHOOSE(CONTROL!$C$27, 0.0021, 0)</f>
        <v>46.701699999999995</v>
      </c>
      <c r="I345" s="14">
        <f>46.6996 * CHOOSE(CONTROL!$C$9, $D$9, 100%, $F$9) + CHOOSE(CONTROL!$C$27, 0.0021, 0)</f>
        <v>46.701699999999995</v>
      </c>
      <c r="J345" s="14">
        <f>46.6996 * CHOOSE(CONTROL!$C$9, $D$9, 100%, $F$9) + CHOOSE(CONTROL!$C$27, 0.0021, 0)</f>
        <v>46.701699999999995</v>
      </c>
      <c r="K345" s="14">
        <f>46.6996 * CHOOSE(CONTROL!$C$9, $D$9, 100%, $F$9) + CHOOSE(CONTROL!$C$27, 0.0021, 0)</f>
        <v>46.701699999999995</v>
      </c>
      <c r="L345" s="14"/>
    </row>
    <row r="346" spans="1:12" ht="15.75" x14ac:dyDescent="0.25">
      <c r="A346" s="33">
        <v>51470</v>
      </c>
      <c r="B346" s="14">
        <f>47.2354 * CHOOSE(CONTROL!$C$9, $D$9, 100%, $F$9) + CHOOSE(CONTROL!$C$27, 0.0021, 0)</f>
        <v>47.237499999999997</v>
      </c>
      <c r="C346" s="14">
        <f>46.8031 * CHOOSE(CONTROL!$C$9, $D$9, 100%, $F$9) + CHOOSE(CONTROL!$C$27, 0.0021, 0)</f>
        <v>46.805199999999999</v>
      </c>
      <c r="D346" s="14">
        <f>46.8031 * CHOOSE(CONTROL!$C$9, $D$9, 100%, $F$9) + CHOOSE(CONTROL!$C$27, 0.0021, 0)</f>
        <v>46.805199999999999</v>
      </c>
      <c r="E346" s="14">
        <f>46.6665 * CHOOSE(CONTROL!$C$9, $D$9, 100%, $F$9) + CHOOSE(CONTROL!$C$27, 0.0021, 0)</f>
        <v>46.668599999999998</v>
      </c>
      <c r="F346" s="14">
        <f>46.6665 * CHOOSE(CONTROL!$C$9, $D$9, 100%, $F$9) + CHOOSE(CONTROL!$C$27, 0.0021, 0)</f>
        <v>46.668599999999998</v>
      </c>
      <c r="G346" s="14">
        <f>46.9379 * CHOOSE(CONTROL!$C$9, $D$9, 100%, $F$9) + CHOOSE(CONTROL!$C$27, 0.0021, 0)</f>
        <v>46.94</v>
      </c>
      <c r="H346" s="14">
        <f>46.8031 * CHOOSE(CONTROL!$C$9, $D$9, 100%, $F$9) + CHOOSE(CONTROL!$C$27, 0.0021, 0)</f>
        <v>46.805199999999999</v>
      </c>
      <c r="I346" s="14">
        <f>46.8031 * CHOOSE(CONTROL!$C$9, $D$9, 100%, $F$9) + CHOOSE(CONTROL!$C$27, 0.0021, 0)</f>
        <v>46.805199999999999</v>
      </c>
      <c r="J346" s="14">
        <f>46.8031 * CHOOSE(CONTROL!$C$9, $D$9, 100%, $F$9) + CHOOSE(CONTROL!$C$27, 0.0021, 0)</f>
        <v>46.805199999999999</v>
      </c>
      <c r="K346" s="14">
        <f>46.8031 * CHOOSE(CONTROL!$C$9, $D$9, 100%, $F$9) + CHOOSE(CONTROL!$C$27, 0.0021, 0)</f>
        <v>46.805199999999999</v>
      </c>
      <c r="L346" s="14"/>
    </row>
    <row r="347" spans="1:12" ht="15.75" x14ac:dyDescent="0.25">
      <c r="A347" s="33">
        <v>51501</v>
      </c>
      <c r="B347" s="14">
        <f>46.3542 * CHOOSE(CONTROL!$C$9, $D$9, 100%, $F$9) + CHOOSE(CONTROL!$C$27, 0.0021, 0)</f>
        <v>46.356299999999997</v>
      </c>
      <c r="C347" s="14">
        <f>45.9219 * CHOOSE(CONTROL!$C$9, $D$9, 100%, $F$9) + CHOOSE(CONTROL!$C$27, 0.0021, 0)</f>
        <v>45.923999999999999</v>
      </c>
      <c r="D347" s="14">
        <f>45.9219 * CHOOSE(CONTROL!$C$9, $D$9, 100%, $F$9) + CHOOSE(CONTROL!$C$27, 0.0021, 0)</f>
        <v>45.923999999999999</v>
      </c>
      <c r="E347" s="14">
        <f>45.7853 * CHOOSE(CONTROL!$C$9, $D$9, 100%, $F$9) + CHOOSE(CONTROL!$C$27, 0.0021, 0)</f>
        <v>45.787399999999998</v>
      </c>
      <c r="F347" s="14">
        <f>45.7853 * CHOOSE(CONTROL!$C$9, $D$9, 100%, $F$9) + CHOOSE(CONTROL!$C$27, 0.0021, 0)</f>
        <v>45.787399999999998</v>
      </c>
      <c r="G347" s="14">
        <f>46.0566 * CHOOSE(CONTROL!$C$9, $D$9, 100%, $F$9) + CHOOSE(CONTROL!$C$27, 0.0021, 0)</f>
        <v>46.058700000000002</v>
      </c>
      <c r="H347" s="14">
        <f>45.9219 * CHOOSE(CONTROL!$C$9, $D$9, 100%, $F$9) + CHOOSE(CONTROL!$C$27, 0.0021, 0)</f>
        <v>45.923999999999999</v>
      </c>
      <c r="I347" s="14">
        <f>45.9219 * CHOOSE(CONTROL!$C$9, $D$9, 100%, $F$9) + CHOOSE(CONTROL!$C$27, 0.0021, 0)</f>
        <v>45.923999999999999</v>
      </c>
      <c r="J347" s="14">
        <f>45.9219 * CHOOSE(CONTROL!$C$9, $D$9, 100%, $F$9) + CHOOSE(CONTROL!$C$27, 0.0021, 0)</f>
        <v>45.923999999999999</v>
      </c>
      <c r="K347" s="14">
        <f>45.9219 * CHOOSE(CONTROL!$C$9, $D$9, 100%, $F$9) + CHOOSE(CONTROL!$C$27, 0.0021, 0)</f>
        <v>45.923999999999999</v>
      </c>
      <c r="L347" s="14"/>
    </row>
    <row r="348" spans="1:12" ht="15.75" x14ac:dyDescent="0.25">
      <c r="A348" s="33">
        <v>51532</v>
      </c>
      <c r="B348" s="14">
        <f>45.7972 * CHOOSE(CONTROL!$C$9, $D$9, 100%, $F$9) + CHOOSE(CONTROL!$C$27, 0.0021, 0)</f>
        <v>45.799299999999995</v>
      </c>
      <c r="C348" s="14">
        <f>45.3649 * CHOOSE(CONTROL!$C$9, $D$9, 100%, $F$9) + CHOOSE(CONTROL!$C$27, 0.0021, 0)</f>
        <v>45.366999999999997</v>
      </c>
      <c r="D348" s="14">
        <f>45.3649 * CHOOSE(CONTROL!$C$9, $D$9, 100%, $F$9) + CHOOSE(CONTROL!$C$27, 0.0021, 0)</f>
        <v>45.366999999999997</v>
      </c>
      <c r="E348" s="14">
        <f>45.2283 * CHOOSE(CONTROL!$C$9, $D$9, 100%, $F$9) + CHOOSE(CONTROL!$C$27, 0.0021, 0)</f>
        <v>45.230399999999996</v>
      </c>
      <c r="F348" s="14">
        <f>45.2283 * CHOOSE(CONTROL!$C$9, $D$9, 100%, $F$9) + CHOOSE(CONTROL!$C$27, 0.0021, 0)</f>
        <v>45.230399999999996</v>
      </c>
      <c r="G348" s="14">
        <f>45.4997 * CHOOSE(CONTROL!$C$9, $D$9, 100%, $F$9) + CHOOSE(CONTROL!$C$27, 0.0021, 0)</f>
        <v>45.501799999999996</v>
      </c>
      <c r="H348" s="14">
        <f>45.3649 * CHOOSE(CONTROL!$C$9, $D$9, 100%, $F$9) + CHOOSE(CONTROL!$C$27, 0.0021, 0)</f>
        <v>45.366999999999997</v>
      </c>
      <c r="I348" s="14">
        <f>45.3649 * CHOOSE(CONTROL!$C$9, $D$9, 100%, $F$9) + CHOOSE(CONTROL!$C$27, 0.0021, 0)</f>
        <v>45.366999999999997</v>
      </c>
      <c r="J348" s="14">
        <f>45.3649 * CHOOSE(CONTROL!$C$9, $D$9, 100%, $F$9) + CHOOSE(CONTROL!$C$27, 0.0021, 0)</f>
        <v>45.366999999999997</v>
      </c>
      <c r="K348" s="14">
        <f>45.3649 * CHOOSE(CONTROL!$C$9, $D$9, 100%, $F$9) + CHOOSE(CONTROL!$C$27, 0.0021, 0)</f>
        <v>45.366999999999997</v>
      </c>
      <c r="L348" s="14"/>
    </row>
    <row r="349" spans="1:12" ht="15.75" x14ac:dyDescent="0.25">
      <c r="A349" s="33">
        <v>51560</v>
      </c>
      <c r="B349" s="14">
        <f>44.5666 * CHOOSE(CONTROL!$C$9, $D$9, 100%, $F$9) + CHOOSE(CONTROL!$C$27, 0.0021, 0)</f>
        <v>44.5687</v>
      </c>
      <c r="C349" s="14">
        <f>44.1344 * CHOOSE(CONTROL!$C$9, $D$9, 100%, $F$9) + CHOOSE(CONTROL!$C$27, 0.0021, 0)</f>
        <v>44.136499999999998</v>
      </c>
      <c r="D349" s="14">
        <f>44.1344 * CHOOSE(CONTROL!$C$9, $D$9, 100%, $F$9) + CHOOSE(CONTROL!$C$27, 0.0021, 0)</f>
        <v>44.136499999999998</v>
      </c>
      <c r="E349" s="14">
        <f>43.9977 * CHOOSE(CONTROL!$C$9, $D$9, 100%, $F$9) + CHOOSE(CONTROL!$C$27, 0.0021, 0)</f>
        <v>43.9998</v>
      </c>
      <c r="F349" s="14">
        <f>43.9977 * CHOOSE(CONTROL!$C$9, $D$9, 100%, $F$9) + CHOOSE(CONTROL!$C$27, 0.0021, 0)</f>
        <v>43.9998</v>
      </c>
      <c r="G349" s="14">
        <f>44.2691 * CHOOSE(CONTROL!$C$9, $D$9, 100%, $F$9) + CHOOSE(CONTROL!$C$27, 0.0021, 0)</f>
        <v>44.2712</v>
      </c>
      <c r="H349" s="14">
        <f>44.1344 * CHOOSE(CONTROL!$C$9, $D$9, 100%, $F$9) + CHOOSE(CONTROL!$C$27, 0.0021, 0)</f>
        <v>44.136499999999998</v>
      </c>
      <c r="I349" s="14">
        <f>44.1344 * CHOOSE(CONTROL!$C$9, $D$9, 100%, $F$9) + CHOOSE(CONTROL!$C$27, 0.0021, 0)</f>
        <v>44.136499999999998</v>
      </c>
      <c r="J349" s="14">
        <f>44.1344 * CHOOSE(CONTROL!$C$9, $D$9, 100%, $F$9) + CHOOSE(CONTROL!$C$27, 0.0021, 0)</f>
        <v>44.136499999999998</v>
      </c>
      <c r="K349" s="14">
        <f>44.1344 * CHOOSE(CONTROL!$C$9, $D$9, 100%, $F$9) + CHOOSE(CONTROL!$C$27, 0.0021, 0)</f>
        <v>44.136499999999998</v>
      </c>
      <c r="L349" s="14"/>
    </row>
    <row r="350" spans="1:12" ht="15.75" x14ac:dyDescent="0.25">
      <c r="A350" s="33">
        <v>51591</v>
      </c>
      <c r="B350" s="14">
        <f>44.0587 * CHOOSE(CONTROL!$C$9, $D$9, 100%, $F$9) + CHOOSE(CONTROL!$C$27, 0.0021, 0)</f>
        <v>44.0608</v>
      </c>
      <c r="C350" s="14">
        <f>43.6264 * CHOOSE(CONTROL!$C$9, $D$9, 100%, $F$9) + CHOOSE(CONTROL!$C$27, 0.0021, 0)</f>
        <v>43.628499999999995</v>
      </c>
      <c r="D350" s="14">
        <f>43.6264 * CHOOSE(CONTROL!$C$9, $D$9, 100%, $F$9) + CHOOSE(CONTROL!$C$27, 0.0021, 0)</f>
        <v>43.628499999999995</v>
      </c>
      <c r="E350" s="14">
        <f>43.4898 * CHOOSE(CONTROL!$C$9, $D$9, 100%, $F$9) + CHOOSE(CONTROL!$C$27, 0.0021, 0)</f>
        <v>43.491900000000001</v>
      </c>
      <c r="F350" s="14">
        <f>43.4898 * CHOOSE(CONTROL!$C$9, $D$9, 100%, $F$9) + CHOOSE(CONTROL!$C$27, 0.0021, 0)</f>
        <v>43.491900000000001</v>
      </c>
      <c r="G350" s="14">
        <f>43.7611 * CHOOSE(CONTROL!$C$9, $D$9, 100%, $F$9) + CHOOSE(CONTROL!$C$27, 0.0021, 0)</f>
        <v>43.763199999999998</v>
      </c>
      <c r="H350" s="14">
        <f>43.6264 * CHOOSE(CONTROL!$C$9, $D$9, 100%, $F$9) + CHOOSE(CONTROL!$C$27, 0.0021, 0)</f>
        <v>43.628499999999995</v>
      </c>
      <c r="I350" s="14">
        <f>43.6264 * CHOOSE(CONTROL!$C$9, $D$9, 100%, $F$9) + CHOOSE(CONTROL!$C$27, 0.0021, 0)</f>
        <v>43.628499999999995</v>
      </c>
      <c r="J350" s="14">
        <f>43.6264 * CHOOSE(CONTROL!$C$9, $D$9, 100%, $F$9) + CHOOSE(CONTROL!$C$27, 0.0021, 0)</f>
        <v>43.628499999999995</v>
      </c>
      <c r="K350" s="14">
        <f>43.6264 * CHOOSE(CONTROL!$C$9, $D$9, 100%, $F$9) + CHOOSE(CONTROL!$C$27, 0.0021, 0)</f>
        <v>43.628499999999995</v>
      </c>
      <c r="L350" s="14"/>
    </row>
    <row r="351" spans="1:12" ht="15.75" x14ac:dyDescent="0.25">
      <c r="A351" s="33">
        <v>51621</v>
      </c>
      <c r="B351" s="14">
        <f>43.4521 * CHOOSE(CONTROL!$C$9, $D$9, 100%, $F$9) + CHOOSE(CONTROL!$C$27, 0.0021, 0)</f>
        <v>43.4542</v>
      </c>
      <c r="C351" s="14">
        <f>43.0199 * CHOOSE(CONTROL!$C$9, $D$9, 100%, $F$9) + CHOOSE(CONTROL!$C$27, 0.0021, 0)</f>
        <v>43.021999999999998</v>
      </c>
      <c r="D351" s="14">
        <f>43.0199 * CHOOSE(CONTROL!$C$9, $D$9, 100%, $F$9) + CHOOSE(CONTROL!$C$27, 0.0021, 0)</f>
        <v>43.021999999999998</v>
      </c>
      <c r="E351" s="14">
        <f>42.8832 * CHOOSE(CONTROL!$C$9, $D$9, 100%, $F$9) + CHOOSE(CONTROL!$C$27, 0.0021, 0)</f>
        <v>42.885300000000001</v>
      </c>
      <c r="F351" s="14">
        <f>42.8832 * CHOOSE(CONTROL!$C$9, $D$9, 100%, $F$9) + CHOOSE(CONTROL!$C$27, 0.0021, 0)</f>
        <v>42.885300000000001</v>
      </c>
      <c r="G351" s="14">
        <f>43.1546 * CHOOSE(CONTROL!$C$9, $D$9, 100%, $F$9) + CHOOSE(CONTROL!$C$27, 0.0021, 0)</f>
        <v>43.156700000000001</v>
      </c>
      <c r="H351" s="14">
        <f>43.0199 * CHOOSE(CONTROL!$C$9, $D$9, 100%, $F$9) + CHOOSE(CONTROL!$C$27, 0.0021, 0)</f>
        <v>43.021999999999998</v>
      </c>
      <c r="I351" s="14">
        <f>43.0199 * CHOOSE(CONTROL!$C$9, $D$9, 100%, $F$9) + CHOOSE(CONTROL!$C$27, 0.0021, 0)</f>
        <v>43.021999999999998</v>
      </c>
      <c r="J351" s="14">
        <f>43.0199 * CHOOSE(CONTROL!$C$9, $D$9, 100%, $F$9) + CHOOSE(CONTROL!$C$27, 0.0021, 0)</f>
        <v>43.021999999999998</v>
      </c>
      <c r="K351" s="14">
        <f>43.0199 * CHOOSE(CONTROL!$C$9, $D$9, 100%, $F$9) + CHOOSE(CONTROL!$C$27, 0.0021, 0)</f>
        <v>43.021999999999998</v>
      </c>
      <c r="L351" s="14"/>
    </row>
    <row r="352" spans="1:12" ht="15.75" x14ac:dyDescent="0.25">
      <c r="A352" s="33">
        <v>51652</v>
      </c>
      <c r="B352" s="14">
        <f>44.3165 * CHOOSE(CONTROL!$C$9, $D$9, 100%, $F$9) + CHOOSE(CONTROL!$C$27, 0.0021, 0)</f>
        <v>44.318599999999996</v>
      </c>
      <c r="C352" s="14">
        <f>43.8843 * CHOOSE(CONTROL!$C$9, $D$9, 100%, $F$9) + CHOOSE(CONTROL!$C$27, 0.0021, 0)</f>
        <v>43.886400000000002</v>
      </c>
      <c r="D352" s="14">
        <f>43.8843 * CHOOSE(CONTROL!$C$9, $D$9, 100%, $F$9) + CHOOSE(CONTROL!$C$27, 0.0021, 0)</f>
        <v>43.886400000000002</v>
      </c>
      <c r="E352" s="14">
        <f>43.7476 * CHOOSE(CONTROL!$C$9, $D$9, 100%, $F$9) + CHOOSE(CONTROL!$C$27, 0.0021, 0)</f>
        <v>43.749699999999997</v>
      </c>
      <c r="F352" s="14">
        <f>43.7476 * CHOOSE(CONTROL!$C$9, $D$9, 100%, $F$9) + CHOOSE(CONTROL!$C$27, 0.0021, 0)</f>
        <v>43.749699999999997</v>
      </c>
      <c r="G352" s="14">
        <f>44.019 * CHOOSE(CONTROL!$C$9, $D$9, 100%, $F$9) + CHOOSE(CONTROL!$C$27, 0.0021, 0)</f>
        <v>44.021099999999997</v>
      </c>
      <c r="H352" s="14">
        <f>43.8843 * CHOOSE(CONTROL!$C$9, $D$9, 100%, $F$9) + CHOOSE(CONTROL!$C$27, 0.0021, 0)</f>
        <v>43.886400000000002</v>
      </c>
      <c r="I352" s="14">
        <f>43.8843 * CHOOSE(CONTROL!$C$9, $D$9, 100%, $F$9) + CHOOSE(CONTROL!$C$27, 0.0021, 0)</f>
        <v>43.886400000000002</v>
      </c>
      <c r="J352" s="14">
        <f>43.8843 * CHOOSE(CONTROL!$C$9, $D$9, 100%, $F$9) + CHOOSE(CONTROL!$C$27, 0.0021, 0)</f>
        <v>43.886400000000002</v>
      </c>
      <c r="K352" s="14">
        <f>43.8843 * CHOOSE(CONTROL!$C$9, $D$9, 100%, $F$9) + CHOOSE(CONTROL!$C$27, 0.0021, 0)</f>
        <v>43.886400000000002</v>
      </c>
      <c r="L352" s="14"/>
    </row>
    <row r="353" spans="1:12" ht="15.75" x14ac:dyDescent="0.25">
      <c r="A353" s="33">
        <v>51682</v>
      </c>
      <c r="B353" s="14">
        <f>44.8342 * CHOOSE(CONTROL!$C$9, $D$9, 100%, $F$9) + CHOOSE(CONTROL!$C$27, 0.0021, 0)</f>
        <v>44.836300000000001</v>
      </c>
      <c r="C353" s="14">
        <f>44.402 * CHOOSE(CONTROL!$C$9, $D$9, 100%, $F$9) + CHOOSE(CONTROL!$C$27, 0.0021, 0)</f>
        <v>44.4041</v>
      </c>
      <c r="D353" s="14">
        <f>44.402 * CHOOSE(CONTROL!$C$9, $D$9, 100%, $F$9) + CHOOSE(CONTROL!$C$27, 0.0021, 0)</f>
        <v>44.4041</v>
      </c>
      <c r="E353" s="14">
        <f>44.2653 * CHOOSE(CONTROL!$C$9, $D$9, 100%, $F$9) + CHOOSE(CONTROL!$C$27, 0.0021, 0)</f>
        <v>44.267400000000002</v>
      </c>
      <c r="F353" s="14">
        <f>44.2653 * CHOOSE(CONTROL!$C$9, $D$9, 100%, $F$9) + CHOOSE(CONTROL!$C$27, 0.0021, 0)</f>
        <v>44.267400000000002</v>
      </c>
      <c r="G353" s="14">
        <f>44.5367 * CHOOSE(CONTROL!$C$9, $D$9, 100%, $F$9) + CHOOSE(CONTROL!$C$27, 0.0021, 0)</f>
        <v>44.538800000000002</v>
      </c>
      <c r="H353" s="14">
        <f>44.402 * CHOOSE(CONTROL!$C$9, $D$9, 100%, $F$9) + CHOOSE(CONTROL!$C$27, 0.0021, 0)</f>
        <v>44.4041</v>
      </c>
      <c r="I353" s="14">
        <f>44.402 * CHOOSE(CONTROL!$C$9, $D$9, 100%, $F$9) + CHOOSE(CONTROL!$C$27, 0.0021, 0)</f>
        <v>44.4041</v>
      </c>
      <c r="J353" s="14">
        <f>44.402 * CHOOSE(CONTROL!$C$9, $D$9, 100%, $F$9) + CHOOSE(CONTROL!$C$27, 0.0021, 0)</f>
        <v>44.4041</v>
      </c>
      <c r="K353" s="14">
        <f>44.402 * CHOOSE(CONTROL!$C$9, $D$9, 100%, $F$9) + CHOOSE(CONTROL!$C$27, 0.0021, 0)</f>
        <v>44.4041</v>
      </c>
      <c r="L353" s="14"/>
    </row>
    <row r="354" spans="1:12" ht="15.75" x14ac:dyDescent="0.25">
      <c r="A354" s="33">
        <v>51713</v>
      </c>
      <c r="B354" s="14">
        <f>45.6883 * CHOOSE(CONTROL!$C$9, $D$9, 100%, $F$9) + CHOOSE(CONTROL!$C$27, 0.0021, 0)</f>
        <v>45.690399999999997</v>
      </c>
      <c r="C354" s="14">
        <f>45.256 * CHOOSE(CONTROL!$C$9, $D$9, 100%, $F$9) + CHOOSE(CONTROL!$C$27, 0.0021, 0)</f>
        <v>45.258099999999999</v>
      </c>
      <c r="D354" s="14">
        <f>45.256 * CHOOSE(CONTROL!$C$9, $D$9, 100%, $F$9) + CHOOSE(CONTROL!$C$27, 0.0021, 0)</f>
        <v>45.258099999999999</v>
      </c>
      <c r="E354" s="14">
        <f>45.1194 * CHOOSE(CONTROL!$C$9, $D$9, 100%, $F$9) + CHOOSE(CONTROL!$C$27, 0.0021, 0)</f>
        <v>45.121499999999997</v>
      </c>
      <c r="F354" s="14">
        <f>45.1194 * CHOOSE(CONTROL!$C$9, $D$9, 100%, $F$9) + CHOOSE(CONTROL!$C$27, 0.0021, 0)</f>
        <v>45.121499999999997</v>
      </c>
      <c r="G354" s="14">
        <f>45.3908 * CHOOSE(CONTROL!$C$9, $D$9, 100%, $F$9) + CHOOSE(CONTROL!$C$27, 0.0021, 0)</f>
        <v>45.392899999999997</v>
      </c>
      <c r="H354" s="14">
        <f>45.256 * CHOOSE(CONTROL!$C$9, $D$9, 100%, $F$9) + CHOOSE(CONTROL!$C$27, 0.0021, 0)</f>
        <v>45.258099999999999</v>
      </c>
      <c r="I354" s="14">
        <f>45.256 * CHOOSE(CONTROL!$C$9, $D$9, 100%, $F$9) + CHOOSE(CONTROL!$C$27, 0.0021, 0)</f>
        <v>45.258099999999999</v>
      </c>
      <c r="J354" s="14">
        <f>45.256 * CHOOSE(CONTROL!$C$9, $D$9, 100%, $F$9) + CHOOSE(CONTROL!$C$27, 0.0021, 0)</f>
        <v>45.258099999999999</v>
      </c>
      <c r="K354" s="14">
        <f>45.256 * CHOOSE(CONTROL!$C$9, $D$9, 100%, $F$9) + CHOOSE(CONTROL!$C$27, 0.0021, 0)</f>
        <v>45.258099999999999</v>
      </c>
      <c r="L354" s="14"/>
    </row>
    <row r="355" spans="1:12" ht="15.75" x14ac:dyDescent="0.25">
      <c r="A355" s="33">
        <v>51744</v>
      </c>
      <c r="B355" s="14">
        <f>45.949 * CHOOSE(CONTROL!$C$9, $D$9, 100%, $F$9) + CHOOSE(CONTROL!$C$27, 0.0021, 0)</f>
        <v>45.951099999999997</v>
      </c>
      <c r="C355" s="14">
        <f>45.5167 * CHOOSE(CONTROL!$C$9, $D$9, 100%, $F$9) + CHOOSE(CONTROL!$C$27, 0.0021, 0)</f>
        <v>45.518799999999999</v>
      </c>
      <c r="D355" s="14">
        <f>45.5167 * CHOOSE(CONTROL!$C$9, $D$9, 100%, $F$9) + CHOOSE(CONTROL!$C$27, 0.0021, 0)</f>
        <v>45.518799999999999</v>
      </c>
      <c r="E355" s="14">
        <f>45.3801 * CHOOSE(CONTROL!$C$9, $D$9, 100%, $F$9) + CHOOSE(CONTROL!$C$27, 0.0021, 0)</f>
        <v>45.382199999999997</v>
      </c>
      <c r="F355" s="14">
        <f>45.3801 * CHOOSE(CONTROL!$C$9, $D$9, 100%, $F$9) + CHOOSE(CONTROL!$C$27, 0.0021, 0)</f>
        <v>45.382199999999997</v>
      </c>
      <c r="G355" s="14">
        <f>45.6514 * CHOOSE(CONTROL!$C$9, $D$9, 100%, $F$9) + CHOOSE(CONTROL!$C$27, 0.0021, 0)</f>
        <v>45.653500000000001</v>
      </c>
      <c r="H355" s="14">
        <f>45.5167 * CHOOSE(CONTROL!$C$9, $D$9, 100%, $F$9) + CHOOSE(CONTROL!$C$27, 0.0021, 0)</f>
        <v>45.518799999999999</v>
      </c>
      <c r="I355" s="14">
        <f>45.5167 * CHOOSE(CONTROL!$C$9, $D$9, 100%, $F$9) + CHOOSE(CONTROL!$C$27, 0.0021, 0)</f>
        <v>45.518799999999999</v>
      </c>
      <c r="J355" s="14">
        <f>45.5167 * CHOOSE(CONTROL!$C$9, $D$9, 100%, $F$9) + CHOOSE(CONTROL!$C$27, 0.0021, 0)</f>
        <v>45.518799999999999</v>
      </c>
      <c r="K355" s="14">
        <f>45.5167 * CHOOSE(CONTROL!$C$9, $D$9, 100%, $F$9) + CHOOSE(CONTROL!$C$27, 0.0021, 0)</f>
        <v>45.518799999999999</v>
      </c>
      <c r="L355" s="14"/>
    </row>
    <row r="356" spans="1:12" ht="15.75" x14ac:dyDescent="0.25">
      <c r="A356" s="33">
        <v>51774</v>
      </c>
      <c r="B356" s="14">
        <f>46.8367 * CHOOSE(CONTROL!$C$9, $D$9, 100%, $F$9) + CHOOSE(CONTROL!$C$27, 0.0021, 0)</f>
        <v>46.838799999999999</v>
      </c>
      <c r="C356" s="14">
        <f>46.4045 * CHOOSE(CONTROL!$C$9, $D$9, 100%, $F$9) + CHOOSE(CONTROL!$C$27, 0.0021, 0)</f>
        <v>46.406599999999997</v>
      </c>
      <c r="D356" s="14">
        <f>46.4045 * CHOOSE(CONTROL!$C$9, $D$9, 100%, $F$9) + CHOOSE(CONTROL!$C$27, 0.0021, 0)</f>
        <v>46.406599999999997</v>
      </c>
      <c r="E356" s="14">
        <f>46.2678 * CHOOSE(CONTROL!$C$9, $D$9, 100%, $F$9) + CHOOSE(CONTROL!$C$27, 0.0021, 0)</f>
        <v>46.2699</v>
      </c>
      <c r="F356" s="14">
        <f>46.2678 * CHOOSE(CONTROL!$C$9, $D$9, 100%, $F$9) + CHOOSE(CONTROL!$C$27, 0.0021, 0)</f>
        <v>46.2699</v>
      </c>
      <c r="G356" s="14">
        <f>46.5392 * CHOOSE(CONTROL!$C$9, $D$9, 100%, $F$9) + CHOOSE(CONTROL!$C$27, 0.0021, 0)</f>
        <v>46.5413</v>
      </c>
      <c r="H356" s="14">
        <f>46.4045 * CHOOSE(CONTROL!$C$9, $D$9, 100%, $F$9) + CHOOSE(CONTROL!$C$27, 0.0021, 0)</f>
        <v>46.406599999999997</v>
      </c>
      <c r="I356" s="14">
        <f>46.4045 * CHOOSE(CONTROL!$C$9, $D$9, 100%, $F$9) + CHOOSE(CONTROL!$C$27, 0.0021, 0)</f>
        <v>46.406599999999997</v>
      </c>
      <c r="J356" s="14">
        <f>46.4045 * CHOOSE(CONTROL!$C$9, $D$9, 100%, $F$9) + CHOOSE(CONTROL!$C$27, 0.0021, 0)</f>
        <v>46.406599999999997</v>
      </c>
      <c r="K356" s="14">
        <f>46.4045 * CHOOSE(CONTROL!$C$9, $D$9, 100%, $F$9) + CHOOSE(CONTROL!$C$27, 0.0021, 0)</f>
        <v>46.406599999999997</v>
      </c>
      <c r="L356" s="14"/>
    </row>
    <row r="357" spans="1:12" ht="15.75" x14ac:dyDescent="0.25">
      <c r="A357" s="33">
        <v>51805</v>
      </c>
      <c r="B357" s="14">
        <f>47.9605 * CHOOSE(CONTROL!$C$9, $D$9, 100%, $F$9) + CHOOSE(CONTROL!$C$27, 0.0021, 0)</f>
        <v>47.962600000000002</v>
      </c>
      <c r="C357" s="14">
        <f>47.5282 * CHOOSE(CONTROL!$C$9, $D$9, 100%, $F$9) + CHOOSE(CONTROL!$C$27, 0.0021, 0)</f>
        <v>47.530299999999997</v>
      </c>
      <c r="D357" s="14">
        <f>47.5282 * CHOOSE(CONTROL!$C$9, $D$9, 100%, $F$9) + CHOOSE(CONTROL!$C$27, 0.0021, 0)</f>
        <v>47.530299999999997</v>
      </c>
      <c r="E357" s="14">
        <f>47.3916 * CHOOSE(CONTROL!$C$9, $D$9, 100%, $F$9) + CHOOSE(CONTROL!$C$27, 0.0021, 0)</f>
        <v>47.393699999999995</v>
      </c>
      <c r="F357" s="14">
        <f>47.3916 * CHOOSE(CONTROL!$C$9, $D$9, 100%, $F$9) + CHOOSE(CONTROL!$C$27, 0.0021, 0)</f>
        <v>47.393699999999995</v>
      </c>
      <c r="G357" s="14">
        <f>47.663 * CHOOSE(CONTROL!$C$9, $D$9, 100%, $F$9) + CHOOSE(CONTROL!$C$27, 0.0021, 0)</f>
        <v>47.665099999999995</v>
      </c>
      <c r="H357" s="14">
        <f>47.5282 * CHOOSE(CONTROL!$C$9, $D$9, 100%, $F$9) + CHOOSE(CONTROL!$C$27, 0.0021, 0)</f>
        <v>47.530299999999997</v>
      </c>
      <c r="I357" s="14">
        <f>47.5282 * CHOOSE(CONTROL!$C$9, $D$9, 100%, $F$9) + CHOOSE(CONTROL!$C$27, 0.0021, 0)</f>
        <v>47.530299999999997</v>
      </c>
      <c r="J357" s="14">
        <f>47.5282 * CHOOSE(CONTROL!$C$9, $D$9, 100%, $F$9) + CHOOSE(CONTROL!$C$27, 0.0021, 0)</f>
        <v>47.530299999999997</v>
      </c>
      <c r="K357" s="14">
        <f>47.5282 * CHOOSE(CONTROL!$C$9, $D$9, 100%, $F$9) + CHOOSE(CONTROL!$C$27, 0.0021, 0)</f>
        <v>47.530299999999997</v>
      </c>
      <c r="L357" s="14"/>
    </row>
    <row r="358" spans="1:12" ht="15.75" x14ac:dyDescent="0.25">
      <c r="A358" s="33">
        <v>51835</v>
      </c>
      <c r="B358" s="14">
        <f>48.066 * CHOOSE(CONTROL!$C$9, $D$9, 100%, $F$9) + CHOOSE(CONTROL!$C$27, 0.0021, 0)</f>
        <v>48.068100000000001</v>
      </c>
      <c r="C358" s="14">
        <f>47.6337 * CHOOSE(CONTROL!$C$9, $D$9, 100%, $F$9) + CHOOSE(CONTROL!$C$27, 0.0021, 0)</f>
        <v>47.635799999999996</v>
      </c>
      <c r="D358" s="14">
        <f>47.6337 * CHOOSE(CONTROL!$C$9, $D$9, 100%, $F$9) + CHOOSE(CONTROL!$C$27, 0.0021, 0)</f>
        <v>47.635799999999996</v>
      </c>
      <c r="E358" s="14">
        <f>47.4971 * CHOOSE(CONTROL!$C$9, $D$9, 100%, $F$9) + CHOOSE(CONTROL!$C$27, 0.0021, 0)</f>
        <v>47.499200000000002</v>
      </c>
      <c r="F358" s="14">
        <f>47.4971 * CHOOSE(CONTROL!$C$9, $D$9, 100%, $F$9) + CHOOSE(CONTROL!$C$27, 0.0021, 0)</f>
        <v>47.499200000000002</v>
      </c>
      <c r="G358" s="14">
        <f>47.7684 * CHOOSE(CONTROL!$C$9, $D$9, 100%, $F$9) + CHOOSE(CONTROL!$C$27, 0.0021, 0)</f>
        <v>47.770499999999998</v>
      </c>
      <c r="H358" s="14">
        <f>47.6337 * CHOOSE(CONTROL!$C$9, $D$9, 100%, $F$9) + CHOOSE(CONTROL!$C$27, 0.0021, 0)</f>
        <v>47.635799999999996</v>
      </c>
      <c r="I358" s="14">
        <f>47.6337 * CHOOSE(CONTROL!$C$9, $D$9, 100%, $F$9) + CHOOSE(CONTROL!$C$27, 0.0021, 0)</f>
        <v>47.635799999999996</v>
      </c>
      <c r="J358" s="14">
        <f>47.6337 * CHOOSE(CONTROL!$C$9, $D$9, 100%, $F$9) + CHOOSE(CONTROL!$C$27, 0.0021, 0)</f>
        <v>47.635799999999996</v>
      </c>
      <c r="K358" s="14">
        <f>47.6337 * CHOOSE(CONTROL!$C$9, $D$9, 100%, $F$9) + CHOOSE(CONTROL!$C$27, 0.0021, 0)</f>
        <v>47.635799999999996</v>
      </c>
      <c r="L358" s="14"/>
    </row>
    <row r="359" spans="1:12" ht="15.75" x14ac:dyDescent="0.25">
      <c r="A359" s="33">
        <v>51866</v>
      </c>
      <c r="B359" s="14">
        <f>47.1685 * CHOOSE(CONTROL!$C$9, $D$9, 100%, $F$9) + CHOOSE(CONTROL!$C$27, 0.0021, 0)</f>
        <v>47.1706</v>
      </c>
      <c r="C359" s="14">
        <f>46.7362 * CHOOSE(CONTROL!$C$9, $D$9, 100%, $F$9) + CHOOSE(CONTROL!$C$27, 0.0021, 0)</f>
        <v>46.738299999999995</v>
      </c>
      <c r="D359" s="14">
        <f>46.7362 * CHOOSE(CONTROL!$C$9, $D$9, 100%, $F$9) + CHOOSE(CONTROL!$C$27, 0.0021, 0)</f>
        <v>46.738299999999995</v>
      </c>
      <c r="E359" s="14">
        <f>46.5996 * CHOOSE(CONTROL!$C$9, $D$9, 100%, $F$9) + CHOOSE(CONTROL!$C$27, 0.0021, 0)</f>
        <v>46.601700000000001</v>
      </c>
      <c r="F359" s="14">
        <f>46.5996 * CHOOSE(CONTROL!$C$9, $D$9, 100%, $F$9) + CHOOSE(CONTROL!$C$27, 0.0021, 0)</f>
        <v>46.601700000000001</v>
      </c>
      <c r="G359" s="14">
        <f>46.8709 * CHOOSE(CONTROL!$C$9, $D$9, 100%, $F$9) + CHOOSE(CONTROL!$C$27, 0.0021, 0)</f>
        <v>46.872999999999998</v>
      </c>
      <c r="H359" s="14">
        <f>46.7362 * CHOOSE(CONTROL!$C$9, $D$9, 100%, $F$9) + CHOOSE(CONTROL!$C$27, 0.0021, 0)</f>
        <v>46.738299999999995</v>
      </c>
      <c r="I359" s="14">
        <f>46.7362 * CHOOSE(CONTROL!$C$9, $D$9, 100%, $F$9) + CHOOSE(CONTROL!$C$27, 0.0021, 0)</f>
        <v>46.738299999999995</v>
      </c>
      <c r="J359" s="14">
        <f>46.7362 * CHOOSE(CONTROL!$C$9, $D$9, 100%, $F$9) + CHOOSE(CONTROL!$C$27, 0.0021, 0)</f>
        <v>46.738299999999995</v>
      </c>
      <c r="K359" s="14">
        <f>46.7362 * CHOOSE(CONTROL!$C$9, $D$9, 100%, $F$9) + CHOOSE(CONTROL!$C$27, 0.0021, 0)</f>
        <v>46.738299999999995</v>
      </c>
      <c r="L359" s="14"/>
    </row>
    <row r="360" spans="1:12" ht="15.75" x14ac:dyDescent="0.25">
      <c r="A360" s="33">
        <v>51897</v>
      </c>
      <c r="B360" s="14">
        <f>46.6012 * CHOOSE(CONTROL!$C$9, $D$9, 100%, $F$9) + CHOOSE(CONTROL!$C$27, 0.0021, 0)</f>
        <v>46.603299999999997</v>
      </c>
      <c r="C360" s="14">
        <f>46.1689 * CHOOSE(CONTROL!$C$9, $D$9, 100%, $F$9) + CHOOSE(CONTROL!$C$27, 0.0021, 0)</f>
        <v>46.170999999999999</v>
      </c>
      <c r="D360" s="14">
        <f>46.1689 * CHOOSE(CONTROL!$C$9, $D$9, 100%, $F$9) + CHOOSE(CONTROL!$C$27, 0.0021, 0)</f>
        <v>46.170999999999999</v>
      </c>
      <c r="E360" s="14">
        <f>46.0323 * CHOOSE(CONTROL!$C$9, $D$9, 100%, $F$9) + CHOOSE(CONTROL!$C$27, 0.0021, 0)</f>
        <v>46.034399999999998</v>
      </c>
      <c r="F360" s="14">
        <f>46.0323 * CHOOSE(CONTROL!$C$9, $D$9, 100%, $F$9) + CHOOSE(CONTROL!$C$27, 0.0021, 0)</f>
        <v>46.034399999999998</v>
      </c>
      <c r="G360" s="14">
        <f>46.3037 * CHOOSE(CONTROL!$C$9, $D$9, 100%, $F$9) + CHOOSE(CONTROL!$C$27, 0.0021, 0)</f>
        <v>46.305799999999998</v>
      </c>
      <c r="H360" s="14">
        <f>46.1689 * CHOOSE(CONTROL!$C$9, $D$9, 100%, $F$9) + CHOOSE(CONTROL!$C$27, 0.0021, 0)</f>
        <v>46.170999999999999</v>
      </c>
      <c r="I360" s="14">
        <f>46.1689 * CHOOSE(CONTROL!$C$9, $D$9, 100%, $F$9) + CHOOSE(CONTROL!$C$27, 0.0021, 0)</f>
        <v>46.170999999999999</v>
      </c>
      <c r="J360" s="14">
        <f>46.1689 * CHOOSE(CONTROL!$C$9, $D$9, 100%, $F$9) + CHOOSE(CONTROL!$C$27, 0.0021, 0)</f>
        <v>46.170999999999999</v>
      </c>
      <c r="K360" s="14">
        <f>46.1689 * CHOOSE(CONTROL!$C$9, $D$9, 100%, $F$9) + CHOOSE(CONTROL!$C$27, 0.0021, 0)</f>
        <v>46.170999999999999</v>
      </c>
      <c r="L360" s="14"/>
    </row>
    <row r="361" spans="1:12" ht="15.75" x14ac:dyDescent="0.25">
      <c r="A361" s="33">
        <v>51925</v>
      </c>
      <c r="B361" s="14">
        <f>45.3479 * CHOOSE(CONTROL!$C$9, $D$9, 100%, $F$9) + CHOOSE(CONTROL!$C$27, 0.0021, 0)</f>
        <v>45.35</v>
      </c>
      <c r="C361" s="14">
        <f>44.9156 * CHOOSE(CONTROL!$C$9, $D$9, 100%, $F$9) + CHOOSE(CONTROL!$C$27, 0.0021, 0)</f>
        <v>44.917699999999996</v>
      </c>
      <c r="D361" s="14">
        <f>44.9156 * CHOOSE(CONTROL!$C$9, $D$9, 100%, $F$9) + CHOOSE(CONTROL!$C$27, 0.0021, 0)</f>
        <v>44.917699999999996</v>
      </c>
      <c r="E361" s="14">
        <f>44.779 * CHOOSE(CONTROL!$C$9, $D$9, 100%, $F$9) + CHOOSE(CONTROL!$C$27, 0.0021, 0)</f>
        <v>44.781100000000002</v>
      </c>
      <c r="F361" s="14">
        <f>44.779 * CHOOSE(CONTROL!$C$9, $D$9, 100%, $F$9) + CHOOSE(CONTROL!$C$27, 0.0021, 0)</f>
        <v>44.781100000000002</v>
      </c>
      <c r="G361" s="14">
        <f>45.0504 * CHOOSE(CONTROL!$C$9, $D$9, 100%, $F$9) + CHOOSE(CONTROL!$C$27, 0.0021, 0)</f>
        <v>45.052500000000002</v>
      </c>
      <c r="H361" s="14">
        <f>44.9156 * CHOOSE(CONTROL!$C$9, $D$9, 100%, $F$9) + CHOOSE(CONTROL!$C$27, 0.0021, 0)</f>
        <v>44.917699999999996</v>
      </c>
      <c r="I361" s="14">
        <f>44.9156 * CHOOSE(CONTROL!$C$9, $D$9, 100%, $F$9) + CHOOSE(CONTROL!$C$27, 0.0021, 0)</f>
        <v>44.917699999999996</v>
      </c>
      <c r="J361" s="14">
        <f>44.9156 * CHOOSE(CONTROL!$C$9, $D$9, 100%, $F$9) + CHOOSE(CONTROL!$C$27, 0.0021, 0)</f>
        <v>44.917699999999996</v>
      </c>
      <c r="K361" s="14">
        <f>44.9156 * CHOOSE(CONTROL!$C$9, $D$9, 100%, $F$9) + CHOOSE(CONTROL!$C$27, 0.0021, 0)</f>
        <v>44.917699999999996</v>
      </c>
      <c r="L361" s="14"/>
    </row>
    <row r="362" spans="1:12" ht="15.75" x14ac:dyDescent="0.25">
      <c r="A362" s="33">
        <v>51956</v>
      </c>
      <c r="B362" s="14">
        <f>44.8305 * CHOOSE(CONTROL!$C$9, $D$9, 100%, $F$9) + CHOOSE(CONTROL!$C$27, 0.0021, 0)</f>
        <v>44.832599999999999</v>
      </c>
      <c r="C362" s="14">
        <f>44.3983 * CHOOSE(CONTROL!$C$9, $D$9, 100%, $F$9) + CHOOSE(CONTROL!$C$27, 0.0021, 0)</f>
        <v>44.400399999999998</v>
      </c>
      <c r="D362" s="14">
        <f>44.3983 * CHOOSE(CONTROL!$C$9, $D$9, 100%, $F$9) + CHOOSE(CONTROL!$C$27, 0.0021, 0)</f>
        <v>44.400399999999998</v>
      </c>
      <c r="E362" s="14">
        <f>44.2616 * CHOOSE(CONTROL!$C$9, $D$9, 100%, $F$9) + CHOOSE(CONTROL!$C$27, 0.0021, 0)</f>
        <v>44.2637</v>
      </c>
      <c r="F362" s="14">
        <f>44.2616 * CHOOSE(CONTROL!$C$9, $D$9, 100%, $F$9) + CHOOSE(CONTROL!$C$27, 0.0021, 0)</f>
        <v>44.2637</v>
      </c>
      <c r="G362" s="14">
        <f>44.533 * CHOOSE(CONTROL!$C$9, $D$9, 100%, $F$9) + CHOOSE(CONTROL!$C$27, 0.0021, 0)</f>
        <v>44.5351</v>
      </c>
      <c r="H362" s="14">
        <f>44.3983 * CHOOSE(CONTROL!$C$9, $D$9, 100%, $F$9) + CHOOSE(CONTROL!$C$27, 0.0021, 0)</f>
        <v>44.400399999999998</v>
      </c>
      <c r="I362" s="14">
        <f>44.3983 * CHOOSE(CONTROL!$C$9, $D$9, 100%, $F$9) + CHOOSE(CONTROL!$C$27, 0.0021, 0)</f>
        <v>44.400399999999998</v>
      </c>
      <c r="J362" s="14">
        <f>44.3983 * CHOOSE(CONTROL!$C$9, $D$9, 100%, $F$9) + CHOOSE(CONTROL!$C$27, 0.0021, 0)</f>
        <v>44.400399999999998</v>
      </c>
      <c r="K362" s="14">
        <f>44.3983 * CHOOSE(CONTROL!$C$9, $D$9, 100%, $F$9) + CHOOSE(CONTROL!$C$27, 0.0021, 0)</f>
        <v>44.400399999999998</v>
      </c>
      <c r="L362" s="14"/>
    </row>
    <row r="363" spans="1:12" ht="15.75" x14ac:dyDescent="0.25">
      <c r="A363" s="33">
        <v>51986</v>
      </c>
      <c r="B363" s="14">
        <f>44.2128 * CHOOSE(CONTROL!$C$9, $D$9, 100%, $F$9) + CHOOSE(CONTROL!$C$27, 0.0021, 0)</f>
        <v>44.2149</v>
      </c>
      <c r="C363" s="14">
        <f>43.7806 * CHOOSE(CONTROL!$C$9, $D$9, 100%, $F$9) + CHOOSE(CONTROL!$C$27, 0.0021, 0)</f>
        <v>43.782699999999998</v>
      </c>
      <c r="D363" s="14">
        <f>43.7806 * CHOOSE(CONTROL!$C$9, $D$9, 100%, $F$9) + CHOOSE(CONTROL!$C$27, 0.0021, 0)</f>
        <v>43.782699999999998</v>
      </c>
      <c r="E363" s="14">
        <f>43.6439 * CHOOSE(CONTROL!$C$9, $D$9, 100%, $F$9) + CHOOSE(CONTROL!$C$27, 0.0021, 0)</f>
        <v>43.646000000000001</v>
      </c>
      <c r="F363" s="14">
        <f>43.6439 * CHOOSE(CONTROL!$C$9, $D$9, 100%, $F$9) + CHOOSE(CONTROL!$C$27, 0.0021, 0)</f>
        <v>43.646000000000001</v>
      </c>
      <c r="G363" s="14">
        <f>43.9153 * CHOOSE(CONTROL!$C$9, $D$9, 100%, $F$9) + CHOOSE(CONTROL!$C$27, 0.0021, 0)</f>
        <v>43.917400000000001</v>
      </c>
      <c r="H363" s="14">
        <f>43.7806 * CHOOSE(CONTROL!$C$9, $D$9, 100%, $F$9) + CHOOSE(CONTROL!$C$27, 0.0021, 0)</f>
        <v>43.782699999999998</v>
      </c>
      <c r="I363" s="14">
        <f>43.7806 * CHOOSE(CONTROL!$C$9, $D$9, 100%, $F$9) + CHOOSE(CONTROL!$C$27, 0.0021, 0)</f>
        <v>43.782699999999998</v>
      </c>
      <c r="J363" s="14">
        <f>43.7806 * CHOOSE(CONTROL!$C$9, $D$9, 100%, $F$9) + CHOOSE(CONTROL!$C$27, 0.0021, 0)</f>
        <v>43.782699999999998</v>
      </c>
      <c r="K363" s="14">
        <f>43.7806 * CHOOSE(CONTROL!$C$9, $D$9, 100%, $F$9) + CHOOSE(CONTROL!$C$27, 0.0021, 0)</f>
        <v>43.782699999999998</v>
      </c>
      <c r="L363" s="14"/>
    </row>
    <row r="364" spans="1:12" ht="15.75" x14ac:dyDescent="0.25">
      <c r="A364" s="33">
        <v>52017</v>
      </c>
      <c r="B364" s="14">
        <f>45.0931 * CHOOSE(CONTROL!$C$9, $D$9, 100%, $F$9) + CHOOSE(CONTROL!$C$27, 0.0021, 0)</f>
        <v>45.095199999999998</v>
      </c>
      <c r="C364" s="14">
        <f>44.6609 * CHOOSE(CONTROL!$C$9, $D$9, 100%, $F$9) + CHOOSE(CONTROL!$C$27, 0.0021, 0)</f>
        <v>44.662999999999997</v>
      </c>
      <c r="D364" s="14">
        <f>44.6609 * CHOOSE(CONTROL!$C$9, $D$9, 100%, $F$9) + CHOOSE(CONTROL!$C$27, 0.0021, 0)</f>
        <v>44.662999999999997</v>
      </c>
      <c r="E364" s="14">
        <f>44.5242 * CHOOSE(CONTROL!$C$9, $D$9, 100%, $F$9) + CHOOSE(CONTROL!$C$27, 0.0021, 0)</f>
        <v>44.526299999999999</v>
      </c>
      <c r="F364" s="14">
        <f>44.5242 * CHOOSE(CONTROL!$C$9, $D$9, 100%, $F$9) + CHOOSE(CONTROL!$C$27, 0.0021, 0)</f>
        <v>44.526299999999999</v>
      </c>
      <c r="G364" s="14">
        <f>44.7956 * CHOOSE(CONTROL!$C$9, $D$9, 100%, $F$9) + CHOOSE(CONTROL!$C$27, 0.0021, 0)</f>
        <v>44.797699999999999</v>
      </c>
      <c r="H364" s="14">
        <f>44.6609 * CHOOSE(CONTROL!$C$9, $D$9, 100%, $F$9) + CHOOSE(CONTROL!$C$27, 0.0021, 0)</f>
        <v>44.662999999999997</v>
      </c>
      <c r="I364" s="14">
        <f>44.6609 * CHOOSE(CONTROL!$C$9, $D$9, 100%, $F$9) + CHOOSE(CONTROL!$C$27, 0.0021, 0)</f>
        <v>44.662999999999997</v>
      </c>
      <c r="J364" s="14">
        <f>44.6609 * CHOOSE(CONTROL!$C$9, $D$9, 100%, $F$9) + CHOOSE(CONTROL!$C$27, 0.0021, 0)</f>
        <v>44.662999999999997</v>
      </c>
      <c r="K364" s="14">
        <f>44.6609 * CHOOSE(CONTROL!$C$9, $D$9, 100%, $F$9) + CHOOSE(CONTROL!$C$27, 0.0021, 0)</f>
        <v>44.662999999999997</v>
      </c>
      <c r="L364" s="14"/>
    </row>
    <row r="365" spans="1:12" ht="15.75" x14ac:dyDescent="0.25">
      <c r="A365" s="33">
        <v>52047</v>
      </c>
      <c r="B365" s="14">
        <f>45.6204 * CHOOSE(CONTROL!$C$9, $D$9, 100%, $F$9) + CHOOSE(CONTROL!$C$27, 0.0021, 0)</f>
        <v>45.622499999999995</v>
      </c>
      <c r="C365" s="14">
        <f>45.1882 * CHOOSE(CONTROL!$C$9, $D$9, 100%, $F$9) + CHOOSE(CONTROL!$C$27, 0.0021, 0)</f>
        <v>45.190300000000001</v>
      </c>
      <c r="D365" s="14">
        <f>45.1882 * CHOOSE(CONTROL!$C$9, $D$9, 100%, $F$9) + CHOOSE(CONTROL!$C$27, 0.0021, 0)</f>
        <v>45.190300000000001</v>
      </c>
      <c r="E365" s="14">
        <f>45.0515 * CHOOSE(CONTROL!$C$9, $D$9, 100%, $F$9) + CHOOSE(CONTROL!$C$27, 0.0021, 0)</f>
        <v>45.053599999999996</v>
      </c>
      <c r="F365" s="14">
        <f>45.0515 * CHOOSE(CONTROL!$C$9, $D$9, 100%, $F$9) + CHOOSE(CONTROL!$C$27, 0.0021, 0)</f>
        <v>45.053599999999996</v>
      </c>
      <c r="G365" s="14">
        <f>45.3229 * CHOOSE(CONTROL!$C$9, $D$9, 100%, $F$9) + CHOOSE(CONTROL!$C$27, 0.0021, 0)</f>
        <v>45.324999999999996</v>
      </c>
      <c r="H365" s="14">
        <f>45.1882 * CHOOSE(CONTROL!$C$9, $D$9, 100%, $F$9) + CHOOSE(CONTROL!$C$27, 0.0021, 0)</f>
        <v>45.190300000000001</v>
      </c>
      <c r="I365" s="14">
        <f>45.1882 * CHOOSE(CONTROL!$C$9, $D$9, 100%, $F$9) + CHOOSE(CONTROL!$C$27, 0.0021, 0)</f>
        <v>45.190300000000001</v>
      </c>
      <c r="J365" s="14">
        <f>45.1882 * CHOOSE(CONTROL!$C$9, $D$9, 100%, $F$9) + CHOOSE(CONTROL!$C$27, 0.0021, 0)</f>
        <v>45.190300000000001</v>
      </c>
      <c r="K365" s="14">
        <f>45.1882 * CHOOSE(CONTROL!$C$9, $D$9, 100%, $F$9) + CHOOSE(CONTROL!$C$27, 0.0021, 0)</f>
        <v>45.190300000000001</v>
      </c>
      <c r="L365" s="14"/>
    </row>
    <row r="366" spans="1:12" ht="15.75" x14ac:dyDescent="0.25">
      <c r="A366" s="33">
        <v>52078</v>
      </c>
      <c r="B366" s="14">
        <f>46.4903 * CHOOSE(CONTROL!$C$9, $D$9, 100%, $F$9) + CHOOSE(CONTROL!$C$27, 0.0021, 0)</f>
        <v>46.492399999999996</v>
      </c>
      <c r="C366" s="14">
        <f>46.058 * CHOOSE(CONTROL!$C$9, $D$9, 100%, $F$9) + CHOOSE(CONTROL!$C$27, 0.0021, 0)</f>
        <v>46.060099999999998</v>
      </c>
      <c r="D366" s="14">
        <f>46.058 * CHOOSE(CONTROL!$C$9, $D$9, 100%, $F$9) + CHOOSE(CONTROL!$C$27, 0.0021, 0)</f>
        <v>46.060099999999998</v>
      </c>
      <c r="E366" s="14">
        <f>45.9214 * CHOOSE(CONTROL!$C$9, $D$9, 100%, $F$9) + CHOOSE(CONTROL!$C$27, 0.0021, 0)</f>
        <v>45.923499999999997</v>
      </c>
      <c r="F366" s="14">
        <f>45.9214 * CHOOSE(CONTROL!$C$9, $D$9, 100%, $F$9) + CHOOSE(CONTROL!$C$27, 0.0021, 0)</f>
        <v>45.923499999999997</v>
      </c>
      <c r="G366" s="14">
        <f>46.1928 * CHOOSE(CONTROL!$C$9, $D$9, 100%, $F$9) + CHOOSE(CONTROL!$C$27, 0.0021, 0)</f>
        <v>46.194899999999997</v>
      </c>
      <c r="H366" s="14">
        <f>46.058 * CHOOSE(CONTROL!$C$9, $D$9, 100%, $F$9) + CHOOSE(CONTROL!$C$27, 0.0021, 0)</f>
        <v>46.060099999999998</v>
      </c>
      <c r="I366" s="14">
        <f>46.058 * CHOOSE(CONTROL!$C$9, $D$9, 100%, $F$9) + CHOOSE(CONTROL!$C$27, 0.0021, 0)</f>
        <v>46.060099999999998</v>
      </c>
      <c r="J366" s="14">
        <f>46.058 * CHOOSE(CONTROL!$C$9, $D$9, 100%, $F$9) + CHOOSE(CONTROL!$C$27, 0.0021, 0)</f>
        <v>46.060099999999998</v>
      </c>
      <c r="K366" s="14">
        <f>46.058 * CHOOSE(CONTROL!$C$9, $D$9, 100%, $F$9) + CHOOSE(CONTROL!$C$27, 0.0021, 0)</f>
        <v>46.060099999999998</v>
      </c>
      <c r="L366" s="14"/>
    </row>
    <row r="367" spans="1:12" ht="15.75" x14ac:dyDescent="0.25">
      <c r="A367" s="33">
        <v>52109</v>
      </c>
      <c r="B367" s="14">
        <f>46.7558 * CHOOSE(CONTROL!$C$9, $D$9, 100%, $F$9) + CHOOSE(CONTROL!$C$27, 0.0021, 0)</f>
        <v>46.757899999999999</v>
      </c>
      <c r="C367" s="14">
        <f>46.3235 * CHOOSE(CONTROL!$C$9, $D$9, 100%, $F$9) + CHOOSE(CONTROL!$C$27, 0.0021, 0)</f>
        <v>46.325600000000001</v>
      </c>
      <c r="D367" s="14">
        <f>46.3235 * CHOOSE(CONTROL!$C$9, $D$9, 100%, $F$9) + CHOOSE(CONTROL!$C$27, 0.0021, 0)</f>
        <v>46.325600000000001</v>
      </c>
      <c r="E367" s="14">
        <f>46.1869 * CHOOSE(CONTROL!$C$9, $D$9, 100%, $F$9) + CHOOSE(CONTROL!$C$27, 0.0021, 0)</f>
        <v>46.189</v>
      </c>
      <c r="F367" s="14">
        <f>46.1869 * CHOOSE(CONTROL!$C$9, $D$9, 100%, $F$9) + CHOOSE(CONTROL!$C$27, 0.0021, 0)</f>
        <v>46.189</v>
      </c>
      <c r="G367" s="14">
        <f>46.4583 * CHOOSE(CONTROL!$C$9, $D$9, 100%, $F$9) + CHOOSE(CONTROL!$C$27, 0.0021, 0)</f>
        <v>46.4604</v>
      </c>
      <c r="H367" s="14">
        <f>46.3235 * CHOOSE(CONTROL!$C$9, $D$9, 100%, $F$9) + CHOOSE(CONTROL!$C$27, 0.0021, 0)</f>
        <v>46.325600000000001</v>
      </c>
      <c r="I367" s="14">
        <f>46.3235 * CHOOSE(CONTROL!$C$9, $D$9, 100%, $F$9) + CHOOSE(CONTROL!$C$27, 0.0021, 0)</f>
        <v>46.325600000000001</v>
      </c>
      <c r="J367" s="14">
        <f>46.3235 * CHOOSE(CONTROL!$C$9, $D$9, 100%, $F$9) + CHOOSE(CONTROL!$C$27, 0.0021, 0)</f>
        <v>46.325600000000001</v>
      </c>
      <c r="K367" s="14">
        <f>46.3235 * CHOOSE(CONTROL!$C$9, $D$9, 100%, $F$9) + CHOOSE(CONTROL!$C$27, 0.0021, 0)</f>
        <v>46.325600000000001</v>
      </c>
      <c r="L367" s="14"/>
    </row>
    <row r="368" spans="1:12" ht="15.75" x14ac:dyDescent="0.25">
      <c r="A368" s="33">
        <v>52139</v>
      </c>
      <c r="B368" s="14">
        <f>47.6599 * CHOOSE(CONTROL!$C$9, $D$9, 100%, $F$9) + CHOOSE(CONTROL!$C$27, 0.0021, 0)</f>
        <v>47.661999999999999</v>
      </c>
      <c r="C368" s="14">
        <f>47.2277 * CHOOSE(CONTROL!$C$9, $D$9, 100%, $F$9) + CHOOSE(CONTROL!$C$27, 0.0021, 0)</f>
        <v>47.229799999999997</v>
      </c>
      <c r="D368" s="14">
        <f>47.2277 * CHOOSE(CONTROL!$C$9, $D$9, 100%, $F$9) + CHOOSE(CONTROL!$C$27, 0.0021, 0)</f>
        <v>47.229799999999997</v>
      </c>
      <c r="E368" s="14">
        <f>47.091 * CHOOSE(CONTROL!$C$9, $D$9, 100%, $F$9) + CHOOSE(CONTROL!$C$27, 0.0021, 0)</f>
        <v>47.0931</v>
      </c>
      <c r="F368" s="14">
        <f>47.091 * CHOOSE(CONTROL!$C$9, $D$9, 100%, $F$9) + CHOOSE(CONTROL!$C$27, 0.0021, 0)</f>
        <v>47.0931</v>
      </c>
      <c r="G368" s="14">
        <f>47.3624 * CHOOSE(CONTROL!$C$9, $D$9, 100%, $F$9) + CHOOSE(CONTROL!$C$27, 0.0021, 0)</f>
        <v>47.3645</v>
      </c>
      <c r="H368" s="14">
        <f>47.2277 * CHOOSE(CONTROL!$C$9, $D$9, 100%, $F$9) + CHOOSE(CONTROL!$C$27, 0.0021, 0)</f>
        <v>47.229799999999997</v>
      </c>
      <c r="I368" s="14">
        <f>47.2277 * CHOOSE(CONTROL!$C$9, $D$9, 100%, $F$9) + CHOOSE(CONTROL!$C$27, 0.0021, 0)</f>
        <v>47.229799999999997</v>
      </c>
      <c r="J368" s="14">
        <f>47.2277 * CHOOSE(CONTROL!$C$9, $D$9, 100%, $F$9) + CHOOSE(CONTROL!$C$27, 0.0021, 0)</f>
        <v>47.229799999999997</v>
      </c>
      <c r="K368" s="14">
        <f>47.2277 * CHOOSE(CONTROL!$C$9, $D$9, 100%, $F$9) + CHOOSE(CONTROL!$C$27, 0.0021, 0)</f>
        <v>47.229799999999997</v>
      </c>
      <c r="L368" s="14"/>
    </row>
    <row r="369" spans="1:12" ht="15.75" x14ac:dyDescent="0.25">
      <c r="A369" s="33">
        <v>52170</v>
      </c>
      <c r="B369" s="14">
        <f>48.8045 * CHOOSE(CONTROL!$C$9, $D$9, 100%, $F$9) + CHOOSE(CONTROL!$C$27, 0.0021, 0)</f>
        <v>48.806599999999996</v>
      </c>
      <c r="C369" s="14">
        <f>48.3722 * CHOOSE(CONTROL!$C$9, $D$9, 100%, $F$9) + CHOOSE(CONTROL!$C$27, 0.0021, 0)</f>
        <v>48.374299999999998</v>
      </c>
      <c r="D369" s="14">
        <f>48.3722 * CHOOSE(CONTROL!$C$9, $D$9, 100%, $F$9) + CHOOSE(CONTROL!$C$27, 0.0021, 0)</f>
        <v>48.374299999999998</v>
      </c>
      <c r="E369" s="14">
        <f>48.2356 * CHOOSE(CONTROL!$C$9, $D$9, 100%, $F$9) + CHOOSE(CONTROL!$C$27, 0.0021, 0)</f>
        <v>48.237699999999997</v>
      </c>
      <c r="F369" s="14">
        <f>48.2356 * CHOOSE(CONTROL!$C$9, $D$9, 100%, $F$9) + CHOOSE(CONTROL!$C$27, 0.0021, 0)</f>
        <v>48.237699999999997</v>
      </c>
      <c r="G369" s="14">
        <f>48.5069 * CHOOSE(CONTROL!$C$9, $D$9, 100%, $F$9) + CHOOSE(CONTROL!$C$27, 0.0021, 0)</f>
        <v>48.509</v>
      </c>
      <c r="H369" s="14">
        <f>48.3722 * CHOOSE(CONTROL!$C$9, $D$9, 100%, $F$9) + CHOOSE(CONTROL!$C$27, 0.0021, 0)</f>
        <v>48.374299999999998</v>
      </c>
      <c r="I369" s="14">
        <f>48.3722 * CHOOSE(CONTROL!$C$9, $D$9, 100%, $F$9) + CHOOSE(CONTROL!$C$27, 0.0021, 0)</f>
        <v>48.374299999999998</v>
      </c>
      <c r="J369" s="14">
        <f>48.3722 * CHOOSE(CONTROL!$C$9, $D$9, 100%, $F$9) + CHOOSE(CONTROL!$C$27, 0.0021, 0)</f>
        <v>48.374299999999998</v>
      </c>
      <c r="K369" s="14">
        <f>48.3722 * CHOOSE(CONTROL!$C$9, $D$9, 100%, $F$9) + CHOOSE(CONTROL!$C$27, 0.0021, 0)</f>
        <v>48.374299999999998</v>
      </c>
      <c r="L369" s="14"/>
    </row>
    <row r="370" spans="1:12" ht="15.75" x14ac:dyDescent="0.25">
      <c r="A370" s="33">
        <v>52200</v>
      </c>
      <c r="B370" s="14">
        <f>48.9119 * CHOOSE(CONTROL!$C$9, $D$9, 100%, $F$9) + CHOOSE(CONTROL!$C$27, 0.0021, 0)</f>
        <v>48.914000000000001</v>
      </c>
      <c r="C370" s="14">
        <f>48.4797 * CHOOSE(CONTROL!$C$9, $D$9, 100%, $F$9) + CHOOSE(CONTROL!$C$27, 0.0021, 0)</f>
        <v>48.4818</v>
      </c>
      <c r="D370" s="14">
        <f>48.4797 * CHOOSE(CONTROL!$C$9, $D$9, 100%, $F$9) + CHOOSE(CONTROL!$C$27, 0.0021, 0)</f>
        <v>48.4818</v>
      </c>
      <c r="E370" s="14">
        <f>48.343 * CHOOSE(CONTROL!$C$9, $D$9, 100%, $F$9) + CHOOSE(CONTROL!$C$27, 0.0021, 0)</f>
        <v>48.345100000000002</v>
      </c>
      <c r="F370" s="14">
        <f>48.343 * CHOOSE(CONTROL!$C$9, $D$9, 100%, $F$9) + CHOOSE(CONTROL!$C$27, 0.0021, 0)</f>
        <v>48.345100000000002</v>
      </c>
      <c r="G370" s="14">
        <f>48.6144 * CHOOSE(CONTROL!$C$9, $D$9, 100%, $F$9) + CHOOSE(CONTROL!$C$27, 0.0021, 0)</f>
        <v>48.616500000000002</v>
      </c>
      <c r="H370" s="14">
        <f>48.4797 * CHOOSE(CONTROL!$C$9, $D$9, 100%, $F$9) + CHOOSE(CONTROL!$C$27, 0.0021, 0)</f>
        <v>48.4818</v>
      </c>
      <c r="I370" s="14">
        <f>48.4797 * CHOOSE(CONTROL!$C$9, $D$9, 100%, $F$9) + CHOOSE(CONTROL!$C$27, 0.0021, 0)</f>
        <v>48.4818</v>
      </c>
      <c r="J370" s="14">
        <f>48.4797 * CHOOSE(CONTROL!$C$9, $D$9, 100%, $F$9) + CHOOSE(CONTROL!$C$27, 0.0021, 0)</f>
        <v>48.4818</v>
      </c>
      <c r="K370" s="14">
        <f>48.4797 * CHOOSE(CONTROL!$C$9, $D$9, 100%, $F$9) + CHOOSE(CONTROL!$C$27, 0.0021, 0)</f>
        <v>48.4818</v>
      </c>
      <c r="L370" s="14"/>
    </row>
    <row r="371" spans="1:12" ht="15.75" x14ac:dyDescent="0.25">
      <c r="A371" s="33">
        <v>52231</v>
      </c>
      <c r="B371" s="14">
        <f>47.9978 * CHOOSE(CONTROL!$C$9, $D$9, 100%, $F$9) + CHOOSE(CONTROL!$C$27, 0.0021, 0)</f>
        <v>47.999899999999997</v>
      </c>
      <c r="C371" s="14">
        <f>47.5656 * CHOOSE(CONTROL!$C$9, $D$9, 100%, $F$9) + CHOOSE(CONTROL!$C$27, 0.0021, 0)</f>
        <v>47.567700000000002</v>
      </c>
      <c r="D371" s="14">
        <f>47.5656 * CHOOSE(CONTROL!$C$9, $D$9, 100%, $F$9) + CHOOSE(CONTROL!$C$27, 0.0021, 0)</f>
        <v>47.567700000000002</v>
      </c>
      <c r="E371" s="14">
        <f>47.4289 * CHOOSE(CONTROL!$C$9, $D$9, 100%, $F$9) + CHOOSE(CONTROL!$C$27, 0.0021, 0)</f>
        <v>47.430999999999997</v>
      </c>
      <c r="F371" s="14">
        <f>47.4289 * CHOOSE(CONTROL!$C$9, $D$9, 100%, $F$9) + CHOOSE(CONTROL!$C$27, 0.0021, 0)</f>
        <v>47.430999999999997</v>
      </c>
      <c r="G371" s="14">
        <f>47.7003 * CHOOSE(CONTROL!$C$9, $D$9, 100%, $F$9) + CHOOSE(CONTROL!$C$27, 0.0021, 0)</f>
        <v>47.702399999999997</v>
      </c>
      <c r="H371" s="14">
        <f>47.5656 * CHOOSE(CONTROL!$C$9, $D$9, 100%, $F$9) + CHOOSE(CONTROL!$C$27, 0.0021, 0)</f>
        <v>47.567700000000002</v>
      </c>
      <c r="I371" s="14">
        <f>47.5656 * CHOOSE(CONTROL!$C$9, $D$9, 100%, $F$9) + CHOOSE(CONTROL!$C$27, 0.0021, 0)</f>
        <v>47.567700000000002</v>
      </c>
      <c r="J371" s="14">
        <f>47.5656 * CHOOSE(CONTROL!$C$9, $D$9, 100%, $F$9) + CHOOSE(CONTROL!$C$27, 0.0021, 0)</f>
        <v>47.567700000000002</v>
      </c>
      <c r="K371" s="14">
        <f>47.5656 * CHOOSE(CONTROL!$C$9, $D$9, 100%, $F$9) + CHOOSE(CONTROL!$C$27, 0.0021, 0)</f>
        <v>47.567700000000002</v>
      </c>
      <c r="L371" s="14"/>
    </row>
    <row r="372" spans="1:12" ht="15.75" x14ac:dyDescent="0.25">
      <c r="A372" s="33">
        <v>52262</v>
      </c>
      <c r="B372" s="14">
        <f>47.42 * CHOOSE(CONTROL!$C$9, $D$9, 100%, $F$9) + CHOOSE(CONTROL!$C$27, 0.0021, 0)</f>
        <v>47.4221</v>
      </c>
      <c r="C372" s="14">
        <f>46.9878 * CHOOSE(CONTROL!$C$9, $D$9, 100%, $F$9) + CHOOSE(CONTROL!$C$27, 0.0021, 0)</f>
        <v>46.989899999999999</v>
      </c>
      <c r="D372" s="14">
        <f>46.9878 * CHOOSE(CONTROL!$C$9, $D$9, 100%, $F$9) + CHOOSE(CONTROL!$C$27, 0.0021, 0)</f>
        <v>46.989899999999999</v>
      </c>
      <c r="E372" s="14">
        <f>46.8511 * CHOOSE(CONTROL!$C$9, $D$9, 100%, $F$9) + CHOOSE(CONTROL!$C$27, 0.0021, 0)</f>
        <v>46.853200000000001</v>
      </c>
      <c r="F372" s="14">
        <f>46.8511 * CHOOSE(CONTROL!$C$9, $D$9, 100%, $F$9) + CHOOSE(CONTROL!$C$27, 0.0021, 0)</f>
        <v>46.853200000000001</v>
      </c>
      <c r="G372" s="14">
        <f>47.1225 * CHOOSE(CONTROL!$C$9, $D$9, 100%, $F$9) + CHOOSE(CONTROL!$C$27, 0.0021, 0)</f>
        <v>47.124600000000001</v>
      </c>
      <c r="H372" s="14">
        <f>46.9878 * CHOOSE(CONTROL!$C$9, $D$9, 100%, $F$9) + CHOOSE(CONTROL!$C$27, 0.0021, 0)</f>
        <v>46.989899999999999</v>
      </c>
      <c r="I372" s="14">
        <f>46.9878 * CHOOSE(CONTROL!$C$9, $D$9, 100%, $F$9) + CHOOSE(CONTROL!$C$27, 0.0021, 0)</f>
        <v>46.989899999999999</v>
      </c>
      <c r="J372" s="14">
        <f>46.9878 * CHOOSE(CONTROL!$C$9, $D$9, 100%, $F$9) + CHOOSE(CONTROL!$C$27, 0.0021, 0)</f>
        <v>46.989899999999999</v>
      </c>
      <c r="K372" s="14">
        <f>46.9878 * CHOOSE(CONTROL!$C$9, $D$9, 100%, $F$9) + CHOOSE(CONTROL!$C$27, 0.0021, 0)</f>
        <v>46.989899999999999</v>
      </c>
      <c r="L372" s="14"/>
    </row>
    <row r="373" spans="1:12" ht="15.75" x14ac:dyDescent="0.25">
      <c r="A373" s="33">
        <v>52290</v>
      </c>
      <c r="B373" s="14">
        <f>46.1436 * CHOOSE(CONTROL!$C$9, $D$9, 100%, $F$9) + CHOOSE(CONTROL!$C$27, 0.0021, 0)</f>
        <v>46.145699999999998</v>
      </c>
      <c r="C373" s="14">
        <f>45.7113 * CHOOSE(CONTROL!$C$9, $D$9, 100%, $F$9) + CHOOSE(CONTROL!$C$27, 0.0021, 0)</f>
        <v>45.7134</v>
      </c>
      <c r="D373" s="14">
        <f>45.7113 * CHOOSE(CONTROL!$C$9, $D$9, 100%, $F$9) + CHOOSE(CONTROL!$C$27, 0.0021, 0)</f>
        <v>45.7134</v>
      </c>
      <c r="E373" s="14">
        <f>45.5747 * CHOOSE(CONTROL!$C$9, $D$9, 100%, $F$9) + CHOOSE(CONTROL!$C$27, 0.0021, 0)</f>
        <v>45.576799999999999</v>
      </c>
      <c r="F373" s="14">
        <f>45.5747 * CHOOSE(CONTROL!$C$9, $D$9, 100%, $F$9) + CHOOSE(CONTROL!$C$27, 0.0021, 0)</f>
        <v>45.576799999999999</v>
      </c>
      <c r="G373" s="14">
        <f>45.8461 * CHOOSE(CONTROL!$C$9, $D$9, 100%, $F$9) + CHOOSE(CONTROL!$C$27, 0.0021, 0)</f>
        <v>45.848199999999999</v>
      </c>
      <c r="H373" s="14">
        <f>45.7113 * CHOOSE(CONTROL!$C$9, $D$9, 100%, $F$9) + CHOOSE(CONTROL!$C$27, 0.0021, 0)</f>
        <v>45.7134</v>
      </c>
      <c r="I373" s="14">
        <f>45.7113 * CHOOSE(CONTROL!$C$9, $D$9, 100%, $F$9) + CHOOSE(CONTROL!$C$27, 0.0021, 0)</f>
        <v>45.7134</v>
      </c>
      <c r="J373" s="14">
        <f>45.7113 * CHOOSE(CONTROL!$C$9, $D$9, 100%, $F$9) + CHOOSE(CONTROL!$C$27, 0.0021, 0)</f>
        <v>45.7134</v>
      </c>
      <c r="K373" s="14">
        <f>45.7113 * CHOOSE(CONTROL!$C$9, $D$9, 100%, $F$9) + CHOOSE(CONTROL!$C$27, 0.0021, 0)</f>
        <v>45.7134</v>
      </c>
      <c r="L373" s="14"/>
    </row>
    <row r="374" spans="1:12" ht="15.75" x14ac:dyDescent="0.25">
      <c r="A374" s="33">
        <v>52321</v>
      </c>
      <c r="B374" s="14">
        <f>45.6167 * CHOOSE(CONTROL!$C$9, $D$9, 100%, $F$9) + CHOOSE(CONTROL!$C$27, 0.0021, 0)</f>
        <v>45.6188</v>
      </c>
      <c r="C374" s="14">
        <f>45.1844 * CHOOSE(CONTROL!$C$9, $D$9, 100%, $F$9) + CHOOSE(CONTROL!$C$27, 0.0021, 0)</f>
        <v>45.186499999999995</v>
      </c>
      <c r="D374" s="14">
        <f>45.1844 * CHOOSE(CONTROL!$C$9, $D$9, 100%, $F$9) + CHOOSE(CONTROL!$C$27, 0.0021, 0)</f>
        <v>45.186499999999995</v>
      </c>
      <c r="E374" s="14">
        <f>45.0478 * CHOOSE(CONTROL!$C$9, $D$9, 100%, $F$9) + CHOOSE(CONTROL!$C$27, 0.0021, 0)</f>
        <v>45.049900000000001</v>
      </c>
      <c r="F374" s="14">
        <f>45.0478 * CHOOSE(CONTROL!$C$9, $D$9, 100%, $F$9) + CHOOSE(CONTROL!$C$27, 0.0021, 0)</f>
        <v>45.049900000000001</v>
      </c>
      <c r="G374" s="14">
        <f>45.3191 * CHOOSE(CONTROL!$C$9, $D$9, 100%, $F$9) + CHOOSE(CONTROL!$C$27, 0.0021, 0)</f>
        <v>45.321199999999997</v>
      </c>
      <c r="H374" s="14">
        <f>45.1844 * CHOOSE(CONTROL!$C$9, $D$9, 100%, $F$9) + CHOOSE(CONTROL!$C$27, 0.0021, 0)</f>
        <v>45.186499999999995</v>
      </c>
      <c r="I374" s="14">
        <f>45.1844 * CHOOSE(CONTROL!$C$9, $D$9, 100%, $F$9) + CHOOSE(CONTROL!$C$27, 0.0021, 0)</f>
        <v>45.186499999999995</v>
      </c>
      <c r="J374" s="14">
        <f>45.1844 * CHOOSE(CONTROL!$C$9, $D$9, 100%, $F$9) + CHOOSE(CONTROL!$C$27, 0.0021, 0)</f>
        <v>45.186499999999995</v>
      </c>
      <c r="K374" s="14">
        <f>45.1844 * CHOOSE(CONTROL!$C$9, $D$9, 100%, $F$9) + CHOOSE(CONTROL!$C$27, 0.0021, 0)</f>
        <v>45.186499999999995</v>
      </c>
      <c r="L374" s="14"/>
    </row>
    <row r="375" spans="1:12" ht="15.75" x14ac:dyDescent="0.25">
      <c r="A375" s="33">
        <v>52351</v>
      </c>
      <c r="B375" s="14">
        <f>44.9875 * CHOOSE(CONTROL!$C$9, $D$9, 100%, $F$9) + CHOOSE(CONTROL!$C$27, 0.0021, 0)</f>
        <v>44.989599999999996</v>
      </c>
      <c r="C375" s="14">
        <f>44.5553 * CHOOSE(CONTROL!$C$9, $D$9, 100%, $F$9) + CHOOSE(CONTROL!$C$27, 0.0021, 0)</f>
        <v>44.557400000000001</v>
      </c>
      <c r="D375" s="14">
        <f>44.5553 * CHOOSE(CONTROL!$C$9, $D$9, 100%, $F$9) + CHOOSE(CONTROL!$C$27, 0.0021, 0)</f>
        <v>44.557400000000001</v>
      </c>
      <c r="E375" s="14">
        <f>44.4186 * CHOOSE(CONTROL!$C$9, $D$9, 100%, $F$9) + CHOOSE(CONTROL!$C$27, 0.0021, 0)</f>
        <v>44.420699999999997</v>
      </c>
      <c r="F375" s="14">
        <f>44.4186 * CHOOSE(CONTROL!$C$9, $D$9, 100%, $F$9) + CHOOSE(CONTROL!$C$27, 0.0021, 0)</f>
        <v>44.420699999999997</v>
      </c>
      <c r="G375" s="14">
        <f>44.69 * CHOOSE(CONTROL!$C$9, $D$9, 100%, $F$9) + CHOOSE(CONTROL!$C$27, 0.0021, 0)</f>
        <v>44.692099999999996</v>
      </c>
      <c r="H375" s="14">
        <f>44.5553 * CHOOSE(CONTROL!$C$9, $D$9, 100%, $F$9) + CHOOSE(CONTROL!$C$27, 0.0021, 0)</f>
        <v>44.557400000000001</v>
      </c>
      <c r="I375" s="14">
        <f>44.5553 * CHOOSE(CONTROL!$C$9, $D$9, 100%, $F$9) + CHOOSE(CONTROL!$C$27, 0.0021, 0)</f>
        <v>44.557400000000001</v>
      </c>
      <c r="J375" s="14">
        <f>44.5553 * CHOOSE(CONTROL!$C$9, $D$9, 100%, $F$9) + CHOOSE(CONTROL!$C$27, 0.0021, 0)</f>
        <v>44.557400000000001</v>
      </c>
      <c r="K375" s="14">
        <f>44.5553 * CHOOSE(CONTROL!$C$9, $D$9, 100%, $F$9) + CHOOSE(CONTROL!$C$27, 0.0021, 0)</f>
        <v>44.557400000000001</v>
      </c>
      <c r="L375" s="14"/>
    </row>
    <row r="376" spans="1:12" ht="15.75" x14ac:dyDescent="0.25">
      <c r="A376" s="33">
        <v>52382</v>
      </c>
      <c r="B376" s="14">
        <f>45.8841 * CHOOSE(CONTROL!$C$9, $D$9, 100%, $F$9) + CHOOSE(CONTROL!$C$27, 0.0021, 0)</f>
        <v>45.886199999999995</v>
      </c>
      <c r="C376" s="14">
        <f>45.4519 * CHOOSE(CONTROL!$C$9, $D$9, 100%, $F$9) + CHOOSE(CONTROL!$C$27, 0.0021, 0)</f>
        <v>45.454000000000001</v>
      </c>
      <c r="D376" s="14">
        <f>45.4519 * CHOOSE(CONTROL!$C$9, $D$9, 100%, $F$9) + CHOOSE(CONTROL!$C$27, 0.0021, 0)</f>
        <v>45.454000000000001</v>
      </c>
      <c r="E376" s="14">
        <f>45.3152 * CHOOSE(CONTROL!$C$9, $D$9, 100%, $F$9) + CHOOSE(CONTROL!$C$27, 0.0021, 0)</f>
        <v>45.317299999999996</v>
      </c>
      <c r="F376" s="14">
        <f>45.3152 * CHOOSE(CONTROL!$C$9, $D$9, 100%, $F$9) + CHOOSE(CONTROL!$C$27, 0.0021, 0)</f>
        <v>45.317299999999996</v>
      </c>
      <c r="G376" s="14">
        <f>45.5866 * CHOOSE(CONTROL!$C$9, $D$9, 100%, $F$9) + CHOOSE(CONTROL!$C$27, 0.0021, 0)</f>
        <v>45.588699999999996</v>
      </c>
      <c r="H376" s="14">
        <f>45.4519 * CHOOSE(CONTROL!$C$9, $D$9, 100%, $F$9) + CHOOSE(CONTROL!$C$27, 0.0021, 0)</f>
        <v>45.454000000000001</v>
      </c>
      <c r="I376" s="14">
        <f>45.4519 * CHOOSE(CONTROL!$C$9, $D$9, 100%, $F$9) + CHOOSE(CONTROL!$C$27, 0.0021, 0)</f>
        <v>45.454000000000001</v>
      </c>
      <c r="J376" s="14">
        <f>45.4519 * CHOOSE(CONTROL!$C$9, $D$9, 100%, $F$9) + CHOOSE(CONTROL!$C$27, 0.0021, 0)</f>
        <v>45.454000000000001</v>
      </c>
      <c r="K376" s="14">
        <f>45.4519 * CHOOSE(CONTROL!$C$9, $D$9, 100%, $F$9) + CHOOSE(CONTROL!$C$27, 0.0021, 0)</f>
        <v>45.454000000000001</v>
      </c>
      <c r="L376" s="14"/>
    </row>
    <row r="377" spans="1:12" ht="15.75" x14ac:dyDescent="0.25">
      <c r="A377" s="33">
        <v>52412</v>
      </c>
      <c r="B377" s="14">
        <f>46.4212 * CHOOSE(CONTROL!$C$9, $D$9, 100%, $F$9) + CHOOSE(CONTROL!$C$27, 0.0021, 0)</f>
        <v>46.423299999999998</v>
      </c>
      <c r="C377" s="14">
        <f>45.9889 * CHOOSE(CONTROL!$C$9, $D$9, 100%, $F$9) + CHOOSE(CONTROL!$C$27, 0.0021, 0)</f>
        <v>45.991</v>
      </c>
      <c r="D377" s="14">
        <f>45.9889 * CHOOSE(CONTROL!$C$9, $D$9, 100%, $F$9) + CHOOSE(CONTROL!$C$27, 0.0021, 0)</f>
        <v>45.991</v>
      </c>
      <c r="E377" s="14">
        <f>45.8523 * CHOOSE(CONTROL!$C$9, $D$9, 100%, $F$9) + CHOOSE(CONTROL!$C$27, 0.0021, 0)</f>
        <v>45.854399999999998</v>
      </c>
      <c r="F377" s="14">
        <f>45.8523 * CHOOSE(CONTROL!$C$9, $D$9, 100%, $F$9) + CHOOSE(CONTROL!$C$27, 0.0021, 0)</f>
        <v>45.854399999999998</v>
      </c>
      <c r="G377" s="14">
        <f>46.1236 * CHOOSE(CONTROL!$C$9, $D$9, 100%, $F$9) + CHOOSE(CONTROL!$C$27, 0.0021, 0)</f>
        <v>46.125700000000002</v>
      </c>
      <c r="H377" s="14">
        <f>45.9889 * CHOOSE(CONTROL!$C$9, $D$9, 100%, $F$9) + CHOOSE(CONTROL!$C$27, 0.0021, 0)</f>
        <v>45.991</v>
      </c>
      <c r="I377" s="14">
        <f>45.9889 * CHOOSE(CONTROL!$C$9, $D$9, 100%, $F$9) + CHOOSE(CONTROL!$C$27, 0.0021, 0)</f>
        <v>45.991</v>
      </c>
      <c r="J377" s="14">
        <f>45.9889 * CHOOSE(CONTROL!$C$9, $D$9, 100%, $F$9) + CHOOSE(CONTROL!$C$27, 0.0021, 0)</f>
        <v>45.991</v>
      </c>
      <c r="K377" s="14">
        <f>45.9889 * CHOOSE(CONTROL!$C$9, $D$9, 100%, $F$9) + CHOOSE(CONTROL!$C$27, 0.0021, 0)</f>
        <v>45.991</v>
      </c>
      <c r="L377" s="14"/>
    </row>
    <row r="378" spans="1:12" ht="15.75" x14ac:dyDescent="0.25">
      <c r="A378" s="33">
        <v>52443</v>
      </c>
      <c r="B378" s="14">
        <f>47.3071 * CHOOSE(CONTROL!$C$9, $D$9, 100%, $F$9) + CHOOSE(CONTROL!$C$27, 0.0021, 0)</f>
        <v>47.309199999999997</v>
      </c>
      <c r="C378" s="14">
        <f>46.8748 * CHOOSE(CONTROL!$C$9, $D$9, 100%, $F$9) + CHOOSE(CONTROL!$C$27, 0.0021, 0)</f>
        <v>46.876899999999999</v>
      </c>
      <c r="D378" s="14">
        <f>46.8748 * CHOOSE(CONTROL!$C$9, $D$9, 100%, $F$9) + CHOOSE(CONTROL!$C$27, 0.0021, 0)</f>
        <v>46.876899999999999</v>
      </c>
      <c r="E378" s="14">
        <f>46.7382 * CHOOSE(CONTROL!$C$9, $D$9, 100%, $F$9) + CHOOSE(CONTROL!$C$27, 0.0021, 0)</f>
        <v>46.740299999999998</v>
      </c>
      <c r="F378" s="14">
        <f>46.7382 * CHOOSE(CONTROL!$C$9, $D$9, 100%, $F$9) + CHOOSE(CONTROL!$C$27, 0.0021, 0)</f>
        <v>46.740299999999998</v>
      </c>
      <c r="G378" s="14">
        <f>47.0096 * CHOOSE(CONTROL!$C$9, $D$9, 100%, $F$9) + CHOOSE(CONTROL!$C$27, 0.0021, 0)</f>
        <v>47.011699999999998</v>
      </c>
      <c r="H378" s="14">
        <f>46.8748 * CHOOSE(CONTROL!$C$9, $D$9, 100%, $F$9) + CHOOSE(CONTROL!$C$27, 0.0021, 0)</f>
        <v>46.876899999999999</v>
      </c>
      <c r="I378" s="14">
        <f>46.8748 * CHOOSE(CONTROL!$C$9, $D$9, 100%, $F$9) + CHOOSE(CONTROL!$C$27, 0.0021, 0)</f>
        <v>46.876899999999999</v>
      </c>
      <c r="J378" s="14">
        <f>46.8748 * CHOOSE(CONTROL!$C$9, $D$9, 100%, $F$9) + CHOOSE(CONTROL!$C$27, 0.0021, 0)</f>
        <v>46.876899999999999</v>
      </c>
      <c r="K378" s="14">
        <f>46.8748 * CHOOSE(CONTROL!$C$9, $D$9, 100%, $F$9) + CHOOSE(CONTROL!$C$27, 0.0021, 0)</f>
        <v>46.876899999999999</v>
      </c>
      <c r="L378" s="14"/>
    </row>
    <row r="379" spans="1:12" ht="15.75" x14ac:dyDescent="0.25">
      <c r="A379" s="33">
        <v>52474</v>
      </c>
      <c r="B379" s="14">
        <f>47.5775 * CHOOSE(CONTROL!$C$9, $D$9, 100%, $F$9) + CHOOSE(CONTROL!$C$27, 0.0021, 0)</f>
        <v>47.579599999999999</v>
      </c>
      <c r="C379" s="14">
        <f>47.1453 * CHOOSE(CONTROL!$C$9, $D$9, 100%, $F$9) + CHOOSE(CONTROL!$C$27, 0.0021, 0)</f>
        <v>47.147399999999998</v>
      </c>
      <c r="D379" s="14">
        <f>47.1453 * CHOOSE(CONTROL!$C$9, $D$9, 100%, $F$9) + CHOOSE(CONTROL!$C$27, 0.0021, 0)</f>
        <v>47.147399999999998</v>
      </c>
      <c r="E379" s="14">
        <f>47.0086 * CHOOSE(CONTROL!$C$9, $D$9, 100%, $F$9) + CHOOSE(CONTROL!$C$27, 0.0021, 0)</f>
        <v>47.0107</v>
      </c>
      <c r="F379" s="14">
        <f>47.0086 * CHOOSE(CONTROL!$C$9, $D$9, 100%, $F$9) + CHOOSE(CONTROL!$C$27, 0.0021, 0)</f>
        <v>47.0107</v>
      </c>
      <c r="G379" s="14">
        <f>47.28 * CHOOSE(CONTROL!$C$9, $D$9, 100%, $F$9) + CHOOSE(CONTROL!$C$27, 0.0021, 0)</f>
        <v>47.2821</v>
      </c>
      <c r="H379" s="14">
        <f>47.1453 * CHOOSE(CONTROL!$C$9, $D$9, 100%, $F$9) + CHOOSE(CONTROL!$C$27, 0.0021, 0)</f>
        <v>47.147399999999998</v>
      </c>
      <c r="I379" s="14">
        <f>47.1453 * CHOOSE(CONTROL!$C$9, $D$9, 100%, $F$9) + CHOOSE(CONTROL!$C$27, 0.0021, 0)</f>
        <v>47.147399999999998</v>
      </c>
      <c r="J379" s="14">
        <f>47.1453 * CHOOSE(CONTROL!$C$9, $D$9, 100%, $F$9) + CHOOSE(CONTROL!$C$27, 0.0021, 0)</f>
        <v>47.147399999999998</v>
      </c>
      <c r="K379" s="14">
        <f>47.1453 * CHOOSE(CONTROL!$C$9, $D$9, 100%, $F$9) + CHOOSE(CONTROL!$C$27, 0.0021, 0)</f>
        <v>47.147399999999998</v>
      </c>
      <c r="L379" s="14"/>
    </row>
    <row r="380" spans="1:12" ht="15.75" x14ac:dyDescent="0.25">
      <c r="A380" s="33">
        <v>52504</v>
      </c>
      <c r="B380" s="14">
        <f>48.4984 * CHOOSE(CONTROL!$C$9, $D$9, 100%, $F$9) + CHOOSE(CONTROL!$C$27, 0.0021, 0)</f>
        <v>48.500499999999995</v>
      </c>
      <c r="C380" s="14">
        <f>48.0661 * CHOOSE(CONTROL!$C$9, $D$9, 100%, $F$9) + CHOOSE(CONTROL!$C$27, 0.0021, 0)</f>
        <v>48.068199999999997</v>
      </c>
      <c r="D380" s="14">
        <f>48.0661 * CHOOSE(CONTROL!$C$9, $D$9, 100%, $F$9) + CHOOSE(CONTROL!$C$27, 0.0021, 0)</f>
        <v>48.068199999999997</v>
      </c>
      <c r="E380" s="14">
        <f>47.9295 * CHOOSE(CONTROL!$C$9, $D$9, 100%, $F$9) + CHOOSE(CONTROL!$C$27, 0.0021, 0)</f>
        <v>47.931599999999996</v>
      </c>
      <c r="F380" s="14">
        <f>47.9295 * CHOOSE(CONTROL!$C$9, $D$9, 100%, $F$9) + CHOOSE(CONTROL!$C$27, 0.0021, 0)</f>
        <v>47.931599999999996</v>
      </c>
      <c r="G380" s="14">
        <f>48.2008 * CHOOSE(CONTROL!$C$9, $D$9, 100%, $F$9) + CHOOSE(CONTROL!$C$27, 0.0021, 0)</f>
        <v>48.2029</v>
      </c>
      <c r="H380" s="14">
        <f>48.0661 * CHOOSE(CONTROL!$C$9, $D$9, 100%, $F$9) + CHOOSE(CONTROL!$C$27, 0.0021, 0)</f>
        <v>48.068199999999997</v>
      </c>
      <c r="I380" s="14">
        <f>48.0661 * CHOOSE(CONTROL!$C$9, $D$9, 100%, $F$9) + CHOOSE(CONTROL!$C$27, 0.0021, 0)</f>
        <v>48.068199999999997</v>
      </c>
      <c r="J380" s="14">
        <f>48.0661 * CHOOSE(CONTROL!$C$9, $D$9, 100%, $F$9) + CHOOSE(CONTROL!$C$27, 0.0021, 0)</f>
        <v>48.068199999999997</v>
      </c>
      <c r="K380" s="14">
        <f>48.0661 * CHOOSE(CONTROL!$C$9, $D$9, 100%, $F$9) + CHOOSE(CONTROL!$C$27, 0.0021, 0)</f>
        <v>48.068199999999997</v>
      </c>
      <c r="L380" s="14"/>
    </row>
    <row r="381" spans="1:12" ht="15.75" x14ac:dyDescent="0.25">
      <c r="A381" s="33">
        <v>52535</v>
      </c>
      <c r="B381" s="14">
        <f>49.664 * CHOOSE(CONTROL!$C$9, $D$9, 100%, $F$9) + CHOOSE(CONTROL!$C$27, 0.0021, 0)</f>
        <v>49.6661</v>
      </c>
      <c r="C381" s="14">
        <f>49.2318 * CHOOSE(CONTROL!$C$9, $D$9, 100%, $F$9) + CHOOSE(CONTROL!$C$27, 0.0021, 0)</f>
        <v>49.233899999999998</v>
      </c>
      <c r="D381" s="14">
        <f>49.2318 * CHOOSE(CONTROL!$C$9, $D$9, 100%, $F$9) + CHOOSE(CONTROL!$C$27, 0.0021, 0)</f>
        <v>49.233899999999998</v>
      </c>
      <c r="E381" s="14">
        <f>49.0951 * CHOOSE(CONTROL!$C$9, $D$9, 100%, $F$9) + CHOOSE(CONTROL!$C$27, 0.0021, 0)</f>
        <v>49.097200000000001</v>
      </c>
      <c r="F381" s="14">
        <f>49.0951 * CHOOSE(CONTROL!$C$9, $D$9, 100%, $F$9) + CHOOSE(CONTROL!$C$27, 0.0021, 0)</f>
        <v>49.097200000000001</v>
      </c>
      <c r="G381" s="14">
        <f>49.3665 * CHOOSE(CONTROL!$C$9, $D$9, 100%, $F$9) + CHOOSE(CONTROL!$C$27, 0.0021, 0)</f>
        <v>49.368600000000001</v>
      </c>
      <c r="H381" s="14">
        <f>49.2318 * CHOOSE(CONTROL!$C$9, $D$9, 100%, $F$9) + CHOOSE(CONTROL!$C$27, 0.0021, 0)</f>
        <v>49.233899999999998</v>
      </c>
      <c r="I381" s="14">
        <f>49.2318 * CHOOSE(CONTROL!$C$9, $D$9, 100%, $F$9) + CHOOSE(CONTROL!$C$27, 0.0021, 0)</f>
        <v>49.233899999999998</v>
      </c>
      <c r="J381" s="14">
        <f>49.2318 * CHOOSE(CONTROL!$C$9, $D$9, 100%, $F$9) + CHOOSE(CONTROL!$C$27, 0.0021, 0)</f>
        <v>49.233899999999998</v>
      </c>
      <c r="K381" s="14">
        <f>49.2318 * CHOOSE(CONTROL!$C$9, $D$9, 100%, $F$9) + CHOOSE(CONTROL!$C$27, 0.0021, 0)</f>
        <v>49.233899999999998</v>
      </c>
      <c r="L381" s="14"/>
    </row>
    <row r="382" spans="1:12" ht="15.75" x14ac:dyDescent="0.25">
      <c r="A382" s="33">
        <v>52565</v>
      </c>
      <c r="B382" s="14">
        <f>49.7735 * CHOOSE(CONTROL!$C$9, $D$9, 100%, $F$9) + CHOOSE(CONTROL!$C$27, 0.0021, 0)</f>
        <v>49.775599999999997</v>
      </c>
      <c r="C382" s="14">
        <f>49.3412 * CHOOSE(CONTROL!$C$9, $D$9, 100%, $F$9) + CHOOSE(CONTROL!$C$27, 0.0021, 0)</f>
        <v>49.343299999999999</v>
      </c>
      <c r="D382" s="14">
        <f>49.3412 * CHOOSE(CONTROL!$C$9, $D$9, 100%, $F$9) + CHOOSE(CONTROL!$C$27, 0.0021, 0)</f>
        <v>49.343299999999999</v>
      </c>
      <c r="E382" s="14">
        <f>49.2046 * CHOOSE(CONTROL!$C$9, $D$9, 100%, $F$9) + CHOOSE(CONTROL!$C$27, 0.0021, 0)</f>
        <v>49.206699999999998</v>
      </c>
      <c r="F382" s="14">
        <f>49.2046 * CHOOSE(CONTROL!$C$9, $D$9, 100%, $F$9) + CHOOSE(CONTROL!$C$27, 0.0021, 0)</f>
        <v>49.206699999999998</v>
      </c>
      <c r="G382" s="14">
        <f>49.4759 * CHOOSE(CONTROL!$C$9, $D$9, 100%, $F$9) + CHOOSE(CONTROL!$C$27, 0.0021, 0)</f>
        <v>49.478000000000002</v>
      </c>
      <c r="H382" s="14">
        <f>49.3412 * CHOOSE(CONTROL!$C$9, $D$9, 100%, $F$9) + CHOOSE(CONTROL!$C$27, 0.0021, 0)</f>
        <v>49.343299999999999</v>
      </c>
      <c r="I382" s="14">
        <f>49.3412 * CHOOSE(CONTROL!$C$9, $D$9, 100%, $F$9) + CHOOSE(CONTROL!$C$27, 0.0021, 0)</f>
        <v>49.343299999999999</v>
      </c>
      <c r="J382" s="14">
        <f>49.3412 * CHOOSE(CONTROL!$C$9, $D$9, 100%, $F$9) + CHOOSE(CONTROL!$C$27, 0.0021, 0)</f>
        <v>49.343299999999999</v>
      </c>
      <c r="K382" s="14">
        <f>49.3412 * CHOOSE(CONTROL!$C$9, $D$9, 100%, $F$9) + CHOOSE(CONTROL!$C$27, 0.0021, 0)</f>
        <v>49.343299999999999</v>
      </c>
      <c r="L382" s="14"/>
    </row>
    <row r="383" spans="1:12" ht="15.75" x14ac:dyDescent="0.25">
      <c r="A383" s="33">
        <v>52596</v>
      </c>
      <c r="B383" s="14">
        <f>48.8425 * CHOOSE(CONTROL!$C$9, $D$9, 100%, $F$9) + CHOOSE(CONTROL!$C$27, 0.0021, 0)</f>
        <v>48.8446</v>
      </c>
      <c r="C383" s="14">
        <f>48.4102 * CHOOSE(CONTROL!$C$9, $D$9, 100%, $F$9) + CHOOSE(CONTROL!$C$27, 0.0021, 0)</f>
        <v>48.412300000000002</v>
      </c>
      <c r="D383" s="14">
        <f>48.4102 * CHOOSE(CONTROL!$C$9, $D$9, 100%, $F$9) + CHOOSE(CONTROL!$C$27, 0.0021, 0)</f>
        <v>48.412300000000002</v>
      </c>
      <c r="E383" s="14">
        <f>48.2736 * CHOOSE(CONTROL!$C$9, $D$9, 100%, $F$9) + CHOOSE(CONTROL!$C$27, 0.0021, 0)</f>
        <v>48.275700000000001</v>
      </c>
      <c r="F383" s="14">
        <f>48.2736 * CHOOSE(CONTROL!$C$9, $D$9, 100%, $F$9) + CHOOSE(CONTROL!$C$27, 0.0021, 0)</f>
        <v>48.275700000000001</v>
      </c>
      <c r="G383" s="14">
        <f>48.5449 * CHOOSE(CONTROL!$C$9, $D$9, 100%, $F$9) + CHOOSE(CONTROL!$C$27, 0.0021, 0)</f>
        <v>48.546999999999997</v>
      </c>
      <c r="H383" s="14">
        <f>48.4102 * CHOOSE(CONTROL!$C$9, $D$9, 100%, $F$9) + CHOOSE(CONTROL!$C$27, 0.0021, 0)</f>
        <v>48.412300000000002</v>
      </c>
      <c r="I383" s="14">
        <f>48.4102 * CHOOSE(CONTROL!$C$9, $D$9, 100%, $F$9) + CHOOSE(CONTROL!$C$27, 0.0021, 0)</f>
        <v>48.412300000000002</v>
      </c>
      <c r="J383" s="14">
        <f>48.4102 * CHOOSE(CONTROL!$C$9, $D$9, 100%, $F$9) + CHOOSE(CONTROL!$C$27, 0.0021, 0)</f>
        <v>48.412300000000002</v>
      </c>
      <c r="K383" s="14">
        <f>48.4102 * CHOOSE(CONTROL!$C$9, $D$9, 100%, $F$9) + CHOOSE(CONTROL!$C$27, 0.0021, 0)</f>
        <v>48.412300000000002</v>
      </c>
      <c r="L383" s="14"/>
    </row>
    <row r="384" spans="1:12" ht="15.75" x14ac:dyDescent="0.25">
      <c r="A384" s="33">
        <v>52627</v>
      </c>
      <c r="B384" s="14">
        <f>48.254 * CHOOSE(CONTROL!$C$9, $D$9, 100%, $F$9) + CHOOSE(CONTROL!$C$27, 0.0021, 0)</f>
        <v>48.256099999999996</v>
      </c>
      <c r="C384" s="14">
        <f>47.8218 * CHOOSE(CONTROL!$C$9, $D$9, 100%, $F$9) + CHOOSE(CONTROL!$C$27, 0.0021, 0)</f>
        <v>47.823900000000002</v>
      </c>
      <c r="D384" s="14">
        <f>47.8218 * CHOOSE(CONTROL!$C$9, $D$9, 100%, $F$9) + CHOOSE(CONTROL!$C$27, 0.0021, 0)</f>
        <v>47.823900000000002</v>
      </c>
      <c r="E384" s="14">
        <f>47.6851 * CHOOSE(CONTROL!$C$9, $D$9, 100%, $F$9) + CHOOSE(CONTROL!$C$27, 0.0021, 0)</f>
        <v>47.687199999999997</v>
      </c>
      <c r="F384" s="14">
        <f>47.6851 * CHOOSE(CONTROL!$C$9, $D$9, 100%, $F$9) + CHOOSE(CONTROL!$C$27, 0.0021, 0)</f>
        <v>47.687199999999997</v>
      </c>
      <c r="G384" s="14">
        <f>47.9565 * CHOOSE(CONTROL!$C$9, $D$9, 100%, $F$9) + CHOOSE(CONTROL!$C$27, 0.0021, 0)</f>
        <v>47.958599999999997</v>
      </c>
      <c r="H384" s="14">
        <f>47.8218 * CHOOSE(CONTROL!$C$9, $D$9, 100%, $F$9) + CHOOSE(CONTROL!$C$27, 0.0021, 0)</f>
        <v>47.823900000000002</v>
      </c>
      <c r="I384" s="14">
        <f>47.8218 * CHOOSE(CONTROL!$C$9, $D$9, 100%, $F$9) + CHOOSE(CONTROL!$C$27, 0.0021, 0)</f>
        <v>47.823900000000002</v>
      </c>
      <c r="J384" s="14">
        <f>47.8218 * CHOOSE(CONTROL!$C$9, $D$9, 100%, $F$9) + CHOOSE(CONTROL!$C$27, 0.0021, 0)</f>
        <v>47.823900000000002</v>
      </c>
      <c r="K384" s="14">
        <f>47.8218 * CHOOSE(CONTROL!$C$9, $D$9, 100%, $F$9) + CHOOSE(CONTROL!$C$27, 0.0021, 0)</f>
        <v>47.823900000000002</v>
      </c>
      <c r="L384" s="14"/>
    </row>
    <row r="385" spans="1:12" ht="15.75" x14ac:dyDescent="0.25">
      <c r="A385" s="33">
        <v>52655</v>
      </c>
      <c r="B385" s="14">
        <f>46.954 * CHOOSE(CONTROL!$C$9, $D$9, 100%, $F$9) + CHOOSE(CONTROL!$C$27, 0.0021, 0)</f>
        <v>46.956099999999999</v>
      </c>
      <c r="C385" s="14">
        <f>46.5218 * CHOOSE(CONTROL!$C$9, $D$9, 100%, $F$9) + CHOOSE(CONTROL!$C$27, 0.0021, 0)</f>
        <v>46.523899999999998</v>
      </c>
      <c r="D385" s="14">
        <f>46.5218 * CHOOSE(CONTROL!$C$9, $D$9, 100%, $F$9) + CHOOSE(CONTROL!$C$27, 0.0021, 0)</f>
        <v>46.523899999999998</v>
      </c>
      <c r="E385" s="14">
        <f>46.3851 * CHOOSE(CONTROL!$C$9, $D$9, 100%, $F$9) + CHOOSE(CONTROL!$C$27, 0.0021, 0)</f>
        <v>46.3872</v>
      </c>
      <c r="F385" s="14">
        <f>46.3851 * CHOOSE(CONTROL!$C$9, $D$9, 100%, $F$9) + CHOOSE(CONTROL!$C$27, 0.0021, 0)</f>
        <v>46.3872</v>
      </c>
      <c r="G385" s="14">
        <f>46.6565 * CHOOSE(CONTROL!$C$9, $D$9, 100%, $F$9) + CHOOSE(CONTROL!$C$27, 0.0021, 0)</f>
        <v>46.6586</v>
      </c>
      <c r="H385" s="14">
        <f>46.5218 * CHOOSE(CONTROL!$C$9, $D$9, 100%, $F$9) + CHOOSE(CONTROL!$C$27, 0.0021, 0)</f>
        <v>46.523899999999998</v>
      </c>
      <c r="I385" s="14">
        <f>46.5218 * CHOOSE(CONTROL!$C$9, $D$9, 100%, $F$9) + CHOOSE(CONTROL!$C$27, 0.0021, 0)</f>
        <v>46.523899999999998</v>
      </c>
      <c r="J385" s="14">
        <f>46.5218 * CHOOSE(CONTROL!$C$9, $D$9, 100%, $F$9) + CHOOSE(CONTROL!$C$27, 0.0021, 0)</f>
        <v>46.523899999999998</v>
      </c>
      <c r="K385" s="14">
        <f>46.5218 * CHOOSE(CONTROL!$C$9, $D$9, 100%, $F$9) + CHOOSE(CONTROL!$C$27, 0.0021, 0)</f>
        <v>46.523899999999998</v>
      </c>
      <c r="L385" s="14"/>
    </row>
    <row r="386" spans="1:12" ht="15.75" x14ac:dyDescent="0.25">
      <c r="A386" s="33">
        <v>52687</v>
      </c>
      <c r="B386" s="14">
        <f>46.4173 * CHOOSE(CONTROL!$C$9, $D$9, 100%, $F$9) + CHOOSE(CONTROL!$C$27, 0.0021, 0)</f>
        <v>46.419399999999996</v>
      </c>
      <c r="C386" s="14">
        <f>45.9851 * CHOOSE(CONTROL!$C$9, $D$9, 100%, $F$9) + CHOOSE(CONTROL!$C$27, 0.0021, 0)</f>
        <v>45.987200000000001</v>
      </c>
      <c r="D386" s="14">
        <f>45.9851 * CHOOSE(CONTROL!$C$9, $D$9, 100%, $F$9) + CHOOSE(CONTROL!$C$27, 0.0021, 0)</f>
        <v>45.987200000000001</v>
      </c>
      <c r="E386" s="14">
        <f>45.8484 * CHOOSE(CONTROL!$C$9, $D$9, 100%, $F$9) + CHOOSE(CONTROL!$C$27, 0.0021, 0)</f>
        <v>45.850499999999997</v>
      </c>
      <c r="F386" s="14">
        <f>45.8484 * CHOOSE(CONTROL!$C$9, $D$9, 100%, $F$9) + CHOOSE(CONTROL!$C$27, 0.0021, 0)</f>
        <v>45.850499999999997</v>
      </c>
      <c r="G386" s="14">
        <f>46.1198 * CHOOSE(CONTROL!$C$9, $D$9, 100%, $F$9) + CHOOSE(CONTROL!$C$27, 0.0021, 0)</f>
        <v>46.121899999999997</v>
      </c>
      <c r="H386" s="14">
        <f>45.9851 * CHOOSE(CONTROL!$C$9, $D$9, 100%, $F$9) + CHOOSE(CONTROL!$C$27, 0.0021, 0)</f>
        <v>45.987200000000001</v>
      </c>
      <c r="I386" s="14">
        <f>45.9851 * CHOOSE(CONTROL!$C$9, $D$9, 100%, $F$9) + CHOOSE(CONTROL!$C$27, 0.0021, 0)</f>
        <v>45.987200000000001</v>
      </c>
      <c r="J386" s="14">
        <f>45.9851 * CHOOSE(CONTROL!$C$9, $D$9, 100%, $F$9) + CHOOSE(CONTROL!$C$27, 0.0021, 0)</f>
        <v>45.987200000000001</v>
      </c>
      <c r="K386" s="14">
        <f>45.9851 * CHOOSE(CONTROL!$C$9, $D$9, 100%, $F$9) + CHOOSE(CONTROL!$C$27, 0.0021, 0)</f>
        <v>45.987200000000001</v>
      </c>
      <c r="L386" s="14"/>
    </row>
    <row r="387" spans="1:12" ht="15.75" x14ac:dyDescent="0.25">
      <c r="A387" s="33">
        <v>52717</v>
      </c>
      <c r="B387" s="14">
        <f>45.7766 * CHOOSE(CONTROL!$C$9, $D$9, 100%, $F$9) + CHOOSE(CONTROL!$C$27, 0.0021, 0)</f>
        <v>45.778700000000001</v>
      </c>
      <c r="C387" s="14">
        <f>45.3443 * CHOOSE(CONTROL!$C$9, $D$9, 100%, $F$9) + CHOOSE(CONTROL!$C$27, 0.0021, 0)</f>
        <v>45.346399999999996</v>
      </c>
      <c r="D387" s="14">
        <f>45.3443 * CHOOSE(CONTROL!$C$9, $D$9, 100%, $F$9) + CHOOSE(CONTROL!$C$27, 0.0021, 0)</f>
        <v>45.346399999999996</v>
      </c>
      <c r="E387" s="14">
        <f>45.2077 * CHOOSE(CONTROL!$C$9, $D$9, 100%, $F$9) + CHOOSE(CONTROL!$C$27, 0.0021, 0)</f>
        <v>45.209800000000001</v>
      </c>
      <c r="F387" s="14">
        <f>45.2077 * CHOOSE(CONTROL!$C$9, $D$9, 100%, $F$9) + CHOOSE(CONTROL!$C$27, 0.0021, 0)</f>
        <v>45.209800000000001</v>
      </c>
      <c r="G387" s="14">
        <f>45.479 * CHOOSE(CONTROL!$C$9, $D$9, 100%, $F$9) + CHOOSE(CONTROL!$C$27, 0.0021, 0)</f>
        <v>45.481099999999998</v>
      </c>
      <c r="H387" s="14">
        <f>45.3443 * CHOOSE(CONTROL!$C$9, $D$9, 100%, $F$9) + CHOOSE(CONTROL!$C$27, 0.0021, 0)</f>
        <v>45.346399999999996</v>
      </c>
      <c r="I387" s="14">
        <f>45.3443 * CHOOSE(CONTROL!$C$9, $D$9, 100%, $F$9) + CHOOSE(CONTROL!$C$27, 0.0021, 0)</f>
        <v>45.346399999999996</v>
      </c>
      <c r="J387" s="14">
        <f>45.3443 * CHOOSE(CONTROL!$C$9, $D$9, 100%, $F$9) + CHOOSE(CONTROL!$C$27, 0.0021, 0)</f>
        <v>45.346399999999996</v>
      </c>
      <c r="K387" s="14">
        <f>45.3443 * CHOOSE(CONTROL!$C$9, $D$9, 100%, $F$9) + CHOOSE(CONTROL!$C$27, 0.0021, 0)</f>
        <v>45.346399999999996</v>
      </c>
      <c r="L387" s="14"/>
    </row>
    <row r="388" spans="1:12" ht="15.75" x14ac:dyDescent="0.25">
      <c r="A388" s="33">
        <v>52748</v>
      </c>
      <c r="B388" s="14">
        <f>46.6897 * CHOOSE(CONTROL!$C$9, $D$9, 100%, $F$9) + CHOOSE(CONTROL!$C$27, 0.0021, 0)</f>
        <v>46.691800000000001</v>
      </c>
      <c r="C388" s="14">
        <f>46.2575 * CHOOSE(CONTROL!$C$9, $D$9, 100%, $F$9) + CHOOSE(CONTROL!$C$27, 0.0021, 0)</f>
        <v>46.259599999999999</v>
      </c>
      <c r="D388" s="14">
        <f>46.2575 * CHOOSE(CONTROL!$C$9, $D$9, 100%, $F$9) + CHOOSE(CONTROL!$C$27, 0.0021, 0)</f>
        <v>46.259599999999999</v>
      </c>
      <c r="E388" s="14">
        <f>46.1208 * CHOOSE(CONTROL!$C$9, $D$9, 100%, $F$9) + CHOOSE(CONTROL!$C$27, 0.0021, 0)</f>
        <v>46.122900000000001</v>
      </c>
      <c r="F388" s="14">
        <f>46.1208 * CHOOSE(CONTROL!$C$9, $D$9, 100%, $F$9) + CHOOSE(CONTROL!$C$27, 0.0021, 0)</f>
        <v>46.122900000000001</v>
      </c>
      <c r="G388" s="14">
        <f>46.3922 * CHOOSE(CONTROL!$C$9, $D$9, 100%, $F$9) + CHOOSE(CONTROL!$C$27, 0.0021, 0)</f>
        <v>46.394300000000001</v>
      </c>
      <c r="H388" s="14">
        <f>46.2575 * CHOOSE(CONTROL!$C$9, $D$9, 100%, $F$9) + CHOOSE(CONTROL!$C$27, 0.0021, 0)</f>
        <v>46.259599999999999</v>
      </c>
      <c r="I388" s="14">
        <f>46.2575 * CHOOSE(CONTROL!$C$9, $D$9, 100%, $F$9) + CHOOSE(CONTROL!$C$27, 0.0021, 0)</f>
        <v>46.259599999999999</v>
      </c>
      <c r="J388" s="14">
        <f>46.2575 * CHOOSE(CONTROL!$C$9, $D$9, 100%, $F$9) + CHOOSE(CONTROL!$C$27, 0.0021, 0)</f>
        <v>46.259599999999999</v>
      </c>
      <c r="K388" s="14">
        <f>46.2575 * CHOOSE(CONTROL!$C$9, $D$9, 100%, $F$9) + CHOOSE(CONTROL!$C$27, 0.0021, 0)</f>
        <v>46.259599999999999</v>
      </c>
      <c r="L388" s="14"/>
    </row>
    <row r="389" spans="1:12" ht="15.75" x14ac:dyDescent="0.25">
      <c r="A389" s="33">
        <v>52778</v>
      </c>
      <c r="B389" s="14">
        <f>47.2367 * CHOOSE(CONTROL!$C$9, $D$9, 100%, $F$9) + CHOOSE(CONTROL!$C$27, 0.0021, 0)</f>
        <v>47.238799999999998</v>
      </c>
      <c r="C389" s="14">
        <f>46.8045 * CHOOSE(CONTROL!$C$9, $D$9, 100%, $F$9) + CHOOSE(CONTROL!$C$27, 0.0021, 0)</f>
        <v>46.806599999999996</v>
      </c>
      <c r="D389" s="14">
        <f>46.8045 * CHOOSE(CONTROL!$C$9, $D$9, 100%, $F$9) + CHOOSE(CONTROL!$C$27, 0.0021, 0)</f>
        <v>46.806599999999996</v>
      </c>
      <c r="E389" s="14">
        <f>46.6678 * CHOOSE(CONTROL!$C$9, $D$9, 100%, $F$9) + CHOOSE(CONTROL!$C$27, 0.0021, 0)</f>
        <v>46.669899999999998</v>
      </c>
      <c r="F389" s="14">
        <f>46.6678 * CHOOSE(CONTROL!$C$9, $D$9, 100%, $F$9) + CHOOSE(CONTROL!$C$27, 0.0021, 0)</f>
        <v>46.669899999999998</v>
      </c>
      <c r="G389" s="14">
        <f>46.9392 * CHOOSE(CONTROL!$C$9, $D$9, 100%, $F$9) + CHOOSE(CONTROL!$C$27, 0.0021, 0)</f>
        <v>46.941299999999998</v>
      </c>
      <c r="H389" s="14">
        <f>46.8045 * CHOOSE(CONTROL!$C$9, $D$9, 100%, $F$9) + CHOOSE(CONTROL!$C$27, 0.0021, 0)</f>
        <v>46.806599999999996</v>
      </c>
      <c r="I389" s="14">
        <f>46.8045 * CHOOSE(CONTROL!$C$9, $D$9, 100%, $F$9) + CHOOSE(CONTROL!$C$27, 0.0021, 0)</f>
        <v>46.806599999999996</v>
      </c>
      <c r="J389" s="14">
        <f>46.8045 * CHOOSE(CONTROL!$C$9, $D$9, 100%, $F$9) + CHOOSE(CONTROL!$C$27, 0.0021, 0)</f>
        <v>46.806599999999996</v>
      </c>
      <c r="K389" s="14">
        <f>46.8045 * CHOOSE(CONTROL!$C$9, $D$9, 100%, $F$9) + CHOOSE(CONTROL!$C$27, 0.0021, 0)</f>
        <v>46.806599999999996</v>
      </c>
      <c r="L389" s="14"/>
    </row>
    <row r="390" spans="1:12" ht="15.75" x14ac:dyDescent="0.25">
      <c r="A390" s="33">
        <v>52809</v>
      </c>
      <c r="B390" s="14">
        <f>48.139 * CHOOSE(CONTROL!$C$9, $D$9, 100%, $F$9) + CHOOSE(CONTROL!$C$27, 0.0021, 0)</f>
        <v>48.141100000000002</v>
      </c>
      <c r="C390" s="14">
        <f>47.7068 * CHOOSE(CONTROL!$C$9, $D$9, 100%, $F$9) + CHOOSE(CONTROL!$C$27, 0.0021, 0)</f>
        <v>47.7089</v>
      </c>
      <c r="D390" s="14">
        <f>47.7068 * CHOOSE(CONTROL!$C$9, $D$9, 100%, $F$9) + CHOOSE(CONTROL!$C$27, 0.0021, 0)</f>
        <v>47.7089</v>
      </c>
      <c r="E390" s="14">
        <f>47.5701 * CHOOSE(CONTROL!$C$9, $D$9, 100%, $F$9) + CHOOSE(CONTROL!$C$27, 0.0021, 0)</f>
        <v>47.572199999999995</v>
      </c>
      <c r="F390" s="14">
        <f>47.5701 * CHOOSE(CONTROL!$C$9, $D$9, 100%, $F$9) + CHOOSE(CONTROL!$C$27, 0.0021, 0)</f>
        <v>47.572199999999995</v>
      </c>
      <c r="G390" s="14">
        <f>47.8415 * CHOOSE(CONTROL!$C$9, $D$9, 100%, $F$9) + CHOOSE(CONTROL!$C$27, 0.0021, 0)</f>
        <v>47.843600000000002</v>
      </c>
      <c r="H390" s="14">
        <f>47.7068 * CHOOSE(CONTROL!$C$9, $D$9, 100%, $F$9) + CHOOSE(CONTROL!$C$27, 0.0021, 0)</f>
        <v>47.7089</v>
      </c>
      <c r="I390" s="14">
        <f>47.7068 * CHOOSE(CONTROL!$C$9, $D$9, 100%, $F$9) + CHOOSE(CONTROL!$C$27, 0.0021, 0)</f>
        <v>47.7089</v>
      </c>
      <c r="J390" s="14">
        <f>47.7068 * CHOOSE(CONTROL!$C$9, $D$9, 100%, $F$9) + CHOOSE(CONTROL!$C$27, 0.0021, 0)</f>
        <v>47.7089</v>
      </c>
      <c r="K390" s="14">
        <f>47.7068 * CHOOSE(CONTROL!$C$9, $D$9, 100%, $F$9) + CHOOSE(CONTROL!$C$27, 0.0021, 0)</f>
        <v>47.7089</v>
      </c>
      <c r="L390" s="14"/>
    </row>
    <row r="391" spans="1:12" ht="15.75" x14ac:dyDescent="0.25">
      <c r="A391" s="33">
        <v>52840</v>
      </c>
      <c r="B391" s="14">
        <f>48.4144 * CHOOSE(CONTROL!$C$9, $D$9, 100%, $F$9) + CHOOSE(CONTROL!$C$27, 0.0021, 0)</f>
        <v>48.416499999999999</v>
      </c>
      <c r="C391" s="14">
        <f>47.9822 * CHOOSE(CONTROL!$C$9, $D$9, 100%, $F$9) + CHOOSE(CONTROL!$C$27, 0.0021, 0)</f>
        <v>47.984299999999998</v>
      </c>
      <c r="D391" s="14">
        <f>47.9822 * CHOOSE(CONTROL!$C$9, $D$9, 100%, $F$9) + CHOOSE(CONTROL!$C$27, 0.0021, 0)</f>
        <v>47.984299999999998</v>
      </c>
      <c r="E391" s="14">
        <f>47.8455 * CHOOSE(CONTROL!$C$9, $D$9, 100%, $F$9) + CHOOSE(CONTROL!$C$27, 0.0021, 0)</f>
        <v>47.8476</v>
      </c>
      <c r="F391" s="14">
        <f>47.8455 * CHOOSE(CONTROL!$C$9, $D$9, 100%, $F$9) + CHOOSE(CONTROL!$C$27, 0.0021, 0)</f>
        <v>47.8476</v>
      </c>
      <c r="G391" s="14">
        <f>48.1169 * CHOOSE(CONTROL!$C$9, $D$9, 100%, $F$9) + CHOOSE(CONTROL!$C$27, 0.0021, 0)</f>
        <v>48.119</v>
      </c>
      <c r="H391" s="14">
        <f>47.9822 * CHOOSE(CONTROL!$C$9, $D$9, 100%, $F$9) + CHOOSE(CONTROL!$C$27, 0.0021, 0)</f>
        <v>47.984299999999998</v>
      </c>
      <c r="I391" s="14">
        <f>47.9822 * CHOOSE(CONTROL!$C$9, $D$9, 100%, $F$9) + CHOOSE(CONTROL!$C$27, 0.0021, 0)</f>
        <v>47.984299999999998</v>
      </c>
      <c r="J391" s="14">
        <f>47.9822 * CHOOSE(CONTROL!$C$9, $D$9, 100%, $F$9) + CHOOSE(CONTROL!$C$27, 0.0021, 0)</f>
        <v>47.984299999999998</v>
      </c>
      <c r="K391" s="14">
        <f>47.9822 * CHOOSE(CONTROL!$C$9, $D$9, 100%, $F$9) + CHOOSE(CONTROL!$C$27, 0.0021, 0)</f>
        <v>47.984299999999998</v>
      </c>
      <c r="L391" s="14"/>
    </row>
    <row r="392" spans="1:12" ht="15.75" x14ac:dyDescent="0.25">
      <c r="A392" s="33">
        <v>52870</v>
      </c>
      <c r="B392" s="14">
        <f>49.3523 * CHOOSE(CONTROL!$C$9, $D$9, 100%, $F$9) + CHOOSE(CONTROL!$C$27, 0.0021, 0)</f>
        <v>49.354399999999998</v>
      </c>
      <c r="C392" s="14">
        <f>48.9201 * CHOOSE(CONTROL!$C$9, $D$9, 100%, $F$9) + CHOOSE(CONTROL!$C$27, 0.0021, 0)</f>
        <v>48.922199999999997</v>
      </c>
      <c r="D392" s="14">
        <f>48.9201 * CHOOSE(CONTROL!$C$9, $D$9, 100%, $F$9) + CHOOSE(CONTROL!$C$27, 0.0021, 0)</f>
        <v>48.922199999999997</v>
      </c>
      <c r="E392" s="14">
        <f>48.7834 * CHOOSE(CONTROL!$C$9, $D$9, 100%, $F$9) + CHOOSE(CONTROL!$C$27, 0.0021, 0)</f>
        <v>48.785499999999999</v>
      </c>
      <c r="F392" s="14">
        <f>48.7834 * CHOOSE(CONTROL!$C$9, $D$9, 100%, $F$9) + CHOOSE(CONTROL!$C$27, 0.0021, 0)</f>
        <v>48.785499999999999</v>
      </c>
      <c r="G392" s="14">
        <f>49.0548 * CHOOSE(CONTROL!$C$9, $D$9, 100%, $F$9) + CHOOSE(CONTROL!$C$27, 0.0021, 0)</f>
        <v>49.056899999999999</v>
      </c>
      <c r="H392" s="14">
        <f>48.9201 * CHOOSE(CONTROL!$C$9, $D$9, 100%, $F$9) + CHOOSE(CONTROL!$C$27, 0.0021, 0)</f>
        <v>48.922199999999997</v>
      </c>
      <c r="I392" s="14">
        <f>48.9201 * CHOOSE(CONTROL!$C$9, $D$9, 100%, $F$9) + CHOOSE(CONTROL!$C$27, 0.0021, 0)</f>
        <v>48.922199999999997</v>
      </c>
      <c r="J392" s="14">
        <f>48.9201 * CHOOSE(CONTROL!$C$9, $D$9, 100%, $F$9) + CHOOSE(CONTROL!$C$27, 0.0021, 0)</f>
        <v>48.922199999999997</v>
      </c>
      <c r="K392" s="14">
        <f>48.9201 * CHOOSE(CONTROL!$C$9, $D$9, 100%, $F$9) + CHOOSE(CONTROL!$C$27, 0.0021, 0)</f>
        <v>48.922199999999997</v>
      </c>
      <c r="L392" s="14"/>
    </row>
    <row r="393" spans="1:12" ht="15.75" x14ac:dyDescent="0.25">
      <c r="A393" s="33">
        <v>52901</v>
      </c>
      <c r="B393" s="14">
        <f>50.5395 * CHOOSE(CONTROL!$C$9, $D$9, 100%, $F$9) + CHOOSE(CONTROL!$C$27, 0.0021, 0)</f>
        <v>50.541599999999995</v>
      </c>
      <c r="C393" s="14">
        <f>50.1073 * CHOOSE(CONTROL!$C$9, $D$9, 100%, $F$9) + CHOOSE(CONTROL!$C$27, 0.0021, 0)</f>
        <v>50.109400000000001</v>
      </c>
      <c r="D393" s="14">
        <f>50.1073 * CHOOSE(CONTROL!$C$9, $D$9, 100%, $F$9) + CHOOSE(CONTROL!$C$27, 0.0021, 0)</f>
        <v>50.109400000000001</v>
      </c>
      <c r="E393" s="14">
        <f>49.9706 * CHOOSE(CONTROL!$C$9, $D$9, 100%, $F$9) + CHOOSE(CONTROL!$C$27, 0.0021, 0)</f>
        <v>49.972699999999996</v>
      </c>
      <c r="F393" s="14">
        <f>49.9706 * CHOOSE(CONTROL!$C$9, $D$9, 100%, $F$9) + CHOOSE(CONTROL!$C$27, 0.0021, 0)</f>
        <v>49.972699999999996</v>
      </c>
      <c r="G393" s="14">
        <f>50.242 * CHOOSE(CONTROL!$C$9, $D$9, 100%, $F$9) + CHOOSE(CONTROL!$C$27, 0.0021, 0)</f>
        <v>50.244099999999996</v>
      </c>
      <c r="H393" s="14">
        <f>50.1073 * CHOOSE(CONTROL!$C$9, $D$9, 100%, $F$9) + CHOOSE(CONTROL!$C$27, 0.0021, 0)</f>
        <v>50.109400000000001</v>
      </c>
      <c r="I393" s="14">
        <f>50.1073 * CHOOSE(CONTROL!$C$9, $D$9, 100%, $F$9) + CHOOSE(CONTROL!$C$27, 0.0021, 0)</f>
        <v>50.109400000000001</v>
      </c>
      <c r="J393" s="14">
        <f>50.1073 * CHOOSE(CONTROL!$C$9, $D$9, 100%, $F$9) + CHOOSE(CONTROL!$C$27, 0.0021, 0)</f>
        <v>50.109400000000001</v>
      </c>
      <c r="K393" s="14">
        <f>50.1073 * CHOOSE(CONTROL!$C$9, $D$9, 100%, $F$9) + CHOOSE(CONTROL!$C$27, 0.0021, 0)</f>
        <v>50.109400000000001</v>
      </c>
      <c r="L393" s="14"/>
    </row>
    <row r="394" spans="1:12" ht="15.75" x14ac:dyDescent="0.25">
      <c r="A394" s="33">
        <v>52931</v>
      </c>
      <c r="B394" s="14">
        <f>50.651 * CHOOSE(CONTROL!$C$9, $D$9, 100%, $F$9) + CHOOSE(CONTROL!$C$27, 0.0021, 0)</f>
        <v>50.653100000000002</v>
      </c>
      <c r="C394" s="14">
        <f>50.2187 * CHOOSE(CONTROL!$C$9, $D$9, 100%, $F$9) + CHOOSE(CONTROL!$C$27, 0.0021, 0)</f>
        <v>50.220799999999997</v>
      </c>
      <c r="D394" s="14">
        <f>50.2187 * CHOOSE(CONTROL!$C$9, $D$9, 100%, $F$9) + CHOOSE(CONTROL!$C$27, 0.0021, 0)</f>
        <v>50.220799999999997</v>
      </c>
      <c r="E394" s="14">
        <f>50.0821 * CHOOSE(CONTROL!$C$9, $D$9, 100%, $F$9) + CHOOSE(CONTROL!$C$27, 0.0021, 0)</f>
        <v>50.084199999999996</v>
      </c>
      <c r="F394" s="14">
        <f>50.0821 * CHOOSE(CONTROL!$C$9, $D$9, 100%, $F$9) + CHOOSE(CONTROL!$C$27, 0.0021, 0)</f>
        <v>50.084199999999996</v>
      </c>
      <c r="G394" s="14">
        <f>50.3534 * CHOOSE(CONTROL!$C$9, $D$9, 100%, $F$9) + CHOOSE(CONTROL!$C$27, 0.0021, 0)</f>
        <v>50.355499999999999</v>
      </c>
      <c r="H394" s="14">
        <f>50.2187 * CHOOSE(CONTROL!$C$9, $D$9, 100%, $F$9) + CHOOSE(CONTROL!$C$27, 0.0021, 0)</f>
        <v>50.220799999999997</v>
      </c>
      <c r="I394" s="14">
        <f>50.2187 * CHOOSE(CONTROL!$C$9, $D$9, 100%, $F$9) + CHOOSE(CONTROL!$C$27, 0.0021, 0)</f>
        <v>50.220799999999997</v>
      </c>
      <c r="J394" s="14">
        <f>50.2187 * CHOOSE(CONTROL!$C$9, $D$9, 100%, $F$9) + CHOOSE(CONTROL!$C$27, 0.0021, 0)</f>
        <v>50.220799999999997</v>
      </c>
      <c r="K394" s="14">
        <f>50.2187 * CHOOSE(CONTROL!$C$9, $D$9, 100%, $F$9) + CHOOSE(CONTROL!$C$27, 0.0021, 0)</f>
        <v>50.220799999999997</v>
      </c>
      <c r="L394" s="14"/>
    </row>
    <row r="395" spans="1:12" ht="15.75" x14ac:dyDescent="0.25">
      <c r="A395" s="33">
        <v>52962</v>
      </c>
      <c r="B395" s="14">
        <f>49.7028 * CHOOSE(CONTROL!$C$9, $D$9, 100%, $F$9) + CHOOSE(CONTROL!$C$27, 0.0021, 0)</f>
        <v>49.704900000000002</v>
      </c>
      <c r="C395" s="14">
        <f>49.2705 * CHOOSE(CONTROL!$C$9, $D$9, 100%, $F$9) + CHOOSE(CONTROL!$C$27, 0.0021, 0)</f>
        <v>49.272599999999997</v>
      </c>
      <c r="D395" s="14">
        <f>49.2705 * CHOOSE(CONTROL!$C$9, $D$9, 100%, $F$9) + CHOOSE(CONTROL!$C$27, 0.0021, 0)</f>
        <v>49.272599999999997</v>
      </c>
      <c r="E395" s="14">
        <f>49.1339 * CHOOSE(CONTROL!$C$9, $D$9, 100%, $F$9) + CHOOSE(CONTROL!$C$27, 0.0021, 0)</f>
        <v>49.135999999999996</v>
      </c>
      <c r="F395" s="14">
        <f>49.1339 * CHOOSE(CONTROL!$C$9, $D$9, 100%, $F$9) + CHOOSE(CONTROL!$C$27, 0.0021, 0)</f>
        <v>49.135999999999996</v>
      </c>
      <c r="G395" s="14">
        <f>49.4052 * CHOOSE(CONTROL!$C$9, $D$9, 100%, $F$9) + CHOOSE(CONTROL!$C$27, 0.0021, 0)</f>
        <v>49.407299999999999</v>
      </c>
      <c r="H395" s="14">
        <f>49.2705 * CHOOSE(CONTROL!$C$9, $D$9, 100%, $F$9) + CHOOSE(CONTROL!$C$27, 0.0021, 0)</f>
        <v>49.272599999999997</v>
      </c>
      <c r="I395" s="14">
        <f>49.2705 * CHOOSE(CONTROL!$C$9, $D$9, 100%, $F$9) + CHOOSE(CONTROL!$C$27, 0.0021, 0)</f>
        <v>49.272599999999997</v>
      </c>
      <c r="J395" s="14">
        <f>49.2705 * CHOOSE(CONTROL!$C$9, $D$9, 100%, $F$9) + CHOOSE(CONTROL!$C$27, 0.0021, 0)</f>
        <v>49.272599999999997</v>
      </c>
      <c r="K395" s="14">
        <f>49.2705 * CHOOSE(CONTROL!$C$9, $D$9, 100%, $F$9) + CHOOSE(CONTROL!$C$27, 0.0021, 0)</f>
        <v>49.272599999999997</v>
      </c>
      <c r="L395" s="14"/>
    </row>
    <row r="396" spans="1:12" ht="15.75" x14ac:dyDescent="0.25">
      <c r="A396" s="33">
        <v>52993</v>
      </c>
      <c r="B396" s="14">
        <f>49.1034 * CHOOSE(CONTROL!$C$9, $D$9, 100%, $F$9) + CHOOSE(CONTROL!$C$27, 0.0021, 0)</f>
        <v>49.105499999999999</v>
      </c>
      <c r="C396" s="14">
        <f>48.6712 * CHOOSE(CONTROL!$C$9, $D$9, 100%, $F$9) + CHOOSE(CONTROL!$C$27, 0.0021, 0)</f>
        <v>48.673299999999998</v>
      </c>
      <c r="D396" s="14">
        <f>48.6712 * CHOOSE(CONTROL!$C$9, $D$9, 100%, $F$9) + CHOOSE(CONTROL!$C$27, 0.0021, 0)</f>
        <v>48.673299999999998</v>
      </c>
      <c r="E396" s="14">
        <f>48.5345 * CHOOSE(CONTROL!$C$9, $D$9, 100%, $F$9) + CHOOSE(CONTROL!$C$27, 0.0021, 0)</f>
        <v>48.5366</v>
      </c>
      <c r="F396" s="14">
        <f>48.5345 * CHOOSE(CONTROL!$C$9, $D$9, 100%, $F$9) + CHOOSE(CONTROL!$C$27, 0.0021, 0)</f>
        <v>48.5366</v>
      </c>
      <c r="G396" s="14">
        <f>48.8059 * CHOOSE(CONTROL!$C$9, $D$9, 100%, $F$9) + CHOOSE(CONTROL!$C$27, 0.0021, 0)</f>
        <v>48.808</v>
      </c>
      <c r="H396" s="14">
        <f>48.6712 * CHOOSE(CONTROL!$C$9, $D$9, 100%, $F$9) + CHOOSE(CONTROL!$C$27, 0.0021, 0)</f>
        <v>48.673299999999998</v>
      </c>
      <c r="I396" s="14">
        <f>48.6712 * CHOOSE(CONTROL!$C$9, $D$9, 100%, $F$9) + CHOOSE(CONTROL!$C$27, 0.0021, 0)</f>
        <v>48.673299999999998</v>
      </c>
      <c r="J396" s="14">
        <f>48.6712 * CHOOSE(CONTROL!$C$9, $D$9, 100%, $F$9) + CHOOSE(CONTROL!$C$27, 0.0021, 0)</f>
        <v>48.673299999999998</v>
      </c>
      <c r="K396" s="14">
        <f>48.6712 * CHOOSE(CONTROL!$C$9, $D$9, 100%, $F$9) + CHOOSE(CONTROL!$C$27, 0.0021, 0)</f>
        <v>48.673299999999998</v>
      </c>
      <c r="L396" s="14"/>
    </row>
    <row r="397" spans="1:12" ht="15.75" x14ac:dyDescent="0.25">
      <c r="A397" s="33">
        <v>53021</v>
      </c>
      <c r="B397" s="14">
        <f>47.7794 * CHOOSE(CONTROL!$C$9, $D$9, 100%, $F$9) + CHOOSE(CONTROL!$C$27, 0.0021, 0)</f>
        <v>47.781500000000001</v>
      </c>
      <c r="C397" s="14">
        <f>47.3471 * CHOOSE(CONTROL!$C$9, $D$9, 100%, $F$9) + CHOOSE(CONTROL!$C$27, 0.0021, 0)</f>
        <v>47.349199999999996</v>
      </c>
      <c r="D397" s="14">
        <f>47.3471 * CHOOSE(CONTROL!$C$9, $D$9, 100%, $F$9) + CHOOSE(CONTROL!$C$27, 0.0021, 0)</f>
        <v>47.349199999999996</v>
      </c>
      <c r="E397" s="14">
        <f>47.2105 * CHOOSE(CONTROL!$C$9, $D$9, 100%, $F$9) + CHOOSE(CONTROL!$C$27, 0.0021, 0)</f>
        <v>47.212600000000002</v>
      </c>
      <c r="F397" s="14">
        <f>47.2105 * CHOOSE(CONTROL!$C$9, $D$9, 100%, $F$9) + CHOOSE(CONTROL!$C$27, 0.0021, 0)</f>
        <v>47.212600000000002</v>
      </c>
      <c r="G397" s="14">
        <f>47.4818 * CHOOSE(CONTROL!$C$9, $D$9, 100%, $F$9) + CHOOSE(CONTROL!$C$27, 0.0021, 0)</f>
        <v>47.483899999999998</v>
      </c>
      <c r="H397" s="14">
        <f>47.3471 * CHOOSE(CONTROL!$C$9, $D$9, 100%, $F$9) + CHOOSE(CONTROL!$C$27, 0.0021, 0)</f>
        <v>47.349199999999996</v>
      </c>
      <c r="I397" s="14">
        <f>47.3471 * CHOOSE(CONTROL!$C$9, $D$9, 100%, $F$9) + CHOOSE(CONTROL!$C$27, 0.0021, 0)</f>
        <v>47.349199999999996</v>
      </c>
      <c r="J397" s="14">
        <f>47.3471 * CHOOSE(CONTROL!$C$9, $D$9, 100%, $F$9) + CHOOSE(CONTROL!$C$27, 0.0021, 0)</f>
        <v>47.349199999999996</v>
      </c>
      <c r="K397" s="14">
        <f>47.3471 * CHOOSE(CONTROL!$C$9, $D$9, 100%, $F$9) + CHOOSE(CONTROL!$C$27, 0.0021, 0)</f>
        <v>47.349199999999996</v>
      </c>
      <c r="L397" s="14"/>
    </row>
    <row r="398" spans="1:12" ht="15.75" x14ac:dyDescent="0.25">
      <c r="A398" s="33">
        <v>53052</v>
      </c>
      <c r="B398" s="14">
        <f>47.2328 * CHOOSE(CONTROL!$C$9, $D$9, 100%, $F$9) + CHOOSE(CONTROL!$C$27, 0.0021, 0)</f>
        <v>47.234899999999996</v>
      </c>
      <c r="C398" s="14">
        <f>46.8006 * CHOOSE(CONTROL!$C$9, $D$9, 100%, $F$9) + CHOOSE(CONTROL!$C$27, 0.0021, 0)</f>
        <v>46.802700000000002</v>
      </c>
      <c r="D398" s="14">
        <f>46.8006 * CHOOSE(CONTROL!$C$9, $D$9, 100%, $F$9) + CHOOSE(CONTROL!$C$27, 0.0021, 0)</f>
        <v>46.802700000000002</v>
      </c>
      <c r="E398" s="14">
        <f>46.6639 * CHOOSE(CONTROL!$C$9, $D$9, 100%, $F$9) + CHOOSE(CONTROL!$C$27, 0.0021, 0)</f>
        <v>46.665999999999997</v>
      </c>
      <c r="F398" s="14">
        <f>46.6639 * CHOOSE(CONTROL!$C$9, $D$9, 100%, $F$9) + CHOOSE(CONTROL!$C$27, 0.0021, 0)</f>
        <v>46.665999999999997</v>
      </c>
      <c r="G398" s="14">
        <f>46.9353 * CHOOSE(CONTROL!$C$9, $D$9, 100%, $F$9) + CHOOSE(CONTROL!$C$27, 0.0021, 0)</f>
        <v>46.937399999999997</v>
      </c>
      <c r="H398" s="14">
        <f>46.8006 * CHOOSE(CONTROL!$C$9, $D$9, 100%, $F$9) + CHOOSE(CONTROL!$C$27, 0.0021, 0)</f>
        <v>46.802700000000002</v>
      </c>
      <c r="I398" s="14">
        <f>46.8006 * CHOOSE(CONTROL!$C$9, $D$9, 100%, $F$9) + CHOOSE(CONTROL!$C$27, 0.0021, 0)</f>
        <v>46.802700000000002</v>
      </c>
      <c r="J398" s="14">
        <f>46.8006 * CHOOSE(CONTROL!$C$9, $D$9, 100%, $F$9) + CHOOSE(CONTROL!$C$27, 0.0021, 0)</f>
        <v>46.802700000000002</v>
      </c>
      <c r="K398" s="14">
        <f>46.8006 * CHOOSE(CONTROL!$C$9, $D$9, 100%, $F$9) + CHOOSE(CONTROL!$C$27, 0.0021, 0)</f>
        <v>46.802700000000002</v>
      </c>
      <c r="L398" s="14"/>
    </row>
    <row r="399" spans="1:12" ht="15.75" x14ac:dyDescent="0.25">
      <c r="A399" s="33">
        <v>53082</v>
      </c>
      <c r="B399" s="14">
        <f>46.5802 * CHOOSE(CONTROL!$C$9, $D$9, 100%, $F$9) + CHOOSE(CONTROL!$C$27, 0.0021, 0)</f>
        <v>46.582299999999996</v>
      </c>
      <c r="C399" s="14">
        <f>46.1479 * CHOOSE(CONTROL!$C$9, $D$9, 100%, $F$9) + CHOOSE(CONTROL!$C$27, 0.0021, 0)</f>
        <v>46.15</v>
      </c>
      <c r="D399" s="14">
        <f>46.1479 * CHOOSE(CONTROL!$C$9, $D$9, 100%, $F$9) + CHOOSE(CONTROL!$C$27, 0.0021, 0)</f>
        <v>46.15</v>
      </c>
      <c r="E399" s="14">
        <f>46.0113 * CHOOSE(CONTROL!$C$9, $D$9, 100%, $F$9) + CHOOSE(CONTROL!$C$27, 0.0021, 0)</f>
        <v>46.013399999999997</v>
      </c>
      <c r="F399" s="14">
        <f>46.0113 * CHOOSE(CONTROL!$C$9, $D$9, 100%, $F$9) + CHOOSE(CONTROL!$C$27, 0.0021, 0)</f>
        <v>46.013399999999997</v>
      </c>
      <c r="G399" s="14">
        <f>46.2827 * CHOOSE(CONTROL!$C$9, $D$9, 100%, $F$9) + CHOOSE(CONTROL!$C$27, 0.0021, 0)</f>
        <v>46.284799999999997</v>
      </c>
      <c r="H399" s="14">
        <f>46.1479 * CHOOSE(CONTROL!$C$9, $D$9, 100%, $F$9) + CHOOSE(CONTROL!$C$27, 0.0021, 0)</f>
        <v>46.15</v>
      </c>
      <c r="I399" s="14">
        <f>46.1479 * CHOOSE(CONTROL!$C$9, $D$9, 100%, $F$9) + CHOOSE(CONTROL!$C$27, 0.0021, 0)</f>
        <v>46.15</v>
      </c>
      <c r="J399" s="14">
        <f>46.1479 * CHOOSE(CONTROL!$C$9, $D$9, 100%, $F$9) + CHOOSE(CONTROL!$C$27, 0.0021, 0)</f>
        <v>46.15</v>
      </c>
      <c r="K399" s="14">
        <f>46.1479 * CHOOSE(CONTROL!$C$9, $D$9, 100%, $F$9) + CHOOSE(CONTROL!$C$27, 0.0021, 0)</f>
        <v>46.15</v>
      </c>
      <c r="L399" s="14"/>
    </row>
    <row r="400" spans="1:12" ht="15.75" x14ac:dyDescent="0.25">
      <c r="A400" s="33">
        <v>53113</v>
      </c>
      <c r="B400" s="14">
        <f>47.5102 * CHOOSE(CONTROL!$C$9, $D$9, 100%, $F$9) + CHOOSE(CONTROL!$C$27, 0.0021, 0)</f>
        <v>47.512299999999996</v>
      </c>
      <c r="C400" s="14">
        <f>47.078 * CHOOSE(CONTROL!$C$9, $D$9, 100%, $F$9) + CHOOSE(CONTROL!$C$27, 0.0021, 0)</f>
        <v>47.080100000000002</v>
      </c>
      <c r="D400" s="14">
        <f>47.078 * CHOOSE(CONTROL!$C$9, $D$9, 100%, $F$9) + CHOOSE(CONTROL!$C$27, 0.0021, 0)</f>
        <v>47.080100000000002</v>
      </c>
      <c r="E400" s="14">
        <f>46.9413 * CHOOSE(CONTROL!$C$9, $D$9, 100%, $F$9) + CHOOSE(CONTROL!$C$27, 0.0021, 0)</f>
        <v>46.943399999999997</v>
      </c>
      <c r="F400" s="14">
        <f>46.9413 * CHOOSE(CONTROL!$C$9, $D$9, 100%, $F$9) + CHOOSE(CONTROL!$C$27, 0.0021, 0)</f>
        <v>46.943399999999997</v>
      </c>
      <c r="G400" s="14">
        <f>47.2127 * CHOOSE(CONTROL!$C$9, $D$9, 100%, $F$9) + CHOOSE(CONTROL!$C$27, 0.0021, 0)</f>
        <v>47.214799999999997</v>
      </c>
      <c r="H400" s="14">
        <f>47.078 * CHOOSE(CONTROL!$C$9, $D$9, 100%, $F$9) + CHOOSE(CONTROL!$C$27, 0.0021, 0)</f>
        <v>47.080100000000002</v>
      </c>
      <c r="I400" s="14">
        <f>47.078 * CHOOSE(CONTROL!$C$9, $D$9, 100%, $F$9) + CHOOSE(CONTROL!$C$27, 0.0021, 0)</f>
        <v>47.080100000000002</v>
      </c>
      <c r="J400" s="14">
        <f>47.078 * CHOOSE(CONTROL!$C$9, $D$9, 100%, $F$9) + CHOOSE(CONTROL!$C$27, 0.0021, 0)</f>
        <v>47.080100000000002</v>
      </c>
      <c r="K400" s="14">
        <f>47.078 * CHOOSE(CONTROL!$C$9, $D$9, 100%, $F$9) + CHOOSE(CONTROL!$C$27, 0.0021, 0)</f>
        <v>47.080100000000002</v>
      </c>
      <c r="L400" s="14"/>
    </row>
    <row r="401" spans="1:12" ht="15.75" x14ac:dyDescent="0.25">
      <c r="A401" s="33">
        <v>53143</v>
      </c>
      <c r="B401" s="14">
        <f>48.0673 * CHOOSE(CONTROL!$C$9, $D$9, 100%, $F$9) + CHOOSE(CONTROL!$C$27, 0.0021, 0)</f>
        <v>48.069400000000002</v>
      </c>
      <c r="C401" s="14">
        <f>47.6351 * CHOOSE(CONTROL!$C$9, $D$9, 100%, $F$9) + CHOOSE(CONTROL!$C$27, 0.0021, 0)</f>
        <v>47.6372</v>
      </c>
      <c r="D401" s="14">
        <f>47.6351 * CHOOSE(CONTROL!$C$9, $D$9, 100%, $F$9) + CHOOSE(CONTROL!$C$27, 0.0021, 0)</f>
        <v>47.6372</v>
      </c>
      <c r="E401" s="14">
        <f>47.4984 * CHOOSE(CONTROL!$C$9, $D$9, 100%, $F$9) + CHOOSE(CONTROL!$C$27, 0.0021, 0)</f>
        <v>47.500499999999995</v>
      </c>
      <c r="F401" s="14">
        <f>47.4984 * CHOOSE(CONTROL!$C$9, $D$9, 100%, $F$9) + CHOOSE(CONTROL!$C$27, 0.0021, 0)</f>
        <v>47.500499999999995</v>
      </c>
      <c r="G401" s="14">
        <f>47.7698 * CHOOSE(CONTROL!$C$9, $D$9, 100%, $F$9) + CHOOSE(CONTROL!$C$27, 0.0021, 0)</f>
        <v>47.771899999999995</v>
      </c>
      <c r="H401" s="14">
        <f>47.6351 * CHOOSE(CONTROL!$C$9, $D$9, 100%, $F$9) + CHOOSE(CONTROL!$C$27, 0.0021, 0)</f>
        <v>47.6372</v>
      </c>
      <c r="I401" s="14">
        <f>47.6351 * CHOOSE(CONTROL!$C$9, $D$9, 100%, $F$9) + CHOOSE(CONTROL!$C$27, 0.0021, 0)</f>
        <v>47.6372</v>
      </c>
      <c r="J401" s="14">
        <f>47.6351 * CHOOSE(CONTROL!$C$9, $D$9, 100%, $F$9) + CHOOSE(CONTROL!$C$27, 0.0021, 0)</f>
        <v>47.6372</v>
      </c>
      <c r="K401" s="14">
        <f>47.6351 * CHOOSE(CONTROL!$C$9, $D$9, 100%, $F$9) + CHOOSE(CONTROL!$C$27, 0.0021, 0)</f>
        <v>47.6372</v>
      </c>
      <c r="L401" s="14"/>
    </row>
    <row r="402" spans="1:12" ht="15.75" x14ac:dyDescent="0.25">
      <c r="A402" s="33">
        <v>53174</v>
      </c>
      <c r="B402" s="14">
        <f>48.9863 * CHOOSE(CONTROL!$C$9, $D$9, 100%, $F$9) + CHOOSE(CONTROL!$C$27, 0.0021, 0)</f>
        <v>48.988399999999999</v>
      </c>
      <c r="C402" s="14">
        <f>48.554 * CHOOSE(CONTROL!$C$9, $D$9, 100%, $F$9) + CHOOSE(CONTROL!$C$27, 0.0021, 0)</f>
        <v>48.556100000000001</v>
      </c>
      <c r="D402" s="14">
        <f>48.554 * CHOOSE(CONTROL!$C$9, $D$9, 100%, $F$9) + CHOOSE(CONTROL!$C$27, 0.0021, 0)</f>
        <v>48.556100000000001</v>
      </c>
      <c r="E402" s="14">
        <f>48.4174 * CHOOSE(CONTROL!$C$9, $D$9, 100%, $F$9) + CHOOSE(CONTROL!$C$27, 0.0021, 0)</f>
        <v>48.419499999999999</v>
      </c>
      <c r="F402" s="14">
        <f>48.4174 * CHOOSE(CONTROL!$C$9, $D$9, 100%, $F$9) + CHOOSE(CONTROL!$C$27, 0.0021, 0)</f>
        <v>48.419499999999999</v>
      </c>
      <c r="G402" s="14">
        <f>48.6888 * CHOOSE(CONTROL!$C$9, $D$9, 100%, $F$9) + CHOOSE(CONTROL!$C$27, 0.0021, 0)</f>
        <v>48.690899999999999</v>
      </c>
      <c r="H402" s="14">
        <f>48.554 * CHOOSE(CONTROL!$C$9, $D$9, 100%, $F$9) + CHOOSE(CONTROL!$C$27, 0.0021, 0)</f>
        <v>48.556100000000001</v>
      </c>
      <c r="I402" s="14">
        <f>48.554 * CHOOSE(CONTROL!$C$9, $D$9, 100%, $F$9) + CHOOSE(CONTROL!$C$27, 0.0021, 0)</f>
        <v>48.556100000000001</v>
      </c>
      <c r="J402" s="14">
        <f>48.554 * CHOOSE(CONTROL!$C$9, $D$9, 100%, $F$9) + CHOOSE(CONTROL!$C$27, 0.0021, 0)</f>
        <v>48.556100000000001</v>
      </c>
      <c r="K402" s="14">
        <f>48.554 * CHOOSE(CONTROL!$C$9, $D$9, 100%, $F$9) + CHOOSE(CONTROL!$C$27, 0.0021, 0)</f>
        <v>48.556100000000001</v>
      </c>
      <c r="L402" s="14"/>
    </row>
    <row r="403" spans="1:12" ht="15.75" x14ac:dyDescent="0.25">
      <c r="A403" s="33">
        <v>53205</v>
      </c>
      <c r="B403" s="14">
        <f>49.2668 * CHOOSE(CONTROL!$C$9, $D$9, 100%, $F$9) + CHOOSE(CONTROL!$C$27, 0.0021, 0)</f>
        <v>49.268900000000002</v>
      </c>
      <c r="C403" s="14">
        <f>48.8345 * CHOOSE(CONTROL!$C$9, $D$9, 100%, $F$9) + CHOOSE(CONTROL!$C$27, 0.0021, 0)</f>
        <v>48.836599999999997</v>
      </c>
      <c r="D403" s="14">
        <f>48.8345 * CHOOSE(CONTROL!$C$9, $D$9, 100%, $F$9) + CHOOSE(CONTROL!$C$27, 0.0021, 0)</f>
        <v>48.836599999999997</v>
      </c>
      <c r="E403" s="14">
        <f>48.6979 * CHOOSE(CONTROL!$C$9, $D$9, 100%, $F$9) + CHOOSE(CONTROL!$C$27, 0.0021, 0)</f>
        <v>48.699999999999996</v>
      </c>
      <c r="F403" s="14">
        <f>48.6979 * CHOOSE(CONTROL!$C$9, $D$9, 100%, $F$9) + CHOOSE(CONTROL!$C$27, 0.0021, 0)</f>
        <v>48.699999999999996</v>
      </c>
      <c r="G403" s="14">
        <f>48.9692 * CHOOSE(CONTROL!$C$9, $D$9, 100%, $F$9) + CHOOSE(CONTROL!$C$27, 0.0021, 0)</f>
        <v>48.971299999999999</v>
      </c>
      <c r="H403" s="14">
        <f>48.8345 * CHOOSE(CONTROL!$C$9, $D$9, 100%, $F$9) + CHOOSE(CONTROL!$C$27, 0.0021, 0)</f>
        <v>48.836599999999997</v>
      </c>
      <c r="I403" s="14">
        <f>48.8345 * CHOOSE(CONTROL!$C$9, $D$9, 100%, $F$9) + CHOOSE(CONTROL!$C$27, 0.0021, 0)</f>
        <v>48.836599999999997</v>
      </c>
      <c r="J403" s="14">
        <f>48.8345 * CHOOSE(CONTROL!$C$9, $D$9, 100%, $F$9) + CHOOSE(CONTROL!$C$27, 0.0021, 0)</f>
        <v>48.836599999999997</v>
      </c>
      <c r="K403" s="14">
        <f>48.8345 * CHOOSE(CONTROL!$C$9, $D$9, 100%, $F$9) + CHOOSE(CONTROL!$C$27, 0.0021, 0)</f>
        <v>48.836599999999997</v>
      </c>
      <c r="L403" s="14"/>
    </row>
    <row r="404" spans="1:12" ht="15.75" x14ac:dyDescent="0.25">
      <c r="A404" s="33">
        <v>53235</v>
      </c>
      <c r="B404" s="14">
        <f>50.222 * CHOOSE(CONTROL!$C$9, $D$9, 100%, $F$9) + CHOOSE(CONTROL!$C$27, 0.0021, 0)</f>
        <v>50.2241</v>
      </c>
      <c r="C404" s="14">
        <f>49.7898 * CHOOSE(CONTROL!$C$9, $D$9, 100%, $F$9) + CHOOSE(CONTROL!$C$27, 0.0021, 0)</f>
        <v>49.791899999999998</v>
      </c>
      <c r="D404" s="14">
        <f>49.7898 * CHOOSE(CONTROL!$C$9, $D$9, 100%, $F$9) + CHOOSE(CONTROL!$C$27, 0.0021, 0)</f>
        <v>49.791899999999998</v>
      </c>
      <c r="E404" s="14">
        <f>49.6531 * CHOOSE(CONTROL!$C$9, $D$9, 100%, $F$9) + CHOOSE(CONTROL!$C$27, 0.0021, 0)</f>
        <v>49.655200000000001</v>
      </c>
      <c r="F404" s="14">
        <f>49.6531 * CHOOSE(CONTROL!$C$9, $D$9, 100%, $F$9) + CHOOSE(CONTROL!$C$27, 0.0021, 0)</f>
        <v>49.655200000000001</v>
      </c>
      <c r="G404" s="14">
        <f>49.9245 * CHOOSE(CONTROL!$C$9, $D$9, 100%, $F$9) + CHOOSE(CONTROL!$C$27, 0.0021, 0)</f>
        <v>49.926600000000001</v>
      </c>
      <c r="H404" s="14">
        <f>49.7898 * CHOOSE(CONTROL!$C$9, $D$9, 100%, $F$9) + CHOOSE(CONTROL!$C$27, 0.0021, 0)</f>
        <v>49.791899999999998</v>
      </c>
      <c r="I404" s="14">
        <f>49.7898 * CHOOSE(CONTROL!$C$9, $D$9, 100%, $F$9) + CHOOSE(CONTROL!$C$27, 0.0021, 0)</f>
        <v>49.791899999999998</v>
      </c>
      <c r="J404" s="14">
        <f>49.7898 * CHOOSE(CONTROL!$C$9, $D$9, 100%, $F$9) + CHOOSE(CONTROL!$C$27, 0.0021, 0)</f>
        <v>49.791899999999998</v>
      </c>
      <c r="K404" s="14">
        <f>49.7898 * CHOOSE(CONTROL!$C$9, $D$9, 100%, $F$9) + CHOOSE(CONTROL!$C$27, 0.0021, 0)</f>
        <v>49.791899999999998</v>
      </c>
      <c r="L404" s="14"/>
    </row>
    <row r="405" spans="1:12" ht="15.75" x14ac:dyDescent="0.25">
      <c r="A405" s="33">
        <v>53266</v>
      </c>
      <c r="B405" s="14">
        <f>51.4311 * CHOOSE(CONTROL!$C$9, $D$9, 100%, $F$9) + CHOOSE(CONTROL!$C$27, 0.0021, 0)</f>
        <v>51.433199999999999</v>
      </c>
      <c r="C405" s="14">
        <f>50.9989 * CHOOSE(CONTROL!$C$9, $D$9, 100%, $F$9) + CHOOSE(CONTROL!$C$27, 0.0021, 0)</f>
        <v>51.000999999999998</v>
      </c>
      <c r="D405" s="14">
        <f>50.9989 * CHOOSE(CONTROL!$C$9, $D$9, 100%, $F$9) + CHOOSE(CONTROL!$C$27, 0.0021, 0)</f>
        <v>51.000999999999998</v>
      </c>
      <c r="E405" s="14">
        <f>50.8622 * CHOOSE(CONTROL!$C$9, $D$9, 100%, $F$9) + CHOOSE(CONTROL!$C$27, 0.0021, 0)</f>
        <v>50.8643</v>
      </c>
      <c r="F405" s="14">
        <f>50.8622 * CHOOSE(CONTROL!$C$9, $D$9, 100%, $F$9) + CHOOSE(CONTROL!$C$27, 0.0021, 0)</f>
        <v>50.8643</v>
      </c>
      <c r="G405" s="14">
        <f>51.1336 * CHOOSE(CONTROL!$C$9, $D$9, 100%, $F$9) + CHOOSE(CONTROL!$C$27, 0.0021, 0)</f>
        <v>51.1357</v>
      </c>
      <c r="H405" s="14">
        <f>50.9989 * CHOOSE(CONTROL!$C$9, $D$9, 100%, $F$9) + CHOOSE(CONTROL!$C$27, 0.0021, 0)</f>
        <v>51.000999999999998</v>
      </c>
      <c r="I405" s="14">
        <f>50.9989 * CHOOSE(CONTROL!$C$9, $D$9, 100%, $F$9) + CHOOSE(CONTROL!$C$27, 0.0021, 0)</f>
        <v>51.000999999999998</v>
      </c>
      <c r="J405" s="14">
        <f>50.9989 * CHOOSE(CONTROL!$C$9, $D$9, 100%, $F$9) + CHOOSE(CONTROL!$C$27, 0.0021, 0)</f>
        <v>51.000999999999998</v>
      </c>
      <c r="K405" s="14">
        <f>50.9989 * CHOOSE(CONTROL!$C$9, $D$9, 100%, $F$9) + CHOOSE(CONTROL!$C$27, 0.0021, 0)</f>
        <v>51.000999999999998</v>
      </c>
      <c r="L405" s="14"/>
    </row>
    <row r="406" spans="1:12" ht="15.75" x14ac:dyDescent="0.25">
      <c r="A406" s="33">
        <v>53296</v>
      </c>
      <c r="B406" s="14">
        <f>51.5447 * CHOOSE(CONTROL!$C$9, $D$9, 100%, $F$9) + CHOOSE(CONTROL!$C$27, 0.0021, 0)</f>
        <v>51.546799999999998</v>
      </c>
      <c r="C406" s="14">
        <f>51.1124 * CHOOSE(CONTROL!$C$9, $D$9, 100%, $F$9) + CHOOSE(CONTROL!$C$27, 0.0021, 0)</f>
        <v>51.1145</v>
      </c>
      <c r="D406" s="14">
        <f>51.1124 * CHOOSE(CONTROL!$C$9, $D$9, 100%, $F$9) + CHOOSE(CONTROL!$C$27, 0.0021, 0)</f>
        <v>51.1145</v>
      </c>
      <c r="E406" s="14">
        <f>50.9758 * CHOOSE(CONTROL!$C$9, $D$9, 100%, $F$9) + CHOOSE(CONTROL!$C$27, 0.0021, 0)</f>
        <v>50.977899999999998</v>
      </c>
      <c r="F406" s="14">
        <f>50.9758 * CHOOSE(CONTROL!$C$9, $D$9, 100%, $F$9) + CHOOSE(CONTROL!$C$27, 0.0021, 0)</f>
        <v>50.977899999999998</v>
      </c>
      <c r="G406" s="14">
        <f>51.2471 * CHOOSE(CONTROL!$C$9, $D$9, 100%, $F$9) + CHOOSE(CONTROL!$C$27, 0.0021, 0)</f>
        <v>51.249200000000002</v>
      </c>
      <c r="H406" s="14">
        <f>51.1124 * CHOOSE(CONTROL!$C$9, $D$9, 100%, $F$9) + CHOOSE(CONTROL!$C$27, 0.0021, 0)</f>
        <v>51.1145</v>
      </c>
      <c r="I406" s="14">
        <f>51.1124 * CHOOSE(CONTROL!$C$9, $D$9, 100%, $F$9) + CHOOSE(CONTROL!$C$27, 0.0021, 0)</f>
        <v>51.1145</v>
      </c>
      <c r="J406" s="14">
        <f>51.1124 * CHOOSE(CONTROL!$C$9, $D$9, 100%, $F$9) + CHOOSE(CONTROL!$C$27, 0.0021, 0)</f>
        <v>51.1145</v>
      </c>
      <c r="K406" s="14">
        <f>51.1124 * CHOOSE(CONTROL!$C$9, $D$9, 100%, $F$9) + CHOOSE(CONTROL!$C$27, 0.0021, 0)</f>
        <v>51.1145</v>
      </c>
      <c r="L406" s="14"/>
    </row>
    <row r="407" spans="1:12" ht="15.75" x14ac:dyDescent="0.25">
      <c r="A407" s="33">
        <v>53327</v>
      </c>
      <c r="B407" s="14">
        <f>50.5789 * CHOOSE(CONTROL!$C$9, $D$9, 100%, $F$9) + CHOOSE(CONTROL!$C$27, 0.0021, 0)</f>
        <v>50.580999999999996</v>
      </c>
      <c r="C407" s="14">
        <f>50.1467 * CHOOSE(CONTROL!$C$9, $D$9, 100%, $F$9) + CHOOSE(CONTROL!$C$27, 0.0021, 0)</f>
        <v>50.148800000000001</v>
      </c>
      <c r="D407" s="14">
        <f>50.1467 * CHOOSE(CONTROL!$C$9, $D$9, 100%, $F$9) + CHOOSE(CONTROL!$C$27, 0.0021, 0)</f>
        <v>50.148800000000001</v>
      </c>
      <c r="E407" s="14">
        <f>50.01 * CHOOSE(CONTROL!$C$9, $D$9, 100%, $F$9) + CHOOSE(CONTROL!$C$27, 0.0021, 0)</f>
        <v>50.012099999999997</v>
      </c>
      <c r="F407" s="14">
        <f>50.01 * CHOOSE(CONTROL!$C$9, $D$9, 100%, $F$9) + CHOOSE(CONTROL!$C$27, 0.0021, 0)</f>
        <v>50.012099999999997</v>
      </c>
      <c r="G407" s="14">
        <f>50.2814 * CHOOSE(CONTROL!$C$9, $D$9, 100%, $F$9) + CHOOSE(CONTROL!$C$27, 0.0021, 0)</f>
        <v>50.283499999999997</v>
      </c>
      <c r="H407" s="14">
        <f>50.1467 * CHOOSE(CONTROL!$C$9, $D$9, 100%, $F$9) + CHOOSE(CONTROL!$C$27, 0.0021, 0)</f>
        <v>50.148800000000001</v>
      </c>
      <c r="I407" s="14">
        <f>50.1467 * CHOOSE(CONTROL!$C$9, $D$9, 100%, $F$9) + CHOOSE(CONTROL!$C$27, 0.0021, 0)</f>
        <v>50.148800000000001</v>
      </c>
      <c r="J407" s="14">
        <f>50.1467 * CHOOSE(CONTROL!$C$9, $D$9, 100%, $F$9) + CHOOSE(CONTROL!$C$27, 0.0021, 0)</f>
        <v>50.148800000000001</v>
      </c>
      <c r="K407" s="14">
        <f>50.1467 * CHOOSE(CONTROL!$C$9, $D$9, 100%, $F$9) + CHOOSE(CONTROL!$C$27, 0.0021, 0)</f>
        <v>50.148800000000001</v>
      </c>
      <c r="L407" s="14"/>
    </row>
    <row r="408" spans="1:12" ht="15.75" x14ac:dyDescent="0.25">
      <c r="A408" s="33">
        <v>53358</v>
      </c>
      <c r="B408" s="14">
        <f>49.9686 * CHOOSE(CONTROL!$C$9, $D$9, 100%, $F$9) + CHOOSE(CONTROL!$C$27, 0.0021, 0)</f>
        <v>49.970700000000001</v>
      </c>
      <c r="C408" s="14">
        <f>49.5363 * CHOOSE(CONTROL!$C$9, $D$9, 100%, $F$9) + CHOOSE(CONTROL!$C$27, 0.0021, 0)</f>
        <v>49.538399999999996</v>
      </c>
      <c r="D408" s="14">
        <f>49.5363 * CHOOSE(CONTROL!$C$9, $D$9, 100%, $F$9) + CHOOSE(CONTROL!$C$27, 0.0021, 0)</f>
        <v>49.538399999999996</v>
      </c>
      <c r="E408" s="14">
        <f>49.3996 * CHOOSE(CONTROL!$C$9, $D$9, 100%, $F$9) + CHOOSE(CONTROL!$C$27, 0.0021, 0)</f>
        <v>49.401699999999998</v>
      </c>
      <c r="F408" s="14">
        <f>49.3996 * CHOOSE(CONTROL!$C$9, $D$9, 100%, $F$9) + CHOOSE(CONTROL!$C$27, 0.0021, 0)</f>
        <v>49.401699999999998</v>
      </c>
      <c r="G408" s="14">
        <f>49.671 * CHOOSE(CONTROL!$C$9, $D$9, 100%, $F$9) + CHOOSE(CONTROL!$C$27, 0.0021, 0)</f>
        <v>49.673099999999998</v>
      </c>
      <c r="H408" s="14">
        <f>49.5363 * CHOOSE(CONTROL!$C$9, $D$9, 100%, $F$9) + CHOOSE(CONTROL!$C$27, 0.0021, 0)</f>
        <v>49.538399999999996</v>
      </c>
      <c r="I408" s="14">
        <f>49.5363 * CHOOSE(CONTROL!$C$9, $D$9, 100%, $F$9) + CHOOSE(CONTROL!$C$27, 0.0021, 0)</f>
        <v>49.538399999999996</v>
      </c>
      <c r="J408" s="14">
        <f>49.5363 * CHOOSE(CONTROL!$C$9, $D$9, 100%, $F$9) + CHOOSE(CONTROL!$C$27, 0.0021, 0)</f>
        <v>49.538399999999996</v>
      </c>
      <c r="K408" s="14">
        <f>49.5363 * CHOOSE(CONTROL!$C$9, $D$9, 100%, $F$9) + CHOOSE(CONTROL!$C$27, 0.0021, 0)</f>
        <v>49.538399999999996</v>
      </c>
      <c r="L408" s="14"/>
    </row>
    <row r="409" spans="1:12" ht="15.75" x14ac:dyDescent="0.25">
      <c r="A409" s="33">
        <v>53386</v>
      </c>
      <c r="B409" s="14">
        <f>48.62 * CHOOSE(CONTROL!$C$9, $D$9, 100%, $F$9) + CHOOSE(CONTROL!$C$27, 0.0021, 0)</f>
        <v>48.622099999999996</v>
      </c>
      <c r="C409" s="14">
        <f>48.1878 * CHOOSE(CONTROL!$C$9, $D$9, 100%, $F$9) + CHOOSE(CONTROL!$C$27, 0.0021, 0)</f>
        <v>48.189900000000002</v>
      </c>
      <c r="D409" s="14">
        <f>48.1878 * CHOOSE(CONTROL!$C$9, $D$9, 100%, $F$9) + CHOOSE(CONTROL!$C$27, 0.0021, 0)</f>
        <v>48.189900000000002</v>
      </c>
      <c r="E409" s="14">
        <f>48.0511 * CHOOSE(CONTROL!$C$9, $D$9, 100%, $F$9) + CHOOSE(CONTROL!$C$27, 0.0021, 0)</f>
        <v>48.053199999999997</v>
      </c>
      <c r="F409" s="14">
        <f>48.0511 * CHOOSE(CONTROL!$C$9, $D$9, 100%, $F$9) + CHOOSE(CONTROL!$C$27, 0.0021, 0)</f>
        <v>48.053199999999997</v>
      </c>
      <c r="G409" s="14">
        <f>48.3225 * CHOOSE(CONTROL!$C$9, $D$9, 100%, $F$9) + CHOOSE(CONTROL!$C$27, 0.0021, 0)</f>
        <v>48.324599999999997</v>
      </c>
      <c r="H409" s="14">
        <f>48.1878 * CHOOSE(CONTROL!$C$9, $D$9, 100%, $F$9) + CHOOSE(CONTROL!$C$27, 0.0021, 0)</f>
        <v>48.189900000000002</v>
      </c>
      <c r="I409" s="14">
        <f>48.1878 * CHOOSE(CONTROL!$C$9, $D$9, 100%, $F$9) + CHOOSE(CONTROL!$C$27, 0.0021, 0)</f>
        <v>48.189900000000002</v>
      </c>
      <c r="J409" s="14">
        <f>48.1878 * CHOOSE(CONTROL!$C$9, $D$9, 100%, $F$9) + CHOOSE(CONTROL!$C$27, 0.0021, 0)</f>
        <v>48.189900000000002</v>
      </c>
      <c r="K409" s="14">
        <f>48.1878 * CHOOSE(CONTROL!$C$9, $D$9, 100%, $F$9) + CHOOSE(CONTROL!$C$27, 0.0021, 0)</f>
        <v>48.189900000000002</v>
      </c>
      <c r="L409" s="14"/>
    </row>
    <row r="410" spans="1:12" ht="15.75" x14ac:dyDescent="0.25">
      <c r="A410" s="33">
        <v>53417</v>
      </c>
      <c r="B410" s="14">
        <f>48.0633 * CHOOSE(CONTROL!$C$9, $D$9, 100%, $F$9) + CHOOSE(CONTROL!$C$27, 0.0021, 0)</f>
        <v>48.065399999999997</v>
      </c>
      <c r="C410" s="14">
        <f>47.6311 * CHOOSE(CONTROL!$C$9, $D$9, 100%, $F$9) + CHOOSE(CONTROL!$C$27, 0.0021, 0)</f>
        <v>47.633200000000002</v>
      </c>
      <c r="D410" s="14">
        <f>47.6311 * CHOOSE(CONTROL!$C$9, $D$9, 100%, $F$9) + CHOOSE(CONTROL!$C$27, 0.0021, 0)</f>
        <v>47.633200000000002</v>
      </c>
      <c r="E410" s="14">
        <f>47.4944 * CHOOSE(CONTROL!$C$9, $D$9, 100%, $F$9) + CHOOSE(CONTROL!$C$27, 0.0021, 0)</f>
        <v>47.496499999999997</v>
      </c>
      <c r="F410" s="14">
        <f>47.4944 * CHOOSE(CONTROL!$C$9, $D$9, 100%, $F$9) + CHOOSE(CONTROL!$C$27, 0.0021, 0)</f>
        <v>47.496499999999997</v>
      </c>
      <c r="G410" s="14">
        <f>47.7658 * CHOOSE(CONTROL!$C$9, $D$9, 100%, $F$9) + CHOOSE(CONTROL!$C$27, 0.0021, 0)</f>
        <v>47.767899999999997</v>
      </c>
      <c r="H410" s="14">
        <f>47.6311 * CHOOSE(CONTROL!$C$9, $D$9, 100%, $F$9) + CHOOSE(CONTROL!$C$27, 0.0021, 0)</f>
        <v>47.633200000000002</v>
      </c>
      <c r="I410" s="14">
        <f>47.6311 * CHOOSE(CONTROL!$C$9, $D$9, 100%, $F$9) + CHOOSE(CONTROL!$C$27, 0.0021, 0)</f>
        <v>47.633200000000002</v>
      </c>
      <c r="J410" s="14">
        <f>47.6311 * CHOOSE(CONTROL!$C$9, $D$9, 100%, $F$9) + CHOOSE(CONTROL!$C$27, 0.0021, 0)</f>
        <v>47.633200000000002</v>
      </c>
      <c r="K410" s="14">
        <f>47.6311 * CHOOSE(CONTROL!$C$9, $D$9, 100%, $F$9) + CHOOSE(CONTROL!$C$27, 0.0021, 0)</f>
        <v>47.633200000000002</v>
      </c>
      <c r="L410" s="14"/>
    </row>
    <row r="411" spans="1:12" ht="15.75" x14ac:dyDescent="0.25">
      <c r="A411" s="33">
        <v>53447</v>
      </c>
      <c r="B411" s="14">
        <f>47.3987 * CHOOSE(CONTROL!$C$9, $D$9, 100%, $F$9) + CHOOSE(CONTROL!$C$27, 0.0021, 0)</f>
        <v>47.400799999999997</v>
      </c>
      <c r="C411" s="14">
        <f>46.9664 * CHOOSE(CONTROL!$C$9, $D$9, 100%, $F$9) + CHOOSE(CONTROL!$C$27, 0.0021, 0)</f>
        <v>46.968499999999999</v>
      </c>
      <c r="D411" s="14">
        <f>46.9664 * CHOOSE(CONTROL!$C$9, $D$9, 100%, $F$9) + CHOOSE(CONTROL!$C$27, 0.0021, 0)</f>
        <v>46.968499999999999</v>
      </c>
      <c r="E411" s="14">
        <f>46.8297 * CHOOSE(CONTROL!$C$9, $D$9, 100%, $F$9) + CHOOSE(CONTROL!$C$27, 0.0021, 0)</f>
        <v>46.831800000000001</v>
      </c>
      <c r="F411" s="14">
        <f>46.8297 * CHOOSE(CONTROL!$C$9, $D$9, 100%, $F$9) + CHOOSE(CONTROL!$C$27, 0.0021, 0)</f>
        <v>46.831800000000001</v>
      </c>
      <c r="G411" s="14">
        <f>47.1011 * CHOOSE(CONTROL!$C$9, $D$9, 100%, $F$9) + CHOOSE(CONTROL!$C$27, 0.0021, 0)</f>
        <v>47.103200000000001</v>
      </c>
      <c r="H411" s="14">
        <f>46.9664 * CHOOSE(CONTROL!$C$9, $D$9, 100%, $F$9) + CHOOSE(CONTROL!$C$27, 0.0021, 0)</f>
        <v>46.968499999999999</v>
      </c>
      <c r="I411" s="14">
        <f>46.9664 * CHOOSE(CONTROL!$C$9, $D$9, 100%, $F$9) + CHOOSE(CONTROL!$C$27, 0.0021, 0)</f>
        <v>46.968499999999999</v>
      </c>
      <c r="J411" s="14">
        <f>46.9664 * CHOOSE(CONTROL!$C$9, $D$9, 100%, $F$9) + CHOOSE(CONTROL!$C$27, 0.0021, 0)</f>
        <v>46.968499999999999</v>
      </c>
      <c r="K411" s="14">
        <f>46.9664 * CHOOSE(CONTROL!$C$9, $D$9, 100%, $F$9) + CHOOSE(CONTROL!$C$27, 0.0021, 0)</f>
        <v>46.968499999999999</v>
      </c>
      <c r="L411" s="14"/>
    </row>
    <row r="412" spans="1:12" ht="15.75" x14ac:dyDescent="0.25">
      <c r="A412" s="33">
        <v>53478</v>
      </c>
      <c r="B412" s="14">
        <f>48.3459 * CHOOSE(CONTROL!$C$9, $D$9, 100%, $F$9) + CHOOSE(CONTROL!$C$27, 0.0021, 0)</f>
        <v>48.347999999999999</v>
      </c>
      <c r="C412" s="14">
        <f>47.9137 * CHOOSE(CONTROL!$C$9, $D$9, 100%, $F$9) + CHOOSE(CONTROL!$C$27, 0.0021, 0)</f>
        <v>47.915799999999997</v>
      </c>
      <c r="D412" s="14">
        <f>47.9137 * CHOOSE(CONTROL!$C$9, $D$9, 100%, $F$9) + CHOOSE(CONTROL!$C$27, 0.0021, 0)</f>
        <v>47.915799999999997</v>
      </c>
      <c r="E412" s="14">
        <f>47.777 * CHOOSE(CONTROL!$C$9, $D$9, 100%, $F$9) + CHOOSE(CONTROL!$C$27, 0.0021, 0)</f>
        <v>47.7791</v>
      </c>
      <c r="F412" s="14">
        <f>47.777 * CHOOSE(CONTROL!$C$9, $D$9, 100%, $F$9) + CHOOSE(CONTROL!$C$27, 0.0021, 0)</f>
        <v>47.7791</v>
      </c>
      <c r="G412" s="14">
        <f>48.0484 * CHOOSE(CONTROL!$C$9, $D$9, 100%, $F$9) + CHOOSE(CONTROL!$C$27, 0.0021, 0)</f>
        <v>48.0505</v>
      </c>
      <c r="H412" s="14">
        <f>47.9137 * CHOOSE(CONTROL!$C$9, $D$9, 100%, $F$9) + CHOOSE(CONTROL!$C$27, 0.0021, 0)</f>
        <v>47.915799999999997</v>
      </c>
      <c r="I412" s="14">
        <f>47.9137 * CHOOSE(CONTROL!$C$9, $D$9, 100%, $F$9) + CHOOSE(CONTROL!$C$27, 0.0021, 0)</f>
        <v>47.915799999999997</v>
      </c>
      <c r="J412" s="14">
        <f>47.9137 * CHOOSE(CONTROL!$C$9, $D$9, 100%, $F$9) + CHOOSE(CONTROL!$C$27, 0.0021, 0)</f>
        <v>47.915799999999997</v>
      </c>
      <c r="K412" s="14">
        <f>47.9137 * CHOOSE(CONTROL!$C$9, $D$9, 100%, $F$9) + CHOOSE(CONTROL!$C$27, 0.0021, 0)</f>
        <v>47.915799999999997</v>
      </c>
      <c r="L412" s="14"/>
    </row>
    <row r="413" spans="1:12" ht="15.75" x14ac:dyDescent="0.25">
      <c r="A413" s="33">
        <v>53508</v>
      </c>
      <c r="B413" s="14">
        <f>48.9133 * CHOOSE(CONTROL!$C$9, $D$9, 100%, $F$9) + CHOOSE(CONTROL!$C$27, 0.0021, 0)</f>
        <v>48.915399999999998</v>
      </c>
      <c r="C413" s="14">
        <f>48.481 * CHOOSE(CONTROL!$C$9, $D$9, 100%, $F$9) + CHOOSE(CONTROL!$C$27, 0.0021, 0)</f>
        <v>48.4831</v>
      </c>
      <c r="D413" s="14">
        <f>48.481 * CHOOSE(CONTROL!$C$9, $D$9, 100%, $F$9) + CHOOSE(CONTROL!$C$27, 0.0021, 0)</f>
        <v>48.4831</v>
      </c>
      <c r="E413" s="14">
        <f>48.3444 * CHOOSE(CONTROL!$C$9, $D$9, 100%, $F$9) + CHOOSE(CONTROL!$C$27, 0.0021, 0)</f>
        <v>48.346499999999999</v>
      </c>
      <c r="F413" s="14">
        <f>48.3444 * CHOOSE(CONTROL!$C$9, $D$9, 100%, $F$9) + CHOOSE(CONTROL!$C$27, 0.0021, 0)</f>
        <v>48.346499999999999</v>
      </c>
      <c r="G413" s="14">
        <f>48.6157 * CHOOSE(CONTROL!$C$9, $D$9, 100%, $F$9) + CHOOSE(CONTROL!$C$27, 0.0021, 0)</f>
        <v>48.617799999999995</v>
      </c>
      <c r="H413" s="14">
        <f>48.481 * CHOOSE(CONTROL!$C$9, $D$9, 100%, $F$9) + CHOOSE(CONTROL!$C$27, 0.0021, 0)</f>
        <v>48.4831</v>
      </c>
      <c r="I413" s="14">
        <f>48.481 * CHOOSE(CONTROL!$C$9, $D$9, 100%, $F$9) + CHOOSE(CONTROL!$C$27, 0.0021, 0)</f>
        <v>48.4831</v>
      </c>
      <c r="J413" s="14">
        <f>48.481 * CHOOSE(CONTROL!$C$9, $D$9, 100%, $F$9) + CHOOSE(CONTROL!$C$27, 0.0021, 0)</f>
        <v>48.4831</v>
      </c>
      <c r="K413" s="14">
        <f>48.481 * CHOOSE(CONTROL!$C$9, $D$9, 100%, $F$9) + CHOOSE(CONTROL!$C$27, 0.0021, 0)</f>
        <v>48.4831</v>
      </c>
      <c r="L413" s="14"/>
    </row>
    <row r="414" spans="1:12" ht="15.75" x14ac:dyDescent="0.25">
      <c r="A414" s="33">
        <v>53539</v>
      </c>
      <c r="B414" s="14">
        <f>49.8492 * CHOOSE(CONTROL!$C$9, $D$9, 100%, $F$9) + CHOOSE(CONTROL!$C$27, 0.0021, 0)</f>
        <v>49.851300000000002</v>
      </c>
      <c r="C414" s="14">
        <f>49.417 * CHOOSE(CONTROL!$C$9, $D$9, 100%, $F$9) + CHOOSE(CONTROL!$C$27, 0.0021, 0)</f>
        <v>49.4191</v>
      </c>
      <c r="D414" s="14">
        <f>49.417 * CHOOSE(CONTROL!$C$9, $D$9, 100%, $F$9) + CHOOSE(CONTROL!$C$27, 0.0021, 0)</f>
        <v>49.4191</v>
      </c>
      <c r="E414" s="14">
        <f>49.2803 * CHOOSE(CONTROL!$C$9, $D$9, 100%, $F$9) + CHOOSE(CONTROL!$C$27, 0.0021, 0)</f>
        <v>49.282399999999996</v>
      </c>
      <c r="F414" s="14">
        <f>49.2803 * CHOOSE(CONTROL!$C$9, $D$9, 100%, $F$9) + CHOOSE(CONTROL!$C$27, 0.0021, 0)</f>
        <v>49.282399999999996</v>
      </c>
      <c r="G414" s="14">
        <f>49.5517 * CHOOSE(CONTROL!$C$9, $D$9, 100%, $F$9) + CHOOSE(CONTROL!$C$27, 0.0021, 0)</f>
        <v>49.553799999999995</v>
      </c>
      <c r="H414" s="14">
        <f>49.417 * CHOOSE(CONTROL!$C$9, $D$9, 100%, $F$9) + CHOOSE(CONTROL!$C$27, 0.0021, 0)</f>
        <v>49.4191</v>
      </c>
      <c r="I414" s="14">
        <f>49.417 * CHOOSE(CONTROL!$C$9, $D$9, 100%, $F$9) + CHOOSE(CONTROL!$C$27, 0.0021, 0)</f>
        <v>49.4191</v>
      </c>
      <c r="J414" s="14">
        <f>49.417 * CHOOSE(CONTROL!$C$9, $D$9, 100%, $F$9) + CHOOSE(CONTROL!$C$27, 0.0021, 0)</f>
        <v>49.4191</v>
      </c>
      <c r="K414" s="14">
        <f>49.417 * CHOOSE(CONTROL!$C$9, $D$9, 100%, $F$9) + CHOOSE(CONTROL!$C$27, 0.0021, 0)</f>
        <v>49.4191</v>
      </c>
      <c r="L414" s="14"/>
    </row>
    <row r="415" spans="1:12" ht="15.75" x14ac:dyDescent="0.25">
      <c r="A415" s="33">
        <v>53570</v>
      </c>
      <c r="B415" s="14">
        <f>50.1349 * CHOOSE(CONTROL!$C$9, $D$9, 100%, $F$9) + CHOOSE(CONTROL!$C$27, 0.0021, 0)</f>
        <v>50.137</v>
      </c>
      <c r="C415" s="14">
        <f>49.7027 * CHOOSE(CONTROL!$C$9, $D$9, 100%, $F$9) + CHOOSE(CONTROL!$C$27, 0.0021, 0)</f>
        <v>49.704799999999999</v>
      </c>
      <c r="D415" s="14">
        <f>49.7027 * CHOOSE(CONTROL!$C$9, $D$9, 100%, $F$9) + CHOOSE(CONTROL!$C$27, 0.0021, 0)</f>
        <v>49.704799999999999</v>
      </c>
      <c r="E415" s="14">
        <f>49.566 * CHOOSE(CONTROL!$C$9, $D$9, 100%, $F$9) + CHOOSE(CONTROL!$C$27, 0.0021, 0)</f>
        <v>49.568100000000001</v>
      </c>
      <c r="F415" s="14">
        <f>49.566 * CHOOSE(CONTROL!$C$9, $D$9, 100%, $F$9) + CHOOSE(CONTROL!$C$27, 0.0021, 0)</f>
        <v>49.568100000000001</v>
      </c>
      <c r="G415" s="14">
        <f>49.8374 * CHOOSE(CONTROL!$C$9, $D$9, 100%, $F$9) + CHOOSE(CONTROL!$C$27, 0.0021, 0)</f>
        <v>49.839500000000001</v>
      </c>
      <c r="H415" s="14">
        <f>49.7027 * CHOOSE(CONTROL!$C$9, $D$9, 100%, $F$9) + CHOOSE(CONTROL!$C$27, 0.0021, 0)</f>
        <v>49.704799999999999</v>
      </c>
      <c r="I415" s="14">
        <f>49.7027 * CHOOSE(CONTROL!$C$9, $D$9, 100%, $F$9) + CHOOSE(CONTROL!$C$27, 0.0021, 0)</f>
        <v>49.704799999999999</v>
      </c>
      <c r="J415" s="14">
        <f>49.7027 * CHOOSE(CONTROL!$C$9, $D$9, 100%, $F$9) + CHOOSE(CONTROL!$C$27, 0.0021, 0)</f>
        <v>49.704799999999999</v>
      </c>
      <c r="K415" s="14">
        <f>49.7027 * CHOOSE(CONTROL!$C$9, $D$9, 100%, $F$9) + CHOOSE(CONTROL!$C$27, 0.0021, 0)</f>
        <v>49.704799999999999</v>
      </c>
      <c r="L415" s="14"/>
    </row>
    <row r="416" spans="1:12" ht="15.75" x14ac:dyDescent="0.25">
      <c r="A416" s="33">
        <v>53600</v>
      </c>
      <c r="B416" s="14">
        <f>51.1078 * CHOOSE(CONTROL!$C$9, $D$9, 100%, $F$9) + CHOOSE(CONTROL!$C$27, 0.0021, 0)</f>
        <v>51.109899999999996</v>
      </c>
      <c r="C416" s="14">
        <f>50.6755 * CHOOSE(CONTROL!$C$9, $D$9, 100%, $F$9) + CHOOSE(CONTROL!$C$27, 0.0021, 0)</f>
        <v>50.677599999999998</v>
      </c>
      <c r="D416" s="14">
        <f>50.6755 * CHOOSE(CONTROL!$C$9, $D$9, 100%, $F$9) + CHOOSE(CONTROL!$C$27, 0.0021, 0)</f>
        <v>50.677599999999998</v>
      </c>
      <c r="E416" s="14">
        <f>50.5389 * CHOOSE(CONTROL!$C$9, $D$9, 100%, $F$9) + CHOOSE(CONTROL!$C$27, 0.0021, 0)</f>
        <v>50.540999999999997</v>
      </c>
      <c r="F416" s="14">
        <f>50.5389 * CHOOSE(CONTROL!$C$9, $D$9, 100%, $F$9) + CHOOSE(CONTROL!$C$27, 0.0021, 0)</f>
        <v>50.540999999999997</v>
      </c>
      <c r="G416" s="14">
        <f>50.8102 * CHOOSE(CONTROL!$C$9, $D$9, 100%, $F$9) + CHOOSE(CONTROL!$C$27, 0.0021, 0)</f>
        <v>50.8123</v>
      </c>
      <c r="H416" s="14">
        <f>50.6755 * CHOOSE(CONTROL!$C$9, $D$9, 100%, $F$9) + CHOOSE(CONTROL!$C$27, 0.0021, 0)</f>
        <v>50.677599999999998</v>
      </c>
      <c r="I416" s="14">
        <f>50.6755 * CHOOSE(CONTROL!$C$9, $D$9, 100%, $F$9) + CHOOSE(CONTROL!$C$27, 0.0021, 0)</f>
        <v>50.677599999999998</v>
      </c>
      <c r="J416" s="14">
        <f>50.6755 * CHOOSE(CONTROL!$C$9, $D$9, 100%, $F$9) + CHOOSE(CONTROL!$C$27, 0.0021, 0)</f>
        <v>50.677599999999998</v>
      </c>
      <c r="K416" s="14">
        <f>50.6755 * CHOOSE(CONTROL!$C$9, $D$9, 100%, $F$9) + CHOOSE(CONTROL!$C$27, 0.0021, 0)</f>
        <v>50.677599999999998</v>
      </c>
      <c r="L416" s="14"/>
    </row>
    <row r="417" spans="1:12" ht="15.75" x14ac:dyDescent="0.25">
      <c r="A417" s="33">
        <v>53631</v>
      </c>
      <c r="B417" s="14">
        <f>52.3393 * CHOOSE(CONTROL!$C$9, $D$9, 100%, $F$9) + CHOOSE(CONTROL!$C$27, 0.0021, 0)</f>
        <v>52.3414</v>
      </c>
      <c r="C417" s="14">
        <f>51.907 * CHOOSE(CONTROL!$C$9, $D$9, 100%, $F$9) + CHOOSE(CONTROL!$C$27, 0.0021, 0)</f>
        <v>51.909099999999995</v>
      </c>
      <c r="D417" s="14">
        <f>51.907 * CHOOSE(CONTROL!$C$9, $D$9, 100%, $F$9) + CHOOSE(CONTROL!$C$27, 0.0021, 0)</f>
        <v>51.909099999999995</v>
      </c>
      <c r="E417" s="14">
        <f>51.7704 * CHOOSE(CONTROL!$C$9, $D$9, 100%, $F$9) + CHOOSE(CONTROL!$C$27, 0.0021, 0)</f>
        <v>51.772500000000001</v>
      </c>
      <c r="F417" s="14">
        <f>51.7704 * CHOOSE(CONTROL!$C$9, $D$9, 100%, $F$9) + CHOOSE(CONTROL!$C$27, 0.0021, 0)</f>
        <v>51.772500000000001</v>
      </c>
      <c r="G417" s="14">
        <f>52.0417 * CHOOSE(CONTROL!$C$9, $D$9, 100%, $F$9) + CHOOSE(CONTROL!$C$27, 0.0021, 0)</f>
        <v>52.043799999999997</v>
      </c>
      <c r="H417" s="14">
        <f>51.907 * CHOOSE(CONTROL!$C$9, $D$9, 100%, $F$9) + CHOOSE(CONTROL!$C$27, 0.0021, 0)</f>
        <v>51.909099999999995</v>
      </c>
      <c r="I417" s="14">
        <f>51.907 * CHOOSE(CONTROL!$C$9, $D$9, 100%, $F$9) + CHOOSE(CONTROL!$C$27, 0.0021, 0)</f>
        <v>51.909099999999995</v>
      </c>
      <c r="J417" s="14">
        <f>51.907 * CHOOSE(CONTROL!$C$9, $D$9, 100%, $F$9) + CHOOSE(CONTROL!$C$27, 0.0021, 0)</f>
        <v>51.909099999999995</v>
      </c>
      <c r="K417" s="14">
        <f>51.907 * CHOOSE(CONTROL!$C$9, $D$9, 100%, $F$9) + CHOOSE(CONTROL!$C$27, 0.0021, 0)</f>
        <v>51.909099999999995</v>
      </c>
      <c r="L417" s="14"/>
    </row>
    <row r="418" spans="1:12" ht="15.75" x14ac:dyDescent="0.25">
      <c r="A418" s="33">
        <v>53661</v>
      </c>
      <c r="B418" s="14">
        <f>52.4549 * CHOOSE(CONTROL!$C$9, $D$9, 100%, $F$9) + CHOOSE(CONTROL!$C$27, 0.0021, 0)</f>
        <v>52.457000000000001</v>
      </c>
      <c r="C418" s="14">
        <f>52.0226 * CHOOSE(CONTROL!$C$9, $D$9, 100%, $F$9) + CHOOSE(CONTROL!$C$27, 0.0021, 0)</f>
        <v>52.024699999999996</v>
      </c>
      <c r="D418" s="14">
        <f>52.0226 * CHOOSE(CONTROL!$C$9, $D$9, 100%, $F$9) + CHOOSE(CONTROL!$C$27, 0.0021, 0)</f>
        <v>52.024699999999996</v>
      </c>
      <c r="E418" s="14">
        <f>51.886 * CHOOSE(CONTROL!$C$9, $D$9, 100%, $F$9) + CHOOSE(CONTROL!$C$27, 0.0021, 0)</f>
        <v>51.888100000000001</v>
      </c>
      <c r="F418" s="14">
        <f>51.886 * CHOOSE(CONTROL!$C$9, $D$9, 100%, $F$9) + CHOOSE(CONTROL!$C$27, 0.0021, 0)</f>
        <v>51.888100000000001</v>
      </c>
      <c r="G418" s="14">
        <f>52.1574 * CHOOSE(CONTROL!$C$9, $D$9, 100%, $F$9) + CHOOSE(CONTROL!$C$27, 0.0021, 0)</f>
        <v>52.159500000000001</v>
      </c>
      <c r="H418" s="14">
        <f>52.0226 * CHOOSE(CONTROL!$C$9, $D$9, 100%, $F$9) + CHOOSE(CONTROL!$C$27, 0.0021, 0)</f>
        <v>52.024699999999996</v>
      </c>
      <c r="I418" s="14">
        <f>52.0226 * CHOOSE(CONTROL!$C$9, $D$9, 100%, $F$9) + CHOOSE(CONTROL!$C$27, 0.0021, 0)</f>
        <v>52.024699999999996</v>
      </c>
      <c r="J418" s="14">
        <f>52.0226 * CHOOSE(CONTROL!$C$9, $D$9, 100%, $F$9) + CHOOSE(CONTROL!$C$27, 0.0021, 0)</f>
        <v>52.024699999999996</v>
      </c>
      <c r="K418" s="14">
        <f>52.0226 * CHOOSE(CONTROL!$C$9, $D$9, 100%, $F$9) + CHOOSE(CONTROL!$C$27, 0.0021, 0)</f>
        <v>52.024699999999996</v>
      </c>
      <c r="L418" s="14"/>
    </row>
    <row r="419" spans="1:12" ht="15.75" x14ac:dyDescent="0.25">
      <c r="A419" s="33">
        <v>53692</v>
      </c>
      <c r="B419" s="14">
        <f>51.4713 * CHOOSE(CONTROL!$C$9, $D$9, 100%, $F$9) + CHOOSE(CONTROL!$C$27, 0.0021, 0)</f>
        <v>51.473399999999998</v>
      </c>
      <c r="C419" s="14">
        <f>51.0391 * CHOOSE(CONTROL!$C$9, $D$9, 100%, $F$9) + CHOOSE(CONTROL!$C$27, 0.0021, 0)</f>
        <v>51.041199999999996</v>
      </c>
      <c r="D419" s="14">
        <f>51.0391 * CHOOSE(CONTROL!$C$9, $D$9, 100%, $F$9) + CHOOSE(CONTROL!$C$27, 0.0021, 0)</f>
        <v>51.041199999999996</v>
      </c>
      <c r="E419" s="14">
        <f>50.9024 * CHOOSE(CONTROL!$C$9, $D$9, 100%, $F$9) + CHOOSE(CONTROL!$C$27, 0.0021, 0)</f>
        <v>50.904499999999999</v>
      </c>
      <c r="F419" s="14">
        <f>50.9024 * CHOOSE(CONTROL!$C$9, $D$9, 100%, $F$9) + CHOOSE(CONTROL!$C$27, 0.0021, 0)</f>
        <v>50.904499999999999</v>
      </c>
      <c r="G419" s="14">
        <f>51.1738 * CHOOSE(CONTROL!$C$9, $D$9, 100%, $F$9) + CHOOSE(CONTROL!$C$27, 0.0021, 0)</f>
        <v>51.175899999999999</v>
      </c>
      <c r="H419" s="14">
        <f>51.0391 * CHOOSE(CONTROL!$C$9, $D$9, 100%, $F$9) + CHOOSE(CONTROL!$C$27, 0.0021, 0)</f>
        <v>51.041199999999996</v>
      </c>
      <c r="I419" s="14">
        <f>51.0391 * CHOOSE(CONTROL!$C$9, $D$9, 100%, $F$9) + CHOOSE(CONTROL!$C$27, 0.0021, 0)</f>
        <v>51.041199999999996</v>
      </c>
      <c r="J419" s="14">
        <f>51.0391 * CHOOSE(CONTROL!$C$9, $D$9, 100%, $F$9) + CHOOSE(CONTROL!$C$27, 0.0021, 0)</f>
        <v>51.041199999999996</v>
      </c>
      <c r="K419" s="14">
        <f>51.0391 * CHOOSE(CONTROL!$C$9, $D$9, 100%, $F$9) + CHOOSE(CONTROL!$C$27, 0.0021, 0)</f>
        <v>51.041199999999996</v>
      </c>
      <c r="L419" s="14"/>
    </row>
    <row r="420" spans="1:12" ht="15.75" x14ac:dyDescent="0.25">
      <c r="A420" s="33">
        <v>53723</v>
      </c>
      <c r="B420" s="14">
        <f>50.8496 * CHOOSE(CONTROL!$C$9, $D$9, 100%, $F$9) + CHOOSE(CONTROL!$C$27, 0.0021, 0)</f>
        <v>50.851700000000001</v>
      </c>
      <c r="C420" s="14">
        <f>50.4174 * CHOOSE(CONTROL!$C$9, $D$9, 100%, $F$9) + CHOOSE(CONTROL!$C$27, 0.0021, 0)</f>
        <v>50.419499999999999</v>
      </c>
      <c r="D420" s="14">
        <f>50.4174 * CHOOSE(CONTROL!$C$9, $D$9, 100%, $F$9) + CHOOSE(CONTROL!$C$27, 0.0021, 0)</f>
        <v>50.419499999999999</v>
      </c>
      <c r="E420" s="14">
        <f>50.2807 * CHOOSE(CONTROL!$C$9, $D$9, 100%, $F$9) + CHOOSE(CONTROL!$C$27, 0.0021, 0)</f>
        <v>50.282800000000002</v>
      </c>
      <c r="F420" s="14">
        <f>50.2807 * CHOOSE(CONTROL!$C$9, $D$9, 100%, $F$9) + CHOOSE(CONTROL!$C$27, 0.0021, 0)</f>
        <v>50.282800000000002</v>
      </c>
      <c r="G420" s="14">
        <f>50.5521 * CHOOSE(CONTROL!$C$9, $D$9, 100%, $F$9) + CHOOSE(CONTROL!$C$27, 0.0021, 0)</f>
        <v>50.554200000000002</v>
      </c>
      <c r="H420" s="14">
        <f>50.4174 * CHOOSE(CONTROL!$C$9, $D$9, 100%, $F$9) + CHOOSE(CONTROL!$C$27, 0.0021, 0)</f>
        <v>50.419499999999999</v>
      </c>
      <c r="I420" s="14">
        <f>50.4174 * CHOOSE(CONTROL!$C$9, $D$9, 100%, $F$9) + CHOOSE(CONTROL!$C$27, 0.0021, 0)</f>
        <v>50.419499999999999</v>
      </c>
      <c r="J420" s="14">
        <f>50.4174 * CHOOSE(CONTROL!$C$9, $D$9, 100%, $F$9) + CHOOSE(CONTROL!$C$27, 0.0021, 0)</f>
        <v>50.419499999999999</v>
      </c>
      <c r="K420" s="14">
        <f>50.4174 * CHOOSE(CONTROL!$C$9, $D$9, 100%, $F$9) + CHOOSE(CONTROL!$C$27, 0.0021, 0)</f>
        <v>50.419499999999999</v>
      </c>
      <c r="L420" s="14"/>
    </row>
    <row r="421" spans="1:12" ht="15.75" x14ac:dyDescent="0.25">
      <c r="A421" s="33">
        <v>53751</v>
      </c>
      <c r="B421" s="14">
        <f>49.4762 * CHOOSE(CONTROL!$C$9, $D$9, 100%, $F$9) + CHOOSE(CONTROL!$C$27, 0.0021, 0)</f>
        <v>49.478299999999997</v>
      </c>
      <c r="C421" s="14">
        <f>49.0439 * CHOOSE(CONTROL!$C$9, $D$9, 100%, $F$9) + CHOOSE(CONTROL!$C$27, 0.0021, 0)</f>
        <v>49.045999999999999</v>
      </c>
      <c r="D421" s="14">
        <f>49.0439 * CHOOSE(CONTROL!$C$9, $D$9, 100%, $F$9) + CHOOSE(CONTROL!$C$27, 0.0021, 0)</f>
        <v>49.045999999999999</v>
      </c>
      <c r="E421" s="14">
        <f>48.9073 * CHOOSE(CONTROL!$C$9, $D$9, 100%, $F$9) + CHOOSE(CONTROL!$C$27, 0.0021, 0)</f>
        <v>48.909399999999998</v>
      </c>
      <c r="F421" s="14">
        <f>48.9073 * CHOOSE(CONTROL!$C$9, $D$9, 100%, $F$9) + CHOOSE(CONTROL!$C$27, 0.0021, 0)</f>
        <v>48.909399999999998</v>
      </c>
      <c r="G421" s="14">
        <f>49.1787 * CHOOSE(CONTROL!$C$9, $D$9, 100%, $F$9) + CHOOSE(CONTROL!$C$27, 0.0021, 0)</f>
        <v>49.180799999999998</v>
      </c>
      <c r="H421" s="14">
        <f>49.0439 * CHOOSE(CONTROL!$C$9, $D$9, 100%, $F$9) + CHOOSE(CONTROL!$C$27, 0.0021, 0)</f>
        <v>49.045999999999999</v>
      </c>
      <c r="I421" s="14">
        <f>49.0439 * CHOOSE(CONTROL!$C$9, $D$9, 100%, $F$9) + CHOOSE(CONTROL!$C$27, 0.0021, 0)</f>
        <v>49.045999999999999</v>
      </c>
      <c r="J421" s="14">
        <f>49.0439 * CHOOSE(CONTROL!$C$9, $D$9, 100%, $F$9) + CHOOSE(CONTROL!$C$27, 0.0021, 0)</f>
        <v>49.045999999999999</v>
      </c>
      <c r="K421" s="14">
        <f>49.0439 * CHOOSE(CONTROL!$C$9, $D$9, 100%, $F$9) + CHOOSE(CONTROL!$C$27, 0.0021, 0)</f>
        <v>49.045999999999999</v>
      </c>
      <c r="L421" s="14"/>
    </row>
    <row r="422" spans="1:12" ht="15.75" x14ac:dyDescent="0.25">
      <c r="A422" s="33">
        <v>53782</v>
      </c>
      <c r="B422" s="14">
        <f>48.9092 * CHOOSE(CONTROL!$C$9, $D$9, 100%, $F$9) + CHOOSE(CONTROL!$C$27, 0.0021, 0)</f>
        <v>48.911299999999997</v>
      </c>
      <c r="C422" s="14">
        <f>48.477 * CHOOSE(CONTROL!$C$9, $D$9, 100%, $F$9) + CHOOSE(CONTROL!$C$27, 0.0021, 0)</f>
        <v>48.479099999999995</v>
      </c>
      <c r="D422" s="14">
        <f>48.477 * CHOOSE(CONTROL!$C$9, $D$9, 100%, $F$9) + CHOOSE(CONTROL!$C$27, 0.0021, 0)</f>
        <v>48.479099999999995</v>
      </c>
      <c r="E422" s="14">
        <f>48.3403 * CHOOSE(CONTROL!$C$9, $D$9, 100%, $F$9) + CHOOSE(CONTROL!$C$27, 0.0021, 0)</f>
        <v>48.342399999999998</v>
      </c>
      <c r="F422" s="14">
        <f>48.3403 * CHOOSE(CONTROL!$C$9, $D$9, 100%, $F$9) + CHOOSE(CONTROL!$C$27, 0.0021, 0)</f>
        <v>48.342399999999998</v>
      </c>
      <c r="G422" s="14">
        <f>48.6117 * CHOOSE(CONTROL!$C$9, $D$9, 100%, $F$9) + CHOOSE(CONTROL!$C$27, 0.0021, 0)</f>
        <v>48.613799999999998</v>
      </c>
      <c r="H422" s="14">
        <f>48.477 * CHOOSE(CONTROL!$C$9, $D$9, 100%, $F$9) + CHOOSE(CONTROL!$C$27, 0.0021, 0)</f>
        <v>48.479099999999995</v>
      </c>
      <c r="I422" s="14">
        <f>48.477 * CHOOSE(CONTROL!$C$9, $D$9, 100%, $F$9) + CHOOSE(CONTROL!$C$27, 0.0021, 0)</f>
        <v>48.479099999999995</v>
      </c>
      <c r="J422" s="14">
        <f>48.477 * CHOOSE(CONTROL!$C$9, $D$9, 100%, $F$9) + CHOOSE(CONTROL!$C$27, 0.0021, 0)</f>
        <v>48.479099999999995</v>
      </c>
      <c r="K422" s="14">
        <f>48.477 * CHOOSE(CONTROL!$C$9, $D$9, 100%, $F$9) + CHOOSE(CONTROL!$C$27, 0.0021, 0)</f>
        <v>48.479099999999995</v>
      </c>
      <c r="L422" s="14"/>
    </row>
    <row r="423" spans="1:12" ht="15.75" x14ac:dyDescent="0.25">
      <c r="A423" s="33">
        <v>53812</v>
      </c>
      <c r="B423" s="14">
        <f>48.2323 * CHOOSE(CONTROL!$C$9, $D$9, 100%, $F$9) + CHOOSE(CONTROL!$C$27, 0.0021, 0)</f>
        <v>48.234400000000001</v>
      </c>
      <c r="C423" s="14">
        <f>47.8 * CHOOSE(CONTROL!$C$9, $D$9, 100%, $F$9) + CHOOSE(CONTROL!$C$27, 0.0021, 0)</f>
        <v>47.802099999999996</v>
      </c>
      <c r="D423" s="14">
        <f>47.8 * CHOOSE(CONTROL!$C$9, $D$9, 100%, $F$9) + CHOOSE(CONTROL!$C$27, 0.0021, 0)</f>
        <v>47.802099999999996</v>
      </c>
      <c r="E423" s="14">
        <f>47.6633 * CHOOSE(CONTROL!$C$9, $D$9, 100%, $F$9) + CHOOSE(CONTROL!$C$27, 0.0021, 0)</f>
        <v>47.665399999999998</v>
      </c>
      <c r="F423" s="14">
        <f>47.6633 * CHOOSE(CONTROL!$C$9, $D$9, 100%, $F$9) + CHOOSE(CONTROL!$C$27, 0.0021, 0)</f>
        <v>47.665399999999998</v>
      </c>
      <c r="G423" s="14">
        <f>47.9347 * CHOOSE(CONTROL!$C$9, $D$9, 100%, $F$9) + CHOOSE(CONTROL!$C$27, 0.0021, 0)</f>
        <v>47.936799999999998</v>
      </c>
      <c r="H423" s="14">
        <f>47.8 * CHOOSE(CONTROL!$C$9, $D$9, 100%, $F$9) + CHOOSE(CONTROL!$C$27, 0.0021, 0)</f>
        <v>47.802099999999996</v>
      </c>
      <c r="I423" s="14">
        <f>47.8 * CHOOSE(CONTROL!$C$9, $D$9, 100%, $F$9) + CHOOSE(CONTROL!$C$27, 0.0021, 0)</f>
        <v>47.802099999999996</v>
      </c>
      <c r="J423" s="14">
        <f>47.8 * CHOOSE(CONTROL!$C$9, $D$9, 100%, $F$9) + CHOOSE(CONTROL!$C$27, 0.0021, 0)</f>
        <v>47.802099999999996</v>
      </c>
      <c r="K423" s="14">
        <f>47.8 * CHOOSE(CONTROL!$C$9, $D$9, 100%, $F$9) + CHOOSE(CONTROL!$C$27, 0.0021, 0)</f>
        <v>47.802099999999996</v>
      </c>
      <c r="L423" s="14"/>
    </row>
    <row r="424" spans="1:12" ht="15.75" x14ac:dyDescent="0.25">
      <c r="A424" s="33">
        <v>53843</v>
      </c>
      <c r="B424" s="14">
        <f>49.197 * CHOOSE(CONTROL!$C$9, $D$9, 100%, $F$9) + CHOOSE(CONTROL!$C$27, 0.0021, 0)</f>
        <v>49.199100000000001</v>
      </c>
      <c r="C424" s="14">
        <f>48.7648 * CHOOSE(CONTROL!$C$9, $D$9, 100%, $F$9) + CHOOSE(CONTROL!$C$27, 0.0021, 0)</f>
        <v>48.7669</v>
      </c>
      <c r="D424" s="14">
        <f>48.7648 * CHOOSE(CONTROL!$C$9, $D$9, 100%, $F$9) + CHOOSE(CONTROL!$C$27, 0.0021, 0)</f>
        <v>48.7669</v>
      </c>
      <c r="E424" s="14">
        <f>48.6281 * CHOOSE(CONTROL!$C$9, $D$9, 100%, $F$9) + CHOOSE(CONTROL!$C$27, 0.0021, 0)</f>
        <v>48.630200000000002</v>
      </c>
      <c r="F424" s="14">
        <f>48.6281 * CHOOSE(CONTROL!$C$9, $D$9, 100%, $F$9) + CHOOSE(CONTROL!$C$27, 0.0021, 0)</f>
        <v>48.630200000000002</v>
      </c>
      <c r="G424" s="14">
        <f>48.8995 * CHOOSE(CONTROL!$C$9, $D$9, 100%, $F$9) + CHOOSE(CONTROL!$C$27, 0.0021, 0)</f>
        <v>48.901600000000002</v>
      </c>
      <c r="H424" s="14">
        <f>48.7648 * CHOOSE(CONTROL!$C$9, $D$9, 100%, $F$9) + CHOOSE(CONTROL!$C$27, 0.0021, 0)</f>
        <v>48.7669</v>
      </c>
      <c r="I424" s="14">
        <f>48.7648 * CHOOSE(CONTROL!$C$9, $D$9, 100%, $F$9) + CHOOSE(CONTROL!$C$27, 0.0021, 0)</f>
        <v>48.7669</v>
      </c>
      <c r="J424" s="14">
        <f>48.7648 * CHOOSE(CONTROL!$C$9, $D$9, 100%, $F$9) + CHOOSE(CONTROL!$C$27, 0.0021, 0)</f>
        <v>48.7669</v>
      </c>
      <c r="K424" s="14">
        <f>48.7648 * CHOOSE(CONTROL!$C$9, $D$9, 100%, $F$9) + CHOOSE(CONTROL!$C$27, 0.0021, 0)</f>
        <v>48.7669</v>
      </c>
      <c r="L424" s="14"/>
    </row>
    <row r="425" spans="1:12" ht="15.75" x14ac:dyDescent="0.25">
      <c r="A425" s="33">
        <v>53873</v>
      </c>
      <c r="B425" s="14">
        <f>49.7749 * CHOOSE(CONTROL!$C$9, $D$9, 100%, $F$9) + CHOOSE(CONTROL!$C$27, 0.0021, 0)</f>
        <v>49.777000000000001</v>
      </c>
      <c r="C425" s="14">
        <f>49.3426 * CHOOSE(CONTROL!$C$9, $D$9, 100%, $F$9) + CHOOSE(CONTROL!$C$27, 0.0021, 0)</f>
        <v>49.344699999999996</v>
      </c>
      <c r="D425" s="14">
        <f>49.3426 * CHOOSE(CONTROL!$C$9, $D$9, 100%, $F$9) + CHOOSE(CONTROL!$C$27, 0.0021, 0)</f>
        <v>49.344699999999996</v>
      </c>
      <c r="E425" s="14">
        <f>49.206 * CHOOSE(CONTROL!$C$9, $D$9, 100%, $F$9) + CHOOSE(CONTROL!$C$27, 0.0021, 0)</f>
        <v>49.208100000000002</v>
      </c>
      <c r="F425" s="14">
        <f>49.206 * CHOOSE(CONTROL!$C$9, $D$9, 100%, $F$9) + CHOOSE(CONTROL!$C$27, 0.0021, 0)</f>
        <v>49.208100000000002</v>
      </c>
      <c r="G425" s="14">
        <f>49.4773 * CHOOSE(CONTROL!$C$9, $D$9, 100%, $F$9) + CHOOSE(CONTROL!$C$27, 0.0021, 0)</f>
        <v>49.479399999999998</v>
      </c>
      <c r="H425" s="14">
        <f>49.3426 * CHOOSE(CONTROL!$C$9, $D$9, 100%, $F$9) + CHOOSE(CONTROL!$C$27, 0.0021, 0)</f>
        <v>49.344699999999996</v>
      </c>
      <c r="I425" s="14">
        <f>49.3426 * CHOOSE(CONTROL!$C$9, $D$9, 100%, $F$9) + CHOOSE(CONTROL!$C$27, 0.0021, 0)</f>
        <v>49.344699999999996</v>
      </c>
      <c r="J425" s="14">
        <f>49.3426 * CHOOSE(CONTROL!$C$9, $D$9, 100%, $F$9) + CHOOSE(CONTROL!$C$27, 0.0021, 0)</f>
        <v>49.344699999999996</v>
      </c>
      <c r="K425" s="14">
        <f>49.3426 * CHOOSE(CONTROL!$C$9, $D$9, 100%, $F$9) + CHOOSE(CONTROL!$C$27, 0.0021, 0)</f>
        <v>49.344699999999996</v>
      </c>
      <c r="L425" s="14"/>
    </row>
    <row r="426" spans="1:12" ht="15.75" x14ac:dyDescent="0.25">
      <c r="A426" s="33">
        <v>53904</v>
      </c>
      <c r="B426" s="14">
        <f>50.7281 * CHOOSE(CONTROL!$C$9, $D$9, 100%, $F$9) + CHOOSE(CONTROL!$C$27, 0.0021, 0)</f>
        <v>50.730199999999996</v>
      </c>
      <c r="C426" s="14">
        <f>50.2959 * CHOOSE(CONTROL!$C$9, $D$9, 100%, $F$9) + CHOOSE(CONTROL!$C$27, 0.0021, 0)</f>
        <v>50.298000000000002</v>
      </c>
      <c r="D426" s="14">
        <f>50.2959 * CHOOSE(CONTROL!$C$9, $D$9, 100%, $F$9) + CHOOSE(CONTROL!$C$27, 0.0021, 0)</f>
        <v>50.298000000000002</v>
      </c>
      <c r="E426" s="14">
        <f>50.1592 * CHOOSE(CONTROL!$C$9, $D$9, 100%, $F$9) + CHOOSE(CONTROL!$C$27, 0.0021, 0)</f>
        <v>50.161299999999997</v>
      </c>
      <c r="F426" s="14">
        <f>50.1592 * CHOOSE(CONTROL!$C$9, $D$9, 100%, $F$9) + CHOOSE(CONTROL!$C$27, 0.0021, 0)</f>
        <v>50.161299999999997</v>
      </c>
      <c r="G426" s="14">
        <f>50.4306 * CHOOSE(CONTROL!$C$9, $D$9, 100%, $F$9) + CHOOSE(CONTROL!$C$27, 0.0021, 0)</f>
        <v>50.432699999999997</v>
      </c>
      <c r="H426" s="14">
        <f>50.2959 * CHOOSE(CONTROL!$C$9, $D$9, 100%, $F$9) + CHOOSE(CONTROL!$C$27, 0.0021, 0)</f>
        <v>50.298000000000002</v>
      </c>
      <c r="I426" s="14">
        <f>50.2959 * CHOOSE(CONTROL!$C$9, $D$9, 100%, $F$9) + CHOOSE(CONTROL!$C$27, 0.0021, 0)</f>
        <v>50.298000000000002</v>
      </c>
      <c r="J426" s="14">
        <f>50.2959 * CHOOSE(CONTROL!$C$9, $D$9, 100%, $F$9) + CHOOSE(CONTROL!$C$27, 0.0021, 0)</f>
        <v>50.298000000000002</v>
      </c>
      <c r="K426" s="14">
        <f>50.2959 * CHOOSE(CONTROL!$C$9, $D$9, 100%, $F$9) + CHOOSE(CONTROL!$C$27, 0.0021, 0)</f>
        <v>50.298000000000002</v>
      </c>
      <c r="L426" s="14"/>
    </row>
    <row r="427" spans="1:12" ht="15.75" x14ac:dyDescent="0.25">
      <c r="A427" s="33">
        <v>53935</v>
      </c>
      <c r="B427" s="14">
        <f>51.0191 * CHOOSE(CONTROL!$C$9, $D$9, 100%, $F$9) + CHOOSE(CONTROL!$C$27, 0.0021, 0)</f>
        <v>51.0212</v>
      </c>
      <c r="C427" s="14">
        <f>50.5868 * CHOOSE(CONTROL!$C$9, $D$9, 100%, $F$9) + CHOOSE(CONTROL!$C$27, 0.0021, 0)</f>
        <v>50.588899999999995</v>
      </c>
      <c r="D427" s="14">
        <f>50.5868 * CHOOSE(CONTROL!$C$9, $D$9, 100%, $F$9) + CHOOSE(CONTROL!$C$27, 0.0021, 0)</f>
        <v>50.588899999999995</v>
      </c>
      <c r="E427" s="14">
        <f>50.4502 * CHOOSE(CONTROL!$C$9, $D$9, 100%, $F$9) + CHOOSE(CONTROL!$C$27, 0.0021, 0)</f>
        <v>50.452300000000001</v>
      </c>
      <c r="F427" s="14">
        <f>50.4502 * CHOOSE(CONTROL!$C$9, $D$9, 100%, $F$9) + CHOOSE(CONTROL!$C$27, 0.0021, 0)</f>
        <v>50.452300000000001</v>
      </c>
      <c r="G427" s="14">
        <f>50.7215 * CHOOSE(CONTROL!$C$9, $D$9, 100%, $F$9) + CHOOSE(CONTROL!$C$27, 0.0021, 0)</f>
        <v>50.723599999999998</v>
      </c>
      <c r="H427" s="14">
        <f>50.5868 * CHOOSE(CONTROL!$C$9, $D$9, 100%, $F$9) + CHOOSE(CONTROL!$C$27, 0.0021, 0)</f>
        <v>50.588899999999995</v>
      </c>
      <c r="I427" s="14">
        <f>50.5868 * CHOOSE(CONTROL!$C$9, $D$9, 100%, $F$9) + CHOOSE(CONTROL!$C$27, 0.0021, 0)</f>
        <v>50.588899999999995</v>
      </c>
      <c r="J427" s="14">
        <f>50.5868 * CHOOSE(CONTROL!$C$9, $D$9, 100%, $F$9) + CHOOSE(CONTROL!$C$27, 0.0021, 0)</f>
        <v>50.588899999999995</v>
      </c>
      <c r="K427" s="14">
        <f>50.5868 * CHOOSE(CONTROL!$C$9, $D$9, 100%, $F$9) + CHOOSE(CONTROL!$C$27, 0.0021, 0)</f>
        <v>50.588899999999995</v>
      </c>
      <c r="L427" s="14"/>
    </row>
    <row r="428" spans="1:12" ht="15.75" x14ac:dyDescent="0.25">
      <c r="A428" s="33">
        <v>53965</v>
      </c>
      <c r="B428" s="14">
        <f>52.0099 * CHOOSE(CONTROL!$C$9, $D$9, 100%, $F$9) + CHOOSE(CONTROL!$C$27, 0.0021, 0)</f>
        <v>52.012</v>
      </c>
      <c r="C428" s="14">
        <f>51.5777 * CHOOSE(CONTROL!$C$9, $D$9, 100%, $F$9) + CHOOSE(CONTROL!$C$27, 0.0021, 0)</f>
        <v>51.579799999999999</v>
      </c>
      <c r="D428" s="14">
        <f>51.5777 * CHOOSE(CONTROL!$C$9, $D$9, 100%, $F$9) + CHOOSE(CONTROL!$C$27, 0.0021, 0)</f>
        <v>51.579799999999999</v>
      </c>
      <c r="E428" s="14">
        <f>51.441 * CHOOSE(CONTROL!$C$9, $D$9, 100%, $F$9) + CHOOSE(CONTROL!$C$27, 0.0021, 0)</f>
        <v>51.443100000000001</v>
      </c>
      <c r="F428" s="14">
        <f>51.441 * CHOOSE(CONTROL!$C$9, $D$9, 100%, $F$9) + CHOOSE(CONTROL!$C$27, 0.0021, 0)</f>
        <v>51.443100000000001</v>
      </c>
      <c r="G428" s="14">
        <f>51.7124 * CHOOSE(CONTROL!$C$9, $D$9, 100%, $F$9) + CHOOSE(CONTROL!$C$27, 0.0021, 0)</f>
        <v>51.714500000000001</v>
      </c>
      <c r="H428" s="14">
        <f>51.5777 * CHOOSE(CONTROL!$C$9, $D$9, 100%, $F$9) + CHOOSE(CONTROL!$C$27, 0.0021, 0)</f>
        <v>51.579799999999999</v>
      </c>
      <c r="I428" s="14">
        <f>51.5777 * CHOOSE(CONTROL!$C$9, $D$9, 100%, $F$9) + CHOOSE(CONTROL!$C$27, 0.0021, 0)</f>
        <v>51.579799999999999</v>
      </c>
      <c r="J428" s="14">
        <f>51.5777 * CHOOSE(CONTROL!$C$9, $D$9, 100%, $F$9) + CHOOSE(CONTROL!$C$27, 0.0021, 0)</f>
        <v>51.579799999999999</v>
      </c>
      <c r="K428" s="14">
        <f>51.5777 * CHOOSE(CONTROL!$C$9, $D$9, 100%, $F$9) + CHOOSE(CONTROL!$C$27, 0.0021, 0)</f>
        <v>51.579799999999999</v>
      </c>
      <c r="L428" s="14"/>
    </row>
    <row r="429" spans="1:12" ht="15.75" x14ac:dyDescent="0.25">
      <c r="A429" s="33">
        <v>53996</v>
      </c>
      <c r="B429" s="14">
        <f>53.2642 * CHOOSE(CONTROL!$C$9, $D$9, 100%, $F$9) + CHOOSE(CONTROL!$C$27, 0.0021, 0)</f>
        <v>53.266300000000001</v>
      </c>
      <c r="C429" s="14">
        <f>52.8319 * CHOOSE(CONTROL!$C$9, $D$9, 100%, $F$9) + CHOOSE(CONTROL!$C$27, 0.0021, 0)</f>
        <v>52.833999999999996</v>
      </c>
      <c r="D429" s="14">
        <f>52.8319 * CHOOSE(CONTROL!$C$9, $D$9, 100%, $F$9) + CHOOSE(CONTROL!$C$27, 0.0021, 0)</f>
        <v>52.833999999999996</v>
      </c>
      <c r="E429" s="14">
        <f>52.6953 * CHOOSE(CONTROL!$C$9, $D$9, 100%, $F$9) + CHOOSE(CONTROL!$C$27, 0.0021, 0)</f>
        <v>52.697400000000002</v>
      </c>
      <c r="F429" s="14">
        <f>52.6953 * CHOOSE(CONTROL!$C$9, $D$9, 100%, $F$9) + CHOOSE(CONTROL!$C$27, 0.0021, 0)</f>
        <v>52.697400000000002</v>
      </c>
      <c r="G429" s="14">
        <f>52.9666 * CHOOSE(CONTROL!$C$9, $D$9, 100%, $F$9) + CHOOSE(CONTROL!$C$27, 0.0021, 0)</f>
        <v>52.968699999999998</v>
      </c>
      <c r="H429" s="14">
        <f>52.8319 * CHOOSE(CONTROL!$C$9, $D$9, 100%, $F$9) + CHOOSE(CONTROL!$C$27, 0.0021, 0)</f>
        <v>52.833999999999996</v>
      </c>
      <c r="I429" s="14">
        <f>52.8319 * CHOOSE(CONTROL!$C$9, $D$9, 100%, $F$9) + CHOOSE(CONTROL!$C$27, 0.0021, 0)</f>
        <v>52.833999999999996</v>
      </c>
      <c r="J429" s="14">
        <f>52.8319 * CHOOSE(CONTROL!$C$9, $D$9, 100%, $F$9) + CHOOSE(CONTROL!$C$27, 0.0021, 0)</f>
        <v>52.833999999999996</v>
      </c>
      <c r="K429" s="14">
        <f>52.8319 * CHOOSE(CONTROL!$C$9, $D$9, 100%, $F$9) + CHOOSE(CONTROL!$C$27, 0.0021, 0)</f>
        <v>52.833999999999996</v>
      </c>
      <c r="L429" s="14"/>
    </row>
    <row r="430" spans="1:12" ht="15.75" x14ac:dyDescent="0.25">
      <c r="A430" s="33">
        <v>54026</v>
      </c>
      <c r="B430" s="14">
        <f>53.3819 * CHOOSE(CONTROL!$C$9, $D$9, 100%, $F$9) + CHOOSE(CONTROL!$C$27, 0.0021, 0)</f>
        <v>53.384</v>
      </c>
      <c r="C430" s="14">
        <f>52.9497 * CHOOSE(CONTROL!$C$9, $D$9, 100%, $F$9) + CHOOSE(CONTROL!$C$27, 0.0021, 0)</f>
        <v>52.951799999999999</v>
      </c>
      <c r="D430" s="14">
        <f>52.9497 * CHOOSE(CONTROL!$C$9, $D$9, 100%, $F$9) + CHOOSE(CONTROL!$C$27, 0.0021, 0)</f>
        <v>52.951799999999999</v>
      </c>
      <c r="E430" s="14">
        <f>52.813 * CHOOSE(CONTROL!$C$9, $D$9, 100%, $F$9) + CHOOSE(CONTROL!$C$27, 0.0021, 0)</f>
        <v>52.815100000000001</v>
      </c>
      <c r="F430" s="14">
        <f>52.813 * CHOOSE(CONTROL!$C$9, $D$9, 100%, $F$9) + CHOOSE(CONTROL!$C$27, 0.0021, 0)</f>
        <v>52.815100000000001</v>
      </c>
      <c r="G430" s="14">
        <f>53.0844 * CHOOSE(CONTROL!$C$9, $D$9, 100%, $F$9) + CHOOSE(CONTROL!$C$27, 0.0021, 0)</f>
        <v>53.086500000000001</v>
      </c>
      <c r="H430" s="14">
        <f>52.9497 * CHOOSE(CONTROL!$C$9, $D$9, 100%, $F$9) + CHOOSE(CONTROL!$C$27, 0.0021, 0)</f>
        <v>52.951799999999999</v>
      </c>
      <c r="I430" s="14">
        <f>52.9497 * CHOOSE(CONTROL!$C$9, $D$9, 100%, $F$9) + CHOOSE(CONTROL!$C$27, 0.0021, 0)</f>
        <v>52.951799999999999</v>
      </c>
      <c r="J430" s="14">
        <f>52.9497 * CHOOSE(CONTROL!$C$9, $D$9, 100%, $F$9) + CHOOSE(CONTROL!$C$27, 0.0021, 0)</f>
        <v>52.951799999999999</v>
      </c>
      <c r="K430" s="14">
        <f>52.9497 * CHOOSE(CONTROL!$C$9, $D$9, 100%, $F$9) + CHOOSE(CONTROL!$C$27, 0.0021, 0)</f>
        <v>52.951799999999999</v>
      </c>
      <c r="L430" s="14"/>
    </row>
    <row r="431" spans="1:12" ht="15.75" x14ac:dyDescent="0.25">
      <c r="A431" s="33">
        <v>54057</v>
      </c>
      <c r="B431" s="14">
        <f>52.3802 * CHOOSE(CONTROL!$C$9, $D$9, 100%, $F$9) + CHOOSE(CONTROL!$C$27, 0.0021, 0)</f>
        <v>52.382300000000001</v>
      </c>
      <c r="C431" s="14">
        <f>51.9479 * CHOOSE(CONTROL!$C$9, $D$9, 100%, $F$9) + CHOOSE(CONTROL!$C$27, 0.0021, 0)</f>
        <v>51.949999999999996</v>
      </c>
      <c r="D431" s="14">
        <f>51.9479 * CHOOSE(CONTROL!$C$9, $D$9, 100%, $F$9) + CHOOSE(CONTROL!$C$27, 0.0021, 0)</f>
        <v>51.949999999999996</v>
      </c>
      <c r="E431" s="14">
        <f>51.8113 * CHOOSE(CONTROL!$C$9, $D$9, 100%, $F$9) + CHOOSE(CONTROL!$C$27, 0.0021, 0)</f>
        <v>51.813400000000001</v>
      </c>
      <c r="F431" s="14">
        <f>51.8113 * CHOOSE(CONTROL!$C$9, $D$9, 100%, $F$9) + CHOOSE(CONTROL!$C$27, 0.0021, 0)</f>
        <v>51.813400000000001</v>
      </c>
      <c r="G431" s="14">
        <f>52.0826 * CHOOSE(CONTROL!$C$9, $D$9, 100%, $F$9) + CHOOSE(CONTROL!$C$27, 0.0021, 0)</f>
        <v>52.084699999999998</v>
      </c>
      <c r="H431" s="14">
        <f>51.9479 * CHOOSE(CONTROL!$C$9, $D$9, 100%, $F$9) + CHOOSE(CONTROL!$C$27, 0.0021, 0)</f>
        <v>51.949999999999996</v>
      </c>
      <c r="I431" s="14">
        <f>51.9479 * CHOOSE(CONTROL!$C$9, $D$9, 100%, $F$9) + CHOOSE(CONTROL!$C$27, 0.0021, 0)</f>
        <v>51.949999999999996</v>
      </c>
      <c r="J431" s="14">
        <f>51.9479 * CHOOSE(CONTROL!$C$9, $D$9, 100%, $F$9) + CHOOSE(CONTROL!$C$27, 0.0021, 0)</f>
        <v>51.949999999999996</v>
      </c>
      <c r="K431" s="14">
        <f>51.9479 * CHOOSE(CONTROL!$C$9, $D$9, 100%, $F$9) + CHOOSE(CONTROL!$C$27, 0.0021, 0)</f>
        <v>51.949999999999996</v>
      </c>
      <c r="L431" s="14"/>
    </row>
    <row r="432" spans="1:12" ht="15.75" x14ac:dyDescent="0.25">
      <c r="A432" s="33">
        <v>54088</v>
      </c>
      <c r="B432" s="14">
        <f>51.747 * CHOOSE(CONTROL!$C$9, $D$9, 100%, $F$9) + CHOOSE(CONTROL!$C$27, 0.0021, 0)</f>
        <v>51.749099999999999</v>
      </c>
      <c r="C432" s="14">
        <f>51.3148 * CHOOSE(CONTROL!$C$9, $D$9, 100%, $F$9) + CHOOSE(CONTROL!$C$27, 0.0021, 0)</f>
        <v>51.316899999999997</v>
      </c>
      <c r="D432" s="14">
        <f>51.3148 * CHOOSE(CONTROL!$C$9, $D$9, 100%, $F$9) + CHOOSE(CONTROL!$C$27, 0.0021, 0)</f>
        <v>51.316899999999997</v>
      </c>
      <c r="E432" s="14">
        <f>51.1781 * CHOOSE(CONTROL!$C$9, $D$9, 100%, $F$9) + CHOOSE(CONTROL!$C$27, 0.0021, 0)</f>
        <v>51.180199999999999</v>
      </c>
      <c r="F432" s="14">
        <f>51.1781 * CHOOSE(CONTROL!$C$9, $D$9, 100%, $F$9) + CHOOSE(CONTROL!$C$27, 0.0021, 0)</f>
        <v>51.180199999999999</v>
      </c>
      <c r="G432" s="14">
        <f>51.4495 * CHOOSE(CONTROL!$C$9, $D$9, 100%, $F$9) + CHOOSE(CONTROL!$C$27, 0.0021, 0)</f>
        <v>51.451599999999999</v>
      </c>
      <c r="H432" s="14">
        <f>51.3148 * CHOOSE(CONTROL!$C$9, $D$9, 100%, $F$9) + CHOOSE(CONTROL!$C$27, 0.0021, 0)</f>
        <v>51.316899999999997</v>
      </c>
      <c r="I432" s="14">
        <f>51.3148 * CHOOSE(CONTROL!$C$9, $D$9, 100%, $F$9) + CHOOSE(CONTROL!$C$27, 0.0021, 0)</f>
        <v>51.316899999999997</v>
      </c>
      <c r="J432" s="14">
        <f>51.3148 * CHOOSE(CONTROL!$C$9, $D$9, 100%, $F$9) + CHOOSE(CONTROL!$C$27, 0.0021, 0)</f>
        <v>51.316899999999997</v>
      </c>
      <c r="K432" s="14">
        <f>51.3148 * CHOOSE(CONTROL!$C$9, $D$9, 100%, $F$9) + CHOOSE(CONTROL!$C$27, 0.0021, 0)</f>
        <v>51.316899999999997</v>
      </c>
      <c r="L432" s="14"/>
    </row>
    <row r="433" spans="1:12" ht="15.75" x14ac:dyDescent="0.25">
      <c r="A433" s="33">
        <v>54116</v>
      </c>
      <c r="B433" s="14">
        <f>50.3482 * CHOOSE(CONTROL!$C$9, $D$9, 100%, $F$9) + CHOOSE(CONTROL!$C$27, 0.0021, 0)</f>
        <v>50.350299999999997</v>
      </c>
      <c r="C433" s="14">
        <f>49.9159 * CHOOSE(CONTROL!$C$9, $D$9, 100%, $F$9) + CHOOSE(CONTROL!$C$27, 0.0021, 0)</f>
        <v>49.917999999999999</v>
      </c>
      <c r="D433" s="14">
        <f>49.9159 * CHOOSE(CONTROL!$C$9, $D$9, 100%, $F$9) + CHOOSE(CONTROL!$C$27, 0.0021, 0)</f>
        <v>49.917999999999999</v>
      </c>
      <c r="E433" s="14">
        <f>49.7793 * CHOOSE(CONTROL!$C$9, $D$9, 100%, $F$9) + CHOOSE(CONTROL!$C$27, 0.0021, 0)</f>
        <v>49.781399999999998</v>
      </c>
      <c r="F433" s="14">
        <f>49.7793 * CHOOSE(CONTROL!$C$9, $D$9, 100%, $F$9) + CHOOSE(CONTROL!$C$27, 0.0021, 0)</f>
        <v>49.781399999999998</v>
      </c>
      <c r="G433" s="14">
        <f>50.0506 * CHOOSE(CONTROL!$C$9, $D$9, 100%, $F$9) + CHOOSE(CONTROL!$C$27, 0.0021, 0)</f>
        <v>50.052700000000002</v>
      </c>
      <c r="H433" s="14">
        <f>49.9159 * CHOOSE(CONTROL!$C$9, $D$9, 100%, $F$9) + CHOOSE(CONTROL!$C$27, 0.0021, 0)</f>
        <v>49.917999999999999</v>
      </c>
      <c r="I433" s="14">
        <f>49.9159 * CHOOSE(CONTROL!$C$9, $D$9, 100%, $F$9) + CHOOSE(CONTROL!$C$27, 0.0021, 0)</f>
        <v>49.917999999999999</v>
      </c>
      <c r="J433" s="14">
        <f>49.9159 * CHOOSE(CONTROL!$C$9, $D$9, 100%, $F$9) + CHOOSE(CONTROL!$C$27, 0.0021, 0)</f>
        <v>49.917999999999999</v>
      </c>
      <c r="K433" s="14">
        <f>49.9159 * CHOOSE(CONTROL!$C$9, $D$9, 100%, $F$9) + CHOOSE(CONTROL!$C$27, 0.0021, 0)</f>
        <v>49.917999999999999</v>
      </c>
      <c r="L433" s="14"/>
    </row>
    <row r="434" spans="1:12" ht="15.75" x14ac:dyDescent="0.25">
      <c r="A434" s="33">
        <v>54148</v>
      </c>
      <c r="B434" s="14">
        <f>49.7707 * CHOOSE(CONTROL!$C$9, $D$9, 100%, $F$9) + CHOOSE(CONTROL!$C$27, 0.0021, 0)</f>
        <v>49.772799999999997</v>
      </c>
      <c r="C434" s="14">
        <f>49.3385 * CHOOSE(CONTROL!$C$9, $D$9, 100%, $F$9) + CHOOSE(CONTROL!$C$27, 0.0021, 0)</f>
        <v>49.340600000000002</v>
      </c>
      <c r="D434" s="14">
        <f>49.3385 * CHOOSE(CONTROL!$C$9, $D$9, 100%, $F$9) + CHOOSE(CONTROL!$C$27, 0.0021, 0)</f>
        <v>49.340600000000002</v>
      </c>
      <c r="E434" s="14">
        <f>49.2018 * CHOOSE(CONTROL!$C$9, $D$9, 100%, $F$9) + CHOOSE(CONTROL!$C$27, 0.0021, 0)</f>
        <v>49.203899999999997</v>
      </c>
      <c r="F434" s="14">
        <f>49.2018 * CHOOSE(CONTROL!$C$9, $D$9, 100%, $F$9) + CHOOSE(CONTROL!$C$27, 0.0021, 0)</f>
        <v>49.203899999999997</v>
      </c>
      <c r="G434" s="14">
        <f>49.4732 * CHOOSE(CONTROL!$C$9, $D$9, 100%, $F$9) + CHOOSE(CONTROL!$C$27, 0.0021, 0)</f>
        <v>49.475299999999997</v>
      </c>
      <c r="H434" s="14">
        <f>49.3385 * CHOOSE(CONTROL!$C$9, $D$9, 100%, $F$9) + CHOOSE(CONTROL!$C$27, 0.0021, 0)</f>
        <v>49.340600000000002</v>
      </c>
      <c r="I434" s="14">
        <f>49.3385 * CHOOSE(CONTROL!$C$9, $D$9, 100%, $F$9) + CHOOSE(CONTROL!$C$27, 0.0021, 0)</f>
        <v>49.340600000000002</v>
      </c>
      <c r="J434" s="14">
        <f>49.3385 * CHOOSE(CONTROL!$C$9, $D$9, 100%, $F$9) + CHOOSE(CONTROL!$C$27, 0.0021, 0)</f>
        <v>49.340600000000002</v>
      </c>
      <c r="K434" s="14">
        <f>49.3385 * CHOOSE(CONTROL!$C$9, $D$9, 100%, $F$9) + CHOOSE(CONTROL!$C$27, 0.0021, 0)</f>
        <v>49.340600000000002</v>
      </c>
      <c r="L434" s="14"/>
    </row>
    <row r="435" spans="1:12" ht="15.75" x14ac:dyDescent="0.25">
      <c r="A435" s="33">
        <v>54178</v>
      </c>
      <c r="B435" s="14">
        <f>49.0813 * CHOOSE(CONTROL!$C$9, $D$9, 100%, $F$9) + CHOOSE(CONTROL!$C$27, 0.0021, 0)</f>
        <v>49.083399999999997</v>
      </c>
      <c r="C435" s="14">
        <f>48.649 * CHOOSE(CONTROL!$C$9, $D$9, 100%, $F$9) + CHOOSE(CONTROL!$C$27, 0.0021, 0)</f>
        <v>48.6511</v>
      </c>
      <c r="D435" s="14">
        <f>48.649 * CHOOSE(CONTROL!$C$9, $D$9, 100%, $F$9) + CHOOSE(CONTROL!$C$27, 0.0021, 0)</f>
        <v>48.6511</v>
      </c>
      <c r="E435" s="14">
        <f>48.5124 * CHOOSE(CONTROL!$C$9, $D$9, 100%, $F$9) + CHOOSE(CONTROL!$C$27, 0.0021, 0)</f>
        <v>48.514499999999998</v>
      </c>
      <c r="F435" s="14">
        <f>48.5124 * CHOOSE(CONTROL!$C$9, $D$9, 100%, $F$9) + CHOOSE(CONTROL!$C$27, 0.0021, 0)</f>
        <v>48.514499999999998</v>
      </c>
      <c r="G435" s="14">
        <f>48.7837 * CHOOSE(CONTROL!$C$9, $D$9, 100%, $F$9) + CHOOSE(CONTROL!$C$27, 0.0021, 0)</f>
        <v>48.785800000000002</v>
      </c>
      <c r="H435" s="14">
        <f>48.649 * CHOOSE(CONTROL!$C$9, $D$9, 100%, $F$9) + CHOOSE(CONTROL!$C$27, 0.0021, 0)</f>
        <v>48.6511</v>
      </c>
      <c r="I435" s="14">
        <f>48.649 * CHOOSE(CONTROL!$C$9, $D$9, 100%, $F$9) + CHOOSE(CONTROL!$C$27, 0.0021, 0)</f>
        <v>48.6511</v>
      </c>
      <c r="J435" s="14">
        <f>48.649 * CHOOSE(CONTROL!$C$9, $D$9, 100%, $F$9) + CHOOSE(CONTROL!$C$27, 0.0021, 0)</f>
        <v>48.6511</v>
      </c>
      <c r="K435" s="14">
        <f>48.649 * CHOOSE(CONTROL!$C$9, $D$9, 100%, $F$9) + CHOOSE(CONTROL!$C$27, 0.0021, 0)</f>
        <v>48.6511</v>
      </c>
      <c r="L435" s="14"/>
    </row>
    <row r="436" spans="1:12" ht="15.75" x14ac:dyDescent="0.25">
      <c r="A436" s="33">
        <v>54209</v>
      </c>
      <c r="B436" s="14">
        <f>50.0638 * CHOOSE(CONTROL!$C$9, $D$9, 100%, $F$9) + CHOOSE(CONTROL!$C$27, 0.0021, 0)</f>
        <v>50.065899999999999</v>
      </c>
      <c r="C436" s="14">
        <f>49.6316 * CHOOSE(CONTROL!$C$9, $D$9, 100%, $F$9) + CHOOSE(CONTROL!$C$27, 0.0021, 0)</f>
        <v>49.633699999999997</v>
      </c>
      <c r="D436" s="14">
        <f>49.6316 * CHOOSE(CONTROL!$C$9, $D$9, 100%, $F$9) + CHOOSE(CONTROL!$C$27, 0.0021, 0)</f>
        <v>49.633699999999997</v>
      </c>
      <c r="E436" s="14">
        <f>49.4949 * CHOOSE(CONTROL!$C$9, $D$9, 100%, $F$9) + CHOOSE(CONTROL!$C$27, 0.0021, 0)</f>
        <v>49.497</v>
      </c>
      <c r="F436" s="14">
        <f>49.4949 * CHOOSE(CONTROL!$C$9, $D$9, 100%, $F$9) + CHOOSE(CONTROL!$C$27, 0.0021, 0)</f>
        <v>49.497</v>
      </c>
      <c r="G436" s="14">
        <f>49.7663 * CHOOSE(CONTROL!$C$9, $D$9, 100%, $F$9) + CHOOSE(CONTROL!$C$27, 0.0021, 0)</f>
        <v>49.7684</v>
      </c>
      <c r="H436" s="14">
        <f>49.6316 * CHOOSE(CONTROL!$C$9, $D$9, 100%, $F$9) + CHOOSE(CONTROL!$C$27, 0.0021, 0)</f>
        <v>49.633699999999997</v>
      </c>
      <c r="I436" s="14">
        <f>49.6316 * CHOOSE(CONTROL!$C$9, $D$9, 100%, $F$9) + CHOOSE(CONTROL!$C$27, 0.0021, 0)</f>
        <v>49.633699999999997</v>
      </c>
      <c r="J436" s="14">
        <f>49.6316 * CHOOSE(CONTROL!$C$9, $D$9, 100%, $F$9) + CHOOSE(CONTROL!$C$27, 0.0021, 0)</f>
        <v>49.633699999999997</v>
      </c>
      <c r="K436" s="14">
        <f>49.6316 * CHOOSE(CONTROL!$C$9, $D$9, 100%, $F$9) + CHOOSE(CONTROL!$C$27, 0.0021, 0)</f>
        <v>49.633699999999997</v>
      </c>
      <c r="L436" s="14"/>
    </row>
    <row r="437" spans="1:12" ht="15.75" x14ac:dyDescent="0.25">
      <c r="A437" s="33">
        <v>54239</v>
      </c>
      <c r="B437" s="14">
        <f>50.6524 * CHOOSE(CONTROL!$C$9, $D$9, 100%, $F$9) + CHOOSE(CONTROL!$C$27, 0.0021, 0)</f>
        <v>50.654499999999999</v>
      </c>
      <c r="C437" s="14">
        <f>50.2201 * CHOOSE(CONTROL!$C$9, $D$9, 100%, $F$9) + CHOOSE(CONTROL!$C$27, 0.0021, 0)</f>
        <v>50.222200000000001</v>
      </c>
      <c r="D437" s="14">
        <f>50.2201 * CHOOSE(CONTROL!$C$9, $D$9, 100%, $F$9) + CHOOSE(CONTROL!$C$27, 0.0021, 0)</f>
        <v>50.222200000000001</v>
      </c>
      <c r="E437" s="14">
        <f>50.0835 * CHOOSE(CONTROL!$C$9, $D$9, 100%, $F$9) + CHOOSE(CONTROL!$C$27, 0.0021, 0)</f>
        <v>50.085599999999999</v>
      </c>
      <c r="F437" s="14">
        <f>50.0835 * CHOOSE(CONTROL!$C$9, $D$9, 100%, $F$9) + CHOOSE(CONTROL!$C$27, 0.0021, 0)</f>
        <v>50.085599999999999</v>
      </c>
      <c r="G437" s="14">
        <f>50.3548 * CHOOSE(CONTROL!$C$9, $D$9, 100%, $F$9) + CHOOSE(CONTROL!$C$27, 0.0021, 0)</f>
        <v>50.356899999999996</v>
      </c>
      <c r="H437" s="14">
        <f>50.2201 * CHOOSE(CONTROL!$C$9, $D$9, 100%, $F$9) + CHOOSE(CONTROL!$C$27, 0.0021, 0)</f>
        <v>50.222200000000001</v>
      </c>
      <c r="I437" s="14">
        <f>50.2201 * CHOOSE(CONTROL!$C$9, $D$9, 100%, $F$9) + CHOOSE(CONTROL!$C$27, 0.0021, 0)</f>
        <v>50.222200000000001</v>
      </c>
      <c r="J437" s="14">
        <f>50.2201 * CHOOSE(CONTROL!$C$9, $D$9, 100%, $F$9) + CHOOSE(CONTROL!$C$27, 0.0021, 0)</f>
        <v>50.222200000000001</v>
      </c>
      <c r="K437" s="14">
        <f>50.2201 * CHOOSE(CONTROL!$C$9, $D$9, 100%, $F$9) + CHOOSE(CONTROL!$C$27, 0.0021, 0)</f>
        <v>50.222200000000001</v>
      </c>
      <c r="L437" s="14"/>
    </row>
    <row r="438" spans="1:12" ht="15.75" x14ac:dyDescent="0.25">
      <c r="A438" s="33">
        <v>54270</v>
      </c>
      <c r="B438" s="14">
        <f>51.6232 * CHOOSE(CONTROL!$C$9, $D$9, 100%, $F$9) + CHOOSE(CONTROL!$C$27, 0.0021, 0)</f>
        <v>51.625299999999996</v>
      </c>
      <c r="C438" s="14">
        <f>51.191 * CHOOSE(CONTROL!$C$9, $D$9, 100%, $F$9) + CHOOSE(CONTROL!$C$27, 0.0021, 0)</f>
        <v>51.193100000000001</v>
      </c>
      <c r="D438" s="14">
        <f>51.191 * CHOOSE(CONTROL!$C$9, $D$9, 100%, $F$9) + CHOOSE(CONTROL!$C$27, 0.0021, 0)</f>
        <v>51.193100000000001</v>
      </c>
      <c r="E438" s="14">
        <f>51.0543 * CHOOSE(CONTROL!$C$9, $D$9, 100%, $F$9) + CHOOSE(CONTROL!$C$27, 0.0021, 0)</f>
        <v>51.056399999999996</v>
      </c>
      <c r="F438" s="14">
        <f>51.0543 * CHOOSE(CONTROL!$C$9, $D$9, 100%, $F$9) + CHOOSE(CONTROL!$C$27, 0.0021, 0)</f>
        <v>51.056399999999996</v>
      </c>
      <c r="G438" s="14">
        <f>51.3257 * CHOOSE(CONTROL!$C$9, $D$9, 100%, $F$9) + CHOOSE(CONTROL!$C$27, 0.0021, 0)</f>
        <v>51.327799999999996</v>
      </c>
      <c r="H438" s="14">
        <f>51.191 * CHOOSE(CONTROL!$C$9, $D$9, 100%, $F$9) + CHOOSE(CONTROL!$C$27, 0.0021, 0)</f>
        <v>51.193100000000001</v>
      </c>
      <c r="I438" s="14">
        <f>51.191 * CHOOSE(CONTROL!$C$9, $D$9, 100%, $F$9) + CHOOSE(CONTROL!$C$27, 0.0021, 0)</f>
        <v>51.193100000000001</v>
      </c>
      <c r="J438" s="14">
        <f>51.191 * CHOOSE(CONTROL!$C$9, $D$9, 100%, $F$9) + CHOOSE(CONTROL!$C$27, 0.0021, 0)</f>
        <v>51.193100000000001</v>
      </c>
      <c r="K438" s="14">
        <f>51.191 * CHOOSE(CONTROL!$C$9, $D$9, 100%, $F$9) + CHOOSE(CONTROL!$C$27, 0.0021, 0)</f>
        <v>51.193100000000001</v>
      </c>
      <c r="L438" s="14"/>
    </row>
    <row r="439" spans="1:12" ht="15.75" x14ac:dyDescent="0.25">
      <c r="A439" s="33">
        <v>54301</v>
      </c>
      <c r="B439" s="14">
        <f>51.9196 * CHOOSE(CONTROL!$C$9, $D$9, 100%, $F$9) + CHOOSE(CONTROL!$C$27, 0.0021, 0)</f>
        <v>51.921700000000001</v>
      </c>
      <c r="C439" s="14">
        <f>51.4873 * CHOOSE(CONTROL!$C$9, $D$9, 100%, $F$9) + CHOOSE(CONTROL!$C$27, 0.0021, 0)</f>
        <v>51.489399999999996</v>
      </c>
      <c r="D439" s="14">
        <f>51.4873 * CHOOSE(CONTROL!$C$9, $D$9, 100%, $F$9) + CHOOSE(CONTROL!$C$27, 0.0021, 0)</f>
        <v>51.489399999999996</v>
      </c>
      <c r="E439" s="14">
        <f>51.3507 * CHOOSE(CONTROL!$C$9, $D$9, 100%, $F$9) + CHOOSE(CONTROL!$C$27, 0.0021, 0)</f>
        <v>51.352800000000002</v>
      </c>
      <c r="F439" s="14">
        <f>51.3507 * CHOOSE(CONTROL!$C$9, $D$9, 100%, $F$9) + CHOOSE(CONTROL!$C$27, 0.0021, 0)</f>
        <v>51.352800000000002</v>
      </c>
      <c r="G439" s="14">
        <f>51.622 * CHOOSE(CONTROL!$C$9, $D$9, 100%, $F$9) + CHOOSE(CONTROL!$C$27, 0.0021, 0)</f>
        <v>51.624099999999999</v>
      </c>
      <c r="H439" s="14">
        <f>51.4873 * CHOOSE(CONTROL!$C$9, $D$9, 100%, $F$9) + CHOOSE(CONTROL!$C$27, 0.0021, 0)</f>
        <v>51.489399999999996</v>
      </c>
      <c r="I439" s="14">
        <f>51.4873 * CHOOSE(CONTROL!$C$9, $D$9, 100%, $F$9) + CHOOSE(CONTROL!$C$27, 0.0021, 0)</f>
        <v>51.489399999999996</v>
      </c>
      <c r="J439" s="14">
        <f>51.4873 * CHOOSE(CONTROL!$C$9, $D$9, 100%, $F$9) + CHOOSE(CONTROL!$C$27, 0.0021, 0)</f>
        <v>51.489399999999996</v>
      </c>
      <c r="K439" s="14">
        <f>51.4873 * CHOOSE(CONTROL!$C$9, $D$9, 100%, $F$9) + CHOOSE(CONTROL!$C$27, 0.0021, 0)</f>
        <v>51.489399999999996</v>
      </c>
      <c r="L439" s="14"/>
    </row>
    <row r="440" spans="1:12" ht="15.75" x14ac:dyDescent="0.25">
      <c r="A440" s="33">
        <v>54331</v>
      </c>
      <c r="B440" s="14">
        <f>52.9287 * CHOOSE(CONTROL!$C$9, $D$9, 100%, $F$9) + CHOOSE(CONTROL!$C$27, 0.0021, 0)</f>
        <v>52.930799999999998</v>
      </c>
      <c r="C440" s="14">
        <f>52.4965 * CHOOSE(CONTROL!$C$9, $D$9, 100%, $F$9) + CHOOSE(CONTROL!$C$27, 0.0021, 0)</f>
        <v>52.498599999999996</v>
      </c>
      <c r="D440" s="14">
        <f>52.4965 * CHOOSE(CONTROL!$C$9, $D$9, 100%, $F$9) + CHOOSE(CONTROL!$C$27, 0.0021, 0)</f>
        <v>52.498599999999996</v>
      </c>
      <c r="E440" s="14">
        <f>52.3598 * CHOOSE(CONTROL!$C$9, $D$9, 100%, $F$9) + CHOOSE(CONTROL!$C$27, 0.0021, 0)</f>
        <v>52.361899999999999</v>
      </c>
      <c r="F440" s="14">
        <f>52.3598 * CHOOSE(CONTROL!$C$9, $D$9, 100%, $F$9) + CHOOSE(CONTROL!$C$27, 0.0021, 0)</f>
        <v>52.361899999999999</v>
      </c>
      <c r="G440" s="14">
        <f>52.6312 * CHOOSE(CONTROL!$C$9, $D$9, 100%, $F$9) + CHOOSE(CONTROL!$C$27, 0.0021, 0)</f>
        <v>52.633299999999998</v>
      </c>
      <c r="H440" s="14">
        <f>52.4965 * CHOOSE(CONTROL!$C$9, $D$9, 100%, $F$9) + CHOOSE(CONTROL!$C$27, 0.0021, 0)</f>
        <v>52.498599999999996</v>
      </c>
      <c r="I440" s="14">
        <f>52.4965 * CHOOSE(CONTROL!$C$9, $D$9, 100%, $F$9) + CHOOSE(CONTROL!$C$27, 0.0021, 0)</f>
        <v>52.498599999999996</v>
      </c>
      <c r="J440" s="14">
        <f>52.4965 * CHOOSE(CONTROL!$C$9, $D$9, 100%, $F$9) + CHOOSE(CONTROL!$C$27, 0.0021, 0)</f>
        <v>52.498599999999996</v>
      </c>
      <c r="K440" s="14">
        <f>52.4965 * CHOOSE(CONTROL!$C$9, $D$9, 100%, $F$9) + CHOOSE(CONTROL!$C$27, 0.0021, 0)</f>
        <v>52.498599999999996</v>
      </c>
      <c r="L440" s="14"/>
    </row>
    <row r="441" spans="1:12" ht="15.75" x14ac:dyDescent="0.25">
      <c r="A441" s="33">
        <v>54362</v>
      </c>
      <c r="B441" s="14">
        <f>54.2062 * CHOOSE(CONTROL!$C$9, $D$9, 100%, $F$9) + CHOOSE(CONTROL!$C$27, 0.0021, 0)</f>
        <v>54.208300000000001</v>
      </c>
      <c r="C441" s="14">
        <f>53.7739 * CHOOSE(CONTROL!$C$9, $D$9, 100%, $F$9) + CHOOSE(CONTROL!$C$27, 0.0021, 0)</f>
        <v>53.775999999999996</v>
      </c>
      <c r="D441" s="14">
        <f>53.7739 * CHOOSE(CONTROL!$C$9, $D$9, 100%, $F$9) + CHOOSE(CONTROL!$C$27, 0.0021, 0)</f>
        <v>53.775999999999996</v>
      </c>
      <c r="E441" s="14">
        <f>53.6373 * CHOOSE(CONTROL!$C$9, $D$9, 100%, $F$9) + CHOOSE(CONTROL!$C$27, 0.0021, 0)</f>
        <v>53.639400000000002</v>
      </c>
      <c r="F441" s="14">
        <f>53.6373 * CHOOSE(CONTROL!$C$9, $D$9, 100%, $F$9) + CHOOSE(CONTROL!$C$27, 0.0021, 0)</f>
        <v>53.639400000000002</v>
      </c>
      <c r="G441" s="14">
        <f>53.9086 * CHOOSE(CONTROL!$C$9, $D$9, 100%, $F$9) + CHOOSE(CONTROL!$C$27, 0.0021, 0)</f>
        <v>53.910699999999999</v>
      </c>
      <c r="H441" s="14">
        <f>53.7739 * CHOOSE(CONTROL!$C$9, $D$9, 100%, $F$9) + CHOOSE(CONTROL!$C$27, 0.0021, 0)</f>
        <v>53.775999999999996</v>
      </c>
      <c r="I441" s="14">
        <f>53.7739 * CHOOSE(CONTROL!$C$9, $D$9, 100%, $F$9) + CHOOSE(CONTROL!$C$27, 0.0021, 0)</f>
        <v>53.775999999999996</v>
      </c>
      <c r="J441" s="14">
        <f>53.7739 * CHOOSE(CONTROL!$C$9, $D$9, 100%, $F$9) + CHOOSE(CONTROL!$C$27, 0.0021, 0)</f>
        <v>53.775999999999996</v>
      </c>
      <c r="K441" s="14">
        <f>53.7739 * CHOOSE(CONTROL!$C$9, $D$9, 100%, $F$9) + CHOOSE(CONTROL!$C$27, 0.0021, 0)</f>
        <v>53.775999999999996</v>
      </c>
      <c r="L441" s="14"/>
    </row>
    <row r="442" spans="1:12" ht="15.75" x14ac:dyDescent="0.25">
      <c r="A442" s="33">
        <v>54392</v>
      </c>
      <c r="B442" s="14">
        <f>54.3261 * CHOOSE(CONTROL!$C$9, $D$9, 100%, $F$9) + CHOOSE(CONTROL!$C$27, 0.0021, 0)</f>
        <v>54.328199999999995</v>
      </c>
      <c r="C442" s="14">
        <f>53.8938 * CHOOSE(CONTROL!$C$9, $D$9, 100%, $F$9) + CHOOSE(CONTROL!$C$27, 0.0021, 0)</f>
        <v>53.895899999999997</v>
      </c>
      <c r="D442" s="14">
        <f>53.8938 * CHOOSE(CONTROL!$C$9, $D$9, 100%, $F$9) + CHOOSE(CONTROL!$C$27, 0.0021, 0)</f>
        <v>53.895899999999997</v>
      </c>
      <c r="E442" s="14">
        <f>53.7572 * CHOOSE(CONTROL!$C$9, $D$9, 100%, $F$9) + CHOOSE(CONTROL!$C$27, 0.0021, 0)</f>
        <v>53.759299999999996</v>
      </c>
      <c r="F442" s="14">
        <f>53.7572 * CHOOSE(CONTROL!$C$9, $D$9, 100%, $F$9) + CHOOSE(CONTROL!$C$27, 0.0021, 0)</f>
        <v>53.759299999999996</v>
      </c>
      <c r="G442" s="14">
        <f>54.0286 * CHOOSE(CONTROL!$C$9, $D$9, 100%, $F$9) + CHOOSE(CONTROL!$C$27, 0.0021, 0)</f>
        <v>54.030699999999996</v>
      </c>
      <c r="H442" s="14">
        <f>53.8938 * CHOOSE(CONTROL!$C$9, $D$9, 100%, $F$9) + CHOOSE(CONTROL!$C$27, 0.0021, 0)</f>
        <v>53.895899999999997</v>
      </c>
      <c r="I442" s="14">
        <f>53.8938 * CHOOSE(CONTROL!$C$9, $D$9, 100%, $F$9) + CHOOSE(CONTROL!$C$27, 0.0021, 0)</f>
        <v>53.895899999999997</v>
      </c>
      <c r="J442" s="14">
        <f>53.8938 * CHOOSE(CONTROL!$C$9, $D$9, 100%, $F$9) + CHOOSE(CONTROL!$C$27, 0.0021, 0)</f>
        <v>53.895899999999997</v>
      </c>
      <c r="K442" s="14">
        <f>53.8938 * CHOOSE(CONTROL!$C$9, $D$9, 100%, $F$9) + CHOOSE(CONTROL!$C$27, 0.0021, 0)</f>
        <v>53.895899999999997</v>
      </c>
      <c r="L442" s="14"/>
    </row>
    <row r="443" spans="1:12" ht="15.75" x14ac:dyDescent="0.25">
      <c r="A443" s="33">
        <v>54423</v>
      </c>
      <c r="B443" s="14">
        <f>53.3058 * CHOOSE(CONTROL!$C$9, $D$9, 100%, $F$9) + CHOOSE(CONTROL!$C$27, 0.0021, 0)</f>
        <v>53.307899999999997</v>
      </c>
      <c r="C443" s="14">
        <f>52.8736 * CHOOSE(CONTROL!$C$9, $D$9, 100%, $F$9) + CHOOSE(CONTROL!$C$27, 0.0021, 0)</f>
        <v>52.875700000000002</v>
      </c>
      <c r="D443" s="14">
        <f>52.8736 * CHOOSE(CONTROL!$C$9, $D$9, 100%, $F$9) + CHOOSE(CONTROL!$C$27, 0.0021, 0)</f>
        <v>52.875700000000002</v>
      </c>
      <c r="E443" s="14">
        <f>52.7369 * CHOOSE(CONTROL!$C$9, $D$9, 100%, $F$9) + CHOOSE(CONTROL!$C$27, 0.0021, 0)</f>
        <v>52.738999999999997</v>
      </c>
      <c r="F443" s="14">
        <f>52.7369 * CHOOSE(CONTROL!$C$9, $D$9, 100%, $F$9) + CHOOSE(CONTROL!$C$27, 0.0021, 0)</f>
        <v>52.738999999999997</v>
      </c>
      <c r="G443" s="14">
        <f>53.0083 * CHOOSE(CONTROL!$C$9, $D$9, 100%, $F$9) + CHOOSE(CONTROL!$C$27, 0.0021, 0)</f>
        <v>53.010399999999997</v>
      </c>
      <c r="H443" s="14">
        <f>52.8736 * CHOOSE(CONTROL!$C$9, $D$9, 100%, $F$9) + CHOOSE(CONTROL!$C$27, 0.0021, 0)</f>
        <v>52.875700000000002</v>
      </c>
      <c r="I443" s="14">
        <f>52.8736 * CHOOSE(CONTROL!$C$9, $D$9, 100%, $F$9) + CHOOSE(CONTROL!$C$27, 0.0021, 0)</f>
        <v>52.875700000000002</v>
      </c>
      <c r="J443" s="14">
        <f>52.8736 * CHOOSE(CONTROL!$C$9, $D$9, 100%, $F$9) + CHOOSE(CONTROL!$C$27, 0.0021, 0)</f>
        <v>52.875700000000002</v>
      </c>
      <c r="K443" s="14">
        <f>52.8736 * CHOOSE(CONTROL!$C$9, $D$9, 100%, $F$9) + CHOOSE(CONTROL!$C$27, 0.0021, 0)</f>
        <v>52.875700000000002</v>
      </c>
      <c r="L443" s="14"/>
    </row>
    <row r="444" spans="1:12" ht="15.75" x14ac:dyDescent="0.25">
      <c r="A444" s="33">
        <v>54454</v>
      </c>
      <c r="B444" s="14">
        <f>52.661 * CHOOSE(CONTROL!$C$9, $D$9, 100%, $F$9) + CHOOSE(CONTROL!$C$27, 0.0021, 0)</f>
        <v>52.6631</v>
      </c>
      <c r="C444" s="14">
        <f>52.2287 * CHOOSE(CONTROL!$C$9, $D$9, 100%, $F$9) + CHOOSE(CONTROL!$C$27, 0.0021, 0)</f>
        <v>52.230800000000002</v>
      </c>
      <c r="D444" s="14">
        <f>52.2287 * CHOOSE(CONTROL!$C$9, $D$9, 100%, $F$9) + CHOOSE(CONTROL!$C$27, 0.0021, 0)</f>
        <v>52.230800000000002</v>
      </c>
      <c r="E444" s="14">
        <f>52.0921 * CHOOSE(CONTROL!$C$9, $D$9, 100%, $F$9) + CHOOSE(CONTROL!$C$27, 0.0021, 0)</f>
        <v>52.094200000000001</v>
      </c>
      <c r="F444" s="14">
        <f>52.0921 * CHOOSE(CONTROL!$C$9, $D$9, 100%, $F$9) + CHOOSE(CONTROL!$C$27, 0.0021, 0)</f>
        <v>52.094200000000001</v>
      </c>
      <c r="G444" s="14">
        <f>52.3635 * CHOOSE(CONTROL!$C$9, $D$9, 100%, $F$9) + CHOOSE(CONTROL!$C$27, 0.0021, 0)</f>
        <v>52.365600000000001</v>
      </c>
      <c r="H444" s="14">
        <f>52.2287 * CHOOSE(CONTROL!$C$9, $D$9, 100%, $F$9) + CHOOSE(CONTROL!$C$27, 0.0021, 0)</f>
        <v>52.230800000000002</v>
      </c>
      <c r="I444" s="14">
        <f>52.2287 * CHOOSE(CONTROL!$C$9, $D$9, 100%, $F$9) + CHOOSE(CONTROL!$C$27, 0.0021, 0)</f>
        <v>52.230800000000002</v>
      </c>
      <c r="J444" s="14">
        <f>52.2287 * CHOOSE(CONTROL!$C$9, $D$9, 100%, $F$9) + CHOOSE(CONTROL!$C$27, 0.0021, 0)</f>
        <v>52.230800000000002</v>
      </c>
      <c r="K444" s="14">
        <f>52.2287 * CHOOSE(CONTROL!$C$9, $D$9, 100%, $F$9) + CHOOSE(CONTROL!$C$27, 0.0021, 0)</f>
        <v>52.230800000000002</v>
      </c>
      <c r="L444" s="14"/>
    </row>
    <row r="445" spans="1:12" ht="15.75" x14ac:dyDescent="0.25">
      <c r="A445" s="33">
        <v>54482</v>
      </c>
      <c r="B445" s="14">
        <f>51.2363 * CHOOSE(CONTROL!$C$9, $D$9, 100%, $F$9) + CHOOSE(CONTROL!$C$27, 0.0021, 0)</f>
        <v>51.238399999999999</v>
      </c>
      <c r="C445" s="14">
        <f>50.804 * CHOOSE(CONTROL!$C$9, $D$9, 100%, $F$9) + CHOOSE(CONTROL!$C$27, 0.0021, 0)</f>
        <v>50.806100000000001</v>
      </c>
      <c r="D445" s="14">
        <f>50.804 * CHOOSE(CONTROL!$C$9, $D$9, 100%, $F$9) + CHOOSE(CONTROL!$C$27, 0.0021, 0)</f>
        <v>50.806100000000001</v>
      </c>
      <c r="E445" s="14">
        <f>50.6674 * CHOOSE(CONTROL!$C$9, $D$9, 100%, $F$9) + CHOOSE(CONTROL!$C$27, 0.0021, 0)</f>
        <v>50.669499999999999</v>
      </c>
      <c r="F445" s="14">
        <f>50.6674 * CHOOSE(CONTROL!$C$9, $D$9, 100%, $F$9) + CHOOSE(CONTROL!$C$27, 0.0021, 0)</f>
        <v>50.669499999999999</v>
      </c>
      <c r="G445" s="14">
        <f>50.9388 * CHOOSE(CONTROL!$C$9, $D$9, 100%, $F$9) + CHOOSE(CONTROL!$C$27, 0.0021, 0)</f>
        <v>50.940899999999999</v>
      </c>
      <c r="H445" s="14">
        <f>50.804 * CHOOSE(CONTROL!$C$9, $D$9, 100%, $F$9) + CHOOSE(CONTROL!$C$27, 0.0021, 0)</f>
        <v>50.806100000000001</v>
      </c>
      <c r="I445" s="14">
        <f>50.804 * CHOOSE(CONTROL!$C$9, $D$9, 100%, $F$9) + CHOOSE(CONTROL!$C$27, 0.0021, 0)</f>
        <v>50.806100000000001</v>
      </c>
      <c r="J445" s="14">
        <f>50.804 * CHOOSE(CONTROL!$C$9, $D$9, 100%, $F$9) + CHOOSE(CONTROL!$C$27, 0.0021, 0)</f>
        <v>50.806100000000001</v>
      </c>
      <c r="K445" s="14">
        <f>50.804 * CHOOSE(CONTROL!$C$9, $D$9, 100%, $F$9) + CHOOSE(CONTROL!$C$27, 0.0021, 0)</f>
        <v>50.806100000000001</v>
      </c>
      <c r="L445" s="14"/>
    </row>
    <row r="446" spans="1:12" ht="15.75" x14ac:dyDescent="0.25">
      <c r="A446" s="33">
        <v>54513</v>
      </c>
      <c r="B446" s="14">
        <f>50.6482 * CHOOSE(CONTROL!$C$9, $D$9, 100%, $F$9) + CHOOSE(CONTROL!$C$27, 0.0021, 0)</f>
        <v>50.650300000000001</v>
      </c>
      <c r="C446" s="14">
        <f>50.2159 * CHOOSE(CONTROL!$C$9, $D$9, 100%, $F$9) + CHOOSE(CONTROL!$C$27, 0.0021, 0)</f>
        <v>50.217999999999996</v>
      </c>
      <c r="D446" s="14">
        <f>50.2159 * CHOOSE(CONTROL!$C$9, $D$9, 100%, $F$9) + CHOOSE(CONTROL!$C$27, 0.0021, 0)</f>
        <v>50.217999999999996</v>
      </c>
      <c r="E446" s="14">
        <f>50.0793 * CHOOSE(CONTROL!$C$9, $D$9, 100%, $F$9) + CHOOSE(CONTROL!$C$27, 0.0021, 0)</f>
        <v>50.081400000000002</v>
      </c>
      <c r="F446" s="14">
        <f>50.0793 * CHOOSE(CONTROL!$C$9, $D$9, 100%, $F$9) + CHOOSE(CONTROL!$C$27, 0.0021, 0)</f>
        <v>50.081400000000002</v>
      </c>
      <c r="G446" s="14">
        <f>50.3506 * CHOOSE(CONTROL!$C$9, $D$9, 100%, $F$9) + CHOOSE(CONTROL!$C$27, 0.0021, 0)</f>
        <v>50.352699999999999</v>
      </c>
      <c r="H446" s="14">
        <f>50.2159 * CHOOSE(CONTROL!$C$9, $D$9, 100%, $F$9) + CHOOSE(CONTROL!$C$27, 0.0021, 0)</f>
        <v>50.217999999999996</v>
      </c>
      <c r="I446" s="14">
        <f>50.2159 * CHOOSE(CONTROL!$C$9, $D$9, 100%, $F$9) + CHOOSE(CONTROL!$C$27, 0.0021, 0)</f>
        <v>50.217999999999996</v>
      </c>
      <c r="J446" s="14">
        <f>50.2159 * CHOOSE(CONTROL!$C$9, $D$9, 100%, $F$9) + CHOOSE(CONTROL!$C$27, 0.0021, 0)</f>
        <v>50.217999999999996</v>
      </c>
      <c r="K446" s="14">
        <f>50.2159 * CHOOSE(CONTROL!$C$9, $D$9, 100%, $F$9) + CHOOSE(CONTROL!$C$27, 0.0021, 0)</f>
        <v>50.217999999999996</v>
      </c>
      <c r="L446" s="14"/>
    </row>
    <row r="447" spans="1:12" ht="15.75" x14ac:dyDescent="0.25">
      <c r="A447" s="33">
        <v>54543</v>
      </c>
      <c r="B447" s="14">
        <f>49.946 * CHOOSE(CONTROL!$C$9, $D$9, 100%, $F$9) + CHOOSE(CONTROL!$C$27, 0.0021, 0)</f>
        <v>49.948099999999997</v>
      </c>
      <c r="C447" s="14">
        <f>49.5137 * CHOOSE(CONTROL!$C$9, $D$9, 100%, $F$9) + CHOOSE(CONTROL!$C$27, 0.0021, 0)</f>
        <v>49.515799999999999</v>
      </c>
      <c r="D447" s="14">
        <f>49.5137 * CHOOSE(CONTROL!$C$9, $D$9, 100%, $F$9) + CHOOSE(CONTROL!$C$27, 0.0021, 0)</f>
        <v>49.515799999999999</v>
      </c>
      <c r="E447" s="14">
        <f>49.377 * CHOOSE(CONTROL!$C$9, $D$9, 100%, $F$9) + CHOOSE(CONTROL!$C$27, 0.0021, 0)</f>
        <v>49.379100000000001</v>
      </c>
      <c r="F447" s="14">
        <f>49.377 * CHOOSE(CONTROL!$C$9, $D$9, 100%, $F$9) + CHOOSE(CONTROL!$C$27, 0.0021, 0)</f>
        <v>49.379100000000001</v>
      </c>
      <c r="G447" s="14">
        <f>49.6484 * CHOOSE(CONTROL!$C$9, $D$9, 100%, $F$9) + CHOOSE(CONTROL!$C$27, 0.0021, 0)</f>
        <v>49.650500000000001</v>
      </c>
      <c r="H447" s="14">
        <f>49.5137 * CHOOSE(CONTROL!$C$9, $D$9, 100%, $F$9) + CHOOSE(CONTROL!$C$27, 0.0021, 0)</f>
        <v>49.515799999999999</v>
      </c>
      <c r="I447" s="14">
        <f>49.5137 * CHOOSE(CONTROL!$C$9, $D$9, 100%, $F$9) + CHOOSE(CONTROL!$C$27, 0.0021, 0)</f>
        <v>49.515799999999999</v>
      </c>
      <c r="J447" s="14">
        <f>49.5137 * CHOOSE(CONTROL!$C$9, $D$9, 100%, $F$9) + CHOOSE(CONTROL!$C$27, 0.0021, 0)</f>
        <v>49.515799999999999</v>
      </c>
      <c r="K447" s="14">
        <f>49.5137 * CHOOSE(CONTROL!$C$9, $D$9, 100%, $F$9) + CHOOSE(CONTROL!$C$27, 0.0021, 0)</f>
        <v>49.515799999999999</v>
      </c>
      <c r="L447" s="14"/>
    </row>
    <row r="448" spans="1:12" ht="15.75" x14ac:dyDescent="0.25">
      <c r="A448" s="33">
        <v>54574</v>
      </c>
      <c r="B448" s="14">
        <f>50.9467 * CHOOSE(CONTROL!$C$9, $D$9, 100%, $F$9) + CHOOSE(CONTROL!$C$27, 0.0021, 0)</f>
        <v>50.948799999999999</v>
      </c>
      <c r="C448" s="14">
        <f>50.5145 * CHOOSE(CONTROL!$C$9, $D$9, 100%, $F$9) + CHOOSE(CONTROL!$C$27, 0.0021, 0)</f>
        <v>50.516599999999997</v>
      </c>
      <c r="D448" s="14">
        <f>50.5145 * CHOOSE(CONTROL!$C$9, $D$9, 100%, $F$9) + CHOOSE(CONTROL!$C$27, 0.0021, 0)</f>
        <v>50.516599999999997</v>
      </c>
      <c r="E448" s="14">
        <f>50.3778 * CHOOSE(CONTROL!$C$9, $D$9, 100%, $F$9) + CHOOSE(CONTROL!$C$27, 0.0021, 0)</f>
        <v>50.379899999999999</v>
      </c>
      <c r="F448" s="14">
        <f>50.3778 * CHOOSE(CONTROL!$C$9, $D$9, 100%, $F$9) + CHOOSE(CONTROL!$C$27, 0.0021, 0)</f>
        <v>50.379899999999999</v>
      </c>
      <c r="G448" s="14">
        <f>50.6492 * CHOOSE(CONTROL!$C$9, $D$9, 100%, $F$9) + CHOOSE(CONTROL!$C$27, 0.0021, 0)</f>
        <v>50.651299999999999</v>
      </c>
      <c r="H448" s="14">
        <f>50.5145 * CHOOSE(CONTROL!$C$9, $D$9, 100%, $F$9) + CHOOSE(CONTROL!$C$27, 0.0021, 0)</f>
        <v>50.516599999999997</v>
      </c>
      <c r="I448" s="14">
        <f>50.5145 * CHOOSE(CONTROL!$C$9, $D$9, 100%, $F$9) + CHOOSE(CONTROL!$C$27, 0.0021, 0)</f>
        <v>50.516599999999997</v>
      </c>
      <c r="J448" s="14">
        <f>50.5145 * CHOOSE(CONTROL!$C$9, $D$9, 100%, $F$9) + CHOOSE(CONTROL!$C$27, 0.0021, 0)</f>
        <v>50.516599999999997</v>
      </c>
      <c r="K448" s="14">
        <f>50.5145 * CHOOSE(CONTROL!$C$9, $D$9, 100%, $F$9) + CHOOSE(CONTROL!$C$27, 0.0021, 0)</f>
        <v>50.516599999999997</v>
      </c>
      <c r="L448" s="14"/>
    </row>
    <row r="449" spans="1:12" ht="15.75" x14ac:dyDescent="0.25">
      <c r="A449" s="33">
        <v>54604</v>
      </c>
      <c r="B449" s="14">
        <f>51.5461 * CHOOSE(CONTROL!$C$9, $D$9, 100%, $F$9) + CHOOSE(CONTROL!$C$27, 0.0021, 0)</f>
        <v>51.548200000000001</v>
      </c>
      <c r="C449" s="14">
        <f>51.1139 * CHOOSE(CONTROL!$C$9, $D$9, 100%, $F$9) + CHOOSE(CONTROL!$C$27, 0.0021, 0)</f>
        <v>51.116</v>
      </c>
      <c r="D449" s="14">
        <f>51.1139 * CHOOSE(CONTROL!$C$9, $D$9, 100%, $F$9) + CHOOSE(CONTROL!$C$27, 0.0021, 0)</f>
        <v>51.116</v>
      </c>
      <c r="E449" s="14">
        <f>50.9772 * CHOOSE(CONTROL!$C$9, $D$9, 100%, $F$9) + CHOOSE(CONTROL!$C$27, 0.0021, 0)</f>
        <v>50.979300000000002</v>
      </c>
      <c r="F449" s="14">
        <f>50.9772 * CHOOSE(CONTROL!$C$9, $D$9, 100%, $F$9) + CHOOSE(CONTROL!$C$27, 0.0021, 0)</f>
        <v>50.979300000000002</v>
      </c>
      <c r="G449" s="14">
        <f>51.2486 * CHOOSE(CONTROL!$C$9, $D$9, 100%, $F$9) + CHOOSE(CONTROL!$C$27, 0.0021, 0)</f>
        <v>51.250700000000002</v>
      </c>
      <c r="H449" s="14">
        <f>51.1139 * CHOOSE(CONTROL!$C$9, $D$9, 100%, $F$9) + CHOOSE(CONTROL!$C$27, 0.0021, 0)</f>
        <v>51.116</v>
      </c>
      <c r="I449" s="14">
        <f>51.1139 * CHOOSE(CONTROL!$C$9, $D$9, 100%, $F$9) + CHOOSE(CONTROL!$C$27, 0.0021, 0)</f>
        <v>51.116</v>
      </c>
      <c r="J449" s="14">
        <f>51.1139 * CHOOSE(CONTROL!$C$9, $D$9, 100%, $F$9) + CHOOSE(CONTROL!$C$27, 0.0021, 0)</f>
        <v>51.116</v>
      </c>
      <c r="K449" s="14">
        <f>51.1139 * CHOOSE(CONTROL!$C$9, $D$9, 100%, $F$9) + CHOOSE(CONTROL!$C$27, 0.0021, 0)</f>
        <v>51.116</v>
      </c>
      <c r="L449" s="14"/>
    </row>
    <row r="450" spans="1:12" ht="15.75" x14ac:dyDescent="0.25">
      <c r="A450" s="33">
        <v>54635</v>
      </c>
      <c r="B450" s="14">
        <f>52.5349 * CHOOSE(CONTROL!$C$9, $D$9, 100%, $F$9) + CHOOSE(CONTROL!$C$27, 0.0021, 0)</f>
        <v>52.536999999999999</v>
      </c>
      <c r="C450" s="14">
        <f>52.1027 * CHOOSE(CONTROL!$C$9, $D$9, 100%, $F$9) + CHOOSE(CONTROL!$C$27, 0.0021, 0)</f>
        <v>52.104799999999997</v>
      </c>
      <c r="D450" s="14">
        <f>52.1027 * CHOOSE(CONTROL!$C$9, $D$9, 100%, $F$9) + CHOOSE(CONTROL!$C$27, 0.0021, 0)</f>
        <v>52.104799999999997</v>
      </c>
      <c r="E450" s="14">
        <f>51.966 * CHOOSE(CONTROL!$C$9, $D$9, 100%, $F$9) + CHOOSE(CONTROL!$C$27, 0.0021, 0)</f>
        <v>51.9681</v>
      </c>
      <c r="F450" s="14">
        <f>51.966 * CHOOSE(CONTROL!$C$9, $D$9, 100%, $F$9) + CHOOSE(CONTROL!$C$27, 0.0021, 0)</f>
        <v>51.9681</v>
      </c>
      <c r="G450" s="14">
        <f>52.2374 * CHOOSE(CONTROL!$C$9, $D$9, 100%, $F$9) + CHOOSE(CONTROL!$C$27, 0.0021, 0)</f>
        <v>52.2395</v>
      </c>
      <c r="H450" s="14">
        <f>52.1027 * CHOOSE(CONTROL!$C$9, $D$9, 100%, $F$9) + CHOOSE(CONTROL!$C$27, 0.0021, 0)</f>
        <v>52.104799999999997</v>
      </c>
      <c r="I450" s="14">
        <f>52.1027 * CHOOSE(CONTROL!$C$9, $D$9, 100%, $F$9) + CHOOSE(CONTROL!$C$27, 0.0021, 0)</f>
        <v>52.104799999999997</v>
      </c>
      <c r="J450" s="14">
        <f>52.1027 * CHOOSE(CONTROL!$C$9, $D$9, 100%, $F$9) + CHOOSE(CONTROL!$C$27, 0.0021, 0)</f>
        <v>52.104799999999997</v>
      </c>
      <c r="K450" s="14">
        <f>52.1027 * CHOOSE(CONTROL!$C$9, $D$9, 100%, $F$9) + CHOOSE(CONTROL!$C$27, 0.0021, 0)</f>
        <v>52.104799999999997</v>
      </c>
      <c r="L450" s="14"/>
    </row>
    <row r="451" spans="1:12" ht="15.75" x14ac:dyDescent="0.25">
      <c r="A451" s="33">
        <v>54666</v>
      </c>
      <c r="B451" s="14">
        <f>52.8367 * CHOOSE(CONTROL!$C$9, $D$9, 100%, $F$9) + CHOOSE(CONTROL!$C$27, 0.0021, 0)</f>
        <v>52.838799999999999</v>
      </c>
      <c r="C451" s="14">
        <f>52.4045 * CHOOSE(CONTROL!$C$9, $D$9, 100%, $F$9) + CHOOSE(CONTROL!$C$27, 0.0021, 0)</f>
        <v>52.406599999999997</v>
      </c>
      <c r="D451" s="14">
        <f>52.4045 * CHOOSE(CONTROL!$C$9, $D$9, 100%, $F$9) + CHOOSE(CONTROL!$C$27, 0.0021, 0)</f>
        <v>52.406599999999997</v>
      </c>
      <c r="E451" s="14">
        <f>52.2678 * CHOOSE(CONTROL!$C$9, $D$9, 100%, $F$9) + CHOOSE(CONTROL!$C$27, 0.0021, 0)</f>
        <v>52.2699</v>
      </c>
      <c r="F451" s="14">
        <f>52.2678 * CHOOSE(CONTROL!$C$9, $D$9, 100%, $F$9) + CHOOSE(CONTROL!$C$27, 0.0021, 0)</f>
        <v>52.2699</v>
      </c>
      <c r="G451" s="14">
        <f>52.5392 * CHOOSE(CONTROL!$C$9, $D$9, 100%, $F$9) + CHOOSE(CONTROL!$C$27, 0.0021, 0)</f>
        <v>52.5413</v>
      </c>
      <c r="H451" s="14">
        <f>52.4045 * CHOOSE(CONTROL!$C$9, $D$9, 100%, $F$9) + CHOOSE(CONTROL!$C$27, 0.0021, 0)</f>
        <v>52.406599999999997</v>
      </c>
      <c r="I451" s="14">
        <f>52.4045 * CHOOSE(CONTROL!$C$9, $D$9, 100%, $F$9) + CHOOSE(CONTROL!$C$27, 0.0021, 0)</f>
        <v>52.406599999999997</v>
      </c>
      <c r="J451" s="14">
        <f>52.4045 * CHOOSE(CONTROL!$C$9, $D$9, 100%, $F$9) + CHOOSE(CONTROL!$C$27, 0.0021, 0)</f>
        <v>52.406599999999997</v>
      </c>
      <c r="K451" s="14">
        <f>52.4045 * CHOOSE(CONTROL!$C$9, $D$9, 100%, $F$9) + CHOOSE(CONTROL!$C$27, 0.0021, 0)</f>
        <v>52.406599999999997</v>
      </c>
      <c r="L451" s="14"/>
    </row>
    <row r="452" spans="1:12" ht="15.75" x14ac:dyDescent="0.25">
      <c r="A452" s="33">
        <v>54696</v>
      </c>
      <c r="B452" s="14">
        <f>53.8645 * CHOOSE(CONTROL!$C$9, $D$9, 100%, $F$9) + CHOOSE(CONTROL!$C$27, 0.0021, 0)</f>
        <v>53.866599999999998</v>
      </c>
      <c r="C452" s="14">
        <f>53.4323 * CHOOSE(CONTROL!$C$9, $D$9, 100%, $F$9) + CHOOSE(CONTROL!$C$27, 0.0021, 0)</f>
        <v>53.434399999999997</v>
      </c>
      <c r="D452" s="14">
        <f>53.4323 * CHOOSE(CONTROL!$C$9, $D$9, 100%, $F$9) + CHOOSE(CONTROL!$C$27, 0.0021, 0)</f>
        <v>53.434399999999997</v>
      </c>
      <c r="E452" s="14">
        <f>53.2956 * CHOOSE(CONTROL!$C$9, $D$9, 100%, $F$9) + CHOOSE(CONTROL!$C$27, 0.0021, 0)</f>
        <v>53.297699999999999</v>
      </c>
      <c r="F452" s="14">
        <f>53.2956 * CHOOSE(CONTROL!$C$9, $D$9, 100%, $F$9) + CHOOSE(CONTROL!$C$27, 0.0021, 0)</f>
        <v>53.297699999999999</v>
      </c>
      <c r="G452" s="14">
        <f>53.567 * CHOOSE(CONTROL!$C$9, $D$9, 100%, $F$9) + CHOOSE(CONTROL!$C$27, 0.0021, 0)</f>
        <v>53.569099999999999</v>
      </c>
      <c r="H452" s="14">
        <f>53.4323 * CHOOSE(CONTROL!$C$9, $D$9, 100%, $F$9) + CHOOSE(CONTROL!$C$27, 0.0021, 0)</f>
        <v>53.434399999999997</v>
      </c>
      <c r="I452" s="14">
        <f>53.4323 * CHOOSE(CONTROL!$C$9, $D$9, 100%, $F$9) + CHOOSE(CONTROL!$C$27, 0.0021, 0)</f>
        <v>53.434399999999997</v>
      </c>
      <c r="J452" s="14">
        <f>53.4323 * CHOOSE(CONTROL!$C$9, $D$9, 100%, $F$9) + CHOOSE(CONTROL!$C$27, 0.0021, 0)</f>
        <v>53.434399999999997</v>
      </c>
      <c r="K452" s="14">
        <f>53.4323 * CHOOSE(CONTROL!$C$9, $D$9, 100%, $F$9) + CHOOSE(CONTROL!$C$27, 0.0021, 0)</f>
        <v>53.434399999999997</v>
      </c>
      <c r="L452" s="14"/>
    </row>
    <row r="453" spans="1:12" ht="15.75" x14ac:dyDescent="0.25">
      <c r="A453" s="33">
        <v>54727</v>
      </c>
      <c r="B453" s="14">
        <f>55.1656 * CHOOSE(CONTROL!$C$9, $D$9, 100%, $F$9) + CHOOSE(CONTROL!$C$27, 0.0021, 0)</f>
        <v>55.167699999999996</v>
      </c>
      <c r="C453" s="14">
        <f>54.7333 * CHOOSE(CONTROL!$C$9, $D$9, 100%, $F$9) + CHOOSE(CONTROL!$C$27, 0.0021, 0)</f>
        <v>54.735399999999998</v>
      </c>
      <c r="D453" s="14">
        <f>54.7333 * CHOOSE(CONTROL!$C$9, $D$9, 100%, $F$9) + CHOOSE(CONTROL!$C$27, 0.0021, 0)</f>
        <v>54.735399999999998</v>
      </c>
      <c r="E453" s="14">
        <f>54.5967 * CHOOSE(CONTROL!$C$9, $D$9, 100%, $F$9) + CHOOSE(CONTROL!$C$27, 0.0021, 0)</f>
        <v>54.598799999999997</v>
      </c>
      <c r="F453" s="14">
        <f>54.5967 * CHOOSE(CONTROL!$C$9, $D$9, 100%, $F$9) + CHOOSE(CONTROL!$C$27, 0.0021, 0)</f>
        <v>54.598799999999997</v>
      </c>
      <c r="G453" s="14">
        <f>54.868 * CHOOSE(CONTROL!$C$9, $D$9, 100%, $F$9) + CHOOSE(CONTROL!$C$27, 0.0021, 0)</f>
        <v>54.870100000000001</v>
      </c>
      <c r="H453" s="14">
        <f>54.7333 * CHOOSE(CONTROL!$C$9, $D$9, 100%, $F$9) + CHOOSE(CONTROL!$C$27, 0.0021, 0)</f>
        <v>54.735399999999998</v>
      </c>
      <c r="I453" s="14">
        <f>54.7333 * CHOOSE(CONTROL!$C$9, $D$9, 100%, $F$9) + CHOOSE(CONTROL!$C$27, 0.0021, 0)</f>
        <v>54.735399999999998</v>
      </c>
      <c r="J453" s="14">
        <f>54.7333 * CHOOSE(CONTROL!$C$9, $D$9, 100%, $F$9) + CHOOSE(CONTROL!$C$27, 0.0021, 0)</f>
        <v>54.735399999999998</v>
      </c>
      <c r="K453" s="14">
        <f>54.7333 * CHOOSE(CONTROL!$C$9, $D$9, 100%, $F$9) + CHOOSE(CONTROL!$C$27, 0.0021, 0)</f>
        <v>54.735399999999998</v>
      </c>
      <c r="L453" s="14"/>
    </row>
    <row r="454" spans="1:12" ht="15.75" x14ac:dyDescent="0.25">
      <c r="A454" s="33">
        <v>54757</v>
      </c>
      <c r="B454" s="14">
        <f>55.2877 * CHOOSE(CONTROL!$C$9, $D$9, 100%, $F$9) + CHOOSE(CONTROL!$C$27, 0.0021, 0)</f>
        <v>55.2898</v>
      </c>
      <c r="C454" s="14">
        <f>54.8555 * CHOOSE(CONTROL!$C$9, $D$9, 100%, $F$9) + CHOOSE(CONTROL!$C$27, 0.0021, 0)</f>
        <v>54.857599999999998</v>
      </c>
      <c r="D454" s="14">
        <f>54.8555 * CHOOSE(CONTROL!$C$9, $D$9, 100%, $F$9) + CHOOSE(CONTROL!$C$27, 0.0021, 0)</f>
        <v>54.857599999999998</v>
      </c>
      <c r="E454" s="14">
        <f>54.7188 * CHOOSE(CONTROL!$C$9, $D$9, 100%, $F$9) + CHOOSE(CONTROL!$C$27, 0.0021, 0)</f>
        <v>54.7209</v>
      </c>
      <c r="F454" s="14">
        <f>54.7188 * CHOOSE(CONTROL!$C$9, $D$9, 100%, $F$9) + CHOOSE(CONTROL!$C$27, 0.0021, 0)</f>
        <v>54.7209</v>
      </c>
      <c r="G454" s="14">
        <f>54.9902 * CHOOSE(CONTROL!$C$9, $D$9, 100%, $F$9) + CHOOSE(CONTROL!$C$27, 0.0021, 0)</f>
        <v>54.9923</v>
      </c>
      <c r="H454" s="14">
        <f>54.8555 * CHOOSE(CONTROL!$C$9, $D$9, 100%, $F$9) + CHOOSE(CONTROL!$C$27, 0.0021, 0)</f>
        <v>54.857599999999998</v>
      </c>
      <c r="I454" s="14">
        <f>54.8555 * CHOOSE(CONTROL!$C$9, $D$9, 100%, $F$9) + CHOOSE(CONTROL!$C$27, 0.0021, 0)</f>
        <v>54.857599999999998</v>
      </c>
      <c r="J454" s="14">
        <f>54.8555 * CHOOSE(CONTROL!$C$9, $D$9, 100%, $F$9) + CHOOSE(CONTROL!$C$27, 0.0021, 0)</f>
        <v>54.857599999999998</v>
      </c>
      <c r="K454" s="14">
        <f>54.8555 * CHOOSE(CONTROL!$C$9, $D$9, 100%, $F$9) + CHOOSE(CONTROL!$C$27, 0.0021, 0)</f>
        <v>54.857599999999998</v>
      </c>
      <c r="L454" s="14"/>
    </row>
    <row r="455" spans="1:12" ht="15.75" x14ac:dyDescent="0.25">
      <c r="A455" s="33">
        <v>54788</v>
      </c>
      <c r="B455" s="14">
        <f>54.2486 * CHOOSE(CONTROL!$C$9, $D$9, 100%, $F$9) + CHOOSE(CONTROL!$C$27, 0.0021, 0)</f>
        <v>54.250700000000002</v>
      </c>
      <c r="C455" s="14">
        <f>53.8164 * CHOOSE(CONTROL!$C$9, $D$9, 100%, $F$9) + CHOOSE(CONTROL!$C$27, 0.0021, 0)</f>
        <v>53.8185</v>
      </c>
      <c r="D455" s="14">
        <f>53.8164 * CHOOSE(CONTROL!$C$9, $D$9, 100%, $F$9) + CHOOSE(CONTROL!$C$27, 0.0021, 0)</f>
        <v>53.8185</v>
      </c>
      <c r="E455" s="14">
        <f>53.6797 * CHOOSE(CONTROL!$C$9, $D$9, 100%, $F$9) + CHOOSE(CONTROL!$C$27, 0.0021, 0)</f>
        <v>53.681799999999996</v>
      </c>
      <c r="F455" s="14">
        <f>53.6797 * CHOOSE(CONTROL!$C$9, $D$9, 100%, $F$9) + CHOOSE(CONTROL!$C$27, 0.0021, 0)</f>
        <v>53.681799999999996</v>
      </c>
      <c r="G455" s="14">
        <f>53.9511 * CHOOSE(CONTROL!$C$9, $D$9, 100%, $F$9) + CHOOSE(CONTROL!$C$27, 0.0021, 0)</f>
        <v>53.953199999999995</v>
      </c>
      <c r="H455" s="14">
        <f>53.8164 * CHOOSE(CONTROL!$C$9, $D$9, 100%, $F$9) + CHOOSE(CONTROL!$C$27, 0.0021, 0)</f>
        <v>53.8185</v>
      </c>
      <c r="I455" s="14">
        <f>53.8164 * CHOOSE(CONTROL!$C$9, $D$9, 100%, $F$9) + CHOOSE(CONTROL!$C$27, 0.0021, 0)</f>
        <v>53.8185</v>
      </c>
      <c r="J455" s="14">
        <f>53.8164 * CHOOSE(CONTROL!$C$9, $D$9, 100%, $F$9) + CHOOSE(CONTROL!$C$27, 0.0021, 0)</f>
        <v>53.8185</v>
      </c>
      <c r="K455" s="14">
        <f>53.8164 * CHOOSE(CONTROL!$C$9, $D$9, 100%, $F$9) + CHOOSE(CONTROL!$C$27, 0.0021, 0)</f>
        <v>53.8185</v>
      </c>
      <c r="L455" s="14"/>
    </row>
    <row r="456" spans="1:12" ht="15.75" x14ac:dyDescent="0.25">
      <c r="A456" s="33">
        <v>54819</v>
      </c>
      <c r="B456" s="14">
        <f>53.5918 * CHOOSE(CONTROL!$C$9, $D$9, 100%, $F$9) + CHOOSE(CONTROL!$C$27, 0.0021, 0)</f>
        <v>53.593899999999998</v>
      </c>
      <c r="C456" s="14">
        <f>53.1596 * CHOOSE(CONTROL!$C$9, $D$9, 100%, $F$9) + CHOOSE(CONTROL!$C$27, 0.0021, 0)</f>
        <v>53.161699999999996</v>
      </c>
      <c r="D456" s="14">
        <f>53.1596 * CHOOSE(CONTROL!$C$9, $D$9, 100%, $F$9) + CHOOSE(CONTROL!$C$27, 0.0021, 0)</f>
        <v>53.161699999999996</v>
      </c>
      <c r="E456" s="14">
        <f>53.0229 * CHOOSE(CONTROL!$C$9, $D$9, 100%, $F$9) + CHOOSE(CONTROL!$C$27, 0.0021, 0)</f>
        <v>53.024999999999999</v>
      </c>
      <c r="F456" s="14">
        <f>53.0229 * CHOOSE(CONTROL!$C$9, $D$9, 100%, $F$9) + CHOOSE(CONTROL!$C$27, 0.0021, 0)</f>
        <v>53.024999999999999</v>
      </c>
      <c r="G456" s="14">
        <f>53.2943 * CHOOSE(CONTROL!$C$9, $D$9, 100%, $F$9) + CHOOSE(CONTROL!$C$27, 0.0021, 0)</f>
        <v>53.296399999999998</v>
      </c>
      <c r="H456" s="14">
        <f>53.1596 * CHOOSE(CONTROL!$C$9, $D$9, 100%, $F$9) + CHOOSE(CONTROL!$C$27, 0.0021, 0)</f>
        <v>53.161699999999996</v>
      </c>
      <c r="I456" s="14">
        <f>53.1596 * CHOOSE(CONTROL!$C$9, $D$9, 100%, $F$9) + CHOOSE(CONTROL!$C$27, 0.0021, 0)</f>
        <v>53.161699999999996</v>
      </c>
      <c r="J456" s="14">
        <f>53.1596 * CHOOSE(CONTROL!$C$9, $D$9, 100%, $F$9) + CHOOSE(CONTROL!$C$27, 0.0021, 0)</f>
        <v>53.161699999999996</v>
      </c>
      <c r="K456" s="14">
        <f>53.1596 * CHOOSE(CONTROL!$C$9, $D$9, 100%, $F$9) + CHOOSE(CONTROL!$C$27, 0.0021, 0)</f>
        <v>53.161699999999996</v>
      </c>
      <c r="L456" s="14"/>
    </row>
    <row r="457" spans="1:12" ht="15.75" x14ac:dyDescent="0.25">
      <c r="A457" s="33">
        <v>54847</v>
      </c>
      <c r="B457" s="14">
        <f>52.1408 * CHOOSE(CONTROL!$C$9, $D$9, 100%, $F$9) + CHOOSE(CONTROL!$C$27, 0.0021, 0)</f>
        <v>52.142899999999997</v>
      </c>
      <c r="C457" s="14">
        <f>51.7086 * CHOOSE(CONTROL!$C$9, $D$9, 100%, $F$9) + CHOOSE(CONTROL!$C$27, 0.0021, 0)</f>
        <v>51.710699999999996</v>
      </c>
      <c r="D457" s="14">
        <f>51.7086 * CHOOSE(CONTROL!$C$9, $D$9, 100%, $F$9) + CHOOSE(CONTROL!$C$27, 0.0021, 0)</f>
        <v>51.710699999999996</v>
      </c>
      <c r="E457" s="14">
        <f>51.5719 * CHOOSE(CONTROL!$C$9, $D$9, 100%, $F$9) + CHOOSE(CONTROL!$C$27, 0.0021, 0)</f>
        <v>51.573999999999998</v>
      </c>
      <c r="F457" s="14">
        <f>51.5719 * CHOOSE(CONTROL!$C$9, $D$9, 100%, $F$9) + CHOOSE(CONTROL!$C$27, 0.0021, 0)</f>
        <v>51.573999999999998</v>
      </c>
      <c r="G457" s="14">
        <f>51.8433 * CHOOSE(CONTROL!$C$9, $D$9, 100%, $F$9) + CHOOSE(CONTROL!$C$27, 0.0021, 0)</f>
        <v>51.845399999999998</v>
      </c>
      <c r="H457" s="14">
        <f>51.7086 * CHOOSE(CONTROL!$C$9, $D$9, 100%, $F$9) + CHOOSE(CONTROL!$C$27, 0.0021, 0)</f>
        <v>51.710699999999996</v>
      </c>
      <c r="I457" s="14">
        <f>51.7086 * CHOOSE(CONTROL!$C$9, $D$9, 100%, $F$9) + CHOOSE(CONTROL!$C$27, 0.0021, 0)</f>
        <v>51.710699999999996</v>
      </c>
      <c r="J457" s="14">
        <f>51.7086 * CHOOSE(CONTROL!$C$9, $D$9, 100%, $F$9) + CHOOSE(CONTROL!$C$27, 0.0021, 0)</f>
        <v>51.710699999999996</v>
      </c>
      <c r="K457" s="14">
        <f>51.7086 * CHOOSE(CONTROL!$C$9, $D$9, 100%, $F$9) + CHOOSE(CONTROL!$C$27, 0.0021, 0)</f>
        <v>51.710699999999996</v>
      </c>
      <c r="L457" s="14"/>
    </row>
    <row r="458" spans="1:12" ht="15.75" x14ac:dyDescent="0.25">
      <c r="A458" s="33">
        <v>54878</v>
      </c>
      <c r="B458" s="14">
        <f>51.5418 * CHOOSE(CONTROL!$C$9, $D$9, 100%, $F$9) + CHOOSE(CONTROL!$C$27, 0.0021, 0)</f>
        <v>51.543900000000001</v>
      </c>
      <c r="C458" s="14">
        <f>51.1096 * CHOOSE(CONTROL!$C$9, $D$9, 100%, $F$9) + CHOOSE(CONTROL!$C$27, 0.0021, 0)</f>
        <v>51.111699999999999</v>
      </c>
      <c r="D458" s="14">
        <f>51.1096 * CHOOSE(CONTROL!$C$9, $D$9, 100%, $F$9) + CHOOSE(CONTROL!$C$27, 0.0021, 0)</f>
        <v>51.111699999999999</v>
      </c>
      <c r="E458" s="14">
        <f>50.9729 * CHOOSE(CONTROL!$C$9, $D$9, 100%, $F$9) + CHOOSE(CONTROL!$C$27, 0.0021, 0)</f>
        <v>50.975000000000001</v>
      </c>
      <c r="F458" s="14">
        <f>50.9729 * CHOOSE(CONTROL!$C$9, $D$9, 100%, $F$9) + CHOOSE(CONTROL!$C$27, 0.0021, 0)</f>
        <v>50.975000000000001</v>
      </c>
      <c r="G458" s="14">
        <f>51.2443 * CHOOSE(CONTROL!$C$9, $D$9, 100%, $F$9) + CHOOSE(CONTROL!$C$27, 0.0021, 0)</f>
        <v>51.246400000000001</v>
      </c>
      <c r="H458" s="14">
        <f>51.1096 * CHOOSE(CONTROL!$C$9, $D$9, 100%, $F$9) + CHOOSE(CONTROL!$C$27, 0.0021, 0)</f>
        <v>51.111699999999999</v>
      </c>
      <c r="I458" s="14">
        <f>51.1096 * CHOOSE(CONTROL!$C$9, $D$9, 100%, $F$9) + CHOOSE(CONTROL!$C$27, 0.0021, 0)</f>
        <v>51.111699999999999</v>
      </c>
      <c r="J458" s="14">
        <f>51.1096 * CHOOSE(CONTROL!$C$9, $D$9, 100%, $F$9) + CHOOSE(CONTROL!$C$27, 0.0021, 0)</f>
        <v>51.111699999999999</v>
      </c>
      <c r="K458" s="14">
        <f>51.1096 * CHOOSE(CONTROL!$C$9, $D$9, 100%, $F$9) + CHOOSE(CONTROL!$C$27, 0.0021, 0)</f>
        <v>51.111699999999999</v>
      </c>
      <c r="L458" s="14"/>
    </row>
    <row r="459" spans="1:12" ht="15.75" x14ac:dyDescent="0.25">
      <c r="A459" s="33">
        <v>54908</v>
      </c>
      <c r="B459" s="14">
        <f>50.8266 * CHOOSE(CONTROL!$C$9, $D$9, 100%, $F$9) + CHOOSE(CONTROL!$C$27, 0.0021, 0)</f>
        <v>50.828699999999998</v>
      </c>
      <c r="C459" s="14">
        <f>50.3944 * CHOOSE(CONTROL!$C$9, $D$9, 100%, $F$9) + CHOOSE(CONTROL!$C$27, 0.0021, 0)</f>
        <v>50.396499999999996</v>
      </c>
      <c r="D459" s="14">
        <f>50.3944 * CHOOSE(CONTROL!$C$9, $D$9, 100%, $F$9) + CHOOSE(CONTROL!$C$27, 0.0021, 0)</f>
        <v>50.396499999999996</v>
      </c>
      <c r="E459" s="14">
        <f>50.2577 * CHOOSE(CONTROL!$C$9, $D$9, 100%, $F$9) + CHOOSE(CONTROL!$C$27, 0.0021, 0)</f>
        <v>50.259799999999998</v>
      </c>
      <c r="F459" s="14">
        <f>50.2577 * CHOOSE(CONTROL!$C$9, $D$9, 100%, $F$9) + CHOOSE(CONTROL!$C$27, 0.0021, 0)</f>
        <v>50.259799999999998</v>
      </c>
      <c r="G459" s="14">
        <f>50.5291 * CHOOSE(CONTROL!$C$9, $D$9, 100%, $F$9) + CHOOSE(CONTROL!$C$27, 0.0021, 0)</f>
        <v>50.531199999999998</v>
      </c>
      <c r="H459" s="14">
        <f>50.3944 * CHOOSE(CONTROL!$C$9, $D$9, 100%, $F$9) + CHOOSE(CONTROL!$C$27, 0.0021, 0)</f>
        <v>50.396499999999996</v>
      </c>
      <c r="I459" s="14">
        <f>50.3944 * CHOOSE(CONTROL!$C$9, $D$9, 100%, $F$9) + CHOOSE(CONTROL!$C$27, 0.0021, 0)</f>
        <v>50.396499999999996</v>
      </c>
      <c r="J459" s="14">
        <f>50.3944 * CHOOSE(CONTROL!$C$9, $D$9, 100%, $F$9) + CHOOSE(CONTROL!$C$27, 0.0021, 0)</f>
        <v>50.396499999999996</v>
      </c>
      <c r="K459" s="14">
        <f>50.3944 * CHOOSE(CONTROL!$C$9, $D$9, 100%, $F$9) + CHOOSE(CONTROL!$C$27, 0.0021, 0)</f>
        <v>50.396499999999996</v>
      </c>
      <c r="L459" s="14"/>
    </row>
    <row r="460" spans="1:12" ht="15.75" x14ac:dyDescent="0.25">
      <c r="A460" s="33">
        <v>54939</v>
      </c>
      <c r="B460" s="14">
        <f>51.8459 * CHOOSE(CONTROL!$C$9, $D$9, 100%, $F$9) + CHOOSE(CONTROL!$C$27, 0.0021, 0)</f>
        <v>51.847999999999999</v>
      </c>
      <c r="C460" s="14">
        <f>51.4136 * CHOOSE(CONTROL!$C$9, $D$9, 100%, $F$9) + CHOOSE(CONTROL!$C$27, 0.0021, 0)</f>
        <v>51.415700000000001</v>
      </c>
      <c r="D460" s="14">
        <f>51.4136 * CHOOSE(CONTROL!$C$9, $D$9, 100%, $F$9) + CHOOSE(CONTROL!$C$27, 0.0021, 0)</f>
        <v>51.415700000000001</v>
      </c>
      <c r="E460" s="14">
        <f>51.277 * CHOOSE(CONTROL!$C$9, $D$9, 100%, $F$9) + CHOOSE(CONTROL!$C$27, 0.0021, 0)</f>
        <v>51.2791</v>
      </c>
      <c r="F460" s="14">
        <f>51.277 * CHOOSE(CONTROL!$C$9, $D$9, 100%, $F$9) + CHOOSE(CONTROL!$C$27, 0.0021, 0)</f>
        <v>51.2791</v>
      </c>
      <c r="G460" s="14">
        <f>51.5483 * CHOOSE(CONTROL!$C$9, $D$9, 100%, $F$9) + CHOOSE(CONTROL!$C$27, 0.0021, 0)</f>
        <v>51.550399999999996</v>
      </c>
      <c r="H460" s="14">
        <f>51.4136 * CHOOSE(CONTROL!$C$9, $D$9, 100%, $F$9) + CHOOSE(CONTROL!$C$27, 0.0021, 0)</f>
        <v>51.415700000000001</v>
      </c>
      <c r="I460" s="14">
        <f>51.4136 * CHOOSE(CONTROL!$C$9, $D$9, 100%, $F$9) + CHOOSE(CONTROL!$C$27, 0.0021, 0)</f>
        <v>51.415700000000001</v>
      </c>
      <c r="J460" s="14">
        <f>51.4136 * CHOOSE(CONTROL!$C$9, $D$9, 100%, $F$9) + CHOOSE(CONTROL!$C$27, 0.0021, 0)</f>
        <v>51.415700000000001</v>
      </c>
      <c r="K460" s="14">
        <f>51.4136 * CHOOSE(CONTROL!$C$9, $D$9, 100%, $F$9) + CHOOSE(CONTROL!$C$27, 0.0021, 0)</f>
        <v>51.415700000000001</v>
      </c>
      <c r="L460" s="14"/>
    </row>
    <row r="461" spans="1:12" ht="15.75" x14ac:dyDescent="0.25">
      <c r="A461" s="33">
        <v>54969</v>
      </c>
      <c r="B461" s="14">
        <f>52.4564 * CHOOSE(CONTROL!$C$9, $D$9, 100%, $F$9) + CHOOSE(CONTROL!$C$27, 0.0021, 0)</f>
        <v>52.458500000000001</v>
      </c>
      <c r="C461" s="14">
        <f>52.0241 * CHOOSE(CONTROL!$C$9, $D$9, 100%, $F$9) + CHOOSE(CONTROL!$C$27, 0.0021, 0)</f>
        <v>52.026199999999996</v>
      </c>
      <c r="D461" s="14">
        <f>52.0241 * CHOOSE(CONTROL!$C$9, $D$9, 100%, $F$9) + CHOOSE(CONTROL!$C$27, 0.0021, 0)</f>
        <v>52.026199999999996</v>
      </c>
      <c r="E461" s="14">
        <f>51.8874 * CHOOSE(CONTROL!$C$9, $D$9, 100%, $F$9) + CHOOSE(CONTROL!$C$27, 0.0021, 0)</f>
        <v>51.889499999999998</v>
      </c>
      <c r="F461" s="14">
        <f>51.8874 * CHOOSE(CONTROL!$C$9, $D$9, 100%, $F$9) + CHOOSE(CONTROL!$C$27, 0.0021, 0)</f>
        <v>51.889499999999998</v>
      </c>
      <c r="G461" s="14">
        <f>52.1588 * CHOOSE(CONTROL!$C$9, $D$9, 100%, $F$9) + CHOOSE(CONTROL!$C$27, 0.0021, 0)</f>
        <v>52.160899999999998</v>
      </c>
      <c r="H461" s="14">
        <f>52.0241 * CHOOSE(CONTROL!$C$9, $D$9, 100%, $F$9) + CHOOSE(CONTROL!$C$27, 0.0021, 0)</f>
        <v>52.026199999999996</v>
      </c>
      <c r="I461" s="14">
        <f>52.0241 * CHOOSE(CONTROL!$C$9, $D$9, 100%, $F$9) + CHOOSE(CONTROL!$C$27, 0.0021, 0)</f>
        <v>52.026199999999996</v>
      </c>
      <c r="J461" s="14">
        <f>52.0241 * CHOOSE(CONTROL!$C$9, $D$9, 100%, $F$9) + CHOOSE(CONTROL!$C$27, 0.0021, 0)</f>
        <v>52.026199999999996</v>
      </c>
      <c r="K461" s="14">
        <f>52.0241 * CHOOSE(CONTROL!$C$9, $D$9, 100%, $F$9) + CHOOSE(CONTROL!$C$27, 0.0021, 0)</f>
        <v>52.026199999999996</v>
      </c>
      <c r="L461" s="14"/>
    </row>
    <row r="462" spans="1:12" ht="15.75" x14ac:dyDescent="0.25">
      <c r="A462" s="33">
        <v>55000</v>
      </c>
      <c r="B462" s="14">
        <f>53.4634 * CHOOSE(CONTROL!$C$9, $D$9, 100%, $F$9) + CHOOSE(CONTROL!$C$27, 0.0021, 0)</f>
        <v>53.465499999999999</v>
      </c>
      <c r="C462" s="14">
        <f>53.0312 * CHOOSE(CONTROL!$C$9, $D$9, 100%, $F$9) + CHOOSE(CONTROL!$C$27, 0.0021, 0)</f>
        <v>53.033299999999997</v>
      </c>
      <c r="D462" s="14">
        <f>53.0312 * CHOOSE(CONTROL!$C$9, $D$9, 100%, $F$9) + CHOOSE(CONTROL!$C$27, 0.0021, 0)</f>
        <v>53.033299999999997</v>
      </c>
      <c r="E462" s="14">
        <f>52.8945 * CHOOSE(CONTROL!$C$9, $D$9, 100%, $F$9) + CHOOSE(CONTROL!$C$27, 0.0021, 0)</f>
        <v>52.896599999999999</v>
      </c>
      <c r="F462" s="14">
        <f>52.8945 * CHOOSE(CONTROL!$C$9, $D$9, 100%, $F$9) + CHOOSE(CONTROL!$C$27, 0.0021, 0)</f>
        <v>52.896599999999999</v>
      </c>
      <c r="G462" s="14">
        <f>53.1659 * CHOOSE(CONTROL!$C$9, $D$9, 100%, $F$9) + CHOOSE(CONTROL!$C$27, 0.0021, 0)</f>
        <v>53.167999999999999</v>
      </c>
      <c r="H462" s="14">
        <f>53.0312 * CHOOSE(CONTROL!$C$9, $D$9, 100%, $F$9) + CHOOSE(CONTROL!$C$27, 0.0021, 0)</f>
        <v>53.033299999999997</v>
      </c>
      <c r="I462" s="14">
        <f>53.0312 * CHOOSE(CONTROL!$C$9, $D$9, 100%, $F$9) + CHOOSE(CONTROL!$C$27, 0.0021, 0)</f>
        <v>53.033299999999997</v>
      </c>
      <c r="J462" s="14">
        <f>53.0312 * CHOOSE(CONTROL!$C$9, $D$9, 100%, $F$9) + CHOOSE(CONTROL!$C$27, 0.0021, 0)</f>
        <v>53.033299999999997</v>
      </c>
      <c r="K462" s="14">
        <f>53.0312 * CHOOSE(CONTROL!$C$9, $D$9, 100%, $F$9) + CHOOSE(CONTROL!$C$27, 0.0021, 0)</f>
        <v>53.033299999999997</v>
      </c>
      <c r="L462" s="14"/>
    </row>
    <row r="463" spans="1:12" ht="15.75" x14ac:dyDescent="0.25">
      <c r="A463" s="33">
        <v>55031</v>
      </c>
      <c r="B463" s="14">
        <f>53.7708 * CHOOSE(CONTROL!$C$9, $D$9, 100%, $F$9) + CHOOSE(CONTROL!$C$27, 0.0021, 0)</f>
        <v>53.7729</v>
      </c>
      <c r="C463" s="14">
        <f>53.3386 * CHOOSE(CONTROL!$C$9, $D$9, 100%, $F$9) + CHOOSE(CONTROL!$C$27, 0.0021, 0)</f>
        <v>53.340699999999998</v>
      </c>
      <c r="D463" s="14">
        <f>53.3386 * CHOOSE(CONTROL!$C$9, $D$9, 100%, $F$9) + CHOOSE(CONTROL!$C$27, 0.0021, 0)</f>
        <v>53.340699999999998</v>
      </c>
      <c r="E463" s="14">
        <f>53.2019 * CHOOSE(CONTROL!$C$9, $D$9, 100%, $F$9) + CHOOSE(CONTROL!$C$27, 0.0021, 0)</f>
        <v>53.204000000000001</v>
      </c>
      <c r="F463" s="14">
        <f>53.2019 * CHOOSE(CONTROL!$C$9, $D$9, 100%, $F$9) + CHOOSE(CONTROL!$C$27, 0.0021, 0)</f>
        <v>53.204000000000001</v>
      </c>
      <c r="G463" s="14">
        <f>53.4733 * CHOOSE(CONTROL!$C$9, $D$9, 100%, $F$9) + CHOOSE(CONTROL!$C$27, 0.0021, 0)</f>
        <v>53.4754</v>
      </c>
      <c r="H463" s="14">
        <f>53.3386 * CHOOSE(CONTROL!$C$9, $D$9, 100%, $F$9) + CHOOSE(CONTROL!$C$27, 0.0021, 0)</f>
        <v>53.340699999999998</v>
      </c>
      <c r="I463" s="14">
        <f>53.3386 * CHOOSE(CONTROL!$C$9, $D$9, 100%, $F$9) + CHOOSE(CONTROL!$C$27, 0.0021, 0)</f>
        <v>53.340699999999998</v>
      </c>
      <c r="J463" s="14">
        <f>53.3386 * CHOOSE(CONTROL!$C$9, $D$9, 100%, $F$9) + CHOOSE(CONTROL!$C$27, 0.0021, 0)</f>
        <v>53.340699999999998</v>
      </c>
      <c r="K463" s="14">
        <f>53.3386 * CHOOSE(CONTROL!$C$9, $D$9, 100%, $F$9) + CHOOSE(CONTROL!$C$27, 0.0021, 0)</f>
        <v>53.340699999999998</v>
      </c>
      <c r="L463" s="14"/>
    </row>
    <row r="464" spans="1:12" ht="15.75" x14ac:dyDescent="0.25">
      <c r="A464" s="33">
        <v>55061</v>
      </c>
      <c r="B464" s="14">
        <f>54.8176 * CHOOSE(CONTROL!$C$9, $D$9, 100%, $F$9) + CHOOSE(CONTROL!$C$27, 0.0021, 0)</f>
        <v>54.819699999999997</v>
      </c>
      <c r="C464" s="14">
        <f>54.3854 * CHOOSE(CONTROL!$C$9, $D$9, 100%, $F$9) + CHOOSE(CONTROL!$C$27, 0.0021, 0)</f>
        <v>54.387499999999996</v>
      </c>
      <c r="D464" s="14">
        <f>54.3854 * CHOOSE(CONTROL!$C$9, $D$9, 100%, $F$9) + CHOOSE(CONTROL!$C$27, 0.0021, 0)</f>
        <v>54.387499999999996</v>
      </c>
      <c r="E464" s="14">
        <f>54.2487 * CHOOSE(CONTROL!$C$9, $D$9, 100%, $F$9) + CHOOSE(CONTROL!$C$27, 0.0021, 0)</f>
        <v>54.250799999999998</v>
      </c>
      <c r="F464" s="14">
        <f>54.2487 * CHOOSE(CONTROL!$C$9, $D$9, 100%, $F$9) + CHOOSE(CONTROL!$C$27, 0.0021, 0)</f>
        <v>54.250799999999998</v>
      </c>
      <c r="G464" s="14">
        <f>54.5201 * CHOOSE(CONTROL!$C$9, $D$9, 100%, $F$9) + CHOOSE(CONTROL!$C$27, 0.0021, 0)</f>
        <v>54.522199999999998</v>
      </c>
      <c r="H464" s="14">
        <f>54.3854 * CHOOSE(CONTROL!$C$9, $D$9, 100%, $F$9) + CHOOSE(CONTROL!$C$27, 0.0021, 0)</f>
        <v>54.387499999999996</v>
      </c>
      <c r="I464" s="14">
        <f>54.3854 * CHOOSE(CONTROL!$C$9, $D$9, 100%, $F$9) + CHOOSE(CONTROL!$C$27, 0.0021, 0)</f>
        <v>54.387499999999996</v>
      </c>
      <c r="J464" s="14">
        <f>54.3854 * CHOOSE(CONTROL!$C$9, $D$9, 100%, $F$9) + CHOOSE(CONTROL!$C$27, 0.0021, 0)</f>
        <v>54.387499999999996</v>
      </c>
      <c r="K464" s="14">
        <f>54.3854 * CHOOSE(CONTROL!$C$9, $D$9, 100%, $F$9) + CHOOSE(CONTROL!$C$27, 0.0021, 0)</f>
        <v>54.387499999999996</v>
      </c>
      <c r="L464" s="14"/>
    </row>
    <row r="465" spans="1:12" ht="15.75" x14ac:dyDescent="0.25">
      <c r="A465" s="33">
        <v>55092</v>
      </c>
      <c r="B465" s="14">
        <f>56.1427 * CHOOSE(CONTROL!$C$9, $D$9, 100%, $F$9) + CHOOSE(CONTROL!$C$27, 0.0021, 0)</f>
        <v>56.144799999999996</v>
      </c>
      <c r="C465" s="14">
        <f>55.7105 * CHOOSE(CONTROL!$C$9, $D$9, 100%, $F$9) + CHOOSE(CONTROL!$C$27, 0.0021, 0)</f>
        <v>55.712600000000002</v>
      </c>
      <c r="D465" s="14">
        <f>55.7105 * CHOOSE(CONTROL!$C$9, $D$9, 100%, $F$9) + CHOOSE(CONTROL!$C$27, 0.0021, 0)</f>
        <v>55.712600000000002</v>
      </c>
      <c r="E465" s="14">
        <f>55.5738 * CHOOSE(CONTROL!$C$9, $D$9, 100%, $F$9) + CHOOSE(CONTROL!$C$27, 0.0021, 0)</f>
        <v>55.575899999999997</v>
      </c>
      <c r="F465" s="14">
        <f>55.5738 * CHOOSE(CONTROL!$C$9, $D$9, 100%, $F$9) + CHOOSE(CONTROL!$C$27, 0.0021, 0)</f>
        <v>55.575899999999997</v>
      </c>
      <c r="G465" s="14">
        <f>55.8452 * CHOOSE(CONTROL!$C$9, $D$9, 100%, $F$9) + CHOOSE(CONTROL!$C$27, 0.0021, 0)</f>
        <v>55.847299999999997</v>
      </c>
      <c r="H465" s="14">
        <f>55.7105 * CHOOSE(CONTROL!$C$9, $D$9, 100%, $F$9) + CHOOSE(CONTROL!$C$27, 0.0021, 0)</f>
        <v>55.712600000000002</v>
      </c>
      <c r="I465" s="14">
        <f>55.7105 * CHOOSE(CONTROL!$C$9, $D$9, 100%, $F$9) + CHOOSE(CONTROL!$C$27, 0.0021, 0)</f>
        <v>55.712600000000002</v>
      </c>
      <c r="J465" s="14">
        <f>55.7105 * CHOOSE(CONTROL!$C$9, $D$9, 100%, $F$9) + CHOOSE(CONTROL!$C$27, 0.0021, 0)</f>
        <v>55.712600000000002</v>
      </c>
      <c r="K465" s="14">
        <f>55.7105 * CHOOSE(CONTROL!$C$9, $D$9, 100%, $F$9) + CHOOSE(CONTROL!$C$27, 0.0021, 0)</f>
        <v>55.712600000000002</v>
      </c>
      <c r="L465" s="14"/>
    </row>
    <row r="466" spans="1:12" ht="15.75" x14ac:dyDescent="0.25">
      <c r="A466" s="33">
        <v>55122</v>
      </c>
      <c r="B466" s="14">
        <f>56.2671 * CHOOSE(CONTROL!$C$9, $D$9, 100%, $F$9) + CHOOSE(CONTROL!$C$27, 0.0021, 0)</f>
        <v>56.269199999999998</v>
      </c>
      <c r="C466" s="14">
        <f>55.8349 * CHOOSE(CONTROL!$C$9, $D$9, 100%, $F$9) + CHOOSE(CONTROL!$C$27, 0.0021, 0)</f>
        <v>55.836999999999996</v>
      </c>
      <c r="D466" s="14">
        <f>55.8349 * CHOOSE(CONTROL!$C$9, $D$9, 100%, $F$9) + CHOOSE(CONTROL!$C$27, 0.0021, 0)</f>
        <v>55.836999999999996</v>
      </c>
      <c r="E466" s="14">
        <f>55.6982 * CHOOSE(CONTROL!$C$9, $D$9, 100%, $F$9) + CHOOSE(CONTROL!$C$27, 0.0021, 0)</f>
        <v>55.700299999999999</v>
      </c>
      <c r="F466" s="14">
        <f>55.6982 * CHOOSE(CONTROL!$C$9, $D$9, 100%, $F$9) + CHOOSE(CONTROL!$C$27, 0.0021, 0)</f>
        <v>55.700299999999999</v>
      </c>
      <c r="G466" s="14">
        <f>55.9696 * CHOOSE(CONTROL!$C$9, $D$9, 100%, $F$9) + CHOOSE(CONTROL!$C$27, 0.0021, 0)</f>
        <v>55.971699999999998</v>
      </c>
      <c r="H466" s="14">
        <f>55.8349 * CHOOSE(CONTROL!$C$9, $D$9, 100%, $F$9) + CHOOSE(CONTROL!$C$27, 0.0021, 0)</f>
        <v>55.836999999999996</v>
      </c>
      <c r="I466" s="14">
        <f>55.8349 * CHOOSE(CONTROL!$C$9, $D$9, 100%, $F$9) + CHOOSE(CONTROL!$C$27, 0.0021, 0)</f>
        <v>55.836999999999996</v>
      </c>
      <c r="J466" s="14">
        <f>55.8349 * CHOOSE(CONTROL!$C$9, $D$9, 100%, $F$9) + CHOOSE(CONTROL!$C$27, 0.0021, 0)</f>
        <v>55.836999999999996</v>
      </c>
      <c r="K466" s="14">
        <f>55.8349 * CHOOSE(CONTROL!$C$9, $D$9, 100%, $F$9) + CHOOSE(CONTROL!$C$27, 0.0021, 0)</f>
        <v>55.836999999999996</v>
      </c>
      <c r="L466" s="14"/>
    </row>
    <row r="467" spans="1:12" ht="15.75" x14ac:dyDescent="0.25">
      <c r="A467" s="33">
        <v>55153</v>
      </c>
      <c r="B467" s="14">
        <f>55.2088 * CHOOSE(CONTROL!$C$9, $D$9, 100%, $F$9) + CHOOSE(CONTROL!$C$27, 0.0021, 0)</f>
        <v>55.210899999999995</v>
      </c>
      <c r="C467" s="14">
        <f>54.7765 * CHOOSE(CONTROL!$C$9, $D$9, 100%, $F$9) + CHOOSE(CONTROL!$C$27, 0.0021, 0)</f>
        <v>54.778599999999997</v>
      </c>
      <c r="D467" s="14">
        <f>54.7765 * CHOOSE(CONTROL!$C$9, $D$9, 100%, $F$9) + CHOOSE(CONTROL!$C$27, 0.0021, 0)</f>
        <v>54.778599999999997</v>
      </c>
      <c r="E467" s="14">
        <f>54.6399 * CHOOSE(CONTROL!$C$9, $D$9, 100%, $F$9) + CHOOSE(CONTROL!$C$27, 0.0021, 0)</f>
        <v>54.641999999999996</v>
      </c>
      <c r="F467" s="14">
        <f>54.6399 * CHOOSE(CONTROL!$C$9, $D$9, 100%, $F$9) + CHOOSE(CONTROL!$C$27, 0.0021, 0)</f>
        <v>54.641999999999996</v>
      </c>
      <c r="G467" s="14">
        <f>54.9113 * CHOOSE(CONTROL!$C$9, $D$9, 100%, $F$9) + CHOOSE(CONTROL!$C$27, 0.0021, 0)</f>
        <v>54.913399999999996</v>
      </c>
      <c r="H467" s="14">
        <f>54.7765 * CHOOSE(CONTROL!$C$9, $D$9, 100%, $F$9) + CHOOSE(CONTROL!$C$27, 0.0021, 0)</f>
        <v>54.778599999999997</v>
      </c>
      <c r="I467" s="14">
        <f>54.7765 * CHOOSE(CONTROL!$C$9, $D$9, 100%, $F$9) + CHOOSE(CONTROL!$C$27, 0.0021, 0)</f>
        <v>54.778599999999997</v>
      </c>
      <c r="J467" s="14">
        <f>54.7765 * CHOOSE(CONTROL!$C$9, $D$9, 100%, $F$9) + CHOOSE(CONTROL!$C$27, 0.0021, 0)</f>
        <v>54.778599999999997</v>
      </c>
      <c r="K467" s="14">
        <f>54.7765 * CHOOSE(CONTROL!$C$9, $D$9, 100%, $F$9) + CHOOSE(CONTROL!$C$27, 0.0021, 0)</f>
        <v>54.778599999999997</v>
      </c>
      <c r="L467" s="14"/>
    </row>
    <row r="468" spans="1:12" ht="15.75" x14ac:dyDescent="0.25">
      <c r="A468" s="33">
        <v>55184</v>
      </c>
      <c r="B468" s="14">
        <f>54.5399 * CHOOSE(CONTROL!$C$9, $D$9, 100%, $F$9) + CHOOSE(CONTROL!$C$27, 0.0021, 0)</f>
        <v>54.542000000000002</v>
      </c>
      <c r="C468" s="14">
        <f>54.1076 * CHOOSE(CONTROL!$C$9, $D$9, 100%, $F$9) + CHOOSE(CONTROL!$C$27, 0.0021, 0)</f>
        <v>54.109699999999997</v>
      </c>
      <c r="D468" s="14">
        <f>54.1076 * CHOOSE(CONTROL!$C$9, $D$9, 100%, $F$9) + CHOOSE(CONTROL!$C$27, 0.0021, 0)</f>
        <v>54.109699999999997</v>
      </c>
      <c r="E468" s="14">
        <f>53.971 * CHOOSE(CONTROL!$C$9, $D$9, 100%, $F$9) + CHOOSE(CONTROL!$C$27, 0.0021, 0)</f>
        <v>53.973099999999995</v>
      </c>
      <c r="F468" s="14">
        <f>53.971 * CHOOSE(CONTROL!$C$9, $D$9, 100%, $F$9) + CHOOSE(CONTROL!$C$27, 0.0021, 0)</f>
        <v>53.973099999999995</v>
      </c>
      <c r="G468" s="14">
        <f>54.2424 * CHOOSE(CONTROL!$C$9, $D$9, 100%, $F$9) + CHOOSE(CONTROL!$C$27, 0.0021, 0)</f>
        <v>54.244500000000002</v>
      </c>
      <c r="H468" s="14">
        <f>54.1076 * CHOOSE(CONTROL!$C$9, $D$9, 100%, $F$9) + CHOOSE(CONTROL!$C$27, 0.0021, 0)</f>
        <v>54.109699999999997</v>
      </c>
      <c r="I468" s="14">
        <f>54.1076 * CHOOSE(CONTROL!$C$9, $D$9, 100%, $F$9) + CHOOSE(CONTROL!$C$27, 0.0021, 0)</f>
        <v>54.109699999999997</v>
      </c>
      <c r="J468" s="14">
        <f>54.1076 * CHOOSE(CONTROL!$C$9, $D$9, 100%, $F$9) + CHOOSE(CONTROL!$C$27, 0.0021, 0)</f>
        <v>54.109699999999997</v>
      </c>
      <c r="K468" s="14">
        <f>54.1076 * CHOOSE(CONTROL!$C$9, $D$9, 100%, $F$9) + CHOOSE(CONTROL!$C$27, 0.0021, 0)</f>
        <v>54.109699999999997</v>
      </c>
      <c r="L468" s="14"/>
    </row>
    <row r="469" spans="1:12" ht="15.75" x14ac:dyDescent="0.25">
      <c r="A469" s="33">
        <v>55212</v>
      </c>
      <c r="B469" s="14">
        <f>53.062 * CHOOSE(CONTROL!$C$9, $D$9, 100%, $F$9) + CHOOSE(CONTROL!$C$27, 0.0021, 0)</f>
        <v>53.064099999999996</v>
      </c>
      <c r="C469" s="14">
        <f>52.6298 * CHOOSE(CONTROL!$C$9, $D$9, 100%, $F$9) + CHOOSE(CONTROL!$C$27, 0.0021, 0)</f>
        <v>52.631900000000002</v>
      </c>
      <c r="D469" s="14">
        <f>52.6298 * CHOOSE(CONTROL!$C$9, $D$9, 100%, $F$9) + CHOOSE(CONTROL!$C$27, 0.0021, 0)</f>
        <v>52.631900000000002</v>
      </c>
      <c r="E469" s="14">
        <f>52.4931 * CHOOSE(CONTROL!$C$9, $D$9, 100%, $F$9) + CHOOSE(CONTROL!$C$27, 0.0021, 0)</f>
        <v>52.495199999999997</v>
      </c>
      <c r="F469" s="14">
        <f>52.4931 * CHOOSE(CONTROL!$C$9, $D$9, 100%, $F$9) + CHOOSE(CONTROL!$C$27, 0.0021, 0)</f>
        <v>52.495199999999997</v>
      </c>
      <c r="G469" s="14">
        <f>52.7645 * CHOOSE(CONTROL!$C$9, $D$9, 100%, $F$9) + CHOOSE(CONTROL!$C$27, 0.0021, 0)</f>
        <v>52.766599999999997</v>
      </c>
      <c r="H469" s="14">
        <f>52.6298 * CHOOSE(CONTROL!$C$9, $D$9, 100%, $F$9) + CHOOSE(CONTROL!$C$27, 0.0021, 0)</f>
        <v>52.631900000000002</v>
      </c>
      <c r="I469" s="14">
        <f>52.6298 * CHOOSE(CONTROL!$C$9, $D$9, 100%, $F$9) + CHOOSE(CONTROL!$C$27, 0.0021, 0)</f>
        <v>52.631900000000002</v>
      </c>
      <c r="J469" s="14">
        <f>52.6298 * CHOOSE(CONTROL!$C$9, $D$9, 100%, $F$9) + CHOOSE(CONTROL!$C$27, 0.0021, 0)</f>
        <v>52.631900000000002</v>
      </c>
      <c r="K469" s="14">
        <f>52.6298 * CHOOSE(CONTROL!$C$9, $D$9, 100%, $F$9) + CHOOSE(CONTROL!$C$27, 0.0021, 0)</f>
        <v>52.631900000000002</v>
      </c>
      <c r="L469" s="14"/>
    </row>
    <row r="470" spans="1:12" ht="15.75" x14ac:dyDescent="0.25">
      <c r="A470" s="33">
        <v>55243</v>
      </c>
      <c r="B470" s="14">
        <f>52.452 * CHOOSE(CONTROL!$C$9, $D$9, 100%, $F$9) + CHOOSE(CONTROL!$C$27, 0.0021, 0)</f>
        <v>52.454099999999997</v>
      </c>
      <c r="C470" s="14">
        <f>52.0197 * CHOOSE(CONTROL!$C$9, $D$9, 100%, $F$9) + CHOOSE(CONTROL!$C$27, 0.0021, 0)</f>
        <v>52.021799999999999</v>
      </c>
      <c r="D470" s="14">
        <f>52.0197 * CHOOSE(CONTROL!$C$9, $D$9, 100%, $F$9) + CHOOSE(CONTROL!$C$27, 0.0021, 0)</f>
        <v>52.021799999999999</v>
      </c>
      <c r="E470" s="14">
        <f>51.8831 * CHOOSE(CONTROL!$C$9, $D$9, 100%, $F$9) + CHOOSE(CONTROL!$C$27, 0.0021, 0)</f>
        <v>51.885199999999998</v>
      </c>
      <c r="F470" s="14">
        <f>51.8831 * CHOOSE(CONTROL!$C$9, $D$9, 100%, $F$9) + CHOOSE(CONTROL!$C$27, 0.0021, 0)</f>
        <v>51.885199999999998</v>
      </c>
      <c r="G470" s="14">
        <f>52.1545 * CHOOSE(CONTROL!$C$9, $D$9, 100%, $F$9) + CHOOSE(CONTROL!$C$27, 0.0021, 0)</f>
        <v>52.156599999999997</v>
      </c>
      <c r="H470" s="14">
        <f>52.0197 * CHOOSE(CONTROL!$C$9, $D$9, 100%, $F$9) + CHOOSE(CONTROL!$C$27, 0.0021, 0)</f>
        <v>52.021799999999999</v>
      </c>
      <c r="I470" s="14">
        <f>52.0197 * CHOOSE(CONTROL!$C$9, $D$9, 100%, $F$9) + CHOOSE(CONTROL!$C$27, 0.0021, 0)</f>
        <v>52.021799999999999</v>
      </c>
      <c r="J470" s="14">
        <f>52.0197 * CHOOSE(CONTROL!$C$9, $D$9, 100%, $F$9) + CHOOSE(CONTROL!$C$27, 0.0021, 0)</f>
        <v>52.021799999999999</v>
      </c>
      <c r="K470" s="14">
        <f>52.0197 * CHOOSE(CONTROL!$C$9, $D$9, 100%, $F$9) + CHOOSE(CONTROL!$C$27, 0.0021, 0)</f>
        <v>52.021799999999999</v>
      </c>
      <c r="L470" s="14"/>
    </row>
    <row r="471" spans="1:12" ht="15.75" x14ac:dyDescent="0.25">
      <c r="A471" s="33">
        <v>55273</v>
      </c>
      <c r="B471" s="14">
        <f>51.7236 * CHOOSE(CONTROL!$C$9, $D$9, 100%, $F$9) + CHOOSE(CONTROL!$C$27, 0.0021, 0)</f>
        <v>51.725699999999996</v>
      </c>
      <c r="C471" s="14">
        <f>51.2913 * CHOOSE(CONTROL!$C$9, $D$9, 100%, $F$9) + CHOOSE(CONTROL!$C$27, 0.0021, 0)</f>
        <v>51.293399999999998</v>
      </c>
      <c r="D471" s="14">
        <f>51.2913 * CHOOSE(CONTROL!$C$9, $D$9, 100%, $F$9) + CHOOSE(CONTROL!$C$27, 0.0021, 0)</f>
        <v>51.293399999999998</v>
      </c>
      <c r="E471" s="14">
        <f>51.1547 * CHOOSE(CONTROL!$C$9, $D$9, 100%, $F$9) + CHOOSE(CONTROL!$C$27, 0.0021, 0)</f>
        <v>51.156799999999997</v>
      </c>
      <c r="F471" s="14">
        <f>51.1547 * CHOOSE(CONTROL!$C$9, $D$9, 100%, $F$9) + CHOOSE(CONTROL!$C$27, 0.0021, 0)</f>
        <v>51.156799999999997</v>
      </c>
      <c r="G471" s="14">
        <f>51.426 * CHOOSE(CONTROL!$C$9, $D$9, 100%, $F$9) + CHOOSE(CONTROL!$C$27, 0.0021, 0)</f>
        <v>51.428100000000001</v>
      </c>
      <c r="H471" s="14">
        <f>51.2913 * CHOOSE(CONTROL!$C$9, $D$9, 100%, $F$9) + CHOOSE(CONTROL!$C$27, 0.0021, 0)</f>
        <v>51.293399999999998</v>
      </c>
      <c r="I471" s="14">
        <f>51.2913 * CHOOSE(CONTROL!$C$9, $D$9, 100%, $F$9) + CHOOSE(CONTROL!$C$27, 0.0021, 0)</f>
        <v>51.293399999999998</v>
      </c>
      <c r="J471" s="14">
        <f>51.2913 * CHOOSE(CONTROL!$C$9, $D$9, 100%, $F$9) + CHOOSE(CONTROL!$C$27, 0.0021, 0)</f>
        <v>51.293399999999998</v>
      </c>
      <c r="K471" s="14">
        <f>51.2913 * CHOOSE(CONTROL!$C$9, $D$9, 100%, $F$9) + CHOOSE(CONTROL!$C$27, 0.0021, 0)</f>
        <v>51.293399999999998</v>
      </c>
      <c r="L471" s="14"/>
    </row>
    <row r="472" spans="1:12" ht="15.75" x14ac:dyDescent="0.25">
      <c r="A472" s="33">
        <v>55304</v>
      </c>
      <c r="B472" s="14">
        <f>52.7617 * CHOOSE(CONTROL!$C$9, $D$9, 100%, $F$9) + CHOOSE(CONTROL!$C$27, 0.0021, 0)</f>
        <v>52.763799999999996</v>
      </c>
      <c r="C472" s="14">
        <f>52.3294 * CHOOSE(CONTROL!$C$9, $D$9, 100%, $F$9) + CHOOSE(CONTROL!$C$27, 0.0021, 0)</f>
        <v>52.331499999999998</v>
      </c>
      <c r="D472" s="14">
        <f>52.3294 * CHOOSE(CONTROL!$C$9, $D$9, 100%, $F$9) + CHOOSE(CONTROL!$C$27, 0.0021, 0)</f>
        <v>52.331499999999998</v>
      </c>
      <c r="E472" s="14">
        <f>52.1927 * CHOOSE(CONTROL!$C$9, $D$9, 100%, $F$9) + CHOOSE(CONTROL!$C$27, 0.0021, 0)</f>
        <v>52.194800000000001</v>
      </c>
      <c r="F472" s="14">
        <f>52.1927 * CHOOSE(CONTROL!$C$9, $D$9, 100%, $F$9) + CHOOSE(CONTROL!$C$27, 0.0021, 0)</f>
        <v>52.194800000000001</v>
      </c>
      <c r="G472" s="14">
        <f>52.4641 * CHOOSE(CONTROL!$C$9, $D$9, 100%, $F$9) + CHOOSE(CONTROL!$C$27, 0.0021, 0)</f>
        <v>52.466200000000001</v>
      </c>
      <c r="H472" s="14">
        <f>52.3294 * CHOOSE(CONTROL!$C$9, $D$9, 100%, $F$9) + CHOOSE(CONTROL!$C$27, 0.0021, 0)</f>
        <v>52.331499999999998</v>
      </c>
      <c r="I472" s="14">
        <f>52.3294 * CHOOSE(CONTROL!$C$9, $D$9, 100%, $F$9) + CHOOSE(CONTROL!$C$27, 0.0021, 0)</f>
        <v>52.331499999999998</v>
      </c>
      <c r="J472" s="14">
        <f>52.3294 * CHOOSE(CONTROL!$C$9, $D$9, 100%, $F$9) + CHOOSE(CONTROL!$C$27, 0.0021, 0)</f>
        <v>52.331499999999998</v>
      </c>
      <c r="K472" s="14">
        <f>52.3294 * CHOOSE(CONTROL!$C$9, $D$9, 100%, $F$9) + CHOOSE(CONTROL!$C$27, 0.0021, 0)</f>
        <v>52.331499999999998</v>
      </c>
      <c r="L472" s="14"/>
    </row>
    <row r="473" spans="1:12" ht="15.75" x14ac:dyDescent="0.25">
      <c r="A473" s="33">
        <v>55334</v>
      </c>
      <c r="B473" s="14">
        <f>53.3834 * CHOOSE(CONTROL!$C$9, $D$9, 100%, $F$9) + CHOOSE(CONTROL!$C$27, 0.0021, 0)</f>
        <v>53.3855</v>
      </c>
      <c r="C473" s="14">
        <f>52.9512 * CHOOSE(CONTROL!$C$9, $D$9, 100%, $F$9) + CHOOSE(CONTROL!$C$27, 0.0021, 0)</f>
        <v>52.953299999999999</v>
      </c>
      <c r="D473" s="14">
        <f>52.9512 * CHOOSE(CONTROL!$C$9, $D$9, 100%, $F$9) + CHOOSE(CONTROL!$C$27, 0.0021, 0)</f>
        <v>52.953299999999999</v>
      </c>
      <c r="E473" s="14">
        <f>52.8145 * CHOOSE(CONTROL!$C$9, $D$9, 100%, $F$9) + CHOOSE(CONTROL!$C$27, 0.0021, 0)</f>
        <v>52.816600000000001</v>
      </c>
      <c r="F473" s="14">
        <f>52.8145 * CHOOSE(CONTROL!$C$9, $D$9, 100%, $F$9) + CHOOSE(CONTROL!$C$27, 0.0021, 0)</f>
        <v>52.816600000000001</v>
      </c>
      <c r="G473" s="14">
        <f>53.0859 * CHOOSE(CONTROL!$C$9, $D$9, 100%, $F$9) + CHOOSE(CONTROL!$C$27, 0.0021, 0)</f>
        <v>53.088000000000001</v>
      </c>
      <c r="H473" s="14">
        <f>52.9512 * CHOOSE(CONTROL!$C$9, $D$9, 100%, $F$9) + CHOOSE(CONTROL!$C$27, 0.0021, 0)</f>
        <v>52.953299999999999</v>
      </c>
      <c r="I473" s="14">
        <f>52.9512 * CHOOSE(CONTROL!$C$9, $D$9, 100%, $F$9) + CHOOSE(CONTROL!$C$27, 0.0021, 0)</f>
        <v>52.953299999999999</v>
      </c>
      <c r="J473" s="14">
        <f>52.9512 * CHOOSE(CONTROL!$C$9, $D$9, 100%, $F$9) + CHOOSE(CONTROL!$C$27, 0.0021, 0)</f>
        <v>52.953299999999999</v>
      </c>
      <c r="K473" s="14">
        <f>52.9512 * CHOOSE(CONTROL!$C$9, $D$9, 100%, $F$9) + CHOOSE(CONTROL!$C$27, 0.0021, 0)</f>
        <v>52.953299999999999</v>
      </c>
      <c r="L473" s="14"/>
    </row>
    <row r="474" spans="1:12" ht="15.75" x14ac:dyDescent="0.25">
      <c r="A474" s="33">
        <v>55365</v>
      </c>
      <c r="B474" s="14">
        <f>54.4091 * CHOOSE(CONTROL!$C$9, $D$9, 100%, $F$9) + CHOOSE(CONTROL!$C$27, 0.0021, 0)</f>
        <v>54.411200000000001</v>
      </c>
      <c r="C474" s="14">
        <f>53.9769 * CHOOSE(CONTROL!$C$9, $D$9, 100%, $F$9) + CHOOSE(CONTROL!$C$27, 0.0021, 0)</f>
        <v>53.978999999999999</v>
      </c>
      <c r="D474" s="14">
        <f>53.9769 * CHOOSE(CONTROL!$C$9, $D$9, 100%, $F$9) + CHOOSE(CONTROL!$C$27, 0.0021, 0)</f>
        <v>53.978999999999999</v>
      </c>
      <c r="E474" s="14">
        <f>53.8402 * CHOOSE(CONTROL!$C$9, $D$9, 100%, $F$9) + CHOOSE(CONTROL!$C$27, 0.0021, 0)</f>
        <v>53.842300000000002</v>
      </c>
      <c r="F474" s="14">
        <f>53.8402 * CHOOSE(CONTROL!$C$9, $D$9, 100%, $F$9) + CHOOSE(CONTROL!$C$27, 0.0021, 0)</f>
        <v>53.842300000000002</v>
      </c>
      <c r="G474" s="14">
        <f>54.1116 * CHOOSE(CONTROL!$C$9, $D$9, 100%, $F$9) + CHOOSE(CONTROL!$C$27, 0.0021, 0)</f>
        <v>54.113700000000001</v>
      </c>
      <c r="H474" s="14">
        <f>53.9769 * CHOOSE(CONTROL!$C$9, $D$9, 100%, $F$9) + CHOOSE(CONTROL!$C$27, 0.0021, 0)</f>
        <v>53.978999999999999</v>
      </c>
      <c r="I474" s="14">
        <f>53.9769 * CHOOSE(CONTROL!$C$9, $D$9, 100%, $F$9) + CHOOSE(CONTROL!$C$27, 0.0021, 0)</f>
        <v>53.978999999999999</v>
      </c>
      <c r="J474" s="14">
        <f>53.9769 * CHOOSE(CONTROL!$C$9, $D$9, 100%, $F$9) + CHOOSE(CONTROL!$C$27, 0.0021, 0)</f>
        <v>53.978999999999999</v>
      </c>
      <c r="K474" s="14">
        <f>53.9769 * CHOOSE(CONTROL!$C$9, $D$9, 100%, $F$9) + CHOOSE(CONTROL!$C$27, 0.0021, 0)</f>
        <v>53.978999999999999</v>
      </c>
      <c r="L474" s="14"/>
    </row>
    <row r="475" spans="1:12" ht="15.75" x14ac:dyDescent="0.25">
      <c r="A475" s="33">
        <v>55396</v>
      </c>
      <c r="B475" s="14">
        <f>54.7222 * CHOOSE(CONTROL!$C$9, $D$9, 100%, $F$9) + CHOOSE(CONTROL!$C$27, 0.0021, 0)</f>
        <v>54.724299999999999</v>
      </c>
      <c r="C475" s="14">
        <f>54.2899 * CHOOSE(CONTROL!$C$9, $D$9, 100%, $F$9) + CHOOSE(CONTROL!$C$27, 0.0021, 0)</f>
        <v>54.292000000000002</v>
      </c>
      <c r="D475" s="14">
        <f>54.2899 * CHOOSE(CONTROL!$C$9, $D$9, 100%, $F$9) + CHOOSE(CONTROL!$C$27, 0.0021, 0)</f>
        <v>54.292000000000002</v>
      </c>
      <c r="E475" s="14">
        <f>54.1533 * CHOOSE(CONTROL!$C$9, $D$9, 100%, $F$9) + CHOOSE(CONTROL!$C$27, 0.0021, 0)</f>
        <v>54.1554</v>
      </c>
      <c r="F475" s="14">
        <f>54.1533 * CHOOSE(CONTROL!$C$9, $D$9, 100%, $F$9) + CHOOSE(CONTROL!$C$27, 0.0021, 0)</f>
        <v>54.1554</v>
      </c>
      <c r="G475" s="14">
        <f>54.4246 * CHOOSE(CONTROL!$C$9, $D$9, 100%, $F$9) + CHOOSE(CONTROL!$C$27, 0.0021, 0)</f>
        <v>54.426699999999997</v>
      </c>
      <c r="H475" s="14">
        <f>54.2899 * CHOOSE(CONTROL!$C$9, $D$9, 100%, $F$9) + CHOOSE(CONTROL!$C$27, 0.0021, 0)</f>
        <v>54.292000000000002</v>
      </c>
      <c r="I475" s="14">
        <f>54.2899 * CHOOSE(CONTROL!$C$9, $D$9, 100%, $F$9) + CHOOSE(CONTROL!$C$27, 0.0021, 0)</f>
        <v>54.292000000000002</v>
      </c>
      <c r="J475" s="14">
        <f>54.2899 * CHOOSE(CONTROL!$C$9, $D$9, 100%, $F$9) + CHOOSE(CONTROL!$C$27, 0.0021, 0)</f>
        <v>54.292000000000002</v>
      </c>
      <c r="K475" s="14">
        <f>54.2899 * CHOOSE(CONTROL!$C$9, $D$9, 100%, $F$9) + CHOOSE(CONTROL!$C$27, 0.0021, 0)</f>
        <v>54.292000000000002</v>
      </c>
      <c r="L475" s="14"/>
    </row>
    <row r="476" spans="1:12" ht="15.75" x14ac:dyDescent="0.25">
      <c r="A476" s="33">
        <v>55426</v>
      </c>
      <c r="B476" s="14">
        <f>55.7883 * CHOOSE(CONTROL!$C$9, $D$9, 100%, $F$9) + CHOOSE(CONTROL!$C$27, 0.0021, 0)</f>
        <v>55.790399999999998</v>
      </c>
      <c r="C476" s="14">
        <f>55.3561 * CHOOSE(CONTROL!$C$9, $D$9, 100%, $F$9) + CHOOSE(CONTROL!$C$27, 0.0021, 0)</f>
        <v>55.358199999999997</v>
      </c>
      <c r="D476" s="14">
        <f>55.3561 * CHOOSE(CONTROL!$C$9, $D$9, 100%, $F$9) + CHOOSE(CONTROL!$C$27, 0.0021, 0)</f>
        <v>55.358199999999997</v>
      </c>
      <c r="E476" s="14">
        <f>55.2194 * CHOOSE(CONTROL!$C$9, $D$9, 100%, $F$9) + CHOOSE(CONTROL!$C$27, 0.0021, 0)</f>
        <v>55.221499999999999</v>
      </c>
      <c r="F476" s="14">
        <f>55.2194 * CHOOSE(CONTROL!$C$9, $D$9, 100%, $F$9) + CHOOSE(CONTROL!$C$27, 0.0021, 0)</f>
        <v>55.221499999999999</v>
      </c>
      <c r="G476" s="14">
        <f>55.4908 * CHOOSE(CONTROL!$C$9, $D$9, 100%, $F$9) + CHOOSE(CONTROL!$C$27, 0.0021, 0)</f>
        <v>55.492899999999999</v>
      </c>
      <c r="H476" s="14">
        <f>55.3561 * CHOOSE(CONTROL!$C$9, $D$9, 100%, $F$9) + CHOOSE(CONTROL!$C$27, 0.0021, 0)</f>
        <v>55.358199999999997</v>
      </c>
      <c r="I476" s="14">
        <f>55.3561 * CHOOSE(CONTROL!$C$9, $D$9, 100%, $F$9) + CHOOSE(CONTROL!$C$27, 0.0021, 0)</f>
        <v>55.358199999999997</v>
      </c>
      <c r="J476" s="14">
        <f>55.3561 * CHOOSE(CONTROL!$C$9, $D$9, 100%, $F$9) + CHOOSE(CONTROL!$C$27, 0.0021, 0)</f>
        <v>55.358199999999997</v>
      </c>
      <c r="K476" s="14">
        <f>55.3561 * CHOOSE(CONTROL!$C$9, $D$9, 100%, $F$9) + CHOOSE(CONTROL!$C$27, 0.0021, 0)</f>
        <v>55.358199999999997</v>
      </c>
      <c r="L476" s="14"/>
    </row>
    <row r="477" spans="1:12" ht="15.75" x14ac:dyDescent="0.25">
      <c r="A477" s="33">
        <v>55457</v>
      </c>
      <c r="B477" s="14">
        <f>57.1379 * CHOOSE(CONTROL!$C$9, $D$9, 100%, $F$9) + CHOOSE(CONTROL!$C$27, 0.0021, 0)</f>
        <v>57.14</v>
      </c>
      <c r="C477" s="14">
        <f>56.7057 * CHOOSE(CONTROL!$C$9, $D$9, 100%, $F$9) + CHOOSE(CONTROL!$C$27, 0.0021, 0)</f>
        <v>56.707799999999999</v>
      </c>
      <c r="D477" s="14">
        <f>56.7057 * CHOOSE(CONTROL!$C$9, $D$9, 100%, $F$9) + CHOOSE(CONTROL!$C$27, 0.0021, 0)</f>
        <v>56.707799999999999</v>
      </c>
      <c r="E477" s="14">
        <f>56.569 * CHOOSE(CONTROL!$C$9, $D$9, 100%, $F$9) + CHOOSE(CONTROL!$C$27, 0.0021, 0)</f>
        <v>56.571100000000001</v>
      </c>
      <c r="F477" s="14">
        <f>56.569 * CHOOSE(CONTROL!$C$9, $D$9, 100%, $F$9) + CHOOSE(CONTROL!$C$27, 0.0021, 0)</f>
        <v>56.571100000000001</v>
      </c>
      <c r="G477" s="14">
        <f>56.8404 * CHOOSE(CONTROL!$C$9, $D$9, 100%, $F$9) + CHOOSE(CONTROL!$C$27, 0.0021, 0)</f>
        <v>56.842500000000001</v>
      </c>
      <c r="H477" s="14">
        <f>56.7057 * CHOOSE(CONTROL!$C$9, $D$9, 100%, $F$9) + CHOOSE(CONTROL!$C$27, 0.0021, 0)</f>
        <v>56.707799999999999</v>
      </c>
      <c r="I477" s="14">
        <f>56.7057 * CHOOSE(CONTROL!$C$9, $D$9, 100%, $F$9) + CHOOSE(CONTROL!$C$27, 0.0021, 0)</f>
        <v>56.707799999999999</v>
      </c>
      <c r="J477" s="14">
        <f>56.7057 * CHOOSE(CONTROL!$C$9, $D$9, 100%, $F$9) + CHOOSE(CONTROL!$C$27, 0.0021, 0)</f>
        <v>56.707799999999999</v>
      </c>
      <c r="K477" s="14">
        <f>56.7057 * CHOOSE(CONTROL!$C$9, $D$9, 100%, $F$9) + CHOOSE(CONTROL!$C$27, 0.0021, 0)</f>
        <v>56.707799999999999</v>
      </c>
      <c r="L477" s="14"/>
    </row>
    <row r="478" spans="1:12" ht="15.75" x14ac:dyDescent="0.25">
      <c r="A478" s="33">
        <v>55487</v>
      </c>
      <c r="B478" s="14">
        <f>57.2646 * CHOOSE(CONTROL!$C$9, $D$9, 100%, $F$9) + CHOOSE(CONTROL!$C$27, 0.0021, 0)</f>
        <v>57.2667</v>
      </c>
      <c r="C478" s="14">
        <f>56.8324 * CHOOSE(CONTROL!$C$9, $D$9, 100%, $F$9) + CHOOSE(CONTROL!$C$27, 0.0021, 0)</f>
        <v>56.834499999999998</v>
      </c>
      <c r="D478" s="14">
        <f>56.8324 * CHOOSE(CONTROL!$C$9, $D$9, 100%, $F$9) + CHOOSE(CONTROL!$C$27, 0.0021, 0)</f>
        <v>56.834499999999998</v>
      </c>
      <c r="E478" s="14">
        <f>56.6957 * CHOOSE(CONTROL!$C$9, $D$9, 100%, $F$9) + CHOOSE(CONTROL!$C$27, 0.0021, 0)</f>
        <v>56.697800000000001</v>
      </c>
      <c r="F478" s="14">
        <f>56.6957 * CHOOSE(CONTROL!$C$9, $D$9, 100%, $F$9) + CHOOSE(CONTROL!$C$27, 0.0021, 0)</f>
        <v>56.697800000000001</v>
      </c>
      <c r="G478" s="14">
        <f>56.9671 * CHOOSE(CONTROL!$C$9, $D$9, 100%, $F$9) + CHOOSE(CONTROL!$C$27, 0.0021, 0)</f>
        <v>56.969200000000001</v>
      </c>
      <c r="H478" s="14">
        <f>56.8324 * CHOOSE(CONTROL!$C$9, $D$9, 100%, $F$9) + CHOOSE(CONTROL!$C$27, 0.0021, 0)</f>
        <v>56.834499999999998</v>
      </c>
      <c r="I478" s="14">
        <f>56.8324 * CHOOSE(CONTROL!$C$9, $D$9, 100%, $F$9) + CHOOSE(CONTROL!$C$27, 0.0021, 0)</f>
        <v>56.834499999999998</v>
      </c>
      <c r="J478" s="14">
        <f>56.8324 * CHOOSE(CONTROL!$C$9, $D$9, 100%, $F$9) + CHOOSE(CONTROL!$C$27, 0.0021, 0)</f>
        <v>56.834499999999998</v>
      </c>
      <c r="K478" s="14">
        <f>56.8324 * CHOOSE(CONTROL!$C$9, $D$9, 100%, $F$9) + CHOOSE(CONTROL!$C$27, 0.0021, 0)</f>
        <v>56.834499999999998</v>
      </c>
      <c r="L478" s="14"/>
    </row>
    <row r="479" spans="1:12" ht="15.75" x14ac:dyDescent="0.25">
      <c r="A479" s="33">
        <v>55518</v>
      </c>
      <c r="B479" s="14">
        <f>56.1867 * CHOOSE(CONTROL!$C$9, $D$9, 100%, $F$9) + CHOOSE(CONTROL!$C$27, 0.0021, 0)</f>
        <v>56.188800000000001</v>
      </c>
      <c r="C479" s="14">
        <f>55.7545 * CHOOSE(CONTROL!$C$9, $D$9, 100%, $F$9) + CHOOSE(CONTROL!$C$27, 0.0021, 0)</f>
        <v>55.756599999999999</v>
      </c>
      <c r="D479" s="14">
        <f>55.7545 * CHOOSE(CONTROL!$C$9, $D$9, 100%, $F$9) + CHOOSE(CONTROL!$C$27, 0.0021, 0)</f>
        <v>55.756599999999999</v>
      </c>
      <c r="E479" s="14">
        <f>55.6178 * CHOOSE(CONTROL!$C$9, $D$9, 100%, $F$9) + CHOOSE(CONTROL!$C$27, 0.0021, 0)</f>
        <v>55.619900000000001</v>
      </c>
      <c r="F479" s="14">
        <f>55.6178 * CHOOSE(CONTROL!$C$9, $D$9, 100%, $F$9) + CHOOSE(CONTROL!$C$27, 0.0021, 0)</f>
        <v>55.619900000000001</v>
      </c>
      <c r="G479" s="14">
        <f>55.8892 * CHOOSE(CONTROL!$C$9, $D$9, 100%, $F$9) + CHOOSE(CONTROL!$C$27, 0.0021, 0)</f>
        <v>55.891300000000001</v>
      </c>
      <c r="H479" s="14">
        <f>55.7545 * CHOOSE(CONTROL!$C$9, $D$9, 100%, $F$9) + CHOOSE(CONTROL!$C$27, 0.0021, 0)</f>
        <v>55.756599999999999</v>
      </c>
      <c r="I479" s="14">
        <f>55.7545 * CHOOSE(CONTROL!$C$9, $D$9, 100%, $F$9) + CHOOSE(CONTROL!$C$27, 0.0021, 0)</f>
        <v>55.756599999999999</v>
      </c>
      <c r="J479" s="14">
        <f>55.7545 * CHOOSE(CONTROL!$C$9, $D$9, 100%, $F$9) + CHOOSE(CONTROL!$C$27, 0.0021, 0)</f>
        <v>55.756599999999999</v>
      </c>
      <c r="K479" s="14">
        <f>55.7545 * CHOOSE(CONTROL!$C$9, $D$9, 100%, $F$9) + CHOOSE(CONTROL!$C$27, 0.0021, 0)</f>
        <v>55.756599999999999</v>
      </c>
      <c r="L479" s="14"/>
    </row>
    <row r="480" spans="1:12" ht="15.75" x14ac:dyDescent="0.25">
      <c r="A480" s="33">
        <v>55549</v>
      </c>
      <c r="B480" s="14">
        <f>55.5055 * CHOOSE(CONTROL!$C$9, $D$9, 100%, $F$9) + CHOOSE(CONTROL!$C$27, 0.0021, 0)</f>
        <v>55.507599999999996</v>
      </c>
      <c r="C480" s="14">
        <f>55.0732 * CHOOSE(CONTROL!$C$9, $D$9, 100%, $F$9) + CHOOSE(CONTROL!$C$27, 0.0021, 0)</f>
        <v>55.075299999999999</v>
      </c>
      <c r="D480" s="14">
        <f>55.0732 * CHOOSE(CONTROL!$C$9, $D$9, 100%, $F$9) + CHOOSE(CONTROL!$C$27, 0.0021, 0)</f>
        <v>55.075299999999999</v>
      </c>
      <c r="E480" s="14">
        <f>54.9366 * CHOOSE(CONTROL!$C$9, $D$9, 100%, $F$9) + CHOOSE(CONTROL!$C$27, 0.0021, 0)</f>
        <v>54.938699999999997</v>
      </c>
      <c r="F480" s="14">
        <f>54.9366 * CHOOSE(CONTROL!$C$9, $D$9, 100%, $F$9) + CHOOSE(CONTROL!$C$27, 0.0021, 0)</f>
        <v>54.938699999999997</v>
      </c>
      <c r="G480" s="14">
        <f>55.2079 * CHOOSE(CONTROL!$C$9, $D$9, 100%, $F$9) + CHOOSE(CONTROL!$C$27, 0.0021, 0)</f>
        <v>55.21</v>
      </c>
      <c r="H480" s="14">
        <f>55.0732 * CHOOSE(CONTROL!$C$9, $D$9, 100%, $F$9) + CHOOSE(CONTROL!$C$27, 0.0021, 0)</f>
        <v>55.075299999999999</v>
      </c>
      <c r="I480" s="14">
        <f>55.0732 * CHOOSE(CONTROL!$C$9, $D$9, 100%, $F$9) + CHOOSE(CONTROL!$C$27, 0.0021, 0)</f>
        <v>55.075299999999999</v>
      </c>
      <c r="J480" s="14">
        <f>55.0732 * CHOOSE(CONTROL!$C$9, $D$9, 100%, $F$9) + CHOOSE(CONTROL!$C$27, 0.0021, 0)</f>
        <v>55.075299999999999</v>
      </c>
      <c r="K480" s="14">
        <f>55.0732 * CHOOSE(CONTROL!$C$9, $D$9, 100%, $F$9) + CHOOSE(CONTROL!$C$27, 0.0021, 0)</f>
        <v>55.075299999999999</v>
      </c>
      <c r="L480" s="14"/>
    </row>
    <row r="481" spans="1:12" ht="15.75" x14ac:dyDescent="0.25">
      <c r="A481" s="33">
        <v>55577</v>
      </c>
      <c r="B481" s="14">
        <f>54.0003 * CHOOSE(CONTROL!$C$9, $D$9, 100%, $F$9) + CHOOSE(CONTROL!$C$27, 0.0021, 0)</f>
        <v>54.002400000000002</v>
      </c>
      <c r="C481" s="14">
        <f>53.5681 * CHOOSE(CONTROL!$C$9, $D$9, 100%, $F$9) + CHOOSE(CONTROL!$C$27, 0.0021, 0)</f>
        <v>53.5702</v>
      </c>
      <c r="D481" s="14">
        <f>53.5681 * CHOOSE(CONTROL!$C$9, $D$9, 100%, $F$9) + CHOOSE(CONTROL!$C$27, 0.0021, 0)</f>
        <v>53.5702</v>
      </c>
      <c r="E481" s="14">
        <f>53.4314 * CHOOSE(CONTROL!$C$9, $D$9, 100%, $F$9) + CHOOSE(CONTROL!$C$27, 0.0021, 0)</f>
        <v>53.433499999999995</v>
      </c>
      <c r="F481" s="14">
        <f>53.4314 * CHOOSE(CONTROL!$C$9, $D$9, 100%, $F$9) + CHOOSE(CONTROL!$C$27, 0.0021, 0)</f>
        <v>53.433499999999995</v>
      </c>
      <c r="G481" s="14">
        <f>53.7028 * CHOOSE(CONTROL!$C$9, $D$9, 100%, $F$9) + CHOOSE(CONTROL!$C$27, 0.0021, 0)</f>
        <v>53.704900000000002</v>
      </c>
      <c r="H481" s="14">
        <f>53.5681 * CHOOSE(CONTROL!$C$9, $D$9, 100%, $F$9) + CHOOSE(CONTROL!$C$27, 0.0021, 0)</f>
        <v>53.5702</v>
      </c>
      <c r="I481" s="14">
        <f>53.5681 * CHOOSE(CONTROL!$C$9, $D$9, 100%, $F$9) + CHOOSE(CONTROL!$C$27, 0.0021, 0)</f>
        <v>53.5702</v>
      </c>
      <c r="J481" s="14">
        <f>53.5681 * CHOOSE(CONTROL!$C$9, $D$9, 100%, $F$9) + CHOOSE(CONTROL!$C$27, 0.0021, 0)</f>
        <v>53.5702</v>
      </c>
      <c r="K481" s="14">
        <f>53.5681 * CHOOSE(CONTROL!$C$9, $D$9, 100%, $F$9) + CHOOSE(CONTROL!$C$27, 0.0021, 0)</f>
        <v>53.5702</v>
      </c>
      <c r="L481" s="14"/>
    </row>
    <row r="482" spans="1:12" ht="15.75" x14ac:dyDescent="0.25">
      <c r="A482" s="33">
        <v>55609</v>
      </c>
      <c r="B482" s="14">
        <f>53.379 * CHOOSE(CONTROL!$C$9, $D$9, 100%, $F$9) + CHOOSE(CONTROL!$C$27, 0.0021, 0)</f>
        <v>53.381099999999996</v>
      </c>
      <c r="C482" s="14">
        <f>52.9467 * CHOOSE(CONTROL!$C$9, $D$9, 100%, $F$9) + CHOOSE(CONTROL!$C$27, 0.0021, 0)</f>
        <v>52.948799999999999</v>
      </c>
      <c r="D482" s="14">
        <f>52.9467 * CHOOSE(CONTROL!$C$9, $D$9, 100%, $F$9) + CHOOSE(CONTROL!$C$27, 0.0021, 0)</f>
        <v>52.948799999999999</v>
      </c>
      <c r="E482" s="14">
        <f>52.8101 * CHOOSE(CONTROL!$C$9, $D$9, 100%, $F$9) + CHOOSE(CONTROL!$C$27, 0.0021, 0)</f>
        <v>52.812199999999997</v>
      </c>
      <c r="F482" s="14">
        <f>52.8101 * CHOOSE(CONTROL!$C$9, $D$9, 100%, $F$9) + CHOOSE(CONTROL!$C$27, 0.0021, 0)</f>
        <v>52.812199999999997</v>
      </c>
      <c r="G482" s="14">
        <f>53.0814 * CHOOSE(CONTROL!$C$9, $D$9, 100%, $F$9) + CHOOSE(CONTROL!$C$27, 0.0021, 0)</f>
        <v>53.083500000000001</v>
      </c>
      <c r="H482" s="14">
        <f>52.9467 * CHOOSE(CONTROL!$C$9, $D$9, 100%, $F$9) + CHOOSE(CONTROL!$C$27, 0.0021, 0)</f>
        <v>52.948799999999999</v>
      </c>
      <c r="I482" s="14">
        <f>52.9467 * CHOOSE(CONTROL!$C$9, $D$9, 100%, $F$9) + CHOOSE(CONTROL!$C$27, 0.0021, 0)</f>
        <v>52.948799999999999</v>
      </c>
      <c r="J482" s="14">
        <f>52.9467 * CHOOSE(CONTROL!$C$9, $D$9, 100%, $F$9) + CHOOSE(CONTROL!$C$27, 0.0021, 0)</f>
        <v>52.948799999999999</v>
      </c>
      <c r="K482" s="14">
        <f>52.9467 * CHOOSE(CONTROL!$C$9, $D$9, 100%, $F$9) + CHOOSE(CONTROL!$C$27, 0.0021, 0)</f>
        <v>52.948799999999999</v>
      </c>
      <c r="L482" s="14"/>
    </row>
    <row r="483" spans="1:12" ht="15.75" x14ac:dyDescent="0.25">
      <c r="A483" s="33">
        <v>55639</v>
      </c>
      <c r="B483" s="14">
        <f>52.6371 * CHOOSE(CONTROL!$C$9, $D$9, 100%, $F$9) + CHOOSE(CONTROL!$C$27, 0.0021, 0)</f>
        <v>52.639199999999995</v>
      </c>
      <c r="C483" s="14">
        <f>52.2049 * CHOOSE(CONTROL!$C$9, $D$9, 100%, $F$9) + CHOOSE(CONTROL!$C$27, 0.0021, 0)</f>
        <v>52.207000000000001</v>
      </c>
      <c r="D483" s="14">
        <f>52.2049 * CHOOSE(CONTROL!$C$9, $D$9, 100%, $F$9) + CHOOSE(CONTROL!$C$27, 0.0021, 0)</f>
        <v>52.207000000000001</v>
      </c>
      <c r="E483" s="14">
        <f>52.0682 * CHOOSE(CONTROL!$C$9, $D$9, 100%, $F$9) + CHOOSE(CONTROL!$C$27, 0.0021, 0)</f>
        <v>52.070299999999996</v>
      </c>
      <c r="F483" s="14">
        <f>52.0682 * CHOOSE(CONTROL!$C$9, $D$9, 100%, $F$9) + CHOOSE(CONTROL!$C$27, 0.0021, 0)</f>
        <v>52.070299999999996</v>
      </c>
      <c r="G483" s="14">
        <f>52.3396 * CHOOSE(CONTROL!$C$9, $D$9, 100%, $F$9) + CHOOSE(CONTROL!$C$27, 0.0021, 0)</f>
        <v>52.341699999999996</v>
      </c>
      <c r="H483" s="14">
        <f>52.2049 * CHOOSE(CONTROL!$C$9, $D$9, 100%, $F$9) + CHOOSE(CONTROL!$C$27, 0.0021, 0)</f>
        <v>52.207000000000001</v>
      </c>
      <c r="I483" s="14">
        <f>52.2049 * CHOOSE(CONTROL!$C$9, $D$9, 100%, $F$9) + CHOOSE(CONTROL!$C$27, 0.0021, 0)</f>
        <v>52.207000000000001</v>
      </c>
      <c r="J483" s="14">
        <f>52.2049 * CHOOSE(CONTROL!$C$9, $D$9, 100%, $F$9) + CHOOSE(CONTROL!$C$27, 0.0021, 0)</f>
        <v>52.207000000000001</v>
      </c>
      <c r="K483" s="14">
        <f>52.2049 * CHOOSE(CONTROL!$C$9, $D$9, 100%, $F$9) + CHOOSE(CONTROL!$C$27, 0.0021, 0)</f>
        <v>52.207000000000001</v>
      </c>
      <c r="L483" s="14"/>
    </row>
    <row r="484" spans="1:12" ht="15.75" x14ac:dyDescent="0.25">
      <c r="A484" s="33">
        <v>55670</v>
      </c>
      <c r="B484" s="14">
        <f>53.6944 * CHOOSE(CONTROL!$C$9, $D$9, 100%, $F$9) + CHOOSE(CONTROL!$C$27, 0.0021, 0)</f>
        <v>53.6965</v>
      </c>
      <c r="C484" s="14">
        <f>53.2621 * CHOOSE(CONTROL!$C$9, $D$9, 100%, $F$9) + CHOOSE(CONTROL!$C$27, 0.0021, 0)</f>
        <v>53.264199999999995</v>
      </c>
      <c r="D484" s="14">
        <f>53.2621 * CHOOSE(CONTROL!$C$9, $D$9, 100%, $F$9) + CHOOSE(CONTROL!$C$27, 0.0021, 0)</f>
        <v>53.264199999999995</v>
      </c>
      <c r="E484" s="14">
        <f>53.1255 * CHOOSE(CONTROL!$C$9, $D$9, 100%, $F$9) + CHOOSE(CONTROL!$C$27, 0.0021, 0)</f>
        <v>53.127600000000001</v>
      </c>
      <c r="F484" s="14">
        <f>53.1255 * CHOOSE(CONTROL!$C$9, $D$9, 100%, $F$9) + CHOOSE(CONTROL!$C$27, 0.0021, 0)</f>
        <v>53.127600000000001</v>
      </c>
      <c r="G484" s="14">
        <f>53.3968 * CHOOSE(CONTROL!$C$9, $D$9, 100%, $F$9) + CHOOSE(CONTROL!$C$27, 0.0021, 0)</f>
        <v>53.398899999999998</v>
      </c>
      <c r="H484" s="14">
        <f>53.2621 * CHOOSE(CONTROL!$C$9, $D$9, 100%, $F$9) + CHOOSE(CONTROL!$C$27, 0.0021, 0)</f>
        <v>53.264199999999995</v>
      </c>
      <c r="I484" s="14">
        <f>53.2621 * CHOOSE(CONTROL!$C$9, $D$9, 100%, $F$9) + CHOOSE(CONTROL!$C$27, 0.0021, 0)</f>
        <v>53.264199999999995</v>
      </c>
      <c r="J484" s="14">
        <f>53.2621 * CHOOSE(CONTROL!$C$9, $D$9, 100%, $F$9) + CHOOSE(CONTROL!$C$27, 0.0021, 0)</f>
        <v>53.264199999999995</v>
      </c>
      <c r="K484" s="14">
        <f>53.2621 * CHOOSE(CONTROL!$C$9, $D$9, 100%, $F$9) + CHOOSE(CONTROL!$C$27, 0.0021, 0)</f>
        <v>53.264199999999995</v>
      </c>
      <c r="L484" s="14"/>
    </row>
    <row r="485" spans="1:12" ht="15.75" x14ac:dyDescent="0.25">
      <c r="A485" s="33">
        <v>55700</v>
      </c>
      <c r="B485" s="14">
        <f>54.3276 * CHOOSE(CONTROL!$C$9, $D$9, 100%, $F$9) + CHOOSE(CONTROL!$C$27, 0.0021, 0)</f>
        <v>54.329699999999995</v>
      </c>
      <c r="C485" s="14">
        <f>53.8954 * CHOOSE(CONTROL!$C$9, $D$9, 100%, $F$9) + CHOOSE(CONTROL!$C$27, 0.0021, 0)</f>
        <v>53.897500000000001</v>
      </c>
      <c r="D485" s="14">
        <f>53.8954 * CHOOSE(CONTROL!$C$9, $D$9, 100%, $F$9) + CHOOSE(CONTROL!$C$27, 0.0021, 0)</f>
        <v>53.897500000000001</v>
      </c>
      <c r="E485" s="14">
        <f>53.7587 * CHOOSE(CONTROL!$C$9, $D$9, 100%, $F$9) + CHOOSE(CONTROL!$C$27, 0.0021, 0)</f>
        <v>53.760799999999996</v>
      </c>
      <c r="F485" s="14">
        <f>53.7587 * CHOOSE(CONTROL!$C$9, $D$9, 100%, $F$9) + CHOOSE(CONTROL!$C$27, 0.0021, 0)</f>
        <v>53.760799999999996</v>
      </c>
      <c r="G485" s="14">
        <f>54.0301 * CHOOSE(CONTROL!$C$9, $D$9, 100%, $F$9) + CHOOSE(CONTROL!$C$27, 0.0021, 0)</f>
        <v>54.032199999999996</v>
      </c>
      <c r="H485" s="14">
        <f>53.8954 * CHOOSE(CONTROL!$C$9, $D$9, 100%, $F$9) + CHOOSE(CONTROL!$C$27, 0.0021, 0)</f>
        <v>53.897500000000001</v>
      </c>
      <c r="I485" s="14">
        <f>53.8954 * CHOOSE(CONTROL!$C$9, $D$9, 100%, $F$9) + CHOOSE(CONTROL!$C$27, 0.0021, 0)</f>
        <v>53.897500000000001</v>
      </c>
      <c r="J485" s="14">
        <f>53.8954 * CHOOSE(CONTROL!$C$9, $D$9, 100%, $F$9) + CHOOSE(CONTROL!$C$27, 0.0021, 0)</f>
        <v>53.897500000000001</v>
      </c>
      <c r="K485" s="14">
        <f>53.8954 * CHOOSE(CONTROL!$C$9, $D$9, 100%, $F$9) + CHOOSE(CONTROL!$C$27, 0.0021, 0)</f>
        <v>53.897500000000001</v>
      </c>
      <c r="L485" s="14"/>
    </row>
    <row r="486" spans="1:12" ht="15.75" x14ac:dyDescent="0.25">
      <c r="A486" s="33">
        <v>55731</v>
      </c>
      <c r="B486" s="14">
        <f>55.3723 * CHOOSE(CONTROL!$C$9, $D$9, 100%, $F$9) + CHOOSE(CONTROL!$C$27, 0.0021, 0)</f>
        <v>55.374400000000001</v>
      </c>
      <c r="C486" s="14">
        <f>54.94 * CHOOSE(CONTROL!$C$9, $D$9, 100%, $F$9) + CHOOSE(CONTROL!$C$27, 0.0021, 0)</f>
        <v>54.942099999999996</v>
      </c>
      <c r="D486" s="14">
        <f>54.94 * CHOOSE(CONTROL!$C$9, $D$9, 100%, $F$9) + CHOOSE(CONTROL!$C$27, 0.0021, 0)</f>
        <v>54.942099999999996</v>
      </c>
      <c r="E486" s="14">
        <f>54.8034 * CHOOSE(CONTROL!$C$9, $D$9, 100%, $F$9) + CHOOSE(CONTROL!$C$27, 0.0021, 0)</f>
        <v>54.805500000000002</v>
      </c>
      <c r="F486" s="14">
        <f>54.8034 * CHOOSE(CONTROL!$C$9, $D$9, 100%, $F$9) + CHOOSE(CONTROL!$C$27, 0.0021, 0)</f>
        <v>54.805500000000002</v>
      </c>
      <c r="G486" s="14">
        <f>55.0747 * CHOOSE(CONTROL!$C$9, $D$9, 100%, $F$9) + CHOOSE(CONTROL!$C$27, 0.0021, 0)</f>
        <v>55.076799999999999</v>
      </c>
      <c r="H486" s="14">
        <f>54.94 * CHOOSE(CONTROL!$C$9, $D$9, 100%, $F$9) + CHOOSE(CONTROL!$C$27, 0.0021, 0)</f>
        <v>54.942099999999996</v>
      </c>
      <c r="I486" s="14">
        <f>54.94 * CHOOSE(CONTROL!$C$9, $D$9, 100%, $F$9) + CHOOSE(CONTROL!$C$27, 0.0021, 0)</f>
        <v>54.942099999999996</v>
      </c>
      <c r="J486" s="14">
        <f>54.94 * CHOOSE(CONTROL!$C$9, $D$9, 100%, $F$9) + CHOOSE(CONTROL!$C$27, 0.0021, 0)</f>
        <v>54.942099999999996</v>
      </c>
      <c r="K486" s="14">
        <f>54.94 * CHOOSE(CONTROL!$C$9, $D$9, 100%, $F$9) + CHOOSE(CONTROL!$C$27, 0.0021, 0)</f>
        <v>54.942099999999996</v>
      </c>
      <c r="L486" s="14"/>
    </row>
    <row r="487" spans="1:12" ht="15.75" x14ac:dyDescent="0.25">
      <c r="A487" s="33">
        <v>55762</v>
      </c>
      <c r="B487" s="14">
        <f>55.6911 * CHOOSE(CONTROL!$C$9, $D$9, 100%, $F$9) + CHOOSE(CONTROL!$C$27, 0.0021, 0)</f>
        <v>55.693199999999997</v>
      </c>
      <c r="C487" s="14">
        <f>55.2589 * CHOOSE(CONTROL!$C$9, $D$9, 100%, $F$9) + CHOOSE(CONTROL!$C$27, 0.0021, 0)</f>
        <v>55.260999999999996</v>
      </c>
      <c r="D487" s="14">
        <f>55.2589 * CHOOSE(CONTROL!$C$9, $D$9, 100%, $F$9) + CHOOSE(CONTROL!$C$27, 0.0021, 0)</f>
        <v>55.260999999999996</v>
      </c>
      <c r="E487" s="14">
        <f>55.1222 * CHOOSE(CONTROL!$C$9, $D$9, 100%, $F$9) + CHOOSE(CONTROL!$C$27, 0.0021, 0)</f>
        <v>55.124299999999998</v>
      </c>
      <c r="F487" s="14">
        <f>55.1222 * CHOOSE(CONTROL!$C$9, $D$9, 100%, $F$9) + CHOOSE(CONTROL!$C$27, 0.0021, 0)</f>
        <v>55.124299999999998</v>
      </c>
      <c r="G487" s="14">
        <f>55.3936 * CHOOSE(CONTROL!$C$9, $D$9, 100%, $F$9) + CHOOSE(CONTROL!$C$27, 0.0021, 0)</f>
        <v>55.395699999999998</v>
      </c>
      <c r="H487" s="14">
        <f>55.2589 * CHOOSE(CONTROL!$C$9, $D$9, 100%, $F$9) + CHOOSE(CONTROL!$C$27, 0.0021, 0)</f>
        <v>55.260999999999996</v>
      </c>
      <c r="I487" s="14">
        <f>55.2589 * CHOOSE(CONTROL!$C$9, $D$9, 100%, $F$9) + CHOOSE(CONTROL!$C$27, 0.0021, 0)</f>
        <v>55.260999999999996</v>
      </c>
      <c r="J487" s="14">
        <f>55.2589 * CHOOSE(CONTROL!$C$9, $D$9, 100%, $F$9) + CHOOSE(CONTROL!$C$27, 0.0021, 0)</f>
        <v>55.260999999999996</v>
      </c>
      <c r="K487" s="14">
        <f>55.2589 * CHOOSE(CONTROL!$C$9, $D$9, 100%, $F$9) + CHOOSE(CONTROL!$C$27, 0.0021, 0)</f>
        <v>55.260999999999996</v>
      </c>
      <c r="L487" s="14"/>
    </row>
    <row r="488" spans="1:12" ht="15.75" x14ac:dyDescent="0.25">
      <c r="A488" s="33">
        <v>55792</v>
      </c>
      <c r="B488" s="14">
        <f>56.777 * CHOOSE(CONTROL!$C$9, $D$9, 100%, $F$9) + CHOOSE(CONTROL!$C$27, 0.0021, 0)</f>
        <v>56.7791</v>
      </c>
      <c r="C488" s="14">
        <f>56.3447 * CHOOSE(CONTROL!$C$9, $D$9, 100%, $F$9) + CHOOSE(CONTROL!$C$27, 0.0021, 0)</f>
        <v>56.346800000000002</v>
      </c>
      <c r="D488" s="14">
        <f>56.3447 * CHOOSE(CONTROL!$C$9, $D$9, 100%, $F$9) + CHOOSE(CONTROL!$C$27, 0.0021, 0)</f>
        <v>56.346800000000002</v>
      </c>
      <c r="E488" s="14">
        <f>56.2081 * CHOOSE(CONTROL!$C$9, $D$9, 100%, $F$9) + CHOOSE(CONTROL!$C$27, 0.0021, 0)</f>
        <v>56.2102</v>
      </c>
      <c r="F488" s="14">
        <f>56.2081 * CHOOSE(CONTROL!$C$9, $D$9, 100%, $F$9) + CHOOSE(CONTROL!$C$27, 0.0021, 0)</f>
        <v>56.2102</v>
      </c>
      <c r="G488" s="14">
        <f>56.4795 * CHOOSE(CONTROL!$C$9, $D$9, 100%, $F$9) + CHOOSE(CONTROL!$C$27, 0.0021, 0)</f>
        <v>56.4816</v>
      </c>
      <c r="H488" s="14">
        <f>56.3447 * CHOOSE(CONTROL!$C$9, $D$9, 100%, $F$9) + CHOOSE(CONTROL!$C$27, 0.0021, 0)</f>
        <v>56.346800000000002</v>
      </c>
      <c r="I488" s="14">
        <f>56.3447 * CHOOSE(CONTROL!$C$9, $D$9, 100%, $F$9) + CHOOSE(CONTROL!$C$27, 0.0021, 0)</f>
        <v>56.346800000000002</v>
      </c>
      <c r="J488" s="14">
        <f>56.3447 * CHOOSE(CONTROL!$C$9, $D$9, 100%, $F$9) + CHOOSE(CONTROL!$C$27, 0.0021, 0)</f>
        <v>56.346800000000002</v>
      </c>
      <c r="K488" s="14">
        <f>56.3447 * CHOOSE(CONTROL!$C$9, $D$9, 100%, $F$9) + CHOOSE(CONTROL!$C$27, 0.0021, 0)</f>
        <v>56.346800000000002</v>
      </c>
      <c r="L488" s="14"/>
    </row>
    <row r="489" spans="1:12" ht="15.75" x14ac:dyDescent="0.25">
      <c r="A489" s="33">
        <v>55823</v>
      </c>
      <c r="B489" s="14">
        <f>58.1515 * CHOOSE(CONTROL!$C$9, $D$9, 100%, $F$9) + CHOOSE(CONTROL!$C$27, 0.0021, 0)</f>
        <v>58.153599999999997</v>
      </c>
      <c r="C489" s="14">
        <f>57.7193 * CHOOSE(CONTROL!$C$9, $D$9, 100%, $F$9) + CHOOSE(CONTROL!$C$27, 0.0021, 0)</f>
        <v>57.721399999999996</v>
      </c>
      <c r="D489" s="14">
        <f>57.7193 * CHOOSE(CONTROL!$C$9, $D$9, 100%, $F$9) + CHOOSE(CONTROL!$C$27, 0.0021, 0)</f>
        <v>57.721399999999996</v>
      </c>
      <c r="E489" s="14">
        <f>57.5826 * CHOOSE(CONTROL!$C$9, $D$9, 100%, $F$9) + CHOOSE(CONTROL!$C$27, 0.0021, 0)</f>
        <v>57.584699999999998</v>
      </c>
      <c r="F489" s="14">
        <f>57.5826 * CHOOSE(CONTROL!$C$9, $D$9, 100%, $F$9) + CHOOSE(CONTROL!$C$27, 0.0021, 0)</f>
        <v>57.584699999999998</v>
      </c>
      <c r="G489" s="14">
        <f>57.854 * CHOOSE(CONTROL!$C$9, $D$9, 100%, $F$9) + CHOOSE(CONTROL!$C$27, 0.0021, 0)</f>
        <v>57.856099999999998</v>
      </c>
      <c r="H489" s="14">
        <f>57.7193 * CHOOSE(CONTROL!$C$9, $D$9, 100%, $F$9) + CHOOSE(CONTROL!$C$27, 0.0021, 0)</f>
        <v>57.721399999999996</v>
      </c>
      <c r="I489" s="14">
        <f>57.7193 * CHOOSE(CONTROL!$C$9, $D$9, 100%, $F$9) + CHOOSE(CONTROL!$C$27, 0.0021, 0)</f>
        <v>57.721399999999996</v>
      </c>
      <c r="J489" s="14">
        <f>57.7193 * CHOOSE(CONTROL!$C$9, $D$9, 100%, $F$9) + CHOOSE(CONTROL!$C$27, 0.0021, 0)</f>
        <v>57.721399999999996</v>
      </c>
      <c r="K489" s="14">
        <f>57.7193 * CHOOSE(CONTROL!$C$9, $D$9, 100%, $F$9) + CHOOSE(CONTROL!$C$27, 0.0021, 0)</f>
        <v>57.721399999999996</v>
      </c>
      <c r="L489" s="14"/>
    </row>
    <row r="490" spans="1:12" ht="15.75" x14ac:dyDescent="0.25">
      <c r="A490" s="33">
        <v>55853</v>
      </c>
      <c r="B490" s="14">
        <f>58.2805 * CHOOSE(CONTROL!$C$9, $D$9, 100%, $F$9) + CHOOSE(CONTROL!$C$27, 0.0021, 0)</f>
        <v>58.282600000000002</v>
      </c>
      <c r="C490" s="14">
        <f>57.8483 * CHOOSE(CONTROL!$C$9, $D$9, 100%, $F$9) + CHOOSE(CONTROL!$C$27, 0.0021, 0)</f>
        <v>57.8504</v>
      </c>
      <c r="D490" s="14">
        <f>57.8483 * CHOOSE(CONTROL!$C$9, $D$9, 100%, $F$9) + CHOOSE(CONTROL!$C$27, 0.0021, 0)</f>
        <v>57.8504</v>
      </c>
      <c r="E490" s="14">
        <f>57.7116 * CHOOSE(CONTROL!$C$9, $D$9, 100%, $F$9) + CHOOSE(CONTROL!$C$27, 0.0021, 0)</f>
        <v>57.713699999999996</v>
      </c>
      <c r="F490" s="14">
        <f>57.7116 * CHOOSE(CONTROL!$C$9, $D$9, 100%, $F$9) + CHOOSE(CONTROL!$C$27, 0.0021, 0)</f>
        <v>57.713699999999996</v>
      </c>
      <c r="G490" s="14">
        <f>57.983 * CHOOSE(CONTROL!$C$9, $D$9, 100%, $F$9) + CHOOSE(CONTROL!$C$27, 0.0021, 0)</f>
        <v>57.985099999999996</v>
      </c>
      <c r="H490" s="14">
        <f>57.8483 * CHOOSE(CONTROL!$C$9, $D$9, 100%, $F$9) + CHOOSE(CONTROL!$C$27, 0.0021, 0)</f>
        <v>57.8504</v>
      </c>
      <c r="I490" s="14">
        <f>57.8483 * CHOOSE(CONTROL!$C$9, $D$9, 100%, $F$9) + CHOOSE(CONTROL!$C$27, 0.0021, 0)</f>
        <v>57.8504</v>
      </c>
      <c r="J490" s="14">
        <f>57.8483 * CHOOSE(CONTROL!$C$9, $D$9, 100%, $F$9) + CHOOSE(CONTROL!$C$27, 0.0021, 0)</f>
        <v>57.8504</v>
      </c>
      <c r="K490" s="14">
        <f>57.8483 * CHOOSE(CONTROL!$C$9, $D$9, 100%, $F$9) + CHOOSE(CONTROL!$C$27, 0.0021, 0)</f>
        <v>57.8504</v>
      </c>
      <c r="L490" s="14"/>
    </row>
    <row r="491" spans="1:12" ht="15.75" x14ac:dyDescent="0.25">
      <c r="A491" s="33">
        <v>55884</v>
      </c>
      <c r="B491" s="14">
        <f>57.1827 * CHOOSE(CONTROL!$C$9, $D$9, 100%, $F$9) + CHOOSE(CONTROL!$C$27, 0.0021, 0)</f>
        <v>57.184799999999996</v>
      </c>
      <c r="C491" s="14">
        <f>56.7505 * CHOOSE(CONTROL!$C$9, $D$9, 100%, $F$9) + CHOOSE(CONTROL!$C$27, 0.0021, 0)</f>
        <v>56.752600000000001</v>
      </c>
      <c r="D491" s="14">
        <f>56.7505 * CHOOSE(CONTROL!$C$9, $D$9, 100%, $F$9) + CHOOSE(CONTROL!$C$27, 0.0021, 0)</f>
        <v>56.752600000000001</v>
      </c>
      <c r="E491" s="14">
        <f>56.6138 * CHOOSE(CONTROL!$C$9, $D$9, 100%, $F$9) + CHOOSE(CONTROL!$C$27, 0.0021, 0)</f>
        <v>56.615899999999996</v>
      </c>
      <c r="F491" s="14">
        <f>56.6138 * CHOOSE(CONTROL!$C$9, $D$9, 100%, $F$9) + CHOOSE(CONTROL!$C$27, 0.0021, 0)</f>
        <v>56.615899999999996</v>
      </c>
      <c r="G491" s="14">
        <f>56.8852 * CHOOSE(CONTROL!$C$9, $D$9, 100%, $F$9) + CHOOSE(CONTROL!$C$27, 0.0021, 0)</f>
        <v>56.887299999999996</v>
      </c>
      <c r="H491" s="14">
        <f>56.7505 * CHOOSE(CONTROL!$C$9, $D$9, 100%, $F$9) + CHOOSE(CONTROL!$C$27, 0.0021, 0)</f>
        <v>56.752600000000001</v>
      </c>
      <c r="I491" s="14">
        <f>56.7505 * CHOOSE(CONTROL!$C$9, $D$9, 100%, $F$9) + CHOOSE(CONTROL!$C$27, 0.0021, 0)</f>
        <v>56.752600000000001</v>
      </c>
      <c r="J491" s="14">
        <f>56.7505 * CHOOSE(CONTROL!$C$9, $D$9, 100%, $F$9) + CHOOSE(CONTROL!$C$27, 0.0021, 0)</f>
        <v>56.752600000000001</v>
      </c>
      <c r="K491" s="14">
        <f>56.7505 * CHOOSE(CONTROL!$C$9, $D$9, 100%, $F$9) + CHOOSE(CONTROL!$C$27, 0.0021, 0)</f>
        <v>56.752600000000001</v>
      </c>
      <c r="L491" s="14"/>
    </row>
    <row r="492" spans="1:12" ht="15.75" x14ac:dyDescent="0.25">
      <c r="A492" s="33">
        <v>55915</v>
      </c>
      <c r="B492" s="14">
        <f>56.4889 * CHOOSE(CONTROL!$C$9, $D$9, 100%, $F$9) + CHOOSE(CONTROL!$C$27, 0.0021, 0)</f>
        <v>56.491</v>
      </c>
      <c r="C492" s="14">
        <f>56.0566 * CHOOSE(CONTROL!$C$9, $D$9, 100%, $F$9) + CHOOSE(CONTROL!$C$27, 0.0021, 0)</f>
        <v>56.058700000000002</v>
      </c>
      <c r="D492" s="14">
        <f>56.0566 * CHOOSE(CONTROL!$C$9, $D$9, 100%, $F$9) + CHOOSE(CONTROL!$C$27, 0.0021, 0)</f>
        <v>56.058700000000002</v>
      </c>
      <c r="E492" s="14">
        <f>55.92 * CHOOSE(CONTROL!$C$9, $D$9, 100%, $F$9) + CHOOSE(CONTROL!$C$27, 0.0021, 0)</f>
        <v>55.9221</v>
      </c>
      <c r="F492" s="14">
        <f>55.92 * CHOOSE(CONTROL!$C$9, $D$9, 100%, $F$9) + CHOOSE(CONTROL!$C$27, 0.0021, 0)</f>
        <v>55.9221</v>
      </c>
      <c r="G492" s="14">
        <f>56.1913 * CHOOSE(CONTROL!$C$9, $D$9, 100%, $F$9) + CHOOSE(CONTROL!$C$27, 0.0021, 0)</f>
        <v>56.193399999999997</v>
      </c>
      <c r="H492" s="14">
        <f>56.0566 * CHOOSE(CONTROL!$C$9, $D$9, 100%, $F$9) + CHOOSE(CONTROL!$C$27, 0.0021, 0)</f>
        <v>56.058700000000002</v>
      </c>
      <c r="I492" s="14">
        <f>56.0566 * CHOOSE(CONTROL!$C$9, $D$9, 100%, $F$9) + CHOOSE(CONTROL!$C$27, 0.0021, 0)</f>
        <v>56.058700000000002</v>
      </c>
      <c r="J492" s="14">
        <f>56.0566 * CHOOSE(CONTROL!$C$9, $D$9, 100%, $F$9) + CHOOSE(CONTROL!$C$27, 0.0021, 0)</f>
        <v>56.058700000000002</v>
      </c>
      <c r="K492" s="14">
        <f>56.0566 * CHOOSE(CONTROL!$C$9, $D$9, 100%, $F$9) + CHOOSE(CONTROL!$C$27, 0.0021, 0)</f>
        <v>56.058700000000002</v>
      </c>
      <c r="L492" s="14"/>
    </row>
    <row r="493" spans="1:12" ht="15.75" x14ac:dyDescent="0.25">
      <c r="A493" s="33">
        <v>55943</v>
      </c>
      <c r="B493" s="14">
        <f>54.9559 * CHOOSE(CONTROL!$C$9, $D$9, 100%, $F$9) + CHOOSE(CONTROL!$C$27, 0.0021, 0)</f>
        <v>54.957999999999998</v>
      </c>
      <c r="C493" s="14">
        <f>54.5237 * CHOOSE(CONTROL!$C$9, $D$9, 100%, $F$9) + CHOOSE(CONTROL!$C$27, 0.0021, 0)</f>
        <v>54.525799999999997</v>
      </c>
      <c r="D493" s="14">
        <f>54.5237 * CHOOSE(CONTROL!$C$9, $D$9, 100%, $F$9) + CHOOSE(CONTROL!$C$27, 0.0021, 0)</f>
        <v>54.525799999999997</v>
      </c>
      <c r="E493" s="14">
        <f>54.387 * CHOOSE(CONTROL!$C$9, $D$9, 100%, $F$9) + CHOOSE(CONTROL!$C$27, 0.0021, 0)</f>
        <v>54.389099999999999</v>
      </c>
      <c r="F493" s="14">
        <f>54.387 * CHOOSE(CONTROL!$C$9, $D$9, 100%, $F$9) + CHOOSE(CONTROL!$C$27, 0.0021, 0)</f>
        <v>54.389099999999999</v>
      </c>
      <c r="G493" s="14">
        <f>54.6584 * CHOOSE(CONTROL!$C$9, $D$9, 100%, $F$9) + CHOOSE(CONTROL!$C$27, 0.0021, 0)</f>
        <v>54.660499999999999</v>
      </c>
      <c r="H493" s="14">
        <f>54.5237 * CHOOSE(CONTROL!$C$9, $D$9, 100%, $F$9) + CHOOSE(CONTROL!$C$27, 0.0021, 0)</f>
        <v>54.525799999999997</v>
      </c>
      <c r="I493" s="14">
        <f>54.5237 * CHOOSE(CONTROL!$C$9, $D$9, 100%, $F$9) + CHOOSE(CONTROL!$C$27, 0.0021, 0)</f>
        <v>54.525799999999997</v>
      </c>
      <c r="J493" s="14">
        <f>54.5237 * CHOOSE(CONTROL!$C$9, $D$9, 100%, $F$9) + CHOOSE(CONTROL!$C$27, 0.0021, 0)</f>
        <v>54.525799999999997</v>
      </c>
      <c r="K493" s="14">
        <f>54.5237 * CHOOSE(CONTROL!$C$9, $D$9, 100%, $F$9) + CHOOSE(CONTROL!$C$27, 0.0021, 0)</f>
        <v>54.525799999999997</v>
      </c>
      <c r="L493" s="14"/>
    </row>
    <row r="494" spans="1:12" ht="15.75" x14ac:dyDescent="0.25">
      <c r="A494" s="33">
        <v>55974</v>
      </c>
      <c r="B494" s="14">
        <f>54.3231 * CHOOSE(CONTROL!$C$9, $D$9, 100%, $F$9) + CHOOSE(CONTROL!$C$27, 0.0021, 0)</f>
        <v>54.325199999999995</v>
      </c>
      <c r="C494" s="14">
        <f>53.8908 * CHOOSE(CONTROL!$C$9, $D$9, 100%, $F$9) + CHOOSE(CONTROL!$C$27, 0.0021, 0)</f>
        <v>53.892899999999997</v>
      </c>
      <c r="D494" s="14">
        <f>53.8908 * CHOOSE(CONTROL!$C$9, $D$9, 100%, $F$9) + CHOOSE(CONTROL!$C$27, 0.0021, 0)</f>
        <v>53.892899999999997</v>
      </c>
      <c r="E494" s="14">
        <f>53.7542 * CHOOSE(CONTROL!$C$9, $D$9, 100%, $F$9) + CHOOSE(CONTROL!$C$27, 0.0021, 0)</f>
        <v>53.756299999999996</v>
      </c>
      <c r="F494" s="14">
        <f>53.7542 * CHOOSE(CONTROL!$C$9, $D$9, 100%, $F$9) + CHOOSE(CONTROL!$C$27, 0.0021, 0)</f>
        <v>53.756299999999996</v>
      </c>
      <c r="G494" s="14">
        <f>54.0256 * CHOOSE(CONTROL!$C$9, $D$9, 100%, $F$9) + CHOOSE(CONTROL!$C$27, 0.0021, 0)</f>
        <v>54.027699999999996</v>
      </c>
      <c r="H494" s="14">
        <f>53.8908 * CHOOSE(CONTROL!$C$9, $D$9, 100%, $F$9) + CHOOSE(CONTROL!$C$27, 0.0021, 0)</f>
        <v>53.892899999999997</v>
      </c>
      <c r="I494" s="14">
        <f>53.8908 * CHOOSE(CONTROL!$C$9, $D$9, 100%, $F$9) + CHOOSE(CONTROL!$C$27, 0.0021, 0)</f>
        <v>53.892899999999997</v>
      </c>
      <c r="J494" s="14">
        <f>53.8908 * CHOOSE(CONTROL!$C$9, $D$9, 100%, $F$9) + CHOOSE(CONTROL!$C$27, 0.0021, 0)</f>
        <v>53.892899999999997</v>
      </c>
      <c r="K494" s="14">
        <f>53.8908 * CHOOSE(CONTROL!$C$9, $D$9, 100%, $F$9) + CHOOSE(CONTROL!$C$27, 0.0021, 0)</f>
        <v>53.892899999999997</v>
      </c>
      <c r="L494" s="14"/>
    </row>
    <row r="495" spans="1:12" ht="15.75" x14ac:dyDescent="0.25">
      <c r="A495" s="33">
        <v>56004</v>
      </c>
      <c r="B495" s="14">
        <f>53.5675 * CHOOSE(CONTROL!$C$9, $D$9, 100%, $F$9) + CHOOSE(CONTROL!$C$27, 0.0021, 0)</f>
        <v>53.569600000000001</v>
      </c>
      <c r="C495" s="14">
        <f>53.1353 * CHOOSE(CONTROL!$C$9, $D$9, 100%, $F$9) + CHOOSE(CONTROL!$C$27, 0.0021, 0)</f>
        <v>53.1374</v>
      </c>
      <c r="D495" s="14">
        <f>53.1353 * CHOOSE(CONTROL!$C$9, $D$9, 100%, $F$9) + CHOOSE(CONTROL!$C$27, 0.0021, 0)</f>
        <v>53.1374</v>
      </c>
      <c r="E495" s="14">
        <f>52.9986 * CHOOSE(CONTROL!$C$9, $D$9, 100%, $F$9) + CHOOSE(CONTROL!$C$27, 0.0021, 0)</f>
        <v>53.000700000000002</v>
      </c>
      <c r="F495" s="14">
        <f>52.9986 * CHOOSE(CONTROL!$C$9, $D$9, 100%, $F$9) + CHOOSE(CONTROL!$C$27, 0.0021, 0)</f>
        <v>53.000700000000002</v>
      </c>
      <c r="G495" s="14">
        <f>53.27 * CHOOSE(CONTROL!$C$9, $D$9, 100%, $F$9) + CHOOSE(CONTROL!$C$27, 0.0021, 0)</f>
        <v>53.272100000000002</v>
      </c>
      <c r="H495" s="14">
        <f>53.1353 * CHOOSE(CONTROL!$C$9, $D$9, 100%, $F$9) + CHOOSE(CONTROL!$C$27, 0.0021, 0)</f>
        <v>53.1374</v>
      </c>
      <c r="I495" s="14">
        <f>53.1353 * CHOOSE(CONTROL!$C$9, $D$9, 100%, $F$9) + CHOOSE(CONTROL!$C$27, 0.0021, 0)</f>
        <v>53.1374</v>
      </c>
      <c r="J495" s="14">
        <f>53.1353 * CHOOSE(CONTROL!$C$9, $D$9, 100%, $F$9) + CHOOSE(CONTROL!$C$27, 0.0021, 0)</f>
        <v>53.1374</v>
      </c>
      <c r="K495" s="14">
        <f>53.1353 * CHOOSE(CONTROL!$C$9, $D$9, 100%, $F$9) + CHOOSE(CONTROL!$C$27, 0.0021, 0)</f>
        <v>53.1374</v>
      </c>
      <c r="L495" s="14"/>
    </row>
    <row r="496" spans="1:12" ht="15.75" x14ac:dyDescent="0.25">
      <c r="A496" s="33">
        <v>56035</v>
      </c>
      <c r="B496" s="14">
        <f>54.6443 * CHOOSE(CONTROL!$C$9, $D$9, 100%, $F$9) + CHOOSE(CONTROL!$C$27, 0.0021, 0)</f>
        <v>54.6464</v>
      </c>
      <c r="C496" s="14">
        <f>54.2121 * CHOOSE(CONTROL!$C$9, $D$9, 100%, $F$9) + CHOOSE(CONTROL!$C$27, 0.0021, 0)</f>
        <v>54.214199999999998</v>
      </c>
      <c r="D496" s="14">
        <f>54.2121 * CHOOSE(CONTROL!$C$9, $D$9, 100%, $F$9) + CHOOSE(CONTROL!$C$27, 0.0021, 0)</f>
        <v>54.214199999999998</v>
      </c>
      <c r="E496" s="14">
        <f>54.0754 * CHOOSE(CONTROL!$C$9, $D$9, 100%, $F$9) + CHOOSE(CONTROL!$C$27, 0.0021, 0)</f>
        <v>54.077500000000001</v>
      </c>
      <c r="F496" s="14">
        <f>54.0754 * CHOOSE(CONTROL!$C$9, $D$9, 100%, $F$9) + CHOOSE(CONTROL!$C$27, 0.0021, 0)</f>
        <v>54.077500000000001</v>
      </c>
      <c r="G496" s="14">
        <f>54.3468 * CHOOSE(CONTROL!$C$9, $D$9, 100%, $F$9) + CHOOSE(CONTROL!$C$27, 0.0021, 0)</f>
        <v>54.3489</v>
      </c>
      <c r="H496" s="14">
        <f>54.2121 * CHOOSE(CONTROL!$C$9, $D$9, 100%, $F$9) + CHOOSE(CONTROL!$C$27, 0.0021, 0)</f>
        <v>54.214199999999998</v>
      </c>
      <c r="I496" s="14">
        <f>54.2121 * CHOOSE(CONTROL!$C$9, $D$9, 100%, $F$9) + CHOOSE(CONTROL!$C$27, 0.0021, 0)</f>
        <v>54.214199999999998</v>
      </c>
      <c r="J496" s="14">
        <f>54.2121 * CHOOSE(CONTROL!$C$9, $D$9, 100%, $F$9) + CHOOSE(CONTROL!$C$27, 0.0021, 0)</f>
        <v>54.214199999999998</v>
      </c>
      <c r="K496" s="14">
        <f>54.2121 * CHOOSE(CONTROL!$C$9, $D$9, 100%, $F$9) + CHOOSE(CONTROL!$C$27, 0.0021, 0)</f>
        <v>54.214199999999998</v>
      </c>
      <c r="L496" s="14"/>
    </row>
    <row r="497" spans="1:12" ht="15.75" x14ac:dyDescent="0.25">
      <c r="A497" s="33">
        <v>56065</v>
      </c>
      <c r="B497" s="14">
        <f>55.2893 * CHOOSE(CONTROL!$C$9, $D$9, 100%, $F$9) + CHOOSE(CONTROL!$C$27, 0.0021, 0)</f>
        <v>55.291399999999996</v>
      </c>
      <c r="C497" s="14">
        <f>54.857 * CHOOSE(CONTROL!$C$9, $D$9, 100%, $F$9) + CHOOSE(CONTROL!$C$27, 0.0021, 0)</f>
        <v>54.859099999999998</v>
      </c>
      <c r="D497" s="14">
        <f>54.857 * CHOOSE(CONTROL!$C$9, $D$9, 100%, $F$9) + CHOOSE(CONTROL!$C$27, 0.0021, 0)</f>
        <v>54.859099999999998</v>
      </c>
      <c r="E497" s="14">
        <f>54.7204 * CHOOSE(CONTROL!$C$9, $D$9, 100%, $F$9) + CHOOSE(CONTROL!$C$27, 0.0021, 0)</f>
        <v>54.722499999999997</v>
      </c>
      <c r="F497" s="14">
        <f>54.7204 * CHOOSE(CONTROL!$C$9, $D$9, 100%, $F$9) + CHOOSE(CONTROL!$C$27, 0.0021, 0)</f>
        <v>54.722499999999997</v>
      </c>
      <c r="G497" s="14">
        <f>54.9917 * CHOOSE(CONTROL!$C$9, $D$9, 100%, $F$9) + CHOOSE(CONTROL!$C$27, 0.0021, 0)</f>
        <v>54.9938</v>
      </c>
      <c r="H497" s="14">
        <f>54.857 * CHOOSE(CONTROL!$C$9, $D$9, 100%, $F$9) + CHOOSE(CONTROL!$C$27, 0.0021, 0)</f>
        <v>54.859099999999998</v>
      </c>
      <c r="I497" s="14">
        <f>54.857 * CHOOSE(CONTROL!$C$9, $D$9, 100%, $F$9) + CHOOSE(CONTROL!$C$27, 0.0021, 0)</f>
        <v>54.859099999999998</v>
      </c>
      <c r="J497" s="14">
        <f>54.857 * CHOOSE(CONTROL!$C$9, $D$9, 100%, $F$9) + CHOOSE(CONTROL!$C$27, 0.0021, 0)</f>
        <v>54.859099999999998</v>
      </c>
      <c r="K497" s="14">
        <f>54.857 * CHOOSE(CONTROL!$C$9, $D$9, 100%, $F$9) + CHOOSE(CONTROL!$C$27, 0.0021, 0)</f>
        <v>54.859099999999998</v>
      </c>
      <c r="L497" s="14"/>
    </row>
    <row r="498" spans="1:12" ht="15.75" x14ac:dyDescent="0.25">
      <c r="A498" s="33">
        <v>56096</v>
      </c>
      <c r="B498" s="14">
        <f>56.3532 * CHOOSE(CONTROL!$C$9, $D$9, 100%, $F$9) + CHOOSE(CONTROL!$C$27, 0.0021, 0)</f>
        <v>56.3553</v>
      </c>
      <c r="C498" s="14">
        <f>55.921 * CHOOSE(CONTROL!$C$9, $D$9, 100%, $F$9) + CHOOSE(CONTROL!$C$27, 0.0021, 0)</f>
        <v>55.923099999999998</v>
      </c>
      <c r="D498" s="14">
        <f>55.921 * CHOOSE(CONTROL!$C$9, $D$9, 100%, $F$9) + CHOOSE(CONTROL!$C$27, 0.0021, 0)</f>
        <v>55.923099999999998</v>
      </c>
      <c r="E498" s="14">
        <f>55.7843 * CHOOSE(CONTROL!$C$9, $D$9, 100%, $F$9) + CHOOSE(CONTROL!$C$27, 0.0021, 0)</f>
        <v>55.7864</v>
      </c>
      <c r="F498" s="14">
        <f>55.7843 * CHOOSE(CONTROL!$C$9, $D$9, 100%, $F$9) + CHOOSE(CONTROL!$C$27, 0.0021, 0)</f>
        <v>55.7864</v>
      </c>
      <c r="G498" s="14">
        <f>56.0557 * CHOOSE(CONTROL!$C$9, $D$9, 100%, $F$9) + CHOOSE(CONTROL!$C$27, 0.0021, 0)</f>
        <v>56.0578</v>
      </c>
      <c r="H498" s="14">
        <f>55.921 * CHOOSE(CONTROL!$C$9, $D$9, 100%, $F$9) + CHOOSE(CONTROL!$C$27, 0.0021, 0)</f>
        <v>55.923099999999998</v>
      </c>
      <c r="I498" s="14">
        <f>55.921 * CHOOSE(CONTROL!$C$9, $D$9, 100%, $F$9) + CHOOSE(CONTROL!$C$27, 0.0021, 0)</f>
        <v>55.923099999999998</v>
      </c>
      <c r="J498" s="14">
        <f>55.921 * CHOOSE(CONTROL!$C$9, $D$9, 100%, $F$9) + CHOOSE(CONTROL!$C$27, 0.0021, 0)</f>
        <v>55.923099999999998</v>
      </c>
      <c r="K498" s="14">
        <f>55.921 * CHOOSE(CONTROL!$C$9, $D$9, 100%, $F$9) + CHOOSE(CONTROL!$C$27, 0.0021, 0)</f>
        <v>55.923099999999998</v>
      </c>
      <c r="L498" s="14"/>
    </row>
    <row r="499" spans="1:12" ht="15.75" x14ac:dyDescent="0.25">
      <c r="A499" s="33">
        <v>56127</v>
      </c>
      <c r="B499" s="14">
        <f>56.678 * CHOOSE(CONTROL!$C$9, $D$9, 100%, $F$9) + CHOOSE(CONTROL!$C$27, 0.0021, 0)</f>
        <v>56.680099999999996</v>
      </c>
      <c r="C499" s="14">
        <f>56.2457 * CHOOSE(CONTROL!$C$9, $D$9, 100%, $F$9) + CHOOSE(CONTROL!$C$27, 0.0021, 0)</f>
        <v>56.247799999999998</v>
      </c>
      <c r="D499" s="14">
        <f>56.2457 * CHOOSE(CONTROL!$C$9, $D$9, 100%, $F$9) + CHOOSE(CONTROL!$C$27, 0.0021, 0)</f>
        <v>56.247799999999998</v>
      </c>
      <c r="E499" s="14">
        <f>56.1091 * CHOOSE(CONTROL!$C$9, $D$9, 100%, $F$9) + CHOOSE(CONTROL!$C$27, 0.0021, 0)</f>
        <v>56.111199999999997</v>
      </c>
      <c r="F499" s="14">
        <f>56.1091 * CHOOSE(CONTROL!$C$9, $D$9, 100%, $F$9) + CHOOSE(CONTROL!$C$27, 0.0021, 0)</f>
        <v>56.111199999999997</v>
      </c>
      <c r="G499" s="14">
        <f>56.3804 * CHOOSE(CONTROL!$C$9, $D$9, 100%, $F$9) + CHOOSE(CONTROL!$C$27, 0.0021, 0)</f>
        <v>56.3825</v>
      </c>
      <c r="H499" s="14">
        <f>56.2457 * CHOOSE(CONTROL!$C$9, $D$9, 100%, $F$9) + CHOOSE(CONTROL!$C$27, 0.0021, 0)</f>
        <v>56.247799999999998</v>
      </c>
      <c r="I499" s="14">
        <f>56.2457 * CHOOSE(CONTROL!$C$9, $D$9, 100%, $F$9) + CHOOSE(CONTROL!$C$27, 0.0021, 0)</f>
        <v>56.247799999999998</v>
      </c>
      <c r="J499" s="14">
        <f>56.2457 * CHOOSE(CONTROL!$C$9, $D$9, 100%, $F$9) + CHOOSE(CONTROL!$C$27, 0.0021, 0)</f>
        <v>56.247799999999998</v>
      </c>
      <c r="K499" s="14">
        <f>56.2457 * CHOOSE(CONTROL!$C$9, $D$9, 100%, $F$9) + CHOOSE(CONTROL!$C$27, 0.0021, 0)</f>
        <v>56.247799999999998</v>
      </c>
      <c r="L499" s="14"/>
    </row>
    <row r="500" spans="1:12" ht="15.75" x14ac:dyDescent="0.25">
      <c r="A500" s="33">
        <v>56157</v>
      </c>
      <c r="B500" s="14">
        <f>57.7839 * CHOOSE(CONTROL!$C$9, $D$9, 100%, $F$9) + CHOOSE(CONTROL!$C$27, 0.0021, 0)</f>
        <v>57.786000000000001</v>
      </c>
      <c r="C500" s="14">
        <f>57.3517 * CHOOSE(CONTROL!$C$9, $D$9, 100%, $F$9) + CHOOSE(CONTROL!$C$27, 0.0021, 0)</f>
        <v>57.3538</v>
      </c>
      <c r="D500" s="14">
        <f>57.3517 * CHOOSE(CONTROL!$C$9, $D$9, 100%, $F$9) + CHOOSE(CONTROL!$C$27, 0.0021, 0)</f>
        <v>57.3538</v>
      </c>
      <c r="E500" s="14">
        <f>57.215 * CHOOSE(CONTROL!$C$9, $D$9, 100%, $F$9) + CHOOSE(CONTROL!$C$27, 0.0021, 0)</f>
        <v>57.217100000000002</v>
      </c>
      <c r="F500" s="14">
        <f>57.215 * CHOOSE(CONTROL!$C$9, $D$9, 100%, $F$9) + CHOOSE(CONTROL!$C$27, 0.0021, 0)</f>
        <v>57.217100000000002</v>
      </c>
      <c r="G500" s="14">
        <f>57.4864 * CHOOSE(CONTROL!$C$9, $D$9, 100%, $F$9) + CHOOSE(CONTROL!$C$27, 0.0021, 0)</f>
        <v>57.488500000000002</v>
      </c>
      <c r="H500" s="14">
        <f>57.3517 * CHOOSE(CONTROL!$C$9, $D$9, 100%, $F$9) + CHOOSE(CONTROL!$C$27, 0.0021, 0)</f>
        <v>57.3538</v>
      </c>
      <c r="I500" s="14">
        <f>57.3517 * CHOOSE(CONTROL!$C$9, $D$9, 100%, $F$9) + CHOOSE(CONTROL!$C$27, 0.0021, 0)</f>
        <v>57.3538</v>
      </c>
      <c r="J500" s="14">
        <f>57.3517 * CHOOSE(CONTROL!$C$9, $D$9, 100%, $F$9) + CHOOSE(CONTROL!$C$27, 0.0021, 0)</f>
        <v>57.3538</v>
      </c>
      <c r="K500" s="14">
        <f>57.3517 * CHOOSE(CONTROL!$C$9, $D$9, 100%, $F$9) + CHOOSE(CONTROL!$C$27, 0.0021, 0)</f>
        <v>57.3538</v>
      </c>
      <c r="L500" s="14"/>
    </row>
    <row r="501" spans="1:12" ht="15.75" x14ac:dyDescent="0.25">
      <c r="A501" s="33">
        <v>56188</v>
      </c>
      <c r="B501" s="14">
        <f>59.1838 * CHOOSE(CONTROL!$C$9, $D$9, 100%, $F$9) + CHOOSE(CONTROL!$C$27, 0.0021, 0)</f>
        <v>59.185899999999997</v>
      </c>
      <c r="C501" s="14">
        <f>58.7516 * CHOOSE(CONTROL!$C$9, $D$9, 100%, $F$9) + CHOOSE(CONTROL!$C$27, 0.0021, 0)</f>
        <v>58.753700000000002</v>
      </c>
      <c r="D501" s="14">
        <f>58.7516 * CHOOSE(CONTROL!$C$9, $D$9, 100%, $F$9) + CHOOSE(CONTROL!$C$27, 0.0021, 0)</f>
        <v>58.753700000000002</v>
      </c>
      <c r="E501" s="14">
        <f>58.6149 * CHOOSE(CONTROL!$C$9, $D$9, 100%, $F$9) + CHOOSE(CONTROL!$C$27, 0.0021, 0)</f>
        <v>58.616999999999997</v>
      </c>
      <c r="F501" s="14">
        <f>58.6149 * CHOOSE(CONTROL!$C$9, $D$9, 100%, $F$9) + CHOOSE(CONTROL!$C$27, 0.0021, 0)</f>
        <v>58.616999999999997</v>
      </c>
      <c r="G501" s="14">
        <f>58.8863 * CHOOSE(CONTROL!$C$9, $D$9, 100%, $F$9) + CHOOSE(CONTROL!$C$27, 0.0021, 0)</f>
        <v>58.888399999999997</v>
      </c>
      <c r="H501" s="14">
        <f>58.7516 * CHOOSE(CONTROL!$C$9, $D$9, 100%, $F$9) + CHOOSE(CONTROL!$C$27, 0.0021, 0)</f>
        <v>58.753700000000002</v>
      </c>
      <c r="I501" s="14">
        <f>58.7516 * CHOOSE(CONTROL!$C$9, $D$9, 100%, $F$9) + CHOOSE(CONTROL!$C$27, 0.0021, 0)</f>
        <v>58.753700000000002</v>
      </c>
      <c r="J501" s="14">
        <f>58.7516 * CHOOSE(CONTROL!$C$9, $D$9, 100%, $F$9) + CHOOSE(CONTROL!$C$27, 0.0021, 0)</f>
        <v>58.753700000000002</v>
      </c>
      <c r="K501" s="14">
        <f>58.7516 * CHOOSE(CONTROL!$C$9, $D$9, 100%, $F$9) + CHOOSE(CONTROL!$C$27, 0.0021, 0)</f>
        <v>58.753700000000002</v>
      </c>
      <c r="L501" s="14"/>
    </row>
    <row r="502" spans="1:12" ht="15.75" x14ac:dyDescent="0.25">
      <c r="A502" s="33">
        <v>56218</v>
      </c>
      <c r="B502" s="14">
        <f>59.3152 * CHOOSE(CONTROL!$C$9, $D$9, 100%, $F$9) + CHOOSE(CONTROL!$C$27, 0.0021, 0)</f>
        <v>59.317299999999996</v>
      </c>
      <c r="C502" s="14">
        <f>58.883 * CHOOSE(CONTROL!$C$9, $D$9, 100%, $F$9) + CHOOSE(CONTROL!$C$27, 0.0021, 0)</f>
        <v>58.885100000000001</v>
      </c>
      <c r="D502" s="14">
        <f>58.883 * CHOOSE(CONTROL!$C$9, $D$9, 100%, $F$9) + CHOOSE(CONTROL!$C$27, 0.0021, 0)</f>
        <v>58.885100000000001</v>
      </c>
      <c r="E502" s="14">
        <f>58.7463 * CHOOSE(CONTROL!$C$9, $D$9, 100%, $F$9) + CHOOSE(CONTROL!$C$27, 0.0021, 0)</f>
        <v>58.748399999999997</v>
      </c>
      <c r="F502" s="14">
        <f>58.7463 * CHOOSE(CONTROL!$C$9, $D$9, 100%, $F$9) + CHOOSE(CONTROL!$C$27, 0.0021, 0)</f>
        <v>58.748399999999997</v>
      </c>
      <c r="G502" s="14">
        <f>59.0177 * CHOOSE(CONTROL!$C$9, $D$9, 100%, $F$9) + CHOOSE(CONTROL!$C$27, 0.0021, 0)</f>
        <v>59.019799999999996</v>
      </c>
      <c r="H502" s="14">
        <f>58.883 * CHOOSE(CONTROL!$C$9, $D$9, 100%, $F$9) + CHOOSE(CONTROL!$C$27, 0.0021, 0)</f>
        <v>58.885100000000001</v>
      </c>
      <c r="I502" s="14">
        <f>58.883 * CHOOSE(CONTROL!$C$9, $D$9, 100%, $F$9) + CHOOSE(CONTROL!$C$27, 0.0021, 0)</f>
        <v>58.885100000000001</v>
      </c>
      <c r="J502" s="14">
        <f>58.883 * CHOOSE(CONTROL!$C$9, $D$9, 100%, $F$9) + CHOOSE(CONTROL!$C$27, 0.0021, 0)</f>
        <v>58.885100000000001</v>
      </c>
      <c r="K502" s="14">
        <f>58.883 * CHOOSE(CONTROL!$C$9, $D$9, 100%, $F$9) + CHOOSE(CONTROL!$C$27, 0.0021, 0)</f>
        <v>58.885100000000001</v>
      </c>
      <c r="L502" s="14"/>
    </row>
    <row r="503" spans="1:12" ht="15.75" x14ac:dyDescent="0.25">
      <c r="A503" s="33">
        <v>56249</v>
      </c>
      <c r="B503" s="14">
        <f>58.1972 * CHOOSE(CONTROL!$C$9, $D$9, 100%, $F$9) + CHOOSE(CONTROL!$C$27, 0.0021, 0)</f>
        <v>58.199300000000001</v>
      </c>
      <c r="C503" s="14">
        <f>57.7649 * CHOOSE(CONTROL!$C$9, $D$9, 100%, $F$9) + CHOOSE(CONTROL!$C$27, 0.0021, 0)</f>
        <v>57.766999999999996</v>
      </c>
      <c r="D503" s="14">
        <f>57.7649 * CHOOSE(CONTROL!$C$9, $D$9, 100%, $F$9) + CHOOSE(CONTROL!$C$27, 0.0021, 0)</f>
        <v>57.766999999999996</v>
      </c>
      <c r="E503" s="14">
        <f>57.6282 * CHOOSE(CONTROL!$C$9, $D$9, 100%, $F$9) + CHOOSE(CONTROL!$C$27, 0.0021, 0)</f>
        <v>57.630299999999998</v>
      </c>
      <c r="F503" s="14">
        <f>57.6282 * CHOOSE(CONTROL!$C$9, $D$9, 100%, $F$9) + CHOOSE(CONTROL!$C$27, 0.0021, 0)</f>
        <v>57.630299999999998</v>
      </c>
      <c r="G503" s="14">
        <f>57.8996 * CHOOSE(CONTROL!$C$9, $D$9, 100%, $F$9) + CHOOSE(CONTROL!$C$27, 0.0021, 0)</f>
        <v>57.901699999999998</v>
      </c>
      <c r="H503" s="14">
        <f>57.7649 * CHOOSE(CONTROL!$C$9, $D$9, 100%, $F$9) + CHOOSE(CONTROL!$C$27, 0.0021, 0)</f>
        <v>57.766999999999996</v>
      </c>
      <c r="I503" s="14">
        <f>57.7649 * CHOOSE(CONTROL!$C$9, $D$9, 100%, $F$9) + CHOOSE(CONTROL!$C$27, 0.0021, 0)</f>
        <v>57.766999999999996</v>
      </c>
      <c r="J503" s="14">
        <f>57.7649 * CHOOSE(CONTROL!$C$9, $D$9, 100%, $F$9) + CHOOSE(CONTROL!$C$27, 0.0021, 0)</f>
        <v>57.766999999999996</v>
      </c>
      <c r="K503" s="14">
        <f>57.7649 * CHOOSE(CONTROL!$C$9, $D$9, 100%, $F$9) + CHOOSE(CONTROL!$C$27, 0.0021, 0)</f>
        <v>57.766999999999996</v>
      </c>
      <c r="L503" s="14"/>
    </row>
    <row r="504" spans="1:12" ht="15.75" x14ac:dyDescent="0.25">
      <c r="A504" s="33">
        <v>56280</v>
      </c>
      <c r="B504" s="14">
        <f>57.4905 * CHOOSE(CONTROL!$C$9, $D$9, 100%, $F$9) + CHOOSE(CONTROL!$C$27, 0.0021, 0)</f>
        <v>57.492599999999996</v>
      </c>
      <c r="C504" s="14">
        <f>57.0582 * CHOOSE(CONTROL!$C$9, $D$9, 100%, $F$9) + CHOOSE(CONTROL!$C$27, 0.0021, 0)</f>
        <v>57.060299999999998</v>
      </c>
      <c r="D504" s="14">
        <f>57.0582 * CHOOSE(CONTROL!$C$9, $D$9, 100%, $F$9) + CHOOSE(CONTROL!$C$27, 0.0021, 0)</f>
        <v>57.060299999999998</v>
      </c>
      <c r="E504" s="14">
        <f>56.9216 * CHOOSE(CONTROL!$C$9, $D$9, 100%, $F$9) + CHOOSE(CONTROL!$C$27, 0.0021, 0)</f>
        <v>56.923699999999997</v>
      </c>
      <c r="F504" s="14">
        <f>56.9216 * CHOOSE(CONTROL!$C$9, $D$9, 100%, $F$9) + CHOOSE(CONTROL!$C$27, 0.0021, 0)</f>
        <v>56.923699999999997</v>
      </c>
      <c r="G504" s="14">
        <f>57.1929 * CHOOSE(CONTROL!$C$9, $D$9, 100%, $F$9) + CHOOSE(CONTROL!$C$27, 0.0021, 0)</f>
        <v>57.195</v>
      </c>
      <c r="H504" s="14">
        <f>57.0582 * CHOOSE(CONTROL!$C$9, $D$9, 100%, $F$9) + CHOOSE(CONTROL!$C$27, 0.0021, 0)</f>
        <v>57.060299999999998</v>
      </c>
      <c r="I504" s="14">
        <f>57.0582 * CHOOSE(CONTROL!$C$9, $D$9, 100%, $F$9) + CHOOSE(CONTROL!$C$27, 0.0021, 0)</f>
        <v>57.060299999999998</v>
      </c>
      <c r="J504" s="14">
        <f>57.0582 * CHOOSE(CONTROL!$C$9, $D$9, 100%, $F$9) + CHOOSE(CONTROL!$C$27, 0.0021, 0)</f>
        <v>57.060299999999998</v>
      </c>
      <c r="K504" s="14">
        <f>57.0582 * CHOOSE(CONTROL!$C$9, $D$9, 100%, $F$9) + CHOOSE(CONTROL!$C$27, 0.0021, 0)</f>
        <v>57.060299999999998</v>
      </c>
      <c r="L504" s="14"/>
    </row>
    <row r="505" spans="1:12" ht="15.75" x14ac:dyDescent="0.25">
      <c r="A505" s="33">
        <v>56308</v>
      </c>
      <c r="B505" s="14">
        <f>55.9292 * CHOOSE(CONTROL!$C$9, $D$9, 100%, $F$9) + CHOOSE(CONTROL!$C$27, 0.0021, 0)</f>
        <v>55.9313</v>
      </c>
      <c r="C505" s="14">
        <f>55.4969 * CHOOSE(CONTROL!$C$9, $D$9, 100%, $F$9) + CHOOSE(CONTROL!$C$27, 0.0021, 0)</f>
        <v>55.498999999999995</v>
      </c>
      <c r="D505" s="14">
        <f>55.4969 * CHOOSE(CONTROL!$C$9, $D$9, 100%, $F$9) + CHOOSE(CONTROL!$C$27, 0.0021, 0)</f>
        <v>55.498999999999995</v>
      </c>
      <c r="E505" s="14">
        <f>55.3603 * CHOOSE(CONTROL!$C$9, $D$9, 100%, $F$9) + CHOOSE(CONTROL!$C$27, 0.0021, 0)</f>
        <v>55.362400000000001</v>
      </c>
      <c r="F505" s="14">
        <f>55.3603 * CHOOSE(CONTROL!$C$9, $D$9, 100%, $F$9) + CHOOSE(CONTROL!$C$27, 0.0021, 0)</f>
        <v>55.362400000000001</v>
      </c>
      <c r="G505" s="14">
        <f>55.6316 * CHOOSE(CONTROL!$C$9, $D$9, 100%, $F$9) + CHOOSE(CONTROL!$C$27, 0.0021, 0)</f>
        <v>55.633699999999997</v>
      </c>
      <c r="H505" s="14">
        <f>55.4969 * CHOOSE(CONTROL!$C$9, $D$9, 100%, $F$9) + CHOOSE(CONTROL!$C$27, 0.0021, 0)</f>
        <v>55.498999999999995</v>
      </c>
      <c r="I505" s="14">
        <f>55.4969 * CHOOSE(CONTROL!$C$9, $D$9, 100%, $F$9) + CHOOSE(CONTROL!$C$27, 0.0021, 0)</f>
        <v>55.498999999999995</v>
      </c>
      <c r="J505" s="14">
        <f>55.4969 * CHOOSE(CONTROL!$C$9, $D$9, 100%, $F$9) + CHOOSE(CONTROL!$C$27, 0.0021, 0)</f>
        <v>55.498999999999995</v>
      </c>
      <c r="K505" s="14">
        <f>55.4969 * CHOOSE(CONTROL!$C$9, $D$9, 100%, $F$9) + CHOOSE(CONTROL!$C$27, 0.0021, 0)</f>
        <v>55.498999999999995</v>
      </c>
      <c r="L505" s="14"/>
    </row>
    <row r="506" spans="1:12" ht="15.75" x14ac:dyDescent="0.25">
      <c r="A506" s="33">
        <v>56339</v>
      </c>
      <c r="B506" s="14">
        <f>55.2847 * CHOOSE(CONTROL!$C$9, $D$9, 100%, $F$9) + CHOOSE(CONTROL!$C$27, 0.0021, 0)</f>
        <v>55.286799999999999</v>
      </c>
      <c r="C506" s="14">
        <f>54.8524 * CHOOSE(CONTROL!$C$9, $D$9, 100%, $F$9) + CHOOSE(CONTROL!$C$27, 0.0021, 0)</f>
        <v>54.854500000000002</v>
      </c>
      <c r="D506" s="14">
        <f>54.8524 * CHOOSE(CONTROL!$C$9, $D$9, 100%, $F$9) + CHOOSE(CONTROL!$C$27, 0.0021, 0)</f>
        <v>54.854500000000002</v>
      </c>
      <c r="E506" s="14">
        <f>54.7158 * CHOOSE(CONTROL!$C$9, $D$9, 100%, $F$9) + CHOOSE(CONTROL!$C$27, 0.0021, 0)</f>
        <v>54.7179</v>
      </c>
      <c r="F506" s="14">
        <f>54.7158 * CHOOSE(CONTROL!$C$9, $D$9, 100%, $F$9) + CHOOSE(CONTROL!$C$27, 0.0021, 0)</f>
        <v>54.7179</v>
      </c>
      <c r="G506" s="14">
        <f>54.9871 * CHOOSE(CONTROL!$C$9, $D$9, 100%, $F$9) + CHOOSE(CONTROL!$C$27, 0.0021, 0)</f>
        <v>54.989199999999997</v>
      </c>
      <c r="H506" s="14">
        <f>54.8524 * CHOOSE(CONTROL!$C$9, $D$9, 100%, $F$9) + CHOOSE(CONTROL!$C$27, 0.0021, 0)</f>
        <v>54.854500000000002</v>
      </c>
      <c r="I506" s="14">
        <f>54.8524 * CHOOSE(CONTROL!$C$9, $D$9, 100%, $F$9) + CHOOSE(CONTROL!$C$27, 0.0021, 0)</f>
        <v>54.854500000000002</v>
      </c>
      <c r="J506" s="14">
        <f>54.8524 * CHOOSE(CONTROL!$C$9, $D$9, 100%, $F$9) + CHOOSE(CONTROL!$C$27, 0.0021, 0)</f>
        <v>54.854500000000002</v>
      </c>
      <c r="K506" s="14">
        <f>54.8524 * CHOOSE(CONTROL!$C$9, $D$9, 100%, $F$9) + CHOOSE(CONTROL!$C$27, 0.0021, 0)</f>
        <v>54.854500000000002</v>
      </c>
      <c r="L506" s="14"/>
    </row>
    <row r="507" spans="1:12" ht="15.75" x14ac:dyDescent="0.25">
      <c r="A507" s="33">
        <v>56369</v>
      </c>
      <c r="B507" s="14">
        <f>54.5151 * CHOOSE(CONTROL!$C$9, $D$9, 100%, $F$9) + CHOOSE(CONTROL!$C$27, 0.0021, 0)</f>
        <v>54.517199999999995</v>
      </c>
      <c r="C507" s="14">
        <f>54.0829 * CHOOSE(CONTROL!$C$9, $D$9, 100%, $F$9) + CHOOSE(CONTROL!$C$27, 0.0021, 0)</f>
        <v>54.085000000000001</v>
      </c>
      <c r="D507" s="14">
        <f>54.0829 * CHOOSE(CONTROL!$C$9, $D$9, 100%, $F$9) + CHOOSE(CONTROL!$C$27, 0.0021, 0)</f>
        <v>54.085000000000001</v>
      </c>
      <c r="E507" s="14">
        <f>53.9462 * CHOOSE(CONTROL!$C$9, $D$9, 100%, $F$9) + CHOOSE(CONTROL!$C$27, 0.0021, 0)</f>
        <v>53.948299999999996</v>
      </c>
      <c r="F507" s="14">
        <f>53.9462 * CHOOSE(CONTROL!$C$9, $D$9, 100%, $F$9) + CHOOSE(CONTROL!$C$27, 0.0021, 0)</f>
        <v>53.948299999999996</v>
      </c>
      <c r="G507" s="14">
        <f>54.2176 * CHOOSE(CONTROL!$C$9, $D$9, 100%, $F$9) + CHOOSE(CONTROL!$C$27, 0.0021, 0)</f>
        <v>54.219699999999996</v>
      </c>
      <c r="H507" s="14">
        <f>54.0829 * CHOOSE(CONTROL!$C$9, $D$9, 100%, $F$9) + CHOOSE(CONTROL!$C$27, 0.0021, 0)</f>
        <v>54.085000000000001</v>
      </c>
      <c r="I507" s="14">
        <f>54.0829 * CHOOSE(CONTROL!$C$9, $D$9, 100%, $F$9) + CHOOSE(CONTROL!$C$27, 0.0021, 0)</f>
        <v>54.085000000000001</v>
      </c>
      <c r="J507" s="14">
        <f>54.0829 * CHOOSE(CONTROL!$C$9, $D$9, 100%, $F$9) + CHOOSE(CONTROL!$C$27, 0.0021, 0)</f>
        <v>54.085000000000001</v>
      </c>
      <c r="K507" s="14">
        <f>54.0829 * CHOOSE(CONTROL!$C$9, $D$9, 100%, $F$9) + CHOOSE(CONTROL!$C$27, 0.0021, 0)</f>
        <v>54.085000000000001</v>
      </c>
      <c r="L507" s="14"/>
    </row>
    <row r="508" spans="1:12" ht="15.75" x14ac:dyDescent="0.25">
      <c r="A508" s="33">
        <v>56400</v>
      </c>
      <c r="B508" s="14">
        <f>55.6118 * CHOOSE(CONTROL!$C$9, $D$9, 100%, $F$9) + CHOOSE(CONTROL!$C$27, 0.0021, 0)</f>
        <v>55.613900000000001</v>
      </c>
      <c r="C508" s="14">
        <f>55.1796 * CHOOSE(CONTROL!$C$9, $D$9, 100%, $F$9) + CHOOSE(CONTROL!$C$27, 0.0021, 0)</f>
        <v>55.181699999999999</v>
      </c>
      <c r="D508" s="14">
        <f>55.1796 * CHOOSE(CONTROL!$C$9, $D$9, 100%, $F$9) + CHOOSE(CONTROL!$C$27, 0.0021, 0)</f>
        <v>55.181699999999999</v>
      </c>
      <c r="E508" s="14">
        <f>55.0429 * CHOOSE(CONTROL!$C$9, $D$9, 100%, $F$9) + CHOOSE(CONTROL!$C$27, 0.0021, 0)</f>
        <v>55.045000000000002</v>
      </c>
      <c r="F508" s="14">
        <f>55.0429 * CHOOSE(CONTROL!$C$9, $D$9, 100%, $F$9) + CHOOSE(CONTROL!$C$27, 0.0021, 0)</f>
        <v>55.045000000000002</v>
      </c>
      <c r="G508" s="14">
        <f>55.3143 * CHOOSE(CONTROL!$C$9, $D$9, 100%, $F$9) + CHOOSE(CONTROL!$C$27, 0.0021, 0)</f>
        <v>55.316400000000002</v>
      </c>
      <c r="H508" s="14">
        <f>55.1796 * CHOOSE(CONTROL!$C$9, $D$9, 100%, $F$9) + CHOOSE(CONTROL!$C$27, 0.0021, 0)</f>
        <v>55.181699999999999</v>
      </c>
      <c r="I508" s="14">
        <f>55.1796 * CHOOSE(CONTROL!$C$9, $D$9, 100%, $F$9) + CHOOSE(CONTROL!$C$27, 0.0021, 0)</f>
        <v>55.181699999999999</v>
      </c>
      <c r="J508" s="14">
        <f>55.1796 * CHOOSE(CONTROL!$C$9, $D$9, 100%, $F$9) + CHOOSE(CONTROL!$C$27, 0.0021, 0)</f>
        <v>55.181699999999999</v>
      </c>
      <c r="K508" s="14">
        <f>55.1796 * CHOOSE(CONTROL!$C$9, $D$9, 100%, $F$9) + CHOOSE(CONTROL!$C$27, 0.0021, 0)</f>
        <v>55.181699999999999</v>
      </c>
      <c r="L508" s="14"/>
    </row>
    <row r="509" spans="1:12" ht="15.75" x14ac:dyDescent="0.25">
      <c r="A509" s="33">
        <v>56430</v>
      </c>
      <c r="B509" s="14">
        <f>56.2687 * CHOOSE(CONTROL!$C$9, $D$9, 100%, $F$9) + CHOOSE(CONTROL!$C$27, 0.0021, 0)</f>
        <v>56.270800000000001</v>
      </c>
      <c r="C509" s="14">
        <f>55.8364 * CHOOSE(CONTROL!$C$9, $D$9, 100%, $F$9) + CHOOSE(CONTROL!$C$27, 0.0021, 0)</f>
        <v>55.838499999999996</v>
      </c>
      <c r="D509" s="14">
        <f>55.8364 * CHOOSE(CONTROL!$C$9, $D$9, 100%, $F$9) + CHOOSE(CONTROL!$C$27, 0.0021, 0)</f>
        <v>55.838499999999996</v>
      </c>
      <c r="E509" s="14">
        <f>55.6998 * CHOOSE(CONTROL!$C$9, $D$9, 100%, $F$9) + CHOOSE(CONTROL!$C$27, 0.0021, 0)</f>
        <v>55.701900000000002</v>
      </c>
      <c r="F509" s="14">
        <f>55.6998 * CHOOSE(CONTROL!$C$9, $D$9, 100%, $F$9) + CHOOSE(CONTROL!$C$27, 0.0021, 0)</f>
        <v>55.701900000000002</v>
      </c>
      <c r="G509" s="14">
        <f>55.9712 * CHOOSE(CONTROL!$C$9, $D$9, 100%, $F$9) + CHOOSE(CONTROL!$C$27, 0.0021, 0)</f>
        <v>55.973300000000002</v>
      </c>
      <c r="H509" s="14">
        <f>55.8364 * CHOOSE(CONTROL!$C$9, $D$9, 100%, $F$9) + CHOOSE(CONTROL!$C$27, 0.0021, 0)</f>
        <v>55.838499999999996</v>
      </c>
      <c r="I509" s="14">
        <f>55.8364 * CHOOSE(CONTROL!$C$9, $D$9, 100%, $F$9) + CHOOSE(CONTROL!$C$27, 0.0021, 0)</f>
        <v>55.838499999999996</v>
      </c>
      <c r="J509" s="14">
        <f>55.8364 * CHOOSE(CONTROL!$C$9, $D$9, 100%, $F$9) + CHOOSE(CONTROL!$C$27, 0.0021, 0)</f>
        <v>55.838499999999996</v>
      </c>
      <c r="K509" s="14">
        <f>55.8364 * CHOOSE(CONTROL!$C$9, $D$9, 100%, $F$9) + CHOOSE(CONTROL!$C$27, 0.0021, 0)</f>
        <v>55.838499999999996</v>
      </c>
      <c r="L509" s="14"/>
    </row>
    <row r="510" spans="1:12" ht="15.75" x14ac:dyDescent="0.25">
      <c r="A510" s="33">
        <v>56461</v>
      </c>
      <c r="B510" s="14">
        <f>57.3523 * CHOOSE(CONTROL!$C$9, $D$9, 100%, $F$9) + CHOOSE(CONTROL!$C$27, 0.0021, 0)</f>
        <v>57.354399999999998</v>
      </c>
      <c r="C510" s="14">
        <f>56.9201 * CHOOSE(CONTROL!$C$9, $D$9, 100%, $F$9) + CHOOSE(CONTROL!$C$27, 0.0021, 0)</f>
        <v>56.922199999999997</v>
      </c>
      <c r="D510" s="14">
        <f>56.9201 * CHOOSE(CONTROL!$C$9, $D$9, 100%, $F$9) + CHOOSE(CONTROL!$C$27, 0.0021, 0)</f>
        <v>56.922199999999997</v>
      </c>
      <c r="E510" s="14">
        <f>56.7834 * CHOOSE(CONTROL!$C$9, $D$9, 100%, $F$9) + CHOOSE(CONTROL!$C$27, 0.0021, 0)</f>
        <v>56.785499999999999</v>
      </c>
      <c r="F510" s="14">
        <f>56.7834 * CHOOSE(CONTROL!$C$9, $D$9, 100%, $F$9) + CHOOSE(CONTROL!$C$27, 0.0021, 0)</f>
        <v>56.785499999999999</v>
      </c>
      <c r="G510" s="14">
        <f>57.0548 * CHOOSE(CONTROL!$C$9, $D$9, 100%, $F$9) + CHOOSE(CONTROL!$C$27, 0.0021, 0)</f>
        <v>57.056899999999999</v>
      </c>
      <c r="H510" s="14">
        <f>56.9201 * CHOOSE(CONTROL!$C$9, $D$9, 100%, $F$9) + CHOOSE(CONTROL!$C$27, 0.0021, 0)</f>
        <v>56.922199999999997</v>
      </c>
      <c r="I510" s="14">
        <f>56.9201 * CHOOSE(CONTROL!$C$9, $D$9, 100%, $F$9) + CHOOSE(CONTROL!$C$27, 0.0021, 0)</f>
        <v>56.922199999999997</v>
      </c>
      <c r="J510" s="14">
        <f>56.9201 * CHOOSE(CONTROL!$C$9, $D$9, 100%, $F$9) + CHOOSE(CONTROL!$C$27, 0.0021, 0)</f>
        <v>56.922199999999997</v>
      </c>
      <c r="K510" s="14">
        <f>56.9201 * CHOOSE(CONTROL!$C$9, $D$9, 100%, $F$9) + CHOOSE(CONTROL!$C$27, 0.0021, 0)</f>
        <v>56.922199999999997</v>
      </c>
      <c r="L510" s="14"/>
    </row>
    <row r="511" spans="1:12" ht="15.75" x14ac:dyDescent="0.25">
      <c r="A511" s="33">
        <v>56492</v>
      </c>
      <c r="B511" s="14">
        <f>57.6831 * CHOOSE(CONTROL!$C$9, $D$9, 100%, $F$9) + CHOOSE(CONTROL!$C$27, 0.0021, 0)</f>
        <v>57.685200000000002</v>
      </c>
      <c r="C511" s="14">
        <f>57.2508 * CHOOSE(CONTROL!$C$9, $D$9, 100%, $F$9) + CHOOSE(CONTROL!$C$27, 0.0021, 0)</f>
        <v>57.252899999999997</v>
      </c>
      <c r="D511" s="14">
        <f>57.2508 * CHOOSE(CONTROL!$C$9, $D$9, 100%, $F$9) + CHOOSE(CONTROL!$C$27, 0.0021, 0)</f>
        <v>57.252899999999997</v>
      </c>
      <c r="E511" s="14">
        <f>57.1142 * CHOOSE(CONTROL!$C$9, $D$9, 100%, $F$9) + CHOOSE(CONTROL!$C$27, 0.0021, 0)</f>
        <v>57.116299999999995</v>
      </c>
      <c r="F511" s="14">
        <f>57.1142 * CHOOSE(CONTROL!$C$9, $D$9, 100%, $F$9) + CHOOSE(CONTROL!$C$27, 0.0021, 0)</f>
        <v>57.116299999999995</v>
      </c>
      <c r="G511" s="14">
        <f>57.3855 * CHOOSE(CONTROL!$C$9, $D$9, 100%, $F$9) + CHOOSE(CONTROL!$C$27, 0.0021, 0)</f>
        <v>57.387599999999999</v>
      </c>
      <c r="H511" s="14">
        <f>57.2508 * CHOOSE(CONTROL!$C$9, $D$9, 100%, $F$9) + CHOOSE(CONTROL!$C$27, 0.0021, 0)</f>
        <v>57.252899999999997</v>
      </c>
      <c r="I511" s="14">
        <f>57.2508 * CHOOSE(CONTROL!$C$9, $D$9, 100%, $F$9) + CHOOSE(CONTROL!$C$27, 0.0021, 0)</f>
        <v>57.252899999999997</v>
      </c>
      <c r="J511" s="14">
        <f>57.2508 * CHOOSE(CONTROL!$C$9, $D$9, 100%, $F$9) + CHOOSE(CONTROL!$C$27, 0.0021, 0)</f>
        <v>57.252899999999997</v>
      </c>
      <c r="K511" s="14">
        <f>57.2508 * CHOOSE(CONTROL!$C$9, $D$9, 100%, $F$9) + CHOOSE(CONTROL!$C$27, 0.0021, 0)</f>
        <v>57.252899999999997</v>
      </c>
      <c r="L511" s="14"/>
    </row>
    <row r="512" spans="1:12" ht="15.75" x14ac:dyDescent="0.25">
      <c r="A512" s="33">
        <v>56522</v>
      </c>
      <c r="B512" s="14">
        <f>58.8094 * CHOOSE(CONTROL!$C$9, $D$9, 100%, $F$9) + CHOOSE(CONTROL!$C$27, 0.0021, 0)</f>
        <v>58.811499999999995</v>
      </c>
      <c r="C512" s="14">
        <f>58.3772 * CHOOSE(CONTROL!$C$9, $D$9, 100%, $F$9) + CHOOSE(CONTROL!$C$27, 0.0021, 0)</f>
        <v>58.379300000000001</v>
      </c>
      <c r="D512" s="14">
        <f>58.3772 * CHOOSE(CONTROL!$C$9, $D$9, 100%, $F$9) + CHOOSE(CONTROL!$C$27, 0.0021, 0)</f>
        <v>58.379300000000001</v>
      </c>
      <c r="E512" s="14">
        <f>58.2405 * CHOOSE(CONTROL!$C$9, $D$9, 100%, $F$9) + CHOOSE(CONTROL!$C$27, 0.0021, 0)</f>
        <v>58.242599999999996</v>
      </c>
      <c r="F512" s="14">
        <f>58.2405 * CHOOSE(CONTROL!$C$9, $D$9, 100%, $F$9) + CHOOSE(CONTROL!$C$27, 0.0021, 0)</f>
        <v>58.242599999999996</v>
      </c>
      <c r="G512" s="14">
        <f>58.5119 * CHOOSE(CONTROL!$C$9, $D$9, 100%, $F$9) + CHOOSE(CONTROL!$C$27, 0.0021, 0)</f>
        <v>58.513999999999996</v>
      </c>
      <c r="H512" s="14">
        <f>58.3772 * CHOOSE(CONTROL!$C$9, $D$9, 100%, $F$9) + CHOOSE(CONTROL!$C$27, 0.0021, 0)</f>
        <v>58.379300000000001</v>
      </c>
      <c r="I512" s="14">
        <f>58.3772 * CHOOSE(CONTROL!$C$9, $D$9, 100%, $F$9) + CHOOSE(CONTROL!$C$27, 0.0021, 0)</f>
        <v>58.379300000000001</v>
      </c>
      <c r="J512" s="14">
        <f>58.3772 * CHOOSE(CONTROL!$C$9, $D$9, 100%, $F$9) + CHOOSE(CONTROL!$C$27, 0.0021, 0)</f>
        <v>58.379300000000001</v>
      </c>
      <c r="K512" s="14">
        <f>58.3772 * CHOOSE(CONTROL!$C$9, $D$9, 100%, $F$9) + CHOOSE(CONTROL!$C$27, 0.0021, 0)</f>
        <v>58.379300000000001</v>
      </c>
      <c r="L512" s="14"/>
    </row>
    <row r="513" spans="1:12" ht="15.75" x14ac:dyDescent="0.25">
      <c r="A513" s="33">
        <v>56553</v>
      </c>
      <c r="B513" s="14">
        <f>60.2352 * CHOOSE(CONTROL!$C$9, $D$9, 100%, $F$9) + CHOOSE(CONTROL!$C$27, 0.0021, 0)</f>
        <v>60.237299999999998</v>
      </c>
      <c r="C513" s="14">
        <f>59.803 * CHOOSE(CONTROL!$C$9, $D$9, 100%, $F$9) + CHOOSE(CONTROL!$C$27, 0.0021, 0)</f>
        <v>59.805099999999996</v>
      </c>
      <c r="D513" s="14">
        <f>59.803 * CHOOSE(CONTROL!$C$9, $D$9, 100%, $F$9) + CHOOSE(CONTROL!$C$27, 0.0021, 0)</f>
        <v>59.805099999999996</v>
      </c>
      <c r="E513" s="14">
        <f>59.6663 * CHOOSE(CONTROL!$C$9, $D$9, 100%, $F$9) + CHOOSE(CONTROL!$C$27, 0.0021, 0)</f>
        <v>59.668399999999998</v>
      </c>
      <c r="F513" s="14">
        <f>59.6663 * CHOOSE(CONTROL!$C$9, $D$9, 100%, $F$9) + CHOOSE(CONTROL!$C$27, 0.0021, 0)</f>
        <v>59.668399999999998</v>
      </c>
      <c r="G513" s="14">
        <f>59.9377 * CHOOSE(CONTROL!$C$9, $D$9, 100%, $F$9) + CHOOSE(CONTROL!$C$27, 0.0021, 0)</f>
        <v>59.939799999999998</v>
      </c>
      <c r="H513" s="14">
        <f>59.803 * CHOOSE(CONTROL!$C$9, $D$9, 100%, $F$9) + CHOOSE(CONTROL!$C$27, 0.0021, 0)</f>
        <v>59.805099999999996</v>
      </c>
      <c r="I513" s="14">
        <f>59.803 * CHOOSE(CONTROL!$C$9, $D$9, 100%, $F$9) + CHOOSE(CONTROL!$C$27, 0.0021, 0)</f>
        <v>59.805099999999996</v>
      </c>
      <c r="J513" s="14">
        <f>59.803 * CHOOSE(CONTROL!$C$9, $D$9, 100%, $F$9) + CHOOSE(CONTROL!$C$27, 0.0021, 0)</f>
        <v>59.805099999999996</v>
      </c>
      <c r="K513" s="14">
        <f>59.803 * CHOOSE(CONTROL!$C$9, $D$9, 100%, $F$9) + CHOOSE(CONTROL!$C$27, 0.0021, 0)</f>
        <v>59.805099999999996</v>
      </c>
      <c r="L513" s="14"/>
    </row>
    <row r="514" spans="1:12" ht="15.75" x14ac:dyDescent="0.25">
      <c r="A514" s="33">
        <v>56583</v>
      </c>
      <c r="B514" s="14">
        <f>60.3691 * CHOOSE(CONTROL!$C$9, $D$9, 100%, $F$9) + CHOOSE(CONTROL!$C$27, 0.0021, 0)</f>
        <v>60.371200000000002</v>
      </c>
      <c r="C514" s="14">
        <f>59.9368 * CHOOSE(CONTROL!$C$9, $D$9, 100%, $F$9) + CHOOSE(CONTROL!$C$27, 0.0021, 0)</f>
        <v>59.938899999999997</v>
      </c>
      <c r="D514" s="14">
        <f>59.9368 * CHOOSE(CONTROL!$C$9, $D$9, 100%, $F$9) + CHOOSE(CONTROL!$C$27, 0.0021, 0)</f>
        <v>59.938899999999997</v>
      </c>
      <c r="E514" s="14">
        <f>59.8002 * CHOOSE(CONTROL!$C$9, $D$9, 100%, $F$9) + CHOOSE(CONTROL!$C$27, 0.0021, 0)</f>
        <v>59.802299999999995</v>
      </c>
      <c r="F514" s="14">
        <f>59.8002 * CHOOSE(CONTROL!$C$9, $D$9, 100%, $F$9) + CHOOSE(CONTROL!$C$27, 0.0021, 0)</f>
        <v>59.802299999999995</v>
      </c>
      <c r="G514" s="14">
        <f>60.0715 * CHOOSE(CONTROL!$C$9, $D$9, 100%, $F$9) + CHOOSE(CONTROL!$C$27, 0.0021, 0)</f>
        <v>60.073599999999999</v>
      </c>
      <c r="H514" s="14">
        <f>59.9368 * CHOOSE(CONTROL!$C$9, $D$9, 100%, $F$9) + CHOOSE(CONTROL!$C$27, 0.0021, 0)</f>
        <v>59.938899999999997</v>
      </c>
      <c r="I514" s="14">
        <f>59.9368 * CHOOSE(CONTROL!$C$9, $D$9, 100%, $F$9) + CHOOSE(CONTROL!$C$27, 0.0021, 0)</f>
        <v>59.938899999999997</v>
      </c>
      <c r="J514" s="14">
        <f>59.9368 * CHOOSE(CONTROL!$C$9, $D$9, 100%, $F$9) + CHOOSE(CONTROL!$C$27, 0.0021, 0)</f>
        <v>59.938899999999997</v>
      </c>
      <c r="K514" s="14">
        <f>59.9368 * CHOOSE(CONTROL!$C$9, $D$9, 100%, $F$9) + CHOOSE(CONTROL!$C$27, 0.0021, 0)</f>
        <v>59.938899999999997</v>
      </c>
      <c r="L514" s="14"/>
    </row>
    <row r="515" spans="1:12" ht="15.75" x14ac:dyDescent="0.25">
      <c r="A515" s="33">
        <v>56614</v>
      </c>
      <c r="B515" s="14">
        <f>59.2303 * CHOOSE(CONTROL!$C$9, $D$9, 100%, $F$9) + CHOOSE(CONTROL!$C$27, 0.0021, 0)</f>
        <v>59.232399999999998</v>
      </c>
      <c r="C515" s="14">
        <f>58.7981 * CHOOSE(CONTROL!$C$9, $D$9, 100%, $F$9) + CHOOSE(CONTROL!$C$27, 0.0021, 0)</f>
        <v>58.800199999999997</v>
      </c>
      <c r="D515" s="14">
        <f>58.7981 * CHOOSE(CONTROL!$C$9, $D$9, 100%, $F$9) + CHOOSE(CONTROL!$C$27, 0.0021, 0)</f>
        <v>58.800199999999997</v>
      </c>
      <c r="E515" s="14">
        <f>58.6614 * CHOOSE(CONTROL!$C$9, $D$9, 100%, $F$9) + CHOOSE(CONTROL!$C$27, 0.0021, 0)</f>
        <v>58.663499999999999</v>
      </c>
      <c r="F515" s="14">
        <f>58.6614 * CHOOSE(CONTROL!$C$9, $D$9, 100%, $F$9) + CHOOSE(CONTROL!$C$27, 0.0021, 0)</f>
        <v>58.663499999999999</v>
      </c>
      <c r="G515" s="14">
        <f>58.9328 * CHOOSE(CONTROL!$C$9, $D$9, 100%, $F$9) + CHOOSE(CONTROL!$C$27, 0.0021, 0)</f>
        <v>58.934899999999999</v>
      </c>
      <c r="H515" s="14">
        <f>58.7981 * CHOOSE(CONTROL!$C$9, $D$9, 100%, $F$9) + CHOOSE(CONTROL!$C$27, 0.0021, 0)</f>
        <v>58.800199999999997</v>
      </c>
      <c r="I515" s="14">
        <f>58.7981 * CHOOSE(CONTROL!$C$9, $D$9, 100%, $F$9) + CHOOSE(CONTROL!$C$27, 0.0021, 0)</f>
        <v>58.800199999999997</v>
      </c>
      <c r="J515" s="14">
        <f>58.7981 * CHOOSE(CONTROL!$C$9, $D$9, 100%, $F$9) + CHOOSE(CONTROL!$C$27, 0.0021, 0)</f>
        <v>58.800199999999997</v>
      </c>
      <c r="K515" s="14">
        <f>58.7981 * CHOOSE(CONTROL!$C$9, $D$9, 100%, $F$9) + CHOOSE(CONTROL!$C$27, 0.0021, 0)</f>
        <v>58.800199999999997</v>
      </c>
      <c r="L515" s="14"/>
    </row>
    <row r="516" spans="1:12" ht="15.75" x14ac:dyDescent="0.25">
      <c r="A516" s="32">
        <v>56645</v>
      </c>
      <c r="B516" s="14">
        <f>58.5106 * CHOOSE(CONTROL!$C$9, $D$9, 100%, $F$9) + CHOOSE(CONTROL!$C$27, 0.0021, 0)</f>
        <v>58.512699999999995</v>
      </c>
      <c r="C516" s="14">
        <f>58.0783 * CHOOSE(CONTROL!$C$9, $D$9, 100%, $F$9) + CHOOSE(CONTROL!$C$27, 0.0021, 0)</f>
        <v>58.080399999999997</v>
      </c>
      <c r="D516" s="14">
        <f>58.0783 * CHOOSE(CONTROL!$C$9, $D$9, 100%, $F$9) + CHOOSE(CONTROL!$C$27, 0.0021, 0)</f>
        <v>58.080399999999997</v>
      </c>
      <c r="E516" s="14">
        <f>57.9417 * CHOOSE(CONTROL!$C$9, $D$9, 100%, $F$9) + CHOOSE(CONTROL!$C$27, 0.0021, 0)</f>
        <v>57.943799999999996</v>
      </c>
      <c r="F516" s="14">
        <f>57.9417 * CHOOSE(CONTROL!$C$9, $D$9, 100%, $F$9) + CHOOSE(CONTROL!$C$27, 0.0021, 0)</f>
        <v>57.943799999999996</v>
      </c>
      <c r="G516" s="14">
        <f>58.213 * CHOOSE(CONTROL!$C$9, $D$9, 100%, $F$9) + CHOOSE(CONTROL!$C$27, 0.0021, 0)</f>
        <v>58.2151</v>
      </c>
      <c r="H516" s="14">
        <f>58.0783 * CHOOSE(CONTROL!$C$9, $D$9, 100%, $F$9) + CHOOSE(CONTROL!$C$27, 0.0021, 0)</f>
        <v>58.080399999999997</v>
      </c>
      <c r="I516" s="14">
        <f>58.0783 * CHOOSE(CONTROL!$C$9, $D$9, 100%, $F$9) + CHOOSE(CONTROL!$C$27, 0.0021, 0)</f>
        <v>58.080399999999997</v>
      </c>
      <c r="J516" s="14">
        <f>58.0783 * CHOOSE(CONTROL!$C$9, $D$9, 100%, $F$9) + CHOOSE(CONTROL!$C$27, 0.0021, 0)</f>
        <v>58.080399999999997</v>
      </c>
      <c r="K516" s="14">
        <f>58.0783 * CHOOSE(CONTROL!$C$9, $D$9, 100%, $F$9) + CHOOSE(CONTROL!$C$27, 0.0021, 0)</f>
        <v>58.080399999999997</v>
      </c>
      <c r="L516" s="14"/>
    </row>
    <row r="517" spans="1:12" ht="15.75" x14ac:dyDescent="0.25">
      <c r="A517" s="32">
        <v>56673</v>
      </c>
      <c r="B517" s="14">
        <f>56.9204 * CHOOSE(CONTROL!$C$9, $D$9, 100%, $F$9) + CHOOSE(CONTROL!$C$27, 0.0021, 0)</f>
        <v>56.922499999999999</v>
      </c>
      <c r="C517" s="14">
        <f>56.4882 * CHOOSE(CONTROL!$C$9, $D$9, 100%, $F$9) + CHOOSE(CONTROL!$C$27, 0.0021, 0)</f>
        <v>56.490299999999998</v>
      </c>
      <c r="D517" s="14">
        <f>56.4882 * CHOOSE(CONTROL!$C$9, $D$9, 100%, $F$9) + CHOOSE(CONTROL!$C$27, 0.0021, 0)</f>
        <v>56.490299999999998</v>
      </c>
      <c r="E517" s="14">
        <f>56.3515 * CHOOSE(CONTROL!$C$9, $D$9, 100%, $F$9) + CHOOSE(CONTROL!$C$27, 0.0021, 0)</f>
        <v>56.3536</v>
      </c>
      <c r="F517" s="14">
        <f>56.3515 * CHOOSE(CONTROL!$C$9, $D$9, 100%, $F$9) + CHOOSE(CONTROL!$C$27, 0.0021, 0)</f>
        <v>56.3536</v>
      </c>
      <c r="G517" s="14">
        <f>56.6229 * CHOOSE(CONTROL!$C$9, $D$9, 100%, $F$9) + CHOOSE(CONTROL!$C$27, 0.0021, 0)</f>
        <v>56.625</v>
      </c>
      <c r="H517" s="14">
        <f>56.4882 * CHOOSE(CONTROL!$C$9, $D$9, 100%, $F$9) + CHOOSE(CONTROL!$C$27, 0.0021, 0)</f>
        <v>56.490299999999998</v>
      </c>
      <c r="I517" s="14">
        <f>56.4882 * CHOOSE(CONTROL!$C$9, $D$9, 100%, $F$9) + CHOOSE(CONTROL!$C$27, 0.0021, 0)</f>
        <v>56.490299999999998</v>
      </c>
      <c r="J517" s="14">
        <f>56.4882 * CHOOSE(CONTROL!$C$9, $D$9, 100%, $F$9) + CHOOSE(CONTROL!$C$27, 0.0021, 0)</f>
        <v>56.490299999999998</v>
      </c>
      <c r="K517" s="14">
        <f>56.4882 * CHOOSE(CONTROL!$C$9, $D$9, 100%, $F$9) + CHOOSE(CONTROL!$C$27, 0.0021, 0)</f>
        <v>56.490299999999998</v>
      </c>
      <c r="L517" s="14"/>
    </row>
    <row r="518" spans="1:12" ht="15.75" x14ac:dyDescent="0.25">
      <c r="A518" s="32">
        <v>56704</v>
      </c>
      <c r="B518" s="14">
        <f>56.264 * CHOOSE(CONTROL!$C$9, $D$9, 100%, $F$9) + CHOOSE(CONTROL!$C$27, 0.0021, 0)</f>
        <v>56.266100000000002</v>
      </c>
      <c r="C518" s="14">
        <f>55.8318 * CHOOSE(CONTROL!$C$9, $D$9, 100%, $F$9) + CHOOSE(CONTROL!$C$27, 0.0021, 0)</f>
        <v>55.8339</v>
      </c>
      <c r="D518" s="14">
        <f>55.8318 * CHOOSE(CONTROL!$C$9, $D$9, 100%, $F$9) + CHOOSE(CONTROL!$C$27, 0.0021, 0)</f>
        <v>55.8339</v>
      </c>
      <c r="E518" s="14">
        <f>55.6951 * CHOOSE(CONTROL!$C$9, $D$9, 100%, $F$9) + CHOOSE(CONTROL!$C$27, 0.0021, 0)</f>
        <v>55.697199999999995</v>
      </c>
      <c r="F518" s="14">
        <f>55.6951 * CHOOSE(CONTROL!$C$9, $D$9, 100%, $F$9) + CHOOSE(CONTROL!$C$27, 0.0021, 0)</f>
        <v>55.697199999999995</v>
      </c>
      <c r="G518" s="14">
        <f>55.9665 * CHOOSE(CONTROL!$C$9, $D$9, 100%, $F$9) + CHOOSE(CONTROL!$C$27, 0.0021, 0)</f>
        <v>55.968600000000002</v>
      </c>
      <c r="H518" s="14">
        <f>55.8318 * CHOOSE(CONTROL!$C$9, $D$9, 100%, $F$9) + CHOOSE(CONTROL!$C$27, 0.0021, 0)</f>
        <v>55.8339</v>
      </c>
      <c r="I518" s="14">
        <f>55.8318 * CHOOSE(CONTROL!$C$9, $D$9, 100%, $F$9) + CHOOSE(CONTROL!$C$27, 0.0021, 0)</f>
        <v>55.8339</v>
      </c>
      <c r="J518" s="14">
        <f>55.8318 * CHOOSE(CONTROL!$C$9, $D$9, 100%, $F$9) + CHOOSE(CONTROL!$C$27, 0.0021, 0)</f>
        <v>55.8339</v>
      </c>
      <c r="K518" s="14">
        <f>55.8318 * CHOOSE(CONTROL!$C$9, $D$9, 100%, $F$9) + CHOOSE(CONTROL!$C$27, 0.0021, 0)</f>
        <v>55.8339</v>
      </c>
      <c r="L518" s="14"/>
    </row>
    <row r="519" spans="1:12" ht="15.75" x14ac:dyDescent="0.25">
      <c r="A519" s="32">
        <v>56734</v>
      </c>
      <c r="B519" s="14">
        <f>55.4802 * CHOOSE(CONTROL!$C$9, $D$9, 100%, $F$9) + CHOOSE(CONTROL!$C$27, 0.0021, 0)</f>
        <v>55.482300000000002</v>
      </c>
      <c r="C519" s="14">
        <f>55.048 * CHOOSE(CONTROL!$C$9, $D$9, 100%, $F$9) + CHOOSE(CONTROL!$C$27, 0.0021, 0)</f>
        <v>55.0501</v>
      </c>
      <c r="D519" s="14">
        <f>55.048 * CHOOSE(CONTROL!$C$9, $D$9, 100%, $F$9) + CHOOSE(CONTROL!$C$27, 0.0021, 0)</f>
        <v>55.0501</v>
      </c>
      <c r="E519" s="14">
        <f>54.9113 * CHOOSE(CONTROL!$C$9, $D$9, 100%, $F$9) + CHOOSE(CONTROL!$C$27, 0.0021, 0)</f>
        <v>54.913399999999996</v>
      </c>
      <c r="F519" s="14">
        <f>54.9113 * CHOOSE(CONTROL!$C$9, $D$9, 100%, $F$9) + CHOOSE(CONTROL!$C$27, 0.0021, 0)</f>
        <v>54.913399999999996</v>
      </c>
      <c r="G519" s="14">
        <f>55.1827 * CHOOSE(CONTROL!$C$9, $D$9, 100%, $F$9) + CHOOSE(CONTROL!$C$27, 0.0021, 0)</f>
        <v>55.184799999999996</v>
      </c>
      <c r="H519" s="14">
        <f>55.048 * CHOOSE(CONTROL!$C$9, $D$9, 100%, $F$9) + CHOOSE(CONTROL!$C$27, 0.0021, 0)</f>
        <v>55.0501</v>
      </c>
      <c r="I519" s="14">
        <f>55.048 * CHOOSE(CONTROL!$C$9, $D$9, 100%, $F$9) + CHOOSE(CONTROL!$C$27, 0.0021, 0)</f>
        <v>55.0501</v>
      </c>
      <c r="J519" s="14">
        <f>55.048 * CHOOSE(CONTROL!$C$9, $D$9, 100%, $F$9) + CHOOSE(CONTROL!$C$27, 0.0021, 0)</f>
        <v>55.0501</v>
      </c>
      <c r="K519" s="14">
        <f>55.048 * CHOOSE(CONTROL!$C$9, $D$9, 100%, $F$9) + CHOOSE(CONTROL!$C$27, 0.0021, 0)</f>
        <v>55.0501</v>
      </c>
      <c r="L519" s="14"/>
    </row>
    <row r="520" spans="1:12" ht="15.75" x14ac:dyDescent="0.25">
      <c r="A520" s="32">
        <v>56765</v>
      </c>
      <c r="B520" s="14">
        <f>56.5972 * CHOOSE(CONTROL!$C$9, $D$9, 100%, $F$9) + CHOOSE(CONTROL!$C$27, 0.0021, 0)</f>
        <v>56.599299999999999</v>
      </c>
      <c r="C520" s="14">
        <f>56.165 * CHOOSE(CONTROL!$C$9, $D$9, 100%, $F$9) + CHOOSE(CONTROL!$C$27, 0.0021, 0)</f>
        <v>56.167099999999998</v>
      </c>
      <c r="D520" s="14">
        <f>56.165 * CHOOSE(CONTROL!$C$9, $D$9, 100%, $F$9) + CHOOSE(CONTROL!$C$27, 0.0021, 0)</f>
        <v>56.167099999999998</v>
      </c>
      <c r="E520" s="14">
        <f>56.0283 * CHOOSE(CONTROL!$C$9, $D$9, 100%, $F$9) + CHOOSE(CONTROL!$C$27, 0.0021, 0)</f>
        <v>56.0304</v>
      </c>
      <c r="F520" s="14">
        <f>56.0283 * CHOOSE(CONTROL!$C$9, $D$9, 100%, $F$9) + CHOOSE(CONTROL!$C$27, 0.0021, 0)</f>
        <v>56.0304</v>
      </c>
      <c r="G520" s="14">
        <f>56.2997 * CHOOSE(CONTROL!$C$9, $D$9, 100%, $F$9) + CHOOSE(CONTROL!$C$27, 0.0021, 0)</f>
        <v>56.3018</v>
      </c>
      <c r="H520" s="14">
        <f>56.165 * CHOOSE(CONTROL!$C$9, $D$9, 100%, $F$9) + CHOOSE(CONTROL!$C$27, 0.0021, 0)</f>
        <v>56.167099999999998</v>
      </c>
      <c r="I520" s="14">
        <f>56.165 * CHOOSE(CONTROL!$C$9, $D$9, 100%, $F$9) + CHOOSE(CONTROL!$C$27, 0.0021, 0)</f>
        <v>56.167099999999998</v>
      </c>
      <c r="J520" s="14">
        <f>56.165 * CHOOSE(CONTROL!$C$9, $D$9, 100%, $F$9) + CHOOSE(CONTROL!$C$27, 0.0021, 0)</f>
        <v>56.167099999999998</v>
      </c>
      <c r="K520" s="14">
        <f>56.165 * CHOOSE(CONTROL!$C$9, $D$9, 100%, $F$9) + CHOOSE(CONTROL!$C$27, 0.0021, 0)</f>
        <v>56.167099999999998</v>
      </c>
      <c r="L520" s="14"/>
    </row>
    <row r="521" spans="1:12" ht="15.75" x14ac:dyDescent="0.25">
      <c r="A521" s="32">
        <v>56795</v>
      </c>
      <c r="B521" s="14">
        <f>57.2662 * CHOOSE(CONTROL!$C$9, $D$9, 100%, $F$9) + CHOOSE(CONTROL!$C$27, 0.0021, 0)</f>
        <v>57.268299999999996</v>
      </c>
      <c r="C521" s="14">
        <f>56.834 * CHOOSE(CONTROL!$C$9, $D$9, 100%, $F$9) + CHOOSE(CONTROL!$C$27, 0.0021, 0)</f>
        <v>56.836100000000002</v>
      </c>
      <c r="D521" s="14">
        <f>56.834 * CHOOSE(CONTROL!$C$9, $D$9, 100%, $F$9) + CHOOSE(CONTROL!$C$27, 0.0021, 0)</f>
        <v>56.836100000000002</v>
      </c>
      <c r="E521" s="14">
        <f>56.6973 * CHOOSE(CONTROL!$C$9, $D$9, 100%, $F$9) + CHOOSE(CONTROL!$C$27, 0.0021, 0)</f>
        <v>56.699399999999997</v>
      </c>
      <c r="F521" s="14">
        <f>56.6973 * CHOOSE(CONTROL!$C$9, $D$9, 100%, $F$9) + CHOOSE(CONTROL!$C$27, 0.0021, 0)</f>
        <v>56.699399999999997</v>
      </c>
      <c r="G521" s="14">
        <f>56.9687 * CHOOSE(CONTROL!$C$9, $D$9, 100%, $F$9) + CHOOSE(CONTROL!$C$27, 0.0021, 0)</f>
        <v>56.970799999999997</v>
      </c>
      <c r="H521" s="14">
        <f>56.834 * CHOOSE(CONTROL!$C$9, $D$9, 100%, $F$9) + CHOOSE(CONTROL!$C$27, 0.0021, 0)</f>
        <v>56.836100000000002</v>
      </c>
      <c r="I521" s="14">
        <f>56.834 * CHOOSE(CONTROL!$C$9, $D$9, 100%, $F$9) + CHOOSE(CONTROL!$C$27, 0.0021, 0)</f>
        <v>56.836100000000002</v>
      </c>
      <c r="J521" s="14">
        <f>56.834 * CHOOSE(CONTROL!$C$9, $D$9, 100%, $F$9) + CHOOSE(CONTROL!$C$27, 0.0021, 0)</f>
        <v>56.836100000000002</v>
      </c>
      <c r="K521" s="14">
        <f>56.834 * CHOOSE(CONTROL!$C$9, $D$9, 100%, $F$9) + CHOOSE(CONTROL!$C$27, 0.0021, 0)</f>
        <v>56.836100000000002</v>
      </c>
      <c r="L521" s="14"/>
    </row>
    <row r="522" spans="1:12" ht="15.75" x14ac:dyDescent="0.25">
      <c r="A522" s="32">
        <v>56826</v>
      </c>
      <c r="B522" s="14">
        <f>58.3699 * CHOOSE(CONTROL!$C$9, $D$9, 100%, $F$9) + CHOOSE(CONTROL!$C$27, 0.0021, 0)</f>
        <v>58.372</v>
      </c>
      <c r="C522" s="14">
        <f>57.9376 * CHOOSE(CONTROL!$C$9, $D$9, 100%, $F$9) + CHOOSE(CONTROL!$C$27, 0.0021, 0)</f>
        <v>57.939700000000002</v>
      </c>
      <c r="D522" s="14">
        <f>57.9376 * CHOOSE(CONTROL!$C$9, $D$9, 100%, $F$9) + CHOOSE(CONTROL!$C$27, 0.0021, 0)</f>
        <v>57.939700000000002</v>
      </c>
      <c r="E522" s="14">
        <f>57.8009 * CHOOSE(CONTROL!$C$9, $D$9, 100%, $F$9) + CHOOSE(CONTROL!$C$27, 0.0021, 0)</f>
        <v>57.802999999999997</v>
      </c>
      <c r="F522" s="14">
        <f>57.8009 * CHOOSE(CONTROL!$C$9, $D$9, 100%, $F$9) + CHOOSE(CONTROL!$C$27, 0.0021, 0)</f>
        <v>57.802999999999997</v>
      </c>
      <c r="G522" s="14">
        <f>58.0723 * CHOOSE(CONTROL!$C$9, $D$9, 100%, $F$9) + CHOOSE(CONTROL!$C$27, 0.0021, 0)</f>
        <v>58.074399999999997</v>
      </c>
      <c r="H522" s="14">
        <f>57.9376 * CHOOSE(CONTROL!$C$9, $D$9, 100%, $F$9) + CHOOSE(CONTROL!$C$27, 0.0021, 0)</f>
        <v>57.939700000000002</v>
      </c>
      <c r="I522" s="14">
        <f>57.9376 * CHOOSE(CONTROL!$C$9, $D$9, 100%, $F$9) + CHOOSE(CONTROL!$C$27, 0.0021, 0)</f>
        <v>57.939700000000002</v>
      </c>
      <c r="J522" s="14">
        <f>57.9376 * CHOOSE(CONTROL!$C$9, $D$9, 100%, $F$9) + CHOOSE(CONTROL!$C$27, 0.0021, 0)</f>
        <v>57.939700000000002</v>
      </c>
      <c r="K522" s="14">
        <f>57.9376 * CHOOSE(CONTROL!$C$9, $D$9, 100%, $F$9) + CHOOSE(CONTROL!$C$27, 0.0021, 0)</f>
        <v>57.939700000000002</v>
      </c>
      <c r="L522" s="14"/>
    </row>
    <row r="523" spans="1:12" ht="15.75" x14ac:dyDescent="0.25">
      <c r="A523" s="32">
        <v>56857</v>
      </c>
      <c r="B523" s="14">
        <f>58.7067 * CHOOSE(CONTROL!$C$9, $D$9, 100%, $F$9) + CHOOSE(CONTROL!$C$27, 0.0021, 0)</f>
        <v>58.708799999999997</v>
      </c>
      <c r="C523" s="14">
        <f>58.2745 * CHOOSE(CONTROL!$C$9, $D$9, 100%, $F$9) + CHOOSE(CONTROL!$C$27, 0.0021, 0)</f>
        <v>58.276600000000002</v>
      </c>
      <c r="D523" s="14">
        <f>58.2745 * CHOOSE(CONTROL!$C$9, $D$9, 100%, $F$9) + CHOOSE(CONTROL!$C$27, 0.0021, 0)</f>
        <v>58.276600000000002</v>
      </c>
      <c r="E523" s="14">
        <f>58.1378 * CHOOSE(CONTROL!$C$9, $D$9, 100%, $F$9) + CHOOSE(CONTROL!$C$27, 0.0021, 0)</f>
        <v>58.139899999999997</v>
      </c>
      <c r="F523" s="14">
        <f>58.1378 * CHOOSE(CONTROL!$C$9, $D$9, 100%, $F$9) + CHOOSE(CONTROL!$C$27, 0.0021, 0)</f>
        <v>58.139899999999997</v>
      </c>
      <c r="G523" s="14">
        <f>58.4092 * CHOOSE(CONTROL!$C$9, $D$9, 100%, $F$9) + CHOOSE(CONTROL!$C$27, 0.0021, 0)</f>
        <v>58.411299999999997</v>
      </c>
      <c r="H523" s="14">
        <f>58.2745 * CHOOSE(CONTROL!$C$9, $D$9, 100%, $F$9) + CHOOSE(CONTROL!$C$27, 0.0021, 0)</f>
        <v>58.276600000000002</v>
      </c>
      <c r="I523" s="14">
        <f>58.2745 * CHOOSE(CONTROL!$C$9, $D$9, 100%, $F$9) + CHOOSE(CONTROL!$C$27, 0.0021, 0)</f>
        <v>58.276600000000002</v>
      </c>
      <c r="J523" s="14">
        <f>58.2745 * CHOOSE(CONTROL!$C$9, $D$9, 100%, $F$9) + CHOOSE(CONTROL!$C$27, 0.0021, 0)</f>
        <v>58.276600000000002</v>
      </c>
      <c r="K523" s="14">
        <f>58.2745 * CHOOSE(CONTROL!$C$9, $D$9, 100%, $F$9) + CHOOSE(CONTROL!$C$27, 0.0021, 0)</f>
        <v>58.276600000000002</v>
      </c>
      <c r="L523" s="14"/>
    </row>
    <row r="524" spans="1:12" ht="15.75" x14ac:dyDescent="0.25">
      <c r="A524" s="32">
        <v>56887</v>
      </c>
      <c r="B524" s="14">
        <f>59.8539 * CHOOSE(CONTROL!$C$9, $D$9, 100%, $F$9) + CHOOSE(CONTROL!$C$27, 0.0021, 0)</f>
        <v>59.856000000000002</v>
      </c>
      <c r="C524" s="14">
        <f>59.4217 * CHOOSE(CONTROL!$C$9, $D$9, 100%, $F$9) + CHOOSE(CONTROL!$C$27, 0.0021, 0)</f>
        <v>59.4238</v>
      </c>
      <c r="D524" s="14">
        <f>59.4217 * CHOOSE(CONTROL!$C$9, $D$9, 100%, $F$9) + CHOOSE(CONTROL!$C$27, 0.0021, 0)</f>
        <v>59.4238</v>
      </c>
      <c r="E524" s="14">
        <f>59.285 * CHOOSE(CONTROL!$C$9, $D$9, 100%, $F$9) + CHOOSE(CONTROL!$C$27, 0.0021, 0)</f>
        <v>59.287099999999995</v>
      </c>
      <c r="F524" s="14">
        <f>59.285 * CHOOSE(CONTROL!$C$9, $D$9, 100%, $F$9) + CHOOSE(CONTROL!$C$27, 0.0021, 0)</f>
        <v>59.287099999999995</v>
      </c>
      <c r="G524" s="14">
        <f>59.5564 * CHOOSE(CONTROL!$C$9, $D$9, 100%, $F$9) + CHOOSE(CONTROL!$C$27, 0.0021, 0)</f>
        <v>59.558499999999995</v>
      </c>
      <c r="H524" s="14">
        <f>59.4217 * CHOOSE(CONTROL!$C$9, $D$9, 100%, $F$9) + CHOOSE(CONTROL!$C$27, 0.0021, 0)</f>
        <v>59.4238</v>
      </c>
      <c r="I524" s="14">
        <f>59.4217 * CHOOSE(CONTROL!$C$9, $D$9, 100%, $F$9) + CHOOSE(CONTROL!$C$27, 0.0021, 0)</f>
        <v>59.4238</v>
      </c>
      <c r="J524" s="14">
        <f>59.4217 * CHOOSE(CONTROL!$C$9, $D$9, 100%, $F$9) + CHOOSE(CONTROL!$C$27, 0.0021, 0)</f>
        <v>59.4238</v>
      </c>
      <c r="K524" s="14">
        <f>59.4217 * CHOOSE(CONTROL!$C$9, $D$9, 100%, $F$9) + CHOOSE(CONTROL!$C$27, 0.0021, 0)</f>
        <v>59.4238</v>
      </c>
      <c r="L524" s="14"/>
    </row>
    <row r="525" spans="1:12" ht="15.75" x14ac:dyDescent="0.25">
      <c r="A525" s="32">
        <v>56918</v>
      </c>
      <c r="B525" s="14">
        <f>61.306 * CHOOSE(CONTROL!$C$9, $D$9, 100%, $F$9) + CHOOSE(CONTROL!$C$27, 0.0021, 0)</f>
        <v>61.308099999999996</v>
      </c>
      <c r="C525" s="14">
        <f>60.8738 * CHOOSE(CONTROL!$C$9, $D$9, 100%, $F$9) + CHOOSE(CONTROL!$C$27, 0.0021, 0)</f>
        <v>60.875900000000001</v>
      </c>
      <c r="D525" s="14">
        <f>60.8738 * CHOOSE(CONTROL!$C$9, $D$9, 100%, $F$9) + CHOOSE(CONTROL!$C$27, 0.0021, 0)</f>
        <v>60.875900000000001</v>
      </c>
      <c r="E525" s="14">
        <f>60.7371 * CHOOSE(CONTROL!$C$9, $D$9, 100%, $F$9) + CHOOSE(CONTROL!$C$27, 0.0021, 0)</f>
        <v>60.739199999999997</v>
      </c>
      <c r="F525" s="14">
        <f>60.7371 * CHOOSE(CONTROL!$C$9, $D$9, 100%, $F$9) + CHOOSE(CONTROL!$C$27, 0.0021, 0)</f>
        <v>60.739199999999997</v>
      </c>
      <c r="G525" s="14">
        <f>61.0085 * CHOOSE(CONTROL!$C$9, $D$9, 100%, $F$9) + CHOOSE(CONTROL!$C$27, 0.0021, 0)</f>
        <v>61.010599999999997</v>
      </c>
      <c r="H525" s="14">
        <f>60.8738 * CHOOSE(CONTROL!$C$9, $D$9, 100%, $F$9) + CHOOSE(CONTROL!$C$27, 0.0021, 0)</f>
        <v>60.875900000000001</v>
      </c>
      <c r="I525" s="14">
        <f>60.8738 * CHOOSE(CONTROL!$C$9, $D$9, 100%, $F$9) + CHOOSE(CONTROL!$C$27, 0.0021, 0)</f>
        <v>60.875900000000001</v>
      </c>
      <c r="J525" s="14">
        <f>60.8738 * CHOOSE(CONTROL!$C$9, $D$9, 100%, $F$9) + CHOOSE(CONTROL!$C$27, 0.0021, 0)</f>
        <v>60.875900000000001</v>
      </c>
      <c r="K525" s="14">
        <f>60.8738 * CHOOSE(CONTROL!$C$9, $D$9, 100%, $F$9) + CHOOSE(CONTROL!$C$27, 0.0021, 0)</f>
        <v>60.875900000000001</v>
      </c>
      <c r="L525" s="14"/>
    </row>
    <row r="526" spans="1:12" ht="15.75" x14ac:dyDescent="0.25">
      <c r="A526" s="32">
        <v>56948</v>
      </c>
      <c r="B526" s="14">
        <f>61.4424 * CHOOSE(CONTROL!$C$9, $D$9, 100%, $F$9) + CHOOSE(CONTROL!$C$27, 0.0021, 0)</f>
        <v>61.444499999999998</v>
      </c>
      <c r="C526" s="14">
        <f>61.0101 * CHOOSE(CONTROL!$C$9, $D$9, 100%, $F$9) + CHOOSE(CONTROL!$C$27, 0.0021, 0)</f>
        <v>61.0122</v>
      </c>
      <c r="D526" s="14">
        <f>61.0101 * CHOOSE(CONTROL!$C$9, $D$9, 100%, $F$9) + CHOOSE(CONTROL!$C$27, 0.0021, 0)</f>
        <v>61.0122</v>
      </c>
      <c r="E526" s="14">
        <f>60.8735 * CHOOSE(CONTROL!$C$9, $D$9, 100%, $F$9) + CHOOSE(CONTROL!$C$27, 0.0021, 0)</f>
        <v>60.875599999999999</v>
      </c>
      <c r="F526" s="14">
        <f>60.8735 * CHOOSE(CONTROL!$C$9, $D$9, 100%, $F$9) + CHOOSE(CONTROL!$C$27, 0.0021, 0)</f>
        <v>60.875599999999999</v>
      </c>
      <c r="G526" s="14">
        <f>61.1448 * CHOOSE(CONTROL!$C$9, $D$9, 100%, $F$9) + CHOOSE(CONTROL!$C$27, 0.0021, 0)</f>
        <v>61.146899999999995</v>
      </c>
      <c r="H526" s="14">
        <f>61.0101 * CHOOSE(CONTROL!$C$9, $D$9, 100%, $F$9) + CHOOSE(CONTROL!$C$27, 0.0021, 0)</f>
        <v>61.0122</v>
      </c>
      <c r="I526" s="14">
        <f>61.0101 * CHOOSE(CONTROL!$C$9, $D$9, 100%, $F$9) + CHOOSE(CONTROL!$C$27, 0.0021, 0)</f>
        <v>61.0122</v>
      </c>
      <c r="J526" s="14">
        <f>61.0101 * CHOOSE(CONTROL!$C$9, $D$9, 100%, $F$9) + CHOOSE(CONTROL!$C$27, 0.0021, 0)</f>
        <v>61.0122</v>
      </c>
      <c r="K526" s="14">
        <f>61.0101 * CHOOSE(CONTROL!$C$9, $D$9, 100%, $F$9) + CHOOSE(CONTROL!$C$27, 0.0021, 0)</f>
        <v>61.0122</v>
      </c>
      <c r="L526" s="14"/>
    </row>
    <row r="527" spans="1:12" ht="15.75" x14ac:dyDescent="0.25">
      <c r="A527" s="32">
        <v>56979</v>
      </c>
      <c r="B527" s="14">
        <f>60.2826 * CHOOSE(CONTROL!$C$9, $D$9, 100%, $F$9) + CHOOSE(CONTROL!$C$27, 0.0021, 0)</f>
        <v>60.284700000000001</v>
      </c>
      <c r="C527" s="14">
        <f>59.8503 * CHOOSE(CONTROL!$C$9, $D$9, 100%, $F$9) + CHOOSE(CONTROL!$C$27, 0.0021, 0)</f>
        <v>59.852399999999996</v>
      </c>
      <c r="D527" s="14">
        <f>59.8503 * CHOOSE(CONTROL!$C$9, $D$9, 100%, $F$9) + CHOOSE(CONTROL!$C$27, 0.0021, 0)</f>
        <v>59.852399999999996</v>
      </c>
      <c r="E527" s="14">
        <f>59.7137 * CHOOSE(CONTROL!$C$9, $D$9, 100%, $F$9) + CHOOSE(CONTROL!$C$27, 0.0021, 0)</f>
        <v>59.715800000000002</v>
      </c>
      <c r="F527" s="14">
        <f>59.7137 * CHOOSE(CONTROL!$C$9, $D$9, 100%, $F$9) + CHOOSE(CONTROL!$C$27, 0.0021, 0)</f>
        <v>59.715800000000002</v>
      </c>
      <c r="G527" s="14">
        <f>59.985 * CHOOSE(CONTROL!$C$9, $D$9, 100%, $F$9) + CHOOSE(CONTROL!$C$27, 0.0021, 0)</f>
        <v>59.987099999999998</v>
      </c>
      <c r="H527" s="14">
        <f>59.8503 * CHOOSE(CONTROL!$C$9, $D$9, 100%, $F$9) + CHOOSE(CONTROL!$C$27, 0.0021, 0)</f>
        <v>59.852399999999996</v>
      </c>
      <c r="I527" s="14">
        <f>59.8503 * CHOOSE(CONTROL!$C$9, $D$9, 100%, $F$9) + CHOOSE(CONTROL!$C$27, 0.0021, 0)</f>
        <v>59.852399999999996</v>
      </c>
      <c r="J527" s="14">
        <f>59.8503 * CHOOSE(CONTROL!$C$9, $D$9, 100%, $F$9) + CHOOSE(CONTROL!$C$27, 0.0021, 0)</f>
        <v>59.852399999999996</v>
      </c>
      <c r="K527" s="14">
        <f>59.8503 * CHOOSE(CONTROL!$C$9, $D$9, 100%, $F$9) + CHOOSE(CONTROL!$C$27, 0.0021, 0)</f>
        <v>59.852399999999996</v>
      </c>
      <c r="L527" s="14"/>
    </row>
    <row r="528" spans="1:12" ht="15.75" x14ac:dyDescent="0.25">
      <c r="A528" s="32">
        <v>57010</v>
      </c>
      <c r="B528" s="14">
        <f>59.5495 * CHOOSE(CONTROL!$C$9, $D$9, 100%, $F$9) + CHOOSE(CONTROL!$C$27, 0.0021, 0)</f>
        <v>59.551600000000001</v>
      </c>
      <c r="C528" s="14">
        <f>59.1173 * CHOOSE(CONTROL!$C$9, $D$9, 100%, $F$9) + CHOOSE(CONTROL!$C$27, 0.0021, 0)</f>
        <v>59.119399999999999</v>
      </c>
      <c r="D528" s="14">
        <f>59.1173 * CHOOSE(CONTROL!$C$9, $D$9, 100%, $F$9) + CHOOSE(CONTROL!$C$27, 0.0021, 0)</f>
        <v>59.119399999999999</v>
      </c>
      <c r="E528" s="14">
        <f>58.9806 * CHOOSE(CONTROL!$C$9, $D$9, 100%, $F$9) + CHOOSE(CONTROL!$C$27, 0.0021, 0)</f>
        <v>58.982700000000001</v>
      </c>
      <c r="F528" s="14">
        <f>58.9806 * CHOOSE(CONTROL!$C$9, $D$9, 100%, $F$9) + CHOOSE(CONTROL!$C$27, 0.0021, 0)</f>
        <v>58.982700000000001</v>
      </c>
      <c r="G528" s="14">
        <f>59.252 * CHOOSE(CONTROL!$C$9, $D$9, 100%, $F$9) + CHOOSE(CONTROL!$C$27, 0.0021, 0)</f>
        <v>59.254100000000001</v>
      </c>
      <c r="H528" s="14">
        <f>59.1173 * CHOOSE(CONTROL!$C$9, $D$9, 100%, $F$9) + CHOOSE(CONTROL!$C$27, 0.0021, 0)</f>
        <v>59.119399999999999</v>
      </c>
      <c r="I528" s="14">
        <f>59.1173 * CHOOSE(CONTROL!$C$9, $D$9, 100%, $F$9) + CHOOSE(CONTROL!$C$27, 0.0021, 0)</f>
        <v>59.119399999999999</v>
      </c>
      <c r="J528" s="14">
        <f>59.1173 * CHOOSE(CONTROL!$C$9, $D$9, 100%, $F$9) + CHOOSE(CONTROL!$C$27, 0.0021, 0)</f>
        <v>59.119399999999999</v>
      </c>
      <c r="K528" s="14">
        <f>59.1173 * CHOOSE(CONTROL!$C$9, $D$9, 100%, $F$9) + CHOOSE(CONTROL!$C$27, 0.0021, 0)</f>
        <v>59.119399999999999</v>
      </c>
      <c r="L528" s="14"/>
    </row>
    <row r="529" spans="1:12" ht="15.75" x14ac:dyDescent="0.25">
      <c r="A529" s="32">
        <v>57038</v>
      </c>
      <c r="B529" s="14">
        <f>57.93 * CHOOSE(CONTROL!$C$9, $D$9, 100%, $F$9) + CHOOSE(CONTROL!$C$27, 0.0021, 0)</f>
        <v>57.932099999999998</v>
      </c>
      <c r="C529" s="14">
        <f>57.4977 * CHOOSE(CONTROL!$C$9, $D$9, 100%, $F$9) + CHOOSE(CONTROL!$C$27, 0.0021, 0)</f>
        <v>57.4998</v>
      </c>
      <c r="D529" s="14">
        <f>57.4977 * CHOOSE(CONTROL!$C$9, $D$9, 100%, $F$9) + CHOOSE(CONTROL!$C$27, 0.0021, 0)</f>
        <v>57.4998</v>
      </c>
      <c r="E529" s="14">
        <f>57.3611 * CHOOSE(CONTROL!$C$9, $D$9, 100%, $F$9) + CHOOSE(CONTROL!$C$27, 0.0021, 0)</f>
        <v>57.363199999999999</v>
      </c>
      <c r="F529" s="14">
        <f>57.3611 * CHOOSE(CONTROL!$C$9, $D$9, 100%, $F$9) + CHOOSE(CONTROL!$C$27, 0.0021, 0)</f>
        <v>57.363199999999999</v>
      </c>
      <c r="G529" s="14">
        <f>57.6325 * CHOOSE(CONTROL!$C$9, $D$9, 100%, $F$9) + CHOOSE(CONTROL!$C$27, 0.0021, 0)</f>
        <v>57.634599999999999</v>
      </c>
      <c r="H529" s="14">
        <f>57.4977 * CHOOSE(CONTROL!$C$9, $D$9, 100%, $F$9) + CHOOSE(CONTROL!$C$27, 0.0021, 0)</f>
        <v>57.4998</v>
      </c>
      <c r="I529" s="14">
        <f>57.4977 * CHOOSE(CONTROL!$C$9, $D$9, 100%, $F$9) + CHOOSE(CONTROL!$C$27, 0.0021, 0)</f>
        <v>57.4998</v>
      </c>
      <c r="J529" s="14">
        <f>57.4977 * CHOOSE(CONTROL!$C$9, $D$9, 100%, $F$9) + CHOOSE(CONTROL!$C$27, 0.0021, 0)</f>
        <v>57.4998</v>
      </c>
      <c r="K529" s="14">
        <f>57.4977 * CHOOSE(CONTROL!$C$9, $D$9, 100%, $F$9) + CHOOSE(CONTROL!$C$27, 0.0021, 0)</f>
        <v>57.4998</v>
      </c>
      <c r="L529" s="14"/>
    </row>
    <row r="530" spans="1:12" ht="15.75" x14ac:dyDescent="0.25">
      <c r="A530" s="32">
        <v>57070</v>
      </c>
      <c r="B530" s="14">
        <f>57.2614 * CHOOSE(CONTROL!$C$9, $D$9, 100%, $F$9) + CHOOSE(CONTROL!$C$27, 0.0021, 0)</f>
        <v>57.263500000000001</v>
      </c>
      <c r="C530" s="14">
        <f>56.8292 * CHOOSE(CONTROL!$C$9, $D$9, 100%, $F$9) + CHOOSE(CONTROL!$C$27, 0.0021, 0)</f>
        <v>56.831299999999999</v>
      </c>
      <c r="D530" s="14">
        <f>56.8292 * CHOOSE(CONTROL!$C$9, $D$9, 100%, $F$9) + CHOOSE(CONTROL!$C$27, 0.0021, 0)</f>
        <v>56.831299999999999</v>
      </c>
      <c r="E530" s="14">
        <f>56.6925 * CHOOSE(CONTROL!$C$9, $D$9, 100%, $F$9) + CHOOSE(CONTROL!$C$27, 0.0021, 0)</f>
        <v>56.694600000000001</v>
      </c>
      <c r="F530" s="14">
        <f>56.6925 * CHOOSE(CONTROL!$C$9, $D$9, 100%, $F$9) + CHOOSE(CONTROL!$C$27, 0.0021, 0)</f>
        <v>56.694600000000001</v>
      </c>
      <c r="G530" s="14">
        <f>56.9639 * CHOOSE(CONTROL!$C$9, $D$9, 100%, $F$9) + CHOOSE(CONTROL!$C$27, 0.0021, 0)</f>
        <v>56.966000000000001</v>
      </c>
      <c r="H530" s="14">
        <f>56.8292 * CHOOSE(CONTROL!$C$9, $D$9, 100%, $F$9) + CHOOSE(CONTROL!$C$27, 0.0021, 0)</f>
        <v>56.831299999999999</v>
      </c>
      <c r="I530" s="14">
        <f>56.8292 * CHOOSE(CONTROL!$C$9, $D$9, 100%, $F$9) + CHOOSE(CONTROL!$C$27, 0.0021, 0)</f>
        <v>56.831299999999999</v>
      </c>
      <c r="J530" s="14">
        <f>56.8292 * CHOOSE(CONTROL!$C$9, $D$9, 100%, $F$9) + CHOOSE(CONTROL!$C$27, 0.0021, 0)</f>
        <v>56.831299999999999</v>
      </c>
      <c r="K530" s="14">
        <f>56.8292 * CHOOSE(CONTROL!$C$9, $D$9, 100%, $F$9) + CHOOSE(CONTROL!$C$27, 0.0021, 0)</f>
        <v>56.831299999999999</v>
      </c>
      <c r="L530" s="14"/>
    </row>
    <row r="531" spans="1:12" ht="15.75" x14ac:dyDescent="0.25">
      <c r="A531" s="32">
        <v>57100</v>
      </c>
      <c r="B531" s="14">
        <f>56.4632 * CHOOSE(CONTROL!$C$9, $D$9, 100%, $F$9) + CHOOSE(CONTROL!$C$27, 0.0021, 0)</f>
        <v>56.465299999999999</v>
      </c>
      <c r="C531" s="14">
        <f>56.0309 * CHOOSE(CONTROL!$C$9, $D$9, 100%, $F$9) + CHOOSE(CONTROL!$C$27, 0.0021, 0)</f>
        <v>56.033000000000001</v>
      </c>
      <c r="D531" s="14">
        <f>56.0309 * CHOOSE(CONTROL!$C$9, $D$9, 100%, $F$9) + CHOOSE(CONTROL!$C$27, 0.0021, 0)</f>
        <v>56.033000000000001</v>
      </c>
      <c r="E531" s="14">
        <f>55.8943 * CHOOSE(CONTROL!$C$9, $D$9, 100%, $F$9) + CHOOSE(CONTROL!$C$27, 0.0021, 0)</f>
        <v>55.8964</v>
      </c>
      <c r="F531" s="14">
        <f>55.8943 * CHOOSE(CONTROL!$C$9, $D$9, 100%, $F$9) + CHOOSE(CONTROL!$C$27, 0.0021, 0)</f>
        <v>55.8964</v>
      </c>
      <c r="G531" s="14">
        <f>56.1657 * CHOOSE(CONTROL!$C$9, $D$9, 100%, $F$9) + CHOOSE(CONTROL!$C$27, 0.0021, 0)</f>
        <v>56.1678</v>
      </c>
      <c r="H531" s="14">
        <f>56.0309 * CHOOSE(CONTROL!$C$9, $D$9, 100%, $F$9) + CHOOSE(CONTROL!$C$27, 0.0021, 0)</f>
        <v>56.033000000000001</v>
      </c>
      <c r="I531" s="14">
        <f>56.0309 * CHOOSE(CONTROL!$C$9, $D$9, 100%, $F$9) + CHOOSE(CONTROL!$C$27, 0.0021, 0)</f>
        <v>56.033000000000001</v>
      </c>
      <c r="J531" s="14">
        <f>56.0309 * CHOOSE(CONTROL!$C$9, $D$9, 100%, $F$9) + CHOOSE(CONTROL!$C$27, 0.0021, 0)</f>
        <v>56.033000000000001</v>
      </c>
      <c r="K531" s="14">
        <f>56.0309 * CHOOSE(CONTROL!$C$9, $D$9, 100%, $F$9) + CHOOSE(CONTROL!$C$27, 0.0021, 0)</f>
        <v>56.033000000000001</v>
      </c>
      <c r="L531" s="14"/>
    </row>
    <row r="532" spans="1:12" ht="15.75" x14ac:dyDescent="0.25">
      <c r="A532" s="32">
        <v>57131</v>
      </c>
      <c r="B532" s="14">
        <f>57.6008 * CHOOSE(CONTROL!$C$9, $D$9, 100%, $F$9) + CHOOSE(CONTROL!$C$27, 0.0021, 0)</f>
        <v>57.602899999999998</v>
      </c>
      <c r="C532" s="14">
        <f>57.1685 * CHOOSE(CONTROL!$C$9, $D$9, 100%, $F$9) + CHOOSE(CONTROL!$C$27, 0.0021, 0)</f>
        <v>57.1706</v>
      </c>
      <c r="D532" s="14">
        <f>57.1685 * CHOOSE(CONTROL!$C$9, $D$9, 100%, $F$9) + CHOOSE(CONTROL!$C$27, 0.0021, 0)</f>
        <v>57.1706</v>
      </c>
      <c r="E532" s="14">
        <f>57.0319 * CHOOSE(CONTROL!$C$9, $D$9, 100%, $F$9) + CHOOSE(CONTROL!$C$27, 0.0021, 0)</f>
        <v>57.033999999999999</v>
      </c>
      <c r="F532" s="14">
        <f>57.0319 * CHOOSE(CONTROL!$C$9, $D$9, 100%, $F$9) + CHOOSE(CONTROL!$C$27, 0.0021, 0)</f>
        <v>57.033999999999999</v>
      </c>
      <c r="G532" s="14">
        <f>57.3033 * CHOOSE(CONTROL!$C$9, $D$9, 100%, $F$9) + CHOOSE(CONTROL!$C$27, 0.0021, 0)</f>
        <v>57.305399999999999</v>
      </c>
      <c r="H532" s="14">
        <f>57.1685 * CHOOSE(CONTROL!$C$9, $D$9, 100%, $F$9) + CHOOSE(CONTROL!$C$27, 0.0021, 0)</f>
        <v>57.1706</v>
      </c>
      <c r="I532" s="14">
        <f>57.1685 * CHOOSE(CONTROL!$C$9, $D$9, 100%, $F$9) + CHOOSE(CONTROL!$C$27, 0.0021, 0)</f>
        <v>57.1706</v>
      </c>
      <c r="J532" s="14">
        <f>57.1685 * CHOOSE(CONTROL!$C$9, $D$9, 100%, $F$9) + CHOOSE(CONTROL!$C$27, 0.0021, 0)</f>
        <v>57.1706</v>
      </c>
      <c r="K532" s="14">
        <f>57.1685 * CHOOSE(CONTROL!$C$9, $D$9, 100%, $F$9) + CHOOSE(CONTROL!$C$27, 0.0021, 0)</f>
        <v>57.1706</v>
      </c>
      <c r="L532" s="14"/>
    </row>
    <row r="533" spans="1:12" ht="15.75" x14ac:dyDescent="0.25">
      <c r="A533" s="32">
        <v>57161</v>
      </c>
      <c r="B533" s="14">
        <f>58.2822 * CHOOSE(CONTROL!$C$9, $D$9, 100%, $F$9) + CHOOSE(CONTROL!$C$27, 0.0021, 0)</f>
        <v>58.284300000000002</v>
      </c>
      <c r="C533" s="14">
        <f>57.8499 * CHOOSE(CONTROL!$C$9, $D$9, 100%, $F$9) + CHOOSE(CONTROL!$C$27, 0.0021, 0)</f>
        <v>57.851999999999997</v>
      </c>
      <c r="D533" s="14">
        <f>57.8499 * CHOOSE(CONTROL!$C$9, $D$9, 100%, $F$9) + CHOOSE(CONTROL!$C$27, 0.0021, 0)</f>
        <v>57.851999999999997</v>
      </c>
      <c r="E533" s="14">
        <f>57.7133 * CHOOSE(CONTROL!$C$9, $D$9, 100%, $F$9) + CHOOSE(CONTROL!$C$27, 0.0021, 0)</f>
        <v>57.715399999999995</v>
      </c>
      <c r="F533" s="14">
        <f>57.7133 * CHOOSE(CONTROL!$C$9, $D$9, 100%, $F$9) + CHOOSE(CONTROL!$C$27, 0.0021, 0)</f>
        <v>57.715399999999995</v>
      </c>
      <c r="G533" s="14">
        <f>57.9846 * CHOOSE(CONTROL!$C$9, $D$9, 100%, $F$9) + CHOOSE(CONTROL!$C$27, 0.0021, 0)</f>
        <v>57.986699999999999</v>
      </c>
      <c r="H533" s="14">
        <f>57.8499 * CHOOSE(CONTROL!$C$9, $D$9, 100%, $F$9) + CHOOSE(CONTROL!$C$27, 0.0021, 0)</f>
        <v>57.851999999999997</v>
      </c>
      <c r="I533" s="14">
        <f>57.8499 * CHOOSE(CONTROL!$C$9, $D$9, 100%, $F$9) + CHOOSE(CONTROL!$C$27, 0.0021, 0)</f>
        <v>57.851999999999997</v>
      </c>
      <c r="J533" s="14">
        <f>57.8499 * CHOOSE(CONTROL!$C$9, $D$9, 100%, $F$9) + CHOOSE(CONTROL!$C$27, 0.0021, 0)</f>
        <v>57.851999999999997</v>
      </c>
      <c r="K533" s="14">
        <f>57.8499 * CHOOSE(CONTROL!$C$9, $D$9, 100%, $F$9) + CHOOSE(CONTROL!$C$27, 0.0021, 0)</f>
        <v>57.851999999999997</v>
      </c>
      <c r="L533" s="14"/>
    </row>
    <row r="534" spans="1:12" ht="15.75" x14ac:dyDescent="0.25">
      <c r="A534" s="32">
        <v>57192</v>
      </c>
      <c r="B534" s="14">
        <f>59.4062 * CHOOSE(CONTROL!$C$9, $D$9, 100%, $F$9) + CHOOSE(CONTROL!$C$27, 0.0021, 0)</f>
        <v>59.408299999999997</v>
      </c>
      <c r="C534" s="14">
        <f>58.974 * CHOOSE(CONTROL!$C$9, $D$9, 100%, $F$9) + CHOOSE(CONTROL!$C$27, 0.0021, 0)</f>
        <v>58.976099999999995</v>
      </c>
      <c r="D534" s="14">
        <f>58.974 * CHOOSE(CONTROL!$C$9, $D$9, 100%, $F$9) + CHOOSE(CONTROL!$C$27, 0.0021, 0)</f>
        <v>58.976099999999995</v>
      </c>
      <c r="E534" s="14">
        <f>58.8373 * CHOOSE(CONTROL!$C$9, $D$9, 100%, $F$9) + CHOOSE(CONTROL!$C$27, 0.0021, 0)</f>
        <v>58.839399999999998</v>
      </c>
      <c r="F534" s="14">
        <f>58.8373 * CHOOSE(CONTROL!$C$9, $D$9, 100%, $F$9) + CHOOSE(CONTROL!$C$27, 0.0021, 0)</f>
        <v>58.839399999999998</v>
      </c>
      <c r="G534" s="14">
        <f>59.1087 * CHOOSE(CONTROL!$C$9, $D$9, 100%, $F$9) + CHOOSE(CONTROL!$C$27, 0.0021, 0)</f>
        <v>59.110799999999998</v>
      </c>
      <c r="H534" s="14">
        <f>58.974 * CHOOSE(CONTROL!$C$9, $D$9, 100%, $F$9) + CHOOSE(CONTROL!$C$27, 0.0021, 0)</f>
        <v>58.976099999999995</v>
      </c>
      <c r="I534" s="14">
        <f>58.974 * CHOOSE(CONTROL!$C$9, $D$9, 100%, $F$9) + CHOOSE(CONTROL!$C$27, 0.0021, 0)</f>
        <v>58.976099999999995</v>
      </c>
      <c r="J534" s="14">
        <f>58.974 * CHOOSE(CONTROL!$C$9, $D$9, 100%, $F$9) + CHOOSE(CONTROL!$C$27, 0.0021, 0)</f>
        <v>58.976099999999995</v>
      </c>
      <c r="K534" s="14">
        <f>58.974 * CHOOSE(CONTROL!$C$9, $D$9, 100%, $F$9) + CHOOSE(CONTROL!$C$27, 0.0021, 0)</f>
        <v>58.976099999999995</v>
      </c>
      <c r="L534" s="14"/>
    </row>
    <row r="535" spans="1:12" ht="15.75" x14ac:dyDescent="0.25">
      <c r="A535" s="32">
        <v>57223</v>
      </c>
      <c r="B535" s="14">
        <f>59.7493 * CHOOSE(CONTROL!$C$9, $D$9, 100%, $F$9) + CHOOSE(CONTROL!$C$27, 0.0021, 0)</f>
        <v>59.751399999999997</v>
      </c>
      <c r="C535" s="14">
        <f>59.3171 * CHOOSE(CONTROL!$C$9, $D$9, 100%, $F$9) + CHOOSE(CONTROL!$C$27, 0.0021, 0)</f>
        <v>59.319200000000002</v>
      </c>
      <c r="D535" s="14">
        <f>59.3171 * CHOOSE(CONTROL!$C$9, $D$9, 100%, $F$9) + CHOOSE(CONTROL!$C$27, 0.0021, 0)</f>
        <v>59.319200000000002</v>
      </c>
      <c r="E535" s="14">
        <f>59.1804 * CHOOSE(CONTROL!$C$9, $D$9, 100%, $F$9) + CHOOSE(CONTROL!$C$27, 0.0021, 0)</f>
        <v>59.182499999999997</v>
      </c>
      <c r="F535" s="14">
        <f>59.1804 * CHOOSE(CONTROL!$C$9, $D$9, 100%, $F$9) + CHOOSE(CONTROL!$C$27, 0.0021, 0)</f>
        <v>59.182499999999997</v>
      </c>
      <c r="G535" s="14">
        <f>59.4518 * CHOOSE(CONTROL!$C$9, $D$9, 100%, $F$9) + CHOOSE(CONTROL!$C$27, 0.0021, 0)</f>
        <v>59.453899999999997</v>
      </c>
      <c r="H535" s="14">
        <f>59.3171 * CHOOSE(CONTROL!$C$9, $D$9, 100%, $F$9) + CHOOSE(CONTROL!$C$27, 0.0021, 0)</f>
        <v>59.319200000000002</v>
      </c>
      <c r="I535" s="14">
        <f>59.3171 * CHOOSE(CONTROL!$C$9, $D$9, 100%, $F$9) + CHOOSE(CONTROL!$C$27, 0.0021, 0)</f>
        <v>59.319200000000002</v>
      </c>
      <c r="J535" s="14">
        <f>59.3171 * CHOOSE(CONTROL!$C$9, $D$9, 100%, $F$9) + CHOOSE(CONTROL!$C$27, 0.0021, 0)</f>
        <v>59.319200000000002</v>
      </c>
      <c r="K535" s="14">
        <f>59.3171 * CHOOSE(CONTROL!$C$9, $D$9, 100%, $F$9) + CHOOSE(CONTROL!$C$27, 0.0021, 0)</f>
        <v>59.319200000000002</v>
      </c>
      <c r="L535" s="14"/>
    </row>
    <row r="536" spans="1:12" ht="15.75" x14ac:dyDescent="0.25">
      <c r="A536" s="32">
        <v>57253</v>
      </c>
      <c r="B536" s="14">
        <f>60.9177 * CHOOSE(CONTROL!$C$9, $D$9, 100%, $F$9) + CHOOSE(CONTROL!$C$27, 0.0021, 0)</f>
        <v>60.919800000000002</v>
      </c>
      <c r="C536" s="14">
        <f>60.4854 * CHOOSE(CONTROL!$C$9, $D$9, 100%, $F$9) + CHOOSE(CONTROL!$C$27, 0.0021, 0)</f>
        <v>60.487499999999997</v>
      </c>
      <c r="D536" s="14">
        <f>60.4854 * CHOOSE(CONTROL!$C$9, $D$9, 100%, $F$9) + CHOOSE(CONTROL!$C$27, 0.0021, 0)</f>
        <v>60.487499999999997</v>
      </c>
      <c r="E536" s="14">
        <f>60.3488 * CHOOSE(CONTROL!$C$9, $D$9, 100%, $F$9) + CHOOSE(CONTROL!$C$27, 0.0021, 0)</f>
        <v>60.350899999999996</v>
      </c>
      <c r="F536" s="14">
        <f>60.3488 * CHOOSE(CONTROL!$C$9, $D$9, 100%, $F$9) + CHOOSE(CONTROL!$C$27, 0.0021, 0)</f>
        <v>60.350899999999996</v>
      </c>
      <c r="G536" s="14">
        <f>60.6202 * CHOOSE(CONTROL!$C$9, $D$9, 100%, $F$9) + CHOOSE(CONTROL!$C$27, 0.0021, 0)</f>
        <v>60.622299999999996</v>
      </c>
      <c r="H536" s="14">
        <f>60.4854 * CHOOSE(CONTROL!$C$9, $D$9, 100%, $F$9) + CHOOSE(CONTROL!$C$27, 0.0021, 0)</f>
        <v>60.487499999999997</v>
      </c>
      <c r="I536" s="14">
        <f>60.4854 * CHOOSE(CONTROL!$C$9, $D$9, 100%, $F$9) + CHOOSE(CONTROL!$C$27, 0.0021, 0)</f>
        <v>60.487499999999997</v>
      </c>
      <c r="J536" s="14">
        <f>60.4854 * CHOOSE(CONTROL!$C$9, $D$9, 100%, $F$9) + CHOOSE(CONTROL!$C$27, 0.0021, 0)</f>
        <v>60.487499999999997</v>
      </c>
      <c r="K536" s="14">
        <f>60.4854 * CHOOSE(CONTROL!$C$9, $D$9, 100%, $F$9) + CHOOSE(CONTROL!$C$27, 0.0021, 0)</f>
        <v>60.487499999999997</v>
      </c>
      <c r="L536" s="14"/>
    </row>
    <row r="537" spans="1:12" ht="15.75" x14ac:dyDescent="0.25">
      <c r="A537" s="32">
        <v>57284</v>
      </c>
      <c r="B537" s="14">
        <f>62.3967 * CHOOSE(CONTROL!$C$9, $D$9, 100%, $F$9) + CHOOSE(CONTROL!$C$27, 0.0021, 0)</f>
        <v>62.398800000000001</v>
      </c>
      <c r="C537" s="14">
        <f>61.9644 * CHOOSE(CONTROL!$C$9, $D$9, 100%, $F$9) + CHOOSE(CONTROL!$C$27, 0.0021, 0)</f>
        <v>61.966499999999996</v>
      </c>
      <c r="D537" s="14">
        <f>61.9644 * CHOOSE(CONTROL!$C$9, $D$9, 100%, $F$9) + CHOOSE(CONTROL!$C$27, 0.0021, 0)</f>
        <v>61.966499999999996</v>
      </c>
      <c r="E537" s="14">
        <f>61.8278 * CHOOSE(CONTROL!$C$9, $D$9, 100%, $F$9) + CHOOSE(CONTROL!$C$27, 0.0021, 0)</f>
        <v>61.829900000000002</v>
      </c>
      <c r="F537" s="14">
        <f>61.8278 * CHOOSE(CONTROL!$C$9, $D$9, 100%, $F$9) + CHOOSE(CONTROL!$C$27, 0.0021, 0)</f>
        <v>61.829900000000002</v>
      </c>
      <c r="G537" s="14">
        <f>62.0991 * CHOOSE(CONTROL!$C$9, $D$9, 100%, $F$9) + CHOOSE(CONTROL!$C$27, 0.0021, 0)</f>
        <v>62.101199999999999</v>
      </c>
      <c r="H537" s="14">
        <f>61.9644 * CHOOSE(CONTROL!$C$9, $D$9, 100%, $F$9) + CHOOSE(CONTROL!$C$27, 0.0021, 0)</f>
        <v>61.966499999999996</v>
      </c>
      <c r="I537" s="14">
        <f>61.9644 * CHOOSE(CONTROL!$C$9, $D$9, 100%, $F$9) + CHOOSE(CONTROL!$C$27, 0.0021, 0)</f>
        <v>61.966499999999996</v>
      </c>
      <c r="J537" s="14">
        <f>61.9644 * CHOOSE(CONTROL!$C$9, $D$9, 100%, $F$9) + CHOOSE(CONTROL!$C$27, 0.0021, 0)</f>
        <v>61.966499999999996</v>
      </c>
      <c r="K537" s="14">
        <f>61.9644 * CHOOSE(CONTROL!$C$9, $D$9, 100%, $F$9) + CHOOSE(CONTROL!$C$27, 0.0021, 0)</f>
        <v>61.966499999999996</v>
      </c>
      <c r="L537" s="14"/>
    </row>
    <row r="538" spans="1:12" ht="15.75" x14ac:dyDescent="0.25">
      <c r="A538" s="32">
        <v>57314</v>
      </c>
      <c r="B538" s="14">
        <f>62.5355 * CHOOSE(CONTROL!$C$9, $D$9, 100%, $F$9) + CHOOSE(CONTROL!$C$27, 0.0021, 0)</f>
        <v>62.537599999999998</v>
      </c>
      <c r="C538" s="14">
        <f>62.1033 * CHOOSE(CONTROL!$C$9, $D$9, 100%, $F$9) + CHOOSE(CONTROL!$C$27, 0.0021, 0)</f>
        <v>62.105399999999996</v>
      </c>
      <c r="D538" s="14">
        <f>62.1033 * CHOOSE(CONTROL!$C$9, $D$9, 100%, $F$9) + CHOOSE(CONTROL!$C$27, 0.0021, 0)</f>
        <v>62.105399999999996</v>
      </c>
      <c r="E538" s="14">
        <f>61.9666 * CHOOSE(CONTROL!$C$9, $D$9, 100%, $F$9) + CHOOSE(CONTROL!$C$27, 0.0021, 0)</f>
        <v>61.968699999999998</v>
      </c>
      <c r="F538" s="14">
        <f>61.9666 * CHOOSE(CONTROL!$C$9, $D$9, 100%, $F$9) + CHOOSE(CONTROL!$C$27, 0.0021, 0)</f>
        <v>61.968699999999998</v>
      </c>
      <c r="G538" s="14">
        <f>62.238 * CHOOSE(CONTROL!$C$9, $D$9, 100%, $F$9) + CHOOSE(CONTROL!$C$27, 0.0021, 0)</f>
        <v>62.240099999999998</v>
      </c>
      <c r="H538" s="14">
        <f>62.1033 * CHOOSE(CONTROL!$C$9, $D$9, 100%, $F$9) + CHOOSE(CONTROL!$C$27, 0.0021, 0)</f>
        <v>62.105399999999996</v>
      </c>
      <c r="I538" s="14">
        <f>62.1033 * CHOOSE(CONTROL!$C$9, $D$9, 100%, $F$9) + CHOOSE(CONTROL!$C$27, 0.0021, 0)</f>
        <v>62.105399999999996</v>
      </c>
      <c r="J538" s="14">
        <f>62.1033 * CHOOSE(CONTROL!$C$9, $D$9, 100%, $F$9) + CHOOSE(CONTROL!$C$27, 0.0021, 0)</f>
        <v>62.105399999999996</v>
      </c>
      <c r="K538" s="14">
        <f>62.1033 * CHOOSE(CONTROL!$C$9, $D$9, 100%, $F$9) + CHOOSE(CONTROL!$C$27, 0.0021, 0)</f>
        <v>62.105399999999996</v>
      </c>
      <c r="L538" s="14"/>
    </row>
    <row r="539" spans="1:12" ht="15.75" x14ac:dyDescent="0.25">
      <c r="A539" s="32">
        <v>57345</v>
      </c>
      <c r="B539" s="14">
        <f>61.3543 * CHOOSE(CONTROL!$C$9, $D$9, 100%, $F$9) + CHOOSE(CONTROL!$C$27, 0.0021, 0)</f>
        <v>61.356400000000001</v>
      </c>
      <c r="C539" s="14">
        <f>60.922 * CHOOSE(CONTROL!$C$9, $D$9, 100%, $F$9) + CHOOSE(CONTROL!$C$27, 0.0021, 0)</f>
        <v>60.924099999999996</v>
      </c>
      <c r="D539" s="14">
        <f>60.922 * CHOOSE(CONTROL!$C$9, $D$9, 100%, $F$9) + CHOOSE(CONTROL!$C$27, 0.0021, 0)</f>
        <v>60.924099999999996</v>
      </c>
      <c r="E539" s="14">
        <f>60.7854 * CHOOSE(CONTROL!$C$9, $D$9, 100%, $F$9) + CHOOSE(CONTROL!$C$27, 0.0021, 0)</f>
        <v>60.787500000000001</v>
      </c>
      <c r="F539" s="14">
        <f>60.7854 * CHOOSE(CONTROL!$C$9, $D$9, 100%, $F$9) + CHOOSE(CONTROL!$C$27, 0.0021, 0)</f>
        <v>60.787500000000001</v>
      </c>
      <c r="G539" s="14">
        <f>61.0567 * CHOOSE(CONTROL!$C$9, $D$9, 100%, $F$9) + CHOOSE(CONTROL!$C$27, 0.0021, 0)</f>
        <v>61.058799999999998</v>
      </c>
      <c r="H539" s="14">
        <f>60.922 * CHOOSE(CONTROL!$C$9, $D$9, 100%, $F$9) + CHOOSE(CONTROL!$C$27, 0.0021, 0)</f>
        <v>60.924099999999996</v>
      </c>
      <c r="I539" s="14">
        <f>60.922 * CHOOSE(CONTROL!$C$9, $D$9, 100%, $F$9) + CHOOSE(CONTROL!$C$27, 0.0021, 0)</f>
        <v>60.924099999999996</v>
      </c>
      <c r="J539" s="14">
        <f>60.922 * CHOOSE(CONTROL!$C$9, $D$9, 100%, $F$9) + CHOOSE(CONTROL!$C$27, 0.0021, 0)</f>
        <v>60.924099999999996</v>
      </c>
      <c r="K539" s="14">
        <f>60.922 * CHOOSE(CONTROL!$C$9, $D$9, 100%, $F$9) + CHOOSE(CONTROL!$C$27, 0.0021, 0)</f>
        <v>60.924099999999996</v>
      </c>
      <c r="L539" s="14"/>
    </row>
    <row r="540" spans="1:12" ht="15.75" x14ac:dyDescent="0.25">
      <c r="A540" s="32">
        <v>57376</v>
      </c>
      <c r="B540" s="14">
        <f>60.6077 * CHOOSE(CONTROL!$C$9, $D$9, 100%, $F$9) + CHOOSE(CONTROL!$C$27, 0.0021, 0)</f>
        <v>60.6098</v>
      </c>
      <c r="C540" s="14">
        <f>60.1754 * CHOOSE(CONTROL!$C$9, $D$9, 100%, $F$9) + CHOOSE(CONTROL!$C$27, 0.0021, 0)</f>
        <v>60.177500000000002</v>
      </c>
      <c r="D540" s="14">
        <f>60.1754 * CHOOSE(CONTROL!$C$9, $D$9, 100%, $F$9) + CHOOSE(CONTROL!$C$27, 0.0021, 0)</f>
        <v>60.177500000000002</v>
      </c>
      <c r="E540" s="14">
        <f>60.0388 * CHOOSE(CONTROL!$C$9, $D$9, 100%, $F$9) + CHOOSE(CONTROL!$C$27, 0.0021, 0)</f>
        <v>60.040900000000001</v>
      </c>
      <c r="F540" s="14">
        <f>60.0388 * CHOOSE(CONTROL!$C$9, $D$9, 100%, $F$9) + CHOOSE(CONTROL!$C$27, 0.0021, 0)</f>
        <v>60.040900000000001</v>
      </c>
      <c r="G540" s="14">
        <f>60.3102 * CHOOSE(CONTROL!$C$9, $D$9, 100%, $F$9) + CHOOSE(CONTROL!$C$27, 0.0021, 0)</f>
        <v>60.3123</v>
      </c>
      <c r="H540" s="14">
        <f>60.1754 * CHOOSE(CONTROL!$C$9, $D$9, 100%, $F$9) + CHOOSE(CONTROL!$C$27, 0.0021, 0)</f>
        <v>60.177500000000002</v>
      </c>
      <c r="I540" s="14">
        <f>60.1754 * CHOOSE(CONTROL!$C$9, $D$9, 100%, $F$9) + CHOOSE(CONTROL!$C$27, 0.0021, 0)</f>
        <v>60.177500000000002</v>
      </c>
      <c r="J540" s="14">
        <f>60.1754 * CHOOSE(CONTROL!$C$9, $D$9, 100%, $F$9) + CHOOSE(CONTROL!$C$27, 0.0021, 0)</f>
        <v>60.177500000000002</v>
      </c>
      <c r="K540" s="14">
        <f>60.1754 * CHOOSE(CONTROL!$C$9, $D$9, 100%, $F$9) + CHOOSE(CONTROL!$C$27, 0.0021, 0)</f>
        <v>60.177500000000002</v>
      </c>
      <c r="L540" s="14"/>
    </row>
    <row r="541" spans="1:12" ht="15.75" x14ac:dyDescent="0.25">
      <c r="A541" s="32">
        <v>57404</v>
      </c>
      <c r="B541" s="14">
        <f>58.9582 * CHOOSE(CONTROL!$C$9, $D$9, 100%, $F$9) + CHOOSE(CONTROL!$C$27, 0.0021, 0)</f>
        <v>58.960299999999997</v>
      </c>
      <c r="C541" s="14">
        <f>58.526 * CHOOSE(CONTROL!$C$9, $D$9, 100%, $F$9) + CHOOSE(CONTROL!$C$27, 0.0021, 0)</f>
        <v>58.528100000000002</v>
      </c>
      <c r="D541" s="14">
        <f>58.526 * CHOOSE(CONTROL!$C$9, $D$9, 100%, $F$9) + CHOOSE(CONTROL!$C$27, 0.0021, 0)</f>
        <v>58.528100000000002</v>
      </c>
      <c r="E541" s="14">
        <f>58.3893 * CHOOSE(CONTROL!$C$9, $D$9, 100%, $F$9) + CHOOSE(CONTROL!$C$27, 0.0021, 0)</f>
        <v>58.391399999999997</v>
      </c>
      <c r="F541" s="14">
        <f>58.3893 * CHOOSE(CONTROL!$C$9, $D$9, 100%, $F$9) + CHOOSE(CONTROL!$C$27, 0.0021, 0)</f>
        <v>58.391399999999997</v>
      </c>
      <c r="G541" s="14">
        <f>58.6607 * CHOOSE(CONTROL!$C$9, $D$9, 100%, $F$9) + CHOOSE(CONTROL!$C$27, 0.0021, 0)</f>
        <v>58.662799999999997</v>
      </c>
      <c r="H541" s="14">
        <f>58.526 * CHOOSE(CONTROL!$C$9, $D$9, 100%, $F$9) + CHOOSE(CONTROL!$C$27, 0.0021, 0)</f>
        <v>58.528100000000002</v>
      </c>
      <c r="I541" s="14">
        <f>58.526 * CHOOSE(CONTROL!$C$9, $D$9, 100%, $F$9) + CHOOSE(CONTROL!$C$27, 0.0021, 0)</f>
        <v>58.528100000000002</v>
      </c>
      <c r="J541" s="14">
        <f>58.526 * CHOOSE(CONTROL!$C$9, $D$9, 100%, $F$9) + CHOOSE(CONTROL!$C$27, 0.0021, 0)</f>
        <v>58.528100000000002</v>
      </c>
      <c r="K541" s="14">
        <f>58.526 * CHOOSE(CONTROL!$C$9, $D$9, 100%, $F$9) + CHOOSE(CONTROL!$C$27, 0.0021, 0)</f>
        <v>58.528100000000002</v>
      </c>
      <c r="L541" s="14"/>
    </row>
    <row r="542" spans="1:12" ht="15.75" x14ac:dyDescent="0.25">
      <c r="A542" s="32">
        <v>57435</v>
      </c>
      <c r="B542" s="14">
        <f>58.2773 * CHOOSE(CONTROL!$C$9, $D$9, 100%, $F$9) + CHOOSE(CONTROL!$C$27, 0.0021, 0)</f>
        <v>58.279399999999995</v>
      </c>
      <c r="C542" s="14">
        <f>57.8451 * CHOOSE(CONTROL!$C$9, $D$9, 100%, $F$9) + CHOOSE(CONTROL!$C$27, 0.0021, 0)</f>
        <v>57.847200000000001</v>
      </c>
      <c r="D542" s="14">
        <f>57.8451 * CHOOSE(CONTROL!$C$9, $D$9, 100%, $F$9) + CHOOSE(CONTROL!$C$27, 0.0021, 0)</f>
        <v>57.847200000000001</v>
      </c>
      <c r="E542" s="14">
        <f>57.7084 * CHOOSE(CONTROL!$C$9, $D$9, 100%, $F$9) + CHOOSE(CONTROL!$C$27, 0.0021, 0)</f>
        <v>57.710499999999996</v>
      </c>
      <c r="F542" s="14">
        <f>57.7084 * CHOOSE(CONTROL!$C$9, $D$9, 100%, $F$9) + CHOOSE(CONTROL!$C$27, 0.0021, 0)</f>
        <v>57.710499999999996</v>
      </c>
      <c r="G542" s="14">
        <f>57.9798 * CHOOSE(CONTROL!$C$9, $D$9, 100%, $F$9) + CHOOSE(CONTROL!$C$27, 0.0021, 0)</f>
        <v>57.981899999999996</v>
      </c>
      <c r="H542" s="14">
        <f>57.8451 * CHOOSE(CONTROL!$C$9, $D$9, 100%, $F$9) + CHOOSE(CONTROL!$C$27, 0.0021, 0)</f>
        <v>57.847200000000001</v>
      </c>
      <c r="I542" s="14">
        <f>57.8451 * CHOOSE(CONTROL!$C$9, $D$9, 100%, $F$9) + CHOOSE(CONTROL!$C$27, 0.0021, 0)</f>
        <v>57.847200000000001</v>
      </c>
      <c r="J542" s="14">
        <f>57.8451 * CHOOSE(CONTROL!$C$9, $D$9, 100%, $F$9) + CHOOSE(CONTROL!$C$27, 0.0021, 0)</f>
        <v>57.847200000000001</v>
      </c>
      <c r="K542" s="14">
        <f>57.8451 * CHOOSE(CONTROL!$C$9, $D$9, 100%, $F$9) + CHOOSE(CONTROL!$C$27, 0.0021, 0)</f>
        <v>57.847200000000001</v>
      </c>
      <c r="L542" s="14"/>
    </row>
    <row r="543" spans="1:12" ht="15.75" x14ac:dyDescent="0.25">
      <c r="A543" s="32">
        <v>57465</v>
      </c>
      <c r="B543" s="14">
        <f>57.4643 * CHOOSE(CONTROL!$C$9, $D$9, 100%, $F$9) + CHOOSE(CONTROL!$C$27, 0.0021, 0)</f>
        <v>57.4664</v>
      </c>
      <c r="C543" s="14">
        <f>57.0321 * CHOOSE(CONTROL!$C$9, $D$9, 100%, $F$9) + CHOOSE(CONTROL!$C$27, 0.0021, 0)</f>
        <v>57.034199999999998</v>
      </c>
      <c r="D543" s="14">
        <f>57.0321 * CHOOSE(CONTROL!$C$9, $D$9, 100%, $F$9) + CHOOSE(CONTROL!$C$27, 0.0021, 0)</f>
        <v>57.034199999999998</v>
      </c>
      <c r="E543" s="14">
        <f>56.8954 * CHOOSE(CONTROL!$C$9, $D$9, 100%, $F$9) + CHOOSE(CONTROL!$C$27, 0.0021, 0)</f>
        <v>56.897500000000001</v>
      </c>
      <c r="F543" s="14">
        <f>56.8954 * CHOOSE(CONTROL!$C$9, $D$9, 100%, $F$9) + CHOOSE(CONTROL!$C$27, 0.0021, 0)</f>
        <v>56.897500000000001</v>
      </c>
      <c r="G543" s="14">
        <f>57.1668 * CHOOSE(CONTROL!$C$9, $D$9, 100%, $F$9) + CHOOSE(CONTROL!$C$27, 0.0021, 0)</f>
        <v>57.168900000000001</v>
      </c>
      <c r="H543" s="14">
        <f>57.0321 * CHOOSE(CONTROL!$C$9, $D$9, 100%, $F$9) + CHOOSE(CONTROL!$C$27, 0.0021, 0)</f>
        <v>57.034199999999998</v>
      </c>
      <c r="I543" s="14">
        <f>57.0321 * CHOOSE(CONTROL!$C$9, $D$9, 100%, $F$9) + CHOOSE(CONTROL!$C$27, 0.0021, 0)</f>
        <v>57.034199999999998</v>
      </c>
      <c r="J543" s="14">
        <f>57.0321 * CHOOSE(CONTROL!$C$9, $D$9, 100%, $F$9) + CHOOSE(CONTROL!$C$27, 0.0021, 0)</f>
        <v>57.034199999999998</v>
      </c>
      <c r="K543" s="14">
        <f>57.0321 * CHOOSE(CONTROL!$C$9, $D$9, 100%, $F$9) + CHOOSE(CONTROL!$C$27, 0.0021, 0)</f>
        <v>57.034199999999998</v>
      </c>
      <c r="L543" s="14"/>
    </row>
    <row r="544" spans="1:12" ht="15.75" x14ac:dyDescent="0.25">
      <c r="A544" s="32">
        <v>57496</v>
      </c>
      <c r="B544" s="14">
        <f>58.6229 * CHOOSE(CONTROL!$C$9, $D$9, 100%, $F$9) + CHOOSE(CONTROL!$C$27, 0.0021, 0)</f>
        <v>58.625</v>
      </c>
      <c r="C544" s="14">
        <f>58.1907 * CHOOSE(CONTROL!$C$9, $D$9, 100%, $F$9) + CHOOSE(CONTROL!$C$27, 0.0021, 0)</f>
        <v>58.192799999999998</v>
      </c>
      <c r="D544" s="14">
        <f>58.1907 * CHOOSE(CONTROL!$C$9, $D$9, 100%, $F$9) + CHOOSE(CONTROL!$C$27, 0.0021, 0)</f>
        <v>58.192799999999998</v>
      </c>
      <c r="E544" s="14">
        <f>58.054 * CHOOSE(CONTROL!$C$9, $D$9, 100%, $F$9) + CHOOSE(CONTROL!$C$27, 0.0021, 0)</f>
        <v>58.056100000000001</v>
      </c>
      <c r="F544" s="14">
        <f>58.054 * CHOOSE(CONTROL!$C$9, $D$9, 100%, $F$9) + CHOOSE(CONTROL!$C$27, 0.0021, 0)</f>
        <v>58.056100000000001</v>
      </c>
      <c r="G544" s="14">
        <f>58.3254 * CHOOSE(CONTROL!$C$9, $D$9, 100%, $F$9) + CHOOSE(CONTROL!$C$27, 0.0021, 0)</f>
        <v>58.327500000000001</v>
      </c>
      <c r="H544" s="14">
        <f>58.1907 * CHOOSE(CONTROL!$C$9, $D$9, 100%, $F$9) + CHOOSE(CONTROL!$C$27, 0.0021, 0)</f>
        <v>58.192799999999998</v>
      </c>
      <c r="I544" s="14">
        <f>58.1907 * CHOOSE(CONTROL!$C$9, $D$9, 100%, $F$9) + CHOOSE(CONTROL!$C$27, 0.0021, 0)</f>
        <v>58.192799999999998</v>
      </c>
      <c r="J544" s="14">
        <f>58.1907 * CHOOSE(CONTROL!$C$9, $D$9, 100%, $F$9) + CHOOSE(CONTROL!$C$27, 0.0021, 0)</f>
        <v>58.192799999999998</v>
      </c>
      <c r="K544" s="14">
        <f>58.1907 * CHOOSE(CONTROL!$C$9, $D$9, 100%, $F$9) + CHOOSE(CONTROL!$C$27, 0.0021, 0)</f>
        <v>58.192799999999998</v>
      </c>
      <c r="L544" s="14"/>
    </row>
    <row r="545" spans="1:12" ht="15.75" x14ac:dyDescent="0.25">
      <c r="A545" s="32">
        <v>57526</v>
      </c>
      <c r="B545" s="14">
        <f>59.3169 * CHOOSE(CONTROL!$C$9, $D$9, 100%, $F$9) + CHOOSE(CONTROL!$C$27, 0.0021, 0)</f>
        <v>59.318999999999996</v>
      </c>
      <c r="C545" s="14">
        <f>58.8847 * CHOOSE(CONTROL!$C$9, $D$9, 100%, $F$9) + CHOOSE(CONTROL!$C$27, 0.0021, 0)</f>
        <v>58.886800000000001</v>
      </c>
      <c r="D545" s="14">
        <f>58.8847 * CHOOSE(CONTROL!$C$9, $D$9, 100%, $F$9) + CHOOSE(CONTROL!$C$27, 0.0021, 0)</f>
        <v>58.886800000000001</v>
      </c>
      <c r="E545" s="14">
        <f>58.748 * CHOOSE(CONTROL!$C$9, $D$9, 100%, $F$9) + CHOOSE(CONTROL!$C$27, 0.0021, 0)</f>
        <v>58.750099999999996</v>
      </c>
      <c r="F545" s="14">
        <f>58.748 * CHOOSE(CONTROL!$C$9, $D$9, 100%, $F$9) + CHOOSE(CONTROL!$C$27, 0.0021, 0)</f>
        <v>58.750099999999996</v>
      </c>
      <c r="G545" s="14">
        <f>59.0194 * CHOOSE(CONTROL!$C$9, $D$9, 100%, $F$9) + CHOOSE(CONTROL!$C$27, 0.0021, 0)</f>
        <v>59.021499999999996</v>
      </c>
      <c r="H545" s="14">
        <f>58.8847 * CHOOSE(CONTROL!$C$9, $D$9, 100%, $F$9) + CHOOSE(CONTROL!$C$27, 0.0021, 0)</f>
        <v>58.886800000000001</v>
      </c>
      <c r="I545" s="14">
        <f>58.8847 * CHOOSE(CONTROL!$C$9, $D$9, 100%, $F$9) + CHOOSE(CONTROL!$C$27, 0.0021, 0)</f>
        <v>58.886800000000001</v>
      </c>
      <c r="J545" s="14">
        <f>58.8847 * CHOOSE(CONTROL!$C$9, $D$9, 100%, $F$9) + CHOOSE(CONTROL!$C$27, 0.0021, 0)</f>
        <v>58.886800000000001</v>
      </c>
      <c r="K545" s="14">
        <f>58.8847 * CHOOSE(CONTROL!$C$9, $D$9, 100%, $F$9) + CHOOSE(CONTROL!$C$27, 0.0021, 0)</f>
        <v>58.886800000000001</v>
      </c>
      <c r="L545" s="14"/>
    </row>
    <row r="546" spans="1:12" ht="15.75" x14ac:dyDescent="0.25">
      <c r="A546" s="32">
        <v>57557</v>
      </c>
      <c r="B546" s="14">
        <f>60.4617 * CHOOSE(CONTROL!$C$9, $D$9, 100%, $F$9) + CHOOSE(CONTROL!$C$27, 0.0021, 0)</f>
        <v>60.463799999999999</v>
      </c>
      <c r="C546" s="14">
        <f>60.0295 * CHOOSE(CONTROL!$C$9, $D$9, 100%, $F$9) + CHOOSE(CONTROL!$C$27, 0.0021, 0)</f>
        <v>60.031599999999997</v>
      </c>
      <c r="D546" s="14">
        <f>60.0295 * CHOOSE(CONTROL!$C$9, $D$9, 100%, $F$9) + CHOOSE(CONTROL!$C$27, 0.0021, 0)</f>
        <v>60.031599999999997</v>
      </c>
      <c r="E546" s="14">
        <f>59.8928 * CHOOSE(CONTROL!$C$9, $D$9, 100%, $F$9) + CHOOSE(CONTROL!$C$27, 0.0021, 0)</f>
        <v>59.8949</v>
      </c>
      <c r="F546" s="14">
        <f>59.8928 * CHOOSE(CONTROL!$C$9, $D$9, 100%, $F$9) + CHOOSE(CONTROL!$C$27, 0.0021, 0)</f>
        <v>59.8949</v>
      </c>
      <c r="G546" s="14">
        <f>60.1642 * CHOOSE(CONTROL!$C$9, $D$9, 100%, $F$9) + CHOOSE(CONTROL!$C$27, 0.0021, 0)</f>
        <v>60.1663</v>
      </c>
      <c r="H546" s="14">
        <f>60.0295 * CHOOSE(CONTROL!$C$9, $D$9, 100%, $F$9) + CHOOSE(CONTROL!$C$27, 0.0021, 0)</f>
        <v>60.031599999999997</v>
      </c>
      <c r="I546" s="14">
        <f>60.0295 * CHOOSE(CONTROL!$C$9, $D$9, 100%, $F$9) + CHOOSE(CONTROL!$C$27, 0.0021, 0)</f>
        <v>60.031599999999997</v>
      </c>
      <c r="J546" s="14">
        <f>60.0295 * CHOOSE(CONTROL!$C$9, $D$9, 100%, $F$9) + CHOOSE(CONTROL!$C$27, 0.0021, 0)</f>
        <v>60.031599999999997</v>
      </c>
      <c r="K546" s="14">
        <f>60.0295 * CHOOSE(CONTROL!$C$9, $D$9, 100%, $F$9) + CHOOSE(CONTROL!$C$27, 0.0021, 0)</f>
        <v>60.031599999999997</v>
      </c>
      <c r="L546" s="14"/>
    </row>
    <row r="547" spans="1:12" ht="15.75" x14ac:dyDescent="0.25">
      <c r="A547" s="32">
        <v>57588</v>
      </c>
      <c r="B547" s="14">
        <f>60.8111 * CHOOSE(CONTROL!$C$9, $D$9, 100%, $F$9) + CHOOSE(CONTROL!$C$27, 0.0021, 0)</f>
        <v>60.813200000000002</v>
      </c>
      <c r="C547" s="14">
        <f>60.3789 * CHOOSE(CONTROL!$C$9, $D$9, 100%, $F$9) + CHOOSE(CONTROL!$C$27, 0.0021, 0)</f>
        <v>60.381</v>
      </c>
      <c r="D547" s="14">
        <f>60.3789 * CHOOSE(CONTROL!$C$9, $D$9, 100%, $F$9) + CHOOSE(CONTROL!$C$27, 0.0021, 0)</f>
        <v>60.381</v>
      </c>
      <c r="E547" s="14">
        <f>60.2422 * CHOOSE(CONTROL!$C$9, $D$9, 100%, $F$9) + CHOOSE(CONTROL!$C$27, 0.0021, 0)</f>
        <v>60.244299999999996</v>
      </c>
      <c r="F547" s="14">
        <f>60.2422 * CHOOSE(CONTROL!$C$9, $D$9, 100%, $F$9) + CHOOSE(CONTROL!$C$27, 0.0021, 0)</f>
        <v>60.244299999999996</v>
      </c>
      <c r="G547" s="14">
        <f>60.5136 * CHOOSE(CONTROL!$C$9, $D$9, 100%, $F$9) + CHOOSE(CONTROL!$C$27, 0.0021, 0)</f>
        <v>60.515699999999995</v>
      </c>
      <c r="H547" s="14">
        <f>60.3789 * CHOOSE(CONTROL!$C$9, $D$9, 100%, $F$9) + CHOOSE(CONTROL!$C$27, 0.0021, 0)</f>
        <v>60.381</v>
      </c>
      <c r="I547" s="14">
        <f>60.3789 * CHOOSE(CONTROL!$C$9, $D$9, 100%, $F$9) + CHOOSE(CONTROL!$C$27, 0.0021, 0)</f>
        <v>60.381</v>
      </c>
      <c r="J547" s="14">
        <f>60.3789 * CHOOSE(CONTROL!$C$9, $D$9, 100%, $F$9) + CHOOSE(CONTROL!$C$27, 0.0021, 0)</f>
        <v>60.381</v>
      </c>
      <c r="K547" s="14">
        <f>60.3789 * CHOOSE(CONTROL!$C$9, $D$9, 100%, $F$9) + CHOOSE(CONTROL!$C$27, 0.0021, 0)</f>
        <v>60.381</v>
      </c>
      <c r="L547" s="14"/>
    </row>
    <row r="548" spans="1:12" ht="15.75" x14ac:dyDescent="0.25">
      <c r="A548" s="32">
        <v>57618</v>
      </c>
      <c r="B548" s="14">
        <f>62.0011 * CHOOSE(CONTROL!$C$9, $D$9, 100%, $F$9) + CHOOSE(CONTROL!$C$27, 0.0021, 0)</f>
        <v>62.0032</v>
      </c>
      <c r="C548" s="14">
        <f>61.5689 * CHOOSE(CONTROL!$C$9, $D$9, 100%, $F$9) + CHOOSE(CONTROL!$C$27, 0.0021, 0)</f>
        <v>61.570999999999998</v>
      </c>
      <c r="D548" s="14">
        <f>61.5689 * CHOOSE(CONTROL!$C$9, $D$9, 100%, $F$9) + CHOOSE(CONTROL!$C$27, 0.0021, 0)</f>
        <v>61.570999999999998</v>
      </c>
      <c r="E548" s="14">
        <f>61.4322 * CHOOSE(CONTROL!$C$9, $D$9, 100%, $F$9) + CHOOSE(CONTROL!$C$27, 0.0021, 0)</f>
        <v>61.4343</v>
      </c>
      <c r="F548" s="14">
        <f>61.4322 * CHOOSE(CONTROL!$C$9, $D$9, 100%, $F$9) + CHOOSE(CONTROL!$C$27, 0.0021, 0)</f>
        <v>61.4343</v>
      </c>
      <c r="G548" s="14">
        <f>61.7036 * CHOOSE(CONTROL!$C$9, $D$9, 100%, $F$9) + CHOOSE(CONTROL!$C$27, 0.0021, 0)</f>
        <v>61.7057</v>
      </c>
      <c r="H548" s="14">
        <f>61.5689 * CHOOSE(CONTROL!$C$9, $D$9, 100%, $F$9) + CHOOSE(CONTROL!$C$27, 0.0021, 0)</f>
        <v>61.570999999999998</v>
      </c>
      <c r="I548" s="14">
        <f>61.5689 * CHOOSE(CONTROL!$C$9, $D$9, 100%, $F$9) + CHOOSE(CONTROL!$C$27, 0.0021, 0)</f>
        <v>61.570999999999998</v>
      </c>
      <c r="J548" s="14">
        <f>61.5689 * CHOOSE(CONTROL!$C$9, $D$9, 100%, $F$9) + CHOOSE(CONTROL!$C$27, 0.0021, 0)</f>
        <v>61.570999999999998</v>
      </c>
      <c r="K548" s="14">
        <f>61.5689 * CHOOSE(CONTROL!$C$9, $D$9, 100%, $F$9) + CHOOSE(CONTROL!$C$27, 0.0021, 0)</f>
        <v>61.570999999999998</v>
      </c>
      <c r="L548" s="14"/>
    </row>
    <row r="549" spans="1:12" ht="15.75" x14ac:dyDescent="0.25">
      <c r="A549" s="32">
        <v>57649</v>
      </c>
      <c r="B549" s="14">
        <f>63.5074 * CHOOSE(CONTROL!$C$9, $D$9, 100%, $F$9) + CHOOSE(CONTROL!$C$27, 0.0021, 0)</f>
        <v>63.509499999999996</v>
      </c>
      <c r="C549" s="14">
        <f>63.0752 * CHOOSE(CONTROL!$C$9, $D$9, 100%, $F$9) + CHOOSE(CONTROL!$C$27, 0.0021, 0)</f>
        <v>63.077300000000001</v>
      </c>
      <c r="D549" s="14">
        <f>63.0752 * CHOOSE(CONTROL!$C$9, $D$9, 100%, $F$9) + CHOOSE(CONTROL!$C$27, 0.0021, 0)</f>
        <v>63.077300000000001</v>
      </c>
      <c r="E549" s="14">
        <f>62.9385 * CHOOSE(CONTROL!$C$9, $D$9, 100%, $F$9) + CHOOSE(CONTROL!$C$27, 0.0021, 0)</f>
        <v>62.940599999999996</v>
      </c>
      <c r="F549" s="14">
        <f>62.9385 * CHOOSE(CONTROL!$C$9, $D$9, 100%, $F$9) + CHOOSE(CONTROL!$C$27, 0.0021, 0)</f>
        <v>62.940599999999996</v>
      </c>
      <c r="G549" s="14">
        <f>63.2099 * CHOOSE(CONTROL!$C$9, $D$9, 100%, $F$9) + CHOOSE(CONTROL!$C$27, 0.0021, 0)</f>
        <v>63.211999999999996</v>
      </c>
      <c r="H549" s="14">
        <f>63.0752 * CHOOSE(CONTROL!$C$9, $D$9, 100%, $F$9) + CHOOSE(CONTROL!$C$27, 0.0021, 0)</f>
        <v>63.077300000000001</v>
      </c>
      <c r="I549" s="14">
        <f>63.0752 * CHOOSE(CONTROL!$C$9, $D$9, 100%, $F$9) + CHOOSE(CONTROL!$C$27, 0.0021, 0)</f>
        <v>63.077300000000001</v>
      </c>
      <c r="J549" s="14">
        <f>63.0752 * CHOOSE(CONTROL!$C$9, $D$9, 100%, $F$9) + CHOOSE(CONTROL!$C$27, 0.0021, 0)</f>
        <v>63.077300000000001</v>
      </c>
      <c r="K549" s="14">
        <f>63.0752 * CHOOSE(CONTROL!$C$9, $D$9, 100%, $F$9) + CHOOSE(CONTROL!$C$27, 0.0021, 0)</f>
        <v>63.077300000000001</v>
      </c>
      <c r="L549" s="14"/>
    </row>
    <row r="550" spans="1:12" ht="15.75" x14ac:dyDescent="0.25">
      <c r="A550" s="32">
        <v>57679</v>
      </c>
      <c r="B550" s="14">
        <f>63.6488 * CHOOSE(CONTROL!$C$9, $D$9, 100%, $F$9) + CHOOSE(CONTROL!$C$27, 0.0021, 0)</f>
        <v>63.6509</v>
      </c>
      <c r="C550" s="14">
        <f>63.2166 * CHOOSE(CONTROL!$C$9, $D$9, 100%, $F$9) + CHOOSE(CONTROL!$C$27, 0.0021, 0)</f>
        <v>63.218699999999998</v>
      </c>
      <c r="D550" s="14">
        <f>63.2166 * CHOOSE(CONTROL!$C$9, $D$9, 100%, $F$9) + CHOOSE(CONTROL!$C$27, 0.0021, 0)</f>
        <v>63.218699999999998</v>
      </c>
      <c r="E550" s="14">
        <f>63.0799 * CHOOSE(CONTROL!$C$9, $D$9, 100%, $F$9) + CHOOSE(CONTROL!$C$27, 0.0021, 0)</f>
        <v>63.082000000000001</v>
      </c>
      <c r="F550" s="14">
        <f>63.0799 * CHOOSE(CONTROL!$C$9, $D$9, 100%, $F$9) + CHOOSE(CONTROL!$C$27, 0.0021, 0)</f>
        <v>63.082000000000001</v>
      </c>
      <c r="G550" s="14">
        <f>63.3513 * CHOOSE(CONTROL!$C$9, $D$9, 100%, $F$9) + CHOOSE(CONTROL!$C$27, 0.0021, 0)</f>
        <v>63.353400000000001</v>
      </c>
      <c r="H550" s="14">
        <f>63.2166 * CHOOSE(CONTROL!$C$9, $D$9, 100%, $F$9) + CHOOSE(CONTROL!$C$27, 0.0021, 0)</f>
        <v>63.218699999999998</v>
      </c>
      <c r="I550" s="14">
        <f>63.2166 * CHOOSE(CONTROL!$C$9, $D$9, 100%, $F$9) + CHOOSE(CONTROL!$C$27, 0.0021, 0)</f>
        <v>63.218699999999998</v>
      </c>
      <c r="J550" s="14">
        <f>63.2166 * CHOOSE(CONTROL!$C$9, $D$9, 100%, $F$9) + CHOOSE(CONTROL!$C$27, 0.0021, 0)</f>
        <v>63.218699999999998</v>
      </c>
      <c r="K550" s="14">
        <f>63.2166 * CHOOSE(CONTROL!$C$9, $D$9, 100%, $F$9) + CHOOSE(CONTROL!$C$27, 0.0021, 0)</f>
        <v>63.218699999999998</v>
      </c>
      <c r="L550" s="14"/>
    </row>
    <row r="551" spans="1:12" ht="15.75" x14ac:dyDescent="0.25">
      <c r="A551" s="32">
        <v>57710</v>
      </c>
      <c r="B551" s="14">
        <f>62.4458 * CHOOSE(CONTROL!$C$9, $D$9, 100%, $F$9) + CHOOSE(CONTROL!$C$27, 0.0021, 0)</f>
        <v>62.447899999999997</v>
      </c>
      <c r="C551" s="14">
        <f>62.0135 * CHOOSE(CONTROL!$C$9, $D$9, 100%, $F$9) + CHOOSE(CONTROL!$C$27, 0.0021, 0)</f>
        <v>62.015599999999999</v>
      </c>
      <c r="D551" s="14">
        <f>62.0135 * CHOOSE(CONTROL!$C$9, $D$9, 100%, $F$9) + CHOOSE(CONTROL!$C$27, 0.0021, 0)</f>
        <v>62.015599999999999</v>
      </c>
      <c r="E551" s="14">
        <f>61.8769 * CHOOSE(CONTROL!$C$9, $D$9, 100%, $F$9) + CHOOSE(CONTROL!$C$27, 0.0021, 0)</f>
        <v>61.878999999999998</v>
      </c>
      <c r="F551" s="14">
        <f>61.8769 * CHOOSE(CONTROL!$C$9, $D$9, 100%, $F$9) + CHOOSE(CONTROL!$C$27, 0.0021, 0)</f>
        <v>61.878999999999998</v>
      </c>
      <c r="G551" s="14">
        <f>62.1483 * CHOOSE(CONTROL!$C$9, $D$9, 100%, $F$9) + CHOOSE(CONTROL!$C$27, 0.0021, 0)</f>
        <v>62.150399999999998</v>
      </c>
      <c r="H551" s="14">
        <f>62.0135 * CHOOSE(CONTROL!$C$9, $D$9, 100%, $F$9) + CHOOSE(CONTROL!$C$27, 0.0021, 0)</f>
        <v>62.015599999999999</v>
      </c>
      <c r="I551" s="14">
        <f>62.0135 * CHOOSE(CONTROL!$C$9, $D$9, 100%, $F$9) + CHOOSE(CONTROL!$C$27, 0.0021, 0)</f>
        <v>62.015599999999999</v>
      </c>
      <c r="J551" s="14">
        <f>62.0135 * CHOOSE(CONTROL!$C$9, $D$9, 100%, $F$9) + CHOOSE(CONTROL!$C$27, 0.0021, 0)</f>
        <v>62.015599999999999</v>
      </c>
      <c r="K551" s="14">
        <f>62.0135 * CHOOSE(CONTROL!$C$9, $D$9, 100%, $F$9) + CHOOSE(CONTROL!$C$27, 0.0021, 0)</f>
        <v>62.015599999999999</v>
      </c>
      <c r="L551" s="14"/>
    </row>
    <row r="552" spans="1:12" ht="15.75" x14ac:dyDescent="0.25">
      <c r="A552" s="32">
        <v>57741</v>
      </c>
      <c r="B552" s="14">
        <f>61.6854 * CHOOSE(CONTROL!$C$9, $D$9, 100%, $F$9) + CHOOSE(CONTROL!$C$27, 0.0021, 0)</f>
        <v>61.6875</v>
      </c>
      <c r="C552" s="14">
        <f>61.2531 * CHOOSE(CONTROL!$C$9, $D$9, 100%, $F$9) + CHOOSE(CONTROL!$C$27, 0.0021, 0)</f>
        <v>61.255200000000002</v>
      </c>
      <c r="D552" s="14">
        <f>61.2531 * CHOOSE(CONTROL!$C$9, $D$9, 100%, $F$9) + CHOOSE(CONTROL!$C$27, 0.0021, 0)</f>
        <v>61.255200000000002</v>
      </c>
      <c r="E552" s="14">
        <f>61.1165 * CHOOSE(CONTROL!$C$9, $D$9, 100%, $F$9) + CHOOSE(CONTROL!$C$27, 0.0021, 0)</f>
        <v>61.118600000000001</v>
      </c>
      <c r="F552" s="14">
        <f>61.1165 * CHOOSE(CONTROL!$C$9, $D$9, 100%, $F$9) + CHOOSE(CONTROL!$C$27, 0.0021, 0)</f>
        <v>61.118600000000001</v>
      </c>
      <c r="G552" s="14">
        <f>61.3879 * CHOOSE(CONTROL!$C$9, $D$9, 100%, $F$9) + CHOOSE(CONTROL!$C$27, 0.0021, 0)</f>
        <v>61.39</v>
      </c>
      <c r="H552" s="14">
        <f>61.2531 * CHOOSE(CONTROL!$C$9, $D$9, 100%, $F$9) + CHOOSE(CONTROL!$C$27, 0.0021, 0)</f>
        <v>61.255200000000002</v>
      </c>
      <c r="I552" s="14">
        <f>61.2531 * CHOOSE(CONTROL!$C$9, $D$9, 100%, $F$9) + CHOOSE(CONTROL!$C$27, 0.0021, 0)</f>
        <v>61.255200000000002</v>
      </c>
      <c r="J552" s="14">
        <f>61.2531 * CHOOSE(CONTROL!$C$9, $D$9, 100%, $F$9) + CHOOSE(CONTROL!$C$27, 0.0021, 0)</f>
        <v>61.255200000000002</v>
      </c>
      <c r="K552" s="14">
        <f>61.2531 * CHOOSE(CONTROL!$C$9, $D$9, 100%, $F$9) + CHOOSE(CONTROL!$C$27, 0.0021, 0)</f>
        <v>61.255200000000002</v>
      </c>
      <c r="L552" s="14"/>
    </row>
    <row r="553" spans="1:12" ht="15.75" x14ac:dyDescent="0.25">
      <c r="A553" s="32">
        <v>57769</v>
      </c>
      <c r="B553" s="14">
        <f>60.0054 * CHOOSE(CONTROL!$C$9, $D$9, 100%, $F$9) + CHOOSE(CONTROL!$C$27, 0.0021, 0)</f>
        <v>60.0075</v>
      </c>
      <c r="C553" s="14">
        <f>59.5732 * CHOOSE(CONTROL!$C$9, $D$9, 100%, $F$9) + CHOOSE(CONTROL!$C$27, 0.0021, 0)</f>
        <v>59.575299999999999</v>
      </c>
      <c r="D553" s="14">
        <f>59.5732 * CHOOSE(CONTROL!$C$9, $D$9, 100%, $F$9) + CHOOSE(CONTROL!$C$27, 0.0021, 0)</f>
        <v>59.575299999999999</v>
      </c>
      <c r="E553" s="14">
        <f>59.4365 * CHOOSE(CONTROL!$C$9, $D$9, 100%, $F$9) + CHOOSE(CONTROL!$C$27, 0.0021, 0)</f>
        <v>59.438600000000001</v>
      </c>
      <c r="F553" s="14">
        <f>59.4365 * CHOOSE(CONTROL!$C$9, $D$9, 100%, $F$9) + CHOOSE(CONTROL!$C$27, 0.0021, 0)</f>
        <v>59.438600000000001</v>
      </c>
      <c r="G553" s="14">
        <f>59.7079 * CHOOSE(CONTROL!$C$9, $D$9, 100%, $F$9) + CHOOSE(CONTROL!$C$27, 0.0021, 0)</f>
        <v>59.71</v>
      </c>
      <c r="H553" s="14">
        <f>59.5732 * CHOOSE(CONTROL!$C$9, $D$9, 100%, $F$9) + CHOOSE(CONTROL!$C$27, 0.0021, 0)</f>
        <v>59.575299999999999</v>
      </c>
      <c r="I553" s="14">
        <f>59.5732 * CHOOSE(CONTROL!$C$9, $D$9, 100%, $F$9) + CHOOSE(CONTROL!$C$27, 0.0021, 0)</f>
        <v>59.575299999999999</v>
      </c>
      <c r="J553" s="14">
        <f>59.5732 * CHOOSE(CONTROL!$C$9, $D$9, 100%, $F$9) + CHOOSE(CONTROL!$C$27, 0.0021, 0)</f>
        <v>59.575299999999999</v>
      </c>
      <c r="K553" s="14">
        <f>59.5732 * CHOOSE(CONTROL!$C$9, $D$9, 100%, $F$9) + CHOOSE(CONTROL!$C$27, 0.0021, 0)</f>
        <v>59.575299999999999</v>
      </c>
      <c r="L553" s="14"/>
    </row>
    <row r="554" spans="1:12" ht="15.75" x14ac:dyDescent="0.25">
      <c r="A554" s="32">
        <v>57800</v>
      </c>
      <c r="B554" s="14">
        <f>59.312 * CHOOSE(CONTROL!$C$9, $D$9, 100%, $F$9) + CHOOSE(CONTROL!$C$27, 0.0021, 0)</f>
        <v>59.314099999999996</v>
      </c>
      <c r="C554" s="14">
        <f>58.8797 * CHOOSE(CONTROL!$C$9, $D$9, 100%, $F$9) + CHOOSE(CONTROL!$C$27, 0.0021, 0)</f>
        <v>58.881799999999998</v>
      </c>
      <c r="D554" s="14">
        <f>58.8797 * CHOOSE(CONTROL!$C$9, $D$9, 100%, $F$9) + CHOOSE(CONTROL!$C$27, 0.0021, 0)</f>
        <v>58.881799999999998</v>
      </c>
      <c r="E554" s="14">
        <f>58.743 * CHOOSE(CONTROL!$C$9, $D$9, 100%, $F$9) + CHOOSE(CONTROL!$C$27, 0.0021, 0)</f>
        <v>58.745100000000001</v>
      </c>
      <c r="F554" s="14">
        <f>58.743 * CHOOSE(CONTROL!$C$9, $D$9, 100%, $F$9) + CHOOSE(CONTROL!$C$27, 0.0021, 0)</f>
        <v>58.745100000000001</v>
      </c>
      <c r="G554" s="14">
        <f>59.0144 * CHOOSE(CONTROL!$C$9, $D$9, 100%, $F$9) + CHOOSE(CONTROL!$C$27, 0.0021, 0)</f>
        <v>59.016500000000001</v>
      </c>
      <c r="H554" s="14">
        <f>58.8797 * CHOOSE(CONTROL!$C$9, $D$9, 100%, $F$9) + CHOOSE(CONTROL!$C$27, 0.0021, 0)</f>
        <v>58.881799999999998</v>
      </c>
      <c r="I554" s="14">
        <f>58.8797 * CHOOSE(CONTROL!$C$9, $D$9, 100%, $F$9) + CHOOSE(CONTROL!$C$27, 0.0021, 0)</f>
        <v>58.881799999999998</v>
      </c>
      <c r="J554" s="14">
        <f>58.8797 * CHOOSE(CONTROL!$C$9, $D$9, 100%, $F$9) + CHOOSE(CONTROL!$C$27, 0.0021, 0)</f>
        <v>58.881799999999998</v>
      </c>
      <c r="K554" s="14">
        <f>58.8797 * CHOOSE(CONTROL!$C$9, $D$9, 100%, $F$9) + CHOOSE(CONTROL!$C$27, 0.0021, 0)</f>
        <v>58.881799999999998</v>
      </c>
      <c r="L554" s="14"/>
    </row>
    <row r="555" spans="1:12" ht="15.75" x14ac:dyDescent="0.25">
      <c r="A555" s="32">
        <v>57830</v>
      </c>
      <c r="B555" s="14">
        <f>58.4839 * CHOOSE(CONTROL!$C$9, $D$9, 100%, $F$9) + CHOOSE(CONTROL!$C$27, 0.0021, 0)</f>
        <v>58.485999999999997</v>
      </c>
      <c r="C555" s="14">
        <f>58.0517 * CHOOSE(CONTROL!$C$9, $D$9, 100%, $F$9) + CHOOSE(CONTROL!$C$27, 0.0021, 0)</f>
        <v>58.053799999999995</v>
      </c>
      <c r="D555" s="14">
        <f>58.0517 * CHOOSE(CONTROL!$C$9, $D$9, 100%, $F$9) + CHOOSE(CONTROL!$C$27, 0.0021, 0)</f>
        <v>58.053799999999995</v>
      </c>
      <c r="E555" s="14">
        <f>57.915 * CHOOSE(CONTROL!$C$9, $D$9, 100%, $F$9) + CHOOSE(CONTROL!$C$27, 0.0021, 0)</f>
        <v>57.917099999999998</v>
      </c>
      <c r="F555" s="14">
        <f>57.915 * CHOOSE(CONTROL!$C$9, $D$9, 100%, $F$9) + CHOOSE(CONTROL!$C$27, 0.0021, 0)</f>
        <v>57.917099999999998</v>
      </c>
      <c r="G555" s="14">
        <f>58.1864 * CHOOSE(CONTROL!$C$9, $D$9, 100%, $F$9) + CHOOSE(CONTROL!$C$27, 0.0021, 0)</f>
        <v>58.188499999999998</v>
      </c>
      <c r="H555" s="14">
        <f>58.0517 * CHOOSE(CONTROL!$C$9, $D$9, 100%, $F$9) + CHOOSE(CONTROL!$C$27, 0.0021, 0)</f>
        <v>58.053799999999995</v>
      </c>
      <c r="I555" s="14">
        <f>58.0517 * CHOOSE(CONTROL!$C$9, $D$9, 100%, $F$9) + CHOOSE(CONTROL!$C$27, 0.0021, 0)</f>
        <v>58.053799999999995</v>
      </c>
      <c r="J555" s="14">
        <f>58.0517 * CHOOSE(CONTROL!$C$9, $D$9, 100%, $F$9) + CHOOSE(CONTROL!$C$27, 0.0021, 0)</f>
        <v>58.053799999999995</v>
      </c>
      <c r="K555" s="14">
        <f>58.0517 * CHOOSE(CONTROL!$C$9, $D$9, 100%, $F$9) + CHOOSE(CONTROL!$C$27, 0.0021, 0)</f>
        <v>58.053799999999995</v>
      </c>
      <c r="L555" s="14"/>
    </row>
    <row r="556" spans="1:12" ht="15.75" x14ac:dyDescent="0.25">
      <c r="A556" s="32">
        <v>57861</v>
      </c>
      <c r="B556" s="14">
        <f>59.664 * CHOOSE(CONTROL!$C$9, $D$9, 100%, $F$9) + CHOOSE(CONTROL!$C$27, 0.0021, 0)</f>
        <v>59.6661</v>
      </c>
      <c r="C556" s="14">
        <f>59.2317 * CHOOSE(CONTROL!$C$9, $D$9, 100%, $F$9) + CHOOSE(CONTROL!$C$27, 0.0021, 0)</f>
        <v>59.233799999999995</v>
      </c>
      <c r="D556" s="14">
        <f>59.2317 * CHOOSE(CONTROL!$C$9, $D$9, 100%, $F$9) + CHOOSE(CONTROL!$C$27, 0.0021, 0)</f>
        <v>59.233799999999995</v>
      </c>
      <c r="E556" s="14">
        <f>59.0951 * CHOOSE(CONTROL!$C$9, $D$9, 100%, $F$9) + CHOOSE(CONTROL!$C$27, 0.0021, 0)</f>
        <v>59.097200000000001</v>
      </c>
      <c r="F556" s="14">
        <f>59.0951 * CHOOSE(CONTROL!$C$9, $D$9, 100%, $F$9) + CHOOSE(CONTROL!$C$27, 0.0021, 0)</f>
        <v>59.097200000000001</v>
      </c>
      <c r="G556" s="14">
        <f>59.3664 * CHOOSE(CONTROL!$C$9, $D$9, 100%, $F$9) + CHOOSE(CONTROL!$C$27, 0.0021, 0)</f>
        <v>59.368499999999997</v>
      </c>
      <c r="H556" s="14">
        <f>59.2317 * CHOOSE(CONTROL!$C$9, $D$9, 100%, $F$9) + CHOOSE(CONTROL!$C$27, 0.0021, 0)</f>
        <v>59.233799999999995</v>
      </c>
      <c r="I556" s="14">
        <f>59.2317 * CHOOSE(CONTROL!$C$9, $D$9, 100%, $F$9) + CHOOSE(CONTROL!$C$27, 0.0021, 0)</f>
        <v>59.233799999999995</v>
      </c>
      <c r="J556" s="14">
        <f>59.2317 * CHOOSE(CONTROL!$C$9, $D$9, 100%, $F$9) + CHOOSE(CONTROL!$C$27, 0.0021, 0)</f>
        <v>59.233799999999995</v>
      </c>
      <c r="K556" s="14">
        <f>59.2317 * CHOOSE(CONTROL!$C$9, $D$9, 100%, $F$9) + CHOOSE(CONTROL!$C$27, 0.0021, 0)</f>
        <v>59.233799999999995</v>
      </c>
      <c r="L556" s="14"/>
    </row>
    <row r="557" spans="1:12" ht="15.75" x14ac:dyDescent="0.25">
      <c r="A557" s="32">
        <v>57891</v>
      </c>
      <c r="B557" s="14">
        <f>60.3708 * CHOOSE(CONTROL!$C$9, $D$9, 100%, $F$9) + CHOOSE(CONTROL!$C$27, 0.0021, 0)</f>
        <v>60.372900000000001</v>
      </c>
      <c r="C557" s="14">
        <f>59.9385 * CHOOSE(CONTROL!$C$9, $D$9, 100%, $F$9) + CHOOSE(CONTROL!$C$27, 0.0021, 0)</f>
        <v>59.940599999999996</v>
      </c>
      <c r="D557" s="14">
        <f>59.9385 * CHOOSE(CONTROL!$C$9, $D$9, 100%, $F$9) + CHOOSE(CONTROL!$C$27, 0.0021, 0)</f>
        <v>59.940599999999996</v>
      </c>
      <c r="E557" s="14">
        <f>59.8019 * CHOOSE(CONTROL!$C$9, $D$9, 100%, $F$9) + CHOOSE(CONTROL!$C$27, 0.0021, 0)</f>
        <v>59.804000000000002</v>
      </c>
      <c r="F557" s="14">
        <f>59.8019 * CHOOSE(CONTROL!$C$9, $D$9, 100%, $F$9) + CHOOSE(CONTROL!$C$27, 0.0021, 0)</f>
        <v>59.804000000000002</v>
      </c>
      <c r="G557" s="14">
        <f>60.0732 * CHOOSE(CONTROL!$C$9, $D$9, 100%, $F$9) + CHOOSE(CONTROL!$C$27, 0.0021, 0)</f>
        <v>60.075299999999999</v>
      </c>
      <c r="H557" s="14">
        <f>59.9385 * CHOOSE(CONTROL!$C$9, $D$9, 100%, $F$9) + CHOOSE(CONTROL!$C$27, 0.0021, 0)</f>
        <v>59.940599999999996</v>
      </c>
      <c r="I557" s="14">
        <f>59.9385 * CHOOSE(CONTROL!$C$9, $D$9, 100%, $F$9) + CHOOSE(CONTROL!$C$27, 0.0021, 0)</f>
        <v>59.940599999999996</v>
      </c>
      <c r="J557" s="14">
        <f>59.9385 * CHOOSE(CONTROL!$C$9, $D$9, 100%, $F$9) + CHOOSE(CONTROL!$C$27, 0.0021, 0)</f>
        <v>59.940599999999996</v>
      </c>
      <c r="K557" s="14">
        <f>59.9385 * CHOOSE(CONTROL!$C$9, $D$9, 100%, $F$9) + CHOOSE(CONTROL!$C$27, 0.0021, 0)</f>
        <v>59.940599999999996</v>
      </c>
      <c r="L557" s="14"/>
    </row>
    <row r="558" spans="1:12" ht="15.75" x14ac:dyDescent="0.25">
      <c r="A558" s="32">
        <v>57922</v>
      </c>
      <c r="B558" s="14">
        <f>61.5367 * CHOOSE(CONTROL!$C$9, $D$9, 100%, $F$9) + CHOOSE(CONTROL!$C$27, 0.0021, 0)</f>
        <v>61.538800000000002</v>
      </c>
      <c r="C558" s="14">
        <f>61.1045 * CHOOSE(CONTROL!$C$9, $D$9, 100%, $F$9) + CHOOSE(CONTROL!$C$27, 0.0021, 0)</f>
        <v>61.1066</v>
      </c>
      <c r="D558" s="14">
        <f>61.1045 * CHOOSE(CONTROL!$C$9, $D$9, 100%, $F$9) + CHOOSE(CONTROL!$C$27, 0.0021, 0)</f>
        <v>61.1066</v>
      </c>
      <c r="E558" s="14">
        <f>60.9678 * CHOOSE(CONTROL!$C$9, $D$9, 100%, $F$9) + CHOOSE(CONTROL!$C$27, 0.0021, 0)</f>
        <v>60.969899999999996</v>
      </c>
      <c r="F558" s="14">
        <f>60.9678 * CHOOSE(CONTROL!$C$9, $D$9, 100%, $F$9) + CHOOSE(CONTROL!$C$27, 0.0021, 0)</f>
        <v>60.969899999999996</v>
      </c>
      <c r="G558" s="14">
        <f>61.2392 * CHOOSE(CONTROL!$C$9, $D$9, 100%, $F$9) + CHOOSE(CONTROL!$C$27, 0.0021, 0)</f>
        <v>61.241299999999995</v>
      </c>
      <c r="H558" s="14">
        <f>61.1045 * CHOOSE(CONTROL!$C$9, $D$9, 100%, $F$9) + CHOOSE(CONTROL!$C$27, 0.0021, 0)</f>
        <v>61.1066</v>
      </c>
      <c r="I558" s="14">
        <f>61.1045 * CHOOSE(CONTROL!$C$9, $D$9, 100%, $F$9) + CHOOSE(CONTROL!$C$27, 0.0021, 0)</f>
        <v>61.1066</v>
      </c>
      <c r="J558" s="14">
        <f>61.1045 * CHOOSE(CONTROL!$C$9, $D$9, 100%, $F$9) + CHOOSE(CONTROL!$C$27, 0.0021, 0)</f>
        <v>61.1066</v>
      </c>
      <c r="K558" s="14">
        <f>61.1045 * CHOOSE(CONTROL!$C$9, $D$9, 100%, $F$9) + CHOOSE(CONTROL!$C$27, 0.0021, 0)</f>
        <v>61.1066</v>
      </c>
      <c r="L558" s="14"/>
    </row>
    <row r="559" spans="1:12" ht="15.75" x14ac:dyDescent="0.25">
      <c r="A559" s="32">
        <v>57953</v>
      </c>
      <c r="B559" s="14">
        <f>61.8926 * CHOOSE(CONTROL!$C$9, $D$9, 100%, $F$9) + CHOOSE(CONTROL!$C$27, 0.0021, 0)</f>
        <v>61.8947</v>
      </c>
      <c r="C559" s="14">
        <f>61.4604 * CHOOSE(CONTROL!$C$9, $D$9, 100%, $F$9) + CHOOSE(CONTROL!$C$27, 0.0021, 0)</f>
        <v>61.462499999999999</v>
      </c>
      <c r="D559" s="14">
        <f>61.4604 * CHOOSE(CONTROL!$C$9, $D$9, 100%, $F$9) + CHOOSE(CONTROL!$C$27, 0.0021, 0)</f>
        <v>61.462499999999999</v>
      </c>
      <c r="E559" s="14">
        <f>61.3237 * CHOOSE(CONTROL!$C$9, $D$9, 100%, $F$9) + CHOOSE(CONTROL!$C$27, 0.0021, 0)</f>
        <v>61.325800000000001</v>
      </c>
      <c r="F559" s="14">
        <f>61.3237 * CHOOSE(CONTROL!$C$9, $D$9, 100%, $F$9) + CHOOSE(CONTROL!$C$27, 0.0021, 0)</f>
        <v>61.325800000000001</v>
      </c>
      <c r="G559" s="14">
        <f>61.5951 * CHOOSE(CONTROL!$C$9, $D$9, 100%, $F$9) + CHOOSE(CONTROL!$C$27, 0.0021, 0)</f>
        <v>61.597200000000001</v>
      </c>
      <c r="H559" s="14">
        <f>61.4604 * CHOOSE(CONTROL!$C$9, $D$9, 100%, $F$9) + CHOOSE(CONTROL!$C$27, 0.0021, 0)</f>
        <v>61.462499999999999</v>
      </c>
      <c r="I559" s="14">
        <f>61.4604 * CHOOSE(CONTROL!$C$9, $D$9, 100%, $F$9) + CHOOSE(CONTROL!$C$27, 0.0021, 0)</f>
        <v>61.462499999999999</v>
      </c>
      <c r="J559" s="14">
        <f>61.4604 * CHOOSE(CONTROL!$C$9, $D$9, 100%, $F$9) + CHOOSE(CONTROL!$C$27, 0.0021, 0)</f>
        <v>61.462499999999999</v>
      </c>
      <c r="K559" s="14">
        <f>61.4604 * CHOOSE(CONTROL!$C$9, $D$9, 100%, $F$9) + CHOOSE(CONTROL!$C$27, 0.0021, 0)</f>
        <v>61.462499999999999</v>
      </c>
      <c r="L559" s="14"/>
    </row>
    <row r="560" spans="1:12" ht="15.75" x14ac:dyDescent="0.25">
      <c r="A560" s="32">
        <v>57983</v>
      </c>
      <c r="B560" s="14">
        <f>63.1046 * CHOOSE(CONTROL!$C$9, $D$9, 100%, $F$9) + CHOOSE(CONTROL!$C$27, 0.0021, 0)</f>
        <v>63.106699999999996</v>
      </c>
      <c r="C560" s="14">
        <f>62.6723 * CHOOSE(CONTROL!$C$9, $D$9, 100%, $F$9) + CHOOSE(CONTROL!$C$27, 0.0021, 0)</f>
        <v>62.674399999999999</v>
      </c>
      <c r="D560" s="14">
        <f>62.6723 * CHOOSE(CONTROL!$C$9, $D$9, 100%, $F$9) + CHOOSE(CONTROL!$C$27, 0.0021, 0)</f>
        <v>62.674399999999999</v>
      </c>
      <c r="E560" s="14">
        <f>62.5357 * CHOOSE(CONTROL!$C$9, $D$9, 100%, $F$9) + CHOOSE(CONTROL!$C$27, 0.0021, 0)</f>
        <v>62.537799999999997</v>
      </c>
      <c r="F560" s="14">
        <f>62.5357 * CHOOSE(CONTROL!$C$9, $D$9, 100%, $F$9) + CHOOSE(CONTROL!$C$27, 0.0021, 0)</f>
        <v>62.537799999999997</v>
      </c>
      <c r="G560" s="14">
        <f>62.8071 * CHOOSE(CONTROL!$C$9, $D$9, 100%, $F$9) + CHOOSE(CONTROL!$C$27, 0.0021, 0)</f>
        <v>62.809199999999997</v>
      </c>
      <c r="H560" s="14">
        <f>62.6723 * CHOOSE(CONTROL!$C$9, $D$9, 100%, $F$9) + CHOOSE(CONTROL!$C$27, 0.0021, 0)</f>
        <v>62.674399999999999</v>
      </c>
      <c r="I560" s="14">
        <f>62.6723 * CHOOSE(CONTROL!$C$9, $D$9, 100%, $F$9) + CHOOSE(CONTROL!$C$27, 0.0021, 0)</f>
        <v>62.674399999999999</v>
      </c>
      <c r="J560" s="14">
        <f>62.6723 * CHOOSE(CONTROL!$C$9, $D$9, 100%, $F$9) + CHOOSE(CONTROL!$C$27, 0.0021, 0)</f>
        <v>62.674399999999999</v>
      </c>
      <c r="K560" s="14">
        <f>62.6723 * CHOOSE(CONTROL!$C$9, $D$9, 100%, $F$9) + CHOOSE(CONTROL!$C$27, 0.0021, 0)</f>
        <v>62.674399999999999</v>
      </c>
      <c r="L560" s="14"/>
    </row>
    <row r="561" spans="1:12" ht="15.75" x14ac:dyDescent="0.25">
      <c r="A561" s="32">
        <v>58014</v>
      </c>
      <c r="B561" s="14">
        <f>64.6387 * CHOOSE(CONTROL!$C$9, $D$9, 100%, $F$9) + CHOOSE(CONTROL!$C$27, 0.0021, 0)</f>
        <v>64.640799999999999</v>
      </c>
      <c r="C561" s="14">
        <f>64.2065 * CHOOSE(CONTROL!$C$9, $D$9, 100%, $F$9) + CHOOSE(CONTROL!$C$27, 0.0021, 0)</f>
        <v>64.208600000000004</v>
      </c>
      <c r="D561" s="14">
        <f>64.2065 * CHOOSE(CONTROL!$C$9, $D$9, 100%, $F$9) + CHOOSE(CONTROL!$C$27, 0.0021, 0)</f>
        <v>64.208600000000004</v>
      </c>
      <c r="E561" s="14">
        <f>64.0698 * CHOOSE(CONTROL!$C$9, $D$9, 100%, $F$9) + CHOOSE(CONTROL!$C$27, 0.0021, 0)</f>
        <v>64.071899999999999</v>
      </c>
      <c r="F561" s="14">
        <f>64.0698 * CHOOSE(CONTROL!$C$9, $D$9, 100%, $F$9) + CHOOSE(CONTROL!$C$27, 0.0021, 0)</f>
        <v>64.071899999999999</v>
      </c>
      <c r="G561" s="14">
        <f>64.3412 * CHOOSE(CONTROL!$C$9, $D$9, 100%, $F$9) + CHOOSE(CONTROL!$C$27, 0.0021, 0)</f>
        <v>64.343299999999999</v>
      </c>
      <c r="H561" s="14">
        <f>64.2065 * CHOOSE(CONTROL!$C$9, $D$9, 100%, $F$9) + CHOOSE(CONTROL!$C$27, 0.0021, 0)</f>
        <v>64.208600000000004</v>
      </c>
      <c r="I561" s="14">
        <f>64.2065 * CHOOSE(CONTROL!$C$9, $D$9, 100%, $F$9) + CHOOSE(CONTROL!$C$27, 0.0021, 0)</f>
        <v>64.208600000000004</v>
      </c>
      <c r="J561" s="14">
        <f>64.2065 * CHOOSE(CONTROL!$C$9, $D$9, 100%, $F$9) + CHOOSE(CONTROL!$C$27, 0.0021, 0)</f>
        <v>64.208600000000004</v>
      </c>
      <c r="K561" s="14">
        <f>64.2065 * CHOOSE(CONTROL!$C$9, $D$9, 100%, $F$9) + CHOOSE(CONTROL!$C$27, 0.0021, 0)</f>
        <v>64.208600000000004</v>
      </c>
      <c r="L561" s="14"/>
    </row>
    <row r="562" spans="1:12" ht="15.75" x14ac:dyDescent="0.25">
      <c r="A562" s="32">
        <v>58044</v>
      </c>
      <c r="B562" s="14">
        <f>64.7828 * CHOOSE(CONTROL!$C$9, $D$9, 100%, $F$9) + CHOOSE(CONTROL!$C$27, 0.0021, 0)</f>
        <v>64.784899999999993</v>
      </c>
      <c r="C562" s="14">
        <f>64.3505 * CHOOSE(CONTROL!$C$9, $D$9, 100%, $F$9) + CHOOSE(CONTROL!$C$27, 0.0021, 0)</f>
        <v>64.352599999999995</v>
      </c>
      <c r="D562" s="14">
        <f>64.3505 * CHOOSE(CONTROL!$C$9, $D$9, 100%, $F$9) + CHOOSE(CONTROL!$C$27, 0.0021, 0)</f>
        <v>64.352599999999995</v>
      </c>
      <c r="E562" s="14">
        <f>64.2138 * CHOOSE(CONTROL!$C$9, $D$9, 100%, $F$9) + CHOOSE(CONTROL!$C$27, 0.0021, 0)</f>
        <v>64.215900000000005</v>
      </c>
      <c r="F562" s="14">
        <f>64.2138 * CHOOSE(CONTROL!$C$9, $D$9, 100%, $F$9) + CHOOSE(CONTROL!$C$27, 0.0021, 0)</f>
        <v>64.215900000000005</v>
      </c>
      <c r="G562" s="14">
        <f>64.4852 * CHOOSE(CONTROL!$C$9, $D$9, 100%, $F$9) + CHOOSE(CONTROL!$C$27, 0.0021, 0)</f>
        <v>64.487300000000005</v>
      </c>
      <c r="H562" s="14">
        <f>64.3505 * CHOOSE(CONTROL!$C$9, $D$9, 100%, $F$9) + CHOOSE(CONTROL!$C$27, 0.0021, 0)</f>
        <v>64.352599999999995</v>
      </c>
      <c r="I562" s="14">
        <f>64.3505 * CHOOSE(CONTROL!$C$9, $D$9, 100%, $F$9) + CHOOSE(CONTROL!$C$27, 0.0021, 0)</f>
        <v>64.352599999999995</v>
      </c>
      <c r="J562" s="14">
        <f>64.3505 * CHOOSE(CONTROL!$C$9, $D$9, 100%, $F$9) + CHOOSE(CONTROL!$C$27, 0.0021, 0)</f>
        <v>64.352599999999995</v>
      </c>
      <c r="K562" s="14">
        <f>64.3505 * CHOOSE(CONTROL!$C$9, $D$9, 100%, $F$9) + CHOOSE(CONTROL!$C$27, 0.0021, 0)</f>
        <v>64.352599999999995</v>
      </c>
      <c r="L562" s="14"/>
    </row>
    <row r="563" spans="1:12" ht="15.75" x14ac:dyDescent="0.25">
      <c r="A563" s="32">
        <v>58075</v>
      </c>
      <c r="B563" s="14">
        <f>63.5575 * CHOOSE(CONTROL!$C$9, $D$9, 100%, $F$9) + CHOOSE(CONTROL!$C$27, 0.0021, 0)</f>
        <v>63.559599999999996</v>
      </c>
      <c r="C563" s="14">
        <f>63.1252 * CHOOSE(CONTROL!$C$9, $D$9, 100%, $F$9) + CHOOSE(CONTROL!$C$27, 0.0021, 0)</f>
        <v>63.127299999999998</v>
      </c>
      <c r="D563" s="14">
        <f>63.1252 * CHOOSE(CONTROL!$C$9, $D$9, 100%, $F$9) + CHOOSE(CONTROL!$C$27, 0.0021, 0)</f>
        <v>63.127299999999998</v>
      </c>
      <c r="E563" s="14">
        <f>62.9886 * CHOOSE(CONTROL!$C$9, $D$9, 100%, $F$9) + CHOOSE(CONTROL!$C$27, 0.0021, 0)</f>
        <v>62.990699999999997</v>
      </c>
      <c r="F563" s="14">
        <f>62.9886 * CHOOSE(CONTROL!$C$9, $D$9, 100%, $F$9) + CHOOSE(CONTROL!$C$27, 0.0021, 0)</f>
        <v>62.990699999999997</v>
      </c>
      <c r="G563" s="14">
        <f>63.2599 * CHOOSE(CONTROL!$C$9, $D$9, 100%, $F$9) + CHOOSE(CONTROL!$C$27, 0.0021, 0)</f>
        <v>63.262</v>
      </c>
      <c r="H563" s="14">
        <f>63.1252 * CHOOSE(CONTROL!$C$9, $D$9, 100%, $F$9) + CHOOSE(CONTROL!$C$27, 0.0021, 0)</f>
        <v>63.127299999999998</v>
      </c>
      <c r="I563" s="14">
        <f>63.1252 * CHOOSE(CONTROL!$C$9, $D$9, 100%, $F$9) + CHOOSE(CONTROL!$C$27, 0.0021, 0)</f>
        <v>63.127299999999998</v>
      </c>
      <c r="J563" s="14">
        <f>63.1252 * CHOOSE(CONTROL!$C$9, $D$9, 100%, $F$9) + CHOOSE(CONTROL!$C$27, 0.0021, 0)</f>
        <v>63.127299999999998</v>
      </c>
      <c r="K563" s="14">
        <f>63.1252 * CHOOSE(CONTROL!$C$9, $D$9, 100%, $F$9) + CHOOSE(CONTROL!$C$27, 0.0021, 0)</f>
        <v>63.127299999999998</v>
      </c>
      <c r="L563" s="14"/>
    </row>
    <row r="564" spans="1:12" ht="15.75" x14ac:dyDescent="0.25">
      <c r="A564" s="32">
        <v>58106</v>
      </c>
      <c r="B564" s="14">
        <f>62.783 * CHOOSE(CONTROL!$C$9, $D$9, 100%, $F$9) + CHOOSE(CONTROL!$C$27, 0.0021, 0)</f>
        <v>62.7851</v>
      </c>
      <c r="C564" s="14">
        <f>62.3508 * CHOOSE(CONTROL!$C$9, $D$9, 100%, $F$9) + CHOOSE(CONTROL!$C$27, 0.0021, 0)</f>
        <v>62.352899999999998</v>
      </c>
      <c r="D564" s="14">
        <f>62.3508 * CHOOSE(CONTROL!$C$9, $D$9, 100%, $F$9) + CHOOSE(CONTROL!$C$27, 0.0021, 0)</f>
        <v>62.352899999999998</v>
      </c>
      <c r="E564" s="14">
        <f>62.2141 * CHOOSE(CONTROL!$C$9, $D$9, 100%, $F$9) + CHOOSE(CONTROL!$C$27, 0.0021, 0)</f>
        <v>62.216200000000001</v>
      </c>
      <c r="F564" s="14">
        <f>62.2141 * CHOOSE(CONTROL!$C$9, $D$9, 100%, $F$9) + CHOOSE(CONTROL!$C$27, 0.0021, 0)</f>
        <v>62.216200000000001</v>
      </c>
      <c r="G564" s="14">
        <f>62.4855 * CHOOSE(CONTROL!$C$9, $D$9, 100%, $F$9) + CHOOSE(CONTROL!$C$27, 0.0021, 0)</f>
        <v>62.4876</v>
      </c>
      <c r="H564" s="14">
        <f>62.3508 * CHOOSE(CONTROL!$C$9, $D$9, 100%, $F$9) + CHOOSE(CONTROL!$C$27, 0.0021, 0)</f>
        <v>62.352899999999998</v>
      </c>
      <c r="I564" s="14">
        <f>62.3508 * CHOOSE(CONTROL!$C$9, $D$9, 100%, $F$9) + CHOOSE(CONTROL!$C$27, 0.0021, 0)</f>
        <v>62.352899999999998</v>
      </c>
      <c r="J564" s="14">
        <f>62.3508 * CHOOSE(CONTROL!$C$9, $D$9, 100%, $F$9) + CHOOSE(CONTROL!$C$27, 0.0021, 0)</f>
        <v>62.352899999999998</v>
      </c>
      <c r="K564" s="14">
        <f>62.3508 * CHOOSE(CONTROL!$C$9, $D$9, 100%, $F$9) + CHOOSE(CONTROL!$C$27, 0.0021, 0)</f>
        <v>62.352899999999998</v>
      </c>
      <c r="L564" s="14"/>
    </row>
    <row r="565" spans="1:12" ht="15.75" x14ac:dyDescent="0.25">
      <c r="A565" s="32">
        <v>58134</v>
      </c>
      <c r="B565" s="14">
        <f>61.072 * CHOOSE(CONTROL!$C$9, $D$9, 100%, $F$9) + CHOOSE(CONTROL!$C$27, 0.0021, 0)</f>
        <v>61.074100000000001</v>
      </c>
      <c r="C565" s="14">
        <f>60.6398 * CHOOSE(CONTROL!$C$9, $D$9, 100%, $F$9) + CHOOSE(CONTROL!$C$27, 0.0021, 0)</f>
        <v>60.6419</v>
      </c>
      <c r="D565" s="14">
        <f>60.6398 * CHOOSE(CONTROL!$C$9, $D$9, 100%, $F$9) + CHOOSE(CONTROL!$C$27, 0.0021, 0)</f>
        <v>60.6419</v>
      </c>
      <c r="E565" s="14">
        <f>60.5031 * CHOOSE(CONTROL!$C$9, $D$9, 100%, $F$9) + CHOOSE(CONTROL!$C$27, 0.0021, 0)</f>
        <v>60.505200000000002</v>
      </c>
      <c r="F565" s="14">
        <f>60.5031 * CHOOSE(CONTROL!$C$9, $D$9, 100%, $F$9) + CHOOSE(CONTROL!$C$27, 0.0021, 0)</f>
        <v>60.505200000000002</v>
      </c>
      <c r="G565" s="14">
        <f>60.7745 * CHOOSE(CONTROL!$C$9, $D$9, 100%, $F$9) + CHOOSE(CONTROL!$C$27, 0.0021, 0)</f>
        <v>60.776600000000002</v>
      </c>
      <c r="H565" s="14">
        <f>60.6398 * CHOOSE(CONTROL!$C$9, $D$9, 100%, $F$9) + CHOOSE(CONTROL!$C$27, 0.0021, 0)</f>
        <v>60.6419</v>
      </c>
      <c r="I565" s="14">
        <f>60.6398 * CHOOSE(CONTROL!$C$9, $D$9, 100%, $F$9) + CHOOSE(CONTROL!$C$27, 0.0021, 0)</f>
        <v>60.6419</v>
      </c>
      <c r="J565" s="14">
        <f>60.6398 * CHOOSE(CONTROL!$C$9, $D$9, 100%, $F$9) + CHOOSE(CONTROL!$C$27, 0.0021, 0)</f>
        <v>60.6419</v>
      </c>
      <c r="K565" s="14">
        <f>60.6398 * CHOOSE(CONTROL!$C$9, $D$9, 100%, $F$9) + CHOOSE(CONTROL!$C$27, 0.0021, 0)</f>
        <v>60.6419</v>
      </c>
      <c r="L565" s="14"/>
    </row>
    <row r="566" spans="1:12" ht="15.75" x14ac:dyDescent="0.25">
      <c r="A566" s="32">
        <v>58165</v>
      </c>
      <c r="B566" s="14">
        <f>60.3657 * CHOOSE(CONTROL!$C$9, $D$9, 100%, $F$9) + CHOOSE(CONTROL!$C$27, 0.0021, 0)</f>
        <v>60.367799999999995</v>
      </c>
      <c r="C566" s="14">
        <f>59.9335 * CHOOSE(CONTROL!$C$9, $D$9, 100%, $F$9) + CHOOSE(CONTROL!$C$27, 0.0021, 0)</f>
        <v>59.935600000000001</v>
      </c>
      <c r="D566" s="14">
        <f>59.9335 * CHOOSE(CONTROL!$C$9, $D$9, 100%, $F$9) + CHOOSE(CONTROL!$C$27, 0.0021, 0)</f>
        <v>59.935600000000001</v>
      </c>
      <c r="E566" s="14">
        <f>59.7968 * CHOOSE(CONTROL!$C$9, $D$9, 100%, $F$9) + CHOOSE(CONTROL!$C$27, 0.0021, 0)</f>
        <v>59.798899999999996</v>
      </c>
      <c r="F566" s="14">
        <f>59.7968 * CHOOSE(CONTROL!$C$9, $D$9, 100%, $F$9) + CHOOSE(CONTROL!$C$27, 0.0021, 0)</f>
        <v>59.798899999999996</v>
      </c>
      <c r="G566" s="14">
        <f>60.0682 * CHOOSE(CONTROL!$C$9, $D$9, 100%, $F$9) + CHOOSE(CONTROL!$C$27, 0.0021, 0)</f>
        <v>60.070299999999996</v>
      </c>
      <c r="H566" s="14">
        <f>59.9335 * CHOOSE(CONTROL!$C$9, $D$9, 100%, $F$9) + CHOOSE(CONTROL!$C$27, 0.0021, 0)</f>
        <v>59.935600000000001</v>
      </c>
      <c r="I566" s="14">
        <f>59.9335 * CHOOSE(CONTROL!$C$9, $D$9, 100%, $F$9) + CHOOSE(CONTROL!$C$27, 0.0021, 0)</f>
        <v>59.935600000000001</v>
      </c>
      <c r="J566" s="14">
        <f>59.9335 * CHOOSE(CONTROL!$C$9, $D$9, 100%, $F$9) + CHOOSE(CONTROL!$C$27, 0.0021, 0)</f>
        <v>59.935600000000001</v>
      </c>
      <c r="K566" s="14">
        <f>59.9335 * CHOOSE(CONTROL!$C$9, $D$9, 100%, $F$9) + CHOOSE(CONTROL!$C$27, 0.0021, 0)</f>
        <v>59.935600000000001</v>
      </c>
      <c r="L566" s="14"/>
    </row>
    <row r="567" spans="1:12" ht="15.75" x14ac:dyDescent="0.25">
      <c r="A567" s="32">
        <v>58195</v>
      </c>
      <c r="B567" s="14">
        <f>59.5224 * CHOOSE(CONTROL!$C$9, $D$9, 100%, $F$9) + CHOOSE(CONTROL!$C$27, 0.0021, 0)</f>
        <v>59.524499999999996</v>
      </c>
      <c r="C567" s="14">
        <f>59.0901 * CHOOSE(CONTROL!$C$9, $D$9, 100%, $F$9) + CHOOSE(CONTROL!$C$27, 0.0021, 0)</f>
        <v>59.092199999999998</v>
      </c>
      <c r="D567" s="14">
        <f>59.0901 * CHOOSE(CONTROL!$C$9, $D$9, 100%, $F$9) + CHOOSE(CONTROL!$C$27, 0.0021, 0)</f>
        <v>59.092199999999998</v>
      </c>
      <c r="E567" s="14">
        <f>58.9535 * CHOOSE(CONTROL!$C$9, $D$9, 100%, $F$9) + CHOOSE(CONTROL!$C$27, 0.0021, 0)</f>
        <v>58.955599999999997</v>
      </c>
      <c r="F567" s="14">
        <f>58.9535 * CHOOSE(CONTROL!$C$9, $D$9, 100%, $F$9) + CHOOSE(CONTROL!$C$27, 0.0021, 0)</f>
        <v>58.955599999999997</v>
      </c>
      <c r="G567" s="14">
        <f>59.2249 * CHOOSE(CONTROL!$C$9, $D$9, 100%, $F$9) + CHOOSE(CONTROL!$C$27, 0.0021, 0)</f>
        <v>59.226999999999997</v>
      </c>
      <c r="H567" s="14">
        <f>59.0901 * CHOOSE(CONTROL!$C$9, $D$9, 100%, $F$9) + CHOOSE(CONTROL!$C$27, 0.0021, 0)</f>
        <v>59.092199999999998</v>
      </c>
      <c r="I567" s="14">
        <f>59.0901 * CHOOSE(CONTROL!$C$9, $D$9, 100%, $F$9) + CHOOSE(CONTROL!$C$27, 0.0021, 0)</f>
        <v>59.092199999999998</v>
      </c>
      <c r="J567" s="14">
        <f>59.0901 * CHOOSE(CONTROL!$C$9, $D$9, 100%, $F$9) + CHOOSE(CONTROL!$C$27, 0.0021, 0)</f>
        <v>59.092199999999998</v>
      </c>
      <c r="K567" s="14">
        <f>59.0901 * CHOOSE(CONTROL!$C$9, $D$9, 100%, $F$9) + CHOOSE(CONTROL!$C$27, 0.0021, 0)</f>
        <v>59.092199999999998</v>
      </c>
      <c r="L567" s="14"/>
    </row>
    <row r="568" spans="1:12" ht="15.75" x14ac:dyDescent="0.25">
      <c r="A568" s="32">
        <v>58226</v>
      </c>
      <c r="B568" s="14">
        <f>60.7242 * CHOOSE(CONTROL!$C$9, $D$9, 100%, $F$9) + CHOOSE(CONTROL!$C$27, 0.0021, 0)</f>
        <v>60.726300000000002</v>
      </c>
      <c r="C568" s="14">
        <f>60.292 * CHOOSE(CONTROL!$C$9, $D$9, 100%, $F$9) + CHOOSE(CONTROL!$C$27, 0.0021, 0)</f>
        <v>60.2941</v>
      </c>
      <c r="D568" s="14">
        <f>60.292 * CHOOSE(CONTROL!$C$9, $D$9, 100%, $F$9) + CHOOSE(CONTROL!$C$27, 0.0021, 0)</f>
        <v>60.2941</v>
      </c>
      <c r="E568" s="14">
        <f>60.1553 * CHOOSE(CONTROL!$C$9, $D$9, 100%, $F$9) + CHOOSE(CONTROL!$C$27, 0.0021, 0)</f>
        <v>60.157399999999996</v>
      </c>
      <c r="F568" s="14">
        <f>60.1553 * CHOOSE(CONTROL!$C$9, $D$9, 100%, $F$9) + CHOOSE(CONTROL!$C$27, 0.0021, 0)</f>
        <v>60.157399999999996</v>
      </c>
      <c r="G568" s="14">
        <f>60.4267 * CHOOSE(CONTROL!$C$9, $D$9, 100%, $F$9) + CHOOSE(CONTROL!$C$27, 0.0021, 0)</f>
        <v>60.428799999999995</v>
      </c>
      <c r="H568" s="14">
        <f>60.292 * CHOOSE(CONTROL!$C$9, $D$9, 100%, $F$9) + CHOOSE(CONTROL!$C$27, 0.0021, 0)</f>
        <v>60.2941</v>
      </c>
      <c r="I568" s="14">
        <f>60.292 * CHOOSE(CONTROL!$C$9, $D$9, 100%, $F$9) + CHOOSE(CONTROL!$C$27, 0.0021, 0)</f>
        <v>60.2941</v>
      </c>
      <c r="J568" s="14">
        <f>60.292 * CHOOSE(CONTROL!$C$9, $D$9, 100%, $F$9) + CHOOSE(CONTROL!$C$27, 0.0021, 0)</f>
        <v>60.2941</v>
      </c>
      <c r="K568" s="14">
        <f>60.292 * CHOOSE(CONTROL!$C$9, $D$9, 100%, $F$9) + CHOOSE(CONTROL!$C$27, 0.0021, 0)</f>
        <v>60.2941</v>
      </c>
      <c r="L568" s="14"/>
    </row>
    <row r="569" spans="1:12" ht="15.75" x14ac:dyDescent="0.25">
      <c r="A569" s="32">
        <v>58256</v>
      </c>
      <c r="B569" s="14">
        <f>61.4441 * CHOOSE(CONTROL!$C$9, $D$9, 100%, $F$9) + CHOOSE(CONTROL!$C$27, 0.0021, 0)</f>
        <v>61.446199999999997</v>
      </c>
      <c r="C569" s="14">
        <f>61.0119 * CHOOSE(CONTROL!$C$9, $D$9, 100%, $F$9) + CHOOSE(CONTROL!$C$27, 0.0021, 0)</f>
        <v>61.013999999999996</v>
      </c>
      <c r="D569" s="14">
        <f>61.0119 * CHOOSE(CONTROL!$C$9, $D$9, 100%, $F$9) + CHOOSE(CONTROL!$C$27, 0.0021, 0)</f>
        <v>61.013999999999996</v>
      </c>
      <c r="E569" s="14">
        <f>60.8752 * CHOOSE(CONTROL!$C$9, $D$9, 100%, $F$9) + CHOOSE(CONTROL!$C$27, 0.0021, 0)</f>
        <v>60.877299999999998</v>
      </c>
      <c r="F569" s="14">
        <f>60.8752 * CHOOSE(CONTROL!$C$9, $D$9, 100%, $F$9) + CHOOSE(CONTROL!$C$27, 0.0021, 0)</f>
        <v>60.877299999999998</v>
      </c>
      <c r="G569" s="14">
        <f>61.1466 * CHOOSE(CONTROL!$C$9, $D$9, 100%, $F$9) + CHOOSE(CONTROL!$C$27, 0.0021, 0)</f>
        <v>61.148699999999998</v>
      </c>
      <c r="H569" s="14">
        <f>61.0119 * CHOOSE(CONTROL!$C$9, $D$9, 100%, $F$9) + CHOOSE(CONTROL!$C$27, 0.0021, 0)</f>
        <v>61.013999999999996</v>
      </c>
      <c r="I569" s="14">
        <f>61.0119 * CHOOSE(CONTROL!$C$9, $D$9, 100%, $F$9) + CHOOSE(CONTROL!$C$27, 0.0021, 0)</f>
        <v>61.013999999999996</v>
      </c>
      <c r="J569" s="14">
        <f>61.0119 * CHOOSE(CONTROL!$C$9, $D$9, 100%, $F$9) + CHOOSE(CONTROL!$C$27, 0.0021, 0)</f>
        <v>61.013999999999996</v>
      </c>
      <c r="K569" s="14">
        <f>61.0119 * CHOOSE(CONTROL!$C$9, $D$9, 100%, $F$9) + CHOOSE(CONTROL!$C$27, 0.0021, 0)</f>
        <v>61.013999999999996</v>
      </c>
      <c r="L569" s="14"/>
    </row>
    <row r="570" spans="1:12" ht="15.75" x14ac:dyDescent="0.25">
      <c r="A570" s="32">
        <v>58287</v>
      </c>
      <c r="B570" s="14">
        <f>62.6316 * CHOOSE(CONTROL!$C$9, $D$9, 100%, $F$9) + CHOOSE(CONTROL!$C$27, 0.0021, 0)</f>
        <v>62.633699999999997</v>
      </c>
      <c r="C570" s="14">
        <f>62.1994 * CHOOSE(CONTROL!$C$9, $D$9, 100%, $F$9) + CHOOSE(CONTROL!$C$27, 0.0021, 0)</f>
        <v>62.201499999999996</v>
      </c>
      <c r="D570" s="14">
        <f>62.1994 * CHOOSE(CONTROL!$C$9, $D$9, 100%, $F$9) + CHOOSE(CONTROL!$C$27, 0.0021, 0)</f>
        <v>62.201499999999996</v>
      </c>
      <c r="E570" s="14">
        <f>62.0627 * CHOOSE(CONTROL!$C$9, $D$9, 100%, $F$9) + CHOOSE(CONTROL!$C$27, 0.0021, 0)</f>
        <v>62.064799999999998</v>
      </c>
      <c r="F570" s="14">
        <f>62.0627 * CHOOSE(CONTROL!$C$9, $D$9, 100%, $F$9) + CHOOSE(CONTROL!$C$27, 0.0021, 0)</f>
        <v>62.064799999999998</v>
      </c>
      <c r="G570" s="14">
        <f>62.3341 * CHOOSE(CONTROL!$C$9, $D$9, 100%, $F$9) + CHOOSE(CONTROL!$C$27, 0.0021, 0)</f>
        <v>62.336199999999998</v>
      </c>
      <c r="H570" s="14">
        <f>62.1994 * CHOOSE(CONTROL!$C$9, $D$9, 100%, $F$9) + CHOOSE(CONTROL!$C$27, 0.0021, 0)</f>
        <v>62.201499999999996</v>
      </c>
      <c r="I570" s="14">
        <f>62.1994 * CHOOSE(CONTROL!$C$9, $D$9, 100%, $F$9) + CHOOSE(CONTROL!$C$27, 0.0021, 0)</f>
        <v>62.201499999999996</v>
      </c>
      <c r="J570" s="14">
        <f>62.1994 * CHOOSE(CONTROL!$C$9, $D$9, 100%, $F$9) + CHOOSE(CONTROL!$C$27, 0.0021, 0)</f>
        <v>62.201499999999996</v>
      </c>
      <c r="K570" s="14">
        <f>62.1994 * CHOOSE(CONTROL!$C$9, $D$9, 100%, $F$9) + CHOOSE(CONTROL!$C$27, 0.0021, 0)</f>
        <v>62.201499999999996</v>
      </c>
      <c r="L570" s="14"/>
    </row>
    <row r="571" spans="1:12" ht="15.75" x14ac:dyDescent="0.25">
      <c r="A571" s="32">
        <v>58318</v>
      </c>
      <c r="B571" s="14">
        <f>62.9941 * CHOOSE(CONTROL!$C$9, $D$9, 100%, $F$9) + CHOOSE(CONTROL!$C$27, 0.0021, 0)</f>
        <v>62.996200000000002</v>
      </c>
      <c r="C571" s="14">
        <f>62.5618 * CHOOSE(CONTROL!$C$9, $D$9, 100%, $F$9) + CHOOSE(CONTROL!$C$27, 0.0021, 0)</f>
        <v>62.563899999999997</v>
      </c>
      <c r="D571" s="14">
        <f>62.5618 * CHOOSE(CONTROL!$C$9, $D$9, 100%, $F$9) + CHOOSE(CONTROL!$C$27, 0.0021, 0)</f>
        <v>62.563899999999997</v>
      </c>
      <c r="E571" s="14">
        <f>62.4252 * CHOOSE(CONTROL!$C$9, $D$9, 100%, $F$9) + CHOOSE(CONTROL!$C$27, 0.0021, 0)</f>
        <v>62.427299999999995</v>
      </c>
      <c r="F571" s="14">
        <f>62.4252 * CHOOSE(CONTROL!$C$9, $D$9, 100%, $F$9) + CHOOSE(CONTROL!$C$27, 0.0021, 0)</f>
        <v>62.427299999999995</v>
      </c>
      <c r="G571" s="14">
        <f>62.6965 * CHOOSE(CONTROL!$C$9, $D$9, 100%, $F$9) + CHOOSE(CONTROL!$C$27, 0.0021, 0)</f>
        <v>62.698599999999999</v>
      </c>
      <c r="H571" s="14">
        <f>62.5618 * CHOOSE(CONTROL!$C$9, $D$9, 100%, $F$9) + CHOOSE(CONTROL!$C$27, 0.0021, 0)</f>
        <v>62.563899999999997</v>
      </c>
      <c r="I571" s="14">
        <f>62.5618 * CHOOSE(CONTROL!$C$9, $D$9, 100%, $F$9) + CHOOSE(CONTROL!$C$27, 0.0021, 0)</f>
        <v>62.563899999999997</v>
      </c>
      <c r="J571" s="14">
        <f>62.5618 * CHOOSE(CONTROL!$C$9, $D$9, 100%, $F$9) + CHOOSE(CONTROL!$C$27, 0.0021, 0)</f>
        <v>62.563899999999997</v>
      </c>
      <c r="K571" s="14">
        <f>62.5618 * CHOOSE(CONTROL!$C$9, $D$9, 100%, $F$9) + CHOOSE(CONTROL!$C$27, 0.0021, 0)</f>
        <v>62.563899999999997</v>
      </c>
      <c r="L571" s="14"/>
    </row>
    <row r="572" spans="1:12" ht="15.75" x14ac:dyDescent="0.25">
      <c r="A572" s="32">
        <v>58348</v>
      </c>
      <c r="B572" s="14">
        <f>64.2284 * CHOOSE(CONTROL!$C$9, $D$9, 100%, $F$9) + CHOOSE(CONTROL!$C$27, 0.0021, 0)</f>
        <v>64.230499999999992</v>
      </c>
      <c r="C572" s="14">
        <f>63.7962 * CHOOSE(CONTROL!$C$9, $D$9, 100%, $F$9) + CHOOSE(CONTROL!$C$27, 0.0021, 0)</f>
        <v>63.798299999999998</v>
      </c>
      <c r="D572" s="14">
        <f>63.7962 * CHOOSE(CONTROL!$C$9, $D$9, 100%, $F$9) + CHOOSE(CONTROL!$C$27, 0.0021, 0)</f>
        <v>63.798299999999998</v>
      </c>
      <c r="E572" s="14">
        <f>63.6595 * CHOOSE(CONTROL!$C$9, $D$9, 100%, $F$9) + CHOOSE(CONTROL!$C$27, 0.0021, 0)</f>
        <v>63.6616</v>
      </c>
      <c r="F572" s="14">
        <f>63.6595 * CHOOSE(CONTROL!$C$9, $D$9, 100%, $F$9) + CHOOSE(CONTROL!$C$27, 0.0021, 0)</f>
        <v>63.6616</v>
      </c>
      <c r="G572" s="14">
        <f>63.9309 * CHOOSE(CONTROL!$C$9, $D$9, 100%, $F$9) + CHOOSE(CONTROL!$C$27, 0.0021, 0)</f>
        <v>63.933</v>
      </c>
      <c r="H572" s="14">
        <f>63.7962 * CHOOSE(CONTROL!$C$9, $D$9, 100%, $F$9) + CHOOSE(CONTROL!$C$27, 0.0021, 0)</f>
        <v>63.798299999999998</v>
      </c>
      <c r="I572" s="14">
        <f>63.7962 * CHOOSE(CONTROL!$C$9, $D$9, 100%, $F$9) + CHOOSE(CONTROL!$C$27, 0.0021, 0)</f>
        <v>63.798299999999998</v>
      </c>
      <c r="J572" s="14">
        <f>63.7962 * CHOOSE(CONTROL!$C$9, $D$9, 100%, $F$9) + CHOOSE(CONTROL!$C$27, 0.0021, 0)</f>
        <v>63.798299999999998</v>
      </c>
      <c r="K572" s="14">
        <f>63.7962 * CHOOSE(CONTROL!$C$9, $D$9, 100%, $F$9) + CHOOSE(CONTROL!$C$27, 0.0021, 0)</f>
        <v>63.798299999999998</v>
      </c>
      <c r="L572" s="14"/>
    </row>
    <row r="573" spans="1:12" ht="15.75" x14ac:dyDescent="0.25">
      <c r="A573" s="32">
        <v>58379</v>
      </c>
      <c r="B573" s="14">
        <f>65.7909 * CHOOSE(CONTROL!$C$9, $D$9, 100%, $F$9) + CHOOSE(CONTROL!$C$27, 0.0021, 0)</f>
        <v>65.792999999999992</v>
      </c>
      <c r="C573" s="14">
        <f>65.3587 * CHOOSE(CONTROL!$C$9, $D$9, 100%, $F$9) + CHOOSE(CONTROL!$C$27, 0.0021, 0)</f>
        <v>65.360799999999998</v>
      </c>
      <c r="D573" s="14">
        <f>65.3587 * CHOOSE(CONTROL!$C$9, $D$9, 100%, $F$9) + CHOOSE(CONTROL!$C$27, 0.0021, 0)</f>
        <v>65.360799999999998</v>
      </c>
      <c r="E573" s="14">
        <f>65.222 * CHOOSE(CONTROL!$C$9, $D$9, 100%, $F$9) + CHOOSE(CONTROL!$C$27, 0.0021, 0)</f>
        <v>65.224099999999993</v>
      </c>
      <c r="F573" s="14">
        <f>65.222 * CHOOSE(CONTROL!$C$9, $D$9, 100%, $F$9) + CHOOSE(CONTROL!$C$27, 0.0021, 0)</f>
        <v>65.224099999999993</v>
      </c>
      <c r="G573" s="14">
        <f>65.4934 * CHOOSE(CONTROL!$C$9, $D$9, 100%, $F$9) + CHOOSE(CONTROL!$C$27, 0.0021, 0)</f>
        <v>65.495499999999993</v>
      </c>
      <c r="H573" s="14">
        <f>65.3587 * CHOOSE(CONTROL!$C$9, $D$9, 100%, $F$9) + CHOOSE(CONTROL!$C$27, 0.0021, 0)</f>
        <v>65.360799999999998</v>
      </c>
      <c r="I573" s="14">
        <f>65.3587 * CHOOSE(CONTROL!$C$9, $D$9, 100%, $F$9) + CHOOSE(CONTROL!$C$27, 0.0021, 0)</f>
        <v>65.360799999999998</v>
      </c>
      <c r="J573" s="14">
        <f>65.3587 * CHOOSE(CONTROL!$C$9, $D$9, 100%, $F$9) + CHOOSE(CONTROL!$C$27, 0.0021, 0)</f>
        <v>65.360799999999998</v>
      </c>
      <c r="K573" s="14">
        <f>65.3587 * CHOOSE(CONTROL!$C$9, $D$9, 100%, $F$9) + CHOOSE(CONTROL!$C$27, 0.0021, 0)</f>
        <v>65.360799999999998</v>
      </c>
      <c r="L573" s="14"/>
    </row>
    <row r="574" spans="1:12" ht="15.75" x14ac:dyDescent="0.25">
      <c r="A574" s="32">
        <v>58409</v>
      </c>
      <c r="B574" s="14">
        <f>65.9376 * CHOOSE(CONTROL!$C$9, $D$9, 100%, $F$9) + CHOOSE(CONTROL!$C$27, 0.0021, 0)</f>
        <v>65.939700000000002</v>
      </c>
      <c r="C574" s="14">
        <f>65.5054 * CHOOSE(CONTROL!$C$9, $D$9, 100%, $F$9) + CHOOSE(CONTROL!$C$27, 0.0021, 0)</f>
        <v>65.507499999999993</v>
      </c>
      <c r="D574" s="14">
        <f>65.5054 * CHOOSE(CONTROL!$C$9, $D$9, 100%, $F$9) + CHOOSE(CONTROL!$C$27, 0.0021, 0)</f>
        <v>65.507499999999993</v>
      </c>
      <c r="E574" s="14">
        <f>65.3687 * CHOOSE(CONTROL!$C$9, $D$9, 100%, $F$9) + CHOOSE(CONTROL!$C$27, 0.0021, 0)</f>
        <v>65.370800000000003</v>
      </c>
      <c r="F574" s="14">
        <f>65.3687 * CHOOSE(CONTROL!$C$9, $D$9, 100%, $F$9) + CHOOSE(CONTROL!$C$27, 0.0021, 0)</f>
        <v>65.370800000000003</v>
      </c>
      <c r="G574" s="14">
        <f>65.6401 * CHOOSE(CONTROL!$C$9, $D$9, 100%, $F$9) + CHOOSE(CONTROL!$C$27, 0.0021, 0)</f>
        <v>65.642200000000003</v>
      </c>
      <c r="H574" s="14">
        <f>65.5054 * CHOOSE(CONTROL!$C$9, $D$9, 100%, $F$9) + CHOOSE(CONTROL!$C$27, 0.0021, 0)</f>
        <v>65.507499999999993</v>
      </c>
      <c r="I574" s="14">
        <f>65.5054 * CHOOSE(CONTROL!$C$9, $D$9, 100%, $F$9) + CHOOSE(CONTROL!$C$27, 0.0021, 0)</f>
        <v>65.507499999999993</v>
      </c>
      <c r="J574" s="14">
        <f>65.5054 * CHOOSE(CONTROL!$C$9, $D$9, 100%, $F$9) + CHOOSE(CONTROL!$C$27, 0.0021, 0)</f>
        <v>65.507499999999993</v>
      </c>
      <c r="K574" s="14">
        <f>65.5054 * CHOOSE(CONTROL!$C$9, $D$9, 100%, $F$9) + CHOOSE(CONTROL!$C$27, 0.0021, 0)</f>
        <v>65.507499999999993</v>
      </c>
      <c r="L574" s="14"/>
    </row>
    <row r="575" spans="1:12" ht="15.75" x14ac:dyDescent="0.25">
      <c r="A575" s="32">
        <v>58440</v>
      </c>
      <c r="B575" s="14">
        <f>64.6897 * CHOOSE(CONTROL!$C$9, $D$9, 100%, $F$9) + CHOOSE(CONTROL!$C$27, 0.0021, 0)</f>
        <v>64.691800000000001</v>
      </c>
      <c r="C575" s="14">
        <f>64.2574 * CHOOSE(CONTROL!$C$9, $D$9, 100%, $F$9) + CHOOSE(CONTROL!$C$27, 0.0021, 0)</f>
        <v>64.259500000000003</v>
      </c>
      <c r="D575" s="14">
        <f>64.2574 * CHOOSE(CONTROL!$C$9, $D$9, 100%, $F$9) + CHOOSE(CONTROL!$C$27, 0.0021, 0)</f>
        <v>64.259500000000003</v>
      </c>
      <c r="E575" s="14">
        <f>64.1208 * CHOOSE(CONTROL!$C$9, $D$9, 100%, $F$9) + CHOOSE(CONTROL!$C$27, 0.0021, 0)</f>
        <v>64.122900000000001</v>
      </c>
      <c r="F575" s="14">
        <f>64.1208 * CHOOSE(CONTROL!$C$9, $D$9, 100%, $F$9) + CHOOSE(CONTROL!$C$27, 0.0021, 0)</f>
        <v>64.122900000000001</v>
      </c>
      <c r="G575" s="14">
        <f>64.3922 * CHOOSE(CONTROL!$C$9, $D$9, 100%, $F$9) + CHOOSE(CONTROL!$C$27, 0.0021, 0)</f>
        <v>64.394300000000001</v>
      </c>
      <c r="H575" s="14">
        <f>64.2574 * CHOOSE(CONTROL!$C$9, $D$9, 100%, $F$9) + CHOOSE(CONTROL!$C$27, 0.0021, 0)</f>
        <v>64.259500000000003</v>
      </c>
      <c r="I575" s="14">
        <f>64.2574 * CHOOSE(CONTROL!$C$9, $D$9, 100%, $F$9) + CHOOSE(CONTROL!$C$27, 0.0021, 0)</f>
        <v>64.259500000000003</v>
      </c>
      <c r="J575" s="14">
        <f>64.2574 * CHOOSE(CONTROL!$C$9, $D$9, 100%, $F$9) + CHOOSE(CONTROL!$C$27, 0.0021, 0)</f>
        <v>64.259500000000003</v>
      </c>
      <c r="K575" s="14">
        <f>64.2574 * CHOOSE(CONTROL!$C$9, $D$9, 100%, $F$9) + CHOOSE(CONTROL!$C$27, 0.0021, 0)</f>
        <v>64.259500000000003</v>
      </c>
      <c r="L575" s="14"/>
    </row>
    <row r="576" spans="1:12" ht="15.75" x14ac:dyDescent="0.25">
      <c r="A576" s="32">
        <v>58471</v>
      </c>
      <c r="B576" s="14">
        <f>63.9009 * CHOOSE(CONTROL!$C$9, $D$9, 100%, $F$9) + CHOOSE(CONTROL!$C$27, 0.0021, 0)</f>
        <v>63.902999999999999</v>
      </c>
      <c r="C576" s="14">
        <f>63.4687 * CHOOSE(CONTROL!$C$9, $D$9, 100%, $F$9) + CHOOSE(CONTROL!$C$27, 0.0021, 0)</f>
        <v>63.470799999999997</v>
      </c>
      <c r="D576" s="14">
        <f>63.4687 * CHOOSE(CONTROL!$C$9, $D$9, 100%, $F$9) + CHOOSE(CONTROL!$C$27, 0.0021, 0)</f>
        <v>63.470799999999997</v>
      </c>
      <c r="E576" s="14">
        <f>63.332 * CHOOSE(CONTROL!$C$9, $D$9, 100%, $F$9) + CHOOSE(CONTROL!$C$27, 0.0021, 0)</f>
        <v>63.334099999999999</v>
      </c>
      <c r="F576" s="14">
        <f>63.332 * CHOOSE(CONTROL!$C$9, $D$9, 100%, $F$9) + CHOOSE(CONTROL!$C$27, 0.0021, 0)</f>
        <v>63.334099999999999</v>
      </c>
      <c r="G576" s="14">
        <f>63.6034 * CHOOSE(CONTROL!$C$9, $D$9, 100%, $F$9) + CHOOSE(CONTROL!$C$27, 0.0021, 0)</f>
        <v>63.605499999999999</v>
      </c>
      <c r="H576" s="14">
        <f>63.4687 * CHOOSE(CONTROL!$C$9, $D$9, 100%, $F$9) + CHOOSE(CONTROL!$C$27, 0.0021, 0)</f>
        <v>63.470799999999997</v>
      </c>
      <c r="I576" s="14">
        <f>63.4687 * CHOOSE(CONTROL!$C$9, $D$9, 100%, $F$9) + CHOOSE(CONTROL!$C$27, 0.0021, 0)</f>
        <v>63.470799999999997</v>
      </c>
      <c r="J576" s="14">
        <f>63.4687 * CHOOSE(CONTROL!$C$9, $D$9, 100%, $F$9) + CHOOSE(CONTROL!$C$27, 0.0021, 0)</f>
        <v>63.470799999999997</v>
      </c>
      <c r="K576" s="14">
        <f>63.4687 * CHOOSE(CONTROL!$C$9, $D$9, 100%, $F$9) + CHOOSE(CONTROL!$C$27, 0.0021, 0)</f>
        <v>63.470799999999997</v>
      </c>
      <c r="L576" s="14"/>
    </row>
    <row r="577" spans="1:12" ht="15.75" x14ac:dyDescent="0.25">
      <c r="A577" s="32">
        <v>58499</v>
      </c>
      <c r="B577" s="14">
        <f>62.1583 * CHOOSE(CONTROL!$C$9, $D$9, 100%, $F$9) + CHOOSE(CONTROL!$C$27, 0.0021, 0)</f>
        <v>62.160399999999996</v>
      </c>
      <c r="C577" s="14">
        <f>61.7261 * CHOOSE(CONTROL!$C$9, $D$9, 100%, $F$9) + CHOOSE(CONTROL!$C$27, 0.0021, 0)</f>
        <v>61.728200000000001</v>
      </c>
      <c r="D577" s="14">
        <f>61.7261 * CHOOSE(CONTROL!$C$9, $D$9, 100%, $F$9) + CHOOSE(CONTROL!$C$27, 0.0021, 0)</f>
        <v>61.728200000000001</v>
      </c>
      <c r="E577" s="14">
        <f>61.5894 * CHOOSE(CONTROL!$C$9, $D$9, 100%, $F$9) + CHOOSE(CONTROL!$C$27, 0.0021, 0)</f>
        <v>61.591499999999996</v>
      </c>
      <c r="F577" s="14">
        <f>61.5894 * CHOOSE(CONTROL!$C$9, $D$9, 100%, $F$9) + CHOOSE(CONTROL!$C$27, 0.0021, 0)</f>
        <v>61.591499999999996</v>
      </c>
      <c r="G577" s="14">
        <f>61.8608 * CHOOSE(CONTROL!$C$9, $D$9, 100%, $F$9) + CHOOSE(CONTROL!$C$27, 0.0021, 0)</f>
        <v>61.862899999999996</v>
      </c>
      <c r="H577" s="14">
        <f>61.7261 * CHOOSE(CONTROL!$C$9, $D$9, 100%, $F$9) + CHOOSE(CONTROL!$C$27, 0.0021, 0)</f>
        <v>61.728200000000001</v>
      </c>
      <c r="I577" s="14">
        <f>61.7261 * CHOOSE(CONTROL!$C$9, $D$9, 100%, $F$9) + CHOOSE(CONTROL!$C$27, 0.0021, 0)</f>
        <v>61.728200000000001</v>
      </c>
      <c r="J577" s="14">
        <f>61.7261 * CHOOSE(CONTROL!$C$9, $D$9, 100%, $F$9) + CHOOSE(CONTROL!$C$27, 0.0021, 0)</f>
        <v>61.728200000000001</v>
      </c>
      <c r="K577" s="14">
        <f>61.7261 * CHOOSE(CONTROL!$C$9, $D$9, 100%, $F$9) + CHOOSE(CONTROL!$C$27, 0.0021, 0)</f>
        <v>61.728200000000001</v>
      </c>
      <c r="L577" s="14"/>
    </row>
    <row r="578" spans="1:12" ht="15.75" x14ac:dyDescent="0.25">
      <c r="A578" s="32">
        <v>58531</v>
      </c>
      <c r="B578" s="14">
        <f>61.439 * CHOOSE(CONTROL!$C$9, $D$9, 100%, $F$9) + CHOOSE(CONTROL!$C$27, 0.0021, 0)</f>
        <v>61.441099999999999</v>
      </c>
      <c r="C578" s="14">
        <f>61.0067 * CHOOSE(CONTROL!$C$9, $D$9, 100%, $F$9) + CHOOSE(CONTROL!$C$27, 0.0021, 0)</f>
        <v>61.008800000000001</v>
      </c>
      <c r="D578" s="14">
        <f>61.0067 * CHOOSE(CONTROL!$C$9, $D$9, 100%, $F$9) + CHOOSE(CONTROL!$C$27, 0.0021, 0)</f>
        <v>61.008800000000001</v>
      </c>
      <c r="E578" s="14">
        <f>60.8701 * CHOOSE(CONTROL!$C$9, $D$9, 100%, $F$9) + CHOOSE(CONTROL!$C$27, 0.0021, 0)</f>
        <v>60.872199999999999</v>
      </c>
      <c r="F578" s="14">
        <f>60.8701 * CHOOSE(CONTROL!$C$9, $D$9, 100%, $F$9) + CHOOSE(CONTROL!$C$27, 0.0021, 0)</f>
        <v>60.872199999999999</v>
      </c>
      <c r="G578" s="14">
        <f>61.1414 * CHOOSE(CONTROL!$C$9, $D$9, 100%, $F$9) + CHOOSE(CONTROL!$C$27, 0.0021, 0)</f>
        <v>61.143499999999996</v>
      </c>
      <c r="H578" s="14">
        <f>61.0067 * CHOOSE(CONTROL!$C$9, $D$9, 100%, $F$9) + CHOOSE(CONTROL!$C$27, 0.0021, 0)</f>
        <v>61.008800000000001</v>
      </c>
      <c r="I578" s="14">
        <f>61.0067 * CHOOSE(CONTROL!$C$9, $D$9, 100%, $F$9) + CHOOSE(CONTROL!$C$27, 0.0021, 0)</f>
        <v>61.008800000000001</v>
      </c>
      <c r="J578" s="14">
        <f>61.0067 * CHOOSE(CONTROL!$C$9, $D$9, 100%, $F$9) + CHOOSE(CONTROL!$C$27, 0.0021, 0)</f>
        <v>61.008800000000001</v>
      </c>
      <c r="K578" s="14">
        <f>61.0067 * CHOOSE(CONTROL!$C$9, $D$9, 100%, $F$9) + CHOOSE(CONTROL!$C$27, 0.0021, 0)</f>
        <v>61.008800000000001</v>
      </c>
      <c r="L578" s="14"/>
    </row>
    <row r="579" spans="1:12" ht="15.75" x14ac:dyDescent="0.25">
      <c r="A579" s="32">
        <v>58561</v>
      </c>
      <c r="B579" s="14">
        <f>60.58 * CHOOSE(CONTROL!$C$9, $D$9, 100%, $F$9) + CHOOSE(CONTROL!$C$27, 0.0021, 0)</f>
        <v>60.582099999999997</v>
      </c>
      <c r="C579" s="14">
        <f>60.1478 * CHOOSE(CONTROL!$C$9, $D$9, 100%, $F$9) + CHOOSE(CONTROL!$C$27, 0.0021, 0)</f>
        <v>60.149899999999995</v>
      </c>
      <c r="D579" s="14">
        <f>60.1478 * CHOOSE(CONTROL!$C$9, $D$9, 100%, $F$9) + CHOOSE(CONTROL!$C$27, 0.0021, 0)</f>
        <v>60.149899999999995</v>
      </c>
      <c r="E579" s="14">
        <f>60.0111 * CHOOSE(CONTROL!$C$9, $D$9, 100%, $F$9) + CHOOSE(CONTROL!$C$27, 0.0021, 0)</f>
        <v>60.013199999999998</v>
      </c>
      <c r="F579" s="14">
        <f>60.0111 * CHOOSE(CONTROL!$C$9, $D$9, 100%, $F$9) + CHOOSE(CONTROL!$C$27, 0.0021, 0)</f>
        <v>60.013199999999998</v>
      </c>
      <c r="G579" s="14">
        <f>60.2825 * CHOOSE(CONTROL!$C$9, $D$9, 100%, $F$9) + CHOOSE(CONTROL!$C$27, 0.0021, 0)</f>
        <v>60.284599999999998</v>
      </c>
      <c r="H579" s="14">
        <f>60.1478 * CHOOSE(CONTROL!$C$9, $D$9, 100%, $F$9) + CHOOSE(CONTROL!$C$27, 0.0021, 0)</f>
        <v>60.149899999999995</v>
      </c>
      <c r="I579" s="14">
        <f>60.1478 * CHOOSE(CONTROL!$C$9, $D$9, 100%, $F$9) + CHOOSE(CONTROL!$C$27, 0.0021, 0)</f>
        <v>60.149899999999995</v>
      </c>
      <c r="J579" s="14">
        <f>60.1478 * CHOOSE(CONTROL!$C$9, $D$9, 100%, $F$9) + CHOOSE(CONTROL!$C$27, 0.0021, 0)</f>
        <v>60.149899999999995</v>
      </c>
      <c r="K579" s="14">
        <f>60.1478 * CHOOSE(CONTROL!$C$9, $D$9, 100%, $F$9) + CHOOSE(CONTROL!$C$27, 0.0021, 0)</f>
        <v>60.149899999999995</v>
      </c>
      <c r="L579" s="14"/>
    </row>
    <row r="580" spans="1:12" ht="15.75" x14ac:dyDescent="0.25">
      <c r="A580" s="32">
        <v>58592</v>
      </c>
      <c r="B580" s="14">
        <f>61.8041 * CHOOSE(CONTROL!$C$9, $D$9, 100%, $F$9) + CHOOSE(CONTROL!$C$27, 0.0021, 0)</f>
        <v>61.806199999999997</v>
      </c>
      <c r="C580" s="14">
        <f>61.3719 * CHOOSE(CONTROL!$C$9, $D$9, 100%, $F$9) + CHOOSE(CONTROL!$C$27, 0.0021, 0)</f>
        <v>61.373999999999995</v>
      </c>
      <c r="D580" s="14">
        <f>61.3719 * CHOOSE(CONTROL!$C$9, $D$9, 100%, $F$9) + CHOOSE(CONTROL!$C$27, 0.0021, 0)</f>
        <v>61.373999999999995</v>
      </c>
      <c r="E580" s="14">
        <f>61.2352 * CHOOSE(CONTROL!$C$9, $D$9, 100%, $F$9) + CHOOSE(CONTROL!$C$27, 0.0021, 0)</f>
        <v>61.237299999999998</v>
      </c>
      <c r="F580" s="14">
        <f>61.2352 * CHOOSE(CONTROL!$C$9, $D$9, 100%, $F$9) + CHOOSE(CONTROL!$C$27, 0.0021, 0)</f>
        <v>61.237299999999998</v>
      </c>
      <c r="G580" s="14">
        <f>61.5066 * CHOOSE(CONTROL!$C$9, $D$9, 100%, $F$9) + CHOOSE(CONTROL!$C$27, 0.0021, 0)</f>
        <v>61.508699999999997</v>
      </c>
      <c r="H580" s="14">
        <f>61.3719 * CHOOSE(CONTROL!$C$9, $D$9, 100%, $F$9) + CHOOSE(CONTROL!$C$27, 0.0021, 0)</f>
        <v>61.373999999999995</v>
      </c>
      <c r="I580" s="14">
        <f>61.3719 * CHOOSE(CONTROL!$C$9, $D$9, 100%, $F$9) + CHOOSE(CONTROL!$C$27, 0.0021, 0)</f>
        <v>61.373999999999995</v>
      </c>
      <c r="J580" s="14">
        <f>61.3719 * CHOOSE(CONTROL!$C$9, $D$9, 100%, $F$9) + CHOOSE(CONTROL!$C$27, 0.0021, 0)</f>
        <v>61.373999999999995</v>
      </c>
      <c r="K580" s="14">
        <f>61.3719 * CHOOSE(CONTROL!$C$9, $D$9, 100%, $F$9) + CHOOSE(CONTROL!$C$27, 0.0021, 0)</f>
        <v>61.373999999999995</v>
      </c>
      <c r="L580" s="14"/>
    </row>
    <row r="581" spans="1:12" ht="15.75" x14ac:dyDescent="0.25">
      <c r="A581" s="32">
        <v>58622</v>
      </c>
      <c r="B581" s="14">
        <f>62.5373 * CHOOSE(CONTROL!$C$9, $D$9, 100%, $F$9) + CHOOSE(CONTROL!$C$27, 0.0021, 0)</f>
        <v>62.539400000000001</v>
      </c>
      <c r="C581" s="14">
        <f>62.105 * CHOOSE(CONTROL!$C$9, $D$9, 100%, $F$9) + CHOOSE(CONTROL!$C$27, 0.0021, 0)</f>
        <v>62.107099999999996</v>
      </c>
      <c r="D581" s="14">
        <f>62.105 * CHOOSE(CONTROL!$C$9, $D$9, 100%, $F$9) + CHOOSE(CONTROL!$C$27, 0.0021, 0)</f>
        <v>62.107099999999996</v>
      </c>
      <c r="E581" s="14">
        <f>61.9684 * CHOOSE(CONTROL!$C$9, $D$9, 100%, $F$9) + CHOOSE(CONTROL!$C$27, 0.0021, 0)</f>
        <v>61.970500000000001</v>
      </c>
      <c r="F581" s="14">
        <f>61.9684 * CHOOSE(CONTROL!$C$9, $D$9, 100%, $F$9) + CHOOSE(CONTROL!$C$27, 0.0021, 0)</f>
        <v>61.970500000000001</v>
      </c>
      <c r="G581" s="14">
        <f>62.2397 * CHOOSE(CONTROL!$C$9, $D$9, 100%, $F$9) + CHOOSE(CONTROL!$C$27, 0.0021, 0)</f>
        <v>62.241799999999998</v>
      </c>
      <c r="H581" s="14">
        <f>62.105 * CHOOSE(CONTROL!$C$9, $D$9, 100%, $F$9) + CHOOSE(CONTROL!$C$27, 0.0021, 0)</f>
        <v>62.107099999999996</v>
      </c>
      <c r="I581" s="14">
        <f>62.105 * CHOOSE(CONTROL!$C$9, $D$9, 100%, $F$9) + CHOOSE(CONTROL!$C$27, 0.0021, 0)</f>
        <v>62.107099999999996</v>
      </c>
      <c r="J581" s="14">
        <f>62.105 * CHOOSE(CONTROL!$C$9, $D$9, 100%, $F$9) + CHOOSE(CONTROL!$C$27, 0.0021, 0)</f>
        <v>62.107099999999996</v>
      </c>
      <c r="K581" s="14">
        <f>62.105 * CHOOSE(CONTROL!$C$9, $D$9, 100%, $F$9) + CHOOSE(CONTROL!$C$27, 0.0021, 0)</f>
        <v>62.107099999999996</v>
      </c>
      <c r="L581" s="14"/>
    </row>
    <row r="582" spans="1:12" ht="15.75" x14ac:dyDescent="0.25">
      <c r="A582" s="32">
        <v>58653</v>
      </c>
      <c r="B582" s="14">
        <f>63.7467 * CHOOSE(CONTROL!$C$9, $D$9, 100%, $F$9) + CHOOSE(CONTROL!$C$27, 0.0021, 0)</f>
        <v>63.748799999999996</v>
      </c>
      <c r="C582" s="14">
        <f>63.3145 * CHOOSE(CONTROL!$C$9, $D$9, 100%, $F$9) + CHOOSE(CONTROL!$C$27, 0.0021, 0)</f>
        <v>63.316600000000001</v>
      </c>
      <c r="D582" s="14">
        <f>63.3145 * CHOOSE(CONTROL!$C$9, $D$9, 100%, $F$9) + CHOOSE(CONTROL!$C$27, 0.0021, 0)</f>
        <v>63.316600000000001</v>
      </c>
      <c r="E582" s="14">
        <f>63.1778 * CHOOSE(CONTROL!$C$9, $D$9, 100%, $F$9) + CHOOSE(CONTROL!$C$27, 0.0021, 0)</f>
        <v>63.179899999999996</v>
      </c>
      <c r="F582" s="14">
        <f>63.1778 * CHOOSE(CONTROL!$C$9, $D$9, 100%, $F$9) + CHOOSE(CONTROL!$C$27, 0.0021, 0)</f>
        <v>63.179899999999996</v>
      </c>
      <c r="G582" s="14">
        <f>63.4492 * CHOOSE(CONTROL!$C$9, $D$9, 100%, $F$9) + CHOOSE(CONTROL!$C$27, 0.0021, 0)</f>
        <v>63.451299999999996</v>
      </c>
      <c r="H582" s="14">
        <f>63.3145 * CHOOSE(CONTROL!$C$9, $D$9, 100%, $F$9) + CHOOSE(CONTROL!$C$27, 0.0021, 0)</f>
        <v>63.316600000000001</v>
      </c>
      <c r="I582" s="14">
        <f>63.3145 * CHOOSE(CONTROL!$C$9, $D$9, 100%, $F$9) + CHOOSE(CONTROL!$C$27, 0.0021, 0)</f>
        <v>63.316600000000001</v>
      </c>
      <c r="J582" s="14">
        <f>63.3145 * CHOOSE(CONTROL!$C$9, $D$9, 100%, $F$9) + CHOOSE(CONTROL!$C$27, 0.0021, 0)</f>
        <v>63.316600000000001</v>
      </c>
      <c r="K582" s="14">
        <f>63.3145 * CHOOSE(CONTROL!$C$9, $D$9, 100%, $F$9) + CHOOSE(CONTROL!$C$27, 0.0021, 0)</f>
        <v>63.316600000000001</v>
      </c>
      <c r="L582" s="14"/>
    </row>
    <row r="583" spans="1:12" ht="15.75" x14ac:dyDescent="0.25">
      <c r="A583" s="32">
        <v>58684</v>
      </c>
      <c r="B583" s="14">
        <f>64.1159 * CHOOSE(CONTROL!$C$9, $D$9, 100%, $F$9) + CHOOSE(CONTROL!$C$27, 0.0021, 0)</f>
        <v>64.117999999999995</v>
      </c>
      <c r="C583" s="14">
        <f>63.6836 * CHOOSE(CONTROL!$C$9, $D$9, 100%, $F$9) + CHOOSE(CONTROL!$C$27, 0.0021, 0)</f>
        <v>63.685699999999997</v>
      </c>
      <c r="D583" s="14">
        <f>63.6836 * CHOOSE(CONTROL!$C$9, $D$9, 100%, $F$9) + CHOOSE(CONTROL!$C$27, 0.0021, 0)</f>
        <v>63.685699999999997</v>
      </c>
      <c r="E583" s="14">
        <f>63.547 * CHOOSE(CONTROL!$C$9, $D$9, 100%, $F$9) + CHOOSE(CONTROL!$C$27, 0.0021, 0)</f>
        <v>63.549099999999996</v>
      </c>
      <c r="F583" s="14">
        <f>63.547 * CHOOSE(CONTROL!$C$9, $D$9, 100%, $F$9) + CHOOSE(CONTROL!$C$27, 0.0021, 0)</f>
        <v>63.549099999999996</v>
      </c>
      <c r="G583" s="14">
        <f>63.8184 * CHOOSE(CONTROL!$C$9, $D$9, 100%, $F$9) + CHOOSE(CONTROL!$C$27, 0.0021, 0)</f>
        <v>63.820499999999996</v>
      </c>
      <c r="H583" s="14">
        <f>63.6836 * CHOOSE(CONTROL!$C$9, $D$9, 100%, $F$9) + CHOOSE(CONTROL!$C$27, 0.0021, 0)</f>
        <v>63.685699999999997</v>
      </c>
      <c r="I583" s="14">
        <f>63.6836 * CHOOSE(CONTROL!$C$9, $D$9, 100%, $F$9) + CHOOSE(CONTROL!$C$27, 0.0021, 0)</f>
        <v>63.685699999999997</v>
      </c>
      <c r="J583" s="14">
        <f>63.6836 * CHOOSE(CONTROL!$C$9, $D$9, 100%, $F$9) + CHOOSE(CONTROL!$C$27, 0.0021, 0)</f>
        <v>63.685699999999997</v>
      </c>
      <c r="K583" s="14">
        <f>63.6836 * CHOOSE(CONTROL!$C$9, $D$9, 100%, $F$9) + CHOOSE(CONTROL!$C$27, 0.0021, 0)</f>
        <v>63.685699999999997</v>
      </c>
      <c r="L583" s="14"/>
    </row>
    <row r="584" spans="1:12" ht="15.75" x14ac:dyDescent="0.25">
      <c r="A584" s="32">
        <v>58714</v>
      </c>
      <c r="B584" s="14">
        <f>65.3731 * CHOOSE(CONTROL!$C$9, $D$9, 100%, $F$9) + CHOOSE(CONTROL!$C$27, 0.0021, 0)</f>
        <v>65.375199999999992</v>
      </c>
      <c r="C584" s="14">
        <f>64.9408 * CHOOSE(CONTROL!$C$9, $D$9, 100%, $F$9) + CHOOSE(CONTROL!$C$27, 0.0021, 0)</f>
        <v>64.942899999999995</v>
      </c>
      <c r="D584" s="14">
        <f>64.9408 * CHOOSE(CONTROL!$C$9, $D$9, 100%, $F$9) + CHOOSE(CONTROL!$C$27, 0.0021, 0)</f>
        <v>64.942899999999995</v>
      </c>
      <c r="E584" s="14">
        <f>64.8042 * CHOOSE(CONTROL!$C$9, $D$9, 100%, $F$9) + CHOOSE(CONTROL!$C$27, 0.0021, 0)</f>
        <v>64.806299999999993</v>
      </c>
      <c r="F584" s="14">
        <f>64.8042 * CHOOSE(CONTROL!$C$9, $D$9, 100%, $F$9) + CHOOSE(CONTROL!$C$27, 0.0021, 0)</f>
        <v>64.806299999999993</v>
      </c>
      <c r="G584" s="14">
        <f>65.0755 * CHOOSE(CONTROL!$C$9, $D$9, 100%, $F$9) + CHOOSE(CONTROL!$C$27, 0.0021, 0)</f>
        <v>65.077600000000004</v>
      </c>
      <c r="H584" s="14">
        <f>64.9408 * CHOOSE(CONTROL!$C$9, $D$9, 100%, $F$9) + CHOOSE(CONTROL!$C$27, 0.0021, 0)</f>
        <v>64.942899999999995</v>
      </c>
      <c r="I584" s="14">
        <f>64.9408 * CHOOSE(CONTROL!$C$9, $D$9, 100%, $F$9) + CHOOSE(CONTROL!$C$27, 0.0021, 0)</f>
        <v>64.942899999999995</v>
      </c>
      <c r="J584" s="14">
        <f>64.9408 * CHOOSE(CONTROL!$C$9, $D$9, 100%, $F$9) + CHOOSE(CONTROL!$C$27, 0.0021, 0)</f>
        <v>64.942899999999995</v>
      </c>
      <c r="K584" s="14">
        <f>64.9408 * CHOOSE(CONTROL!$C$9, $D$9, 100%, $F$9) + CHOOSE(CONTROL!$C$27, 0.0021, 0)</f>
        <v>64.942899999999995</v>
      </c>
      <c r="L584" s="14"/>
    </row>
    <row r="585" spans="1:12" ht="15.75" x14ac:dyDescent="0.25">
      <c r="A585" s="32">
        <v>58745</v>
      </c>
      <c r="B585" s="14">
        <f>66.9644 * CHOOSE(CONTROL!$C$9, $D$9, 100%, $F$9) + CHOOSE(CONTROL!$C$27, 0.0021, 0)</f>
        <v>66.966499999999996</v>
      </c>
      <c r="C585" s="14">
        <f>66.5322 * CHOOSE(CONTROL!$C$9, $D$9, 100%, $F$9) + CHOOSE(CONTROL!$C$27, 0.0021, 0)</f>
        <v>66.534300000000002</v>
      </c>
      <c r="D585" s="14">
        <f>66.5322 * CHOOSE(CONTROL!$C$9, $D$9, 100%, $F$9) + CHOOSE(CONTROL!$C$27, 0.0021, 0)</f>
        <v>66.534300000000002</v>
      </c>
      <c r="E585" s="14">
        <f>66.3955 * CHOOSE(CONTROL!$C$9, $D$9, 100%, $F$9) + CHOOSE(CONTROL!$C$27, 0.0021, 0)</f>
        <v>66.397599999999997</v>
      </c>
      <c r="F585" s="14">
        <f>66.3955 * CHOOSE(CONTROL!$C$9, $D$9, 100%, $F$9) + CHOOSE(CONTROL!$C$27, 0.0021, 0)</f>
        <v>66.397599999999997</v>
      </c>
      <c r="G585" s="14">
        <f>66.6669 * CHOOSE(CONTROL!$C$9, $D$9, 100%, $F$9) + CHOOSE(CONTROL!$C$27, 0.0021, 0)</f>
        <v>66.668999999999997</v>
      </c>
      <c r="H585" s="14">
        <f>66.5322 * CHOOSE(CONTROL!$C$9, $D$9, 100%, $F$9) + CHOOSE(CONTROL!$C$27, 0.0021, 0)</f>
        <v>66.534300000000002</v>
      </c>
      <c r="I585" s="14">
        <f>66.5322 * CHOOSE(CONTROL!$C$9, $D$9, 100%, $F$9) + CHOOSE(CONTROL!$C$27, 0.0021, 0)</f>
        <v>66.534300000000002</v>
      </c>
      <c r="J585" s="14">
        <f>66.5322 * CHOOSE(CONTROL!$C$9, $D$9, 100%, $F$9) + CHOOSE(CONTROL!$C$27, 0.0021, 0)</f>
        <v>66.534300000000002</v>
      </c>
      <c r="K585" s="14">
        <f>66.5322 * CHOOSE(CONTROL!$C$9, $D$9, 100%, $F$9) + CHOOSE(CONTROL!$C$27, 0.0021, 0)</f>
        <v>66.534300000000002</v>
      </c>
      <c r="L585" s="14"/>
    </row>
    <row r="586" spans="1:12" ht="15.75" x14ac:dyDescent="0.25">
      <c r="A586" s="32">
        <v>58775</v>
      </c>
      <c r="B586" s="14">
        <f>67.1138 * CHOOSE(CONTROL!$C$9, $D$9, 100%, $F$9) + CHOOSE(CONTROL!$C$27, 0.0021, 0)</f>
        <v>67.115899999999996</v>
      </c>
      <c r="C586" s="14">
        <f>66.6816 * CHOOSE(CONTROL!$C$9, $D$9, 100%, $F$9) + CHOOSE(CONTROL!$C$27, 0.0021, 0)</f>
        <v>66.683700000000002</v>
      </c>
      <c r="D586" s="14">
        <f>66.6816 * CHOOSE(CONTROL!$C$9, $D$9, 100%, $F$9) + CHOOSE(CONTROL!$C$27, 0.0021, 0)</f>
        <v>66.683700000000002</v>
      </c>
      <c r="E586" s="14">
        <f>66.5449 * CHOOSE(CONTROL!$C$9, $D$9, 100%, $F$9) + CHOOSE(CONTROL!$C$27, 0.0021, 0)</f>
        <v>66.546999999999997</v>
      </c>
      <c r="F586" s="14">
        <f>66.5449 * CHOOSE(CONTROL!$C$9, $D$9, 100%, $F$9) + CHOOSE(CONTROL!$C$27, 0.0021, 0)</f>
        <v>66.546999999999997</v>
      </c>
      <c r="G586" s="14">
        <f>66.8163 * CHOOSE(CONTROL!$C$9, $D$9, 100%, $F$9) + CHOOSE(CONTROL!$C$27, 0.0021, 0)</f>
        <v>66.818399999999997</v>
      </c>
      <c r="H586" s="14">
        <f>66.6816 * CHOOSE(CONTROL!$C$9, $D$9, 100%, $F$9) + CHOOSE(CONTROL!$C$27, 0.0021, 0)</f>
        <v>66.683700000000002</v>
      </c>
      <c r="I586" s="14">
        <f>66.6816 * CHOOSE(CONTROL!$C$9, $D$9, 100%, $F$9) + CHOOSE(CONTROL!$C$27, 0.0021, 0)</f>
        <v>66.683700000000002</v>
      </c>
      <c r="J586" s="14">
        <f>66.6816 * CHOOSE(CONTROL!$C$9, $D$9, 100%, $F$9) + CHOOSE(CONTROL!$C$27, 0.0021, 0)</f>
        <v>66.683700000000002</v>
      </c>
      <c r="K586" s="14">
        <f>66.6816 * CHOOSE(CONTROL!$C$9, $D$9, 100%, $F$9) + CHOOSE(CONTROL!$C$27, 0.0021, 0)</f>
        <v>66.683700000000002</v>
      </c>
      <c r="L586" s="14"/>
    </row>
    <row r="587" spans="1:12" ht="15.75" x14ac:dyDescent="0.25">
      <c r="A587" s="32">
        <v>58806</v>
      </c>
      <c r="B587" s="14">
        <f>65.8428 * CHOOSE(CONTROL!$C$9, $D$9, 100%, $F$9) + CHOOSE(CONTROL!$C$27, 0.0021, 0)</f>
        <v>65.844899999999996</v>
      </c>
      <c r="C587" s="14">
        <f>65.4106 * CHOOSE(CONTROL!$C$9, $D$9, 100%, $F$9) + CHOOSE(CONTROL!$C$27, 0.0021, 0)</f>
        <v>65.412700000000001</v>
      </c>
      <c r="D587" s="14">
        <f>65.4106 * CHOOSE(CONTROL!$C$9, $D$9, 100%, $F$9) + CHOOSE(CONTROL!$C$27, 0.0021, 0)</f>
        <v>65.412700000000001</v>
      </c>
      <c r="E587" s="14">
        <f>65.2739 * CHOOSE(CONTROL!$C$9, $D$9, 100%, $F$9) + CHOOSE(CONTROL!$C$27, 0.0021, 0)</f>
        <v>65.275999999999996</v>
      </c>
      <c r="F587" s="14">
        <f>65.2739 * CHOOSE(CONTROL!$C$9, $D$9, 100%, $F$9) + CHOOSE(CONTROL!$C$27, 0.0021, 0)</f>
        <v>65.275999999999996</v>
      </c>
      <c r="G587" s="14">
        <f>65.5453 * CHOOSE(CONTROL!$C$9, $D$9, 100%, $F$9) + CHOOSE(CONTROL!$C$27, 0.0021, 0)</f>
        <v>65.547399999999996</v>
      </c>
      <c r="H587" s="14">
        <f>65.4106 * CHOOSE(CONTROL!$C$9, $D$9, 100%, $F$9) + CHOOSE(CONTROL!$C$27, 0.0021, 0)</f>
        <v>65.412700000000001</v>
      </c>
      <c r="I587" s="14">
        <f>65.4106 * CHOOSE(CONTROL!$C$9, $D$9, 100%, $F$9) + CHOOSE(CONTROL!$C$27, 0.0021, 0)</f>
        <v>65.412700000000001</v>
      </c>
      <c r="J587" s="14">
        <f>65.4106 * CHOOSE(CONTROL!$C$9, $D$9, 100%, $F$9) + CHOOSE(CONTROL!$C$27, 0.0021, 0)</f>
        <v>65.412700000000001</v>
      </c>
      <c r="K587" s="14">
        <f>65.4106 * CHOOSE(CONTROL!$C$9, $D$9, 100%, $F$9) + CHOOSE(CONTROL!$C$27, 0.0021, 0)</f>
        <v>65.412700000000001</v>
      </c>
      <c r="L587" s="14"/>
    </row>
    <row r="588" spans="1:12" ht="15.75" x14ac:dyDescent="0.25">
      <c r="A588" s="32">
        <v>58837</v>
      </c>
      <c r="B588" s="14">
        <f>65.0395 * CHOOSE(CONTROL!$C$9, $D$9, 100%, $F$9) + CHOOSE(CONTROL!$C$27, 0.0021, 0)</f>
        <v>65.041600000000003</v>
      </c>
      <c r="C588" s="14">
        <f>64.6073 * CHOOSE(CONTROL!$C$9, $D$9, 100%, $F$9) + CHOOSE(CONTROL!$C$27, 0.0021, 0)</f>
        <v>64.609399999999994</v>
      </c>
      <c r="D588" s="14">
        <f>64.6073 * CHOOSE(CONTROL!$C$9, $D$9, 100%, $F$9) + CHOOSE(CONTROL!$C$27, 0.0021, 0)</f>
        <v>64.609399999999994</v>
      </c>
      <c r="E588" s="14">
        <f>64.4706 * CHOOSE(CONTROL!$C$9, $D$9, 100%, $F$9) + CHOOSE(CONTROL!$C$27, 0.0021, 0)</f>
        <v>64.472700000000003</v>
      </c>
      <c r="F588" s="14">
        <f>64.4706 * CHOOSE(CONTROL!$C$9, $D$9, 100%, $F$9) + CHOOSE(CONTROL!$C$27, 0.0021, 0)</f>
        <v>64.472700000000003</v>
      </c>
      <c r="G588" s="14">
        <f>64.742 * CHOOSE(CONTROL!$C$9, $D$9, 100%, $F$9) + CHOOSE(CONTROL!$C$27, 0.0021, 0)</f>
        <v>64.744100000000003</v>
      </c>
      <c r="H588" s="14">
        <f>64.6073 * CHOOSE(CONTROL!$C$9, $D$9, 100%, $F$9) + CHOOSE(CONTROL!$C$27, 0.0021, 0)</f>
        <v>64.609399999999994</v>
      </c>
      <c r="I588" s="14">
        <f>64.6073 * CHOOSE(CONTROL!$C$9, $D$9, 100%, $F$9) + CHOOSE(CONTROL!$C$27, 0.0021, 0)</f>
        <v>64.609399999999994</v>
      </c>
      <c r="J588" s="14">
        <f>64.6073 * CHOOSE(CONTROL!$C$9, $D$9, 100%, $F$9) + CHOOSE(CONTROL!$C$27, 0.0021, 0)</f>
        <v>64.609399999999994</v>
      </c>
      <c r="K588" s="14">
        <f>64.6073 * CHOOSE(CONTROL!$C$9, $D$9, 100%, $F$9) + CHOOSE(CONTROL!$C$27, 0.0021, 0)</f>
        <v>64.609399999999994</v>
      </c>
      <c r="L588" s="14"/>
    </row>
    <row r="589" spans="1:12" ht="15.75" x14ac:dyDescent="0.25">
      <c r="A589" s="32">
        <v>58865</v>
      </c>
      <c r="B589" s="14">
        <f>63.2647 * CHOOSE(CONTROL!$C$9, $D$9, 100%, $F$9) + CHOOSE(CONTROL!$C$27, 0.0021, 0)</f>
        <v>63.266799999999996</v>
      </c>
      <c r="C589" s="14">
        <f>62.8324 * CHOOSE(CONTROL!$C$9, $D$9, 100%, $F$9) + CHOOSE(CONTROL!$C$27, 0.0021, 0)</f>
        <v>62.834499999999998</v>
      </c>
      <c r="D589" s="14">
        <f>62.8324 * CHOOSE(CONTROL!$C$9, $D$9, 100%, $F$9) + CHOOSE(CONTROL!$C$27, 0.0021, 0)</f>
        <v>62.834499999999998</v>
      </c>
      <c r="E589" s="14">
        <f>62.6958 * CHOOSE(CONTROL!$C$9, $D$9, 100%, $F$9) + CHOOSE(CONTROL!$C$27, 0.0021, 0)</f>
        <v>62.697899999999997</v>
      </c>
      <c r="F589" s="14">
        <f>62.6958 * CHOOSE(CONTROL!$C$9, $D$9, 100%, $F$9) + CHOOSE(CONTROL!$C$27, 0.0021, 0)</f>
        <v>62.697899999999997</v>
      </c>
      <c r="G589" s="14">
        <f>62.9671 * CHOOSE(CONTROL!$C$9, $D$9, 100%, $F$9) + CHOOSE(CONTROL!$C$27, 0.0021, 0)</f>
        <v>62.969200000000001</v>
      </c>
      <c r="H589" s="14">
        <f>62.8324 * CHOOSE(CONTROL!$C$9, $D$9, 100%, $F$9) + CHOOSE(CONTROL!$C$27, 0.0021, 0)</f>
        <v>62.834499999999998</v>
      </c>
      <c r="I589" s="14">
        <f>62.8324 * CHOOSE(CONTROL!$C$9, $D$9, 100%, $F$9) + CHOOSE(CONTROL!$C$27, 0.0021, 0)</f>
        <v>62.834499999999998</v>
      </c>
      <c r="J589" s="14">
        <f>62.8324 * CHOOSE(CONTROL!$C$9, $D$9, 100%, $F$9) + CHOOSE(CONTROL!$C$27, 0.0021, 0)</f>
        <v>62.834499999999998</v>
      </c>
      <c r="K589" s="14">
        <f>62.8324 * CHOOSE(CONTROL!$C$9, $D$9, 100%, $F$9) + CHOOSE(CONTROL!$C$27, 0.0021, 0)</f>
        <v>62.834499999999998</v>
      </c>
      <c r="L589" s="14"/>
    </row>
    <row r="590" spans="1:12" ht="15.75" x14ac:dyDescent="0.25">
      <c r="A590" s="32">
        <v>58893</v>
      </c>
      <c r="B590" s="14">
        <f>62.532 * CHOOSE(CONTROL!$C$9, $D$9, 100%, $F$9) + CHOOSE(CONTROL!$C$27, 0.0021, 0)</f>
        <v>62.534099999999995</v>
      </c>
      <c r="C590" s="14">
        <f>62.0998 * CHOOSE(CONTROL!$C$9, $D$9, 100%, $F$9) + CHOOSE(CONTROL!$C$27, 0.0021, 0)</f>
        <v>62.101900000000001</v>
      </c>
      <c r="D590" s="14">
        <f>62.0998 * CHOOSE(CONTROL!$C$9, $D$9, 100%, $F$9) + CHOOSE(CONTROL!$C$27, 0.0021, 0)</f>
        <v>62.101900000000001</v>
      </c>
      <c r="E590" s="14">
        <f>61.9631 * CHOOSE(CONTROL!$C$9, $D$9, 100%, $F$9) + CHOOSE(CONTROL!$C$27, 0.0021, 0)</f>
        <v>61.965199999999996</v>
      </c>
      <c r="F590" s="14">
        <f>61.9631 * CHOOSE(CONTROL!$C$9, $D$9, 100%, $F$9) + CHOOSE(CONTROL!$C$27, 0.0021, 0)</f>
        <v>61.965199999999996</v>
      </c>
      <c r="G590" s="14">
        <f>62.2345 * CHOOSE(CONTROL!$C$9, $D$9, 100%, $F$9) + CHOOSE(CONTROL!$C$27, 0.0021, 0)</f>
        <v>62.236599999999996</v>
      </c>
      <c r="H590" s="14">
        <f>62.0998 * CHOOSE(CONTROL!$C$9, $D$9, 100%, $F$9) + CHOOSE(CONTROL!$C$27, 0.0021, 0)</f>
        <v>62.101900000000001</v>
      </c>
      <c r="I590" s="14">
        <f>62.0998 * CHOOSE(CONTROL!$C$9, $D$9, 100%, $F$9) + CHOOSE(CONTROL!$C$27, 0.0021, 0)</f>
        <v>62.101900000000001</v>
      </c>
      <c r="J590" s="14">
        <f>62.0998 * CHOOSE(CONTROL!$C$9, $D$9, 100%, $F$9) + CHOOSE(CONTROL!$C$27, 0.0021, 0)</f>
        <v>62.101900000000001</v>
      </c>
      <c r="K590" s="14">
        <f>62.0998 * CHOOSE(CONTROL!$C$9, $D$9, 100%, $F$9) + CHOOSE(CONTROL!$C$27, 0.0021, 0)</f>
        <v>62.101900000000001</v>
      </c>
      <c r="L590" s="14"/>
    </row>
    <row r="591" spans="1:12" ht="15.75" x14ac:dyDescent="0.25">
      <c r="A591" s="32">
        <v>58926</v>
      </c>
      <c r="B591" s="14">
        <f>61.6572 * CHOOSE(CONTROL!$C$9, $D$9, 100%, $F$9) + CHOOSE(CONTROL!$C$27, 0.0021, 0)</f>
        <v>61.659300000000002</v>
      </c>
      <c r="C591" s="14">
        <f>61.225 * CHOOSE(CONTROL!$C$9, $D$9, 100%, $F$9) + CHOOSE(CONTROL!$C$27, 0.0021, 0)</f>
        <v>61.2271</v>
      </c>
      <c r="D591" s="14">
        <f>61.225 * CHOOSE(CONTROL!$C$9, $D$9, 100%, $F$9) + CHOOSE(CONTROL!$C$27, 0.0021, 0)</f>
        <v>61.2271</v>
      </c>
      <c r="E591" s="14">
        <f>61.0883 * CHOOSE(CONTROL!$C$9, $D$9, 100%, $F$9) + CHOOSE(CONTROL!$C$27, 0.0021, 0)</f>
        <v>61.090399999999995</v>
      </c>
      <c r="F591" s="14">
        <f>61.0883 * CHOOSE(CONTROL!$C$9, $D$9, 100%, $F$9) + CHOOSE(CONTROL!$C$27, 0.0021, 0)</f>
        <v>61.090399999999995</v>
      </c>
      <c r="G591" s="14">
        <f>61.3597 * CHOOSE(CONTROL!$C$9, $D$9, 100%, $F$9) + CHOOSE(CONTROL!$C$27, 0.0021, 0)</f>
        <v>61.361799999999995</v>
      </c>
      <c r="H591" s="14">
        <f>61.225 * CHOOSE(CONTROL!$C$9, $D$9, 100%, $F$9) + CHOOSE(CONTROL!$C$27, 0.0021, 0)</f>
        <v>61.2271</v>
      </c>
      <c r="I591" s="14">
        <f>61.225 * CHOOSE(CONTROL!$C$9, $D$9, 100%, $F$9) + CHOOSE(CONTROL!$C$27, 0.0021, 0)</f>
        <v>61.2271</v>
      </c>
      <c r="J591" s="14">
        <f>61.225 * CHOOSE(CONTROL!$C$9, $D$9, 100%, $F$9) + CHOOSE(CONTROL!$C$27, 0.0021, 0)</f>
        <v>61.2271</v>
      </c>
      <c r="K591" s="14">
        <f>61.225 * CHOOSE(CONTROL!$C$9, $D$9, 100%, $F$9) + CHOOSE(CONTROL!$C$27, 0.0021, 0)</f>
        <v>61.2271</v>
      </c>
      <c r="L591" s="14"/>
    </row>
    <row r="592" spans="1:12" ht="15.75" x14ac:dyDescent="0.25">
      <c r="A592" s="32">
        <v>58957</v>
      </c>
      <c r="B592" s="14">
        <f>62.9039 * CHOOSE(CONTROL!$C$9, $D$9, 100%, $F$9) + CHOOSE(CONTROL!$C$27, 0.0021, 0)</f>
        <v>62.905999999999999</v>
      </c>
      <c r="C592" s="14">
        <f>62.4717 * CHOOSE(CONTROL!$C$9, $D$9, 100%, $F$9) + CHOOSE(CONTROL!$C$27, 0.0021, 0)</f>
        <v>62.473799999999997</v>
      </c>
      <c r="D592" s="14">
        <f>62.4717 * CHOOSE(CONTROL!$C$9, $D$9, 100%, $F$9) + CHOOSE(CONTROL!$C$27, 0.0021, 0)</f>
        <v>62.473799999999997</v>
      </c>
      <c r="E592" s="14">
        <f>62.335 * CHOOSE(CONTROL!$C$9, $D$9, 100%, $F$9) + CHOOSE(CONTROL!$C$27, 0.0021, 0)</f>
        <v>62.3371</v>
      </c>
      <c r="F592" s="14">
        <f>62.335 * CHOOSE(CONTROL!$C$9, $D$9, 100%, $F$9) + CHOOSE(CONTROL!$C$27, 0.0021, 0)</f>
        <v>62.3371</v>
      </c>
      <c r="G592" s="14">
        <f>62.6064 * CHOOSE(CONTROL!$C$9, $D$9, 100%, $F$9) + CHOOSE(CONTROL!$C$27, 0.0021, 0)</f>
        <v>62.608499999999999</v>
      </c>
      <c r="H592" s="14">
        <f>62.4717 * CHOOSE(CONTROL!$C$9, $D$9, 100%, $F$9) + CHOOSE(CONTROL!$C$27, 0.0021, 0)</f>
        <v>62.473799999999997</v>
      </c>
      <c r="I592" s="14">
        <f>62.4717 * CHOOSE(CONTROL!$C$9, $D$9, 100%, $F$9) + CHOOSE(CONTROL!$C$27, 0.0021, 0)</f>
        <v>62.473799999999997</v>
      </c>
      <c r="J592" s="14">
        <f>62.4717 * CHOOSE(CONTROL!$C$9, $D$9, 100%, $F$9) + CHOOSE(CONTROL!$C$27, 0.0021, 0)</f>
        <v>62.473799999999997</v>
      </c>
      <c r="K592" s="14">
        <f>62.4717 * CHOOSE(CONTROL!$C$9, $D$9, 100%, $F$9) + CHOOSE(CONTROL!$C$27, 0.0021, 0)</f>
        <v>62.473799999999997</v>
      </c>
      <c r="L592" s="14"/>
    </row>
    <row r="593" spans="1:12" ht="15.75" x14ac:dyDescent="0.25">
      <c r="A593" s="32">
        <v>58987</v>
      </c>
      <c r="B593" s="14">
        <f>63.6506 * CHOOSE(CONTROL!$C$9, $D$9, 100%, $F$9) + CHOOSE(CONTROL!$C$27, 0.0021, 0)</f>
        <v>63.652699999999996</v>
      </c>
      <c r="C593" s="14">
        <f>63.2184 * CHOOSE(CONTROL!$C$9, $D$9, 100%, $F$9) + CHOOSE(CONTROL!$C$27, 0.0021, 0)</f>
        <v>63.220500000000001</v>
      </c>
      <c r="D593" s="14">
        <f>63.2184 * CHOOSE(CONTROL!$C$9, $D$9, 100%, $F$9) + CHOOSE(CONTROL!$C$27, 0.0021, 0)</f>
        <v>63.220500000000001</v>
      </c>
      <c r="E593" s="14">
        <f>63.0817 * CHOOSE(CONTROL!$C$9, $D$9, 100%, $F$9) + CHOOSE(CONTROL!$C$27, 0.0021, 0)</f>
        <v>63.083799999999997</v>
      </c>
      <c r="F593" s="14">
        <f>63.0817 * CHOOSE(CONTROL!$C$9, $D$9, 100%, $F$9) + CHOOSE(CONTROL!$C$27, 0.0021, 0)</f>
        <v>63.083799999999997</v>
      </c>
      <c r="G593" s="14">
        <f>63.3531 * CHOOSE(CONTROL!$C$9, $D$9, 100%, $F$9) + CHOOSE(CONTROL!$C$27, 0.0021, 0)</f>
        <v>63.355199999999996</v>
      </c>
      <c r="H593" s="14">
        <f>63.2184 * CHOOSE(CONTROL!$C$9, $D$9, 100%, $F$9) + CHOOSE(CONTROL!$C$27, 0.0021, 0)</f>
        <v>63.220500000000001</v>
      </c>
      <c r="I593" s="14">
        <f>63.2184 * CHOOSE(CONTROL!$C$9, $D$9, 100%, $F$9) + CHOOSE(CONTROL!$C$27, 0.0021, 0)</f>
        <v>63.220500000000001</v>
      </c>
      <c r="J593" s="14">
        <f>63.2184 * CHOOSE(CONTROL!$C$9, $D$9, 100%, $F$9) + CHOOSE(CONTROL!$C$27, 0.0021, 0)</f>
        <v>63.220500000000001</v>
      </c>
      <c r="K593" s="14">
        <f>63.2184 * CHOOSE(CONTROL!$C$9, $D$9, 100%, $F$9) + CHOOSE(CONTROL!$C$27, 0.0021, 0)</f>
        <v>63.220500000000001</v>
      </c>
      <c r="L593" s="14"/>
    </row>
    <row r="594" spans="1:12" ht="15.75" x14ac:dyDescent="0.25">
      <c r="A594" s="32">
        <v>59018</v>
      </c>
      <c r="B594" s="14">
        <f>64.8824 * CHOOSE(CONTROL!$C$9, $D$9, 100%, $F$9) + CHOOSE(CONTROL!$C$27, 0.0021, 0)</f>
        <v>64.884500000000003</v>
      </c>
      <c r="C594" s="14">
        <f>64.4502 * CHOOSE(CONTROL!$C$9, $D$9, 100%, $F$9) + CHOOSE(CONTROL!$C$27, 0.0021, 0)</f>
        <v>64.452299999999994</v>
      </c>
      <c r="D594" s="14">
        <f>64.4502 * CHOOSE(CONTROL!$C$9, $D$9, 100%, $F$9) + CHOOSE(CONTROL!$C$27, 0.0021, 0)</f>
        <v>64.452299999999994</v>
      </c>
      <c r="E594" s="14">
        <f>64.3135 * CHOOSE(CONTROL!$C$9, $D$9, 100%, $F$9) + CHOOSE(CONTROL!$C$27, 0.0021, 0)</f>
        <v>64.315600000000003</v>
      </c>
      <c r="F594" s="14">
        <f>64.3135 * CHOOSE(CONTROL!$C$9, $D$9, 100%, $F$9) + CHOOSE(CONTROL!$C$27, 0.0021, 0)</f>
        <v>64.315600000000003</v>
      </c>
      <c r="G594" s="14">
        <f>64.5849 * CHOOSE(CONTROL!$C$9, $D$9, 100%, $F$9) + CHOOSE(CONTROL!$C$27, 0.0021, 0)</f>
        <v>64.587000000000003</v>
      </c>
      <c r="H594" s="14">
        <f>64.4502 * CHOOSE(CONTROL!$C$9, $D$9, 100%, $F$9) + CHOOSE(CONTROL!$C$27, 0.0021, 0)</f>
        <v>64.452299999999994</v>
      </c>
      <c r="I594" s="14">
        <f>64.4502 * CHOOSE(CONTROL!$C$9, $D$9, 100%, $F$9) + CHOOSE(CONTROL!$C$27, 0.0021, 0)</f>
        <v>64.452299999999994</v>
      </c>
      <c r="J594" s="14">
        <f>64.4502 * CHOOSE(CONTROL!$C$9, $D$9, 100%, $F$9) + CHOOSE(CONTROL!$C$27, 0.0021, 0)</f>
        <v>64.452299999999994</v>
      </c>
      <c r="K594" s="14">
        <f>64.4502 * CHOOSE(CONTROL!$C$9, $D$9, 100%, $F$9) + CHOOSE(CONTROL!$C$27, 0.0021, 0)</f>
        <v>64.452299999999994</v>
      </c>
      <c r="L594" s="14"/>
    </row>
    <row r="595" spans="1:12" ht="15.75" x14ac:dyDescent="0.25">
      <c r="A595" s="32">
        <v>59049</v>
      </c>
      <c r="B595" s="14">
        <f>65.2584 * CHOOSE(CONTROL!$C$9, $D$9, 100%, $F$9) + CHOOSE(CONTROL!$C$27, 0.0021, 0)</f>
        <v>65.260499999999993</v>
      </c>
      <c r="C595" s="14">
        <f>64.8262 * CHOOSE(CONTROL!$C$9, $D$9, 100%, $F$9) + CHOOSE(CONTROL!$C$27, 0.0021, 0)</f>
        <v>64.828299999999999</v>
      </c>
      <c r="D595" s="14">
        <f>64.8262 * CHOOSE(CONTROL!$C$9, $D$9, 100%, $F$9) + CHOOSE(CONTROL!$C$27, 0.0021, 0)</f>
        <v>64.828299999999999</v>
      </c>
      <c r="E595" s="14">
        <f>64.6895 * CHOOSE(CONTROL!$C$9, $D$9, 100%, $F$9) + CHOOSE(CONTROL!$C$27, 0.0021, 0)</f>
        <v>64.691599999999994</v>
      </c>
      <c r="F595" s="14">
        <f>64.6895 * CHOOSE(CONTROL!$C$9, $D$9, 100%, $F$9) + CHOOSE(CONTROL!$C$27, 0.0021, 0)</f>
        <v>64.691599999999994</v>
      </c>
      <c r="G595" s="14">
        <f>64.9609 * CHOOSE(CONTROL!$C$9, $D$9, 100%, $F$9) + CHOOSE(CONTROL!$C$27, 0.0021, 0)</f>
        <v>64.962999999999994</v>
      </c>
      <c r="H595" s="14">
        <f>64.8262 * CHOOSE(CONTROL!$C$9, $D$9, 100%, $F$9) + CHOOSE(CONTROL!$C$27, 0.0021, 0)</f>
        <v>64.828299999999999</v>
      </c>
      <c r="I595" s="14">
        <f>64.8262 * CHOOSE(CONTROL!$C$9, $D$9, 100%, $F$9) + CHOOSE(CONTROL!$C$27, 0.0021, 0)</f>
        <v>64.828299999999999</v>
      </c>
      <c r="J595" s="14">
        <f>64.8262 * CHOOSE(CONTROL!$C$9, $D$9, 100%, $F$9) + CHOOSE(CONTROL!$C$27, 0.0021, 0)</f>
        <v>64.828299999999999</v>
      </c>
      <c r="K595" s="14">
        <f>64.8262 * CHOOSE(CONTROL!$C$9, $D$9, 100%, $F$9) + CHOOSE(CONTROL!$C$27, 0.0021, 0)</f>
        <v>64.828299999999999</v>
      </c>
      <c r="L595" s="14"/>
    </row>
    <row r="596" spans="1:12" ht="15.75" x14ac:dyDescent="0.25">
      <c r="A596" s="32">
        <v>59079</v>
      </c>
      <c r="B596" s="14">
        <f>66.5388 * CHOOSE(CONTROL!$C$9, $D$9, 100%, $F$9) + CHOOSE(CONTROL!$C$27, 0.0021, 0)</f>
        <v>66.540899999999993</v>
      </c>
      <c r="C596" s="14">
        <f>66.1066 * CHOOSE(CONTROL!$C$9, $D$9, 100%, $F$9) + CHOOSE(CONTROL!$C$27, 0.0021, 0)</f>
        <v>66.108699999999999</v>
      </c>
      <c r="D596" s="14">
        <f>66.1066 * CHOOSE(CONTROL!$C$9, $D$9, 100%, $F$9) + CHOOSE(CONTROL!$C$27, 0.0021, 0)</f>
        <v>66.108699999999999</v>
      </c>
      <c r="E596" s="14">
        <f>65.9699 * CHOOSE(CONTROL!$C$9, $D$9, 100%, $F$9) + CHOOSE(CONTROL!$C$27, 0.0021, 0)</f>
        <v>65.971999999999994</v>
      </c>
      <c r="F596" s="14">
        <f>65.9699 * CHOOSE(CONTROL!$C$9, $D$9, 100%, $F$9) + CHOOSE(CONTROL!$C$27, 0.0021, 0)</f>
        <v>65.971999999999994</v>
      </c>
      <c r="G596" s="14">
        <f>66.2413 * CHOOSE(CONTROL!$C$9, $D$9, 100%, $F$9) + CHOOSE(CONTROL!$C$27, 0.0021, 0)</f>
        <v>66.243399999999994</v>
      </c>
      <c r="H596" s="14">
        <f>66.1066 * CHOOSE(CONTROL!$C$9, $D$9, 100%, $F$9) + CHOOSE(CONTROL!$C$27, 0.0021, 0)</f>
        <v>66.108699999999999</v>
      </c>
      <c r="I596" s="14">
        <f>66.1066 * CHOOSE(CONTROL!$C$9, $D$9, 100%, $F$9) + CHOOSE(CONTROL!$C$27, 0.0021, 0)</f>
        <v>66.108699999999999</v>
      </c>
      <c r="J596" s="14">
        <f>66.1066 * CHOOSE(CONTROL!$C$9, $D$9, 100%, $F$9) + CHOOSE(CONTROL!$C$27, 0.0021, 0)</f>
        <v>66.108699999999999</v>
      </c>
      <c r="K596" s="14">
        <f>66.1066 * CHOOSE(CONTROL!$C$9, $D$9, 100%, $F$9) + CHOOSE(CONTROL!$C$27, 0.0021, 0)</f>
        <v>66.108699999999999</v>
      </c>
      <c r="L596" s="14"/>
    </row>
    <row r="597" spans="1:12" ht="15.75" x14ac:dyDescent="0.25">
      <c r="A597" s="32">
        <v>59110</v>
      </c>
      <c r="B597" s="14">
        <f>68.1596 * CHOOSE(CONTROL!$C$9, $D$9, 100%, $F$9) + CHOOSE(CONTROL!$C$27, 0.0021, 0)</f>
        <v>68.161699999999996</v>
      </c>
      <c r="C597" s="14">
        <f>67.7274 * CHOOSE(CONTROL!$C$9, $D$9, 100%, $F$9) + CHOOSE(CONTROL!$C$27, 0.0021, 0)</f>
        <v>67.729500000000002</v>
      </c>
      <c r="D597" s="14">
        <f>67.7274 * CHOOSE(CONTROL!$C$9, $D$9, 100%, $F$9) + CHOOSE(CONTROL!$C$27, 0.0021, 0)</f>
        <v>67.729500000000002</v>
      </c>
      <c r="E597" s="14">
        <f>67.5907 * CHOOSE(CONTROL!$C$9, $D$9, 100%, $F$9) + CHOOSE(CONTROL!$C$27, 0.0021, 0)</f>
        <v>67.592799999999997</v>
      </c>
      <c r="F597" s="14">
        <f>67.5907 * CHOOSE(CONTROL!$C$9, $D$9, 100%, $F$9) + CHOOSE(CONTROL!$C$27, 0.0021, 0)</f>
        <v>67.592799999999997</v>
      </c>
      <c r="G597" s="14">
        <f>67.8621 * CHOOSE(CONTROL!$C$9, $D$9, 100%, $F$9) + CHOOSE(CONTROL!$C$27, 0.0021, 0)</f>
        <v>67.864199999999997</v>
      </c>
      <c r="H597" s="14">
        <f>67.7274 * CHOOSE(CONTROL!$C$9, $D$9, 100%, $F$9) + CHOOSE(CONTROL!$C$27, 0.0021, 0)</f>
        <v>67.729500000000002</v>
      </c>
      <c r="I597" s="14">
        <f>67.7274 * CHOOSE(CONTROL!$C$9, $D$9, 100%, $F$9) + CHOOSE(CONTROL!$C$27, 0.0021, 0)</f>
        <v>67.729500000000002</v>
      </c>
      <c r="J597" s="14">
        <f>67.7274 * CHOOSE(CONTROL!$C$9, $D$9, 100%, $F$9) + CHOOSE(CONTROL!$C$27, 0.0021, 0)</f>
        <v>67.729500000000002</v>
      </c>
      <c r="K597" s="14">
        <f>67.7274 * CHOOSE(CONTROL!$C$9, $D$9, 100%, $F$9) + CHOOSE(CONTROL!$C$27, 0.0021, 0)</f>
        <v>67.729500000000002</v>
      </c>
      <c r="L597" s="14"/>
    </row>
    <row r="598" spans="1:12" ht="15.75" x14ac:dyDescent="0.25">
      <c r="A598" s="32">
        <v>59140</v>
      </c>
      <c r="B598" s="14">
        <f>68.3118 * CHOOSE(CONTROL!$C$9, $D$9, 100%, $F$9) + CHOOSE(CONTROL!$C$27, 0.0021, 0)</f>
        <v>68.313900000000004</v>
      </c>
      <c r="C598" s="14">
        <f>67.8795 * CHOOSE(CONTROL!$C$9, $D$9, 100%, $F$9) + CHOOSE(CONTROL!$C$27, 0.0021, 0)</f>
        <v>67.881599999999992</v>
      </c>
      <c r="D598" s="14">
        <f>67.8795 * CHOOSE(CONTROL!$C$9, $D$9, 100%, $F$9) + CHOOSE(CONTROL!$C$27, 0.0021, 0)</f>
        <v>67.881599999999992</v>
      </c>
      <c r="E598" s="14">
        <f>67.7429 * CHOOSE(CONTROL!$C$9, $D$9, 100%, $F$9) + CHOOSE(CONTROL!$C$27, 0.0021, 0)</f>
        <v>67.745000000000005</v>
      </c>
      <c r="F598" s="14">
        <f>67.7429 * CHOOSE(CONTROL!$C$9, $D$9, 100%, $F$9) + CHOOSE(CONTROL!$C$27, 0.0021, 0)</f>
        <v>67.745000000000005</v>
      </c>
      <c r="G598" s="14">
        <f>68.0143 * CHOOSE(CONTROL!$C$9, $D$9, 100%, $F$9) + CHOOSE(CONTROL!$C$27, 0.0021, 0)</f>
        <v>68.016400000000004</v>
      </c>
      <c r="H598" s="14">
        <f>67.8795 * CHOOSE(CONTROL!$C$9, $D$9, 100%, $F$9) + CHOOSE(CONTROL!$C$27, 0.0021, 0)</f>
        <v>67.881599999999992</v>
      </c>
      <c r="I598" s="14">
        <f>67.8795 * CHOOSE(CONTROL!$C$9, $D$9, 100%, $F$9) + CHOOSE(CONTROL!$C$27, 0.0021, 0)</f>
        <v>67.881599999999992</v>
      </c>
      <c r="J598" s="14">
        <f>67.8795 * CHOOSE(CONTROL!$C$9, $D$9, 100%, $F$9) + CHOOSE(CONTROL!$C$27, 0.0021, 0)</f>
        <v>67.881599999999992</v>
      </c>
      <c r="K598" s="14">
        <f>67.8795 * CHOOSE(CONTROL!$C$9, $D$9, 100%, $F$9) + CHOOSE(CONTROL!$C$27, 0.0021, 0)</f>
        <v>67.881599999999992</v>
      </c>
      <c r="L598" s="14"/>
    </row>
    <row r="599" spans="1:12" ht="15.75" x14ac:dyDescent="0.25">
      <c r="A599" s="32">
        <v>59171</v>
      </c>
      <c r="B599" s="14">
        <f>67.0173 * CHOOSE(CONTROL!$C$9, $D$9, 100%, $F$9) + CHOOSE(CONTROL!$C$27, 0.0021, 0)</f>
        <v>67.019400000000005</v>
      </c>
      <c r="C599" s="14">
        <f>66.5851 * CHOOSE(CONTROL!$C$9, $D$9, 100%, $F$9) + CHOOSE(CONTROL!$C$27, 0.0021, 0)</f>
        <v>66.587199999999996</v>
      </c>
      <c r="D599" s="14">
        <f>66.5851 * CHOOSE(CONTROL!$C$9, $D$9, 100%, $F$9) + CHOOSE(CONTROL!$C$27, 0.0021, 0)</f>
        <v>66.587199999999996</v>
      </c>
      <c r="E599" s="14">
        <f>66.4484 * CHOOSE(CONTROL!$C$9, $D$9, 100%, $F$9) + CHOOSE(CONTROL!$C$27, 0.0021, 0)</f>
        <v>66.450500000000005</v>
      </c>
      <c r="F599" s="14">
        <f>66.4484 * CHOOSE(CONTROL!$C$9, $D$9, 100%, $F$9) + CHOOSE(CONTROL!$C$27, 0.0021, 0)</f>
        <v>66.450500000000005</v>
      </c>
      <c r="G599" s="14">
        <f>66.7198 * CHOOSE(CONTROL!$C$9, $D$9, 100%, $F$9) + CHOOSE(CONTROL!$C$27, 0.0021, 0)</f>
        <v>66.721900000000005</v>
      </c>
      <c r="H599" s="14">
        <f>66.5851 * CHOOSE(CONTROL!$C$9, $D$9, 100%, $F$9) + CHOOSE(CONTROL!$C$27, 0.0021, 0)</f>
        <v>66.587199999999996</v>
      </c>
      <c r="I599" s="14">
        <f>66.5851 * CHOOSE(CONTROL!$C$9, $D$9, 100%, $F$9) + CHOOSE(CONTROL!$C$27, 0.0021, 0)</f>
        <v>66.587199999999996</v>
      </c>
      <c r="J599" s="14">
        <f>66.5851 * CHOOSE(CONTROL!$C$9, $D$9, 100%, $F$9) + CHOOSE(CONTROL!$C$27, 0.0021, 0)</f>
        <v>66.587199999999996</v>
      </c>
      <c r="K599" s="14">
        <f>66.5851 * CHOOSE(CONTROL!$C$9, $D$9, 100%, $F$9) + CHOOSE(CONTROL!$C$27, 0.0021, 0)</f>
        <v>66.587199999999996</v>
      </c>
      <c r="L599" s="14"/>
    </row>
    <row r="600" spans="1:12" ht="15.75" x14ac:dyDescent="0.25">
      <c r="A600" s="32">
        <v>59202</v>
      </c>
      <c r="B600" s="14">
        <f>60.9854 * CHOOSE(CONTROL!$C$9, $D$9, 100%, $F$9) + CHOOSE(CONTROL!$C$27, 0.0021, 0)</f>
        <v>60.987499999999997</v>
      </c>
      <c r="C600" s="14">
        <f>60.5531 * CHOOSE(CONTROL!$C$9, $D$9, 100%, $F$9) + CHOOSE(CONTROL!$C$27, 0.0021, 0)</f>
        <v>60.555199999999999</v>
      </c>
      <c r="D600" s="14">
        <f>60.5531 * CHOOSE(CONTROL!$C$9, $D$9, 100%, $F$9) + CHOOSE(CONTROL!$C$27, 0.0021, 0)</f>
        <v>60.555199999999999</v>
      </c>
      <c r="E600" s="14">
        <f>60.4165 * CHOOSE(CONTROL!$C$9, $D$9, 100%, $F$9) + CHOOSE(CONTROL!$C$27, 0.0021, 0)</f>
        <v>60.418599999999998</v>
      </c>
      <c r="F600" s="14">
        <f>60.4165 * CHOOSE(CONTROL!$C$9, $D$9, 100%, $F$9) + CHOOSE(CONTROL!$C$27, 0.0021, 0)</f>
        <v>60.418599999999998</v>
      </c>
      <c r="G600" s="14">
        <f>60.6878 * CHOOSE(CONTROL!$C$9, $D$9, 100%, $F$9) + CHOOSE(CONTROL!$C$27, 0.0021, 0)</f>
        <v>60.689900000000002</v>
      </c>
      <c r="H600" s="14">
        <f>60.5531 * CHOOSE(CONTROL!$C$9, $D$9, 100%, $F$9) + CHOOSE(CONTROL!$C$27, 0.0021, 0)</f>
        <v>60.555199999999999</v>
      </c>
      <c r="I600" s="14">
        <f>60.5531 * CHOOSE(CONTROL!$C$9, $D$9, 100%, $F$9) + CHOOSE(CONTROL!$C$27, 0.0021, 0)</f>
        <v>60.555199999999999</v>
      </c>
      <c r="J600" s="14">
        <f>60.5531 * CHOOSE(CONTROL!$C$9, $D$9, 100%, $F$9) + CHOOSE(CONTROL!$C$27, 0.0021, 0)</f>
        <v>60.555199999999999</v>
      </c>
      <c r="K600" s="14">
        <f>60.5531 * CHOOSE(CONTROL!$C$9, $D$9, 100%, $F$9) + CHOOSE(CONTROL!$C$27, 0.0021, 0)</f>
        <v>60.555199999999999</v>
      </c>
      <c r="L600" s="14"/>
    </row>
    <row r="601" spans="1:12" ht="15.75" x14ac:dyDescent="0.25">
      <c r="A601" s="32">
        <v>59230</v>
      </c>
      <c r="B601" s="14">
        <f>60.8222 * CHOOSE(CONTROL!$C$9, $D$9, 100%, $F$9) + CHOOSE(CONTROL!$C$27, 0.0021, 0)</f>
        <v>60.824300000000001</v>
      </c>
      <c r="C601" s="14">
        <f>60.39 * CHOOSE(CONTROL!$C$9, $D$9, 100%, $F$9) + CHOOSE(CONTROL!$C$27, 0.0021, 0)</f>
        <v>60.392099999999999</v>
      </c>
      <c r="D601" s="14">
        <f>60.39 * CHOOSE(CONTROL!$C$9, $D$9, 100%, $F$9) + CHOOSE(CONTROL!$C$27, 0.0021, 0)</f>
        <v>60.392099999999999</v>
      </c>
      <c r="E601" s="14">
        <f>60.2533 * CHOOSE(CONTROL!$C$9, $D$9, 100%, $F$9) + CHOOSE(CONTROL!$C$27, 0.0021, 0)</f>
        <v>60.255400000000002</v>
      </c>
      <c r="F601" s="14">
        <f>60.2533 * CHOOSE(CONTROL!$C$9, $D$9, 100%, $F$9) + CHOOSE(CONTROL!$C$27, 0.0021, 0)</f>
        <v>60.255400000000002</v>
      </c>
      <c r="G601" s="14">
        <f>60.5247 * CHOOSE(CONTROL!$C$9, $D$9, 100%, $F$9) + CHOOSE(CONTROL!$C$27, 0.0021, 0)</f>
        <v>60.526800000000001</v>
      </c>
      <c r="H601" s="14">
        <f>60.39 * CHOOSE(CONTROL!$C$9, $D$9, 100%, $F$9) + CHOOSE(CONTROL!$C$27, 0.0021, 0)</f>
        <v>60.392099999999999</v>
      </c>
      <c r="I601" s="14">
        <f>60.39 * CHOOSE(CONTROL!$C$9, $D$9, 100%, $F$9) + CHOOSE(CONTROL!$C$27, 0.0021, 0)</f>
        <v>60.392099999999999</v>
      </c>
      <c r="J601" s="14">
        <f>60.39 * CHOOSE(CONTROL!$C$9, $D$9, 100%, $F$9) + CHOOSE(CONTROL!$C$27, 0.0021, 0)</f>
        <v>60.392099999999999</v>
      </c>
      <c r="K601" s="14">
        <f>60.39 * CHOOSE(CONTROL!$C$9, $D$9, 100%, $F$9) + CHOOSE(CONTROL!$C$27, 0.0021, 0)</f>
        <v>60.392099999999999</v>
      </c>
      <c r="L601" s="14"/>
    </row>
    <row r="602" spans="1:12" ht="15.75" x14ac:dyDescent="0.25">
      <c r="A602" s="32">
        <v>59261</v>
      </c>
      <c r="B602" s="14">
        <f>63.9071 * CHOOSE(CONTROL!$C$9, $D$9, 100%, $F$9) + CHOOSE(CONTROL!$C$27, 0.0021, 0)</f>
        <v>63.909199999999998</v>
      </c>
      <c r="C602" s="14">
        <f>63.4748 * CHOOSE(CONTROL!$C$9, $D$9, 100%, $F$9) + CHOOSE(CONTROL!$C$27, 0.0021, 0)</f>
        <v>63.476900000000001</v>
      </c>
      <c r="D602" s="14">
        <f>63.4748 * CHOOSE(CONTROL!$C$9, $D$9, 100%, $F$9) + CHOOSE(CONTROL!$C$27, 0.0021, 0)</f>
        <v>63.476900000000001</v>
      </c>
      <c r="E602" s="14">
        <f>63.3382 * CHOOSE(CONTROL!$C$9, $D$9, 100%, $F$9) + CHOOSE(CONTROL!$C$27, 0.0021, 0)</f>
        <v>63.340299999999999</v>
      </c>
      <c r="F602" s="14">
        <f>63.3382 * CHOOSE(CONTROL!$C$9, $D$9, 100%, $F$9) + CHOOSE(CONTROL!$C$27, 0.0021, 0)</f>
        <v>63.340299999999999</v>
      </c>
      <c r="G602" s="14">
        <f>63.6096 * CHOOSE(CONTROL!$C$9, $D$9, 100%, $F$9) + CHOOSE(CONTROL!$C$27, 0.0021, 0)</f>
        <v>63.611699999999999</v>
      </c>
      <c r="H602" s="14">
        <f>63.4748 * CHOOSE(CONTROL!$C$9, $D$9, 100%, $F$9) + CHOOSE(CONTROL!$C$27, 0.0021, 0)</f>
        <v>63.476900000000001</v>
      </c>
      <c r="I602" s="14">
        <f>63.4748 * CHOOSE(CONTROL!$C$9, $D$9, 100%, $F$9) + CHOOSE(CONTROL!$C$27, 0.0021, 0)</f>
        <v>63.476900000000001</v>
      </c>
      <c r="J602" s="14">
        <f>63.4748 * CHOOSE(CONTROL!$C$9, $D$9, 100%, $F$9) + CHOOSE(CONTROL!$C$27, 0.0021, 0)</f>
        <v>63.476900000000001</v>
      </c>
      <c r="K602" s="14">
        <f>63.4748 * CHOOSE(CONTROL!$C$9, $D$9, 100%, $F$9) + CHOOSE(CONTROL!$C$27, 0.0021, 0)</f>
        <v>63.476900000000001</v>
      </c>
      <c r="L602" s="14"/>
    </row>
    <row r="603" spans="1:12" ht="15.75" x14ac:dyDescent="0.25">
      <c r="A603" s="32">
        <v>59291</v>
      </c>
      <c r="B603" s="14">
        <f>67.9074 * CHOOSE(CONTROL!$C$9, $D$9, 100%, $F$9) + CHOOSE(CONTROL!$C$27, 0.0021, 0)</f>
        <v>67.909499999999994</v>
      </c>
      <c r="C603" s="14">
        <f>67.4752 * CHOOSE(CONTROL!$C$9, $D$9, 100%, $F$9) + CHOOSE(CONTROL!$C$27, 0.0021, 0)</f>
        <v>67.4773</v>
      </c>
      <c r="D603" s="14">
        <f>67.4752 * CHOOSE(CONTROL!$C$9, $D$9, 100%, $F$9) + CHOOSE(CONTROL!$C$27, 0.0021, 0)</f>
        <v>67.4773</v>
      </c>
      <c r="E603" s="14">
        <f>67.3385 * CHOOSE(CONTROL!$C$9, $D$9, 100%, $F$9) + CHOOSE(CONTROL!$C$27, 0.0021, 0)</f>
        <v>67.340599999999995</v>
      </c>
      <c r="F603" s="14">
        <f>67.3385 * CHOOSE(CONTROL!$C$9, $D$9, 100%, $F$9) + CHOOSE(CONTROL!$C$27, 0.0021, 0)</f>
        <v>67.340599999999995</v>
      </c>
      <c r="G603" s="14">
        <f>67.6099 * CHOOSE(CONTROL!$C$9, $D$9, 100%, $F$9) + CHOOSE(CONTROL!$C$27, 0.0021, 0)</f>
        <v>67.611999999999995</v>
      </c>
      <c r="H603" s="14">
        <f>67.4752 * CHOOSE(CONTROL!$C$9, $D$9, 100%, $F$9) + CHOOSE(CONTROL!$C$27, 0.0021, 0)</f>
        <v>67.4773</v>
      </c>
      <c r="I603" s="14">
        <f>67.4752 * CHOOSE(CONTROL!$C$9, $D$9, 100%, $F$9) + CHOOSE(CONTROL!$C$27, 0.0021, 0)</f>
        <v>67.4773</v>
      </c>
      <c r="J603" s="14">
        <f>67.4752 * CHOOSE(CONTROL!$C$9, $D$9, 100%, $F$9) + CHOOSE(CONTROL!$C$27, 0.0021, 0)</f>
        <v>67.4773</v>
      </c>
      <c r="K603" s="14">
        <f>67.4752 * CHOOSE(CONTROL!$C$9, $D$9, 100%, $F$9) + CHOOSE(CONTROL!$C$27, 0.0021, 0)</f>
        <v>67.4773</v>
      </c>
      <c r="L603" s="14"/>
    </row>
    <row r="604" spans="1:12" ht="15.75" x14ac:dyDescent="0.25">
      <c r="A604" s="32">
        <v>59322</v>
      </c>
      <c r="B604" s="14">
        <f>70.1093 * CHOOSE(CONTROL!$C$9, $D$9, 100%, $F$9) + CHOOSE(CONTROL!$C$27, 0.0021, 0)</f>
        <v>70.111400000000003</v>
      </c>
      <c r="C604" s="14">
        <f>69.6771 * CHOOSE(CONTROL!$C$9, $D$9, 100%, $F$9) + CHOOSE(CONTROL!$C$27, 0.0021, 0)</f>
        <v>69.679199999999994</v>
      </c>
      <c r="D604" s="14">
        <f>69.6771 * CHOOSE(CONTROL!$C$9, $D$9, 100%, $F$9) + CHOOSE(CONTROL!$C$27, 0.0021, 0)</f>
        <v>69.679199999999994</v>
      </c>
      <c r="E604" s="14">
        <f>69.5404 * CHOOSE(CONTROL!$C$9, $D$9, 100%, $F$9) + CHOOSE(CONTROL!$C$27, 0.0021, 0)</f>
        <v>69.542500000000004</v>
      </c>
      <c r="F604" s="14">
        <f>69.5404 * CHOOSE(CONTROL!$C$9, $D$9, 100%, $F$9) + CHOOSE(CONTROL!$C$27, 0.0021, 0)</f>
        <v>69.542500000000004</v>
      </c>
      <c r="G604" s="14">
        <f>69.8118 * CHOOSE(CONTROL!$C$9, $D$9, 100%, $F$9) + CHOOSE(CONTROL!$C$27, 0.0021, 0)</f>
        <v>69.813900000000004</v>
      </c>
      <c r="H604" s="14">
        <f>69.6771 * CHOOSE(CONTROL!$C$9, $D$9, 100%, $F$9) + CHOOSE(CONTROL!$C$27, 0.0021, 0)</f>
        <v>69.679199999999994</v>
      </c>
      <c r="I604" s="14">
        <f>69.6771 * CHOOSE(CONTROL!$C$9, $D$9, 100%, $F$9) + CHOOSE(CONTROL!$C$27, 0.0021, 0)</f>
        <v>69.679199999999994</v>
      </c>
      <c r="J604" s="14">
        <f>69.6771 * CHOOSE(CONTROL!$C$9, $D$9, 100%, $F$9) + CHOOSE(CONTROL!$C$27, 0.0021, 0)</f>
        <v>69.679199999999994</v>
      </c>
      <c r="K604" s="14">
        <f>69.6771 * CHOOSE(CONTROL!$C$9, $D$9, 100%, $F$9) + CHOOSE(CONTROL!$C$27, 0.0021, 0)</f>
        <v>69.679199999999994</v>
      </c>
      <c r="L604" s="14"/>
    </row>
    <row r="605" spans="1:12" ht="15.75" x14ac:dyDescent="0.25">
      <c r="A605" s="32">
        <v>59352</v>
      </c>
      <c r="B605" s="14">
        <f>71.0865 * CHOOSE(CONTROL!$C$9, $D$9, 100%, $F$9) + CHOOSE(CONTROL!$C$27, 0.0021, 0)</f>
        <v>71.0886</v>
      </c>
      <c r="C605" s="14">
        <f>70.6542 * CHOOSE(CONTROL!$C$9, $D$9, 100%, $F$9) + CHOOSE(CONTROL!$C$27, 0.0021, 0)</f>
        <v>70.656300000000002</v>
      </c>
      <c r="D605" s="14">
        <f>70.6542 * CHOOSE(CONTROL!$C$9, $D$9, 100%, $F$9) + CHOOSE(CONTROL!$C$27, 0.0021, 0)</f>
        <v>70.656300000000002</v>
      </c>
      <c r="E605" s="14">
        <f>70.5176 * CHOOSE(CONTROL!$C$9, $D$9, 100%, $F$9) + CHOOSE(CONTROL!$C$27, 0.0021, 0)</f>
        <v>70.5197</v>
      </c>
      <c r="F605" s="14">
        <f>70.5176 * CHOOSE(CONTROL!$C$9, $D$9, 100%, $F$9) + CHOOSE(CONTROL!$C$27, 0.0021, 0)</f>
        <v>70.5197</v>
      </c>
      <c r="G605" s="14">
        <f>70.789 * CHOOSE(CONTROL!$C$9, $D$9, 100%, $F$9) + CHOOSE(CONTROL!$C$27, 0.0021, 0)</f>
        <v>70.7911</v>
      </c>
      <c r="H605" s="14">
        <f>70.6542 * CHOOSE(CONTROL!$C$9, $D$9, 100%, $F$9) + CHOOSE(CONTROL!$C$27, 0.0021, 0)</f>
        <v>70.656300000000002</v>
      </c>
      <c r="I605" s="14">
        <f>70.6542 * CHOOSE(CONTROL!$C$9, $D$9, 100%, $F$9) + CHOOSE(CONTROL!$C$27, 0.0021, 0)</f>
        <v>70.656300000000002</v>
      </c>
      <c r="J605" s="14">
        <f>70.6542 * CHOOSE(CONTROL!$C$9, $D$9, 100%, $F$9) + CHOOSE(CONTROL!$C$27, 0.0021, 0)</f>
        <v>70.656300000000002</v>
      </c>
      <c r="K605" s="14">
        <f>70.6542 * CHOOSE(CONTROL!$C$9, $D$9, 100%, $F$9) + CHOOSE(CONTROL!$C$27, 0.0021, 0)</f>
        <v>70.656300000000002</v>
      </c>
      <c r="L605" s="14"/>
    </row>
    <row r="606" spans="1:12" ht="15.75" x14ac:dyDescent="0.25">
      <c r="A606" s="32">
        <v>59383</v>
      </c>
      <c r="B606" s="14">
        <f>70.7648 * CHOOSE(CONTROL!$C$9, $D$9, 100%, $F$9) + CHOOSE(CONTROL!$C$27, 0.0021, 0)</f>
        <v>70.766899999999993</v>
      </c>
      <c r="C606" s="14">
        <f>70.3325 * CHOOSE(CONTROL!$C$9, $D$9, 100%, $F$9) + CHOOSE(CONTROL!$C$27, 0.0021, 0)</f>
        <v>70.334599999999995</v>
      </c>
      <c r="D606" s="14">
        <f>70.3325 * CHOOSE(CONTROL!$C$9, $D$9, 100%, $F$9) + CHOOSE(CONTROL!$C$27, 0.0021, 0)</f>
        <v>70.334599999999995</v>
      </c>
      <c r="E606" s="14">
        <f>70.1959 * CHOOSE(CONTROL!$C$9, $D$9, 100%, $F$9) + CHOOSE(CONTROL!$C$27, 0.0021, 0)</f>
        <v>70.197999999999993</v>
      </c>
      <c r="F606" s="14">
        <f>70.1959 * CHOOSE(CONTROL!$C$9, $D$9, 100%, $F$9) + CHOOSE(CONTROL!$C$27, 0.0021, 0)</f>
        <v>70.197999999999993</v>
      </c>
      <c r="G606" s="14">
        <f>70.4672 * CHOOSE(CONTROL!$C$9, $D$9, 100%, $F$9) + CHOOSE(CONTROL!$C$27, 0.0021, 0)</f>
        <v>70.469300000000004</v>
      </c>
      <c r="H606" s="14">
        <f>70.3325 * CHOOSE(CONTROL!$C$9, $D$9, 100%, $F$9) + CHOOSE(CONTROL!$C$27, 0.0021, 0)</f>
        <v>70.334599999999995</v>
      </c>
      <c r="I606" s="14">
        <f>70.3325 * CHOOSE(CONTROL!$C$9, $D$9, 100%, $F$9) + CHOOSE(CONTROL!$C$27, 0.0021, 0)</f>
        <v>70.334599999999995</v>
      </c>
      <c r="J606" s="14">
        <f>70.3325 * CHOOSE(CONTROL!$C$9, $D$9, 100%, $F$9) + CHOOSE(CONTROL!$C$27, 0.0021, 0)</f>
        <v>70.334599999999995</v>
      </c>
      <c r="K606" s="14">
        <f>70.3325 * CHOOSE(CONTROL!$C$9, $D$9, 100%, $F$9) + CHOOSE(CONTROL!$C$27, 0.0021, 0)</f>
        <v>70.334599999999995</v>
      </c>
      <c r="L606" s="14"/>
    </row>
    <row r="607" spans="1:12" ht="15.75" x14ac:dyDescent="0.25">
      <c r="A607" s="32">
        <v>59414</v>
      </c>
      <c r="B607" s="14">
        <f>69.1708 * CHOOSE(CONTROL!$C$9, $D$9, 100%, $F$9) + CHOOSE(CONTROL!$C$27, 0.0021, 0)</f>
        <v>69.172899999999998</v>
      </c>
      <c r="C607" s="14">
        <f>68.7385 * CHOOSE(CONTROL!$C$9, $D$9, 100%, $F$9) + CHOOSE(CONTROL!$C$27, 0.0021, 0)</f>
        <v>68.740600000000001</v>
      </c>
      <c r="D607" s="14">
        <f>68.7385 * CHOOSE(CONTROL!$C$9, $D$9, 100%, $F$9) + CHOOSE(CONTROL!$C$27, 0.0021, 0)</f>
        <v>68.740600000000001</v>
      </c>
      <c r="E607" s="14">
        <f>68.6019 * CHOOSE(CONTROL!$C$9, $D$9, 100%, $F$9) + CHOOSE(CONTROL!$C$27, 0.0021, 0)</f>
        <v>68.603999999999999</v>
      </c>
      <c r="F607" s="14">
        <f>68.6019 * CHOOSE(CONTROL!$C$9, $D$9, 100%, $F$9) + CHOOSE(CONTROL!$C$27, 0.0021, 0)</f>
        <v>68.603999999999999</v>
      </c>
      <c r="G607" s="14">
        <f>68.8732 * CHOOSE(CONTROL!$C$9, $D$9, 100%, $F$9) + CHOOSE(CONTROL!$C$27, 0.0021, 0)</f>
        <v>68.875299999999996</v>
      </c>
      <c r="H607" s="14">
        <f>68.7385 * CHOOSE(CONTROL!$C$9, $D$9, 100%, $F$9) + CHOOSE(CONTROL!$C$27, 0.0021, 0)</f>
        <v>68.740600000000001</v>
      </c>
      <c r="I607" s="14">
        <f>68.7385 * CHOOSE(CONTROL!$C$9, $D$9, 100%, $F$9) + CHOOSE(CONTROL!$C$27, 0.0021, 0)</f>
        <v>68.740600000000001</v>
      </c>
      <c r="J607" s="14">
        <f>68.7385 * CHOOSE(CONTROL!$C$9, $D$9, 100%, $F$9) + CHOOSE(CONTROL!$C$27, 0.0021, 0)</f>
        <v>68.740600000000001</v>
      </c>
      <c r="K607" s="14">
        <f>68.7385 * CHOOSE(CONTROL!$C$9, $D$9, 100%, $F$9) + CHOOSE(CONTROL!$C$27, 0.0021, 0)</f>
        <v>68.740600000000001</v>
      </c>
      <c r="L607" s="14"/>
    </row>
    <row r="608" spans="1:12" ht="15.75" x14ac:dyDescent="0.25">
      <c r="A608" s="32">
        <v>59444</v>
      </c>
      <c r="B608" s="14">
        <f>66.9478 * CHOOSE(CONTROL!$C$9, $D$9, 100%, $F$9) + CHOOSE(CONTROL!$C$27, 0.0021, 0)</f>
        <v>66.9499</v>
      </c>
      <c r="C608" s="14">
        <f>66.5156 * CHOOSE(CONTROL!$C$9, $D$9, 100%, $F$9) + CHOOSE(CONTROL!$C$27, 0.0021, 0)</f>
        <v>66.517700000000005</v>
      </c>
      <c r="D608" s="14">
        <f>66.5156 * CHOOSE(CONTROL!$C$9, $D$9, 100%, $F$9) + CHOOSE(CONTROL!$C$27, 0.0021, 0)</f>
        <v>66.517700000000005</v>
      </c>
      <c r="E608" s="14">
        <f>66.3789 * CHOOSE(CONTROL!$C$9, $D$9, 100%, $F$9) + CHOOSE(CONTROL!$C$27, 0.0021, 0)</f>
        <v>66.381</v>
      </c>
      <c r="F608" s="14">
        <f>66.3789 * CHOOSE(CONTROL!$C$9, $D$9, 100%, $F$9) + CHOOSE(CONTROL!$C$27, 0.0021, 0)</f>
        <v>66.381</v>
      </c>
      <c r="G608" s="14">
        <f>66.6503 * CHOOSE(CONTROL!$C$9, $D$9, 100%, $F$9) + CHOOSE(CONTROL!$C$27, 0.0021, 0)</f>
        <v>66.6524</v>
      </c>
      <c r="H608" s="14">
        <f>66.5156 * CHOOSE(CONTROL!$C$9, $D$9, 100%, $F$9) + CHOOSE(CONTROL!$C$27, 0.0021, 0)</f>
        <v>66.517700000000005</v>
      </c>
      <c r="I608" s="14">
        <f>66.5156 * CHOOSE(CONTROL!$C$9, $D$9, 100%, $F$9) + CHOOSE(CONTROL!$C$27, 0.0021, 0)</f>
        <v>66.517700000000005</v>
      </c>
      <c r="J608" s="14">
        <f>66.5156 * CHOOSE(CONTROL!$C$9, $D$9, 100%, $F$9) + CHOOSE(CONTROL!$C$27, 0.0021, 0)</f>
        <v>66.517700000000005</v>
      </c>
      <c r="K608" s="14">
        <f>66.5156 * CHOOSE(CONTROL!$C$9, $D$9, 100%, $F$9) + CHOOSE(CONTROL!$C$27, 0.0021, 0)</f>
        <v>66.517700000000005</v>
      </c>
      <c r="L608" s="14"/>
    </row>
    <row r="609" spans="1:12" ht="15.75" x14ac:dyDescent="0.25">
      <c r="A609" s="32">
        <v>59475</v>
      </c>
      <c r="B609" s="14">
        <f>64.712 * CHOOSE(CONTROL!$C$9, $D$9, 100%, $F$9) + CHOOSE(CONTROL!$C$27, 0.0021, 0)</f>
        <v>64.714100000000002</v>
      </c>
      <c r="C609" s="14">
        <f>64.2797 * CHOOSE(CONTROL!$C$9, $D$9, 100%, $F$9) + CHOOSE(CONTROL!$C$27, 0.0021, 0)</f>
        <v>64.281800000000004</v>
      </c>
      <c r="D609" s="14">
        <f>64.2797 * CHOOSE(CONTROL!$C$9, $D$9, 100%, $F$9) + CHOOSE(CONTROL!$C$27, 0.0021, 0)</f>
        <v>64.281800000000004</v>
      </c>
      <c r="E609" s="14">
        <f>64.1431 * CHOOSE(CONTROL!$C$9, $D$9, 100%, $F$9) + CHOOSE(CONTROL!$C$27, 0.0021, 0)</f>
        <v>64.145200000000003</v>
      </c>
      <c r="F609" s="14">
        <f>64.1431 * CHOOSE(CONTROL!$C$9, $D$9, 100%, $F$9) + CHOOSE(CONTROL!$C$27, 0.0021, 0)</f>
        <v>64.145200000000003</v>
      </c>
      <c r="G609" s="14">
        <f>64.4145 * CHOOSE(CONTROL!$C$9, $D$9, 100%, $F$9) + CHOOSE(CONTROL!$C$27, 0.0021, 0)</f>
        <v>64.416600000000003</v>
      </c>
      <c r="H609" s="14">
        <f>64.2797 * CHOOSE(CONTROL!$C$9, $D$9, 100%, $F$9) + CHOOSE(CONTROL!$C$27, 0.0021, 0)</f>
        <v>64.281800000000004</v>
      </c>
      <c r="I609" s="14">
        <f>64.2797 * CHOOSE(CONTROL!$C$9, $D$9, 100%, $F$9) + CHOOSE(CONTROL!$C$27, 0.0021, 0)</f>
        <v>64.281800000000004</v>
      </c>
      <c r="J609" s="14">
        <f>64.2797 * CHOOSE(CONTROL!$C$9, $D$9, 100%, $F$9) + CHOOSE(CONTROL!$C$27, 0.0021, 0)</f>
        <v>64.281800000000004</v>
      </c>
      <c r="K609" s="14">
        <f>64.2797 * CHOOSE(CONTROL!$C$9, $D$9, 100%, $F$9) + CHOOSE(CONTROL!$C$27, 0.0021, 0)</f>
        <v>64.281800000000004</v>
      </c>
      <c r="L609" s="14"/>
    </row>
    <row r="610" spans="1:12" ht="15.75" x14ac:dyDescent="0.25">
      <c r="A610" s="32">
        <v>59505</v>
      </c>
      <c r="B610" s="14">
        <f>64.2672 * CHOOSE(CONTROL!$C$9, $D$9, 100%, $F$9) + CHOOSE(CONTROL!$C$27, 0.0021, 0)</f>
        <v>64.269300000000001</v>
      </c>
      <c r="C610" s="14">
        <f>63.835 * CHOOSE(CONTROL!$C$9, $D$9, 100%, $F$9) + CHOOSE(CONTROL!$C$27, 0.0021, 0)</f>
        <v>63.8371</v>
      </c>
      <c r="D610" s="14">
        <f>63.835 * CHOOSE(CONTROL!$C$9, $D$9, 100%, $F$9) + CHOOSE(CONTROL!$C$27, 0.0021, 0)</f>
        <v>63.8371</v>
      </c>
      <c r="E610" s="14">
        <f>63.6983 * CHOOSE(CONTROL!$C$9, $D$9, 100%, $F$9) + CHOOSE(CONTROL!$C$27, 0.0021, 0)</f>
        <v>63.700400000000002</v>
      </c>
      <c r="F610" s="14">
        <f>63.6983 * CHOOSE(CONTROL!$C$9, $D$9, 100%, $F$9) + CHOOSE(CONTROL!$C$27, 0.0021, 0)</f>
        <v>63.700400000000002</v>
      </c>
      <c r="G610" s="14">
        <f>63.9697 * CHOOSE(CONTROL!$C$9, $D$9, 100%, $F$9) + CHOOSE(CONTROL!$C$27, 0.0021, 0)</f>
        <v>63.971800000000002</v>
      </c>
      <c r="H610" s="14">
        <f>63.835 * CHOOSE(CONTROL!$C$9, $D$9, 100%, $F$9) + CHOOSE(CONTROL!$C$27, 0.0021, 0)</f>
        <v>63.8371</v>
      </c>
      <c r="I610" s="14">
        <f>63.835 * CHOOSE(CONTROL!$C$9, $D$9, 100%, $F$9) + CHOOSE(CONTROL!$C$27, 0.0021, 0)</f>
        <v>63.8371</v>
      </c>
      <c r="J610" s="14">
        <f>63.835 * CHOOSE(CONTROL!$C$9, $D$9, 100%, $F$9) + CHOOSE(CONTROL!$C$27, 0.0021, 0)</f>
        <v>63.8371</v>
      </c>
      <c r="K610" s="14">
        <f>63.835 * CHOOSE(CONTROL!$C$9, $D$9, 100%, $F$9) + CHOOSE(CONTROL!$C$27, 0.0021, 0)</f>
        <v>63.8371</v>
      </c>
      <c r="L610" s="14"/>
    </row>
    <row r="611" spans="1:12" ht="15.75" x14ac:dyDescent="0.25">
      <c r="A611" s="32">
        <v>59536</v>
      </c>
      <c r="B611" s="14">
        <f>62.4281 * CHOOSE(CONTROL!$C$9, $D$9, 100%, $F$9) + CHOOSE(CONTROL!$C$27, 0.0021, 0)</f>
        <v>62.430199999999999</v>
      </c>
      <c r="C611" s="14">
        <f>61.9959 * CHOOSE(CONTROL!$C$9, $D$9, 100%, $F$9) + CHOOSE(CONTROL!$C$27, 0.0021, 0)</f>
        <v>61.997999999999998</v>
      </c>
      <c r="D611" s="14">
        <f>61.9959 * CHOOSE(CONTROL!$C$9, $D$9, 100%, $F$9) + CHOOSE(CONTROL!$C$27, 0.0021, 0)</f>
        <v>61.997999999999998</v>
      </c>
      <c r="E611" s="14">
        <f>61.8592 * CHOOSE(CONTROL!$C$9, $D$9, 100%, $F$9) + CHOOSE(CONTROL!$C$27, 0.0021, 0)</f>
        <v>61.8613</v>
      </c>
      <c r="F611" s="14">
        <f>61.8592 * CHOOSE(CONTROL!$C$9, $D$9, 100%, $F$9) + CHOOSE(CONTROL!$C$27, 0.0021, 0)</f>
        <v>61.8613</v>
      </c>
      <c r="G611" s="14">
        <f>62.1306 * CHOOSE(CONTROL!$C$9, $D$9, 100%, $F$9) + CHOOSE(CONTROL!$C$27, 0.0021, 0)</f>
        <v>62.1327</v>
      </c>
      <c r="H611" s="14">
        <f>61.9959 * CHOOSE(CONTROL!$C$9, $D$9, 100%, $F$9) + CHOOSE(CONTROL!$C$27, 0.0021, 0)</f>
        <v>61.997999999999998</v>
      </c>
      <c r="I611" s="14">
        <f>61.9959 * CHOOSE(CONTROL!$C$9, $D$9, 100%, $F$9) + CHOOSE(CONTROL!$C$27, 0.0021, 0)</f>
        <v>61.997999999999998</v>
      </c>
      <c r="J611" s="14">
        <f>61.9959 * CHOOSE(CONTROL!$C$9, $D$9, 100%, $F$9) + CHOOSE(CONTROL!$C$27, 0.0021, 0)</f>
        <v>61.997999999999998</v>
      </c>
      <c r="K611" s="14">
        <f>61.9959 * CHOOSE(CONTROL!$C$9, $D$9, 100%, $F$9) + CHOOSE(CONTROL!$C$27, 0.0021, 0)</f>
        <v>61.997999999999998</v>
      </c>
      <c r="L611" s="14"/>
    </row>
    <row r="612" spans="1:12" ht="15.75" x14ac:dyDescent="0.25">
      <c r="A612" s="32">
        <v>59567</v>
      </c>
      <c r="B612" s="14">
        <f>62.0701 * CHOOSE(CONTROL!$C$9, $D$9, 100%, $F$9) + CHOOSE(CONTROL!$C$27, 0.0021, 0)</f>
        <v>62.072199999999995</v>
      </c>
      <c r="C612" s="14">
        <f>61.6378 * CHOOSE(CONTROL!$C$9, $D$9, 100%, $F$9) + CHOOSE(CONTROL!$C$27, 0.0021, 0)</f>
        <v>61.639899999999997</v>
      </c>
      <c r="D612" s="14">
        <f>61.6378 * CHOOSE(CONTROL!$C$9, $D$9, 100%, $F$9) + CHOOSE(CONTROL!$C$27, 0.0021, 0)</f>
        <v>61.639899999999997</v>
      </c>
      <c r="E612" s="14">
        <f>61.5012 * CHOOSE(CONTROL!$C$9, $D$9, 100%, $F$9) + CHOOSE(CONTROL!$C$27, 0.0021, 0)</f>
        <v>61.503299999999996</v>
      </c>
      <c r="F612" s="14">
        <f>61.5012 * CHOOSE(CONTROL!$C$9, $D$9, 100%, $F$9) + CHOOSE(CONTROL!$C$27, 0.0021, 0)</f>
        <v>61.503299999999996</v>
      </c>
      <c r="G612" s="14">
        <f>61.7725 * CHOOSE(CONTROL!$C$9, $D$9, 100%, $F$9) + CHOOSE(CONTROL!$C$27, 0.0021, 0)</f>
        <v>61.7746</v>
      </c>
      <c r="H612" s="14">
        <f>61.6378 * CHOOSE(CONTROL!$C$9, $D$9, 100%, $F$9) + CHOOSE(CONTROL!$C$27, 0.0021, 0)</f>
        <v>61.639899999999997</v>
      </c>
      <c r="I612" s="14">
        <f>61.6378 * CHOOSE(CONTROL!$C$9, $D$9, 100%, $F$9) + CHOOSE(CONTROL!$C$27, 0.0021, 0)</f>
        <v>61.639899999999997</v>
      </c>
      <c r="J612" s="14">
        <f>61.6378 * CHOOSE(CONTROL!$C$9, $D$9, 100%, $F$9) + CHOOSE(CONTROL!$C$27, 0.0021, 0)</f>
        <v>61.639899999999997</v>
      </c>
      <c r="K612" s="14">
        <f>61.6378 * CHOOSE(CONTROL!$C$9, $D$9, 100%, $F$9) + CHOOSE(CONTROL!$C$27, 0.0021, 0)</f>
        <v>61.639899999999997</v>
      </c>
      <c r="L612" s="14"/>
    </row>
    <row r="613" spans="1:12" ht="15.75" x14ac:dyDescent="0.25">
      <c r="A613" s="32">
        <v>59595</v>
      </c>
      <c r="B613" s="14">
        <f>61.9039 * CHOOSE(CONTROL!$C$9, $D$9, 100%, $F$9) + CHOOSE(CONTROL!$C$27, 0.0021, 0)</f>
        <v>61.905999999999999</v>
      </c>
      <c r="C613" s="14">
        <f>61.4717 * CHOOSE(CONTROL!$C$9, $D$9, 100%, $F$9) + CHOOSE(CONTROL!$C$27, 0.0021, 0)</f>
        <v>61.473799999999997</v>
      </c>
      <c r="D613" s="14">
        <f>61.4717 * CHOOSE(CONTROL!$C$9, $D$9, 100%, $F$9) + CHOOSE(CONTROL!$C$27, 0.0021, 0)</f>
        <v>61.473799999999997</v>
      </c>
      <c r="E613" s="14">
        <f>61.335 * CHOOSE(CONTROL!$C$9, $D$9, 100%, $F$9) + CHOOSE(CONTROL!$C$27, 0.0021, 0)</f>
        <v>61.3371</v>
      </c>
      <c r="F613" s="14">
        <f>61.335 * CHOOSE(CONTROL!$C$9, $D$9, 100%, $F$9) + CHOOSE(CONTROL!$C$27, 0.0021, 0)</f>
        <v>61.3371</v>
      </c>
      <c r="G613" s="14">
        <f>61.6064 * CHOOSE(CONTROL!$C$9, $D$9, 100%, $F$9) + CHOOSE(CONTROL!$C$27, 0.0021, 0)</f>
        <v>61.608499999999999</v>
      </c>
      <c r="H613" s="14">
        <f>61.4717 * CHOOSE(CONTROL!$C$9, $D$9, 100%, $F$9) + CHOOSE(CONTROL!$C$27, 0.0021, 0)</f>
        <v>61.473799999999997</v>
      </c>
      <c r="I613" s="14">
        <f>61.4717 * CHOOSE(CONTROL!$C$9, $D$9, 100%, $F$9) + CHOOSE(CONTROL!$C$27, 0.0021, 0)</f>
        <v>61.473799999999997</v>
      </c>
      <c r="J613" s="14">
        <f>61.4717 * CHOOSE(CONTROL!$C$9, $D$9, 100%, $F$9) + CHOOSE(CONTROL!$C$27, 0.0021, 0)</f>
        <v>61.473799999999997</v>
      </c>
      <c r="K613" s="14">
        <f>61.4717 * CHOOSE(CONTROL!$C$9, $D$9, 100%, $F$9) + CHOOSE(CONTROL!$C$27, 0.0021, 0)</f>
        <v>61.473799999999997</v>
      </c>
      <c r="L613" s="14"/>
    </row>
    <row r="614" spans="1:12" ht="15.75" x14ac:dyDescent="0.25">
      <c r="A614" s="32">
        <v>59626</v>
      </c>
      <c r="B614" s="14">
        <f>65.0458 * CHOOSE(CONTROL!$C$9, $D$9, 100%, $F$9) + CHOOSE(CONTROL!$C$27, 0.0021, 0)</f>
        <v>65.047899999999998</v>
      </c>
      <c r="C614" s="14">
        <f>64.6135 * CHOOSE(CONTROL!$C$9, $D$9, 100%, $F$9) + CHOOSE(CONTROL!$C$27, 0.0021, 0)</f>
        <v>64.615600000000001</v>
      </c>
      <c r="D614" s="14">
        <f>64.6135 * CHOOSE(CONTROL!$C$9, $D$9, 100%, $F$9) + CHOOSE(CONTROL!$C$27, 0.0021, 0)</f>
        <v>64.615600000000001</v>
      </c>
      <c r="E614" s="14">
        <f>64.4769 * CHOOSE(CONTROL!$C$9, $D$9, 100%, $F$9) + CHOOSE(CONTROL!$C$27, 0.0021, 0)</f>
        <v>64.478999999999999</v>
      </c>
      <c r="F614" s="14">
        <f>64.4769 * CHOOSE(CONTROL!$C$9, $D$9, 100%, $F$9) + CHOOSE(CONTROL!$C$27, 0.0021, 0)</f>
        <v>64.478999999999999</v>
      </c>
      <c r="G614" s="14">
        <f>64.7482 * CHOOSE(CONTROL!$C$9, $D$9, 100%, $F$9) + CHOOSE(CONTROL!$C$27, 0.0021, 0)</f>
        <v>64.750299999999996</v>
      </c>
      <c r="H614" s="14">
        <f>64.6135 * CHOOSE(CONTROL!$C$9, $D$9, 100%, $F$9) + CHOOSE(CONTROL!$C$27, 0.0021, 0)</f>
        <v>64.615600000000001</v>
      </c>
      <c r="I614" s="14">
        <f>64.6135 * CHOOSE(CONTROL!$C$9, $D$9, 100%, $F$9) + CHOOSE(CONTROL!$C$27, 0.0021, 0)</f>
        <v>64.615600000000001</v>
      </c>
      <c r="J614" s="14">
        <f>64.6135 * CHOOSE(CONTROL!$C$9, $D$9, 100%, $F$9) + CHOOSE(CONTROL!$C$27, 0.0021, 0)</f>
        <v>64.615600000000001</v>
      </c>
      <c r="K614" s="14">
        <f>64.6135 * CHOOSE(CONTROL!$C$9, $D$9, 100%, $F$9) + CHOOSE(CONTROL!$C$27, 0.0021, 0)</f>
        <v>64.615600000000001</v>
      </c>
      <c r="L614" s="14"/>
    </row>
    <row r="615" spans="1:12" ht="15.75" x14ac:dyDescent="0.25">
      <c r="A615" s="32">
        <v>59656</v>
      </c>
      <c r="B615" s="14">
        <f>69.12 * CHOOSE(CONTROL!$C$9, $D$9, 100%, $F$9) + CHOOSE(CONTROL!$C$27, 0.0021, 0)</f>
        <v>69.122100000000003</v>
      </c>
      <c r="C615" s="14">
        <f>68.6878 * CHOOSE(CONTROL!$C$9, $D$9, 100%, $F$9) + CHOOSE(CONTROL!$C$27, 0.0021, 0)</f>
        <v>68.689899999999994</v>
      </c>
      <c r="D615" s="14">
        <f>68.6878 * CHOOSE(CONTROL!$C$9, $D$9, 100%, $F$9) + CHOOSE(CONTROL!$C$27, 0.0021, 0)</f>
        <v>68.689899999999994</v>
      </c>
      <c r="E615" s="14">
        <f>68.5511 * CHOOSE(CONTROL!$C$9, $D$9, 100%, $F$9) + CHOOSE(CONTROL!$C$27, 0.0021, 0)</f>
        <v>68.553200000000004</v>
      </c>
      <c r="F615" s="14">
        <f>68.5511 * CHOOSE(CONTROL!$C$9, $D$9, 100%, $F$9) + CHOOSE(CONTROL!$C$27, 0.0021, 0)</f>
        <v>68.553200000000004</v>
      </c>
      <c r="G615" s="14">
        <f>68.8225 * CHOOSE(CONTROL!$C$9, $D$9, 100%, $F$9) + CHOOSE(CONTROL!$C$27, 0.0021, 0)</f>
        <v>68.824600000000004</v>
      </c>
      <c r="H615" s="14">
        <f>68.6878 * CHOOSE(CONTROL!$C$9, $D$9, 100%, $F$9) + CHOOSE(CONTROL!$C$27, 0.0021, 0)</f>
        <v>68.689899999999994</v>
      </c>
      <c r="I615" s="14">
        <f>68.6878 * CHOOSE(CONTROL!$C$9, $D$9, 100%, $F$9) + CHOOSE(CONTROL!$C$27, 0.0021, 0)</f>
        <v>68.689899999999994</v>
      </c>
      <c r="J615" s="14">
        <f>68.6878 * CHOOSE(CONTROL!$C$9, $D$9, 100%, $F$9) + CHOOSE(CONTROL!$C$27, 0.0021, 0)</f>
        <v>68.689899999999994</v>
      </c>
      <c r="K615" s="14">
        <f>68.6878 * CHOOSE(CONTROL!$C$9, $D$9, 100%, $F$9) + CHOOSE(CONTROL!$C$27, 0.0021, 0)</f>
        <v>68.689899999999994</v>
      </c>
      <c r="L615" s="14"/>
    </row>
    <row r="616" spans="1:12" ht="15.75" x14ac:dyDescent="0.25">
      <c r="A616" s="32">
        <v>59687</v>
      </c>
      <c r="B616" s="14">
        <f>71.3626 * CHOOSE(CONTROL!$C$9, $D$9, 100%, $F$9) + CHOOSE(CONTROL!$C$27, 0.0021, 0)</f>
        <v>71.364699999999999</v>
      </c>
      <c r="C616" s="14">
        <f>70.9304 * CHOOSE(CONTROL!$C$9, $D$9, 100%, $F$9) + CHOOSE(CONTROL!$C$27, 0.0021, 0)</f>
        <v>70.932500000000005</v>
      </c>
      <c r="D616" s="14">
        <f>70.9304 * CHOOSE(CONTROL!$C$9, $D$9, 100%, $F$9) + CHOOSE(CONTROL!$C$27, 0.0021, 0)</f>
        <v>70.932500000000005</v>
      </c>
      <c r="E616" s="14">
        <f>70.7937 * CHOOSE(CONTROL!$C$9, $D$9, 100%, $F$9) + CHOOSE(CONTROL!$C$27, 0.0021, 0)</f>
        <v>70.7958</v>
      </c>
      <c r="F616" s="14">
        <f>70.7937 * CHOOSE(CONTROL!$C$9, $D$9, 100%, $F$9) + CHOOSE(CONTROL!$C$27, 0.0021, 0)</f>
        <v>70.7958</v>
      </c>
      <c r="G616" s="14">
        <f>71.0651 * CHOOSE(CONTROL!$C$9, $D$9, 100%, $F$9) + CHOOSE(CONTROL!$C$27, 0.0021, 0)</f>
        <v>71.0672</v>
      </c>
      <c r="H616" s="14">
        <f>70.9304 * CHOOSE(CONTROL!$C$9, $D$9, 100%, $F$9) + CHOOSE(CONTROL!$C$27, 0.0021, 0)</f>
        <v>70.932500000000005</v>
      </c>
      <c r="I616" s="14">
        <f>70.9304 * CHOOSE(CONTROL!$C$9, $D$9, 100%, $F$9) + CHOOSE(CONTROL!$C$27, 0.0021, 0)</f>
        <v>70.932500000000005</v>
      </c>
      <c r="J616" s="14">
        <f>70.9304 * CHOOSE(CONTROL!$C$9, $D$9, 100%, $F$9) + CHOOSE(CONTROL!$C$27, 0.0021, 0)</f>
        <v>70.932500000000005</v>
      </c>
      <c r="K616" s="14">
        <f>70.9304 * CHOOSE(CONTROL!$C$9, $D$9, 100%, $F$9) + CHOOSE(CONTROL!$C$27, 0.0021, 0)</f>
        <v>70.932500000000005</v>
      </c>
      <c r="L616" s="14"/>
    </row>
    <row r="617" spans="1:12" ht="15.75" x14ac:dyDescent="0.25">
      <c r="A617" s="32">
        <v>59717</v>
      </c>
      <c r="B617" s="14">
        <f>72.3579 * CHOOSE(CONTROL!$C$9, $D$9, 100%, $F$9) + CHOOSE(CONTROL!$C$27, 0.0021, 0)</f>
        <v>72.36</v>
      </c>
      <c r="C617" s="14">
        <f>71.9256 * CHOOSE(CONTROL!$C$9, $D$9, 100%, $F$9) + CHOOSE(CONTROL!$C$27, 0.0021, 0)</f>
        <v>71.927700000000002</v>
      </c>
      <c r="D617" s="14">
        <f>71.9256 * CHOOSE(CONTROL!$C$9, $D$9, 100%, $F$9) + CHOOSE(CONTROL!$C$27, 0.0021, 0)</f>
        <v>71.927700000000002</v>
      </c>
      <c r="E617" s="14">
        <f>71.789 * CHOOSE(CONTROL!$C$9, $D$9, 100%, $F$9) + CHOOSE(CONTROL!$C$27, 0.0021, 0)</f>
        <v>71.7911</v>
      </c>
      <c r="F617" s="14">
        <f>71.789 * CHOOSE(CONTROL!$C$9, $D$9, 100%, $F$9) + CHOOSE(CONTROL!$C$27, 0.0021, 0)</f>
        <v>71.7911</v>
      </c>
      <c r="G617" s="14">
        <f>72.0603 * CHOOSE(CONTROL!$C$9, $D$9, 100%, $F$9) + CHOOSE(CONTROL!$C$27, 0.0021, 0)</f>
        <v>72.062399999999997</v>
      </c>
      <c r="H617" s="14">
        <f>71.9256 * CHOOSE(CONTROL!$C$9, $D$9, 100%, $F$9) + CHOOSE(CONTROL!$C$27, 0.0021, 0)</f>
        <v>71.927700000000002</v>
      </c>
      <c r="I617" s="14">
        <f>71.9256 * CHOOSE(CONTROL!$C$9, $D$9, 100%, $F$9) + CHOOSE(CONTROL!$C$27, 0.0021, 0)</f>
        <v>71.927700000000002</v>
      </c>
      <c r="J617" s="14">
        <f>71.9256 * CHOOSE(CONTROL!$C$9, $D$9, 100%, $F$9) + CHOOSE(CONTROL!$C$27, 0.0021, 0)</f>
        <v>71.927700000000002</v>
      </c>
      <c r="K617" s="14">
        <f>71.9256 * CHOOSE(CONTROL!$C$9, $D$9, 100%, $F$9) + CHOOSE(CONTROL!$C$27, 0.0021, 0)</f>
        <v>71.927700000000002</v>
      </c>
      <c r="L617" s="14"/>
    </row>
    <row r="618" spans="1:12" ht="15.75" x14ac:dyDescent="0.25">
      <c r="A618" s="32">
        <v>59748</v>
      </c>
      <c r="B618" s="14">
        <f>72.0302 * CHOOSE(CONTROL!$C$9, $D$9, 100%, $F$9) + CHOOSE(CONTROL!$C$27, 0.0021, 0)</f>
        <v>72.032299999999992</v>
      </c>
      <c r="C618" s="14">
        <f>71.5979 * CHOOSE(CONTROL!$C$9, $D$9, 100%, $F$9) + CHOOSE(CONTROL!$C$27, 0.0021, 0)</f>
        <v>71.599999999999994</v>
      </c>
      <c r="D618" s="14">
        <f>71.5979 * CHOOSE(CONTROL!$C$9, $D$9, 100%, $F$9) + CHOOSE(CONTROL!$C$27, 0.0021, 0)</f>
        <v>71.599999999999994</v>
      </c>
      <c r="E618" s="14">
        <f>71.4613 * CHOOSE(CONTROL!$C$9, $D$9, 100%, $F$9) + CHOOSE(CONTROL!$C$27, 0.0021, 0)</f>
        <v>71.463399999999993</v>
      </c>
      <c r="F618" s="14">
        <f>71.4613 * CHOOSE(CONTROL!$C$9, $D$9, 100%, $F$9) + CHOOSE(CONTROL!$C$27, 0.0021, 0)</f>
        <v>71.463399999999993</v>
      </c>
      <c r="G618" s="14">
        <f>71.7327 * CHOOSE(CONTROL!$C$9, $D$9, 100%, $F$9) + CHOOSE(CONTROL!$C$27, 0.0021, 0)</f>
        <v>71.734799999999993</v>
      </c>
      <c r="H618" s="14">
        <f>71.5979 * CHOOSE(CONTROL!$C$9, $D$9, 100%, $F$9) + CHOOSE(CONTROL!$C$27, 0.0021, 0)</f>
        <v>71.599999999999994</v>
      </c>
      <c r="I618" s="14">
        <f>71.5979 * CHOOSE(CONTROL!$C$9, $D$9, 100%, $F$9) + CHOOSE(CONTROL!$C$27, 0.0021, 0)</f>
        <v>71.599999999999994</v>
      </c>
      <c r="J618" s="14">
        <f>71.5979 * CHOOSE(CONTROL!$C$9, $D$9, 100%, $F$9) + CHOOSE(CONTROL!$C$27, 0.0021, 0)</f>
        <v>71.599999999999994</v>
      </c>
      <c r="K618" s="14">
        <f>71.5979 * CHOOSE(CONTROL!$C$9, $D$9, 100%, $F$9) + CHOOSE(CONTROL!$C$27, 0.0021, 0)</f>
        <v>71.599999999999994</v>
      </c>
      <c r="L618" s="14"/>
    </row>
    <row r="619" spans="1:12" ht="15.75" x14ac:dyDescent="0.25">
      <c r="A619" s="32">
        <v>59779</v>
      </c>
      <c r="B619" s="14">
        <f>70.4067 * CHOOSE(CONTROL!$C$9, $D$9, 100%, $F$9) + CHOOSE(CONTROL!$C$27, 0.0021, 0)</f>
        <v>70.408799999999999</v>
      </c>
      <c r="C619" s="14">
        <f>69.9745 * CHOOSE(CONTROL!$C$9, $D$9, 100%, $F$9) + CHOOSE(CONTROL!$C$27, 0.0021, 0)</f>
        <v>69.976600000000005</v>
      </c>
      <c r="D619" s="14">
        <f>69.9745 * CHOOSE(CONTROL!$C$9, $D$9, 100%, $F$9) + CHOOSE(CONTROL!$C$27, 0.0021, 0)</f>
        <v>69.976600000000005</v>
      </c>
      <c r="E619" s="14">
        <f>69.8378 * CHOOSE(CONTROL!$C$9, $D$9, 100%, $F$9) + CHOOSE(CONTROL!$C$27, 0.0021, 0)</f>
        <v>69.8399</v>
      </c>
      <c r="F619" s="14">
        <f>69.8378 * CHOOSE(CONTROL!$C$9, $D$9, 100%, $F$9) + CHOOSE(CONTROL!$C$27, 0.0021, 0)</f>
        <v>69.8399</v>
      </c>
      <c r="G619" s="14">
        <f>70.1092 * CHOOSE(CONTROL!$C$9, $D$9, 100%, $F$9) + CHOOSE(CONTROL!$C$27, 0.0021, 0)</f>
        <v>70.1113</v>
      </c>
      <c r="H619" s="14">
        <f>69.9745 * CHOOSE(CONTROL!$C$9, $D$9, 100%, $F$9) + CHOOSE(CONTROL!$C$27, 0.0021, 0)</f>
        <v>69.976600000000005</v>
      </c>
      <c r="I619" s="14">
        <f>69.9745 * CHOOSE(CONTROL!$C$9, $D$9, 100%, $F$9) + CHOOSE(CONTROL!$C$27, 0.0021, 0)</f>
        <v>69.976600000000005</v>
      </c>
      <c r="J619" s="14">
        <f>69.9745 * CHOOSE(CONTROL!$C$9, $D$9, 100%, $F$9) + CHOOSE(CONTROL!$C$27, 0.0021, 0)</f>
        <v>69.976600000000005</v>
      </c>
      <c r="K619" s="14">
        <f>69.9745 * CHOOSE(CONTROL!$C$9, $D$9, 100%, $F$9) + CHOOSE(CONTROL!$C$27, 0.0021, 0)</f>
        <v>69.976600000000005</v>
      </c>
      <c r="L619" s="14"/>
    </row>
    <row r="620" spans="1:12" ht="15.75" x14ac:dyDescent="0.25">
      <c r="A620" s="32">
        <v>59809</v>
      </c>
      <c r="B620" s="14">
        <f>68.1427 * CHOOSE(CONTROL!$C$9, $D$9, 100%, $F$9) + CHOOSE(CONTROL!$C$27, 0.0021, 0)</f>
        <v>68.144800000000004</v>
      </c>
      <c r="C620" s="14">
        <f>67.7105 * CHOOSE(CONTROL!$C$9, $D$9, 100%, $F$9) + CHOOSE(CONTROL!$C$27, 0.0021, 0)</f>
        <v>67.712599999999995</v>
      </c>
      <c r="D620" s="14">
        <f>67.7105 * CHOOSE(CONTROL!$C$9, $D$9, 100%, $F$9) + CHOOSE(CONTROL!$C$27, 0.0021, 0)</f>
        <v>67.712599999999995</v>
      </c>
      <c r="E620" s="14">
        <f>67.5738 * CHOOSE(CONTROL!$C$9, $D$9, 100%, $F$9) + CHOOSE(CONTROL!$C$27, 0.0021, 0)</f>
        <v>67.575900000000004</v>
      </c>
      <c r="F620" s="14">
        <f>67.5738 * CHOOSE(CONTROL!$C$9, $D$9, 100%, $F$9) + CHOOSE(CONTROL!$C$27, 0.0021, 0)</f>
        <v>67.575900000000004</v>
      </c>
      <c r="G620" s="14">
        <f>67.8452 * CHOOSE(CONTROL!$C$9, $D$9, 100%, $F$9) + CHOOSE(CONTROL!$C$27, 0.0021, 0)</f>
        <v>67.847300000000004</v>
      </c>
      <c r="H620" s="14">
        <f>67.7105 * CHOOSE(CONTROL!$C$9, $D$9, 100%, $F$9) + CHOOSE(CONTROL!$C$27, 0.0021, 0)</f>
        <v>67.712599999999995</v>
      </c>
      <c r="I620" s="14">
        <f>67.7105 * CHOOSE(CONTROL!$C$9, $D$9, 100%, $F$9) + CHOOSE(CONTROL!$C$27, 0.0021, 0)</f>
        <v>67.712599999999995</v>
      </c>
      <c r="J620" s="14">
        <f>67.7105 * CHOOSE(CONTROL!$C$9, $D$9, 100%, $F$9) + CHOOSE(CONTROL!$C$27, 0.0021, 0)</f>
        <v>67.712599999999995</v>
      </c>
      <c r="K620" s="14">
        <f>67.7105 * CHOOSE(CONTROL!$C$9, $D$9, 100%, $F$9) + CHOOSE(CONTROL!$C$27, 0.0021, 0)</f>
        <v>67.712599999999995</v>
      </c>
      <c r="L620" s="14"/>
    </row>
    <row r="621" spans="1:12" ht="15.75" x14ac:dyDescent="0.25">
      <c r="A621" s="32">
        <v>59840</v>
      </c>
      <c r="B621" s="14">
        <f>65.8655 * CHOOSE(CONTROL!$C$9, $D$9, 100%, $F$9) + CHOOSE(CONTROL!$C$27, 0.0021, 0)</f>
        <v>65.867599999999996</v>
      </c>
      <c r="C621" s="14">
        <f>65.4333 * CHOOSE(CONTROL!$C$9, $D$9, 100%, $F$9) + CHOOSE(CONTROL!$C$27, 0.0021, 0)</f>
        <v>65.435400000000001</v>
      </c>
      <c r="D621" s="14">
        <f>65.4333 * CHOOSE(CONTROL!$C$9, $D$9, 100%, $F$9) + CHOOSE(CONTROL!$C$27, 0.0021, 0)</f>
        <v>65.435400000000001</v>
      </c>
      <c r="E621" s="14">
        <f>65.2966 * CHOOSE(CONTROL!$C$9, $D$9, 100%, $F$9) + CHOOSE(CONTROL!$C$27, 0.0021, 0)</f>
        <v>65.298699999999997</v>
      </c>
      <c r="F621" s="14">
        <f>65.2966 * CHOOSE(CONTROL!$C$9, $D$9, 100%, $F$9) + CHOOSE(CONTROL!$C$27, 0.0021, 0)</f>
        <v>65.298699999999997</v>
      </c>
      <c r="G621" s="14">
        <f>65.568 * CHOOSE(CONTROL!$C$9, $D$9, 100%, $F$9) + CHOOSE(CONTROL!$C$27, 0.0021, 0)</f>
        <v>65.570099999999996</v>
      </c>
      <c r="H621" s="14">
        <f>65.4333 * CHOOSE(CONTROL!$C$9, $D$9, 100%, $F$9) + CHOOSE(CONTROL!$C$27, 0.0021, 0)</f>
        <v>65.435400000000001</v>
      </c>
      <c r="I621" s="14">
        <f>65.4333 * CHOOSE(CONTROL!$C$9, $D$9, 100%, $F$9) + CHOOSE(CONTROL!$C$27, 0.0021, 0)</f>
        <v>65.435400000000001</v>
      </c>
      <c r="J621" s="14">
        <f>65.4333 * CHOOSE(CONTROL!$C$9, $D$9, 100%, $F$9) + CHOOSE(CONTROL!$C$27, 0.0021, 0)</f>
        <v>65.435400000000001</v>
      </c>
      <c r="K621" s="14">
        <f>65.4333 * CHOOSE(CONTROL!$C$9, $D$9, 100%, $F$9) + CHOOSE(CONTROL!$C$27, 0.0021, 0)</f>
        <v>65.435400000000001</v>
      </c>
      <c r="L621" s="14"/>
    </row>
    <row r="622" spans="1:12" ht="15.75" x14ac:dyDescent="0.25">
      <c r="A622" s="32">
        <v>59870</v>
      </c>
      <c r="B622" s="14">
        <f>65.4126 * CHOOSE(CONTROL!$C$9, $D$9, 100%, $F$9) + CHOOSE(CONTROL!$C$27, 0.0021, 0)</f>
        <v>65.414699999999996</v>
      </c>
      <c r="C622" s="14">
        <f>64.9803 * CHOOSE(CONTROL!$C$9, $D$9, 100%, $F$9) + CHOOSE(CONTROL!$C$27, 0.0021, 0)</f>
        <v>64.982399999999998</v>
      </c>
      <c r="D622" s="14">
        <f>64.9803 * CHOOSE(CONTROL!$C$9, $D$9, 100%, $F$9) + CHOOSE(CONTROL!$C$27, 0.0021, 0)</f>
        <v>64.982399999999998</v>
      </c>
      <c r="E622" s="14">
        <f>64.8437 * CHOOSE(CONTROL!$C$9, $D$9, 100%, $F$9) + CHOOSE(CONTROL!$C$27, 0.0021, 0)</f>
        <v>64.845799999999997</v>
      </c>
      <c r="F622" s="14">
        <f>64.8437 * CHOOSE(CONTROL!$C$9, $D$9, 100%, $F$9) + CHOOSE(CONTROL!$C$27, 0.0021, 0)</f>
        <v>64.845799999999997</v>
      </c>
      <c r="G622" s="14">
        <f>65.115 * CHOOSE(CONTROL!$C$9, $D$9, 100%, $F$9) + CHOOSE(CONTROL!$C$27, 0.0021, 0)</f>
        <v>65.117099999999994</v>
      </c>
      <c r="H622" s="14">
        <f>64.9803 * CHOOSE(CONTROL!$C$9, $D$9, 100%, $F$9) + CHOOSE(CONTROL!$C$27, 0.0021, 0)</f>
        <v>64.982399999999998</v>
      </c>
      <c r="I622" s="14">
        <f>64.9803 * CHOOSE(CONTROL!$C$9, $D$9, 100%, $F$9) + CHOOSE(CONTROL!$C$27, 0.0021, 0)</f>
        <v>64.982399999999998</v>
      </c>
      <c r="J622" s="14">
        <f>64.9803 * CHOOSE(CONTROL!$C$9, $D$9, 100%, $F$9) + CHOOSE(CONTROL!$C$27, 0.0021, 0)</f>
        <v>64.982399999999998</v>
      </c>
      <c r="K622" s="14">
        <f>64.9803 * CHOOSE(CONTROL!$C$9, $D$9, 100%, $F$9) + CHOOSE(CONTROL!$C$27, 0.0021, 0)</f>
        <v>64.982399999999998</v>
      </c>
      <c r="L622" s="14"/>
    </row>
    <row r="623" spans="1:12" ht="15.75" x14ac:dyDescent="0.25">
      <c r="A623" s="32">
        <v>59901</v>
      </c>
      <c r="B623" s="14">
        <f>63.5395 * CHOOSE(CONTROL!$C$9, $D$9, 100%, $F$9) + CHOOSE(CONTROL!$C$27, 0.0021, 0)</f>
        <v>63.541599999999995</v>
      </c>
      <c r="C623" s="14">
        <f>63.1072 * CHOOSE(CONTROL!$C$9, $D$9, 100%, $F$9) + CHOOSE(CONTROL!$C$27, 0.0021, 0)</f>
        <v>63.109299999999998</v>
      </c>
      <c r="D623" s="14">
        <f>63.1072 * CHOOSE(CONTROL!$C$9, $D$9, 100%, $F$9) + CHOOSE(CONTROL!$C$27, 0.0021, 0)</f>
        <v>63.109299999999998</v>
      </c>
      <c r="E623" s="14">
        <f>62.9706 * CHOOSE(CONTROL!$C$9, $D$9, 100%, $F$9) + CHOOSE(CONTROL!$C$27, 0.0021, 0)</f>
        <v>62.972699999999996</v>
      </c>
      <c r="F623" s="14">
        <f>62.9706 * CHOOSE(CONTROL!$C$9, $D$9, 100%, $F$9) + CHOOSE(CONTROL!$C$27, 0.0021, 0)</f>
        <v>62.972699999999996</v>
      </c>
      <c r="G623" s="14">
        <f>63.2419 * CHOOSE(CONTROL!$C$9, $D$9, 100%, $F$9) + CHOOSE(CONTROL!$C$27, 0.0021, 0)</f>
        <v>63.244</v>
      </c>
      <c r="H623" s="14">
        <f>63.1072 * CHOOSE(CONTROL!$C$9, $D$9, 100%, $F$9) + CHOOSE(CONTROL!$C$27, 0.0021, 0)</f>
        <v>63.109299999999998</v>
      </c>
      <c r="I623" s="14">
        <f>63.1072 * CHOOSE(CONTROL!$C$9, $D$9, 100%, $F$9) + CHOOSE(CONTROL!$C$27, 0.0021, 0)</f>
        <v>63.109299999999998</v>
      </c>
      <c r="J623" s="14">
        <f>63.1072 * CHOOSE(CONTROL!$C$9, $D$9, 100%, $F$9) + CHOOSE(CONTROL!$C$27, 0.0021, 0)</f>
        <v>63.109299999999998</v>
      </c>
      <c r="K623" s="14">
        <f>63.1072 * CHOOSE(CONTROL!$C$9, $D$9, 100%, $F$9) + CHOOSE(CONTROL!$C$27, 0.0021, 0)</f>
        <v>63.109299999999998</v>
      </c>
      <c r="L623" s="14"/>
    </row>
    <row r="624" spans="1:12" ht="15.75" x14ac:dyDescent="0.25">
      <c r="A624" s="32">
        <v>59932</v>
      </c>
      <c r="B624" s="14">
        <f>63.1748 * CHOOSE(CONTROL!$C$9, $D$9, 100%, $F$9) + CHOOSE(CONTROL!$C$27, 0.0021, 0)</f>
        <v>63.176899999999996</v>
      </c>
      <c r="C624" s="14">
        <f>62.7425 * CHOOSE(CONTROL!$C$9, $D$9, 100%, $F$9) + CHOOSE(CONTROL!$C$27, 0.0021, 0)</f>
        <v>62.744599999999998</v>
      </c>
      <c r="D624" s="14">
        <f>62.7425 * CHOOSE(CONTROL!$C$9, $D$9, 100%, $F$9) + CHOOSE(CONTROL!$C$27, 0.0021, 0)</f>
        <v>62.744599999999998</v>
      </c>
      <c r="E624" s="14">
        <f>62.6059 * CHOOSE(CONTROL!$C$9, $D$9, 100%, $F$9) + CHOOSE(CONTROL!$C$27, 0.0021, 0)</f>
        <v>62.607999999999997</v>
      </c>
      <c r="F624" s="14">
        <f>62.6059 * CHOOSE(CONTROL!$C$9, $D$9, 100%, $F$9) + CHOOSE(CONTROL!$C$27, 0.0021, 0)</f>
        <v>62.607999999999997</v>
      </c>
      <c r="G624" s="14">
        <f>62.8773 * CHOOSE(CONTROL!$C$9, $D$9, 100%, $F$9) + CHOOSE(CONTROL!$C$27, 0.0021, 0)</f>
        <v>62.879399999999997</v>
      </c>
      <c r="H624" s="14">
        <f>62.7425 * CHOOSE(CONTROL!$C$9, $D$9, 100%, $F$9) + CHOOSE(CONTROL!$C$27, 0.0021, 0)</f>
        <v>62.744599999999998</v>
      </c>
      <c r="I624" s="14">
        <f>62.7425 * CHOOSE(CONTROL!$C$9, $D$9, 100%, $F$9) + CHOOSE(CONTROL!$C$27, 0.0021, 0)</f>
        <v>62.744599999999998</v>
      </c>
      <c r="J624" s="14">
        <f>62.7425 * CHOOSE(CONTROL!$C$9, $D$9, 100%, $F$9) + CHOOSE(CONTROL!$C$27, 0.0021, 0)</f>
        <v>62.744599999999998</v>
      </c>
      <c r="K624" s="14">
        <f>62.7425 * CHOOSE(CONTROL!$C$9, $D$9, 100%, $F$9) + CHOOSE(CONTROL!$C$27, 0.0021, 0)</f>
        <v>62.744599999999998</v>
      </c>
      <c r="L624" s="14"/>
    </row>
    <row r="625" spans="1:12" ht="15.75" x14ac:dyDescent="0.25">
      <c r="A625" s="32">
        <v>59961</v>
      </c>
      <c r="B625" s="14">
        <f>63.0056 * CHOOSE(CONTROL!$C$9, $D$9, 100%, $F$9) + CHOOSE(CONTROL!$C$27, 0.0021, 0)</f>
        <v>63.0077</v>
      </c>
      <c r="C625" s="14">
        <f>62.5733 * CHOOSE(CONTROL!$C$9, $D$9, 100%, $F$9) + CHOOSE(CONTROL!$C$27, 0.0021, 0)</f>
        <v>62.575400000000002</v>
      </c>
      <c r="D625" s="14">
        <f>62.5733 * CHOOSE(CONTROL!$C$9, $D$9, 100%, $F$9) + CHOOSE(CONTROL!$C$27, 0.0021, 0)</f>
        <v>62.575400000000002</v>
      </c>
      <c r="E625" s="14">
        <f>62.4367 * CHOOSE(CONTROL!$C$9, $D$9, 100%, $F$9) + CHOOSE(CONTROL!$C$27, 0.0021, 0)</f>
        <v>62.438800000000001</v>
      </c>
      <c r="F625" s="14">
        <f>62.4367 * CHOOSE(CONTROL!$C$9, $D$9, 100%, $F$9) + CHOOSE(CONTROL!$C$27, 0.0021, 0)</f>
        <v>62.438800000000001</v>
      </c>
      <c r="G625" s="14">
        <f>62.708 * CHOOSE(CONTROL!$C$9, $D$9, 100%, $F$9) + CHOOSE(CONTROL!$C$27, 0.0021, 0)</f>
        <v>62.710099999999997</v>
      </c>
      <c r="H625" s="14">
        <f>62.5733 * CHOOSE(CONTROL!$C$9, $D$9, 100%, $F$9) + CHOOSE(CONTROL!$C$27, 0.0021, 0)</f>
        <v>62.575400000000002</v>
      </c>
      <c r="I625" s="14">
        <f>62.5733 * CHOOSE(CONTROL!$C$9, $D$9, 100%, $F$9) + CHOOSE(CONTROL!$C$27, 0.0021, 0)</f>
        <v>62.575400000000002</v>
      </c>
      <c r="J625" s="14">
        <f>62.5733 * CHOOSE(CONTROL!$C$9, $D$9, 100%, $F$9) + CHOOSE(CONTROL!$C$27, 0.0021, 0)</f>
        <v>62.575400000000002</v>
      </c>
      <c r="K625" s="14">
        <f>62.5733 * CHOOSE(CONTROL!$C$9, $D$9, 100%, $F$9) + CHOOSE(CONTROL!$C$27, 0.0021, 0)</f>
        <v>62.575400000000002</v>
      </c>
      <c r="L625" s="14"/>
    </row>
    <row r="626" spans="1:12" ht="15.75" x14ac:dyDescent="0.25">
      <c r="A626" s="32">
        <v>59992</v>
      </c>
      <c r="B626" s="14">
        <f>66.2055 * CHOOSE(CONTROL!$C$9, $D$9, 100%, $F$9) + CHOOSE(CONTROL!$C$27, 0.0021, 0)</f>
        <v>66.207599999999999</v>
      </c>
      <c r="C626" s="14">
        <f>65.7733 * CHOOSE(CONTROL!$C$9, $D$9, 100%, $F$9) + CHOOSE(CONTROL!$C$27, 0.0021, 0)</f>
        <v>65.775400000000005</v>
      </c>
      <c r="D626" s="14">
        <f>65.7733 * CHOOSE(CONTROL!$C$9, $D$9, 100%, $F$9) + CHOOSE(CONTROL!$C$27, 0.0021, 0)</f>
        <v>65.775400000000005</v>
      </c>
      <c r="E626" s="14">
        <f>65.6366 * CHOOSE(CONTROL!$C$9, $D$9, 100%, $F$9) + CHOOSE(CONTROL!$C$27, 0.0021, 0)</f>
        <v>65.6387</v>
      </c>
      <c r="F626" s="14">
        <f>65.6366 * CHOOSE(CONTROL!$C$9, $D$9, 100%, $F$9) + CHOOSE(CONTROL!$C$27, 0.0021, 0)</f>
        <v>65.6387</v>
      </c>
      <c r="G626" s="14">
        <f>65.908 * CHOOSE(CONTROL!$C$9, $D$9, 100%, $F$9) + CHOOSE(CONTROL!$C$27, 0.0021, 0)</f>
        <v>65.9101</v>
      </c>
      <c r="H626" s="14">
        <f>65.7733 * CHOOSE(CONTROL!$C$9, $D$9, 100%, $F$9) + CHOOSE(CONTROL!$C$27, 0.0021, 0)</f>
        <v>65.775400000000005</v>
      </c>
      <c r="I626" s="14">
        <f>65.7733 * CHOOSE(CONTROL!$C$9, $D$9, 100%, $F$9) + CHOOSE(CONTROL!$C$27, 0.0021, 0)</f>
        <v>65.775400000000005</v>
      </c>
      <c r="J626" s="14">
        <f>65.7733 * CHOOSE(CONTROL!$C$9, $D$9, 100%, $F$9) + CHOOSE(CONTROL!$C$27, 0.0021, 0)</f>
        <v>65.775400000000005</v>
      </c>
      <c r="K626" s="14">
        <f>65.7733 * CHOOSE(CONTROL!$C$9, $D$9, 100%, $F$9) + CHOOSE(CONTROL!$C$27, 0.0021, 0)</f>
        <v>65.775400000000005</v>
      </c>
      <c r="L626" s="14"/>
    </row>
    <row r="627" spans="1:12" ht="15.75" x14ac:dyDescent="0.25">
      <c r="A627" s="32">
        <v>60022</v>
      </c>
      <c r="B627" s="14">
        <f>70.3551 * CHOOSE(CONTROL!$C$9, $D$9, 100%, $F$9) + CHOOSE(CONTROL!$C$27, 0.0021, 0)</f>
        <v>70.357199999999992</v>
      </c>
      <c r="C627" s="14">
        <f>69.9228 * CHOOSE(CONTROL!$C$9, $D$9, 100%, $F$9) + CHOOSE(CONTROL!$C$27, 0.0021, 0)</f>
        <v>69.924899999999994</v>
      </c>
      <c r="D627" s="14">
        <f>69.9228 * CHOOSE(CONTROL!$C$9, $D$9, 100%, $F$9) + CHOOSE(CONTROL!$C$27, 0.0021, 0)</f>
        <v>69.924899999999994</v>
      </c>
      <c r="E627" s="14">
        <f>69.7862 * CHOOSE(CONTROL!$C$9, $D$9, 100%, $F$9) + CHOOSE(CONTROL!$C$27, 0.0021, 0)</f>
        <v>69.788299999999992</v>
      </c>
      <c r="F627" s="14">
        <f>69.7862 * CHOOSE(CONTROL!$C$9, $D$9, 100%, $F$9) + CHOOSE(CONTROL!$C$27, 0.0021, 0)</f>
        <v>69.788299999999992</v>
      </c>
      <c r="G627" s="14">
        <f>70.0575 * CHOOSE(CONTROL!$C$9, $D$9, 100%, $F$9) + CHOOSE(CONTROL!$C$27, 0.0021, 0)</f>
        <v>70.059600000000003</v>
      </c>
      <c r="H627" s="14">
        <f>69.9228 * CHOOSE(CONTROL!$C$9, $D$9, 100%, $F$9) + CHOOSE(CONTROL!$C$27, 0.0021, 0)</f>
        <v>69.924899999999994</v>
      </c>
      <c r="I627" s="14">
        <f>69.9228 * CHOOSE(CONTROL!$C$9, $D$9, 100%, $F$9) + CHOOSE(CONTROL!$C$27, 0.0021, 0)</f>
        <v>69.924899999999994</v>
      </c>
      <c r="J627" s="14">
        <f>69.9228 * CHOOSE(CONTROL!$C$9, $D$9, 100%, $F$9) + CHOOSE(CONTROL!$C$27, 0.0021, 0)</f>
        <v>69.924899999999994</v>
      </c>
      <c r="K627" s="14">
        <f>69.9228 * CHOOSE(CONTROL!$C$9, $D$9, 100%, $F$9) + CHOOSE(CONTROL!$C$27, 0.0021, 0)</f>
        <v>69.924899999999994</v>
      </c>
      <c r="L627" s="14"/>
    </row>
    <row r="628" spans="1:12" ht="15.75" x14ac:dyDescent="0.25">
      <c r="A628" s="32">
        <v>60053</v>
      </c>
      <c r="B628" s="14">
        <f>72.6391 * CHOOSE(CONTROL!$C$9, $D$9, 100%, $F$9) + CHOOSE(CONTROL!$C$27, 0.0021, 0)</f>
        <v>72.641199999999998</v>
      </c>
      <c r="C628" s="14">
        <f>72.2069 * CHOOSE(CONTROL!$C$9, $D$9, 100%, $F$9) + CHOOSE(CONTROL!$C$27, 0.0021, 0)</f>
        <v>72.209000000000003</v>
      </c>
      <c r="D628" s="14">
        <f>72.2069 * CHOOSE(CONTROL!$C$9, $D$9, 100%, $F$9) + CHOOSE(CONTROL!$C$27, 0.0021, 0)</f>
        <v>72.209000000000003</v>
      </c>
      <c r="E628" s="14">
        <f>72.0702 * CHOOSE(CONTROL!$C$9, $D$9, 100%, $F$9) + CHOOSE(CONTROL!$C$27, 0.0021, 0)</f>
        <v>72.072299999999998</v>
      </c>
      <c r="F628" s="14">
        <f>72.0702 * CHOOSE(CONTROL!$C$9, $D$9, 100%, $F$9) + CHOOSE(CONTROL!$C$27, 0.0021, 0)</f>
        <v>72.072299999999998</v>
      </c>
      <c r="G628" s="14">
        <f>72.3416 * CHOOSE(CONTROL!$C$9, $D$9, 100%, $F$9) + CHOOSE(CONTROL!$C$27, 0.0021, 0)</f>
        <v>72.343699999999998</v>
      </c>
      <c r="H628" s="14">
        <f>72.2069 * CHOOSE(CONTROL!$C$9, $D$9, 100%, $F$9) + CHOOSE(CONTROL!$C$27, 0.0021, 0)</f>
        <v>72.209000000000003</v>
      </c>
      <c r="I628" s="14">
        <f>72.2069 * CHOOSE(CONTROL!$C$9, $D$9, 100%, $F$9) + CHOOSE(CONTROL!$C$27, 0.0021, 0)</f>
        <v>72.209000000000003</v>
      </c>
      <c r="J628" s="14">
        <f>72.2069 * CHOOSE(CONTROL!$C$9, $D$9, 100%, $F$9) + CHOOSE(CONTROL!$C$27, 0.0021, 0)</f>
        <v>72.209000000000003</v>
      </c>
      <c r="K628" s="14">
        <f>72.2069 * CHOOSE(CONTROL!$C$9, $D$9, 100%, $F$9) + CHOOSE(CONTROL!$C$27, 0.0021, 0)</f>
        <v>72.209000000000003</v>
      </c>
      <c r="L628" s="14"/>
    </row>
    <row r="629" spans="1:12" ht="15.75" x14ac:dyDescent="0.25">
      <c r="A629" s="32">
        <v>60083</v>
      </c>
      <c r="B629" s="14">
        <f>73.6527 * CHOOSE(CONTROL!$C$9, $D$9, 100%, $F$9) + CHOOSE(CONTROL!$C$27, 0.0021, 0)</f>
        <v>73.654799999999994</v>
      </c>
      <c r="C629" s="14">
        <f>73.2205 * CHOOSE(CONTROL!$C$9, $D$9, 100%, $F$9) + CHOOSE(CONTROL!$C$27, 0.0021, 0)</f>
        <v>73.2226</v>
      </c>
      <c r="D629" s="14">
        <f>73.2205 * CHOOSE(CONTROL!$C$9, $D$9, 100%, $F$9) + CHOOSE(CONTROL!$C$27, 0.0021, 0)</f>
        <v>73.2226</v>
      </c>
      <c r="E629" s="14">
        <f>73.0838 * CHOOSE(CONTROL!$C$9, $D$9, 100%, $F$9) + CHOOSE(CONTROL!$C$27, 0.0021, 0)</f>
        <v>73.085899999999995</v>
      </c>
      <c r="F629" s="14">
        <f>73.0838 * CHOOSE(CONTROL!$C$9, $D$9, 100%, $F$9) + CHOOSE(CONTROL!$C$27, 0.0021, 0)</f>
        <v>73.085899999999995</v>
      </c>
      <c r="G629" s="14">
        <f>73.3552 * CHOOSE(CONTROL!$C$9, $D$9, 100%, $F$9) + CHOOSE(CONTROL!$C$27, 0.0021, 0)</f>
        <v>73.357299999999995</v>
      </c>
      <c r="H629" s="14">
        <f>73.2205 * CHOOSE(CONTROL!$C$9, $D$9, 100%, $F$9) + CHOOSE(CONTROL!$C$27, 0.0021, 0)</f>
        <v>73.2226</v>
      </c>
      <c r="I629" s="14">
        <f>73.2205 * CHOOSE(CONTROL!$C$9, $D$9, 100%, $F$9) + CHOOSE(CONTROL!$C$27, 0.0021, 0)</f>
        <v>73.2226</v>
      </c>
      <c r="J629" s="14">
        <f>73.2205 * CHOOSE(CONTROL!$C$9, $D$9, 100%, $F$9) + CHOOSE(CONTROL!$C$27, 0.0021, 0)</f>
        <v>73.2226</v>
      </c>
      <c r="K629" s="14">
        <f>73.2205 * CHOOSE(CONTROL!$C$9, $D$9, 100%, $F$9) + CHOOSE(CONTROL!$C$27, 0.0021, 0)</f>
        <v>73.2226</v>
      </c>
      <c r="L629" s="14"/>
    </row>
    <row r="630" spans="1:12" ht="15.75" x14ac:dyDescent="0.25">
      <c r="A630" s="32">
        <v>60114</v>
      </c>
      <c r="B630" s="14">
        <f>73.319 * CHOOSE(CONTROL!$C$9, $D$9, 100%, $F$9) + CHOOSE(CONTROL!$C$27, 0.0021, 0)</f>
        <v>73.321100000000001</v>
      </c>
      <c r="C630" s="14">
        <f>72.8867 * CHOOSE(CONTROL!$C$9, $D$9, 100%, $F$9) + CHOOSE(CONTROL!$C$27, 0.0021, 0)</f>
        <v>72.888800000000003</v>
      </c>
      <c r="D630" s="14">
        <f>72.8867 * CHOOSE(CONTROL!$C$9, $D$9, 100%, $F$9) + CHOOSE(CONTROL!$C$27, 0.0021, 0)</f>
        <v>72.888800000000003</v>
      </c>
      <c r="E630" s="14">
        <f>72.7501 * CHOOSE(CONTROL!$C$9, $D$9, 100%, $F$9) + CHOOSE(CONTROL!$C$27, 0.0021, 0)</f>
        <v>72.752200000000002</v>
      </c>
      <c r="F630" s="14">
        <f>72.7501 * CHOOSE(CONTROL!$C$9, $D$9, 100%, $F$9) + CHOOSE(CONTROL!$C$27, 0.0021, 0)</f>
        <v>72.752200000000002</v>
      </c>
      <c r="G630" s="14">
        <f>73.0215 * CHOOSE(CONTROL!$C$9, $D$9, 100%, $F$9) + CHOOSE(CONTROL!$C$27, 0.0021, 0)</f>
        <v>73.023600000000002</v>
      </c>
      <c r="H630" s="14">
        <f>72.8867 * CHOOSE(CONTROL!$C$9, $D$9, 100%, $F$9) + CHOOSE(CONTROL!$C$27, 0.0021, 0)</f>
        <v>72.888800000000003</v>
      </c>
      <c r="I630" s="14">
        <f>72.8867 * CHOOSE(CONTROL!$C$9, $D$9, 100%, $F$9) + CHOOSE(CONTROL!$C$27, 0.0021, 0)</f>
        <v>72.888800000000003</v>
      </c>
      <c r="J630" s="14">
        <f>72.8867 * CHOOSE(CONTROL!$C$9, $D$9, 100%, $F$9) + CHOOSE(CONTROL!$C$27, 0.0021, 0)</f>
        <v>72.888800000000003</v>
      </c>
      <c r="K630" s="14">
        <f>72.8867 * CHOOSE(CONTROL!$C$9, $D$9, 100%, $F$9) + CHOOSE(CONTROL!$C$27, 0.0021, 0)</f>
        <v>72.888800000000003</v>
      </c>
      <c r="L630" s="14"/>
    </row>
    <row r="631" spans="1:12" ht="15.75" x14ac:dyDescent="0.25">
      <c r="A631" s="32">
        <v>60145</v>
      </c>
      <c r="B631" s="14">
        <f>71.6655 * CHOOSE(CONTROL!$C$9, $D$9, 100%, $F$9) + CHOOSE(CONTROL!$C$27, 0.0021, 0)</f>
        <v>71.667599999999993</v>
      </c>
      <c r="C631" s="14">
        <f>71.2333 * CHOOSE(CONTROL!$C$9, $D$9, 100%, $F$9) + CHOOSE(CONTROL!$C$27, 0.0021, 0)</f>
        <v>71.235399999999998</v>
      </c>
      <c r="D631" s="14">
        <f>71.2333 * CHOOSE(CONTROL!$C$9, $D$9, 100%, $F$9) + CHOOSE(CONTROL!$C$27, 0.0021, 0)</f>
        <v>71.235399999999998</v>
      </c>
      <c r="E631" s="14">
        <f>71.0966 * CHOOSE(CONTROL!$C$9, $D$9, 100%, $F$9) + CHOOSE(CONTROL!$C$27, 0.0021, 0)</f>
        <v>71.098699999999994</v>
      </c>
      <c r="F631" s="14">
        <f>71.0966 * CHOOSE(CONTROL!$C$9, $D$9, 100%, $F$9) + CHOOSE(CONTROL!$C$27, 0.0021, 0)</f>
        <v>71.098699999999994</v>
      </c>
      <c r="G631" s="14">
        <f>71.368 * CHOOSE(CONTROL!$C$9, $D$9, 100%, $F$9) + CHOOSE(CONTROL!$C$27, 0.0021, 0)</f>
        <v>71.370099999999994</v>
      </c>
      <c r="H631" s="14">
        <f>71.2333 * CHOOSE(CONTROL!$C$9, $D$9, 100%, $F$9) + CHOOSE(CONTROL!$C$27, 0.0021, 0)</f>
        <v>71.235399999999998</v>
      </c>
      <c r="I631" s="14">
        <f>71.2333 * CHOOSE(CONTROL!$C$9, $D$9, 100%, $F$9) + CHOOSE(CONTROL!$C$27, 0.0021, 0)</f>
        <v>71.235399999999998</v>
      </c>
      <c r="J631" s="14">
        <f>71.2333 * CHOOSE(CONTROL!$C$9, $D$9, 100%, $F$9) + CHOOSE(CONTROL!$C$27, 0.0021, 0)</f>
        <v>71.235399999999998</v>
      </c>
      <c r="K631" s="14">
        <f>71.2333 * CHOOSE(CONTROL!$C$9, $D$9, 100%, $F$9) + CHOOSE(CONTROL!$C$27, 0.0021, 0)</f>
        <v>71.235399999999998</v>
      </c>
      <c r="L631" s="14"/>
    </row>
    <row r="632" spans="1:12" ht="15.75" x14ac:dyDescent="0.25">
      <c r="A632" s="32">
        <v>60175</v>
      </c>
      <c r="B632" s="14">
        <f>69.3597 * CHOOSE(CONTROL!$C$9, $D$9, 100%, $F$9) + CHOOSE(CONTROL!$C$27, 0.0021, 0)</f>
        <v>69.361800000000002</v>
      </c>
      <c r="C632" s="14">
        <f>68.9274 * CHOOSE(CONTROL!$C$9, $D$9, 100%, $F$9) + CHOOSE(CONTROL!$C$27, 0.0021, 0)</f>
        <v>68.929500000000004</v>
      </c>
      <c r="D632" s="14">
        <f>68.9274 * CHOOSE(CONTROL!$C$9, $D$9, 100%, $F$9) + CHOOSE(CONTROL!$C$27, 0.0021, 0)</f>
        <v>68.929500000000004</v>
      </c>
      <c r="E632" s="14">
        <f>68.7908 * CHOOSE(CONTROL!$C$9, $D$9, 100%, $F$9) + CHOOSE(CONTROL!$C$27, 0.0021, 0)</f>
        <v>68.792900000000003</v>
      </c>
      <c r="F632" s="14">
        <f>68.7908 * CHOOSE(CONTROL!$C$9, $D$9, 100%, $F$9) + CHOOSE(CONTROL!$C$27, 0.0021, 0)</f>
        <v>68.792900000000003</v>
      </c>
      <c r="G632" s="14">
        <f>69.0621 * CHOOSE(CONTROL!$C$9, $D$9, 100%, $F$9) + CHOOSE(CONTROL!$C$27, 0.0021, 0)</f>
        <v>69.0642</v>
      </c>
      <c r="H632" s="14">
        <f>68.9274 * CHOOSE(CONTROL!$C$9, $D$9, 100%, $F$9) + CHOOSE(CONTROL!$C$27, 0.0021, 0)</f>
        <v>68.929500000000004</v>
      </c>
      <c r="I632" s="14">
        <f>68.9274 * CHOOSE(CONTROL!$C$9, $D$9, 100%, $F$9) + CHOOSE(CONTROL!$C$27, 0.0021, 0)</f>
        <v>68.929500000000004</v>
      </c>
      <c r="J632" s="14">
        <f>68.9274 * CHOOSE(CONTROL!$C$9, $D$9, 100%, $F$9) + CHOOSE(CONTROL!$C$27, 0.0021, 0)</f>
        <v>68.929500000000004</v>
      </c>
      <c r="K632" s="14">
        <f>68.9274 * CHOOSE(CONTROL!$C$9, $D$9, 100%, $F$9) + CHOOSE(CONTROL!$C$27, 0.0021, 0)</f>
        <v>68.929500000000004</v>
      </c>
      <c r="L632" s="14"/>
    </row>
    <row r="633" spans="1:12" ht="15.75" x14ac:dyDescent="0.25">
      <c r="A633" s="32">
        <v>60206</v>
      </c>
      <c r="B633" s="14">
        <f>67.0404 * CHOOSE(CONTROL!$C$9, $D$9, 100%, $F$9) + CHOOSE(CONTROL!$C$27, 0.0021, 0)</f>
        <v>67.042500000000004</v>
      </c>
      <c r="C633" s="14">
        <f>66.6082 * CHOOSE(CONTROL!$C$9, $D$9, 100%, $F$9) + CHOOSE(CONTROL!$C$27, 0.0021, 0)</f>
        <v>66.610299999999995</v>
      </c>
      <c r="D633" s="14">
        <f>66.6082 * CHOOSE(CONTROL!$C$9, $D$9, 100%, $F$9) + CHOOSE(CONTROL!$C$27, 0.0021, 0)</f>
        <v>66.610299999999995</v>
      </c>
      <c r="E633" s="14">
        <f>66.4715 * CHOOSE(CONTROL!$C$9, $D$9, 100%, $F$9) + CHOOSE(CONTROL!$C$27, 0.0021, 0)</f>
        <v>66.473600000000005</v>
      </c>
      <c r="F633" s="14">
        <f>66.4715 * CHOOSE(CONTROL!$C$9, $D$9, 100%, $F$9) + CHOOSE(CONTROL!$C$27, 0.0021, 0)</f>
        <v>66.473600000000005</v>
      </c>
      <c r="G633" s="14">
        <f>66.7429 * CHOOSE(CONTROL!$C$9, $D$9, 100%, $F$9) + CHOOSE(CONTROL!$C$27, 0.0021, 0)</f>
        <v>66.745000000000005</v>
      </c>
      <c r="H633" s="14">
        <f>66.6082 * CHOOSE(CONTROL!$C$9, $D$9, 100%, $F$9) + CHOOSE(CONTROL!$C$27, 0.0021, 0)</f>
        <v>66.610299999999995</v>
      </c>
      <c r="I633" s="14">
        <f>66.6082 * CHOOSE(CONTROL!$C$9, $D$9, 100%, $F$9) + CHOOSE(CONTROL!$C$27, 0.0021, 0)</f>
        <v>66.610299999999995</v>
      </c>
      <c r="J633" s="14">
        <f>66.6082 * CHOOSE(CONTROL!$C$9, $D$9, 100%, $F$9) + CHOOSE(CONTROL!$C$27, 0.0021, 0)</f>
        <v>66.610299999999995</v>
      </c>
      <c r="K633" s="14">
        <f>66.6082 * CHOOSE(CONTROL!$C$9, $D$9, 100%, $F$9) + CHOOSE(CONTROL!$C$27, 0.0021, 0)</f>
        <v>66.610299999999995</v>
      </c>
      <c r="L633" s="14"/>
    </row>
    <row r="634" spans="1:12" ht="15.75" x14ac:dyDescent="0.25">
      <c r="A634" s="32">
        <v>60236</v>
      </c>
      <c r="B634" s="14">
        <f>66.5791 * CHOOSE(CONTROL!$C$9, $D$9, 100%, $F$9) + CHOOSE(CONTROL!$C$27, 0.0021, 0)</f>
        <v>66.581199999999995</v>
      </c>
      <c r="C634" s="14">
        <f>66.1468 * CHOOSE(CONTROL!$C$9, $D$9, 100%, $F$9) + CHOOSE(CONTROL!$C$27, 0.0021, 0)</f>
        <v>66.148899999999998</v>
      </c>
      <c r="D634" s="14">
        <f>66.1468 * CHOOSE(CONTROL!$C$9, $D$9, 100%, $F$9) + CHOOSE(CONTROL!$C$27, 0.0021, 0)</f>
        <v>66.148899999999998</v>
      </c>
      <c r="E634" s="14">
        <f>66.0102 * CHOOSE(CONTROL!$C$9, $D$9, 100%, $F$9) + CHOOSE(CONTROL!$C$27, 0.0021, 0)</f>
        <v>66.012299999999996</v>
      </c>
      <c r="F634" s="14">
        <f>66.0102 * CHOOSE(CONTROL!$C$9, $D$9, 100%, $F$9) + CHOOSE(CONTROL!$C$27, 0.0021, 0)</f>
        <v>66.012299999999996</v>
      </c>
      <c r="G634" s="14">
        <f>66.2815 * CHOOSE(CONTROL!$C$9, $D$9, 100%, $F$9) + CHOOSE(CONTROL!$C$27, 0.0021, 0)</f>
        <v>66.283599999999993</v>
      </c>
      <c r="H634" s="14">
        <f>66.1468 * CHOOSE(CONTROL!$C$9, $D$9, 100%, $F$9) + CHOOSE(CONTROL!$C$27, 0.0021, 0)</f>
        <v>66.148899999999998</v>
      </c>
      <c r="I634" s="14">
        <f>66.1468 * CHOOSE(CONTROL!$C$9, $D$9, 100%, $F$9) + CHOOSE(CONTROL!$C$27, 0.0021, 0)</f>
        <v>66.148899999999998</v>
      </c>
      <c r="J634" s="14">
        <f>66.1468 * CHOOSE(CONTROL!$C$9, $D$9, 100%, $F$9) + CHOOSE(CONTROL!$C$27, 0.0021, 0)</f>
        <v>66.148899999999998</v>
      </c>
      <c r="K634" s="14">
        <f>66.1468 * CHOOSE(CONTROL!$C$9, $D$9, 100%, $F$9) + CHOOSE(CONTROL!$C$27, 0.0021, 0)</f>
        <v>66.148899999999998</v>
      </c>
      <c r="L634" s="14"/>
    </row>
    <row r="635" spans="1:12" ht="15.75" x14ac:dyDescent="0.25">
      <c r="A635" s="32">
        <v>60267</v>
      </c>
      <c r="B635" s="14">
        <f>64.6714 * CHOOSE(CONTROL!$C$9, $D$9, 100%, $F$9) + CHOOSE(CONTROL!$C$27, 0.0021, 0)</f>
        <v>64.673500000000004</v>
      </c>
      <c r="C635" s="14">
        <f>64.2391 * CHOOSE(CONTROL!$C$9, $D$9, 100%, $F$9) + CHOOSE(CONTROL!$C$27, 0.0021, 0)</f>
        <v>64.241199999999992</v>
      </c>
      <c r="D635" s="14">
        <f>64.2391 * CHOOSE(CONTROL!$C$9, $D$9, 100%, $F$9) + CHOOSE(CONTROL!$C$27, 0.0021, 0)</f>
        <v>64.241199999999992</v>
      </c>
      <c r="E635" s="14">
        <f>64.1025 * CHOOSE(CONTROL!$C$9, $D$9, 100%, $F$9) + CHOOSE(CONTROL!$C$27, 0.0021, 0)</f>
        <v>64.104600000000005</v>
      </c>
      <c r="F635" s="14">
        <f>64.1025 * CHOOSE(CONTROL!$C$9, $D$9, 100%, $F$9) + CHOOSE(CONTROL!$C$27, 0.0021, 0)</f>
        <v>64.104600000000005</v>
      </c>
      <c r="G635" s="14">
        <f>64.3738 * CHOOSE(CONTROL!$C$9, $D$9, 100%, $F$9) + CHOOSE(CONTROL!$C$27, 0.0021, 0)</f>
        <v>64.375900000000001</v>
      </c>
      <c r="H635" s="14">
        <f>64.2391 * CHOOSE(CONTROL!$C$9, $D$9, 100%, $F$9) + CHOOSE(CONTROL!$C$27, 0.0021, 0)</f>
        <v>64.241199999999992</v>
      </c>
      <c r="I635" s="14">
        <f>64.2391 * CHOOSE(CONTROL!$C$9, $D$9, 100%, $F$9) + CHOOSE(CONTROL!$C$27, 0.0021, 0)</f>
        <v>64.241199999999992</v>
      </c>
      <c r="J635" s="14">
        <f>64.2391 * CHOOSE(CONTROL!$C$9, $D$9, 100%, $F$9) + CHOOSE(CONTROL!$C$27, 0.0021, 0)</f>
        <v>64.241199999999992</v>
      </c>
      <c r="K635" s="14">
        <f>64.2391 * CHOOSE(CONTROL!$C$9, $D$9, 100%, $F$9) + CHOOSE(CONTROL!$C$27, 0.0021, 0)</f>
        <v>64.241199999999992</v>
      </c>
      <c r="L635" s="14"/>
    </row>
    <row r="636" spans="1:12" ht="15.75" x14ac:dyDescent="0.25">
      <c r="A636" s="32">
        <v>60298</v>
      </c>
      <c r="B636" s="14">
        <f>64.3 * CHOOSE(CONTROL!$C$9, $D$9, 100%, $F$9) + CHOOSE(CONTROL!$C$27, 0.0021, 0)</f>
        <v>64.302099999999996</v>
      </c>
      <c r="C636" s="14">
        <f>63.8677 * CHOOSE(CONTROL!$C$9, $D$9, 100%, $F$9) + CHOOSE(CONTROL!$C$27, 0.0021, 0)</f>
        <v>63.869799999999998</v>
      </c>
      <c r="D636" s="14">
        <f>63.8677 * CHOOSE(CONTROL!$C$9, $D$9, 100%, $F$9) + CHOOSE(CONTROL!$C$27, 0.0021, 0)</f>
        <v>63.869799999999998</v>
      </c>
      <c r="E636" s="14">
        <f>63.731 * CHOOSE(CONTROL!$C$9, $D$9, 100%, $F$9) + CHOOSE(CONTROL!$C$27, 0.0021, 0)</f>
        <v>63.7331</v>
      </c>
      <c r="F636" s="14">
        <f>63.731 * CHOOSE(CONTROL!$C$9, $D$9, 100%, $F$9) + CHOOSE(CONTROL!$C$27, 0.0021, 0)</f>
        <v>63.7331</v>
      </c>
      <c r="G636" s="14">
        <f>64.0024 * CHOOSE(CONTROL!$C$9, $D$9, 100%, $F$9) + CHOOSE(CONTROL!$C$27, 0.0021, 0)</f>
        <v>64.004499999999993</v>
      </c>
      <c r="H636" s="14">
        <f>63.8677 * CHOOSE(CONTROL!$C$9, $D$9, 100%, $F$9) + CHOOSE(CONTROL!$C$27, 0.0021, 0)</f>
        <v>63.869799999999998</v>
      </c>
      <c r="I636" s="14">
        <f>63.8677 * CHOOSE(CONTROL!$C$9, $D$9, 100%, $F$9) + CHOOSE(CONTROL!$C$27, 0.0021, 0)</f>
        <v>63.869799999999998</v>
      </c>
      <c r="J636" s="14">
        <f>63.8677 * CHOOSE(CONTROL!$C$9, $D$9, 100%, $F$9) + CHOOSE(CONTROL!$C$27, 0.0021, 0)</f>
        <v>63.869799999999998</v>
      </c>
      <c r="K636" s="14">
        <f>63.8677 * CHOOSE(CONTROL!$C$9, $D$9, 100%, $F$9) + CHOOSE(CONTROL!$C$27, 0.0021, 0)</f>
        <v>63.869799999999998</v>
      </c>
      <c r="L636" s="14"/>
    </row>
    <row r="637" spans="1:12" ht="15.75" x14ac:dyDescent="0.25">
      <c r="A637" s="32">
        <v>60326</v>
      </c>
      <c r="B637" s="14">
        <f>64.1276 * CHOOSE(CONTROL!$C$9, $D$9, 100%, $F$9) + CHOOSE(CONTROL!$C$27, 0.0021, 0)</f>
        <v>64.1297</v>
      </c>
      <c r="C637" s="14">
        <f>63.6953 * CHOOSE(CONTROL!$C$9, $D$9, 100%, $F$9) + CHOOSE(CONTROL!$C$27, 0.0021, 0)</f>
        <v>63.697400000000002</v>
      </c>
      <c r="D637" s="14">
        <f>63.6953 * CHOOSE(CONTROL!$C$9, $D$9, 100%, $F$9) + CHOOSE(CONTROL!$C$27, 0.0021, 0)</f>
        <v>63.697400000000002</v>
      </c>
      <c r="E637" s="14">
        <f>63.5587 * CHOOSE(CONTROL!$C$9, $D$9, 100%, $F$9) + CHOOSE(CONTROL!$C$27, 0.0021, 0)</f>
        <v>63.5608</v>
      </c>
      <c r="F637" s="14">
        <f>63.5587 * CHOOSE(CONTROL!$C$9, $D$9, 100%, $F$9) + CHOOSE(CONTROL!$C$27, 0.0021, 0)</f>
        <v>63.5608</v>
      </c>
      <c r="G637" s="14">
        <f>63.8301 * CHOOSE(CONTROL!$C$9, $D$9, 100%, $F$9) + CHOOSE(CONTROL!$C$27, 0.0021, 0)</f>
        <v>63.8322</v>
      </c>
      <c r="H637" s="14">
        <f>63.6953 * CHOOSE(CONTROL!$C$9, $D$9, 100%, $F$9) + CHOOSE(CONTROL!$C$27, 0.0021, 0)</f>
        <v>63.697400000000002</v>
      </c>
      <c r="I637" s="14">
        <f>63.6953 * CHOOSE(CONTROL!$C$9, $D$9, 100%, $F$9) + CHOOSE(CONTROL!$C$27, 0.0021, 0)</f>
        <v>63.697400000000002</v>
      </c>
      <c r="J637" s="14">
        <f>63.6953 * CHOOSE(CONTROL!$C$9, $D$9, 100%, $F$9) + CHOOSE(CONTROL!$C$27, 0.0021, 0)</f>
        <v>63.697400000000002</v>
      </c>
      <c r="K637" s="14">
        <f>63.6953 * CHOOSE(CONTROL!$C$9, $D$9, 100%, $F$9) + CHOOSE(CONTROL!$C$27, 0.0021, 0)</f>
        <v>63.697400000000002</v>
      </c>
      <c r="L637" s="14"/>
    </row>
    <row r="638" spans="1:12" ht="15.75" x14ac:dyDescent="0.25">
      <c r="A638" s="32">
        <v>60357</v>
      </c>
      <c r="B638" s="14">
        <f>67.3867 * CHOOSE(CONTROL!$C$9, $D$9, 100%, $F$9) + CHOOSE(CONTROL!$C$27, 0.0021, 0)</f>
        <v>67.388800000000003</v>
      </c>
      <c r="C638" s="14">
        <f>66.9544 * CHOOSE(CONTROL!$C$9, $D$9, 100%, $F$9) + CHOOSE(CONTROL!$C$27, 0.0021, 0)</f>
        <v>66.956500000000005</v>
      </c>
      <c r="D638" s="14">
        <f>66.9544 * CHOOSE(CONTROL!$C$9, $D$9, 100%, $F$9) + CHOOSE(CONTROL!$C$27, 0.0021, 0)</f>
        <v>66.956500000000005</v>
      </c>
      <c r="E638" s="14">
        <f>66.8178 * CHOOSE(CONTROL!$C$9, $D$9, 100%, $F$9) + CHOOSE(CONTROL!$C$27, 0.0021, 0)</f>
        <v>66.819900000000004</v>
      </c>
      <c r="F638" s="14">
        <f>66.8178 * CHOOSE(CONTROL!$C$9, $D$9, 100%, $F$9) + CHOOSE(CONTROL!$C$27, 0.0021, 0)</f>
        <v>66.819900000000004</v>
      </c>
      <c r="G638" s="14">
        <f>67.0891 * CHOOSE(CONTROL!$C$9, $D$9, 100%, $F$9) + CHOOSE(CONTROL!$C$27, 0.0021, 0)</f>
        <v>67.091200000000001</v>
      </c>
      <c r="H638" s="14">
        <f>66.9544 * CHOOSE(CONTROL!$C$9, $D$9, 100%, $F$9) + CHOOSE(CONTROL!$C$27, 0.0021, 0)</f>
        <v>66.956500000000005</v>
      </c>
      <c r="I638" s="14">
        <f>66.9544 * CHOOSE(CONTROL!$C$9, $D$9, 100%, $F$9) + CHOOSE(CONTROL!$C$27, 0.0021, 0)</f>
        <v>66.956500000000005</v>
      </c>
      <c r="J638" s="14">
        <f>66.9544 * CHOOSE(CONTROL!$C$9, $D$9, 100%, $F$9) + CHOOSE(CONTROL!$C$27, 0.0021, 0)</f>
        <v>66.956500000000005</v>
      </c>
      <c r="K638" s="14">
        <f>66.9544 * CHOOSE(CONTROL!$C$9, $D$9, 100%, $F$9) + CHOOSE(CONTROL!$C$27, 0.0021, 0)</f>
        <v>66.956500000000005</v>
      </c>
      <c r="L638" s="14"/>
    </row>
    <row r="639" spans="1:12" ht="15.75" x14ac:dyDescent="0.25">
      <c r="A639" s="32">
        <v>60387</v>
      </c>
      <c r="B639" s="14">
        <f>71.6129 * CHOOSE(CONTROL!$C$9, $D$9, 100%, $F$9) + CHOOSE(CONTROL!$C$27, 0.0021, 0)</f>
        <v>71.614999999999995</v>
      </c>
      <c r="C639" s="14">
        <f>71.1807 * CHOOSE(CONTROL!$C$9, $D$9, 100%, $F$9) + CHOOSE(CONTROL!$C$27, 0.0021, 0)</f>
        <v>71.1828</v>
      </c>
      <c r="D639" s="14">
        <f>71.1807 * CHOOSE(CONTROL!$C$9, $D$9, 100%, $F$9) + CHOOSE(CONTROL!$C$27, 0.0021, 0)</f>
        <v>71.1828</v>
      </c>
      <c r="E639" s="14">
        <f>71.044 * CHOOSE(CONTROL!$C$9, $D$9, 100%, $F$9) + CHOOSE(CONTROL!$C$27, 0.0021, 0)</f>
        <v>71.046099999999996</v>
      </c>
      <c r="F639" s="14">
        <f>71.044 * CHOOSE(CONTROL!$C$9, $D$9, 100%, $F$9) + CHOOSE(CONTROL!$C$27, 0.0021, 0)</f>
        <v>71.046099999999996</v>
      </c>
      <c r="G639" s="14">
        <f>71.3154 * CHOOSE(CONTROL!$C$9, $D$9, 100%, $F$9) + CHOOSE(CONTROL!$C$27, 0.0021, 0)</f>
        <v>71.317499999999995</v>
      </c>
      <c r="H639" s="14">
        <f>71.1807 * CHOOSE(CONTROL!$C$9, $D$9, 100%, $F$9) + CHOOSE(CONTROL!$C$27, 0.0021, 0)</f>
        <v>71.1828</v>
      </c>
      <c r="I639" s="14">
        <f>71.1807 * CHOOSE(CONTROL!$C$9, $D$9, 100%, $F$9) + CHOOSE(CONTROL!$C$27, 0.0021, 0)</f>
        <v>71.1828</v>
      </c>
      <c r="J639" s="14">
        <f>71.1807 * CHOOSE(CONTROL!$C$9, $D$9, 100%, $F$9) + CHOOSE(CONTROL!$C$27, 0.0021, 0)</f>
        <v>71.1828</v>
      </c>
      <c r="K639" s="14">
        <f>71.1807 * CHOOSE(CONTROL!$C$9, $D$9, 100%, $F$9) + CHOOSE(CONTROL!$C$27, 0.0021, 0)</f>
        <v>71.1828</v>
      </c>
      <c r="L639" s="14"/>
    </row>
    <row r="640" spans="1:12" ht="15.75" x14ac:dyDescent="0.25">
      <c r="A640" s="32">
        <v>60418</v>
      </c>
      <c r="B640" s="14">
        <f>73.9392 * CHOOSE(CONTROL!$C$9, $D$9, 100%, $F$9) + CHOOSE(CONTROL!$C$27, 0.0021, 0)</f>
        <v>73.941299999999998</v>
      </c>
      <c r="C640" s="14">
        <f>73.5069 * CHOOSE(CONTROL!$C$9, $D$9, 100%, $F$9) + CHOOSE(CONTROL!$C$27, 0.0021, 0)</f>
        <v>73.509</v>
      </c>
      <c r="D640" s="14">
        <f>73.5069 * CHOOSE(CONTROL!$C$9, $D$9, 100%, $F$9) + CHOOSE(CONTROL!$C$27, 0.0021, 0)</f>
        <v>73.509</v>
      </c>
      <c r="E640" s="14">
        <f>73.3703 * CHOOSE(CONTROL!$C$9, $D$9, 100%, $F$9) + CHOOSE(CONTROL!$C$27, 0.0021, 0)</f>
        <v>73.372399999999999</v>
      </c>
      <c r="F640" s="14">
        <f>73.3703 * CHOOSE(CONTROL!$C$9, $D$9, 100%, $F$9) + CHOOSE(CONTROL!$C$27, 0.0021, 0)</f>
        <v>73.372399999999999</v>
      </c>
      <c r="G640" s="14">
        <f>73.6416 * CHOOSE(CONTROL!$C$9, $D$9, 100%, $F$9) + CHOOSE(CONTROL!$C$27, 0.0021, 0)</f>
        <v>73.643699999999995</v>
      </c>
      <c r="H640" s="14">
        <f>73.5069 * CHOOSE(CONTROL!$C$9, $D$9, 100%, $F$9) + CHOOSE(CONTROL!$C$27, 0.0021, 0)</f>
        <v>73.509</v>
      </c>
      <c r="I640" s="14">
        <f>73.5069 * CHOOSE(CONTROL!$C$9, $D$9, 100%, $F$9) + CHOOSE(CONTROL!$C$27, 0.0021, 0)</f>
        <v>73.509</v>
      </c>
      <c r="J640" s="14">
        <f>73.5069 * CHOOSE(CONTROL!$C$9, $D$9, 100%, $F$9) + CHOOSE(CONTROL!$C$27, 0.0021, 0)</f>
        <v>73.509</v>
      </c>
      <c r="K640" s="14">
        <f>73.5069 * CHOOSE(CONTROL!$C$9, $D$9, 100%, $F$9) + CHOOSE(CONTROL!$C$27, 0.0021, 0)</f>
        <v>73.509</v>
      </c>
      <c r="L640" s="14"/>
    </row>
    <row r="641" spans="1:12" ht="15.75" x14ac:dyDescent="0.25">
      <c r="A641" s="32">
        <v>60448</v>
      </c>
      <c r="B641" s="14">
        <f>74.9715 * CHOOSE(CONTROL!$C$9, $D$9, 100%, $F$9) + CHOOSE(CONTROL!$C$27, 0.0021, 0)</f>
        <v>74.973600000000005</v>
      </c>
      <c r="C641" s="14">
        <f>74.5393 * CHOOSE(CONTROL!$C$9, $D$9, 100%, $F$9) + CHOOSE(CONTROL!$C$27, 0.0021, 0)</f>
        <v>74.541399999999996</v>
      </c>
      <c r="D641" s="14">
        <f>74.5393 * CHOOSE(CONTROL!$C$9, $D$9, 100%, $F$9) + CHOOSE(CONTROL!$C$27, 0.0021, 0)</f>
        <v>74.541399999999996</v>
      </c>
      <c r="E641" s="14">
        <f>74.4026 * CHOOSE(CONTROL!$C$9, $D$9, 100%, $F$9) + CHOOSE(CONTROL!$C$27, 0.0021, 0)</f>
        <v>74.404700000000005</v>
      </c>
      <c r="F641" s="14">
        <f>74.4026 * CHOOSE(CONTROL!$C$9, $D$9, 100%, $F$9) + CHOOSE(CONTROL!$C$27, 0.0021, 0)</f>
        <v>74.404700000000005</v>
      </c>
      <c r="G641" s="14">
        <f>74.674 * CHOOSE(CONTROL!$C$9, $D$9, 100%, $F$9) + CHOOSE(CONTROL!$C$27, 0.0021, 0)</f>
        <v>74.676100000000005</v>
      </c>
      <c r="H641" s="14">
        <f>74.5393 * CHOOSE(CONTROL!$C$9, $D$9, 100%, $F$9) + CHOOSE(CONTROL!$C$27, 0.0021, 0)</f>
        <v>74.541399999999996</v>
      </c>
      <c r="I641" s="14">
        <f>74.5393 * CHOOSE(CONTROL!$C$9, $D$9, 100%, $F$9) + CHOOSE(CONTROL!$C$27, 0.0021, 0)</f>
        <v>74.541399999999996</v>
      </c>
      <c r="J641" s="14">
        <f>74.5393 * CHOOSE(CONTROL!$C$9, $D$9, 100%, $F$9) + CHOOSE(CONTROL!$C$27, 0.0021, 0)</f>
        <v>74.541399999999996</v>
      </c>
      <c r="K641" s="14">
        <f>74.5393 * CHOOSE(CONTROL!$C$9, $D$9, 100%, $F$9) + CHOOSE(CONTROL!$C$27, 0.0021, 0)</f>
        <v>74.541399999999996</v>
      </c>
      <c r="L641" s="14"/>
    </row>
    <row r="642" spans="1:12" ht="15.75" x14ac:dyDescent="0.25">
      <c r="A642" s="32">
        <v>60479</v>
      </c>
      <c r="B642" s="14">
        <f>74.6316 * CHOOSE(CONTROL!$C$9, $D$9, 100%, $F$9) + CHOOSE(CONTROL!$C$27, 0.0021, 0)</f>
        <v>74.633700000000005</v>
      </c>
      <c r="C642" s="14">
        <f>74.1994 * CHOOSE(CONTROL!$C$9, $D$9, 100%, $F$9) + CHOOSE(CONTROL!$C$27, 0.0021, 0)</f>
        <v>74.201499999999996</v>
      </c>
      <c r="D642" s="14">
        <f>74.1994 * CHOOSE(CONTROL!$C$9, $D$9, 100%, $F$9) + CHOOSE(CONTROL!$C$27, 0.0021, 0)</f>
        <v>74.201499999999996</v>
      </c>
      <c r="E642" s="14">
        <f>74.0627 * CHOOSE(CONTROL!$C$9, $D$9, 100%, $F$9) + CHOOSE(CONTROL!$C$27, 0.0021, 0)</f>
        <v>74.064800000000005</v>
      </c>
      <c r="F642" s="14">
        <f>74.0627 * CHOOSE(CONTROL!$C$9, $D$9, 100%, $F$9) + CHOOSE(CONTROL!$C$27, 0.0021, 0)</f>
        <v>74.064800000000005</v>
      </c>
      <c r="G642" s="14">
        <f>74.3341 * CHOOSE(CONTROL!$C$9, $D$9, 100%, $F$9) + CHOOSE(CONTROL!$C$27, 0.0021, 0)</f>
        <v>74.336200000000005</v>
      </c>
      <c r="H642" s="14">
        <f>74.1994 * CHOOSE(CONTROL!$C$9, $D$9, 100%, $F$9) + CHOOSE(CONTROL!$C$27, 0.0021, 0)</f>
        <v>74.201499999999996</v>
      </c>
      <c r="I642" s="14">
        <f>74.1994 * CHOOSE(CONTROL!$C$9, $D$9, 100%, $F$9) + CHOOSE(CONTROL!$C$27, 0.0021, 0)</f>
        <v>74.201499999999996</v>
      </c>
      <c r="J642" s="14">
        <f>74.1994 * CHOOSE(CONTROL!$C$9, $D$9, 100%, $F$9) + CHOOSE(CONTROL!$C$27, 0.0021, 0)</f>
        <v>74.201499999999996</v>
      </c>
      <c r="K642" s="14">
        <f>74.1994 * CHOOSE(CONTROL!$C$9, $D$9, 100%, $F$9) + CHOOSE(CONTROL!$C$27, 0.0021, 0)</f>
        <v>74.201499999999996</v>
      </c>
      <c r="L642" s="14"/>
    </row>
    <row r="643" spans="1:12" ht="15.75" x14ac:dyDescent="0.25">
      <c r="A643" s="32">
        <v>60510</v>
      </c>
      <c r="B643" s="14">
        <f>72.9476 * CHOOSE(CONTROL!$C$9, $D$9, 100%, $F$9) + CHOOSE(CONTROL!$C$27, 0.0021, 0)</f>
        <v>72.949699999999993</v>
      </c>
      <c r="C643" s="14">
        <f>72.5153 * CHOOSE(CONTROL!$C$9, $D$9, 100%, $F$9) + CHOOSE(CONTROL!$C$27, 0.0021, 0)</f>
        <v>72.517399999999995</v>
      </c>
      <c r="D643" s="14">
        <f>72.5153 * CHOOSE(CONTROL!$C$9, $D$9, 100%, $F$9) + CHOOSE(CONTROL!$C$27, 0.0021, 0)</f>
        <v>72.517399999999995</v>
      </c>
      <c r="E643" s="14">
        <f>72.3787 * CHOOSE(CONTROL!$C$9, $D$9, 100%, $F$9) + CHOOSE(CONTROL!$C$27, 0.0021, 0)</f>
        <v>72.380799999999994</v>
      </c>
      <c r="F643" s="14">
        <f>72.3787 * CHOOSE(CONTROL!$C$9, $D$9, 100%, $F$9) + CHOOSE(CONTROL!$C$27, 0.0021, 0)</f>
        <v>72.380799999999994</v>
      </c>
      <c r="G643" s="14">
        <f>72.6501 * CHOOSE(CONTROL!$C$9, $D$9, 100%, $F$9) + CHOOSE(CONTROL!$C$27, 0.0021, 0)</f>
        <v>72.652199999999993</v>
      </c>
      <c r="H643" s="14">
        <f>72.5153 * CHOOSE(CONTROL!$C$9, $D$9, 100%, $F$9) + CHOOSE(CONTROL!$C$27, 0.0021, 0)</f>
        <v>72.517399999999995</v>
      </c>
      <c r="I643" s="14">
        <f>72.5153 * CHOOSE(CONTROL!$C$9, $D$9, 100%, $F$9) + CHOOSE(CONTROL!$C$27, 0.0021, 0)</f>
        <v>72.517399999999995</v>
      </c>
      <c r="J643" s="14">
        <f>72.5153 * CHOOSE(CONTROL!$C$9, $D$9, 100%, $F$9) + CHOOSE(CONTROL!$C$27, 0.0021, 0)</f>
        <v>72.517399999999995</v>
      </c>
      <c r="K643" s="14">
        <f>72.5153 * CHOOSE(CONTROL!$C$9, $D$9, 100%, $F$9) + CHOOSE(CONTROL!$C$27, 0.0021, 0)</f>
        <v>72.517399999999995</v>
      </c>
      <c r="L643" s="14"/>
    </row>
    <row r="644" spans="1:12" ht="15.75" x14ac:dyDescent="0.25">
      <c r="A644" s="32">
        <v>60540</v>
      </c>
      <c r="B644" s="14">
        <f>70.5991 * CHOOSE(CONTROL!$C$9, $D$9, 100%, $F$9) + CHOOSE(CONTROL!$C$27, 0.0021, 0)</f>
        <v>70.601200000000006</v>
      </c>
      <c r="C644" s="14">
        <f>70.1669 * CHOOSE(CONTROL!$C$9, $D$9, 100%, $F$9) + CHOOSE(CONTROL!$C$27, 0.0021, 0)</f>
        <v>70.168999999999997</v>
      </c>
      <c r="D644" s="14">
        <f>70.1669 * CHOOSE(CONTROL!$C$9, $D$9, 100%, $F$9) + CHOOSE(CONTROL!$C$27, 0.0021, 0)</f>
        <v>70.168999999999997</v>
      </c>
      <c r="E644" s="14">
        <f>70.0302 * CHOOSE(CONTROL!$C$9, $D$9, 100%, $F$9) + CHOOSE(CONTROL!$C$27, 0.0021, 0)</f>
        <v>70.032299999999992</v>
      </c>
      <c r="F644" s="14">
        <f>70.0302 * CHOOSE(CONTROL!$C$9, $D$9, 100%, $F$9) + CHOOSE(CONTROL!$C$27, 0.0021, 0)</f>
        <v>70.032299999999992</v>
      </c>
      <c r="G644" s="14">
        <f>70.3016 * CHOOSE(CONTROL!$C$9, $D$9, 100%, $F$9) + CHOOSE(CONTROL!$C$27, 0.0021, 0)</f>
        <v>70.303699999999992</v>
      </c>
      <c r="H644" s="14">
        <f>70.1669 * CHOOSE(CONTROL!$C$9, $D$9, 100%, $F$9) + CHOOSE(CONTROL!$C$27, 0.0021, 0)</f>
        <v>70.168999999999997</v>
      </c>
      <c r="I644" s="14">
        <f>70.1669 * CHOOSE(CONTROL!$C$9, $D$9, 100%, $F$9) + CHOOSE(CONTROL!$C$27, 0.0021, 0)</f>
        <v>70.168999999999997</v>
      </c>
      <c r="J644" s="14">
        <f>70.1669 * CHOOSE(CONTROL!$C$9, $D$9, 100%, $F$9) + CHOOSE(CONTROL!$C$27, 0.0021, 0)</f>
        <v>70.168999999999997</v>
      </c>
      <c r="K644" s="14">
        <f>70.1669 * CHOOSE(CONTROL!$C$9, $D$9, 100%, $F$9) + CHOOSE(CONTROL!$C$27, 0.0021, 0)</f>
        <v>70.168999999999997</v>
      </c>
      <c r="L644" s="14"/>
    </row>
    <row r="645" spans="1:12" ht="15.75" x14ac:dyDescent="0.25">
      <c r="A645" s="32">
        <v>60571</v>
      </c>
      <c r="B645" s="14">
        <f>68.237 * CHOOSE(CONTROL!$C$9, $D$9, 100%, $F$9) + CHOOSE(CONTROL!$C$27, 0.0021, 0)</f>
        <v>68.239099999999993</v>
      </c>
      <c r="C645" s="14">
        <f>67.8048 * CHOOSE(CONTROL!$C$9, $D$9, 100%, $F$9) + CHOOSE(CONTROL!$C$27, 0.0021, 0)</f>
        <v>67.806899999999999</v>
      </c>
      <c r="D645" s="14">
        <f>67.8048 * CHOOSE(CONTROL!$C$9, $D$9, 100%, $F$9) + CHOOSE(CONTROL!$C$27, 0.0021, 0)</f>
        <v>67.806899999999999</v>
      </c>
      <c r="E645" s="14">
        <f>67.6681 * CHOOSE(CONTROL!$C$9, $D$9, 100%, $F$9) + CHOOSE(CONTROL!$C$27, 0.0021, 0)</f>
        <v>67.670199999999994</v>
      </c>
      <c r="F645" s="14">
        <f>67.6681 * CHOOSE(CONTROL!$C$9, $D$9, 100%, $F$9) + CHOOSE(CONTROL!$C$27, 0.0021, 0)</f>
        <v>67.670199999999994</v>
      </c>
      <c r="G645" s="14">
        <f>67.9395 * CHOOSE(CONTROL!$C$9, $D$9, 100%, $F$9) + CHOOSE(CONTROL!$C$27, 0.0021, 0)</f>
        <v>67.941599999999994</v>
      </c>
      <c r="H645" s="14">
        <f>67.8048 * CHOOSE(CONTROL!$C$9, $D$9, 100%, $F$9) + CHOOSE(CONTROL!$C$27, 0.0021, 0)</f>
        <v>67.806899999999999</v>
      </c>
      <c r="I645" s="14">
        <f>67.8048 * CHOOSE(CONTROL!$C$9, $D$9, 100%, $F$9) + CHOOSE(CONTROL!$C$27, 0.0021, 0)</f>
        <v>67.806899999999999</v>
      </c>
      <c r="J645" s="14">
        <f>67.8048 * CHOOSE(CONTROL!$C$9, $D$9, 100%, $F$9) + CHOOSE(CONTROL!$C$27, 0.0021, 0)</f>
        <v>67.806899999999999</v>
      </c>
      <c r="K645" s="14">
        <f>67.8048 * CHOOSE(CONTROL!$C$9, $D$9, 100%, $F$9) + CHOOSE(CONTROL!$C$27, 0.0021, 0)</f>
        <v>67.806899999999999</v>
      </c>
      <c r="L645" s="14"/>
    </row>
    <row r="646" spans="1:12" ht="15.75" x14ac:dyDescent="0.25">
      <c r="A646" s="32">
        <v>60601</v>
      </c>
      <c r="B646" s="14">
        <f>67.7671 * CHOOSE(CONTROL!$C$9, $D$9, 100%, $F$9) + CHOOSE(CONTROL!$C$27, 0.0021, 0)</f>
        <v>67.769199999999998</v>
      </c>
      <c r="C646" s="14">
        <f>67.3349 * CHOOSE(CONTROL!$C$9, $D$9, 100%, $F$9) + CHOOSE(CONTROL!$C$27, 0.0021, 0)</f>
        <v>67.337000000000003</v>
      </c>
      <c r="D646" s="14">
        <f>67.3349 * CHOOSE(CONTROL!$C$9, $D$9, 100%, $F$9) + CHOOSE(CONTROL!$C$27, 0.0021, 0)</f>
        <v>67.337000000000003</v>
      </c>
      <c r="E646" s="14">
        <f>67.1982 * CHOOSE(CONTROL!$C$9, $D$9, 100%, $F$9) + CHOOSE(CONTROL!$C$27, 0.0021, 0)</f>
        <v>67.200299999999999</v>
      </c>
      <c r="F646" s="14">
        <f>67.1982 * CHOOSE(CONTROL!$C$9, $D$9, 100%, $F$9) + CHOOSE(CONTROL!$C$27, 0.0021, 0)</f>
        <v>67.200299999999999</v>
      </c>
      <c r="G646" s="14">
        <f>67.4696 * CHOOSE(CONTROL!$C$9, $D$9, 100%, $F$9) + CHOOSE(CONTROL!$C$27, 0.0021, 0)</f>
        <v>67.471699999999998</v>
      </c>
      <c r="H646" s="14">
        <f>67.3349 * CHOOSE(CONTROL!$C$9, $D$9, 100%, $F$9) + CHOOSE(CONTROL!$C$27, 0.0021, 0)</f>
        <v>67.337000000000003</v>
      </c>
      <c r="I646" s="14">
        <f>67.3349 * CHOOSE(CONTROL!$C$9, $D$9, 100%, $F$9) + CHOOSE(CONTROL!$C$27, 0.0021, 0)</f>
        <v>67.337000000000003</v>
      </c>
      <c r="J646" s="14">
        <f>67.3349 * CHOOSE(CONTROL!$C$9, $D$9, 100%, $F$9) + CHOOSE(CONTROL!$C$27, 0.0021, 0)</f>
        <v>67.337000000000003</v>
      </c>
      <c r="K646" s="14">
        <f>67.3349 * CHOOSE(CONTROL!$C$9, $D$9, 100%, $F$9) + CHOOSE(CONTROL!$C$27, 0.0021, 0)</f>
        <v>67.337000000000003</v>
      </c>
      <c r="L646" s="14"/>
    </row>
    <row r="647" spans="1:12" ht="15.75" x14ac:dyDescent="0.25">
      <c r="A647" s="32">
        <v>60632</v>
      </c>
      <c r="B647" s="14">
        <f>65.8242 * CHOOSE(CONTROL!$C$9, $D$9, 100%, $F$9) + CHOOSE(CONTROL!$C$27, 0.0021, 0)</f>
        <v>65.826300000000003</v>
      </c>
      <c r="C647" s="14">
        <f>65.3919 * CHOOSE(CONTROL!$C$9, $D$9, 100%, $F$9) + CHOOSE(CONTROL!$C$27, 0.0021, 0)</f>
        <v>65.394000000000005</v>
      </c>
      <c r="D647" s="14">
        <f>65.3919 * CHOOSE(CONTROL!$C$9, $D$9, 100%, $F$9) + CHOOSE(CONTROL!$C$27, 0.0021, 0)</f>
        <v>65.394000000000005</v>
      </c>
      <c r="E647" s="14">
        <f>65.2553 * CHOOSE(CONTROL!$C$9, $D$9, 100%, $F$9) + CHOOSE(CONTROL!$C$27, 0.0021, 0)</f>
        <v>65.257400000000004</v>
      </c>
      <c r="F647" s="14">
        <f>65.2553 * CHOOSE(CONTROL!$C$9, $D$9, 100%, $F$9) + CHOOSE(CONTROL!$C$27, 0.0021, 0)</f>
        <v>65.257400000000004</v>
      </c>
      <c r="G647" s="14">
        <f>65.5266 * CHOOSE(CONTROL!$C$9, $D$9, 100%, $F$9) + CHOOSE(CONTROL!$C$27, 0.0021, 0)</f>
        <v>65.528700000000001</v>
      </c>
      <c r="H647" s="14">
        <f>65.3919 * CHOOSE(CONTROL!$C$9, $D$9, 100%, $F$9) + CHOOSE(CONTROL!$C$27, 0.0021, 0)</f>
        <v>65.394000000000005</v>
      </c>
      <c r="I647" s="14">
        <f>65.3919 * CHOOSE(CONTROL!$C$9, $D$9, 100%, $F$9) + CHOOSE(CONTROL!$C$27, 0.0021, 0)</f>
        <v>65.394000000000005</v>
      </c>
      <c r="J647" s="14">
        <f>65.3919 * CHOOSE(CONTROL!$C$9, $D$9, 100%, $F$9) + CHOOSE(CONTROL!$C$27, 0.0021, 0)</f>
        <v>65.394000000000005</v>
      </c>
      <c r="K647" s="14">
        <f>65.3919 * CHOOSE(CONTROL!$C$9, $D$9, 100%, $F$9) + CHOOSE(CONTROL!$C$27, 0.0021, 0)</f>
        <v>65.394000000000005</v>
      </c>
      <c r="L647" s="14"/>
    </row>
    <row r="648" spans="1:12" ht="15.75" x14ac:dyDescent="0.25">
      <c r="A648" s="32">
        <v>60663</v>
      </c>
      <c r="B648" s="14">
        <f>65.4459 * CHOOSE(CONTROL!$C$9, $D$9, 100%, $F$9) + CHOOSE(CONTROL!$C$27, 0.0021, 0)</f>
        <v>65.447999999999993</v>
      </c>
      <c r="C648" s="14">
        <f>65.0137 * CHOOSE(CONTROL!$C$9, $D$9, 100%, $F$9) + CHOOSE(CONTROL!$C$27, 0.0021, 0)</f>
        <v>65.015799999999999</v>
      </c>
      <c r="D648" s="14">
        <f>65.0137 * CHOOSE(CONTROL!$C$9, $D$9, 100%, $F$9) + CHOOSE(CONTROL!$C$27, 0.0021, 0)</f>
        <v>65.015799999999999</v>
      </c>
      <c r="E648" s="14">
        <f>64.877 * CHOOSE(CONTROL!$C$9, $D$9, 100%, $F$9) + CHOOSE(CONTROL!$C$27, 0.0021, 0)</f>
        <v>64.879099999999994</v>
      </c>
      <c r="F648" s="14">
        <f>64.877 * CHOOSE(CONTROL!$C$9, $D$9, 100%, $F$9) + CHOOSE(CONTROL!$C$27, 0.0021, 0)</f>
        <v>64.879099999999994</v>
      </c>
      <c r="G648" s="14">
        <f>65.1484 * CHOOSE(CONTROL!$C$9, $D$9, 100%, $F$9) + CHOOSE(CONTROL!$C$27, 0.0021, 0)</f>
        <v>65.150499999999994</v>
      </c>
      <c r="H648" s="14">
        <f>65.0137 * CHOOSE(CONTROL!$C$9, $D$9, 100%, $F$9) + CHOOSE(CONTROL!$C$27, 0.0021, 0)</f>
        <v>65.015799999999999</v>
      </c>
      <c r="I648" s="14">
        <f>65.0137 * CHOOSE(CONTROL!$C$9, $D$9, 100%, $F$9) + CHOOSE(CONTROL!$C$27, 0.0021, 0)</f>
        <v>65.015799999999999</v>
      </c>
      <c r="J648" s="14">
        <f>65.0137 * CHOOSE(CONTROL!$C$9, $D$9, 100%, $F$9) + CHOOSE(CONTROL!$C$27, 0.0021, 0)</f>
        <v>65.015799999999999</v>
      </c>
      <c r="K648" s="14">
        <f>65.0137 * CHOOSE(CONTROL!$C$9, $D$9, 100%, $F$9) + CHOOSE(CONTROL!$C$27, 0.0021, 0)</f>
        <v>65.015799999999999</v>
      </c>
      <c r="L648" s="14"/>
    </row>
    <row r="649" spans="1:12" ht="15.75" x14ac:dyDescent="0.25">
      <c r="A649" s="32">
        <v>60691</v>
      </c>
      <c r="B649" s="14">
        <f>65.2704 * CHOOSE(CONTROL!$C$9, $D$9, 100%, $F$9) + CHOOSE(CONTROL!$C$27, 0.0021, 0)</f>
        <v>65.272499999999994</v>
      </c>
      <c r="C649" s="14">
        <f>64.8381 * CHOOSE(CONTROL!$C$9, $D$9, 100%, $F$9) + CHOOSE(CONTROL!$C$27, 0.0021, 0)</f>
        <v>64.840199999999996</v>
      </c>
      <c r="D649" s="14">
        <f>64.8381 * CHOOSE(CONTROL!$C$9, $D$9, 100%, $F$9) + CHOOSE(CONTROL!$C$27, 0.0021, 0)</f>
        <v>64.840199999999996</v>
      </c>
      <c r="E649" s="14">
        <f>64.7014 * CHOOSE(CONTROL!$C$9, $D$9, 100%, $F$9) + CHOOSE(CONTROL!$C$27, 0.0021, 0)</f>
        <v>64.703500000000005</v>
      </c>
      <c r="F649" s="14">
        <f>64.7014 * CHOOSE(CONTROL!$C$9, $D$9, 100%, $F$9) + CHOOSE(CONTROL!$C$27, 0.0021, 0)</f>
        <v>64.703500000000005</v>
      </c>
      <c r="G649" s="14">
        <f>64.9728 * CHOOSE(CONTROL!$C$9, $D$9, 100%, $F$9) + CHOOSE(CONTROL!$C$27, 0.0021, 0)</f>
        <v>64.974900000000005</v>
      </c>
      <c r="H649" s="14">
        <f>64.8381 * CHOOSE(CONTROL!$C$9, $D$9, 100%, $F$9) + CHOOSE(CONTROL!$C$27, 0.0021, 0)</f>
        <v>64.840199999999996</v>
      </c>
      <c r="I649" s="14">
        <f>64.8381 * CHOOSE(CONTROL!$C$9, $D$9, 100%, $F$9) + CHOOSE(CONTROL!$C$27, 0.0021, 0)</f>
        <v>64.840199999999996</v>
      </c>
      <c r="J649" s="14">
        <f>64.8381 * CHOOSE(CONTROL!$C$9, $D$9, 100%, $F$9) + CHOOSE(CONTROL!$C$27, 0.0021, 0)</f>
        <v>64.840199999999996</v>
      </c>
      <c r="K649" s="14">
        <f>64.8381 * CHOOSE(CONTROL!$C$9, $D$9, 100%, $F$9) + CHOOSE(CONTROL!$C$27, 0.0021, 0)</f>
        <v>64.840199999999996</v>
      </c>
      <c r="L649" s="14"/>
    </row>
    <row r="650" spans="1:12" ht="15.75" x14ac:dyDescent="0.25">
      <c r="A650" s="32">
        <v>60722</v>
      </c>
      <c r="B650" s="14">
        <f>68.5897 * CHOOSE(CONTROL!$C$9, $D$9, 100%, $F$9) + CHOOSE(CONTROL!$C$27, 0.0021, 0)</f>
        <v>68.591799999999992</v>
      </c>
      <c r="C650" s="14">
        <f>68.1574 * CHOOSE(CONTROL!$C$9, $D$9, 100%, $F$9) + CHOOSE(CONTROL!$C$27, 0.0021, 0)</f>
        <v>68.159499999999994</v>
      </c>
      <c r="D650" s="14">
        <f>68.1574 * CHOOSE(CONTROL!$C$9, $D$9, 100%, $F$9) + CHOOSE(CONTROL!$C$27, 0.0021, 0)</f>
        <v>68.159499999999994</v>
      </c>
      <c r="E650" s="14">
        <f>68.0208 * CHOOSE(CONTROL!$C$9, $D$9, 100%, $F$9) + CHOOSE(CONTROL!$C$27, 0.0021, 0)</f>
        <v>68.022899999999993</v>
      </c>
      <c r="F650" s="14">
        <f>68.0208 * CHOOSE(CONTROL!$C$9, $D$9, 100%, $F$9) + CHOOSE(CONTROL!$C$27, 0.0021, 0)</f>
        <v>68.022899999999993</v>
      </c>
      <c r="G650" s="14">
        <f>68.2921 * CHOOSE(CONTROL!$C$9, $D$9, 100%, $F$9) + CHOOSE(CONTROL!$C$27, 0.0021, 0)</f>
        <v>68.294200000000004</v>
      </c>
      <c r="H650" s="14">
        <f>68.1574 * CHOOSE(CONTROL!$C$9, $D$9, 100%, $F$9) + CHOOSE(CONTROL!$C$27, 0.0021, 0)</f>
        <v>68.159499999999994</v>
      </c>
      <c r="I650" s="14">
        <f>68.1574 * CHOOSE(CONTROL!$C$9, $D$9, 100%, $F$9) + CHOOSE(CONTROL!$C$27, 0.0021, 0)</f>
        <v>68.159499999999994</v>
      </c>
      <c r="J650" s="14">
        <f>68.1574 * CHOOSE(CONTROL!$C$9, $D$9, 100%, $F$9) + CHOOSE(CONTROL!$C$27, 0.0021, 0)</f>
        <v>68.159499999999994</v>
      </c>
      <c r="K650" s="14">
        <f>68.1574 * CHOOSE(CONTROL!$C$9, $D$9, 100%, $F$9) + CHOOSE(CONTROL!$C$27, 0.0021, 0)</f>
        <v>68.159499999999994</v>
      </c>
      <c r="L650" s="14"/>
    </row>
    <row r="651" spans="1:12" ht="15.75" x14ac:dyDescent="0.25">
      <c r="A651" s="32">
        <v>60752</v>
      </c>
      <c r="B651" s="14">
        <f>72.894 * CHOOSE(CONTROL!$C$9, $D$9, 100%, $F$9) + CHOOSE(CONTROL!$C$27, 0.0021, 0)</f>
        <v>72.896100000000004</v>
      </c>
      <c r="C651" s="14">
        <f>72.4618 * CHOOSE(CONTROL!$C$9, $D$9, 100%, $F$9) + CHOOSE(CONTROL!$C$27, 0.0021, 0)</f>
        <v>72.463899999999995</v>
      </c>
      <c r="D651" s="14">
        <f>72.4618 * CHOOSE(CONTROL!$C$9, $D$9, 100%, $F$9) + CHOOSE(CONTROL!$C$27, 0.0021, 0)</f>
        <v>72.463899999999995</v>
      </c>
      <c r="E651" s="14">
        <f>72.3251 * CHOOSE(CONTROL!$C$9, $D$9, 100%, $F$9) + CHOOSE(CONTROL!$C$27, 0.0021, 0)</f>
        <v>72.327200000000005</v>
      </c>
      <c r="F651" s="14">
        <f>72.3251 * CHOOSE(CONTROL!$C$9, $D$9, 100%, $F$9) + CHOOSE(CONTROL!$C$27, 0.0021, 0)</f>
        <v>72.327200000000005</v>
      </c>
      <c r="G651" s="14">
        <f>72.5965 * CHOOSE(CONTROL!$C$9, $D$9, 100%, $F$9) + CHOOSE(CONTROL!$C$27, 0.0021, 0)</f>
        <v>72.598600000000005</v>
      </c>
      <c r="H651" s="14">
        <f>72.4618 * CHOOSE(CONTROL!$C$9, $D$9, 100%, $F$9) + CHOOSE(CONTROL!$C$27, 0.0021, 0)</f>
        <v>72.463899999999995</v>
      </c>
      <c r="I651" s="14">
        <f>72.4618 * CHOOSE(CONTROL!$C$9, $D$9, 100%, $F$9) + CHOOSE(CONTROL!$C$27, 0.0021, 0)</f>
        <v>72.463899999999995</v>
      </c>
      <c r="J651" s="14">
        <f>72.4618 * CHOOSE(CONTROL!$C$9, $D$9, 100%, $F$9) + CHOOSE(CONTROL!$C$27, 0.0021, 0)</f>
        <v>72.463899999999995</v>
      </c>
      <c r="K651" s="14">
        <f>72.4618 * CHOOSE(CONTROL!$C$9, $D$9, 100%, $F$9) + CHOOSE(CONTROL!$C$27, 0.0021, 0)</f>
        <v>72.463899999999995</v>
      </c>
      <c r="L651" s="14"/>
    </row>
    <row r="652" spans="1:12" ht="15.75" x14ac:dyDescent="0.25">
      <c r="A652" s="32">
        <v>60783</v>
      </c>
      <c r="B652" s="14">
        <f>75.2633 * CHOOSE(CONTROL!$C$9, $D$9, 100%, $F$9) + CHOOSE(CONTROL!$C$27, 0.0021, 0)</f>
        <v>75.2654</v>
      </c>
      <c r="C652" s="14">
        <f>74.831 * CHOOSE(CONTROL!$C$9, $D$9, 100%, $F$9) + CHOOSE(CONTROL!$C$27, 0.0021, 0)</f>
        <v>74.833100000000002</v>
      </c>
      <c r="D652" s="14">
        <f>74.831 * CHOOSE(CONTROL!$C$9, $D$9, 100%, $F$9) + CHOOSE(CONTROL!$C$27, 0.0021, 0)</f>
        <v>74.833100000000002</v>
      </c>
      <c r="E652" s="14">
        <f>74.6943 * CHOOSE(CONTROL!$C$9, $D$9, 100%, $F$9) + CHOOSE(CONTROL!$C$27, 0.0021, 0)</f>
        <v>74.696399999999997</v>
      </c>
      <c r="F652" s="14">
        <f>74.6943 * CHOOSE(CONTROL!$C$9, $D$9, 100%, $F$9) + CHOOSE(CONTROL!$C$27, 0.0021, 0)</f>
        <v>74.696399999999997</v>
      </c>
      <c r="G652" s="14">
        <f>74.9657 * CHOOSE(CONTROL!$C$9, $D$9, 100%, $F$9) + CHOOSE(CONTROL!$C$27, 0.0021, 0)</f>
        <v>74.967799999999997</v>
      </c>
      <c r="H652" s="14">
        <f>74.831 * CHOOSE(CONTROL!$C$9, $D$9, 100%, $F$9) + CHOOSE(CONTROL!$C$27, 0.0021, 0)</f>
        <v>74.833100000000002</v>
      </c>
      <c r="I652" s="14">
        <f>74.831 * CHOOSE(CONTROL!$C$9, $D$9, 100%, $F$9) + CHOOSE(CONTROL!$C$27, 0.0021, 0)</f>
        <v>74.833100000000002</v>
      </c>
      <c r="J652" s="14">
        <f>74.831 * CHOOSE(CONTROL!$C$9, $D$9, 100%, $F$9) + CHOOSE(CONTROL!$C$27, 0.0021, 0)</f>
        <v>74.833100000000002</v>
      </c>
      <c r="K652" s="14">
        <f>74.831 * CHOOSE(CONTROL!$C$9, $D$9, 100%, $F$9) + CHOOSE(CONTROL!$C$27, 0.0021, 0)</f>
        <v>74.833100000000002</v>
      </c>
      <c r="L652" s="14"/>
    </row>
    <row r="653" spans="1:12" ht="15.75" x14ac:dyDescent="0.25">
      <c r="A653" s="32">
        <v>60813</v>
      </c>
      <c r="B653" s="14">
        <f>76.3147 * CHOOSE(CONTROL!$C$9, $D$9, 100%, $F$9) + CHOOSE(CONTROL!$C$27, 0.0021, 0)</f>
        <v>76.316800000000001</v>
      </c>
      <c r="C653" s="14">
        <f>75.8824 * CHOOSE(CONTROL!$C$9, $D$9, 100%, $F$9) + CHOOSE(CONTROL!$C$27, 0.0021, 0)</f>
        <v>75.884500000000003</v>
      </c>
      <c r="D653" s="14">
        <f>75.8824 * CHOOSE(CONTROL!$C$9, $D$9, 100%, $F$9) + CHOOSE(CONTROL!$C$27, 0.0021, 0)</f>
        <v>75.884500000000003</v>
      </c>
      <c r="E653" s="14">
        <f>75.7458 * CHOOSE(CONTROL!$C$9, $D$9, 100%, $F$9) + CHOOSE(CONTROL!$C$27, 0.0021, 0)</f>
        <v>75.747900000000001</v>
      </c>
      <c r="F653" s="14">
        <f>75.7458 * CHOOSE(CONTROL!$C$9, $D$9, 100%, $F$9) + CHOOSE(CONTROL!$C$27, 0.0021, 0)</f>
        <v>75.747900000000001</v>
      </c>
      <c r="G653" s="14">
        <f>76.0172 * CHOOSE(CONTROL!$C$9, $D$9, 100%, $F$9) + CHOOSE(CONTROL!$C$27, 0.0021, 0)</f>
        <v>76.019300000000001</v>
      </c>
      <c r="H653" s="14">
        <f>75.8824 * CHOOSE(CONTROL!$C$9, $D$9, 100%, $F$9) + CHOOSE(CONTROL!$C$27, 0.0021, 0)</f>
        <v>75.884500000000003</v>
      </c>
      <c r="I653" s="14">
        <f>75.8824 * CHOOSE(CONTROL!$C$9, $D$9, 100%, $F$9) + CHOOSE(CONTROL!$C$27, 0.0021, 0)</f>
        <v>75.884500000000003</v>
      </c>
      <c r="J653" s="14">
        <f>75.8824 * CHOOSE(CONTROL!$C$9, $D$9, 100%, $F$9) + CHOOSE(CONTROL!$C$27, 0.0021, 0)</f>
        <v>75.884500000000003</v>
      </c>
      <c r="K653" s="14">
        <f>75.8824 * CHOOSE(CONTROL!$C$9, $D$9, 100%, $F$9) + CHOOSE(CONTROL!$C$27, 0.0021, 0)</f>
        <v>75.884500000000003</v>
      </c>
      <c r="L653" s="14"/>
    </row>
    <row r="654" spans="1:12" ht="15.75" x14ac:dyDescent="0.25">
      <c r="A654" s="32">
        <v>60844</v>
      </c>
      <c r="B654" s="14">
        <f>75.9685 * CHOOSE(CONTROL!$C$9, $D$9, 100%, $F$9) + CHOOSE(CONTROL!$C$27, 0.0021, 0)</f>
        <v>75.970600000000005</v>
      </c>
      <c r="C654" s="14">
        <f>75.5363 * CHOOSE(CONTROL!$C$9, $D$9, 100%, $F$9) + CHOOSE(CONTROL!$C$27, 0.0021, 0)</f>
        <v>75.538399999999996</v>
      </c>
      <c r="D654" s="14">
        <f>75.5363 * CHOOSE(CONTROL!$C$9, $D$9, 100%, $F$9) + CHOOSE(CONTROL!$C$27, 0.0021, 0)</f>
        <v>75.538399999999996</v>
      </c>
      <c r="E654" s="14">
        <f>75.3996 * CHOOSE(CONTROL!$C$9, $D$9, 100%, $F$9) + CHOOSE(CONTROL!$C$27, 0.0021, 0)</f>
        <v>75.401700000000005</v>
      </c>
      <c r="F654" s="14">
        <f>75.3996 * CHOOSE(CONTROL!$C$9, $D$9, 100%, $F$9) + CHOOSE(CONTROL!$C$27, 0.0021, 0)</f>
        <v>75.401700000000005</v>
      </c>
      <c r="G654" s="14">
        <f>75.671 * CHOOSE(CONTROL!$C$9, $D$9, 100%, $F$9) + CHOOSE(CONTROL!$C$27, 0.0021, 0)</f>
        <v>75.673100000000005</v>
      </c>
      <c r="H654" s="14">
        <f>75.5363 * CHOOSE(CONTROL!$C$9, $D$9, 100%, $F$9) + CHOOSE(CONTROL!$C$27, 0.0021, 0)</f>
        <v>75.538399999999996</v>
      </c>
      <c r="I654" s="14">
        <f>75.5363 * CHOOSE(CONTROL!$C$9, $D$9, 100%, $F$9) + CHOOSE(CONTROL!$C$27, 0.0021, 0)</f>
        <v>75.538399999999996</v>
      </c>
      <c r="J654" s="14">
        <f>75.5363 * CHOOSE(CONTROL!$C$9, $D$9, 100%, $F$9) + CHOOSE(CONTROL!$C$27, 0.0021, 0)</f>
        <v>75.538399999999996</v>
      </c>
      <c r="K654" s="14">
        <f>75.5363 * CHOOSE(CONTROL!$C$9, $D$9, 100%, $F$9) + CHOOSE(CONTROL!$C$27, 0.0021, 0)</f>
        <v>75.538399999999996</v>
      </c>
      <c r="L654" s="14"/>
    </row>
    <row r="655" spans="1:12" ht="15.75" x14ac:dyDescent="0.25">
      <c r="A655" s="32">
        <v>60875</v>
      </c>
      <c r="B655" s="14">
        <f>74.2534 * CHOOSE(CONTROL!$C$9, $D$9, 100%, $F$9) + CHOOSE(CONTROL!$C$27, 0.0021, 0)</f>
        <v>74.255499999999998</v>
      </c>
      <c r="C655" s="14">
        <f>73.8211 * CHOOSE(CONTROL!$C$9, $D$9, 100%, $F$9) + CHOOSE(CONTROL!$C$27, 0.0021, 0)</f>
        <v>73.8232</v>
      </c>
      <c r="D655" s="14">
        <f>73.8211 * CHOOSE(CONTROL!$C$9, $D$9, 100%, $F$9) + CHOOSE(CONTROL!$C$27, 0.0021, 0)</f>
        <v>73.8232</v>
      </c>
      <c r="E655" s="14">
        <f>73.6844 * CHOOSE(CONTROL!$C$9, $D$9, 100%, $F$9) + CHOOSE(CONTROL!$C$27, 0.0021, 0)</f>
        <v>73.686499999999995</v>
      </c>
      <c r="F655" s="14">
        <f>73.6844 * CHOOSE(CONTROL!$C$9, $D$9, 100%, $F$9) + CHOOSE(CONTROL!$C$27, 0.0021, 0)</f>
        <v>73.686499999999995</v>
      </c>
      <c r="G655" s="14">
        <f>73.9558 * CHOOSE(CONTROL!$C$9, $D$9, 100%, $F$9) + CHOOSE(CONTROL!$C$27, 0.0021, 0)</f>
        <v>73.957899999999995</v>
      </c>
      <c r="H655" s="14">
        <f>73.8211 * CHOOSE(CONTROL!$C$9, $D$9, 100%, $F$9) + CHOOSE(CONTROL!$C$27, 0.0021, 0)</f>
        <v>73.8232</v>
      </c>
      <c r="I655" s="14">
        <f>73.8211 * CHOOSE(CONTROL!$C$9, $D$9, 100%, $F$9) + CHOOSE(CONTROL!$C$27, 0.0021, 0)</f>
        <v>73.8232</v>
      </c>
      <c r="J655" s="14">
        <f>73.8211 * CHOOSE(CONTROL!$C$9, $D$9, 100%, $F$9) + CHOOSE(CONTROL!$C$27, 0.0021, 0)</f>
        <v>73.8232</v>
      </c>
      <c r="K655" s="14">
        <f>73.8211 * CHOOSE(CONTROL!$C$9, $D$9, 100%, $F$9) + CHOOSE(CONTROL!$C$27, 0.0021, 0)</f>
        <v>73.8232</v>
      </c>
      <c r="L655" s="14"/>
    </row>
    <row r="656" spans="1:12" ht="15.75" x14ac:dyDescent="0.25">
      <c r="A656" s="32">
        <v>60905</v>
      </c>
      <c r="B656" s="14">
        <f>71.8615 * CHOOSE(CONTROL!$C$9, $D$9, 100%, $F$9) + CHOOSE(CONTROL!$C$27, 0.0021, 0)</f>
        <v>71.863600000000005</v>
      </c>
      <c r="C656" s="14">
        <f>71.4292 * CHOOSE(CONTROL!$C$9, $D$9, 100%, $F$9) + CHOOSE(CONTROL!$C$27, 0.0021, 0)</f>
        <v>71.431299999999993</v>
      </c>
      <c r="D656" s="14">
        <f>71.4292 * CHOOSE(CONTROL!$C$9, $D$9, 100%, $F$9) + CHOOSE(CONTROL!$C$27, 0.0021, 0)</f>
        <v>71.431299999999993</v>
      </c>
      <c r="E656" s="14">
        <f>71.2926 * CHOOSE(CONTROL!$C$9, $D$9, 100%, $F$9) + CHOOSE(CONTROL!$C$27, 0.0021, 0)</f>
        <v>71.294699999999992</v>
      </c>
      <c r="F656" s="14">
        <f>71.2926 * CHOOSE(CONTROL!$C$9, $D$9, 100%, $F$9) + CHOOSE(CONTROL!$C$27, 0.0021, 0)</f>
        <v>71.294699999999992</v>
      </c>
      <c r="G656" s="14">
        <f>71.564 * CHOOSE(CONTROL!$C$9, $D$9, 100%, $F$9) + CHOOSE(CONTROL!$C$27, 0.0021, 0)</f>
        <v>71.566099999999992</v>
      </c>
      <c r="H656" s="14">
        <f>71.4292 * CHOOSE(CONTROL!$C$9, $D$9, 100%, $F$9) + CHOOSE(CONTROL!$C$27, 0.0021, 0)</f>
        <v>71.431299999999993</v>
      </c>
      <c r="I656" s="14">
        <f>71.4292 * CHOOSE(CONTROL!$C$9, $D$9, 100%, $F$9) + CHOOSE(CONTROL!$C$27, 0.0021, 0)</f>
        <v>71.431299999999993</v>
      </c>
      <c r="J656" s="14">
        <f>71.4292 * CHOOSE(CONTROL!$C$9, $D$9, 100%, $F$9) + CHOOSE(CONTROL!$C$27, 0.0021, 0)</f>
        <v>71.431299999999993</v>
      </c>
      <c r="K656" s="14">
        <f>71.4292 * CHOOSE(CONTROL!$C$9, $D$9, 100%, $F$9) + CHOOSE(CONTROL!$C$27, 0.0021, 0)</f>
        <v>71.431299999999993</v>
      </c>
      <c r="L656" s="14"/>
    </row>
    <row r="657" spans="1:12" ht="15.75" x14ac:dyDescent="0.25">
      <c r="A657" s="32">
        <v>60936</v>
      </c>
      <c r="B657" s="14">
        <f>69.4557 * CHOOSE(CONTROL!$C$9, $D$9, 100%, $F$9) + CHOOSE(CONTROL!$C$27, 0.0021, 0)</f>
        <v>69.457799999999992</v>
      </c>
      <c r="C657" s="14">
        <f>69.0235 * CHOOSE(CONTROL!$C$9, $D$9, 100%, $F$9) + CHOOSE(CONTROL!$C$27, 0.0021, 0)</f>
        <v>69.025599999999997</v>
      </c>
      <c r="D657" s="14">
        <f>69.0235 * CHOOSE(CONTROL!$C$9, $D$9, 100%, $F$9) + CHOOSE(CONTROL!$C$27, 0.0021, 0)</f>
        <v>69.025599999999997</v>
      </c>
      <c r="E657" s="14">
        <f>68.8868 * CHOOSE(CONTROL!$C$9, $D$9, 100%, $F$9) + CHOOSE(CONTROL!$C$27, 0.0021, 0)</f>
        <v>68.888899999999992</v>
      </c>
      <c r="F657" s="14">
        <f>68.8868 * CHOOSE(CONTROL!$C$9, $D$9, 100%, $F$9) + CHOOSE(CONTROL!$C$27, 0.0021, 0)</f>
        <v>68.888899999999992</v>
      </c>
      <c r="G657" s="14">
        <f>69.1582 * CHOOSE(CONTROL!$C$9, $D$9, 100%, $F$9) + CHOOSE(CONTROL!$C$27, 0.0021, 0)</f>
        <v>69.160299999999992</v>
      </c>
      <c r="H657" s="14">
        <f>69.0235 * CHOOSE(CONTROL!$C$9, $D$9, 100%, $F$9) + CHOOSE(CONTROL!$C$27, 0.0021, 0)</f>
        <v>69.025599999999997</v>
      </c>
      <c r="I657" s="14">
        <f>69.0235 * CHOOSE(CONTROL!$C$9, $D$9, 100%, $F$9) + CHOOSE(CONTROL!$C$27, 0.0021, 0)</f>
        <v>69.025599999999997</v>
      </c>
      <c r="J657" s="14">
        <f>69.0235 * CHOOSE(CONTROL!$C$9, $D$9, 100%, $F$9) + CHOOSE(CONTROL!$C$27, 0.0021, 0)</f>
        <v>69.025599999999997</v>
      </c>
      <c r="K657" s="14">
        <f>69.0235 * CHOOSE(CONTROL!$C$9, $D$9, 100%, $F$9) + CHOOSE(CONTROL!$C$27, 0.0021, 0)</f>
        <v>69.025599999999997</v>
      </c>
      <c r="L657" s="14"/>
    </row>
    <row r="658" spans="1:12" ht="15.75" x14ac:dyDescent="0.25">
      <c r="A658" s="32">
        <v>60966</v>
      </c>
      <c r="B658" s="14">
        <f>68.9772 * CHOOSE(CONTROL!$C$9, $D$9, 100%, $F$9) + CHOOSE(CONTROL!$C$27, 0.0021, 0)</f>
        <v>68.979299999999995</v>
      </c>
      <c r="C658" s="14">
        <f>68.5449 * CHOOSE(CONTROL!$C$9, $D$9, 100%, $F$9) + CHOOSE(CONTROL!$C$27, 0.0021, 0)</f>
        <v>68.546999999999997</v>
      </c>
      <c r="D658" s="14">
        <f>68.5449 * CHOOSE(CONTROL!$C$9, $D$9, 100%, $F$9) + CHOOSE(CONTROL!$C$27, 0.0021, 0)</f>
        <v>68.546999999999997</v>
      </c>
      <c r="E658" s="14">
        <f>68.4083 * CHOOSE(CONTROL!$C$9, $D$9, 100%, $F$9) + CHOOSE(CONTROL!$C$27, 0.0021, 0)</f>
        <v>68.410399999999996</v>
      </c>
      <c r="F658" s="14">
        <f>68.4083 * CHOOSE(CONTROL!$C$9, $D$9, 100%, $F$9) + CHOOSE(CONTROL!$C$27, 0.0021, 0)</f>
        <v>68.410399999999996</v>
      </c>
      <c r="G658" s="14">
        <f>68.6796 * CHOOSE(CONTROL!$C$9, $D$9, 100%, $F$9) + CHOOSE(CONTROL!$C$27, 0.0021, 0)</f>
        <v>68.681699999999992</v>
      </c>
      <c r="H658" s="14">
        <f>68.5449 * CHOOSE(CONTROL!$C$9, $D$9, 100%, $F$9) + CHOOSE(CONTROL!$C$27, 0.0021, 0)</f>
        <v>68.546999999999997</v>
      </c>
      <c r="I658" s="14">
        <f>68.5449 * CHOOSE(CONTROL!$C$9, $D$9, 100%, $F$9) + CHOOSE(CONTROL!$C$27, 0.0021, 0)</f>
        <v>68.546999999999997</v>
      </c>
      <c r="J658" s="14">
        <f>68.5449 * CHOOSE(CONTROL!$C$9, $D$9, 100%, $F$9) + CHOOSE(CONTROL!$C$27, 0.0021, 0)</f>
        <v>68.546999999999997</v>
      </c>
      <c r="K658" s="14">
        <f>68.5449 * CHOOSE(CONTROL!$C$9, $D$9, 100%, $F$9) + CHOOSE(CONTROL!$C$27, 0.0021, 0)</f>
        <v>68.546999999999997</v>
      </c>
      <c r="L658" s="14"/>
    </row>
    <row r="659" spans="1:12" ht="15.75" x14ac:dyDescent="0.25">
      <c r="A659" s="32">
        <v>60997</v>
      </c>
      <c r="B659" s="14">
        <f>66.9983 * CHOOSE(CONTROL!$C$9, $D$9, 100%, $F$9) + CHOOSE(CONTROL!$C$27, 0.0021, 0)</f>
        <v>67.000399999999999</v>
      </c>
      <c r="C659" s="14">
        <f>66.566 * CHOOSE(CONTROL!$C$9, $D$9, 100%, $F$9) + CHOOSE(CONTROL!$C$27, 0.0021, 0)</f>
        <v>66.568100000000001</v>
      </c>
      <c r="D659" s="14">
        <f>66.566 * CHOOSE(CONTROL!$C$9, $D$9, 100%, $F$9) + CHOOSE(CONTROL!$C$27, 0.0021, 0)</f>
        <v>66.568100000000001</v>
      </c>
      <c r="E659" s="14">
        <f>66.4294 * CHOOSE(CONTROL!$C$9, $D$9, 100%, $F$9) + CHOOSE(CONTROL!$C$27, 0.0021, 0)</f>
        <v>66.4315</v>
      </c>
      <c r="F659" s="14">
        <f>66.4294 * CHOOSE(CONTROL!$C$9, $D$9, 100%, $F$9) + CHOOSE(CONTROL!$C$27, 0.0021, 0)</f>
        <v>66.4315</v>
      </c>
      <c r="G659" s="14">
        <f>66.7008 * CHOOSE(CONTROL!$C$9, $D$9, 100%, $F$9) + CHOOSE(CONTROL!$C$27, 0.0021, 0)</f>
        <v>66.7029</v>
      </c>
      <c r="H659" s="14">
        <f>66.566 * CHOOSE(CONTROL!$C$9, $D$9, 100%, $F$9) + CHOOSE(CONTROL!$C$27, 0.0021, 0)</f>
        <v>66.568100000000001</v>
      </c>
      <c r="I659" s="14">
        <f>66.566 * CHOOSE(CONTROL!$C$9, $D$9, 100%, $F$9) + CHOOSE(CONTROL!$C$27, 0.0021, 0)</f>
        <v>66.568100000000001</v>
      </c>
      <c r="J659" s="14">
        <f>66.566 * CHOOSE(CONTROL!$C$9, $D$9, 100%, $F$9) + CHOOSE(CONTROL!$C$27, 0.0021, 0)</f>
        <v>66.568100000000001</v>
      </c>
      <c r="K659" s="14">
        <f>66.566 * CHOOSE(CONTROL!$C$9, $D$9, 100%, $F$9) + CHOOSE(CONTROL!$C$27, 0.0021, 0)</f>
        <v>66.568100000000001</v>
      </c>
      <c r="L659" s="14"/>
    </row>
    <row r="660" spans="1:12" ht="15.75" x14ac:dyDescent="0.25">
      <c r="A660" s="32">
        <v>61028</v>
      </c>
      <c r="B660" s="14">
        <f>66.613 * CHOOSE(CONTROL!$C$9, $D$9, 100%, $F$9) + CHOOSE(CONTROL!$C$27, 0.0021, 0)</f>
        <v>66.615099999999998</v>
      </c>
      <c r="C660" s="14">
        <f>66.1808 * CHOOSE(CONTROL!$C$9, $D$9, 100%, $F$9) + CHOOSE(CONTROL!$C$27, 0.0021, 0)</f>
        <v>66.182900000000004</v>
      </c>
      <c r="D660" s="14">
        <f>66.1808 * CHOOSE(CONTROL!$C$9, $D$9, 100%, $F$9) + CHOOSE(CONTROL!$C$27, 0.0021, 0)</f>
        <v>66.182900000000004</v>
      </c>
      <c r="E660" s="14">
        <f>66.0441 * CHOOSE(CONTROL!$C$9, $D$9, 100%, $F$9) + CHOOSE(CONTROL!$C$27, 0.0021, 0)</f>
        <v>66.046199999999999</v>
      </c>
      <c r="F660" s="14">
        <f>66.0441 * CHOOSE(CONTROL!$C$9, $D$9, 100%, $F$9) + CHOOSE(CONTROL!$C$27, 0.0021, 0)</f>
        <v>66.046199999999999</v>
      </c>
      <c r="G660" s="14">
        <f>66.3155 * CHOOSE(CONTROL!$C$9, $D$9, 100%, $F$9) + CHOOSE(CONTROL!$C$27, 0.0021, 0)</f>
        <v>66.317599999999999</v>
      </c>
      <c r="H660" s="14">
        <f>66.1808 * CHOOSE(CONTROL!$C$9, $D$9, 100%, $F$9) + CHOOSE(CONTROL!$C$27, 0.0021, 0)</f>
        <v>66.182900000000004</v>
      </c>
      <c r="I660" s="14">
        <f>66.1808 * CHOOSE(CONTROL!$C$9, $D$9, 100%, $F$9) + CHOOSE(CONTROL!$C$27, 0.0021, 0)</f>
        <v>66.182900000000004</v>
      </c>
      <c r="J660" s="14">
        <f>66.1808 * CHOOSE(CONTROL!$C$9, $D$9, 100%, $F$9) + CHOOSE(CONTROL!$C$27, 0.0021, 0)</f>
        <v>66.182900000000004</v>
      </c>
      <c r="K660" s="14">
        <f>66.1808 * CHOOSE(CONTROL!$C$9, $D$9, 100%, $F$9) + CHOOSE(CONTROL!$C$27, 0.0021, 0)</f>
        <v>66.182900000000004</v>
      </c>
      <c r="L660" s="14"/>
    </row>
    <row r="661" spans="1:12" ht="15.75" x14ac:dyDescent="0.25">
      <c r="A661" s="32">
        <v>61056</v>
      </c>
      <c r="B661" s="14">
        <f>66.4342 * CHOOSE(CONTROL!$C$9, $D$9, 100%, $F$9) + CHOOSE(CONTROL!$C$27, 0.0021, 0)</f>
        <v>66.436300000000003</v>
      </c>
      <c r="C661" s="14">
        <f>66.002 * CHOOSE(CONTROL!$C$9, $D$9, 100%, $F$9) + CHOOSE(CONTROL!$C$27, 0.0021, 0)</f>
        <v>66.004099999999994</v>
      </c>
      <c r="D661" s="14">
        <f>66.002 * CHOOSE(CONTROL!$C$9, $D$9, 100%, $F$9) + CHOOSE(CONTROL!$C$27, 0.0021, 0)</f>
        <v>66.004099999999994</v>
      </c>
      <c r="E661" s="14">
        <f>65.8653 * CHOOSE(CONTROL!$C$9, $D$9, 100%, $F$9) + CHOOSE(CONTROL!$C$27, 0.0021, 0)</f>
        <v>65.867400000000004</v>
      </c>
      <c r="F661" s="14">
        <f>65.8653 * CHOOSE(CONTROL!$C$9, $D$9, 100%, $F$9) + CHOOSE(CONTROL!$C$27, 0.0021, 0)</f>
        <v>65.867400000000004</v>
      </c>
      <c r="G661" s="14">
        <f>66.1367 * CHOOSE(CONTROL!$C$9, $D$9, 100%, $F$9) + CHOOSE(CONTROL!$C$27, 0.0021, 0)</f>
        <v>66.138800000000003</v>
      </c>
      <c r="H661" s="14">
        <f>66.002 * CHOOSE(CONTROL!$C$9, $D$9, 100%, $F$9) + CHOOSE(CONTROL!$C$27, 0.0021, 0)</f>
        <v>66.004099999999994</v>
      </c>
      <c r="I661" s="14">
        <f>66.002 * CHOOSE(CONTROL!$C$9, $D$9, 100%, $F$9) + CHOOSE(CONTROL!$C$27, 0.0021, 0)</f>
        <v>66.004099999999994</v>
      </c>
      <c r="J661" s="14">
        <f>66.002 * CHOOSE(CONTROL!$C$9, $D$9, 100%, $F$9) + CHOOSE(CONTROL!$C$27, 0.0021, 0)</f>
        <v>66.004099999999994</v>
      </c>
      <c r="K661" s="14">
        <f>66.002 * CHOOSE(CONTROL!$C$9, $D$9, 100%, $F$9) + CHOOSE(CONTROL!$C$27, 0.0021, 0)</f>
        <v>66.004099999999994</v>
      </c>
      <c r="L661" s="14"/>
    </row>
    <row r="662" spans="1:12" ht="15.75" x14ac:dyDescent="0.25">
      <c r="A662" s="32">
        <v>61087</v>
      </c>
      <c r="B662" s="14">
        <f>69.8149 * CHOOSE(CONTROL!$C$9, $D$9, 100%, $F$9) + CHOOSE(CONTROL!$C$27, 0.0021, 0)</f>
        <v>69.816999999999993</v>
      </c>
      <c r="C662" s="14">
        <f>69.3826 * CHOOSE(CONTROL!$C$9, $D$9, 100%, $F$9) + CHOOSE(CONTROL!$C$27, 0.0021, 0)</f>
        <v>69.384699999999995</v>
      </c>
      <c r="D662" s="14">
        <f>69.3826 * CHOOSE(CONTROL!$C$9, $D$9, 100%, $F$9) + CHOOSE(CONTROL!$C$27, 0.0021, 0)</f>
        <v>69.384699999999995</v>
      </c>
      <c r="E662" s="14">
        <f>69.246 * CHOOSE(CONTROL!$C$9, $D$9, 100%, $F$9) + CHOOSE(CONTROL!$C$27, 0.0021, 0)</f>
        <v>69.248099999999994</v>
      </c>
      <c r="F662" s="14">
        <f>69.246 * CHOOSE(CONTROL!$C$9, $D$9, 100%, $F$9) + CHOOSE(CONTROL!$C$27, 0.0021, 0)</f>
        <v>69.248099999999994</v>
      </c>
      <c r="G662" s="14">
        <f>69.5174 * CHOOSE(CONTROL!$C$9, $D$9, 100%, $F$9) + CHOOSE(CONTROL!$C$27, 0.0021, 0)</f>
        <v>69.519499999999994</v>
      </c>
      <c r="H662" s="14">
        <f>69.3826 * CHOOSE(CONTROL!$C$9, $D$9, 100%, $F$9) + CHOOSE(CONTROL!$C$27, 0.0021, 0)</f>
        <v>69.384699999999995</v>
      </c>
      <c r="I662" s="14">
        <f>69.3826 * CHOOSE(CONTROL!$C$9, $D$9, 100%, $F$9) + CHOOSE(CONTROL!$C$27, 0.0021, 0)</f>
        <v>69.384699999999995</v>
      </c>
      <c r="J662" s="14">
        <f>69.3826 * CHOOSE(CONTROL!$C$9, $D$9, 100%, $F$9) + CHOOSE(CONTROL!$C$27, 0.0021, 0)</f>
        <v>69.384699999999995</v>
      </c>
      <c r="K662" s="14">
        <f>69.3826 * CHOOSE(CONTROL!$C$9, $D$9, 100%, $F$9) + CHOOSE(CONTROL!$C$27, 0.0021, 0)</f>
        <v>69.384699999999995</v>
      </c>
      <c r="L662" s="14"/>
    </row>
    <row r="663" spans="1:12" ht="15.75" x14ac:dyDescent="0.25">
      <c r="A663" s="32">
        <v>61117</v>
      </c>
      <c r="B663" s="14">
        <f>74.1988 * CHOOSE(CONTROL!$C$9, $D$9, 100%, $F$9) + CHOOSE(CONTROL!$C$27, 0.0021, 0)</f>
        <v>74.200900000000004</v>
      </c>
      <c r="C663" s="14">
        <f>73.7665 * CHOOSE(CONTROL!$C$9, $D$9, 100%, $F$9) + CHOOSE(CONTROL!$C$27, 0.0021, 0)</f>
        <v>73.768599999999992</v>
      </c>
      <c r="D663" s="14">
        <f>73.7665 * CHOOSE(CONTROL!$C$9, $D$9, 100%, $F$9) + CHOOSE(CONTROL!$C$27, 0.0021, 0)</f>
        <v>73.768599999999992</v>
      </c>
      <c r="E663" s="14">
        <f>73.6299 * CHOOSE(CONTROL!$C$9, $D$9, 100%, $F$9) + CHOOSE(CONTROL!$C$27, 0.0021, 0)</f>
        <v>73.632000000000005</v>
      </c>
      <c r="F663" s="14">
        <f>73.6299 * CHOOSE(CONTROL!$C$9, $D$9, 100%, $F$9) + CHOOSE(CONTROL!$C$27, 0.0021, 0)</f>
        <v>73.632000000000005</v>
      </c>
      <c r="G663" s="14">
        <f>73.9012 * CHOOSE(CONTROL!$C$9, $D$9, 100%, $F$9) + CHOOSE(CONTROL!$C$27, 0.0021, 0)</f>
        <v>73.903300000000002</v>
      </c>
      <c r="H663" s="14">
        <f>73.7665 * CHOOSE(CONTROL!$C$9, $D$9, 100%, $F$9) + CHOOSE(CONTROL!$C$27, 0.0021, 0)</f>
        <v>73.768599999999992</v>
      </c>
      <c r="I663" s="14">
        <f>73.7665 * CHOOSE(CONTROL!$C$9, $D$9, 100%, $F$9) + CHOOSE(CONTROL!$C$27, 0.0021, 0)</f>
        <v>73.768599999999992</v>
      </c>
      <c r="J663" s="14">
        <f>73.7665 * CHOOSE(CONTROL!$C$9, $D$9, 100%, $F$9) + CHOOSE(CONTROL!$C$27, 0.0021, 0)</f>
        <v>73.768599999999992</v>
      </c>
      <c r="K663" s="14">
        <f>73.7665 * CHOOSE(CONTROL!$C$9, $D$9, 100%, $F$9) + CHOOSE(CONTROL!$C$27, 0.0021, 0)</f>
        <v>73.768599999999992</v>
      </c>
      <c r="L663" s="14"/>
    </row>
    <row r="664" spans="1:12" ht="15.75" x14ac:dyDescent="0.25">
      <c r="A664" s="32">
        <v>61148</v>
      </c>
      <c r="B664" s="14">
        <f>76.6118 * CHOOSE(CONTROL!$C$9, $D$9, 100%, $F$9) + CHOOSE(CONTROL!$C$27, 0.0021, 0)</f>
        <v>76.613900000000001</v>
      </c>
      <c r="C664" s="14">
        <f>76.1796 * CHOOSE(CONTROL!$C$9, $D$9, 100%, $F$9) + CHOOSE(CONTROL!$C$27, 0.0021, 0)</f>
        <v>76.181699999999992</v>
      </c>
      <c r="D664" s="14">
        <f>76.1796 * CHOOSE(CONTROL!$C$9, $D$9, 100%, $F$9) + CHOOSE(CONTROL!$C$27, 0.0021, 0)</f>
        <v>76.181699999999992</v>
      </c>
      <c r="E664" s="14">
        <f>76.0429 * CHOOSE(CONTROL!$C$9, $D$9, 100%, $F$9) + CHOOSE(CONTROL!$C$27, 0.0021, 0)</f>
        <v>76.045000000000002</v>
      </c>
      <c r="F664" s="14">
        <f>76.0429 * CHOOSE(CONTROL!$C$9, $D$9, 100%, $F$9) + CHOOSE(CONTROL!$C$27, 0.0021, 0)</f>
        <v>76.045000000000002</v>
      </c>
      <c r="G664" s="14">
        <f>76.3143 * CHOOSE(CONTROL!$C$9, $D$9, 100%, $F$9) + CHOOSE(CONTROL!$C$27, 0.0021, 0)</f>
        <v>76.316400000000002</v>
      </c>
      <c r="H664" s="14">
        <f>76.1796 * CHOOSE(CONTROL!$C$9, $D$9, 100%, $F$9) + CHOOSE(CONTROL!$C$27, 0.0021, 0)</f>
        <v>76.181699999999992</v>
      </c>
      <c r="I664" s="14">
        <f>76.1796 * CHOOSE(CONTROL!$C$9, $D$9, 100%, $F$9) + CHOOSE(CONTROL!$C$27, 0.0021, 0)</f>
        <v>76.181699999999992</v>
      </c>
      <c r="J664" s="14">
        <f>76.1796 * CHOOSE(CONTROL!$C$9, $D$9, 100%, $F$9) + CHOOSE(CONTROL!$C$27, 0.0021, 0)</f>
        <v>76.181699999999992</v>
      </c>
      <c r="K664" s="14">
        <f>76.1796 * CHOOSE(CONTROL!$C$9, $D$9, 100%, $F$9) + CHOOSE(CONTROL!$C$27, 0.0021, 0)</f>
        <v>76.181699999999992</v>
      </c>
      <c r="L664" s="14"/>
    </row>
    <row r="665" spans="1:12" ht="15.75" x14ac:dyDescent="0.25">
      <c r="A665" s="32">
        <v>61178</v>
      </c>
      <c r="B665" s="14">
        <f>77.6827 * CHOOSE(CONTROL!$C$9, $D$9, 100%, $F$9) + CHOOSE(CONTROL!$C$27, 0.0021, 0)</f>
        <v>77.684799999999996</v>
      </c>
      <c r="C665" s="14">
        <f>77.2504 * CHOOSE(CONTROL!$C$9, $D$9, 100%, $F$9) + CHOOSE(CONTROL!$C$27, 0.0021, 0)</f>
        <v>77.252499999999998</v>
      </c>
      <c r="D665" s="14">
        <f>77.2504 * CHOOSE(CONTROL!$C$9, $D$9, 100%, $F$9) + CHOOSE(CONTROL!$C$27, 0.0021, 0)</f>
        <v>77.252499999999998</v>
      </c>
      <c r="E665" s="14">
        <f>77.1138 * CHOOSE(CONTROL!$C$9, $D$9, 100%, $F$9) + CHOOSE(CONTROL!$C$27, 0.0021, 0)</f>
        <v>77.115899999999996</v>
      </c>
      <c r="F665" s="14">
        <f>77.1138 * CHOOSE(CONTROL!$C$9, $D$9, 100%, $F$9) + CHOOSE(CONTROL!$C$27, 0.0021, 0)</f>
        <v>77.115899999999996</v>
      </c>
      <c r="G665" s="14">
        <f>77.3851 * CHOOSE(CONTROL!$C$9, $D$9, 100%, $F$9) + CHOOSE(CONTROL!$C$27, 0.0021, 0)</f>
        <v>77.387199999999993</v>
      </c>
      <c r="H665" s="14">
        <f>77.2504 * CHOOSE(CONTROL!$C$9, $D$9, 100%, $F$9) + CHOOSE(CONTROL!$C$27, 0.0021, 0)</f>
        <v>77.252499999999998</v>
      </c>
      <c r="I665" s="14">
        <f>77.2504 * CHOOSE(CONTROL!$C$9, $D$9, 100%, $F$9) + CHOOSE(CONTROL!$C$27, 0.0021, 0)</f>
        <v>77.252499999999998</v>
      </c>
      <c r="J665" s="14">
        <f>77.2504 * CHOOSE(CONTROL!$C$9, $D$9, 100%, $F$9) + CHOOSE(CONTROL!$C$27, 0.0021, 0)</f>
        <v>77.252499999999998</v>
      </c>
      <c r="K665" s="14">
        <f>77.2504 * CHOOSE(CONTROL!$C$9, $D$9, 100%, $F$9) + CHOOSE(CONTROL!$C$27, 0.0021, 0)</f>
        <v>77.252499999999998</v>
      </c>
      <c r="L665" s="14"/>
    </row>
    <row r="666" spans="1:12" ht="15.75" x14ac:dyDescent="0.25">
      <c r="A666" s="32">
        <v>61209</v>
      </c>
      <c r="B666" s="14">
        <f>77.3301 * CHOOSE(CONTROL!$C$9, $D$9, 100%, $F$9) + CHOOSE(CONTROL!$C$27, 0.0021, 0)</f>
        <v>77.3322</v>
      </c>
      <c r="C666" s="14">
        <f>76.8978 * CHOOSE(CONTROL!$C$9, $D$9, 100%, $F$9) + CHOOSE(CONTROL!$C$27, 0.0021, 0)</f>
        <v>76.899900000000002</v>
      </c>
      <c r="D666" s="14">
        <f>76.8978 * CHOOSE(CONTROL!$C$9, $D$9, 100%, $F$9) + CHOOSE(CONTROL!$C$27, 0.0021, 0)</f>
        <v>76.899900000000002</v>
      </c>
      <c r="E666" s="14">
        <f>76.7612 * CHOOSE(CONTROL!$C$9, $D$9, 100%, $F$9) + CHOOSE(CONTROL!$C$27, 0.0021, 0)</f>
        <v>76.763300000000001</v>
      </c>
      <c r="F666" s="14">
        <f>76.7612 * CHOOSE(CONTROL!$C$9, $D$9, 100%, $F$9) + CHOOSE(CONTROL!$C$27, 0.0021, 0)</f>
        <v>76.763300000000001</v>
      </c>
      <c r="G666" s="14">
        <f>77.0326 * CHOOSE(CONTROL!$C$9, $D$9, 100%, $F$9) + CHOOSE(CONTROL!$C$27, 0.0021, 0)</f>
        <v>77.034700000000001</v>
      </c>
      <c r="H666" s="14">
        <f>76.8978 * CHOOSE(CONTROL!$C$9, $D$9, 100%, $F$9) + CHOOSE(CONTROL!$C$27, 0.0021, 0)</f>
        <v>76.899900000000002</v>
      </c>
      <c r="I666" s="14">
        <f>76.8978 * CHOOSE(CONTROL!$C$9, $D$9, 100%, $F$9) + CHOOSE(CONTROL!$C$27, 0.0021, 0)</f>
        <v>76.899900000000002</v>
      </c>
      <c r="J666" s="14">
        <f>76.8978 * CHOOSE(CONTROL!$C$9, $D$9, 100%, $F$9) + CHOOSE(CONTROL!$C$27, 0.0021, 0)</f>
        <v>76.899900000000002</v>
      </c>
      <c r="K666" s="14">
        <f>76.8978 * CHOOSE(CONTROL!$C$9, $D$9, 100%, $F$9) + CHOOSE(CONTROL!$C$27, 0.0021, 0)</f>
        <v>76.899900000000002</v>
      </c>
      <c r="L666" s="14"/>
    </row>
    <row r="667" spans="1:12" ht="15.75" x14ac:dyDescent="0.25">
      <c r="A667" s="32">
        <v>61240</v>
      </c>
      <c r="B667" s="14">
        <f>75.5832 * CHOOSE(CONTROL!$C$9, $D$9, 100%, $F$9) + CHOOSE(CONTROL!$C$27, 0.0021, 0)</f>
        <v>75.585300000000004</v>
      </c>
      <c r="C667" s="14">
        <f>75.151 * CHOOSE(CONTROL!$C$9, $D$9, 100%, $F$9) + CHOOSE(CONTROL!$C$27, 0.0021, 0)</f>
        <v>75.153099999999995</v>
      </c>
      <c r="D667" s="14">
        <f>75.151 * CHOOSE(CONTROL!$C$9, $D$9, 100%, $F$9) + CHOOSE(CONTROL!$C$27, 0.0021, 0)</f>
        <v>75.153099999999995</v>
      </c>
      <c r="E667" s="14">
        <f>75.0143 * CHOOSE(CONTROL!$C$9, $D$9, 100%, $F$9) + CHOOSE(CONTROL!$C$27, 0.0021, 0)</f>
        <v>75.016400000000004</v>
      </c>
      <c r="F667" s="14">
        <f>75.0143 * CHOOSE(CONTROL!$C$9, $D$9, 100%, $F$9) + CHOOSE(CONTROL!$C$27, 0.0021, 0)</f>
        <v>75.016400000000004</v>
      </c>
      <c r="G667" s="14">
        <f>75.2857 * CHOOSE(CONTROL!$C$9, $D$9, 100%, $F$9) + CHOOSE(CONTROL!$C$27, 0.0021, 0)</f>
        <v>75.287800000000004</v>
      </c>
      <c r="H667" s="14">
        <f>75.151 * CHOOSE(CONTROL!$C$9, $D$9, 100%, $F$9) + CHOOSE(CONTROL!$C$27, 0.0021, 0)</f>
        <v>75.153099999999995</v>
      </c>
      <c r="I667" s="14">
        <f>75.151 * CHOOSE(CONTROL!$C$9, $D$9, 100%, $F$9) + CHOOSE(CONTROL!$C$27, 0.0021, 0)</f>
        <v>75.153099999999995</v>
      </c>
      <c r="J667" s="14">
        <f>75.151 * CHOOSE(CONTROL!$C$9, $D$9, 100%, $F$9) + CHOOSE(CONTROL!$C$27, 0.0021, 0)</f>
        <v>75.153099999999995</v>
      </c>
      <c r="K667" s="14">
        <f>75.151 * CHOOSE(CONTROL!$C$9, $D$9, 100%, $F$9) + CHOOSE(CONTROL!$C$27, 0.0021, 0)</f>
        <v>75.153099999999995</v>
      </c>
      <c r="L667" s="14"/>
    </row>
    <row r="668" spans="1:12" ht="15.75" x14ac:dyDescent="0.25">
      <c r="A668" s="32">
        <v>61270</v>
      </c>
      <c r="B668" s="14">
        <f>73.1472 * CHOOSE(CONTROL!$C$9, $D$9, 100%, $F$9) + CHOOSE(CONTROL!$C$27, 0.0021, 0)</f>
        <v>73.149299999999997</v>
      </c>
      <c r="C668" s="14">
        <f>72.7149 * CHOOSE(CONTROL!$C$9, $D$9, 100%, $F$9) + CHOOSE(CONTROL!$C$27, 0.0021, 0)</f>
        <v>72.716999999999999</v>
      </c>
      <c r="D668" s="14">
        <f>72.7149 * CHOOSE(CONTROL!$C$9, $D$9, 100%, $F$9) + CHOOSE(CONTROL!$C$27, 0.0021, 0)</f>
        <v>72.716999999999999</v>
      </c>
      <c r="E668" s="14">
        <f>72.5783 * CHOOSE(CONTROL!$C$9, $D$9, 100%, $F$9) + CHOOSE(CONTROL!$C$27, 0.0021, 0)</f>
        <v>72.580399999999997</v>
      </c>
      <c r="F668" s="14">
        <f>72.5783 * CHOOSE(CONTROL!$C$9, $D$9, 100%, $F$9) + CHOOSE(CONTROL!$C$27, 0.0021, 0)</f>
        <v>72.580399999999997</v>
      </c>
      <c r="G668" s="14">
        <f>72.8497 * CHOOSE(CONTROL!$C$9, $D$9, 100%, $F$9) + CHOOSE(CONTROL!$C$27, 0.0021, 0)</f>
        <v>72.851799999999997</v>
      </c>
      <c r="H668" s="14">
        <f>72.7149 * CHOOSE(CONTROL!$C$9, $D$9, 100%, $F$9) + CHOOSE(CONTROL!$C$27, 0.0021, 0)</f>
        <v>72.716999999999999</v>
      </c>
      <c r="I668" s="14">
        <f>72.7149 * CHOOSE(CONTROL!$C$9, $D$9, 100%, $F$9) + CHOOSE(CONTROL!$C$27, 0.0021, 0)</f>
        <v>72.716999999999999</v>
      </c>
      <c r="J668" s="14">
        <f>72.7149 * CHOOSE(CONTROL!$C$9, $D$9, 100%, $F$9) + CHOOSE(CONTROL!$C$27, 0.0021, 0)</f>
        <v>72.716999999999999</v>
      </c>
      <c r="K668" s="14">
        <f>72.7149 * CHOOSE(CONTROL!$C$9, $D$9, 100%, $F$9) + CHOOSE(CONTROL!$C$27, 0.0021, 0)</f>
        <v>72.716999999999999</v>
      </c>
      <c r="L668" s="14"/>
    </row>
    <row r="669" spans="1:12" ht="15.75" x14ac:dyDescent="0.25">
      <c r="A669" s="32">
        <v>61301</v>
      </c>
      <c r="B669" s="14">
        <f>70.697 * CHOOSE(CONTROL!$C$9, $D$9, 100%, $F$9) + CHOOSE(CONTROL!$C$27, 0.0021, 0)</f>
        <v>70.699100000000001</v>
      </c>
      <c r="C669" s="14">
        <f>70.2647 * CHOOSE(CONTROL!$C$9, $D$9, 100%, $F$9) + CHOOSE(CONTROL!$C$27, 0.0021, 0)</f>
        <v>70.266800000000003</v>
      </c>
      <c r="D669" s="14">
        <f>70.2647 * CHOOSE(CONTROL!$C$9, $D$9, 100%, $F$9) + CHOOSE(CONTROL!$C$27, 0.0021, 0)</f>
        <v>70.266800000000003</v>
      </c>
      <c r="E669" s="14">
        <f>70.128 * CHOOSE(CONTROL!$C$9, $D$9, 100%, $F$9) + CHOOSE(CONTROL!$C$27, 0.0021, 0)</f>
        <v>70.130099999999999</v>
      </c>
      <c r="F669" s="14">
        <f>70.128 * CHOOSE(CONTROL!$C$9, $D$9, 100%, $F$9) + CHOOSE(CONTROL!$C$27, 0.0021, 0)</f>
        <v>70.130099999999999</v>
      </c>
      <c r="G669" s="14">
        <f>70.3994 * CHOOSE(CONTROL!$C$9, $D$9, 100%, $F$9) + CHOOSE(CONTROL!$C$27, 0.0021, 0)</f>
        <v>70.401499999999999</v>
      </c>
      <c r="H669" s="14">
        <f>70.2647 * CHOOSE(CONTROL!$C$9, $D$9, 100%, $F$9) + CHOOSE(CONTROL!$C$27, 0.0021, 0)</f>
        <v>70.266800000000003</v>
      </c>
      <c r="I669" s="14">
        <f>70.2647 * CHOOSE(CONTROL!$C$9, $D$9, 100%, $F$9) + CHOOSE(CONTROL!$C$27, 0.0021, 0)</f>
        <v>70.266800000000003</v>
      </c>
      <c r="J669" s="14">
        <f>70.2647 * CHOOSE(CONTROL!$C$9, $D$9, 100%, $F$9) + CHOOSE(CONTROL!$C$27, 0.0021, 0)</f>
        <v>70.266800000000003</v>
      </c>
      <c r="K669" s="14">
        <f>70.2647 * CHOOSE(CONTROL!$C$9, $D$9, 100%, $F$9) + CHOOSE(CONTROL!$C$27, 0.0021, 0)</f>
        <v>70.266800000000003</v>
      </c>
      <c r="L669" s="14"/>
    </row>
    <row r="670" spans="1:12" ht="15.75" x14ac:dyDescent="0.25">
      <c r="A670" s="32">
        <v>61331</v>
      </c>
      <c r="B670" s="14">
        <f>70.2096 * CHOOSE(CONTROL!$C$9, $D$9, 100%, $F$9) + CHOOSE(CONTROL!$C$27, 0.0021, 0)</f>
        <v>70.211699999999993</v>
      </c>
      <c r="C670" s="14">
        <f>69.7773 * CHOOSE(CONTROL!$C$9, $D$9, 100%, $F$9) + CHOOSE(CONTROL!$C$27, 0.0021, 0)</f>
        <v>69.779399999999995</v>
      </c>
      <c r="D670" s="14">
        <f>69.7773 * CHOOSE(CONTROL!$C$9, $D$9, 100%, $F$9) + CHOOSE(CONTROL!$C$27, 0.0021, 0)</f>
        <v>69.779399999999995</v>
      </c>
      <c r="E670" s="14">
        <f>69.6406 * CHOOSE(CONTROL!$C$9, $D$9, 100%, $F$9) + CHOOSE(CONTROL!$C$27, 0.0021, 0)</f>
        <v>69.642700000000005</v>
      </c>
      <c r="F670" s="14">
        <f>69.6406 * CHOOSE(CONTROL!$C$9, $D$9, 100%, $F$9) + CHOOSE(CONTROL!$C$27, 0.0021, 0)</f>
        <v>69.642700000000005</v>
      </c>
      <c r="G670" s="14">
        <f>69.912 * CHOOSE(CONTROL!$C$9, $D$9, 100%, $F$9) + CHOOSE(CONTROL!$C$27, 0.0021, 0)</f>
        <v>69.914100000000005</v>
      </c>
      <c r="H670" s="14">
        <f>69.7773 * CHOOSE(CONTROL!$C$9, $D$9, 100%, $F$9) + CHOOSE(CONTROL!$C$27, 0.0021, 0)</f>
        <v>69.779399999999995</v>
      </c>
      <c r="I670" s="14">
        <f>69.7773 * CHOOSE(CONTROL!$C$9, $D$9, 100%, $F$9) + CHOOSE(CONTROL!$C$27, 0.0021, 0)</f>
        <v>69.779399999999995</v>
      </c>
      <c r="J670" s="14">
        <f>69.7773 * CHOOSE(CONTROL!$C$9, $D$9, 100%, $F$9) + CHOOSE(CONTROL!$C$27, 0.0021, 0)</f>
        <v>69.779399999999995</v>
      </c>
      <c r="K670" s="14">
        <f>69.7773 * CHOOSE(CONTROL!$C$9, $D$9, 100%, $F$9) + CHOOSE(CONTROL!$C$27, 0.0021, 0)</f>
        <v>69.779399999999995</v>
      </c>
      <c r="L670" s="14"/>
    </row>
    <row r="671" spans="1:12" ht="15.75" x14ac:dyDescent="0.25">
      <c r="A671" s="32">
        <v>61362</v>
      </c>
      <c r="B671" s="14">
        <f>68.1941 * CHOOSE(CONTROL!$C$9, $D$9, 100%, $F$9) + CHOOSE(CONTROL!$C$27, 0.0021, 0)</f>
        <v>68.196200000000005</v>
      </c>
      <c r="C671" s="14">
        <f>67.7619 * CHOOSE(CONTROL!$C$9, $D$9, 100%, $F$9) + CHOOSE(CONTROL!$C$27, 0.0021, 0)</f>
        <v>67.763999999999996</v>
      </c>
      <c r="D671" s="14">
        <f>67.7619 * CHOOSE(CONTROL!$C$9, $D$9, 100%, $F$9) + CHOOSE(CONTROL!$C$27, 0.0021, 0)</f>
        <v>67.763999999999996</v>
      </c>
      <c r="E671" s="14">
        <f>67.6252 * CHOOSE(CONTROL!$C$9, $D$9, 100%, $F$9) + CHOOSE(CONTROL!$C$27, 0.0021, 0)</f>
        <v>67.627300000000005</v>
      </c>
      <c r="F671" s="14">
        <f>67.6252 * CHOOSE(CONTROL!$C$9, $D$9, 100%, $F$9) + CHOOSE(CONTROL!$C$27, 0.0021, 0)</f>
        <v>67.627300000000005</v>
      </c>
      <c r="G671" s="14">
        <f>67.8966 * CHOOSE(CONTROL!$C$9, $D$9, 100%, $F$9) + CHOOSE(CONTROL!$C$27, 0.0021, 0)</f>
        <v>67.898700000000005</v>
      </c>
      <c r="H671" s="14">
        <f>67.7619 * CHOOSE(CONTROL!$C$9, $D$9, 100%, $F$9) + CHOOSE(CONTROL!$C$27, 0.0021, 0)</f>
        <v>67.763999999999996</v>
      </c>
      <c r="I671" s="14">
        <f>67.7619 * CHOOSE(CONTROL!$C$9, $D$9, 100%, $F$9) + CHOOSE(CONTROL!$C$27, 0.0021, 0)</f>
        <v>67.763999999999996</v>
      </c>
      <c r="J671" s="14">
        <f>67.7619 * CHOOSE(CONTROL!$C$9, $D$9, 100%, $F$9) + CHOOSE(CONTROL!$C$27, 0.0021, 0)</f>
        <v>67.763999999999996</v>
      </c>
      <c r="K671" s="14">
        <f>67.7619 * CHOOSE(CONTROL!$C$9, $D$9, 100%, $F$9) + CHOOSE(CONTROL!$C$27, 0.0021, 0)</f>
        <v>67.763999999999996</v>
      </c>
      <c r="L671" s="14"/>
    </row>
    <row r="672" spans="1:12" ht="15.75" x14ac:dyDescent="0.25">
      <c r="A672" s="32">
        <v>61393</v>
      </c>
      <c r="B672" s="14">
        <f>67.8017 * CHOOSE(CONTROL!$C$9, $D$9, 100%, $F$9) + CHOOSE(CONTROL!$C$27, 0.0021, 0)</f>
        <v>67.803799999999995</v>
      </c>
      <c r="C672" s="14">
        <f>67.3695 * CHOOSE(CONTROL!$C$9, $D$9, 100%, $F$9) + CHOOSE(CONTROL!$C$27, 0.0021, 0)</f>
        <v>67.371600000000001</v>
      </c>
      <c r="D672" s="14">
        <f>67.3695 * CHOOSE(CONTROL!$C$9, $D$9, 100%, $F$9) + CHOOSE(CONTROL!$C$27, 0.0021, 0)</f>
        <v>67.371600000000001</v>
      </c>
      <c r="E672" s="14">
        <f>67.2328 * CHOOSE(CONTROL!$C$9, $D$9, 100%, $F$9) + CHOOSE(CONTROL!$C$27, 0.0021, 0)</f>
        <v>67.234899999999996</v>
      </c>
      <c r="F672" s="14">
        <f>67.2328 * CHOOSE(CONTROL!$C$9, $D$9, 100%, $F$9) + CHOOSE(CONTROL!$C$27, 0.0021, 0)</f>
        <v>67.234899999999996</v>
      </c>
      <c r="G672" s="14">
        <f>67.5042 * CHOOSE(CONTROL!$C$9, $D$9, 100%, $F$9) + CHOOSE(CONTROL!$C$27, 0.0021, 0)</f>
        <v>67.506299999999996</v>
      </c>
      <c r="H672" s="14">
        <f>67.3695 * CHOOSE(CONTROL!$C$9, $D$9, 100%, $F$9) + CHOOSE(CONTROL!$C$27, 0.0021, 0)</f>
        <v>67.371600000000001</v>
      </c>
      <c r="I672" s="14">
        <f>67.3695 * CHOOSE(CONTROL!$C$9, $D$9, 100%, $F$9) + CHOOSE(CONTROL!$C$27, 0.0021, 0)</f>
        <v>67.371600000000001</v>
      </c>
      <c r="J672" s="14">
        <f>67.3695 * CHOOSE(CONTROL!$C$9, $D$9, 100%, $F$9) + CHOOSE(CONTROL!$C$27, 0.0021, 0)</f>
        <v>67.371600000000001</v>
      </c>
      <c r="K672" s="14">
        <f>67.3695 * CHOOSE(CONTROL!$C$9, $D$9, 100%, $F$9) + CHOOSE(CONTROL!$C$27, 0.0021, 0)</f>
        <v>67.371600000000001</v>
      </c>
      <c r="L672" s="14"/>
    </row>
    <row r="673" spans="1:12" ht="15.75" x14ac:dyDescent="0.25">
      <c r="A673" s="32">
        <v>61422</v>
      </c>
      <c r="B673" s="14">
        <f>67.6196 * CHOOSE(CONTROL!$C$9, $D$9, 100%, $F$9) + CHOOSE(CONTROL!$C$27, 0.0021, 0)</f>
        <v>67.621700000000004</v>
      </c>
      <c r="C673" s="14">
        <f>67.1874 * CHOOSE(CONTROL!$C$9, $D$9, 100%, $F$9) + CHOOSE(CONTROL!$C$27, 0.0021, 0)</f>
        <v>67.189499999999995</v>
      </c>
      <c r="D673" s="14">
        <f>67.1874 * CHOOSE(CONTROL!$C$9, $D$9, 100%, $F$9) + CHOOSE(CONTROL!$C$27, 0.0021, 0)</f>
        <v>67.189499999999995</v>
      </c>
      <c r="E673" s="14">
        <f>67.0507 * CHOOSE(CONTROL!$C$9, $D$9, 100%, $F$9) + CHOOSE(CONTROL!$C$27, 0.0021, 0)</f>
        <v>67.052800000000005</v>
      </c>
      <c r="F673" s="14">
        <f>67.0507 * CHOOSE(CONTROL!$C$9, $D$9, 100%, $F$9) + CHOOSE(CONTROL!$C$27, 0.0021, 0)</f>
        <v>67.052800000000005</v>
      </c>
      <c r="G673" s="14">
        <f>67.3221 * CHOOSE(CONTROL!$C$9, $D$9, 100%, $F$9) + CHOOSE(CONTROL!$C$27, 0.0021, 0)</f>
        <v>67.324200000000005</v>
      </c>
      <c r="H673" s="14">
        <f>67.1874 * CHOOSE(CONTROL!$C$9, $D$9, 100%, $F$9) + CHOOSE(CONTROL!$C$27, 0.0021, 0)</f>
        <v>67.189499999999995</v>
      </c>
      <c r="I673" s="14">
        <f>67.1874 * CHOOSE(CONTROL!$C$9, $D$9, 100%, $F$9) + CHOOSE(CONTROL!$C$27, 0.0021, 0)</f>
        <v>67.189499999999995</v>
      </c>
      <c r="J673" s="14">
        <f>67.1874 * CHOOSE(CONTROL!$C$9, $D$9, 100%, $F$9) + CHOOSE(CONTROL!$C$27, 0.0021, 0)</f>
        <v>67.189499999999995</v>
      </c>
      <c r="K673" s="14">
        <f>67.1874 * CHOOSE(CONTROL!$C$9, $D$9, 100%, $F$9) + CHOOSE(CONTROL!$C$27, 0.0021, 0)</f>
        <v>67.189499999999995</v>
      </c>
      <c r="L673" s="14"/>
    </row>
    <row r="674" spans="1:12" ht="15.75" x14ac:dyDescent="0.25">
      <c r="A674" s="32">
        <v>61453</v>
      </c>
      <c r="B674" s="14">
        <f>71.0627 * CHOOSE(CONTROL!$C$9, $D$9, 100%, $F$9) + CHOOSE(CONTROL!$C$27, 0.0021, 0)</f>
        <v>71.064800000000005</v>
      </c>
      <c r="C674" s="14">
        <f>70.6305 * CHOOSE(CONTROL!$C$9, $D$9, 100%, $F$9) + CHOOSE(CONTROL!$C$27, 0.0021, 0)</f>
        <v>70.632599999999996</v>
      </c>
      <c r="D674" s="14">
        <f>70.6305 * CHOOSE(CONTROL!$C$9, $D$9, 100%, $F$9) + CHOOSE(CONTROL!$C$27, 0.0021, 0)</f>
        <v>70.632599999999996</v>
      </c>
      <c r="E674" s="14">
        <f>70.4938 * CHOOSE(CONTROL!$C$9, $D$9, 100%, $F$9) + CHOOSE(CONTROL!$C$27, 0.0021, 0)</f>
        <v>70.495899999999992</v>
      </c>
      <c r="F674" s="14">
        <f>70.4938 * CHOOSE(CONTROL!$C$9, $D$9, 100%, $F$9) + CHOOSE(CONTROL!$C$27, 0.0021, 0)</f>
        <v>70.495899999999992</v>
      </c>
      <c r="G674" s="14">
        <f>70.7652 * CHOOSE(CONTROL!$C$9, $D$9, 100%, $F$9) + CHOOSE(CONTROL!$C$27, 0.0021, 0)</f>
        <v>70.767299999999992</v>
      </c>
      <c r="H674" s="14">
        <f>70.6305 * CHOOSE(CONTROL!$C$9, $D$9, 100%, $F$9) + CHOOSE(CONTROL!$C$27, 0.0021, 0)</f>
        <v>70.632599999999996</v>
      </c>
      <c r="I674" s="14">
        <f>70.6305 * CHOOSE(CONTROL!$C$9, $D$9, 100%, $F$9) + CHOOSE(CONTROL!$C$27, 0.0021, 0)</f>
        <v>70.632599999999996</v>
      </c>
      <c r="J674" s="14">
        <f>70.6305 * CHOOSE(CONTROL!$C$9, $D$9, 100%, $F$9) + CHOOSE(CONTROL!$C$27, 0.0021, 0)</f>
        <v>70.632599999999996</v>
      </c>
      <c r="K674" s="14">
        <f>70.6305 * CHOOSE(CONTROL!$C$9, $D$9, 100%, $F$9) + CHOOSE(CONTROL!$C$27, 0.0021, 0)</f>
        <v>70.632599999999996</v>
      </c>
      <c r="L674" s="14"/>
    </row>
    <row r="675" spans="1:12" ht="15.75" x14ac:dyDescent="0.25">
      <c r="A675" s="32">
        <v>61483</v>
      </c>
      <c r="B675" s="14">
        <f>75.5277 * CHOOSE(CONTROL!$C$9, $D$9, 100%, $F$9) + CHOOSE(CONTROL!$C$27, 0.0021, 0)</f>
        <v>75.529799999999994</v>
      </c>
      <c r="C675" s="14">
        <f>75.0954 * CHOOSE(CONTROL!$C$9, $D$9, 100%, $F$9) + CHOOSE(CONTROL!$C$27, 0.0021, 0)</f>
        <v>75.097499999999997</v>
      </c>
      <c r="D675" s="14">
        <f>75.0954 * CHOOSE(CONTROL!$C$9, $D$9, 100%, $F$9) + CHOOSE(CONTROL!$C$27, 0.0021, 0)</f>
        <v>75.097499999999997</v>
      </c>
      <c r="E675" s="14">
        <f>74.9588 * CHOOSE(CONTROL!$C$9, $D$9, 100%, $F$9) + CHOOSE(CONTROL!$C$27, 0.0021, 0)</f>
        <v>74.960899999999995</v>
      </c>
      <c r="F675" s="14">
        <f>74.9588 * CHOOSE(CONTROL!$C$9, $D$9, 100%, $F$9) + CHOOSE(CONTROL!$C$27, 0.0021, 0)</f>
        <v>74.960899999999995</v>
      </c>
      <c r="G675" s="14">
        <f>75.2301 * CHOOSE(CONTROL!$C$9, $D$9, 100%, $F$9) + CHOOSE(CONTROL!$C$27, 0.0021, 0)</f>
        <v>75.232199999999992</v>
      </c>
      <c r="H675" s="14">
        <f>75.0954 * CHOOSE(CONTROL!$C$9, $D$9, 100%, $F$9) + CHOOSE(CONTROL!$C$27, 0.0021, 0)</f>
        <v>75.097499999999997</v>
      </c>
      <c r="I675" s="14">
        <f>75.0954 * CHOOSE(CONTROL!$C$9, $D$9, 100%, $F$9) + CHOOSE(CONTROL!$C$27, 0.0021, 0)</f>
        <v>75.097499999999997</v>
      </c>
      <c r="J675" s="14">
        <f>75.0954 * CHOOSE(CONTROL!$C$9, $D$9, 100%, $F$9) + CHOOSE(CONTROL!$C$27, 0.0021, 0)</f>
        <v>75.097499999999997</v>
      </c>
      <c r="K675" s="14">
        <f>75.0954 * CHOOSE(CONTROL!$C$9, $D$9, 100%, $F$9) + CHOOSE(CONTROL!$C$27, 0.0021, 0)</f>
        <v>75.097499999999997</v>
      </c>
      <c r="L675" s="14"/>
    </row>
    <row r="676" spans="1:12" ht="15.75" x14ac:dyDescent="0.25">
      <c r="A676" s="32">
        <v>61514</v>
      </c>
      <c r="B676" s="14">
        <f>77.9853 * CHOOSE(CONTROL!$C$9, $D$9, 100%, $F$9) + CHOOSE(CONTROL!$C$27, 0.0021, 0)</f>
        <v>77.987399999999994</v>
      </c>
      <c r="C676" s="14">
        <f>77.553 * CHOOSE(CONTROL!$C$9, $D$9, 100%, $F$9) + CHOOSE(CONTROL!$C$27, 0.0021, 0)</f>
        <v>77.555099999999996</v>
      </c>
      <c r="D676" s="14">
        <f>77.553 * CHOOSE(CONTROL!$C$9, $D$9, 100%, $F$9) + CHOOSE(CONTROL!$C$27, 0.0021, 0)</f>
        <v>77.555099999999996</v>
      </c>
      <c r="E676" s="14">
        <f>77.4164 * CHOOSE(CONTROL!$C$9, $D$9, 100%, $F$9) + CHOOSE(CONTROL!$C$27, 0.0021, 0)</f>
        <v>77.418499999999995</v>
      </c>
      <c r="F676" s="14">
        <f>77.4164 * CHOOSE(CONTROL!$C$9, $D$9, 100%, $F$9) + CHOOSE(CONTROL!$C$27, 0.0021, 0)</f>
        <v>77.418499999999995</v>
      </c>
      <c r="G676" s="14">
        <f>77.6878 * CHOOSE(CONTROL!$C$9, $D$9, 100%, $F$9) + CHOOSE(CONTROL!$C$27, 0.0021, 0)</f>
        <v>77.689899999999994</v>
      </c>
      <c r="H676" s="14">
        <f>77.553 * CHOOSE(CONTROL!$C$9, $D$9, 100%, $F$9) + CHOOSE(CONTROL!$C$27, 0.0021, 0)</f>
        <v>77.555099999999996</v>
      </c>
      <c r="I676" s="14">
        <f>77.553 * CHOOSE(CONTROL!$C$9, $D$9, 100%, $F$9) + CHOOSE(CONTROL!$C$27, 0.0021, 0)</f>
        <v>77.555099999999996</v>
      </c>
      <c r="J676" s="14">
        <f>77.553 * CHOOSE(CONTROL!$C$9, $D$9, 100%, $F$9) + CHOOSE(CONTROL!$C$27, 0.0021, 0)</f>
        <v>77.555099999999996</v>
      </c>
      <c r="K676" s="14">
        <f>77.553 * CHOOSE(CONTROL!$C$9, $D$9, 100%, $F$9) + CHOOSE(CONTROL!$C$27, 0.0021, 0)</f>
        <v>77.555099999999996</v>
      </c>
      <c r="L676" s="14"/>
    </row>
    <row r="677" spans="1:12" ht="15.75" x14ac:dyDescent="0.25">
      <c r="A677" s="32">
        <v>61544</v>
      </c>
      <c r="B677" s="14">
        <f>79.0759 * CHOOSE(CONTROL!$C$9, $D$9, 100%, $F$9) + CHOOSE(CONTROL!$C$27, 0.0021, 0)</f>
        <v>79.078000000000003</v>
      </c>
      <c r="C677" s="14">
        <f>78.6437 * CHOOSE(CONTROL!$C$9, $D$9, 100%, $F$9) + CHOOSE(CONTROL!$C$27, 0.0021, 0)</f>
        <v>78.645799999999994</v>
      </c>
      <c r="D677" s="14">
        <f>78.6437 * CHOOSE(CONTROL!$C$9, $D$9, 100%, $F$9) + CHOOSE(CONTROL!$C$27, 0.0021, 0)</f>
        <v>78.645799999999994</v>
      </c>
      <c r="E677" s="14">
        <f>78.507 * CHOOSE(CONTROL!$C$9, $D$9, 100%, $F$9) + CHOOSE(CONTROL!$C$27, 0.0021, 0)</f>
        <v>78.509100000000004</v>
      </c>
      <c r="F677" s="14">
        <f>78.507 * CHOOSE(CONTROL!$C$9, $D$9, 100%, $F$9) + CHOOSE(CONTROL!$C$27, 0.0021, 0)</f>
        <v>78.509100000000004</v>
      </c>
      <c r="G677" s="14">
        <f>78.7784 * CHOOSE(CONTROL!$C$9, $D$9, 100%, $F$9) + CHOOSE(CONTROL!$C$27, 0.0021, 0)</f>
        <v>78.780500000000004</v>
      </c>
      <c r="H677" s="14">
        <f>78.6437 * CHOOSE(CONTROL!$C$9, $D$9, 100%, $F$9) + CHOOSE(CONTROL!$C$27, 0.0021, 0)</f>
        <v>78.645799999999994</v>
      </c>
      <c r="I677" s="14">
        <f>78.6437 * CHOOSE(CONTROL!$C$9, $D$9, 100%, $F$9) + CHOOSE(CONTROL!$C$27, 0.0021, 0)</f>
        <v>78.645799999999994</v>
      </c>
      <c r="J677" s="14">
        <f>78.6437 * CHOOSE(CONTROL!$C$9, $D$9, 100%, $F$9) + CHOOSE(CONTROL!$C$27, 0.0021, 0)</f>
        <v>78.645799999999994</v>
      </c>
      <c r="K677" s="14">
        <f>78.6437 * CHOOSE(CONTROL!$C$9, $D$9, 100%, $F$9) + CHOOSE(CONTROL!$C$27, 0.0021, 0)</f>
        <v>78.645799999999994</v>
      </c>
      <c r="L677" s="14"/>
    </row>
    <row r="678" spans="1:12" ht="15.75" x14ac:dyDescent="0.25">
      <c r="A678" s="32">
        <v>61575</v>
      </c>
      <c r="B678" s="14">
        <f>78.7168 * CHOOSE(CONTROL!$C$9, $D$9, 100%, $F$9) + CHOOSE(CONTROL!$C$27, 0.0021, 0)</f>
        <v>78.718900000000005</v>
      </c>
      <c r="C678" s="14">
        <f>78.2846 * CHOOSE(CONTROL!$C$9, $D$9, 100%, $F$9) + CHOOSE(CONTROL!$C$27, 0.0021, 0)</f>
        <v>78.286699999999996</v>
      </c>
      <c r="D678" s="14">
        <f>78.2846 * CHOOSE(CONTROL!$C$9, $D$9, 100%, $F$9) + CHOOSE(CONTROL!$C$27, 0.0021, 0)</f>
        <v>78.286699999999996</v>
      </c>
      <c r="E678" s="14">
        <f>78.1479 * CHOOSE(CONTROL!$C$9, $D$9, 100%, $F$9) + CHOOSE(CONTROL!$C$27, 0.0021, 0)</f>
        <v>78.150000000000006</v>
      </c>
      <c r="F678" s="14">
        <f>78.1479 * CHOOSE(CONTROL!$C$9, $D$9, 100%, $F$9) + CHOOSE(CONTROL!$C$27, 0.0021, 0)</f>
        <v>78.150000000000006</v>
      </c>
      <c r="G678" s="14">
        <f>78.4193 * CHOOSE(CONTROL!$C$9, $D$9, 100%, $F$9) + CHOOSE(CONTROL!$C$27, 0.0021, 0)</f>
        <v>78.421400000000006</v>
      </c>
      <c r="H678" s="14">
        <f>78.2846 * CHOOSE(CONTROL!$C$9, $D$9, 100%, $F$9) + CHOOSE(CONTROL!$C$27, 0.0021, 0)</f>
        <v>78.286699999999996</v>
      </c>
      <c r="I678" s="14">
        <f>78.2846 * CHOOSE(CONTROL!$C$9, $D$9, 100%, $F$9) + CHOOSE(CONTROL!$C$27, 0.0021, 0)</f>
        <v>78.286699999999996</v>
      </c>
      <c r="J678" s="14">
        <f>78.2846 * CHOOSE(CONTROL!$C$9, $D$9, 100%, $F$9) + CHOOSE(CONTROL!$C$27, 0.0021, 0)</f>
        <v>78.286699999999996</v>
      </c>
      <c r="K678" s="14">
        <f>78.2846 * CHOOSE(CONTROL!$C$9, $D$9, 100%, $F$9) + CHOOSE(CONTROL!$C$27, 0.0021, 0)</f>
        <v>78.286699999999996</v>
      </c>
      <c r="L678" s="14"/>
    </row>
    <row r="679" spans="1:12" ht="15.75" x14ac:dyDescent="0.25">
      <c r="A679" s="32">
        <v>61606</v>
      </c>
      <c r="B679" s="14">
        <f>76.9377 * CHOOSE(CONTROL!$C$9, $D$9, 100%, $F$9) + CHOOSE(CONTROL!$C$27, 0.0021, 0)</f>
        <v>76.939800000000005</v>
      </c>
      <c r="C679" s="14">
        <f>76.5055 * CHOOSE(CONTROL!$C$9, $D$9, 100%, $F$9) + CHOOSE(CONTROL!$C$27, 0.0021, 0)</f>
        <v>76.507599999999996</v>
      </c>
      <c r="D679" s="14">
        <f>76.5055 * CHOOSE(CONTROL!$C$9, $D$9, 100%, $F$9) + CHOOSE(CONTROL!$C$27, 0.0021, 0)</f>
        <v>76.507599999999996</v>
      </c>
      <c r="E679" s="14">
        <f>76.3688 * CHOOSE(CONTROL!$C$9, $D$9, 100%, $F$9) + CHOOSE(CONTROL!$C$27, 0.0021, 0)</f>
        <v>76.370899999999992</v>
      </c>
      <c r="F679" s="14">
        <f>76.3688 * CHOOSE(CONTROL!$C$9, $D$9, 100%, $F$9) + CHOOSE(CONTROL!$C$27, 0.0021, 0)</f>
        <v>76.370899999999992</v>
      </c>
      <c r="G679" s="14">
        <f>76.6402 * CHOOSE(CONTROL!$C$9, $D$9, 100%, $F$9) + CHOOSE(CONTROL!$C$27, 0.0021, 0)</f>
        <v>76.642299999999992</v>
      </c>
      <c r="H679" s="14">
        <f>76.5055 * CHOOSE(CONTROL!$C$9, $D$9, 100%, $F$9) + CHOOSE(CONTROL!$C$27, 0.0021, 0)</f>
        <v>76.507599999999996</v>
      </c>
      <c r="I679" s="14">
        <f>76.5055 * CHOOSE(CONTROL!$C$9, $D$9, 100%, $F$9) + CHOOSE(CONTROL!$C$27, 0.0021, 0)</f>
        <v>76.507599999999996</v>
      </c>
      <c r="J679" s="14">
        <f>76.5055 * CHOOSE(CONTROL!$C$9, $D$9, 100%, $F$9) + CHOOSE(CONTROL!$C$27, 0.0021, 0)</f>
        <v>76.507599999999996</v>
      </c>
      <c r="K679" s="14">
        <f>76.5055 * CHOOSE(CONTROL!$C$9, $D$9, 100%, $F$9) + CHOOSE(CONTROL!$C$27, 0.0021, 0)</f>
        <v>76.507599999999996</v>
      </c>
      <c r="L679" s="14"/>
    </row>
    <row r="680" spans="1:12" ht="15.75" x14ac:dyDescent="0.25">
      <c r="A680" s="32">
        <v>61636</v>
      </c>
      <c r="B680" s="14">
        <f>74.4566 * CHOOSE(CONTROL!$C$9, $D$9, 100%, $F$9) + CHOOSE(CONTROL!$C$27, 0.0021, 0)</f>
        <v>74.458699999999993</v>
      </c>
      <c r="C680" s="14">
        <f>74.0244 * CHOOSE(CONTROL!$C$9, $D$9, 100%, $F$9) + CHOOSE(CONTROL!$C$27, 0.0021, 0)</f>
        <v>74.026499999999999</v>
      </c>
      <c r="D680" s="14">
        <f>74.0244 * CHOOSE(CONTROL!$C$9, $D$9, 100%, $F$9) + CHOOSE(CONTROL!$C$27, 0.0021, 0)</f>
        <v>74.026499999999999</v>
      </c>
      <c r="E680" s="14">
        <f>73.8877 * CHOOSE(CONTROL!$C$9, $D$9, 100%, $F$9) + CHOOSE(CONTROL!$C$27, 0.0021, 0)</f>
        <v>73.889799999999994</v>
      </c>
      <c r="F680" s="14">
        <f>73.8877 * CHOOSE(CONTROL!$C$9, $D$9, 100%, $F$9) + CHOOSE(CONTROL!$C$27, 0.0021, 0)</f>
        <v>73.889799999999994</v>
      </c>
      <c r="G680" s="14">
        <f>74.1591 * CHOOSE(CONTROL!$C$9, $D$9, 100%, $F$9) + CHOOSE(CONTROL!$C$27, 0.0021, 0)</f>
        <v>74.161199999999994</v>
      </c>
      <c r="H680" s="14">
        <f>74.0244 * CHOOSE(CONTROL!$C$9, $D$9, 100%, $F$9) + CHOOSE(CONTROL!$C$27, 0.0021, 0)</f>
        <v>74.026499999999999</v>
      </c>
      <c r="I680" s="14">
        <f>74.0244 * CHOOSE(CONTROL!$C$9, $D$9, 100%, $F$9) + CHOOSE(CONTROL!$C$27, 0.0021, 0)</f>
        <v>74.026499999999999</v>
      </c>
      <c r="J680" s="14">
        <f>74.0244 * CHOOSE(CONTROL!$C$9, $D$9, 100%, $F$9) + CHOOSE(CONTROL!$C$27, 0.0021, 0)</f>
        <v>74.026499999999999</v>
      </c>
      <c r="K680" s="14">
        <f>74.0244 * CHOOSE(CONTROL!$C$9, $D$9, 100%, $F$9) + CHOOSE(CONTROL!$C$27, 0.0021, 0)</f>
        <v>74.026499999999999</v>
      </c>
      <c r="L680" s="14"/>
    </row>
    <row r="681" spans="1:12" ht="15.75" x14ac:dyDescent="0.25">
      <c r="A681" s="32">
        <v>61667</v>
      </c>
      <c r="B681" s="14">
        <f>71.9611 * CHOOSE(CONTROL!$C$9, $D$9, 100%, $F$9) + CHOOSE(CONTROL!$C$27, 0.0021, 0)</f>
        <v>71.963200000000001</v>
      </c>
      <c r="C681" s="14">
        <f>71.5289 * CHOOSE(CONTROL!$C$9, $D$9, 100%, $F$9) + CHOOSE(CONTROL!$C$27, 0.0021, 0)</f>
        <v>71.530999999999992</v>
      </c>
      <c r="D681" s="14">
        <f>71.5289 * CHOOSE(CONTROL!$C$9, $D$9, 100%, $F$9) + CHOOSE(CONTROL!$C$27, 0.0021, 0)</f>
        <v>71.530999999999992</v>
      </c>
      <c r="E681" s="14">
        <f>71.3922 * CHOOSE(CONTROL!$C$9, $D$9, 100%, $F$9) + CHOOSE(CONTROL!$C$27, 0.0021, 0)</f>
        <v>71.394300000000001</v>
      </c>
      <c r="F681" s="14">
        <f>71.3922 * CHOOSE(CONTROL!$C$9, $D$9, 100%, $F$9) + CHOOSE(CONTROL!$C$27, 0.0021, 0)</f>
        <v>71.394300000000001</v>
      </c>
      <c r="G681" s="14">
        <f>71.6636 * CHOOSE(CONTROL!$C$9, $D$9, 100%, $F$9) + CHOOSE(CONTROL!$C$27, 0.0021, 0)</f>
        <v>71.665700000000001</v>
      </c>
      <c r="H681" s="14">
        <f>71.5289 * CHOOSE(CONTROL!$C$9, $D$9, 100%, $F$9) + CHOOSE(CONTROL!$C$27, 0.0021, 0)</f>
        <v>71.530999999999992</v>
      </c>
      <c r="I681" s="14">
        <f>71.5289 * CHOOSE(CONTROL!$C$9, $D$9, 100%, $F$9) + CHOOSE(CONTROL!$C$27, 0.0021, 0)</f>
        <v>71.530999999999992</v>
      </c>
      <c r="J681" s="14">
        <f>71.5289 * CHOOSE(CONTROL!$C$9, $D$9, 100%, $F$9) + CHOOSE(CONTROL!$C$27, 0.0021, 0)</f>
        <v>71.530999999999992</v>
      </c>
      <c r="K681" s="14">
        <f>71.5289 * CHOOSE(CONTROL!$C$9, $D$9, 100%, $F$9) + CHOOSE(CONTROL!$C$27, 0.0021, 0)</f>
        <v>71.530999999999992</v>
      </c>
      <c r="L681" s="14"/>
    </row>
    <row r="682" spans="1:12" ht="15.75" x14ac:dyDescent="0.25">
      <c r="A682" s="32">
        <v>61697</v>
      </c>
      <c r="B682" s="14">
        <f>71.4647 * CHOOSE(CONTROL!$C$9, $D$9, 100%, $F$9) + CHOOSE(CONTROL!$C$27, 0.0021, 0)</f>
        <v>71.466799999999992</v>
      </c>
      <c r="C682" s="14">
        <f>71.0325 * CHOOSE(CONTROL!$C$9, $D$9, 100%, $F$9) + CHOOSE(CONTROL!$C$27, 0.0021, 0)</f>
        <v>71.034599999999998</v>
      </c>
      <c r="D682" s="14">
        <f>71.0325 * CHOOSE(CONTROL!$C$9, $D$9, 100%, $F$9) + CHOOSE(CONTROL!$C$27, 0.0021, 0)</f>
        <v>71.034599999999998</v>
      </c>
      <c r="E682" s="14">
        <f>70.8958 * CHOOSE(CONTROL!$C$9, $D$9, 100%, $F$9) + CHOOSE(CONTROL!$C$27, 0.0021, 0)</f>
        <v>70.897899999999993</v>
      </c>
      <c r="F682" s="14">
        <f>70.8958 * CHOOSE(CONTROL!$C$9, $D$9, 100%, $F$9) + CHOOSE(CONTROL!$C$27, 0.0021, 0)</f>
        <v>70.897899999999993</v>
      </c>
      <c r="G682" s="14">
        <f>71.1672 * CHOOSE(CONTROL!$C$9, $D$9, 100%, $F$9) + CHOOSE(CONTROL!$C$27, 0.0021, 0)</f>
        <v>71.169299999999993</v>
      </c>
      <c r="H682" s="14">
        <f>71.0325 * CHOOSE(CONTROL!$C$9, $D$9, 100%, $F$9) + CHOOSE(CONTROL!$C$27, 0.0021, 0)</f>
        <v>71.034599999999998</v>
      </c>
      <c r="I682" s="14">
        <f>71.0325 * CHOOSE(CONTROL!$C$9, $D$9, 100%, $F$9) + CHOOSE(CONTROL!$C$27, 0.0021, 0)</f>
        <v>71.034599999999998</v>
      </c>
      <c r="J682" s="14">
        <f>71.0325 * CHOOSE(CONTROL!$C$9, $D$9, 100%, $F$9) + CHOOSE(CONTROL!$C$27, 0.0021, 0)</f>
        <v>71.034599999999998</v>
      </c>
      <c r="K682" s="14">
        <f>71.0325 * CHOOSE(CONTROL!$C$9, $D$9, 100%, $F$9) + CHOOSE(CONTROL!$C$27, 0.0021, 0)</f>
        <v>71.034599999999998</v>
      </c>
      <c r="L682" s="14"/>
    </row>
    <row r="683" spans="1:12" ht="15.75" x14ac:dyDescent="0.25">
      <c r="A683" s="32">
        <v>61728</v>
      </c>
      <c r="B683" s="14">
        <f>69.412 * CHOOSE(CONTROL!$C$9, $D$9, 100%, $F$9) + CHOOSE(CONTROL!$C$27, 0.0021, 0)</f>
        <v>69.414100000000005</v>
      </c>
      <c r="C683" s="14">
        <f>68.9798 * CHOOSE(CONTROL!$C$9, $D$9, 100%, $F$9) + CHOOSE(CONTROL!$C$27, 0.0021, 0)</f>
        <v>68.981899999999996</v>
      </c>
      <c r="D683" s="14">
        <f>68.9798 * CHOOSE(CONTROL!$C$9, $D$9, 100%, $F$9) + CHOOSE(CONTROL!$C$27, 0.0021, 0)</f>
        <v>68.981899999999996</v>
      </c>
      <c r="E683" s="14">
        <f>68.8431 * CHOOSE(CONTROL!$C$9, $D$9, 100%, $F$9) + CHOOSE(CONTROL!$C$27, 0.0021, 0)</f>
        <v>68.845200000000006</v>
      </c>
      <c r="F683" s="14">
        <f>68.8431 * CHOOSE(CONTROL!$C$9, $D$9, 100%, $F$9) + CHOOSE(CONTROL!$C$27, 0.0021, 0)</f>
        <v>68.845200000000006</v>
      </c>
      <c r="G683" s="14">
        <f>69.1145 * CHOOSE(CONTROL!$C$9, $D$9, 100%, $F$9) + CHOOSE(CONTROL!$C$27, 0.0021, 0)</f>
        <v>69.116600000000005</v>
      </c>
      <c r="H683" s="14">
        <f>68.9798 * CHOOSE(CONTROL!$C$9, $D$9, 100%, $F$9) + CHOOSE(CONTROL!$C$27, 0.0021, 0)</f>
        <v>68.981899999999996</v>
      </c>
      <c r="I683" s="14">
        <f>68.9798 * CHOOSE(CONTROL!$C$9, $D$9, 100%, $F$9) + CHOOSE(CONTROL!$C$27, 0.0021, 0)</f>
        <v>68.981899999999996</v>
      </c>
      <c r="J683" s="14">
        <f>68.9798 * CHOOSE(CONTROL!$C$9, $D$9, 100%, $F$9) + CHOOSE(CONTROL!$C$27, 0.0021, 0)</f>
        <v>68.981899999999996</v>
      </c>
      <c r="K683" s="14">
        <f>68.9798 * CHOOSE(CONTROL!$C$9, $D$9, 100%, $F$9) + CHOOSE(CONTROL!$C$27, 0.0021, 0)</f>
        <v>68.981899999999996</v>
      </c>
      <c r="L683" s="14"/>
    </row>
    <row r="684" spans="1:12" ht="15.75" x14ac:dyDescent="0.25">
      <c r="A684" s="32">
        <v>61759</v>
      </c>
      <c r="B684" s="14">
        <f>69.0124 * CHOOSE(CONTROL!$C$9, $D$9, 100%, $F$9) + CHOOSE(CONTROL!$C$27, 0.0021, 0)</f>
        <v>69.014499999999998</v>
      </c>
      <c r="C684" s="14">
        <f>68.5801 * CHOOSE(CONTROL!$C$9, $D$9, 100%, $F$9) + CHOOSE(CONTROL!$C$27, 0.0021, 0)</f>
        <v>68.5822</v>
      </c>
      <c r="D684" s="14">
        <f>68.5801 * CHOOSE(CONTROL!$C$9, $D$9, 100%, $F$9) + CHOOSE(CONTROL!$C$27, 0.0021, 0)</f>
        <v>68.5822</v>
      </c>
      <c r="E684" s="14">
        <f>68.4435 * CHOOSE(CONTROL!$C$9, $D$9, 100%, $F$9) + CHOOSE(CONTROL!$C$27, 0.0021, 0)</f>
        <v>68.445599999999999</v>
      </c>
      <c r="F684" s="14">
        <f>68.4435 * CHOOSE(CONTROL!$C$9, $D$9, 100%, $F$9) + CHOOSE(CONTROL!$C$27, 0.0021, 0)</f>
        <v>68.445599999999999</v>
      </c>
      <c r="G684" s="14">
        <f>68.7148 * CHOOSE(CONTROL!$C$9, $D$9, 100%, $F$9) + CHOOSE(CONTROL!$C$27, 0.0021, 0)</f>
        <v>68.716899999999995</v>
      </c>
      <c r="H684" s="14">
        <f>68.5801 * CHOOSE(CONTROL!$C$9, $D$9, 100%, $F$9) + CHOOSE(CONTROL!$C$27, 0.0021, 0)</f>
        <v>68.5822</v>
      </c>
      <c r="I684" s="14">
        <f>68.5801 * CHOOSE(CONTROL!$C$9, $D$9, 100%, $F$9) + CHOOSE(CONTROL!$C$27, 0.0021, 0)</f>
        <v>68.5822</v>
      </c>
      <c r="J684" s="14">
        <f>68.5801 * CHOOSE(CONTROL!$C$9, $D$9, 100%, $F$9) + CHOOSE(CONTROL!$C$27, 0.0021, 0)</f>
        <v>68.5822</v>
      </c>
      <c r="K684" s="14">
        <f>68.5801 * CHOOSE(CONTROL!$C$9, $D$9, 100%, $F$9) + CHOOSE(CONTROL!$C$27, 0.0021, 0)</f>
        <v>68.5822</v>
      </c>
      <c r="L684" s="14"/>
    </row>
    <row r="685" spans="1:12" ht="15.75" x14ac:dyDescent="0.25">
      <c r="A685" s="32">
        <v>61787</v>
      </c>
      <c r="B685" s="14">
        <f>68.8269 * CHOOSE(CONTROL!$C$9, $D$9, 100%, $F$9) + CHOOSE(CONTROL!$C$27, 0.0021, 0)</f>
        <v>68.828999999999994</v>
      </c>
      <c r="C685" s="14">
        <f>68.3947 * CHOOSE(CONTROL!$C$9, $D$9, 100%, $F$9) + CHOOSE(CONTROL!$C$27, 0.0021, 0)</f>
        <v>68.396799999999999</v>
      </c>
      <c r="D685" s="14">
        <f>68.3947 * CHOOSE(CONTROL!$C$9, $D$9, 100%, $F$9) + CHOOSE(CONTROL!$C$27, 0.0021, 0)</f>
        <v>68.396799999999999</v>
      </c>
      <c r="E685" s="14">
        <f>68.258 * CHOOSE(CONTROL!$C$9, $D$9, 100%, $F$9) + CHOOSE(CONTROL!$C$27, 0.0021, 0)</f>
        <v>68.260099999999994</v>
      </c>
      <c r="F685" s="14">
        <f>68.258 * CHOOSE(CONTROL!$C$9, $D$9, 100%, $F$9) + CHOOSE(CONTROL!$C$27, 0.0021, 0)</f>
        <v>68.260099999999994</v>
      </c>
      <c r="G685" s="14">
        <f>68.5294 * CHOOSE(CONTROL!$C$9, $D$9, 100%, $F$9) + CHOOSE(CONTROL!$C$27, 0.0021, 0)</f>
        <v>68.531499999999994</v>
      </c>
      <c r="H685" s="14">
        <f>68.3947 * CHOOSE(CONTROL!$C$9, $D$9, 100%, $F$9) + CHOOSE(CONTROL!$C$27, 0.0021, 0)</f>
        <v>68.396799999999999</v>
      </c>
      <c r="I685" s="14">
        <f>68.3947 * CHOOSE(CONTROL!$C$9, $D$9, 100%, $F$9) + CHOOSE(CONTROL!$C$27, 0.0021, 0)</f>
        <v>68.396799999999999</v>
      </c>
      <c r="J685" s="14">
        <f>68.3947 * CHOOSE(CONTROL!$C$9, $D$9, 100%, $F$9) + CHOOSE(CONTROL!$C$27, 0.0021, 0)</f>
        <v>68.396799999999999</v>
      </c>
      <c r="K685" s="14">
        <f>68.3947 * CHOOSE(CONTROL!$C$9, $D$9, 100%, $F$9) + CHOOSE(CONTROL!$C$27, 0.0021, 0)</f>
        <v>68.396799999999999</v>
      </c>
      <c r="L685" s="14"/>
    </row>
    <row r="686" spans="1:12" ht="15.75" x14ac:dyDescent="0.25">
      <c r="A686" s="32">
        <v>61818</v>
      </c>
      <c r="B686" s="14">
        <f>72.3337 * CHOOSE(CONTROL!$C$9, $D$9, 100%, $F$9) + CHOOSE(CONTROL!$C$27, 0.0021, 0)</f>
        <v>72.335799999999992</v>
      </c>
      <c r="C686" s="14">
        <f>71.9014 * CHOOSE(CONTROL!$C$9, $D$9, 100%, $F$9) + CHOOSE(CONTROL!$C$27, 0.0021, 0)</f>
        <v>71.903499999999994</v>
      </c>
      <c r="D686" s="14">
        <f>71.9014 * CHOOSE(CONTROL!$C$9, $D$9, 100%, $F$9) + CHOOSE(CONTROL!$C$27, 0.0021, 0)</f>
        <v>71.903499999999994</v>
      </c>
      <c r="E686" s="14">
        <f>71.7648 * CHOOSE(CONTROL!$C$9, $D$9, 100%, $F$9) + CHOOSE(CONTROL!$C$27, 0.0021, 0)</f>
        <v>71.766899999999993</v>
      </c>
      <c r="F686" s="14">
        <f>71.7648 * CHOOSE(CONTROL!$C$9, $D$9, 100%, $F$9) + CHOOSE(CONTROL!$C$27, 0.0021, 0)</f>
        <v>71.766899999999993</v>
      </c>
      <c r="G686" s="14">
        <f>72.0361 * CHOOSE(CONTROL!$C$9, $D$9, 100%, $F$9) + CHOOSE(CONTROL!$C$27, 0.0021, 0)</f>
        <v>72.038200000000003</v>
      </c>
      <c r="H686" s="14">
        <f>71.9014 * CHOOSE(CONTROL!$C$9, $D$9, 100%, $F$9) + CHOOSE(CONTROL!$C$27, 0.0021, 0)</f>
        <v>71.903499999999994</v>
      </c>
      <c r="I686" s="14">
        <f>71.9014 * CHOOSE(CONTROL!$C$9, $D$9, 100%, $F$9) + CHOOSE(CONTROL!$C$27, 0.0021, 0)</f>
        <v>71.903499999999994</v>
      </c>
      <c r="J686" s="14">
        <f>71.9014 * CHOOSE(CONTROL!$C$9, $D$9, 100%, $F$9) + CHOOSE(CONTROL!$C$27, 0.0021, 0)</f>
        <v>71.903499999999994</v>
      </c>
      <c r="K686" s="14">
        <f>71.9014 * CHOOSE(CONTROL!$C$9, $D$9, 100%, $F$9) + CHOOSE(CONTROL!$C$27, 0.0021, 0)</f>
        <v>71.903499999999994</v>
      </c>
      <c r="L686" s="14"/>
    </row>
    <row r="687" spans="1:12" ht="15.75" x14ac:dyDescent="0.25">
      <c r="A687" s="32">
        <v>61848</v>
      </c>
      <c r="B687" s="14">
        <f>76.8811 * CHOOSE(CONTROL!$C$9, $D$9, 100%, $F$9) + CHOOSE(CONTROL!$C$27, 0.0021, 0)</f>
        <v>76.883200000000002</v>
      </c>
      <c r="C687" s="14">
        <f>76.4489 * CHOOSE(CONTROL!$C$9, $D$9, 100%, $F$9) + CHOOSE(CONTROL!$C$27, 0.0021, 0)</f>
        <v>76.450999999999993</v>
      </c>
      <c r="D687" s="14">
        <f>76.4489 * CHOOSE(CONTROL!$C$9, $D$9, 100%, $F$9) + CHOOSE(CONTROL!$C$27, 0.0021, 0)</f>
        <v>76.450999999999993</v>
      </c>
      <c r="E687" s="14">
        <f>76.3122 * CHOOSE(CONTROL!$C$9, $D$9, 100%, $F$9) + CHOOSE(CONTROL!$C$27, 0.0021, 0)</f>
        <v>76.314300000000003</v>
      </c>
      <c r="F687" s="14">
        <f>76.3122 * CHOOSE(CONTROL!$C$9, $D$9, 100%, $F$9) + CHOOSE(CONTROL!$C$27, 0.0021, 0)</f>
        <v>76.314300000000003</v>
      </c>
      <c r="G687" s="14">
        <f>76.5836 * CHOOSE(CONTROL!$C$9, $D$9, 100%, $F$9) + CHOOSE(CONTROL!$C$27, 0.0021, 0)</f>
        <v>76.585700000000003</v>
      </c>
      <c r="H687" s="14">
        <f>76.4489 * CHOOSE(CONTROL!$C$9, $D$9, 100%, $F$9) + CHOOSE(CONTROL!$C$27, 0.0021, 0)</f>
        <v>76.450999999999993</v>
      </c>
      <c r="I687" s="14">
        <f>76.4489 * CHOOSE(CONTROL!$C$9, $D$9, 100%, $F$9) + CHOOSE(CONTROL!$C$27, 0.0021, 0)</f>
        <v>76.450999999999993</v>
      </c>
      <c r="J687" s="14">
        <f>76.4489 * CHOOSE(CONTROL!$C$9, $D$9, 100%, $F$9) + CHOOSE(CONTROL!$C$27, 0.0021, 0)</f>
        <v>76.450999999999993</v>
      </c>
      <c r="K687" s="14">
        <f>76.4489 * CHOOSE(CONTROL!$C$9, $D$9, 100%, $F$9) + CHOOSE(CONTROL!$C$27, 0.0021, 0)</f>
        <v>76.450999999999993</v>
      </c>
      <c r="L687" s="14"/>
    </row>
    <row r="688" spans="1:12" ht="15.75" x14ac:dyDescent="0.25">
      <c r="A688" s="32">
        <v>61879</v>
      </c>
      <c r="B688" s="14">
        <f>79.3842 * CHOOSE(CONTROL!$C$9, $D$9, 100%, $F$9) + CHOOSE(CONTROL!$C$27, 0.0021, 0)</f>
        <v>79.386300000000006</v>
      </c>
      <c r="C688" s="14">
        <f>78.9519 * CHOOSE(CONTROL!$C$9, $D$9, 100%, $F$9) + CHOOSE(CONTROL!$C$27, 0.0021, 0)</f>
        <v>78.953999999999994</v>
      </c>
      <c r="D688" s="14">
        <f>78.9519 * CHOOSE(CONTROL!$C$9, $D$9, 100%, $F$9) + CHOOSE(CONTROL!$C$27, 0.0021, 0)</f>
        <v>78.953999999999994</v>
      </c>
      <c r="E688" s="14">
        <f>78.8152 * CHOOSE(CONTROL!$C$9, $D$9, 100%, $F$9) + CHOOSE(CONTROL!$C$27, 0.0021, 0)</f>
        <v>78.817300000000003</v>
      </c>
      <c r="F688" s="14">
        <f>78.8152 * CHOOSE(CONTROL!$C$9, $D$9, 100%, $F$9) + CHOOSE(CONTROL!$C$27, 0.0021, 0)</f>
        <v>78.817300000000003</v>
      </c>
      <c r="G688" s="14">
        <f>79.0866 * CHOOSE(CONTROL!$C$9, $D$9, 100%, $F$9) + CHOOSE(CONTROL!$C$27, 0.0021, 0)</f>
        <v>79.088700000000003</v>
      </c>
      <c r="H688" s="14">
        <f>78.9519 * CHOOSE(CONTROL!$C$9, $D$9, 100%, $F$9) + CHOOSE(CONTROL!$C$27, 0.0021, 0)</f>
        <v>78.953999999999994</v>
      </c>
      <c r="I688" s="14">
        <f>78.9519 * CHOOSE(CONTROL!$C$9, $D$9, 100%, $F$9) + CHOOSE(CONTROL!$C$27, 0.0021, 0)</f>
        <v>78.953999999999994</v>
      </c>
      <c r="J688" s="14">
        <f>78.9519 * CHOOSE(CONTROL!$C$9, $D$9, 100%, $F$9) + CHOOSE(CONTROL!$C$27, 0.0021, 0)</f>
        <v>78.953999999999994</v>
      </c>
      <c r="K688" s="14">
        <f>78.9519 * CHOOSE(CONTROL!$C$9, $D$9, 100%, $F$9) + CHOOSE(CONTROL!$C$27, 0.0021, 0)</f>
        <v>78.953999999999994</v>
      </c>
      <c r="L688" s="14"/>
    </row>
    <row r="689" spans="1:12" ht="15.75" x14ac:dyDescent="0.25">
      <c r="A689" s="32">
        <v>61909</v>
      </c>
      <c r="B689" s="14">
        <f>80.495 * CHOOSE(CONTROL!$C$9, $D$9, 100%, $F$9) + CHOOSE(CONTROL!$C$27, 0.0021, 0)</f>
        <v>80.497100000000003</v>
      </c>
      <c r="C689" s="14">
        <f>80.0627 * CHOOSE(CONTROL!$C$9, $D$9, 100%, $F$9) + CHOOSE(CONTROL!$C$27, 0.0021, 0)</f>
        <v>80.064800000000005</v>
      </c>
      <c r="D689" s="14">
        <f>80.0627 * CHOOSE(CONTROL!$C$9, $D$9, 100%, $F$9) + CHOOSE(CONTROL!$C$27, 0.0021, 0)</f>
        <v>80.064800000000005</v>
      </c>
      <c r="E689" s="14">
        <f>79.9261 * CHOOSE(CONTROL!$C$9, $D$9, 100%, $F$9) + CHOOSE(CONTROL!$C$27, 0.0021, 0)</f>
        <v>79.928200000000004</v>
      </c>
      <c r="F689" s="14">
        <f>79.9261 * CHOOSE(CONTROL!$C$9, $D$9, 100%, $F$9) + CHOOSE(CONTROL!$C$27, 0.0021, 0)</f>
        <v>79.928200000000004</v>
      </c>
      <c r="G689" s="14">
        <f>80.1974 * CHOOSE(CONTROL!$C$9, $D$9, 100%, $F$9) + CHOOSE(CONTROL!$C$27, 0.0021, 0)</f>
        <v>80.1995</v>
      </c>
      <c r="H689" s="14">
        <f>80.0627 * CHOOSE(CONTROL!$C$9, $D$9, 100%, $F$9) + CHOOSE(CONTROL!$C$27, 0.0021, 0)</f>
        <v>80.064800000000005</v>
      </c>
      <c r="I689" s="14">
        <f>80.0627 * CHOOSE(CONTROL!$C$9, $D$9, 100%, $F$9) + CHOOSE(CONTROL!$C$27, 0.0021, 0)</f>
        <v>80.064800000000005</v>
      </c>
      <c r="J689" s="14">
        <f>80.0627 * CHOOSE(CONTROL!$C$9, $D$9, 100%, $F$9) + CHOOSE(CONTROL!$C$27, 0.0021, 0)</f>
        <v>80.064800000000005</v>
      </c>
      <c r="K689" s="14">
        <f>80.0627 * CHOOSE(CONTROL!$C$9, $D$9, 100%, $F$9) + CHOOSE(CONTROL!$C$27, 0.0021, 0)</f>
        <v>80.064800000000005</v>
      </c>
      <c r="L689" s="14"/>
    </row>
    <row r="690" spans="1:12" ht="15.75" x14ac:dyDescent="0.25">
      <c r="A690" s="32">
        <v>61940</v>
      </c>
      <c r="B690" s="14">
        <f>80.1292 * CHOOSE(CONTROL!$C$9, $D$9, 100%, $F$9) + CHOOSE(CONTROL!$C$27, 0.0021, 0)</f>
        <v>80.131299999999996</v>
      </c>
      <c r="C690" s="14">
        <f>79.697 * CHOOSE(CONTROL!$C$9, $D$9, 100%, $F$9) + CHOOSE(CONTROL!$C$27, 0.0021, 0)</f>
        <v>79.699100000000001</v>
      </c>
      <c r="D690" s="14">
        <f>79.697 * CHOOSE(CONTROL!$C$9, $D$9, 100%, $F$9) + CHOOSE(CONTROL!$C$27, 0.0021, 0)</f>
        <v>79.699100000000001</v>
      </c>
      <c r="E690" s="14">
        <f>79.5603 * CHOOSE(CONTROL!$C$9, $D$9, 100%, $F$9) + CHOOSE(CONTROL!$C$27, 0.0021, 0)</f>
        <v>79.562399999999997</v>
      </c>
      <c r="F690" s="14">
        <f>79.5603 * CHOOSE(CONTROL!$C$9, $D$9, 100%, $F$9) + CHOOSE(CONTROL!$C$27, 0.0021, 0)</f>
        <v>79.562399999999997</v>
      </c>
      <c r="G690" s="14">
        <f>79.8317 * CHOOSE(CONTROL!$C$9, $D$9, 100%, $F$9) + CHOOSE(CONTROL!$C$27, 0.0021, 0)</f>
        <v>79.833799999999997</v>
      </c>
      <c r="H690" s="14">
        <f>79.697 * CHOOSE(CONTROL!$C$9, $D$9, 100%, $F$9) + CHOOSE(CONTROL!$C$27, 0.0021, 0)</f>
        <v>79.699100000000001</v>
      </c>
      <c r="I690" s="14">
        <f>79.697 * CHOOSE(CONTROL!$C$9, $D$9, 100%, $F$9) + CHOOSE(CONTROL!$C$27, 0.0021, 0)</f>
        <v>79.699100000000001</v>
      </c>
      <c r="J690" s="14">
        <f>79.697 * CHOOSE(CONTROL!$C$9, $D$9, 100%, $F$9) + CHOOSE(CONTROL!$C$27, 0.0021, 0)</f>
        <v>79.699100000000001</v>
      </c>
      <c r="K690" s="14">
        <f>79.697 * CHOOSE(CONTROL!$C$9, $D$9, 100%, $F$9) + CHOOSE(CONTROL!$C$27, 0.0021, 0)</f>
        <v>79.699100000000001</v>
      </c>
      <c r="L690" s="14"/>
    </row>
    <row r="691" spans="1:12" ht="15.75" x14ac:dyDescent="0.25">
      <c r="A691" s="32">
        <v>61971</v>
      </c>
      <c r="B691" s="14">
        <f>78.3172 * CHOOSE(CONTROL!$C$9, $D$9, 100%, $F$9) + CHOOSE(CONTROL!$C$27, 0.0021, 0)</f>
        <v>78.319299999999998</v>
      </c>
      <c r="C691" s="14">
        <f>77.885 * CHOOSE(CONTROL!$C$9, $D$9, 100%, $F$9) + CHOOSE(CONTROL!$C$27, 0.0021, 0)</f>
        <v>77.887100000000004</v>
      </c>
      <c r="D691" s="14">
        <f>77.885 * CHOOSE(CONTROL!$C$9, $D$9, 100%, $F$9) + CHOOSE(CONTROL!$C$27, 0.0021, 0)</f>
        <v>77.887100000000004</v>
      </c>
      <c r="E691" s="14">
        <f>77.7483 * CHOOSE(CONTROL!$C$9, $D$9, 100%, $F$9) + CHOOSE(CONTROL!$C$27, 0.0021, 0)</f>
        <v>77.750399999999999</v>
      </c>
      <c r="F691" s="14">
        <f>77.7483 * CHOOSE(CONTROL!$C$9, $D$9, 100%, $F$9) + CHOOSE(CONTROL!$C$27, 0.0021, 0)</f>
        <v>77.750399999999999</v>
      </c>
      <c r="G691" s="14">
        <f>78.0197 * CHOOSE(CONTROL!$C$9, $D$9, 100%, $F$9) + CHOOSE(CONTROL!$C$27, 0.0021, 0)</f>
        <v>78.021799999999999</v>
      </c>
      <c r="H691" s="14">
        <f>77.885 * CHOOSE(CONTROL!$C$9, $D$9, 100%, $F$9) + CHOOSE(CONTROL!$C$27, 0.0021, 0)</f>
        <v>77.887100000000004</v>
      </c>
      <c r="I691" s="14">
        <f>77.885 * CHOOSE(CONTROL!$C$9, $D$9, 100%, $F$9) + CHOOSE(CONTROL!$C$27, 0.0021, 0)</f>
        <v>77.887100000000004</v>
      </c>
      <c r="J691" s="14">
        <f>77.885 * CHOOSE(CONTROL!$C$9, $D$9, 100%, $F$9) + CHOOSE(CONTROL!$C$27, 0.0021, 0)</f>
        <v>77.887100000000004</v>
      </c>
      <c r="K691" s="14">
        <f>77.885 * CHOOSE(CONTROL!$C$9, $D$9, 100%, $F$9) + CHOOSE(CONTROL!$C$27, 0.0021, 0)</f>
        <v>77.887100000000004</v>
      </c>
      <c r="L691" s="14"/>
    </row>
    <row r="692" spans="1:12" ht="15.75" x14ac:dyDescent="0.25">
      <c r="A692" s="32">
        <v>62001</v>
      </c>
      <c r="B692" s="14">
        <f>75.7903 * CHOOSE(CONTROL!$C$9, $D$9, 100%, $F$9) + CHOOSE(CONTROL!$C$27, 0.0021, 0)</f>
        <v>75.792400000000001</v>
      </c>
      <c r="C692" s="14">
        <f>75.358 * CHOOSE(CONTROL!$C$9, $D$9, 100%, $F$9) + CHOOSE(CONTROL!$C$27, 0.0021, 0)</f>
        <v>75.360100000000003</v>
      </c>
      <c r="D692" s="14">
        <f>75.358 * CHOOSE(CONTROL!$C$9, $D$9, 100%, $F$9) + CHOOSE(CONTROL!$C$27, 0.0021, 0)</f>
        <v>75.360100000000003</v>
      </c>
      <c r="E692" s="14">
        <f>75.2214 * CHOOSE(CONTROL!$C$9, $D$9, 100%, $F$9) + CHOOSE(CONTROL!$C$27, 0.0021, 0)</f>
        <v>75.223500000000001</v>
      </c>
      <c r="F692" s="14">
        <f>75.2214 * CHOOSE(CONTROL!$C$9, $D$9, 100%, $F$9) + CHOOSE(CONTROL!$C$27, 0.0021, 0)</f>
        <v>75.223500000000001</v>
      </c>
      <c r="G692" s="14">
        <f>75.4928 * CHOOSE(CONTROL!$C$9, $D$9, 100%, $F$9) + CHOOSE(CONTROL!$C$27, 0.0021, 0)</f>
        <v>75.494900000000001</v>
      </c>
      <c r="H692" s="14">
        <f>75.358 * CHOOSE(CONTROL!$C$9, $D$9, 100%, $F$9) + CHOOSE(CONTROL!$C$27, 0.0021, 0)</f>
        <v>75.360100000000003</v>
      </c>
      <c r="I692" s="14">
        <f>75.358 * CHOOSE(CONTROL!$C$9, $D$9, 100%, $F$9) + CHOOSE(CONTROL!$C$27, 0.0021, 0)</f>
        <v>75.360100000000003</v>
      </c>
      <c r="J692" s="14">
        <f>75.358 * CHOOSE(CONTROL!$C$9, $D$9, 100%, $F$9) + CHOOSE(CONTROL!$C$27, 0.0021, 0)</f>
        <v>75.360100000000003</v>
      </c>
      <c r="K692" s="14">
        <f>75.358 * CHOOSE(CONTROL!$C$9, $D$9, 100%, $F$9) + CHOOSE(CONTROL!$C$27, 0.0021, 0)</f>
        <v>75.360100000000003</v>
      </c>
      <c r="L692" s="14"/>
    </row>
    <row r="693" spans="1:12" ht="15.75" x14ac:dyDescent="0.25">
      <c r="A693" s="32">
        <v>62032</v>
      </c>
      <c r="B693" s="14">
        <f>73.2487 * CHOOSE(CONTROL!$C$9, $D$9, 100%, $F$9) + CHOOSE(CONTROL!$C$27, 0.0021, 0)</f>
        <v>73.250799999999998</v>
      </c>
      <c r="C693" s="14">
        <f>72.8164 * CHOOSE(CONTROL!$C$9, $D$9, 100%, $F$9) + CHOOSE(CONTROL!$C$27, 0.0021, 0)</f>
        <v>72.8185</v>
      </c>
      <c r="D693" s="14">
        <f>72.8164 * CHOOSE(CONTROL!$C$9, $D$9, 100%, $F$9) + CHOOSE(CONTROL!$C$27, 0.0021, 0)</f>
        <v>72.8185</v>
      </c>
      <c r="E693" s="14">
        <f>72.6797 * CHOOSE(CONTROL!$C$9, $D$9, 100%, $F$9) + CHOOSE(CONTROL!$C$27, 0.0021, 0)</f>
        <v>72.681799999999996</v>
      </c>
      <c r="F693" s="14">
        <f>72.6797 * CHOOSE(CONTROL!$C$9, $D$9, 100%, $F$9) + CHOOSE(CONTROL!$C$27, 0.0021, 0)</f>
        <v>72.681799999999996</v>
      </c>
      <c r="G693" s="14">
        <f>72.9511 * CHOOSE(CONTROL!$C$9, $D$9, 100%, $F$9) + CHOOSE(CONTROL!$C$27, 0.0021, 0)</f>
        <v>72.953199999999995</v>
      </c>
      <c r="H693" s="14">
        <f>72.8164 * CHOOSE(CONTROL!$C$9, $D$9, 100%, $F$9) + CHOOSE(CONTROL!$C$27, 0.0021, 0)</f>
        <v>72.8185</v>
      </c>
      <c r="I693" s="14">
        <f>72.8164 * CHOOSE(CONTROL!$C$9, $D$9, 100%, $F$9) + CHOOSE(CONTROL!$C$27, 0.0021, 0)</f>
        <v>72.8185</v>
      </c>
      <c r="J693" s="14">
        <f>72.8164 * CHOOSE(CONTROL!$C$9, $D$9, 100%, $F$9) + CHOOSE(CONTROL!$C$27, 0.0021, 0)</f>
        <v>72.8185</v>
      </c>
      <c r="K693" s="14">
        <f>72.8164 * CHOOSE(CONTROL!$C$9, $D$9, 100%, $F$9) + CHOOSE(CONTROL!$C$27, 0.0021, 0)</f>
        <v>72.8185</v>
      </c>
      <c r="L693" s="14"/>
    </row>
    <row r="694" spans="1:12" ht="15.75" x14ac:dyDescent="0.25">
      <c r="A694" s="32">
        <v>62062</v>
      </c>
      <c r="B694" s="14">
        <f>72.7431 * CHOOSE(CONTROL!$C$9, $D$9, 100%, $F$9) + CHOOSE(CONTROL!$C$27, 0.0021, 0)</f>
        <v>72.745199999999997</v>
      </c>
      <c r="C694" s="14">
        <f>72.3108 * CHOOSE(CONTROL!$C$9, $D$9, 100%, $F$9) + CHOOSE(CONTROL!$C$27, 0.0021, 0)</f>
        <v>72.312899999999999</v>
      </c>
      <c r="D694" s="14">
        <f>72.3108 * CHOOSE(CONTROL!$C$9, $D$9, 100%, $F$9) + CHOOSE(CONTROL!$C$27, 0.0021, 0)</f>
        <v>72.312899999999999</v>
      </c>
      <c r="E694" s="14">
        <f>72.1742 * CHOOSE(CONTROL!$C$9, $D$9, 100%, $F$9) + CHOOSE(CONTROL!$C$27, 0.0021, 0)</f>
        <v>72.176299999999998</v>
      </c>
      <c r="F694" s="14">
        <f>72.1742 * CHOOSE(CONTROL!$C$9, $D$9, 100%, $F$9) + CHOOSE(CONTROL!$C$27, 0.0021, 0)</f>
        <v>72.176299999999998</v>
      </c>
      <c r="G694" s="14">
        <f>72.4455 * CHOOSE(CONTROL!$C$9, $D$9, 100%, $F$9) + CHOOSE(CONTROL!$C$27, 0.0021, 0)</f>
        <v>72.447599999999994</v>
      </c>
      <c r="H694" s="14">
        <f>72.3108 * CHOOSE(CONTROL!$C$9, $D$9, 100%, $F$9) + CHOOSE(CONTROL!$C$27, 0.0021, 0)</f>
        <v>72.312899999999999</v>
      </c>
      <c r="I694" s="14">
        <f>72.3108 * CHOOSE(CONTROL!$C$9, $D$9, 100%, $F$9) + CHOOSE(CONTROL!$C$27, 0.0021, 0)</f>
        <v>72.312899999999999</v>
      </c>
      <c r="J694" s="14">
        <f>72.3108 * CHOOSE(CONTROL!$C$9, $D$9, 100%, $F$9) + CHOOSE(CONTROL!$C$27, 0.0021, 0)</f>
        <v>72.312899999999999</v>
      </c>
      <c r="K694" s="14">
        <f>72.3108 * CHOOSE(CONTROL!$C$9, $D$9, 100%, $F$9) + CHOOSE(CONTROL!$C$27, 0.0021, 0)</f>
        <v>72.312899999999999</v>
      </c>
      <c r="L694" s="14"/>
    </row>
    <row r="695" spans="1:12" ht="15.75" x14ac:dyDescent="0.25">
      <c r="A695" s="32">
        <v>62093</v>
      </c>
      <c r="B695" s="14">
        <f>70.6524 * CHOOSE(CONTROL!$C$9, $D$9, 100%, $F$9) + CHOOSE(CONTROL!$C$27, 0.0021, 0)</f>
        <v>70.654499999999999</v>
      </c>
      <c r="C695" s="14">
        <f>70.2202 * CHOOSE(CONTROL!$C$9, $D$9, 100%, $F$9) + CHOOSE(CONTROL!$C$27, 0.0021, 0)</f>
        <v>70.222300000000004</v>
      </c>
      <c r="D695" s="14">
        <f>70.2202 * CHOOSE(CONTROL!$C$9, $D$9, 100%, $F$9) + CHOOSE(CONTROL!$C$27, 0.0021, 0)</f>
        <v>70.222300000000004</v>
      </c>
      <c r="E695" s="14">
        <f>70.0835 * CHOOSE(CONTROL!$C$9, $D$9, 100%, $F$9) + CHOOSE(CONTROL!$C$27, 0.0021, 0)</f>
        <v>70.085599999999999</v>
      </c>
      <c r="F695" s="14">
        <f>70.0835 * CHOOSE(CONTROL!$C$9, $D$9, 100%, $F$9) + CHOOSE(CONTROL!$C$27, 0.0021, 0)</f>
        <v>70.085599999999999</v>
      </c>
      <c r="G695" s="14">
        <f>70.3549 * CHOOSE(CONTROL!$C$9, $D$9, 100%, $F$9) + CHOOSE(CONTROL!$C$27, 0.0021, 0)</f>
        <v>70.356999999999999</v>
      </c>
      <c r="H695" s="14">
        <f>70.2202 * CHOOSE(CONTROL!$C$9, $D$9, 100%, $F$9) + CHOOSE(CONTROL!$C$27, 0.0021, 0)</f>
        <v>70.222300000000004</v>
      </c>
      <c r="I695" s="14">
        <f>70.2202 * CHOOSE(CONTROL!$C$9, $D$9, 100%, $F$9) + CHOOSE(CONTROL!$C$27, 0.0021, 0)</f>
        <v>70.222300000000004</v>
      </c>
      <c r="J695" s="14">
        <f>70.2202 * CHOOSE(CONTROL!$C$9, $D$9, 100%, $F$9) + CHOOSE(CONTROL!$C$27, 0.0021, 0)</f>
        <v>70.222300000000004</v>
      </c>
      <c r="K695" s="14">
        <f>70.2202 * CHOOSE(CONTROL!$C$9, $D$9, 100%, $F$9) + CHOOSE(CONTROL!$C$27, 0.0021, 0)</f>
        <v>70.222300000000004</v>
      </c>
      <c r="L695" s="14"/>
    </row>
    <row r="696" spans="1:12" ht="15.75" x14ac:dyDescent="0.25">
      <c r="A696" s="32">
        <v>62124</v>
      </c>
      <c r="B696" s="14">
        <f>70.2454 * CHOOSE(CONTROL!$C$9, $D$9, 100%, $F$9) + CHOOSE(CONTROL!$C$27, 0.0021, 0)</f>
        <v>70.247500000000002</v>
      </c>
      <c r="C696" s="14">
        <f>69.8132 * CHOOSE(CONTROL!$C$9, $D$9, 100%, $F$9) + CHOOSE(CONTROL!$C$27, 0.0021, 0)</f>
        <v>69.815299999999993</v>
      </c>
      <c r="D696" s="14">
        <f>69.8132 * CHOOSE(CONTROL!$C$9, $D$9, 100%, $F$9) + CHOOSE(CONTROL!$C$27, 0.0021, 0)</f>
        <v>69.815299999999993</v>
      </c>
      <c r="E696" s="14">
        <f>69.6765 * CHOOSE(CONTROL!$C$9, $D$9, 100%, $F$9) + CHOOSE(CONTROL!$C$27, 0.0021, 0)</f>
        <v>69.678600000000003</v>
      </c>
      <c r="F696" s="14">
        <f>69.6765 * CHOOSE(CONTROL!$C$9, $D$9, 100%, $F$9) + CHOOSE(CONTROL!$C$27, 0.0021, 0)</f>
        <v>69.678600000000003</v>
      </c>
      <c r="G696" s="14">
        <f>69.9479 * CHOOSE(CONTROL!$C$9, $D$9, 100%, $F$9) + CHOOSE(CONTROL!$C$27, 0.0021, 0)</f>
        <v>69.95</v>
      </c>
      <c r="H696" s="14">
        <f>69.8132 * CHOOSE(CONTROL!$C$9, $D$9, 100%, $F$9) + CHOOSE(CONTROL!$C$27, 0.0021, 0)</f>
        <v>69.815299999999993</v>
      </c>
      <c r="I696" s="14">
        <f>69.8132 * CHOOSE(CONTROL!$C$9, $D$9, 100%, $F$9) + CHOOSE(CONTROL!$C$27, 0.0021, 0)</f>
        <v>69.815299999999993</v>
      </c>
      <c r="J696" s="14">
        <f>69.8132 * CHOOSE(CONTROL!$C$9, $D$9, 100%, $F$9) + CHOOSE(CONTROL!$C$27, 0.0021, 0)</f>
        <v>69.815299999999993</v>
      </c>
      <c r="K696" s="14">
        <f>69.8132 * CHOOSE(CONTROL!$C$9, $D$9, 100%, $F$9) + CHOOSE(CONTROL!$C$27, 0.0021, 0)</f>
        <v>69.815299999999993</v>
      </c>
      <c r="L696" s="14"/>
    </row>
    <row r="697" spans="1:12" ht="15.75" x14ac:dyDescent="0.25">
      <c r="A697" s="32">
        <v>62152</v>
      </c>
      <c r="B697" s="14">
        <f>70.0565 * CHOOSE(CONTROL!$C$9, $D$9, 100%, $F$9) + CHOOSE(CONTROL!$C$27, 0.0021, 0)</f>
        <v>70.058599999999998</v>
      </c>
      <c r="C697" s="14">
        <f>69.6243 * CHOOSE(CONTROL!$C$9, $D$9, 100%, $F$9) + CHOOSE(CONTROL!$C$27, 0.0021, 0)</f>
        <v>69.626400000000004</v>
      </c>
      <c r="D697" s="14">
        <f>69.6243 * CHOOSE(CONTROL!$C$9, $D$9, 100%, $F$9) + CHOOSE(CONTROL!$C$27, 0.0021, 0)</f>
        <v>69.626400000000004</v>
      </c>
      <c r="E697" s="14">
        <f>69.4876 * CHOOSE(CONTROL!$C$9, $D$9, 100%, $F$9) + CHOOSE(CONTROL!$C$27, 0.0021, 0)</f>
        <v>69.489699999999999</v>
      </c>
      <c r="F697" s="14">
        <f>69.4876 * CHOOSE(CONTROL!$C$9, $D$9, 100%, $F$9) + CHOOSE(CONTROL!$C$27, 0.0021, 0)</f>
        <v>69.489699999999999</v>
      </c>
      <c r="G697" s="14">
        <f>69.759 * CHOOSE(CONTROL!$C$9, $D$9, 100%, $F$9) + CHOOSE(CONTROL!$C$27, 0.0021, 0)</f>
        <v>69.761099999999999</v>
      </c>
      <c r="H697" s="14">
        <f>69.6243 * CHOOSE(CONTROL!$C$9, $D$9, 100%, $F$9) + CHOOSE(CONTROL!$C$27, 0.0021, 0)</f>
        <v>69.626400000000004</v>
      </c>
      <c r="I697" s="14">
        <f>69.6243 * CHOOSE(CONTROL!$C$9, $D$9, 100%, $F$9) + CHOOSE(CONTROL!$C$27, 0.0021, 0)</f>
        <v>69.626400000000004</v>
      </c>
      <c r="J697" s="14">
        <f>69.6243 * CHOOSE(CONTROL!$C$9, $D$9, 100%, $F$9) + CHOOSE(CONTROL!$C$27, 0.0021, 0)</f>
        <v>69.626400000000004</v>
      </c>
      <c r="K697" s="14">
        <f>69.6243 * CHOOSE(CONTROL!$C$9, $D$9, 100%, $F$9) + CHOOSE(CONTROL!$C$27, 0.0021, 0)</f>
        <v>69.626400000000004</v>
      </c>
      <c r="L697" s="14"/>
    </row>
    <row r="698" spans="1:12" ht="15.75" x14ac:dyDescent="0.25">
      <c r="A698" s="32">
        <v>62183</v>
      </c>
      <c r="B698" s="14">
        <f>73.6281 * CHOOSE(CONTROL!$C$9, $D$9, 100%, $F$9) + CHOOSE(CONTROL!$C$27, 0.0021, 0)</f>
        <v>73.630200000000002</v>
      </c>
      <c r="C698" s="14">
        <f>73.1958 * CHOOSE(CONTROL!$C$9, $D$9, 100%, $F$9) + CHOOSE(CONTROL!$C$27, 0.0021, 0)</f>
        <v>73.197900000000004</v>
      </c>
      <c r="D698" s="14">
        <f>73.1958 * CHOOSE(CONTROL!$C$9, $D$9, 100%, $F$9) + CHOOSE(CONTROL!$C$27, 0.0021, 0)</f>
        <v>73.197900000000004</v>
      </c>
      <c r="E698" s="14">
        <f>73.0592 * CHOOSE(CONTROL!$C$9, $D$9, 100%, $F$9) + CHOOSE(CONTROL!$C$27, 0.0021, 0)</f>
        <v>73.061300000000003</v>
      </c>
      <c r="F698" s="14">
        <f>73.0592 * CHOOSE(CONTROL!$C$9, $D$9, 100%, $F$9) + CHOOSE(CONTROL!$C$27, 0.0021, 0)</f>
        <v>73.061300000000003</v>
      </c>
      <c r="G698" s="14">
        <f>73.3306 * CHOOSE(CONTROL!$C$9, $D$9, 100%, $F$9) + CHOOSE(CONTROL!$C$27, 0.0021, 0)</f>
        <v>73.332700000000003</v>
      </c>
      <c r="H698" s="14">
        <f>73.1958 * CHOOSE(CONTROL!$C$9, $D$9, 100%, $F$9) + CHOOSE(CONTROL!$C$27, 0.0021, 0)</f>
        <v>73.197900000000004</v>
      </c>
      <c r="I698" s="14">
        <f>73.1958 * CHOOSE(CONTROL!$C$9, $D$9, 100%, $F$9) + CHOOSE(CONTROL!$C$27, 0.0021, 0)</f>
        <v>73.197900000000004</v>
      </c>
      <c r="J698" s="14">
        <f>73.1958 * CHOOSE(CONTROL!$C$9, $D$9, 100%, $F$9) + CHOOSE(CONTROL!$C$27, 0.0021, 0)</f>
        <v>73.197900000000004</v>
      </c>
      <c r="K698" s="14">
        <f>73.1958 * CHOOSE(CONTROL!$C$9, $D$9, 100%, $F$9) + CHOOSE(CONTROL!$C$27, 0.0021, 0)</f>
        <v>73.197900000000004</v>
      </c>
      <c r="L698" s="14"/>
    </row>
    <row r="699" spans="1:12" ht="15.75" x14ac:dyDescent="0.25">
      <c r="A699" s="32">
        <v>62213</v>
      </c>
      <c r="B699" s="14">
        <f>78.2596 * CHOOSE(CONTROL!$C$9, $D$9, 100%, $F$9) + CHOOSE(CONTROL!$C$27, 0.0021, 0)</f>
        <v>78.261700000000005</v>
      </c>
      <c r="C699" s="14">
        <f>77.8273 * CHOOSE(CONTROL!$C$9, $D$9, 100%, $F$9) + CHOOSE(CONTROL!$C$27, 0.0021, 0)</f>
        <v>77.829399999999993</v>
      </c>
      <c r="D699" s="14">
        <f>77.8273 * CHOOSE(CONTROL!$C$9, $D$9, 100%, $F$9) + CHOOSE(CONTROL!$C$27, 0.0021, 0)</f>
        <v>77.829399999999993</v>
      </c>
      <c r="E699" s="14">
        <f>77.6907 * CHOOSE(CONTROL!$C$9, $D$9, 100%, $F$9) + CHOOSE(CONTROL!$C$27, 0.0021, 0)</f>
        <v>77.692800000000005</v>
      </c>
      <c r="F699" s="14">
        <f>77.6907 * CHOOSE(CONTROL!$C$9, $D$9, 100%, $F$9) + CHOOSE(CONTROL!$C$27, 0.0021, 0)</f>
        <v>77.692800000000005</v>
      </c>
      <c r="G699" s="14">
        <f>77.962 * CHOOSE(CONTROL!$C$9, $D$9, 100%, $F$9) + CHOOSE(CONTROL!$C$27, 0.0021, 0)</f>
        <v>77.964100000000002</v>
      </c>
      <c r="H699" s="14">
        <f>77.8273 * CHOOSE(CONTROL!$C$9, $D$9, 100%, $F$9) + CHOOSE(CONTROL!$C$27, 0.0021, 0)</f>
        <v>77.829399999999993</v>
      </c>
      <c r="I699" s="14">
        <f>77.8273 * CHOOSE(CONTROL!$C$9, $D$9, 100%, $F$9) + CHOOSE(CONTROL!$C$27, 0.0021, 0)</f>
        <v>77.829399999999993</v>
      </c>
      <c r="J699" s="14">
        <f>77.8273 * CHOOSE(CONTROL!$C$9, $D$9, 100%, $F$9) + CHOOSE(CONTROL!$C$27, 0.0021, 0)</f>
        <v>77.829399999999993</v>
      </c>
      <c r="K699" s="14">
        <f>77.8273 * CHOOSE(CONTROL!$C$9, $D$9, 100%, $F$9) + CHOOSE(CONTROL!$C$27, 0.0021, 0)</f>
        <v>77.829399999999993</v>
      </c>
      <c r="L699" s="14"/>
    </row>
    <row r="700" spans="1:12" ht="15.75" x14ac:dyDescent="0.25">
      <c r="A700" s="32">
        <v>62244</v>
      </c>
      <c r="B700" s="14">
        <f>80.8089 * CHOOSE(CONTROL!$C$9, $D$9, 100%, $F$9) + CHOOSE(CONTROL!$C$27, 0.0021, 0)</f>
        <v>80.810999999999993</v>
      </c>
      <c r="C700" s="14">
        <f>80.3766 * CHOOSE(CONTROL!$C$9, $D$9, 100%, $F$9) + CHOOSE(CONTROL!$C$27, 0.0021, 0)</f>
        <v>80.378699999999995</v>
      </c>
      <c r="D700" s="14">
        <f>80.3766 * CHOOSE(CONTROL!$C$9, $D$9, 100%, $F$9) + CHOOSE(CONTROL!$C$27, 0.0021, 0)</f>
        <v>80.378699999999995</v>
      </c>
      <c r="E700" s="14">
        <f>80.24 * CHOOSE(CONTROL!$C$9, $D$9, 100%, $F$9) + CHOOSE(CONTROL!$C$27, 0.0021, 0)</f>
        <v>80.242099999999994</v>
      </c>
      <c r="F700" s="14">
        <f>80.24 * CHOOSE(CONTROL!$C$9, $D$9, 100%, $F$9) + CHOOSE(CONTROL!$C$27, 0.0021, 0)</f>
        <v>80.242099999999994</v>
      </c>
      <c r="G700" s="14">
        <f>80.5113 * CHOOSE(CONTROL!$C$9, $D$9, 100%, $F$9) + CHOOSE(CONTROL!$C$27, 0.0021, 0)</f>
        <v>80.513400000000004</v>
      </c>
      <c r="H700" s="14">
        <f>80.3766 * CHOOSE(CONTROL!$C$9, $D$9, 100%, $F$9) + CHOOSE(CONTROL!$C$27, 0.0021, 0)</f>
        <v>80.378699999999995</v>
      </c>
      <c r="I700" s="14">
        <f>80.3766 * CHOOSE(CONTROL!$C$9, $D$9, 100%, $F$9) + CHOOSE(CONTROL!$C$27, 0.0021, 0)</f>
        <v>80.378699999999995</v>
      </c>
      <c r="J700" s="14">
        <f>80.3766 * CHOOSE(CONTROL!$C$9, $D$9, 100%, $F$9) + CHOOSE(CONTROL!$C$27, 0.0021, 0)</f>
        <v>80.378699999999995</v>
      </c>
      <c r="K700" s="14">
        <f>80.3766 * CHOOSE(CONTROL!$C$9, $D$9, 100%, $F$9) + CHOOSE(CONTROL!$C$27, 0.0021, 0)</f>
        <v>80.378699999999995</v>
      </c>
      <c r="L700" s="14"/>
    </row>
    <row r="701" spans="1:12" ht="15.75" x14ac:dyDescent="0.25">
      <c r="A701" s="32">
        <v>62274</v>
      </c>
      <c r="B701" s="14">
        <f>81.9402 * CHOOSE(CONTROL!$C$9, $D$9, 100%, $F$9) + CHOOSE(CONTROL!$C$27, 0.0021, 0)</f>
        <v>81.942300000000003</v>
      </c>
      <c r="C701" s="14">
        <f>81.508 * CHOOSE(CONTROL!$C$9, $D$9, 100%, $F$9) + CHOOSE(CONTROL!$C$27, 0.0021, 0)</f>
        <v>81.510099999999994</v>
      </c>
      <c r="D701" s="14">
        <f>81.508 * CHOOSE(CONTROL!$C$9, $D$9, 100%, $F$9) + CHOOSE(CONTROL!$C$27, 0.0021, 0)</f>
        <v>81.510099999999994</v>
      </c>
      <c r="E701" s="14">
        <f>81.3713 * CHOOSE(CONTROL!$C$9, $D$9, 100%, $F$9) + CHOOSE(CONTROL!$C$27, 0.0021, 0)</f>
        <v>81.373400000000004</v>
      </c>
      <c r="F701" s="14">
        <f>81.3713 * CHOOSE(CONTROL!$C$9, $D$9, 100%, $F$9) + CHOOSE(CONTROL!$C$27, 0.0021, 0)</f>
        <v>81.373400000000004</v>
      </c>
      <c r="G701" s="14">
        <f>81.6427 * CHOOSE(CONTROL!$C$9, $D$9, 100%, $F$9) + CHOOSE(CONTROL!$C$27, 0.0021, 0)</f>
        <v>81.644800000000004</v>
      </c>
      <c r="H701" s="14">
        <f>81.508 * CHOOSE(CONTROL!$C$9, $D$9, 100%, $F$9) + CHOOSE(CONTROL!$C$27, 0.0021, 0)</f>
        <v>81.510099999999994</v>
      </c>
      <c r="I701" s="14">
        <f>81.508 * CHOOSE(CONTROL!$C$9, $D$9, 100%, $F$9) + CHOOSE(CONTROL!$C$27, 0.0021, 0)</f>
        <v>81.510099999999994</v>
      </c>
      <c r="J701" s="14">
        <f>81.508 * CHOOSE(CONTROL!$C$9, $D$9, 100%, $F$9) + CHOOSE(CONTROL!$C$27, 0.0021, 0)</f>
        <v>81.510099999999994</v>
      </c>
      <c r="K701" s="14">
        <f>81.508 * CHOOSE(CONTROL!$C$9, $D$9, 100%, $F$9) + CHOOSE(CONTROL!$C$27, 0.0021, 0)</f>
        <v>81.510099999999994</v>
      </c>
      <c r="L701" s="14"/>
    </row>
    <row r="702" spans="1:12" ht="15.75" x14ac:dyDescent="0.25">
      <c r="A702" s="32">
        <v>62305</v>
      </c>
      <c r="B702" s="14">
        <f>81.5677 * CHOOSE(CONTROL!$C$9, $D$9, 100%, $F$9) + CHOOSE(CONTROL!$C$27, 0.0021, 0)</f>
        <v>81.569800000000001</v>
      </c>
      <c r="C702" s="14">
        <f>81.1355 * CHOOSE(CONTROL!$C$9, $D$9, 100%, $F$9) + CHOOSE(CONTROL!$C$27, 0.0021, 0)</f>
        <v>81.137599999999992</v>
      </c>
      <c r="D702" s="14">
        <f>81.1355 * CHOOSE(CONTROL!$C$9, $D$9, 100%, $F$9) + CHOOSE(CONTROL!$C$27, 0.0021, 0)</f>
        <v>81.137599999999992</v>
      </c>
      <c r="E702" s="14">
        <f>80.9988 * CHOOSE(CONTROL!$C$9, $D$9, 100%, $F$9) + CHOOSE(CONTROL!$C$27, 0.0021, 0)</f>
        <v>81.000900000000001</v>
      </c>
      <c r="F702" s="14">
        <f>80.9988 * CHOOSE(CONTROL!$C$9, $D$9, 100%, $F$9) + CHOOSE(CONTROL!$C$27, 0.0021, 0)</f>
        <v>81.000900000000001</v>
      </c>
      <c r="G702" s="14">
        <f>81.2702 * CHOOSE(CONTROL!$C$9, $D$9, 100%, $F$9) + CHOOSE(CONTROL!$C$27, 0.0021, 0)</f>
        <v>81.272300000000001</v>
      </c>
      <c r="H702" s="14">
        <f>81.1355 * CHOOSE(CONTROL!$C$9, $D$9, 100%, $F$9) + CHOOSE(CONTROL!$C$27, 0.0021, 0)</f>
        <v>81.137599999999992</v>
      </c>
      <c r="I702" s="14">
        <f>81.1355 * CHOOSE(CONTROL!$C$9, $D$9, 100%, $F$9) + CHOOSE(CONTROL!$C$27, 0.0021, 0)</f>
        <v>81.137599999999992</v>
      </c>
      <c r="J702" s="14">
        <f>81.1355 * CHOOSE(CONTROL!$C$9, $D$9, 100%, $F$9) + CHOOSE(CONTROL!$C$27, 0.0021, 0)</f>
        <v>81.137599999999992</v>
      </c>
      <c r="K702" s="14">
        <f>81.1355 * CHOOSE(CONTROL!$C$9, $D$9, 100%, $F$9) + CHOOSE(CONTROL!$C$27, 0.0021, 0)</f>
        <v>81.137599999999992</v>
      </c>
      <c r="L702" s="14"/>
    </row>
    <row r="703" spans="1:12" ht="15.75" x14ac:dyDescent="0.25">
      <c r="A703" s="32">
        <v>62336</v>
      </c>
      <c r="B703" s="14">
        <f>79.7222 * CHOOSE(CONTROL!$C$9, $D$9, 100%, $F$9) + CHOOSE(CONTROL!$C$27, 0.0021, 0)</f>
        <v>79.724299999999999</v>
      </c>
      <c r="C703" s="14">
        <f>79.29 * CHOOSE(CONTROL!$C$9, $D$9, 100%, $F$9) + CHOOSE(CONTROL!$C$27, 0.0021, 0)</f>
        <v>79.292100000000005</v>
      </c>
      <c r="D703" s="14">
        <f>79.29 * CHOOSE(CONTROL!$C$9, $D$9, 100%, $F$9) + CHOOSE(CONTROL!$C$27, 0.0021, 0)</f>
        <v>79.292100000000005</v>
      </c>
      <c r="E703" s="14">
        <f>79.1533 * CHOOSE(CONTROL!$C$9, $D$9, 100%, $F$9) + CHOOSE(CONTROL!$C$27, 0.0021, 0)</f>
        <v>79.1554</v>
      </c>
      <c r="F703" s="14">
        <f>79.1533 * CHOOSE(CONTROL!$C$9, $D$9, 100%, $F$9) + CHOOSE(CONTROL!$C$27, 0.0021, 0)</f>
        <v>79.1554</v>
      </c>
      <c r="G703" s="14">
        <f>79.4247 * CHOOSE(CONTROL!$C$9, $D$9, 100%, $F$9) + CHOOSE(CONTROL!$C$27, 0.0021, 0)</f>
        <v>79.4268</v>
      </c>
      <c r="H703" s="14">
        <f>79.29 * CHOOSE(CONTROL!$C$9, $D$9, 100%, $F$9) + CHOOSE(CONTROL!$C$27, 0.0021, 0)</f>
        <v>79.292100000000005</v>
      </c>
      <c r="I703" s="14">
        <f>79.29 * CHOOSE(CONTROL!$C$9, $D$9, 100%, $F$9) + CHOOSE(CONTROL!$C$27, 0.0021, 0)</f>
        <v>79.292100000000005</v>
      </c>
      <c r="J703" s="14">
        <f>79.29 * CHOOSE(CONTROL!$C$9, $D$9, 100%, $F$9) + CHOOSE(CONTROL!$C$27, 0.0021, 0)</f>
        <v>79.292100000000005</v>
      </c>
      <c r="K703" s="14">
        <f>79.29 * CHOOSE(CONTROL!$C$9, $D$9, 100%, $F$9) + CHOOSE(CONTROL!$C$27, 0.0021, 0)</f>
        <v>79.292100000000005</v>
      </c>
      <c r="L703" s="14"/>
    </row>
    <row r="704" spans="1:12" ht="15.75" x14ac:dyDescent="0.25">
      <c r="A704" s="32">
        <v>62366</v>
      </c>
      <c r="B704" s="14">
        <f>77.1486 * CHOOSE(CONTROL!$C$9, $D$9, 100%, $F$9) + CHOOSE(CONTROL!$C$27, 0.0021, 0)</f>
        <v>77.150700000000001</v>
      </c>
      <c r="C704" s="14">
        <f>76.7163 * CHOOSE(CONTROL!$C$9, $D$9, 100%, $F$9) + CHOOSE(CONTROL!$C$27, 0.0021, 0)</f>
        <v>76.718400000000003</v>
      </c>
      <c r="D704" s="14">
        <f>76.7163 * CHOOSE(CONTROL!$C$9, $D$9, 100%, $F$9) + CHOOSE(CONTROL!$C$27, 0.0021, 0)</f>
        <v>76.718400000000003</v>
      </c>
      <c r="E704" s="14">
        <f>76.5797 * CHOOSE(CONTROL!$C$9, $D$9, 100%, $F$9) + CHOOSE(CONTROL!$C$27, 0.0021, 0)</f>
        <v>76.581800000000001</v>
      </c>
      <c r="F704" s="14">
        <f>76.5797 * CHOOSE(CONTROL!$C$9, $D$9, 100%, $F$9) + CHOOSE(CONTROL!$C$27, 0.0021, 0)</f>
        <v>76.581800000000001</v>
      </c>
      <c r="G704" s="14">
        <f>76.8511 * CHOOSE(CONTROL!$C$9, $D$9, 100%, $F$9) + CHOOSE(CONTROL!$C$27, 0.0021, 0)</f>
        <v>76.853200000000001</v>
      </c>
      <c r="H704" s="14">
        <f>76.7163 * CHOOSE(CONTROL!$C$9, $D$9, 100%, $F$9) + CHOOSE(CONTROL!$C$27, 0.0021, 0)</f>
        <v>76.718400000000003</v>
      </c>
      <c r="I704" s="14">
        <f>76.7163 * CHOOSE(CONTROL!$C$9, $D$9, 100%, $F$9) + CHOOSE(CONTROL!$C$27, 0.0021, 0)</f>
        <v>76.718400000000003</v>
      </c>
      <c r="J704" s="14">
        <f>76.7163 * CHOOSE(CONTROL!$C$9, $D$9, 100%, $F$9) + CHOOSE(CONTROL!$C$27, 0.0021, 0)</f>
        <v>76.718400000000003</v>
      </c>
      <c r="K704" s="14">
        <f>76.7163 * CHOOSE(CONTROL!$C$9, $D$9, 100%, $F$9) + CHOOSE(CONTROL!$C$27, 0.0021, 0)</f>
        <v>76.718400000000003</v>
      </c>
      <c r="L704" s="14"/>
    </row>
    <row r="705" spans="1:12" ht="15.75" x14ac:dyDescent="0.25">
      <c r="A705" s="32">
        <v>62397</v>
      </c>
      <c r="B705" s="14">
        <f>74.56 * CHOOSE(CONTROL!$C$9, $D$9, 100%, $F$9) + CHOOSE(CONTROL!$C$27, 0.0021, 0)</f>
        <v>74.562100000000001</v>
      </c>
      <c r="C705" s="14">
        <f>74.1277 * CHOOSE(CONTROL!$C$9, $D$9, 100%, $F$9) + CHOOSE(CONTROL!$C$27, 0.0021, 0)</f>
        <v>74.129800000000003</v>
      </c>
      <c r="D705" s="14">
        <f>74.1277 * CHOOSE(CONTROL!$C$9, $D$9, 100%, $F$9) + CHOOSE(CONTROL!$C$27, 0.0021, 0)</f>
        <v>74.129800000000003</v>
      </c>
      <c r="E705" s="14">
        <f>73.9911 * CHOOSE(CONTROL!$C$9, $D$9, 100%, $F$9) + CHOOSE(CONTROL!$C$27, 0.0021, 0)</f>
        <v>73.993200000000002</v>
      </c>
      <c r="F705" s="14">
        <f>73.9911 * CHOOSE(CONTROL!$C$9, $D$9, 100%, $F$9) + CHOOSE(CONTROL!$C$27, 0.0021, 0)</f>
        <v>73.993200000000002</v>
      </c>
      <c r="G705" s="14">
        <f>74.2624 * CHOOSE(CONTROL!$C$9, $D$9, 100%, $F$9) + CHOOSE(CONTROL!$C$27, 0.0021, 0)</f>
        <v>74.264499999999998</v>
      </c>
      <c r="H705" s="14">
        <f>74.1277 * CHOOSE(CONTROL!$C$9, $D$9, 100%, $F$9) + CHOOSE(CONTROL!$C$27, 0.0021, 0)</f>
        <v>74.129800000000003</v>
      </c>
      <c r="I705" s="14">
        <f>74.1277 * CHOOSE(CONTROL!$C$9, $D$9, 100%, $F$9) + CHOOSE(CONTROL!$C$27, 0.0021, 0)</f>
        <v>74.129800000000003</v>
      </c>
      <c r="J705" s="14">
        <f>74.1277 * CHOOSE(CONTROL!$C$9, $D$9, 100%, $F$9) + CHOOSE(CONTROL!$C$27, 0.0021, 0)</f>
        <v>74.129800000000003</v>
      </c>
      <c r="K705" s="14">
        <f>74.1277 * CHOOSE(CONTROL!$C$9, $D$9, 100%, $F$9) + CHOOSE(CONTROL!$C$27, 0.0021, 0)</f>
        <v>74.129800000000003</v>
      </c>
      <c r="L705" s="14"/>
    </row>
    <row r="706" spans="1:12" ht="15.75" x14ac:dyDescent="0.25">
      <c r="A706" s="32">
        <v>62427</v>
      </c>
      <c r="B706" s="14">
        <f>74.0451 * CHOOSE(CONTROL!$C$9, $D$9, 100%, $F$9) + CHOOSE(CONTROL!$C$27, 0.0021, 0)</f>
        <v>74.047200000000004</v>
      </c>
      <c r="C706" s="14">
        <f>73.6128 * CHOOSE(CONTROL!$C$9, $D$9, 100%, $F$9) + CHOOSE(CONTROL!$C$27, 0.0021, 0)</f>
        <v>73.614899999999992</v>
      </c>
      <c r="D706" s="14">
        <f>73.6128 * CHOOSE(CONTROL!$C$9, $D$9, 100%, $F$9) + CHOOSE(CONTROL!$C$27, 0.0021, 0)</f>
        <v>73.614899999999992</v>
      </c>
      <c r="E706" s="14">
        <f>73.4761 * CHOOSE(CONTROL!$C$9, $D$9, 100%, $F$9) + CHOOSE(CONTROL!$C$27, 0.0021, 0)</f>
        <v>73.478200000000001</v>
      </c>
      <c r="F706" s="14">
        <f>73.4761 * CHOOSE(CONTROL!$C$9, $D$9, 100%, $F$9) + CHOOSE(CONTROL!$C$27, 0.0021, 0)</f>
        <v>73.478200000000001</v>
      </c>
      <c r="G706" s="14">
        <f>73.7475 * CHOOSE(CONTROL!$C$9, $D$9, 100%, $F$9) + CHOOSE(CONTROL!$C$27, 0.0021, 0)</f>
        <v>73.749600000000001</v>
      </c>
      <c r="H706" s="14">
        <f>73.6128 * CHOOSE(CONTROL!$C$9, $D$9, 100%, $F$9) + CHOOSE(CONTROL!$C$27, 0.0021, 0)</f>
        <v>73.614899999999992</v>
      </c>
      <c r="I706" s="14">
        <f>73.6128 * CHOOSE(CONTROL!$C$9, $D$9, 100%, $F$9) + CHOOSE(CONTROL!$C$27, 0.0021, 0)</f>
        <v>73.614899999999992</v>
      </c>
      <c r="J706" s="14">
        <f>73.6128 * CHOOSE(CONTROL!$C$9, $D$9, 100%, $F$9) + CHOOSE(CONTROL!$C$27, 0.0021, 0)</f>
        <v>73.614899999999992</v>
      </c>
      <c r="K706" s="14">
        <f>73.6128 * CHOOSE(CONTROL!$C$9, $D$9, 100%, $F$9) + CHOOSE(CONTROL!$C$27, 0.0021, 0)</f>
        <v>73.614899999999992</v>
      </c>
      <c r="L706" s="14"/>
    </row>
    <row r="707" spans="1:12" ht="15.75" x14ac:dyDescent="0.25">
      <c r="A707" s="32">
        <v>62458</v>
      </c>
      <c r="B707" s="14">
        <f>71.9158 * CHOOSE(CONTROL!$C$9, $D$9, 100%, $F$9) + CHOOSE(CONTROL!$C$27, 0.0021, 0)</f>
        <v>71.917900000000003</v>
      </c>
      <c r="C707" s="14">
        <f>71.4835 * CHOOSE(CONTROL!$C$9, $D$9, 100%, $F$9) + CHOOSE(CONTROL!$C$27, 0.0021, 0)</f>
        <v>71.485600000000005</v>
      </c>
      <c r="D707" s="14">
        <f>71.4835 * CHOOSE(CONTROL!$C$9, $D$9, 100%, $F$9) + CHOOSE(CONTROL!$C$27, 0.0021, 0)</f>
        <v>71.485600000000005</v>
      </c>
      <c r="E707" s="14">
        <f>71.3469 * CHOOSE(CONTROL!$C$9, $D$9, 100%, $F$9) + CHOOSE(CONTROL!$C$27, 0.0021, 0)</f>
        <v>71.349000000000004</v>
      </c>
      <c r="F707" s="14">
        <f>71.3469 * CHOOSE(CONTROL!$C$9, $D$9, 100%, $F$9) + CHOOSE(CONTROL!$C$27, 0.0021, 0)</f>
        <v>71.349000000000004</v>
      </c>
      <c r="G707" s="14">
        <f>71.6183 * CHOOSE(CONTROL!$C$9, $D$9, 100%, $F$9) + CHOOSE(CONTROL!$C$27, 0.0021, 0)</f>
        <v>71.620400000000004</v>
      </c>
      <c r="H707" s="14">
        <f>71.4835 * CHOOSE(CONTROL!$C$9, $D$9, 100%, $F$9) + CHOOSE(CONTROL!$C$27, 0.0021, 0)</f>
        <v>71.485600000000005</v>
      </c>
      <c r="I707" s="14">
        <f>71.4835 * CHOOSE(CONTROL!$C$9, $D$9, 100%, $F$9) + CHOOSE(CONTROL!$C$27, 0.0021, 0)</f>
        <v>71.485600000000005</v>
      </c>
      <c r="J707" s="14">
        <f>71.4835 * CHOOSE(CONTROL!$C$9, $D$9, 100%, $F$9) + CHOOSE(CONTROL!$C$27, 0.0021, 0)</f>
        <v>71.485600000000005</v>
      </c>
      <c r="K707" s="14">
        <f>71.4835 * CHOOSE(CONTROL!$C$9, $D$9, 100%, $F$9) + CHOOSE(CONTROL!$C$27, 0.0021, 0)</f>
        <v>71.485600000000005</v>
      </c>
      <c r="L707" s="14"/>
    </row>
    <row r="708" spans="1:12" ht="15.75" x14ac:dyDescent="0.25">
      <c r="A708" s="32">
        <v>62489</v>
      </c>
      <c r="B708" s="14">
        <f>71.5012 * CHOOSE(CONTROL!$C$9, $D$9, 100%, $F$9) + CHOOSE(CONTROL!$C$27, 0.0021, 0)</f>
        <v>71.503299999999996</v>
      </c>
      <c r="C708" s="14">
        <f>71.069 * CHOOSE(CONTROL!$C$9, $D$9, 100%, $F$9) + CHOOSE(CONTROL!$C$27, 0.0021, 0)</f>
        <v>71.071100000000001</v>
      </c>
      <c r="D708" s="14">
        <f>71.069 * CHOOSE(CONTROL!$C$9, $D$9, 100%, $F$9) + CHOOSE(CONTROL!$C$27, 0.0021, 0)</f>
        <v>71.071100000000001</v>
      </c>
      <c r="E708" s="14">
        <f>70.9323 * CHOOSE(CONTROL!$C$9, $D$9, 100%, $F$9) + CHOOSE(CONTROL!$C$27, 0.0021, 0)</f>
        <v>70.934399999999997</v>
      </c>
      <c r="F708" s="14">
        <f>70.9323 * CHOOSE(CONTROL!$C$9, $D$9, 100%, $F$9) + CHOOSE(CONTROL!$C$27, 0.0021, 0)</f>
        <v>70.934399999999997</v>
      </c>
      <c r="G708" s="14">
        <f>71.2037 * CHOOSE(CONTROL!$C$9, $D$9, 100%, $F$9) + CHOOSE(CONTROL!$C$27, 0.0021, 0)</f>
        <v>71.205799999999996</v>
      </c>
      <c r="H708" s="14">
        <f>71.069 * CHOOSE(CONTROL!$C$9, $D$9, 100%, $F$9) + CHOOSE(CONTROL!$C$27, 0.0021, 0)</f>
        <v>71.071100000000001</v>
      </c>
      <c r="I708" s="14">
        <f>71.069 * CHOOSE(CONTROL!$C$9, $D$9, 100%, $F$9) + CHOOSE(CONTROL!$C$27, 0.0021, 0)</f>
        <v>71.071100000000001</v>
      </c>
      <c r="J708" s="14">
        <f>71.069 * CHOOSE(CONTROL!$C$9, $D$9, 100%, $F$9) + CHOOSE(CONTROL!$C$27, 0.0021, 0)</f>
        <v>71.071100000000001</v>
      </c>
      <c r="K708" s="14">
        <f>71.069 * CHOOSE(CONTROL!$C$9, $D$9, 100%, $F$9) + CHOOSE(CONTROL!$C$27, 0.0021, 0)</f>
        <v>71.071100000000001</v>
      </c>
      <c r="L708" s="14"/>
    </row>
    <row r="709" spans="1:12" ht="15.75" x14ac:dyDescent="0.25">
      <c r="A709" s="32">
        <v>62517</v>
      </c>
      <c r="B709" s="14">
        <f>71.3089 * CHOOSE(CONTROL!$C$9, $D$9, 100%, $F$9) + CHOOSE(CONTROL!$C$27, 0.0021, 0)</f>
        <v>71.310999999999993</v>
      </c>
      <c r="C709" s="14">
        <f>70.8766 * CHOOSE(CONTROL!$C$9, $D$9, 100%, $F$9) + CHOOSE(CONTROL!$C$27, 0.0021, 0)</f>
        <v>70.878699999999995</v>
      </c>
      <c r="D709" s="14">
        <f>70.8766 * CHOOSE(CONTROL!$C$9, $D$9, 100%, $F$9) + CHOOSE(CONTROL!$C$27, 0.0021, 0)</f>
        <v>70.878699999999995</v>
      </c>
      <c r="E709" s="14">
        <f>70.74 * CHOOSE(CONTROL!$C$9, $D$9, 100%, $F$9) + CHOOSE(CONTROL!$C$27, 0.0021, 0)</f>
        <v>70.742099999999994</v>
      </c>
      <c r="F709" s="14">
        <f>70.74 * CHOOSE(CONTROL!$C$9, $D$9, 100%, $F$9) + CHOOSE(CONTROL!$C$27, 0.0021, 0)</f>
        <v>70.742099999999994</v>
      </c>
      <c r="G709" s="14">
        <f>71.0113 * CHOOSE(CONTROL!$C$9, $D$9, 100%, $F$9) + CHOOSE(CONTROL!$C$27, 0.0021, 0)</f>
        <v>71.013400000000004</v>
      </c>
      <c r="H709" s="14">
        <f>70.8766 * CHOOSE(CONTROL!$C$9, $D$9, 100%, $F$9) + CHOOSE(CONTROL!$C$27, 0.0021, 0)</f>
        <v>70.878699999999995</v>
      </c>
      <c r="I709" s="14">
        <f>70.8766 * CHOOSE(CONTROL!$C$9, $D$9, 100%, $F$9) + CHOOSE(CONTROL!$C$27, 0.0021, 0)</f>
        <v>70.878699999999995</v>
      </c>
      <c r="J709" s="14">
        <f>70.8766 * CHOOSE(CONTROL!$C$9, $D$9, 100%, $F$9) + CHOOSE(CONTROL!$C$27, 0.0021, 0)</f>
        <v>70.878699999999995</v>
      </c>
      <c r="K709" s="14">
        <f>70.8766 * CHOOSE(CONTROL!$C$9, $D$9, 100%, $F$9) + CHOOSE(CONTROL!$C$27, 0.0021, 0)</f>
        <v>70.878699999999995</v>
      </c>
      <c r="L709" s="14"/>
    </row>
    <row r="710" spans="1:12" ht="15.75" x14ac:dyDescent="0.25">
      <c r="A710" s="32">
        <v>62548</v>
      </c>
      <c r="B710" s="14">
        <f>74.9464 * CHOOSE(CONTROL!$C$9, $D$9, 100%, $F$9) + CHOOSE(CONTROL!$C$27, 0.0021, 0)</f>
        <v>74.948499999999996</v>
      </c>
      <c r="C710" s="14">
        <f>74.5142 * CHOOSE(CONTROL!$C$9, $D$9, 100%, $F$9) + CHOOSE(CONTROL!$C$27, 0.0021, 0)</f>
        <v>74.516300000000001</v>
      </c>
      <c r="D710" s="14">
        <f>74.5142 * CHOOSE(CONTROL!$C$9, $D$9, 100%, $F$9) + CHOOSE(CONTROL!$C$27, 0.0021, 0)</f>
        <v>74.516300000000001</v>
      </c>
      <c r="E710" s="14">
        <f>74.3775 * CHOOSE(CONTROL!$C$9, $D$9, 100%, $F$9) + CHOOSE(CONTROL!$C$27, 0.0021, 0)</f>
        <v>74.379599999999996</v>
      </c>
      <c r="F710" s="14">
        <f>74.3775 * CHOOSE(CONTROL!$C$9, $D$9, 100%, $F$9) + CHOOSE(CONTROL!$C$27, 0.0021, 0)</f>
        <v>74.379599999999996</v>
      </c>
      <c r="G710" s="14">
        <f>74.6489 * CHOOSE(CONTROL!$C$9, $D$9, 100%, $F$9) + CHOOSE(CONTROL!$C$27, 0.0021, 0)</f>
        <v>74.650999999999996</v>
      </c>
      <c r="H710" s="14">
        <f>74.5142 * CHOOSE(CONTROL!$C$9, $D$9, 100%, $F$9) + CHOOSE(CONTROL!$C$27, 0.0021, 0)</f>
        <v>74.516300000000001</v>
      </c>
      <c r="I710" s="14">
        <f>74.5142 * CHOOSE(CONTROL!$C$9, $D$9, 100%, $F$9) + CHOOSE(CONTROL!$C$27, 0.0021, 0)</f>
        <v>74.516300000000001</v>
      </c>
      <c r="J710" s="14">
        <f>74.5142 * CHOOSE(CONTROL!$C$9, $D$9, 100%, $F$9) + CHOOSE(CONTROL!$C$27, 0.0021, 0)</f>
        <v>74.516300000000001</v>
      </c>
      <c r="K710" s="14">
        <f>74.5142 * CHOOSE(CONTROL!$C$9, $D$9, 100%, $F$9) + CHOOSE(CONTROL!$C$27, 0.0021, 0)</f>
        <v>74.516300000000001</v>
      </c>
      <c r="L710" s="14"/>
    </row>
    <row r="711" spans="1:12" ht="15.75" x14ac:dyDescent="0.25">
      <c r="A711" s="32">
        <v>62578</v>
      </c>
      <c r="B711" s="14">
        <f>79.6635 * CHOOSE(CONTROL!$C$9, $D$9, 100%, $F$9) + CHOOSE(CONTROL!$C$27, 0.0021, 0)</f>
        <v>79.665599999999998</v>
      </c>
      <c r="C711" s="14">
        <f>79.2312 * CHOOSE(CONTROL!$C$9, $D$9, 100%, $F$9) + CHOOSE(CONTROL!$C$27, 0.0021, 0)</f>
        <v>79.2333</v>
      </c>
      <c r="D711" s="14">
        <f>79.2312 * CHOOSE(CONTROL!$C$9, $D$9, 100%, $F$9) + CHOOSE(CONTROL!$C$27, 0.0021, 0)</f>
        <v>79.2333</v>
      </c>
      <c r="E711" s="14">
        <f>79.0946 * CHOOSE(CONTROL!$C$9, $D$9, 100%, $F$9) + CHOOSE(CONTROL!$C$27, 0.0021, 0)</f>
        <v>79.096699999999998</v>
      </c>
      <c r="F711" s="14">
        <f>79.0946 * CHOOSE(CONTROL!$C$9, $D$9, 100%, $F$9) + CHOOSE(CONTROL!$C$27, 0.0021, 0)</f>
        <v>79.096699999999998</v>
      </c>
      <c r="G711" s="14">
        <f>79.366 * CHOOSE(CONTROL!$C$9, $D$9, 100%, $F$9) + CHOOSE(CONTROL!$C$27, 0.0021, 0)</f>
        <v>79.368099999999998</v>
      </c>
      <c r="H711" s="14">
        <f>79.2312 * CHOOSE(CONTROL!$C$9, $D$9, 100%, $F$9) + CHOOSE(CONTROL!$C$27, 0.0021, 0)</f>
        <v>79.2333</v>
      </c>
      <c r="I711" s="14">
        <f>79.2312 * CHOOSE(CONTROL!$C$9, $D$9, 100%, $F$9) + CHOOSE(CONTROL!$C$27, 0.0021, 0)</f>
        <v>79.2333</v>
      </c>
      <c r="J711" s="14">
        <f>79.2312 * CHOOSE(CONTROL!$C$9, $D$9, 100%, $F$9) + CHOOSE(CONTROL!$C$27, 0.0021, 0)</f>
        <v>79.2333</v>
      </c>
      <c r="K711" s="14">
        <f>79.2312 * CHOOSE(CONTROL!$C$9, $D$9, 100%, $F$9) + CHOOSE(CONTROL!$C$27, 0.0021, 0)</f>
        <v>79.2333</v>
      </c>
      <c r="L711" s="14"/>
    </row>
    <row r="712" spans="1:12" ht="15.75" x14ac:dyDescent="0.25">
      <c r="A712" s="32">
        <v>62609</v>
      </c>
      <c r="B712" s="14">
        <f>82.2599 * CHOOSE(CONTROL!$C$9, $D$9, 100%, $F$9) + CHOOSE(CONTROL!$C$27, 0.0021, 0)</f>
        <v>82.262</v>
      </c>
      <c r="C712" s="14">
        <f>81.8277 * CHOOSE(CONTROL!$C$9, $D$9, 100%, $F$9) + CHOOSE(CONTROL!$C$27, 0.0021, 0)</f>
        <v>81.829799999999992</v>
      </c>
      <c r="D712" s="14">
        <f>81.8277 * CHOOSE(CONTROL!$C$9, $D$9, 100%, $F$9) + CHOOSE(CONTROL!$C$27, 0.0021, 0)</f>
        <v>81.829799999999992</v>
      </c>
      <c r="E712" s="14">
        <f>81.691 * CHOOSE(CONTROL!$C$9, $D$9, 100%, $F$9) + CHOOSE(CONTROL!$C$27, 0.0021, 0)</f>
        <v>81.693100000000001</v>
      </c>
      <c r="F712" s="14">
        <f>81.691 * CHOOSE(CONTROL!$C$9, $D$9, 100%, $F$9) + CHOOSE(CONTROL!$C$27, 0.0021, 0)</f>
        <v>81.693100000000001</v>
      </c>
      <c r="G712" s="14">
        <f>81.9624 * CHOOSE(CONTROL!$C$9, $D$9, 100%, $F$9) + CHOOSE(CONTROL!$C$27, 0.0021, 0)</f>
        <v>81.964500000000001</v>
      </c>
      <c r="H712" s="14">
        <f>81.8277 * CHOOSE(CONTROL!$C$9, $D$9, 100%, $F$9) + CHOOSE(CONTROL!$C$27, 0.0021, 0)</f>
        <v>81.829799999999992</v>
      </c>
      <c r="I712" s="14">
        <f>81.8277 * CHOOSE(CONTROL!$C$9, $D$9, 100%, $F$9) + CHOOSE(CONTROL!$C$27, 0.0021, 0)</f>
        <v>81.829799999999992</v>
      </c>
      <c r="J712" s="14">
        <f>81.8277 * CHOOSE(CONTROL!$C$9, $D$9, 100%, $F$9) + CHOOSE(CONTROL!$C$27, 0.0021, 0)</f>
        <v>81.829799999999992</v>
      </c>
      <c r="K712" s="14">
        <f>81.8277 * CHOOSE(CONTROL!$C$9, $D$9, 100%, $F$9) + CHOOSE(CONTROL!$C$27, 0.0021, 0)</f>
        <v>81.829799999999992</v>
      </c>
      <c r="L712" s="14"/>
    </row>
    <row r="713" spans="1:12" ht="15.75" x14ac:dyDescent="0.25">
      <c r="A713" s="32">
        <v>62639</v>
      </c>
      <c r="B713" s="14">
        <f>83.4122 * CHOOSE(CONTROL!$C$9, $D$9, 100%, $F$9) + CHOOSE(CONTROL!$C$27, 0.0021, 0)</f>
        <v>83.414299999999997</v>
      </c>
      <c r="C713" s="14">
        <f>82.9799 * CHOOSE(CONTROL!$C$9, $D$9, 100%, $F$9) + CHOOSE(CONTROL!$C$27, 0.0021, 0)</f>
        <v>82.981999999999999</v>
      </c>
      <c r="D713" s="14">
        <f>82.9799 * CHOOSE(CONTROL!$C$9, $D$9, 100%, $F$9) + CHOOSE(CONTROL!$C$27, 0.0021, 0)</f>
        <v>82.981999999999999</v>
      </c>
      <c r="E713" s="14">
        <f>82.8433 * CHOOSE(CONTROL!$C$9, $D$9, 100%, $F$9) + CHOOSE(CONTROL!$C$27, 0.0021, 0)</f>
        <v>82.845399999999998</v>
      </c>
      <c r="F713" s="14">
        <f>82.8433 * CHOOSE(CONTROL!$C$9, $D$9, 100%, $F$9) + CHOOSE(CONTROL!$C$27, 0.0021, 0)</f>
        <v>82.845399999999998</v>
      </c>
      <c r="G713" s="14">
        <f>83.1146 * CHOOSE(CONTROL!$C$9, $D$9, 100%, $F$9) + CHOOSE(CONTROL!$C$27, 0.0021, 0)</f>
        <v>83.116699999999994</v>
      </c>
      <c r="H713" s="14">
        <f>82.9799 * CHOOSE(CONTROL!$C$9, $D$9, 100%, $F$9) + CHOOSE(CONTROL!$C$27, 0.0021, 0)</f>
        <v>82.981999999999999</v>
      </c>
      <c r="I713" s="14">
        <f>82.9799 * CHOOSE(CONTROL!$C$9, $D$9, 100%, $F$9) + CHOOSE(CONTROL!$C$27, 0.0021, 0)</f>
        <v>82.981999999999999</v>
      </c>
      <c r="J713" s="14">
        <f>82.9799 * CHOOSE(CONTROL!$C$9, $D$9, 100%, $F$9) + CHOOSE(CONTROL!$C$27, 0.0021, 0)</f>
        <v>82.981999999999999</v>
      </c>
      <c r="K713" s="14">
        <f>82.9799 * CHOOSE(CONTROL!$C$9, $D$9, 100%, $F$9) + CHOOSE(CONTROL!$C$27, 0.0021, 0)</f>
        <v>82.981999999999999</v>
      </c>
      <c r="L713" s="14"/>
    </row>
    <row r="714" spans="1:12" ht="15.75" x14ac:dyDescent="0.25">
      <c r="A714" s="32">
        <v>62670</v>
      </c>
      <c r="B714" s="14">
        <f>83.0328 * CHOOSE(CONTROL!$C$9, $D$9, 100%, $F$9) + CHOOSE(CONTROL!$C$27, 0.0021, 0)</f>
        <v>83.034899999999993</v>
      </c>
      <c r="C714" s="14">
        <f>82.6005 * CHOOSE(CONTROL!$C$9, $D$9, 100%, $F$9) + CHOOSE(CONTROL!$C$27, 0.0021, 0)</f>
        <v>82.602599999999995</v>
      </c>
      <c r="D714" s="14">
        <f>82.6005 * CHOOSE(CONTROL!$C$9, $D$9, 100%, $F$9) + CHOOSE(CONTROL!$C$27, 0.0021, 0)</f>
        <v>82.602599999999995</v>
      </c>
      <c r="E714" s="14">
        <f>82.4639 * CHOOSE(CONTROL!$C$9, $D$9, 100%, $F$9) + CHOOSE(CONTROL!$C$27, 0.0021, 0)</f>
        <v>82.465999999999994</v>
      </c>
      <c r="F714" s="14">
        <f>82.4639 * CHOOSE(CONTROL!$C$9, $D$9, 100%, $F$9) + CHOOSE(CONTROL!$C$27, 0.0021, 0)</f>
        <v>82.465999999999994</v>
      </c>
      <c r="G714" s="14">
        <f>82.7353 * CHOOSE(CONTROL!$C$9, $D$9, 100%, $F$9) + CHOOSE(CONTROL!$C$27, 0.0021, 0)</f>
        <v>82.737399999999994</v>
      </c>
      <c r="H714" s="14">
        <f>82.6005 * CHOOSE(CONTROL!$C$9, $D$9, 100%, $F$9) + CHOOSE(CONTROL!$C$27, 0.0021, 0)</f>
        <v>82.602599999999995</v>
      </c>
      <c r="I714" s="14">
        <f>82.6005 * CHOOSE(CONTROL!$C$9, $D$9, 100%, $F$9) + CHOOSE(CONTROL!$C$27, 0.0021, 0)</f>
        <v>82.602599999999995</v>
      </c>
      <c r="J714" s="14">
        <f>82.6005 * CHOOSE(CONTROL!$C$9, $D$9, 100%, $F$9) + CHOOSE(CONTROL!$C$27, 0.0021, 0)</f>
        <v>82.602599999999995</v>
      </c>
      <c r="K714" s="14">
        <f>82.6005 * CHOOSE(CONTROL!$C$9, $D$9, 100%, $F$9) + CHOOSE(CONTROL!$C$27, 0.0021, 0)</f>
        <v>82.602599999999995</v>
      </c>
      <c r="L714" s="14"/>
    </row>
    <row r="715" spans="1:12" ht="15.75" x14ac:dyDescent="0.25">
      <c r="A715" s="32">
        <v>62701</v>
      </c>
      <c r="B715" s="14">
        <f>81.1532 * CHOOSE(CONTROL!$C$9, $D$9, 100%, $F$9) + CHOOSE(CONTROL!$C$27, 0.0021, 0)</f>
        <v>81.155299999999997</v>
      </c>
      <c r="C715" s="14">
        <f>80.7209 * CHOOSE(CONTROL!$C$9, $D$9, 100%, $F$9) + CHOOSE(CONTROL!$C$27, 0.0021, 0)</f>
        <v>80.722999999999999</v>
      </c>
      <c r="D715" s="14">
        <f>80.7209 * CHOOSE(CONTROL!$C$9, $D$9, 100%, $F$9) + CHOOSE(CONTROL!$C$27, 0.0021, 0)</f>
        <v>80.722999999999999</v>
      </c>
      <c r="E715" s="14">
        <f>80.5843 * CHOOSE(CONTROL!$C$9, $D$9, 100%, $F$9) + CHOOSE(CONTROL!$C$27, 0.0021, 0)</f>
        <v>80.586399999999998</v>
      </c>
      <c r="F715" s="14">
        <f>80.5843 * CHOOSE(CONTROL!$C$9, $D$9, 100%, $F$9) + CHOOSE(CONTROL!$C$27, 0.0021, 0)</f>
        <v>80.586399999999998</v>
      </c>
      <c r="G715" s="14">
        <f>80.8556 * CHOOSE(CONTROL!$C$9, $D$9, 100%, $F$9) + CHOOSE(CONTROL!$C$27, 0.0021, 0)</f>
        <v>80.857699999999994</v>
      </c>
      <c r="H715" s="14">
        <f>80.7209 * CHOOSE(CONTROL!$C$9, $D$9, 100%, $F$9) + CHOOSE(CONTROL!$C$27, 0.0021, 0)</f>
        <v>80.722999999999999</v>
      </c>
      <c r="I715" s="14">
        <f>80.7209 * CHOOSE(CONTROL!$C$9, $D$9, 100%, $F$9) + CHOOSE(CONTROL!$C$27, 0.0021, 0)</f>
        <v>80.722999999999999</v>
      </c>
      <c r="J715" s="14">
        <f>80.7209 * CHOOSE(CONTROL!$C$9, $D$9, 100%, $F$9) + CHOOSE(CONTROL!$C$27, 0.0021, 0)</f>
        <v>80.722999999999999</v>
      </c>
      <c r="K715" s="14">
        <f>80.7209 * CHOOSE(CONTROL!$C$9, $D$9, 100%, $F$9) + CHOOSE(CONTROL!$C$27, 0.0021, 0)</f>
        <v>80.722999999999999</v>
      </c>
      <c r="L715" s="14"/>
    </row>
    <row r="716" spans="1:12" ht="15.75" x14ac:dyDescent="0.25">
      <c r="A716" s="32">
        <v>62731</v>
      </c>
      <c r="B716" s="14">
        <f>78.532 * CHOOSE(CONTROL!$C$9, $D$9, 100%, $F$9) + CHOOSE(CONTROL!$C$27, 0.0021, 0)</f>
        <v>78.534099999999995</v>
      </c>
      <c r="C716" s="14">
        <f>78.0997 * CHOOSE(CONTROL!$C$9, $D$9, 100%, $F$9) + CHOOSE(CONTROL!$C$27, 0.0021, 0)</f>
        <v>78.101799999999997</v>
      </c>
      <c r="D716" s="14">
        <f>78.0997 * CHOOSE(CONTROL!$C$9, $D$9, 100%, $F$9) + CHOOSE(CONTROL!$C$27, 0.0021, 0)</f>
        <v>78.101799999999997</v>
      </c>
      <c r="E716" s="14">
        <f>77.9631 * CHOOSE(CONTROL!$C$9, $D$9, 100%, $F$9) + CHOOSE(CONTROL!$C$27, 0.0021, 0)</f>
        <v>77.965199999999996</v>
      </c>
      <c r="F716" s="14">
        <f>77.9631 * CHOOSE(CONTROL!$C$9, $D$9, 100%, $F$9) + CHOOSE(CONTROL!$C$27, 0.0021, 0)</f>
        <v>77.965199999999996</v>
      </c>
      <c r="G716" s="14">
        <f>78.2345 * CHOOSE(CONTROL!$C$9, $D$9, 100%, $F$9) + CHOOSE(CONTROL!$C$27, 0.0021, 0)</f>
        <v>78.236599999999996</v>
      </c>
      <c r="H716" s="14">
        <f>78.0997 * CHOOSE(CONTROL!$C$9, $D$9, 100%, $F$9) + CHOOSE(CONTROL!$C$27, 0.0021, 0)</f>
        <v>78.101799999999997</v>
      </c>
      <c r="I716" s="14">
        <f>78.0997 * CHOOSE(CONTROL!$C$9, $D$9, 100%, $F$9) + CHOOSE(CONTROL!$C$27, 0.0021, 0)</f>
        <v>78.101799999999997</v>
      </c>
      <c r="J716" s="14">
        <f>78.0997 * CHOOSE(CONTROL!$C$9, $D$9, 100%, $F$9) + CHOOSE(CONTROL!$C$27, 0.0021, 0)</f>
        <v>78.101799999999997</v>
      </c>
      <c r="K716" s="14">
        <f>78.0997 * CHOOSE(CONTROL!$C$9, $D$9, 100%, $F$9) + CHOOSE(CONTROL!$C$27, 0.0021, 0)</f>
        <v>78.101799999999997</v>
      </c>
      <c r="L716" s="14"/>
    </row>
    <row r="717" spans="1:12" ht="15.75" x14ac:dyDescent="0.25">
      <c r="A717" s="32">
        <v>62762</v>
      </c>
      <c r="B717" s="14">
        <f>75.8955 * CHOOSE(CONTROL!$C$9, $D$9, 100%, $F$9) + CHOOSE(CONTROL!$C$27, 0.0021, 0)</f>
        <v>75.897599999999997</v>
      </c>
      <c r="C717" s="14">
        <f>75.4633 * CHOOSE(CONTROL!$C$9, $D$9, 100%, $F$9) + CHOOSE(CONTROL!$C$27, 0.0021, 0)</f>
        <v>75.465400000000002</v>
      </c>
      <c r="D717" s="14">
        <f>75.4633 * CHOOSE(CONTROL!$C$9, $D$9, 100%, $F$9) + CHOOSE(CONTROL!$C$27, 0.0021, 0)</f>
        <v>75.465400000000002</v>
      </c>
      <c r="E717" s="14">
        <f>75.3266 * CHOOSE(CONTROL!$C$9, $D$9, 100%, $F$9) + CHOOSE(CONTROL!$C$27, 0.0021, 0)</f>
        <v>75.328699999999998</v>
      </c>
      <c r="F717" s="14">
        <f>75.3266 * CHOOSE(CONTROL!$C$9, $D$9, 100%, $F$9) + CHOOSE(CONTROL!$C$27, 0.0021, 0)</f>
        <v>75.328699999999998</v>
      </c>
      <c r="G717" s="14">
        <f>75.598 * CHOOSE(CONTROL!$C$9, $D$9, 100%, $F$9) + CHOOSE(CONTROL!$C$27, 0.0021, 0)</f>
        <v>75.600099999999998</v>
      </c>
      <c r="H717" s="14">
        <f>75.4633 * CHOOSE(CONTROL!$C$9, $D$9, 100%, $F$9) + CHOOSE(CONTROL!$C$27, 0.0021, 0)</f>
        <v>75.465400000000002</v>
      </c>
      <c r="I717" s="14">
        <f>75.4633 * CHOOSE(CONTROL!$C$9, $D$9, 100%, $F$9) + CHOOSE(CONTROL!$C$27, 0.0021, 0)</f>
        <v>75.465400000000002</v>
      </c>
      <c r="J717" s="14">
        <f>75.4633 * CHOOSE(CONTROL!$C$9, $D$9, 100%, $F$9) + CHOOSE(CONTROL!$C$27, 0.0021, 0)</f>
        <v>75.465400000000002</v>
      </c>
      <c r="K717" s="14">
        <f>75.4633 * CHOOSE(CONTROL!$C$9, $D$9, 100%, $F$9) + CHOOSE(CONTROL!$C$27, 0.0021, 0)</f>
        <v>75.465400000000002</v>
      </c>
      <c r="L717" s="14"/>
    </row>
    <row r="718" spans="1:12" ht="15.75" x14ac:dyDescent="0.25">
      <c r="A718" s="32">
        <v>62792</v>
      </c>
      <c r="B718" s="14">
        <f>75.3711 * CHOOSE(CONTROL!$C$9, $D$9, 100%, $F$9) + CHOOSE(CONTROL!$C$27, 0.0021, 0)</f>
        <v>75.373199999999997</v>
      </c>
      <c r="C718" s="14">
        <f>74.9388 * CHOOSE(CONTROL!$C$9, $D$9, 100%, $F$9) + CHOOSE(CONTROL!$C$27, 0.0021, 0)</f>
        <v>74.940899999999999</v>
      </c>
      <c r="D718" s="14">
        <f>74.9388 * CHOOSE(CONTROL!$C$9, $D$9, 100%, $F$9) + CHOOSE(CONTROL!$C$27, 0.0021, 0)</f>
        <v>74.940899999999999</v>
      </c>
      <c r="E718" s="14">
        <f>74.8022 * CHOOSE(CONTROL!$C$9, $D$9, 100%, $F$9) + CHOOSE(CONTROL!$C$27, 0.0021, 0)</f>
        <v>74.804299999999998</v>
      </c>
      <c r="F718" s="14">
        <f>74.8022 * CHOOSE(CONTROL!$C$9, $D$9, 100%, $F$9) + CHOOSE(CONTROL!$C$27, 0.0021, 0)</f>
        <v>74.804299999999998</v>
      </c>
      <c r="G718" s="14">
        <f>75.0736 * CHOOSE(CONTROL!$C$9, $D$9, 100%, $F$9) + CHOOSE(CONTROL!$C$27, 0.0021, 0)</f>
        <v>75.075699999999998</v>
      </c>
      <c r="H718" s="14">
        <f>74.9388 * CHOOSE(CONTROL!$C$9, $D$9, 100%, $F$9) + CHOOSE(CONTROL!$C$27, 0.0021, 0)</f>
        <v>74.940899999999999</v>
      </c>
      <c r="I718" s="14">
        <f>74.9388 * CHOOSE(CONTROL!$C$9, $D$9, 100%, $F$9) + CHOOSE(CONTROL!$C$27, 0.0021, 0)</f>
        <v>74.940899999999999</v>
      </c>
      <c r="J718" s="14">
        <f>74.9388 * CHOOSE(CONTROL!$C$9, $D$9, 100%, $F$9) + CHOOSE(CONTROL!$C$27, 0.0021, 0)</f>
        <v>74.940899999999999</v>
      </c>
      <c r="K718" s="14">
        <f>74.9388 * CHOOSE(CONTROL!$C$9, $D$9, 100%, $F$9) + CHOOSE(CONTROL!$C$27, 0.0021, 0)</f>
        <v>74.940899999999999</v>
      </c>
      <c r="L718" s="14"/>
    </row>
    <row r="719" spans="1:12" ht="15.75" x14ac:dyDescent="0.25">
      <c r="A719" s="32">
        <v>62823</v>
      </c>
      <c r="B719" s="14">
        <f>73.2025 * CHOOSE(CONTROL!$C$9, $D$9, 100%, $F$9) + CHOOSE(CONTROL!$C$27, 0.0021, 0)</f>
        <v>73.204599999999999</v>
      </c>
      <c r="C719" s="14">
        <f>72.7702 * CHOOSE(CONTROL!$C$9, $D$9, 100%, $F$9) + CHOOSE(CONTROL!$C$27, 0.0021, 0)</f>
        <v>72.772300000000001</v>
      </c>
      <c r="D719" s="14">
        <f>72.7702 * CHOOSE(CONTROL!$C$9, $D$9, 100%, $F$9) + CHOOSE(CONTROL!$C$27, 0.0021, 0)</f>
        <v>72.772300000000001</v>
      </c>
      <c r="E719" s="14">
        <f>72.6336 * CHOOSE(CONTROL!$C$9, $D$9, 100%, $F$9) + CHOOSE(CONTROL!$C$27, 0.0021, 0)</f>
        <v>72.6357</v>
      </c>
      <c r="F719" s="14">
        <f>72.6336 * CHOOSE(CONTROL!$C$9, $D$9, 100%, $F$9) + CHOOSE(CONTROL!$C$27, 0.0021, 0)</f>
        <v>72.6357</v>
      </c>
      <c r="G719" s="14">
        <f>72.9049 * CHOOSE(CONTROL!$C$9, $D$9, 100%, $F$9) + CHOOSE(CONTROL!$C$27, 0.0021, 0)</f>
        <v>72.906999999999996</v>
      </c>
      <c r="H719" s="14">
        <f>72.7702 * CHOOSE(CONTROL!$C$9, $D$9, 100%, $F$9) + CHOOSE(CONTROL!$C$27, 0.0021, 0)</f>
        <v>72.772300000000001</v>
      </c>
      <c r="I719" s="14">
        <f>72.7702 * CHOOSE(CONTROL!$C$9, $D$9, 100%, $F$9) + CHOOSE(CONTROL!$C$27, 0.0021, 0)</f>
        <v>72.772300000000001</v>
      </c>
      <c r="J719" s="14">
        <f>72.7702 * CHOOSE(CONTROL!$C$9, $D$9, 100%, $F$9) + CHOOSE(CONTROL!$C$27, 0.0021, 0)</f>
        <v>72.772300000000001</v>
      </c>
      <c r="K719" s="14">
        <f>72.7702 * CHOOSE(CONTROL!$C$9, $D$9, 100%, $F$9) + CHOOSE(CONTROL!$C$27, 0.0021, 0)</f>
        <v>72.772300000000001</v>
      </c>
      <c r="L719" s="14"/>
    </row>
    <row r="720" spans="1:12" ht="15.75" x14ac:dyDescent="0.25">
      <c r="A720" s="32">
        <v>62854</v>
      </c>
      <c r="B720" s="14">
        <f>72.7803 * CHOOSE(CONTROL!$C$9, $D$9, 100%, $F$9) + CHOOSE(CONTROL!$C$27, 0.0021, 0)</f>
        <v>72.782399999999996</v>
      </c>
      <c r="C720" s="14">
        <f>72.348 * CHOOSE(CONTROL!$C$9, $D$9, 100%, $F$9) + CHOOSE(CONTROL!$C$27, 0.0021, 0)</f>
        <v>72.350099999999998</v>
      </c>
      <c r="D720" s="14">
        <f>72.348 * CHOOSE(CONTROL!$C$9, $D$9, 100%, $F$9) + CHOOSE(CONTROL!$C$27, 0.0021, 0)</f>
        <v>72.350099999999998</v>
      </c>
      <c r="E720" s="14">
        <f>72.2114 * CHOOSE(CONTROL!$C$9, $D$9, 100%, $F$9) + CHOOSE(CONTROL!$C$27, 0.0021, 0)</f>
        <v>72.213499999999996</v>
      </c>
      <c r="F720" s="14">
        <f>72.2114 * CHOOSE(CONTROL!$C$9, $D$9, 100%, $F$9) + CHOOSE(CONTROL!$C$27, 0.0021, 0)</f>
        <v>72.213499999999996</v>
      </c>
      <c r="G720" s="14">
        <f>72.4827 * CHOOSE(CONTROL!$C$9, $D$9, 100%, $F$9) + CHOOSE(CONTROL!$C$27, 0.0021, 0)</f>
        <v>72.484799999999993</v>
      </c>
      <c r="H720" s="14">
        <f>72.348 * CHOOSE(CONTROL!$C$9, $D$9, 100%, $F$9) + CHOOSE(CONTROL!$C$27, 0.0021, 0)</f>
        <v>72.350099999999998</v>
      </c>
      <c r="I720" s="14">
        <f>72.348 * CHOOSE(CONTROL!$C$9, $D$9, 100%, $F$9) + CHOOSE(CONTROL!$C$27, 0.0021, 0)</f>
        <v>72.350099999999998</v>
      </c>
      <c r="J720" s="14">
        <f>72.348 * CHOOSE(CONTROL!$C$9, $D$9, 100%, $F$9) + CHOOSE(CONTROL!$C$27, 0.0021, 0)</f>
        <v>72.350099999999998</v>
      </c>
      <c r="K720" s="14">
        <f>72.348 * CHOOSE(CONTROL!$C$9, $D$9, 100%, $F$9) + CHOOSE(CONTROL!$C$27, 0.0021, 0)</f>
        <v>72.350099999999998</v>
      </c>
      <c r="L720" s="14"/>
    </row>
    <row r="721" spans="1:12" ht="15.75" x14ac:dyDescent="0.25">
      <c r="A721" s="32">
        <v>62883</v>
      </c>
      <c r="B721" s="14">
        <f>72.5843 * CHOOSE(CONTROL!$C$9, $D$9, 100%, $F$9) + CHOOSE(CONTROL!$C$27, 0.0021, 0)</f>
        <v>72.586399999999998</v>
      </c>
      <c r="C721" s="14">
        <f>72.1521 * CHOOSE(CONTROL!$C$9, $D$9, 100%, $F$9) + CHOOSE(CONTROL!$C$27, 0.0021, 0)</f>
        <v>72.154200000000003</v>
      </c>
      <c r="D721" s="14">
        <f>72.1521 * CHOOSE(CONTROL!$C$9, $D$9, 100%, $F$9) + CHOOSE(CONTROL!$C$27, 0.0021, 0)</f>
        <v>72.154200000000003</v>
      </c>
      <c r="E721" s="14">
        <f>72.0154 * CHOOSE(CONTROL!$C$9, $D$9, 100%, $F$9) + CHOOSE(CONTROL!$C$27, 0.0021, 0)</f>
        <v>72.017499999999998</v>
      </c>
      <c r="F721" s="14">
        <f>72.0154 * CHOOSE(CONTROL!$C$9, $D$9, 100%, $F$9) + CHOOSE(CONTROL!$C$27, 0.0021, 0)</f>
        <v>72.017499999999998</v>
      </c>
      <c r="G721" s="14">
        <f>72.2868 * CHOOSE(CONTROL!$C$9, $D$9, 100%, $F$9) + CHOOSE(CONTROL!$C$27, 0.0021, 0)</f>
        <v>72.288899999999998</v>
      </c>
      <c r="H721" s="14">
        <f>72.1521 * CHOOSE(CONTROL!$C$9, $D$9, 100%, $F$9) + CHOOSE(CONTROL!$C$27, 0.0021, 0)</f>
        <v>72.154200000000003</v>
      </c>
      <c r="I721" s="14">
        <f>72.1521 * CHOOSE(CONTROL!$C$9, $D$9, 100%, $F$9) + CHOOSE(CONTROL!$C$27, 0.0021, 0)</f>
        <v>72.154200000000003</v>
      </c>
      <c r="J721" s="14">
        <f>72.1521 * CHOOSE(CONTROL!$C$9, $D$9, 100%, $F$9) + CHOOSE(CONTROL!$C$27, 0.0021, 0)</f>
        <v>72.154200000000003</v>
      </c>
      <c r="K721" s="14">
        <f>72.1521 * CHOOSE(CONTROL!$C$9, $D$9, 100%, $F$9) + CHOOSE(CONTROL!$C$27, 0.0021, 0)</f>
        <v>72.154200000000003</v>
      </c>
      <c r="L721" s="14"/>
    </row>
    <row r="722" spans="1:12" ht="15.75" x14ac:dyDescent="0.25">
      <c r="A722" s="32">
        <v>62914</v>
      </c>
      <c r="B722" s="14">
        <f>76.2891 * CHOOSE(CONTROL!$C$9, $D$9, 100%, $F$9) + CHOOSE(CONTROL!$C$27, 0.0021, 0)</f>
        <v>76.291200000000003</v>
      </c>
      <c r="C722" s="14">
        <f>75.8569 * CHOOSE(CONTROL!$C$9, $D$9, 100%, $F$9) + CHOOSE(CONTROL!$C$27, 0.0021, 0)</f>
        <v>75.858999999999995</v>
      </c>
      <c r="D722" s="14">
        <f>75.8569 * CHOOSE(CONTROL!$C$9, $D$9, 100%, $F$9) + CHOOSE(CONTROL!$C$27, 0.0021, 0)</f>
        <v>75.858999999999995</v>
      </c>
      <c r="E722" s="14">
        <f>75.7202 * CHOOSE(CONTROL!$C$9, $D$9, 100%, $F$9) + CHOOSE(CONTROL!$C$27, 0.0021, 0)</f>
        <v>75.722300000000004</v>
      </c>
      <c r="F722" s="14">
        <f>75.7202 * CHOOSE(CONTROL!$C$9, $D$9, 100%, $F$9) + CHOOSE(CONTROL!$C$27, 0.0021, 0)</f>
        <v>75.722300000000004</v>
      </c>
      <c r="G722" s="14">
        <f>75.9916 * CHOOSE(CONTROL!$C$9, $D$9, 100%, $F$9) + CHOOSE(CONTROL!$C$27, 0.0021, 0)</f>
        <v>75.993700000000004</v>
      </c>
      <c r="H722" s="14">
        <f>75.8569 * CHOOSE(CONTROL!$C$9, $D$9, 100%, $F$9) + CHOOSE(CONTROL!$C$27, 0.0021, 0)</f>
        <v>75.858999999999995</v>
      </c>
      <c r="I722" s="14">
        <f>75.8569 * CHOOSE(CONTROL!$C$9, $D$9, 100%, $F$9) + CHOOSE(CONTROL!$C$27, 0.0021, 0)</f>
        <v>75.858999999999995</v>
      </c>
      <c r="J722" s="14">
        <f>75.8569 * CHOOSE(CONTROL!$C$9, $D$9, 100%, $F$9) + CHOOSE(CONTROL!$C$27, 0.0021, 0)</f>
        <v>75.858999999999995</v>
      </c>
      <c r="K722" s="14">
        <f>75.8569 * CHOOSE(CONTROL!$C$9, $D$9, 100%, $F$9) + CHOOSE(CONTROL!$C$27, 0.0021, 0)</f>
        <v>75.858999999999995</v>
      </c>
      <c r="L722" s="14"/>
    </row>
    <row r="723" spans="1:12" ht="15.75" x14ac:dyDescent="0.25">
      <c r="A723" s="32">
        <v>62944</v>
      </c>
      <c r="B723" s="14">
        <f>81.0934 * CHOOSE(CONTROL!$C$9, $D$9, 100%, $F$9) + CHOOSE(CONTROL!$C$27, 0.0021, 0)</f>
        <v>81.095500000000001</v>
      </c>
      <c r="C723" s="14">
        <f>80.6611 * CHOOSE(CONTROL!$C$9, $D$9, 100%, $F$9) + CHOOSE(CONTROL!$C$27, 0.0021, 0)</f>
        <v>80.663200000000003</v>
      </c>
      <c r="D723" s="14">
        <f>80.6611 * CHOOSE(CONTROL!$C$9, $D$9, 100%, $F$9) + CHOOSE(CONTROL!$C$27, 0.0021, 0)</f>
        <v>80.663200000000003</v>
      </c>
      <c r="E723" s="14">
        <f>80.5245 * CHOOSE(CONTROL!$C$9, $D$9, 100%, $F$9) + CHOOSE(CONTROL!$C$27, 0.0021, 0)</f>
        <v>80.526600000000002</v>
      </c>
      <c r="F723" s="14">
        <f>80.5245 * CHOOSE(CONTROL!$C$9, $D$9, 100%, $F$9) + CHOOSE(CONTROL!$C$27, 0.0021, 0)</f>
        <v>80.526600000000002</v>
      </c>
      <c r="G723" s="14">
        <f>80.7958 * CHOOSE(CONTROL!$C$9, $D$9, 100%, $F$9) + CHOOSE(CONTROL!$C$27, 0.0021, 0)</f>
        <v>80.797899999999998</v>
      </c>
      <c r="H723" s="14">
        <f>80.6611 * CHOOSE(CONTROL!$C$9, $D$9, 100%, $F$9) + CHOOSE(CONTROL!$C$27, 0.0021, 0)</f>
        <v>80.663200000000003</v>
      </c>
      <c r="I723" s="14">
        <f>80.6611 * CHOOSE(CONTROL!$C$9, $D$9, 100%, $F$9) + CHOOSE(CONTROL!$C$27, 0.0021, 0)</f>
        <v>80.663200000000003</v>
      </c>
      <c r="J723" s="14">
        <f>80.6611 * CHOOSE(CONTROL!$C$9, $D$9, 100%, $F$9) + CHOOSE(CONTROL!$C$27, 0.0021, 0)</f>
        <v>80.663200000000003</v>
      </c>
      <c r="K723" s="14">
        <f>80.6611 * CHOOSE(CONTROL!$C$9, $D$9, 100%, $F$9) + CHOOSE(CONTROL!$C$27, 0.0021, 0)</f>
        <v>80.663200000000003</v>
      </c>
      <c r="L723" s="14"/>
    </row>
    <row r="724" spans="1:12" ht="15.75" x14ac:dyDescent="0.25">
      <c r="A724" s="32">
        <v>62975</v>
      </c>
      <c r="B724" s="14">
        <f>83.7378 * CHOOSE(CONTROL!$C$9, $D$9, 100%, $F$9) + CHOOSE(CONTROL!$C$27, 0.0021, 0)</f>
        <v>83.739899999999992</v>
      </c>
      <c r="C724" s="14">
        <f>83.3055 * CHOOSE(CONTROL!$C$9, $D$9, 100%, $F$9) + CHOOSE(CONTROL!$C$27, 0.0021, 0)</f>
        <v>83.307599999999994</v>
      </c>
      <c r="D724" s="14">
        <f>83.3055 * CHOOSE(CONTROL!$C$9, $D$9, 100%, $F$9) + CHOOSE(CONTROL!$C$27, 0.0021, 0)</f>
        <v>83.307599999999994</v>
      </c>
      <c r="E724" s="14">
        <f>83.1689 * CHOOSE(CONTROL!$C$9, $D$9, 100%, $F$9) + CHOOSE(CONTROL!$C$27, 0.0021, 0)</f>
        <v>83.170999999999992</v>
      </c>
      <c r="F724" s="14">
        <f>83.1689 * CHOOSE(CONTROL!$C$9, $D$9, 100%, $F$9) + CHOOSE(CONTROL!$C$27, 0.0021, 0)</f>
        <v>83.170999999999992</v>
      </c>
      <c r="G724" s="14">
        <f>83.4402 * CHOOSE(CONTROL!$C$9, $D$9, 100%, $F$9) + CHOOSE(CONTROL!$C$27, 0.0021, 0)</f>
        <v>83.442300000000003</v>
      </c>
      <c r="H724" s="14">
        <f>83.3055 * CHOOSE(CONTROL!$C$9, $D$9, 100%, $F$9) + CHOOSE(CONTROL!$C$27, 0.0021, 0)</f>
        <v>83.307599999999994</v>
      </c>
      <c r="I724" s="14">
        <f>83.3055 * CHOOSE(CONTROL!$C$9, $D$9, 100%, $F$9) + CHOOSE(CONTROL!$C$27, 0.0021, 0)</f>
        <v>83.307599999999994</v>
      </c>
      <c r="J724" s="14">
        <f>83.3055 * CHOOSE(CONTROL!$C$9, $D$9, 100%, $F$9) + CHOOSE(CONTROL!$C$27, 0.0021, 0)</f>
        <v>83.307599999999994</v>
      </c>
      <c r="K724" s="14">
        <f>83.3055 * CHOOSE(CONTROL!$C$9, $D$9, 100%, $F$9) + CHOOSE(CONTROL!$C$27, 0.0021, 0)</f>
        <v>83.307599999999994</v>
      </c>
      <c r="L724" s="14"/>
    </row>
    <row r="725" spans="1:12" ht="15.75" x14ac:dyDescent="0.25">
      <c r="A725" s="32">
        <v>63005</v>
      </c>
      <c r="B725" s="14">
        <f>84.9113 * CHOOSE(CONTROL!$C$9, $D$9, 100%, $F$9) + CHOOSE(CONTROL!$C$27, 0.0021, 0)</f>
        <v>84.913399999999996</v>
      </c>
      <c r="C725" s="14">
        <f>84.4791 * CHOOSE(CONTROL!$C$9, $D$9, 100%, $F$9) + CHOOSE(CONTROL!$C$27, 0.0021, 0)</f>
        <v>84.481200000000001</v>
      </c>
      <c r="D725" s="14">
        <f>84.4791 * CHOOSE(CONTROL!$C$9, $D$9, 100%, $F$9) + CHOOSE(CONTROL!$C$27, 0.0021, 0)</f>
        <v>84.481200000000001</v>
      </c>
      <c r="E725" s="14">
        <f>84.3424 * CHOOSE(CONTROL!$C$9, $D$9, 100%, $F$9) + CHOOSE(CONTROL!$C$27, 0.0021, 0)</f>
        <v>84.344499999999996</v>
      </c>
      <c r="F725" s="14">
        <f>84.3424 * CHOOSE(CONTROL!$C$9, $D$9, 100%, $F$9) + CHOOSE(CONTROL!$C$27, 0.0021, 0)</f>
        <v>84.344499999999996</v>
      </c>
      <c r="G725" s="14">
        <f>84.6138 * CHOOSE(CONTROL!$C$9, $D$9, 100%, $F$9) + CHOOSE(CONTROL!$C$27, 0.0021, 0)</f>
        <v>84.615899999999996</v>
      </c>
      <c r="H725" s="14">
        <f>84.4791 * CHOOSE(CONTROL!$C$9, $D$9, 100%, $F$9) + CHOOSE(CONTROL!$C$27, 0.0021, 0)</f>
        <v>84.481200000000001</v>
      </c>
      <c r="I725" s="14">
        <f>84.4791 * CHOOSE(CONTROL!$C$9, $D$9, 100%, $F$9) + CHOOSE(CONTROL!$C$27, 0.0021, 0)</f>
        <v>84.481200000000001</v>
      </c>
      <c r="J725" s="14">
        <f>84.4791 * CHOOSE(CONTROL!$C$9, $D$9, 100%, $F$9) + CHOOSE(CONTROL!$C$27, 0.0021, 0)</f>
        <v>84.481200000000001</v>
      </c>
      <c r="K725" s="14">
        <f>84.4791 * CHOOSE(CONTROL!$C$9, $D$9, 100%, $F$9) + CHOOSE(CONTROL!$C$27, 0.0021, 0)</f>
        <v>84.481200000000001</v>
      </c>
      <c r="L725" s="14"/>
    </row>
    <row r="726" spans="1:12" ht="15.75" x14ac:dyDescent="0.25">
      <c r="A726" s="32">
        <v>63036</v>
      </c>
      <c r="B726" s="14">
        <f>84.5249 * CHOOSE(CONTROL!$C$9, $D$9, 100%, $F$9) + CHOOSE(CONTROL!$C$27, 0.0021, 0)</f>
        <v>84.527000000000001</v>
      </c>
      <c r="C726" s="14">
        <f>84.0927 * CHOOSE(CONTROL!$C$9, $D$9, 100%, $F$9) + CHOOSE(CONTROL!$C$27, 0.0021, 0)</f>
        <v>84.094799999999992</v>
      </c>
      <c r="D726" s="14">
        <f>84.0927 * CHOOSE(CONTROL!$C$9, $D$9, 100%, $F$9) + CHOOSE(CONTROL!$C$27, 0.0021, 0)</f>
        <v>84.094799999999992</v>
      </c>
      <c r="E726" s="14">
        <f>83.956 * CHOOSE(CONTROL!$C$9, $D$9, 100%, $F$9) + CHOOSE(CONTROL!$C$27, 0.0021, 0)</f>
        <v>83.958100000000002</v>
      </c>
      <c r="F726" s="14">
        <f>83.956 * CHOOSE(CONTROL!$C$9, $D$9, 100%, $F$9) + CHOOSE(CONTROL!$C$27, 0.0021, 0)</f>
        <v>83.958100000000002</v>
      </c>
      <c r="G726" s="14">
        <f>84.2274 * CHOOSE(CONTROL!$C$9, $D$9, 100%, $F$9) + CHOOSE(CONTROL!$C$27, 0.0021, 0)</f>
        <v>84.229500000000002</v>
      </c>
      <c r="H726" s="14">
        <f>84.0927 * CHOOSE(CONTROL!$C$9, $D$9, 100%, $F$9) + CHOOSE(CONTROL!$C$27, 0.0021, 0)</f>
        <v>84.094799999999992</v>
      </c>
      <c r="I726" s="14">
        <f>84.0927 * CHOOSE(CONTROL!$C$9, $D$9, 100%, $F$9) + CHOOSE(CONTROL!$C$27, 0.0021, 0)</f>
        <v>84.094799999999992</v>
      </c>
      <c r="J726" s="14">
        <f>84.0927 * CHOOSE(CONTROL!$C$9, $D$9, 100%, $F$9) + CHOOSE(CONTROL!$C$27, 0.0021, 0)</f>
        <v>84.094799999999992</v>
      </c>
      <c r="K726" s="14">
        <f>84.0927 * CHOOSE(CONTROL!$C$9, $D$9, 100%, $F$9) + CHOOSE(CONTROL!$C$27, 0.0021, 0)</f>
        <v>84.094799999999992</v>
      </c>
      <c r="L726" s="14"/>
    </row>
    <row r="727" spans="1:12" ht="15.75" x14ac:dyDescent="0.25">
      <c r="A727" s="32">
        <v>63067</v>
      </c>
      <c r="B727" s="14">
        <f>82.6106 * CHOOSE(CONTROL!$C$9, $D$9, 100%, $F$9) + CHOOSE(CONTROL!$C$27, 0.0021, 0)</f>
        <v>82.612700000000004</v>
      </c>
      <c r="C727" s="14">
        <f>82.1783 * CHOOSE(CONTROL!$C$9, $D$9, 100%, $F$9) + CHOOSE(CONTROL!$C$27, 0.0021, 0)</f>
        <v>82.180399999999992</v>
      </c>
      <c r="D727" s="14">
        <f>82.1783 * CHOOSE(CONTROL!$C$9, $D$9, 100%, $F$9) + CHOOSE(CONTROL!$C$27, 0.0021, 0)</f>
        <v>82.180399999999992</v>
      </c>
      <c r="E727" s="14">
        <f>82.0417 * CHOOSE(CONTROL!$C$9, $D$9, 100%, $F$9) + CHOOSE(CONTROL!$C$27, 0.0021, 0)</f>
        <v>82.043800000000005</v>
      </c>
      <c r="F727" s="14">
        <f>82.0417 * CHOOSE(CONTROL!$C$9, $D$9, 100%, $F$9) + CHOOSE(CONTROL!$C$27, 0.0021, 0)</f>
        <v>82.043800000000005</v>
      </c>
      <c r="G727" s="14">
        <f>82.3131 * CHOOSE(CONTROL!$C$9, $D$9, 100%, $F$9) + CHOOSE(CONTROL!$C$27, 0.0021, 0)</f>
        <v>82.315200000000004</v>
      </c>
      <c r="H727" s="14">
        <f>82.1783 * CHOOSE(CONTROL!$C$9, $D$9, 100%, $F$9) + CHOOSE(CONTROL!$C$27, 0.0021, 0)</f>
        <v>82.180399999999992</v>
      </c>
      <c r="I727" s="14">
        <f>82.1783 * CHOOSE(CONTROL!$C$9, $D$9, 100%, $F$9) + CHOOSE(CONTROL!$C$27, 0.0021, 0)</f>
        <v>82.180399999999992</v>
      </c>
      <c r="J727" s="14">
        <f>82.1783 * CHOOSE(CONTROL!$C$9, $D$9, 100%, $F$9) + CHOOSE(CONTROL!$C$27, 0.0021, 0)</f>
        <v>82.180399999999992</v>
      </c>
      <c r="K727" s="14">
        <f>82.1783 * CHOOSE(CONTROL!$C$9, $D$9, 100%, $F$9) + CHOOSE(CONTROL!$C$27, 0.0021, 0)</f>
        <v>82.180399999999992</v>
      </c>
      <c r="L727" s="14"/>
    </row>
    <row r="728" spans="1:12" ht="15.75" x14ac:dyDescent="0.25">
      <c r="A728" s="32">
        <v>63097</v>
      </c>
      <c r="B728" s="14">
        <f>79.9409 * CHOOSE(CONTROL!$C$9, $D$9, 100%, $F$9) + CHOOSE(CONTROL!$C$27, 0.0021, 0)</f>
        <v>79.942999999999998</v>
      </c>
      <c r="C728" s="14">
        <f>79.5087 * CHOOSE(CONTROL!$C$9, $D$9, 100%, $F$9) + CHOOSE(CONTROL!$C$27, 0.0021, 0)</f>
        <v>79.510800000000003</v>
      </c>
      <c r="D728" s="14">
        <f>79.5087 * CHOOSE(CONTROL!$C$9, $D$9, 100%, $F$9) + CHOOSE(CONTROL!$C$27, 0.0021, 0)</f>
        <v>79.510800000000003</v>
      </c>
      <c r="E728" s="14">
        <f>79.372 * CHOOSE(CONTROL!$C$9, $D$9, 100%, $F$9) + CHOOSE(CONTROL!$C$27, 0.0021, 0)</f>
        <v>79.374099999999999</v>
      </c>
      <c r="F728" s="14">
        <f>79.372 * CHOOSE(CONTROL!$C$9, $D$9, 100%, $F$9) + CHOOSE(CONTROL!$C$27, 0.0021, 0)</f>
        <v>79.374099999999999</v>
      </c>
      <c r="G728" s="14">
        <f>79.6434 * CHOOSE(CONTROL!$C$9, $D$9, 100%, $F$9) + CHOOSE(CONTROL!$C$27, 0.0021, 0)</f>
        <v>79.645499999999998</v>
      </c>
      <c r="H728" s="14">
        <f>79.5087 * CHOOSE(CONTROL!$C$9, $D$9, 100%, $F$9) + CHOOSE(CONTROL!$C$27, 0.0021, 0)</f>
        <v>79.510800000000003</v>
      </c>
      <c r="I728" s="14">
        <f>79.5087 * CHOOSE(CONTROL!$C$9, $D$9, 100%, $F$9) + CHOOSE(CONTROL!$C$27, 0.0021, 0)</f>
        <v>79.510800000000003</v>
      </c>
      <c r="J728" s="14">
        <f>79.5087 * CHOOSE(CONTROL!$C$9, $D$9, 100%, $F$9) + CHOOSE(CONTROL!$C$27, 0.0021, 0)</f>
        <v>79.510800000000003</v>
      </c>
      <c r="K728" s="14">
        <f>79.5087 * CHOOSE(CONTROL!$C$9, $D$9, 100%, $F$9) + CHOOSE(CONTROL!$C$27, 0.0021, 0)</f>
        <v>79.510800000000003</v>
      </c>
      <c r="L728" s="14"/>
    </row>
    <row r="729" spans="1:12" ht="15.75" x14ac:dyDescent="0.25">
      <c r="A729" s="32">
        <v>63128</v>
      </c>
      <c r="B729" s="14">
        <f>77.2558 * CHOOSE(CONTROL!$C$9, $D$9, 100%, $F$9) + CHOOSE(CONTROL!$C$27, 0.0021, 0)</f>
        <v>77.257899999999992</v>
      </c>
      <c r="C729" s="14">
        <f>76.8235 * CHOOSE(CONTROL!$C$9, $D$9, 100%, $F$9) + CHOOSE(CONTROL!$C$27, 0.0021, 0)</f>
        <v>76.825599999999994</v>
      </c>
      <c r="D729" s="14">
        <f>76.8235 * CHOOSE(CONTROL!$C$9, $D$9, 100%, $F$9) + CHOOSE(CONTROL!$C$27, 0.0021, 0)</f>
        <v>76.825599999999994</v>
      </c>
      <c r="E729" s="14">
        <f>76.6869 * CHOOSE(CONTROL!$C$9, $D$9, 100%, $F$9) + CHOOSE(CONTROL!$C$27, 0.0021, 0)</f>
        <v>76.688999999999993</v>
      </c>
      <c r="F729" s="14">
        <f>76.6869 * CHOOSE(CONTROL!$C$9, $D$9, 100%, $F$9) + CHOOSE(CONTROL!$C$27, 0.0021, 0)</f>
        <v>76.688999999999993</v>
      </c>
      <c r="G729" s="14">
        <f>76.9582 * CHOOSE(CONTROL!$C$9, $D$9, 100%, $F$9) + CHOOSE(CONTROL!$C$27, 0.0021, 0)</f>
        <v>76.960300000000004</v>
      </c>
      <c r="H729" s="14">
        <f>76.8235 * CHOOSE(CONTROL!$C$9, $D$9, 100%, $F$9) + CHOOSE(CONTROL!$C$27, 0.0021, 0)</f>
        <v>76.825599999999994</v>
      </c>
      <c r="I729" s="14">
        <f>76.8235 * CHOOSE(CONTROL!$C$9, $D$9, 100%, $F$9) + CHOOSE(CONTROL!$C$27, 0.0021, 0)</f>
        <v>76.825599999999994</v>
      </c>
      <c r="J729" s="14">
        <f>76.8235 * CHOOSE(CONTROL!$C$9, $D$9, 100%, $F$9) + CHOOSE(CONTROL!$C$27, 0.0021, 0)</f>
        <v>76.825599999999994</v>
      </c>
      <c r="K729" s="14">
        <f>76.8235 * CHOOSE(CONTROL!$C$9, $D$9, 100%, $F$9) + CHOOSE(CONTROL!$C$27, 0.0021, 0)</f>
        <v>76.825599999999994</v>
      </c>
      <c r="L729" s="14"/>
    </row>
    <row r="730" spans="1:12" ht="15.75" x14ac:dyDescent="0.25">
      <c r="A730" s="32">
        <v>63158</v>
      </c>
      <c r="B730" s="14">
        <f>76.7216 * CHOOSE(CONTROL!$C$9, $D$9, 100%, $F$9) + CHOOSE(CONTROL!$C$27, 0.0021, 0)</f>
        <v>76.723699999999994</v>
      </c>
      <c r="C730" s="14">
        <f>76.2894 * CHOOSE(CONTROL!$C$9, $D$9, 100%, $F$9) + CHOOSE(CONTROL!$C$27, 0.0021, 0)</f>
        <v>76.291499999999999</v>
      </c>
      <c r="D730" s="14">
        <f>76.2894 * CHOOSE(CONTROL!$C$9, $D$9, 100%, $F$9) + CHOOSE(CONTROL!$C$27, 0.0021, 0)</f>
        <v>76.291499999999999</v>
      </c>
      <c r="E730" s="14">
        <f>76.1527 * CHOOSE(CONTROL!$C$9, $D$9, 100%, $F$9) + CHOOSE(CONTROL!$C$27, 0.0021, 0)</f>
        <v>76.154799999999994</v>
      </c>
      <c r="F730" s="14">
        <f>76.1527 * CHOOSE(CONTROL!$C$9, $D$9, 100%, $F$9) + CHOOSE(CONTROL!$C$27, 0.0021, 0)</f>
        <v>76.154799999999994</v>
      </c>
      <c r="G730" s="14">
        <f>76.4241 * CHOOSE(CONTROL!$C$9, $D$9, 100%, $F$9) + CHOOSE(CONTROL!$C$27, 0.0021, 0)</f>
        <v>76.426199999999994</v>
      </c>
      <c r="H730" s="14">
        <f>76.2894 * CHOOSE(CONTROL!$C$9, $D$9, 100%, $F$9) + CHOOSE(CONTROL!$C$27, 0.0021, 0)</f>
        <v>76.291499999999999</v>
      </c>
      <c r="I730" s="14">
        <f>76.2894 * CHOOSE(CONTROL!$C$9, $D$9, 100%, $F$9) + CHOOSE(CONTROL!$C$27, 0.0021, 0)</f>
        <v>76.291499999999999</v>
      </c>
      <c r="J730" s="14">
        <f>76.2894 * CHOOSE(CONTROL!$C$9, $D$9, 100%, $F$9) + CHOOSE(CONTROL!$C$27, 0.0021, 0)</f>
        <v>76.291499999999999</v>
      </c>
      <c r="K730" s="14">
        <f>76.2894 * CHOOSE(CONTROL!$C$9, $D$9, 100%, $F$9) + CHOOSE(CONTROL!$C$27, 0.0021, 0)</f>
        <v>76.291499999999999</v>
      </c>
      <c r="L730" s="14"/>
    </row>
    <row r="731" spans="1:12" ht="15.75" x14ac:dyDescent="0.25">
      <c r="A731" s="32">
        <v>63189</v>
      </c>
      <c r="B731" s="14">
        <f>74.513 * CHOOSE(CONTROL!$C$9, $D$9, 100%, $F$9) + CHOOSE(CONTROL!$C$27, 0.0021, 0)</f>
        <v>74.515100000000004</v>
      </c>
      <c r="C731" s="14">
        <f>74.0807 * CHOOSE(CONTROL!$C$9, $D$9, 100%, $F$9) + CHOOSE(CONTROL!$C$27, 0.0021, 0)</f>
        <v>74.082799999999992</v>
      </c>
      <c r="D731" s="14">
        <f>74.0807 * CHOOSE(CONTROL!$C$9, $D$9, 100%, $F$9) + CHOOSE(CONTROL!$C$27, 0.0021, 0)</f>
        <v>74.082799999999992</v>
      </c>
      <c r="E731" s="14">
        <f>73.944 * CHOOSE(CONTROL!$C$9, $D$9, 100%, $F$9) + CHOOSE(CONTROL!$C$27, 0.0021, 0)</f>
        <v>73.946100000000001</v>
      </c>
      <c r="F731" s="14">
        <f>73.944 * CHOOSE(CONTROL!$C$9, $D$9, 100%, $F$9) + CHOOSE(CONTROL!$C$27, 0.0021, 0)</f>
        <v>73.946100000000001</v>
      </c>
      <c r="G731" s="14">
        <f>74.2154 * CHOOSE(CONTROL!$C$9, $D$9, 100%, $F$9) + CHOOSE(CONTROL!$C$27, 0.0021, 0)</f>
        <v>74.217500000000001</v>
      </c>
      <c r="H731" s="14">
        <f>74.0807 * CHOOSE(CONTROL!$C$9, $D$9, 100%, $F$9) + CHOOSE(CONTROL!$C$27, 0.0021, 0)</f>
        <v>74.082799999999992</v>
      </c>
      <c r="I731" s="14">
        <f>74.0807 * CHOOSE(CONTROL!$C$9, $D$9, 100%, $F$9) + CHOOSE(CONTROL!$C$27, 0.0021, 0)</f>
        <v>74.082799999999992</v>
      </c>
      <c r="J731" s="14">
        <f>74.0807 * CHOOSE(CONTROL!$C$9, $D$9, 100%, $F$9) + CHOOSE(CONTROL!$C$27, 0.0021, 0)</f>
        <v>74.082799999999992</v>
      </c>
      <c r="K731" s="14">
        <f>74.0807 * CHOOSE(CONTROL!$C$9, $D$9, 100%, $F$9) + CHOOSE(CONTROL!$C$27, 0.0021, 0)</f>
        <v>74.082799999999992</v>
      </c>
      <c r="L731" s="14"/>
    </row>
    <row r="732" spans="1:12" ht="15.75" x14ac:dyDescent="0.25">
      <c r="A732" s="32">
        <v>63220</v>
      </c>
      <c r="B732" s="14">
        <f>74.0829 * CHOOSE(CONTROL!$C$9, $D$9, 100%, $F$9) + CHOOSE(CONTROL!$C$27, 0.0021, 0)</f>
        <v>74.084999999999994</v>
      </c>
      <c r="C732" s="14">
        <f>73.6507 * CHOOSE(CONTROL!$C$9, $D$9, 100%, $F$9) + CHOOSE(CONTROL!$C$27, 0.0021, 0)</f>
        <v>73.652799999999999</v>
      </c>
      <c r="D732" s="14">
        <f>73.6507 * CHOOSE(CONTROL!$C$9, $D$9, 100%, $F$9) + CHOOSE(CONTROL!$C$27, 0.0021, 0)</f>
        <v>73.652799999999999</v>
      </c>
      <c r="E732" s="14">
        <f>73.514 * CHOOSE(CONTROL!$C$9, $D$9, 100%, $F$9) + CHOOSE(CONTROL!$C$27, 0.0021, 0)</f>
        <v>73.516099999999994</v>
      </c>
      <c r="F732" s="14">
        <f>73.514 * CHOOSE(CONTROL!$C$9, $D$9, 100%, $F$9) + CHOOSE(CONTROL!$C$27, 0.0021, 0)</f>
        <v>73.516099999999994</v>
      </c>
      <c r="G732" s="14">
        <f>73.7854 * CHOOSE(CONTROL!$C$9, $D$9, 100%, $F$9) + CHOOSE(CONTROL!$C$27, 0.0021, 0)</f>
        <v>73.787499999999994</v>
      </c>
      <c r="H732" s="14">
        <f>73.6507 * CHOOSE(CONTROL!$C$9, $D$9, 100%, $F$9) + CHOOSE(CONTROL!$C$27, 0.0021, 0)</f>
        <v>73.652799999999999</v>
      </c>
      <c r="I732" s="14">
        <f>73.6507 * CHOOSE(CONTROL!$C$9, $D$9, 100%, $F$9) + CHOOSE(CONTROL!$C$27, 0.0021, 0)</f>
        <v>73.652799999999999</v>
      </c>
      <c r="J732" s="14">
        <f>73.6507 * CHOOSE(CONTROL!$C$9, $D$9, 100%, $F$9) + CHOOSE(CONTROL!$C$27, 0.0021, 0)</f>
        <v>73.652799999999999</v>
      </c>
      <c r="K732" s="14">
        <f>73.6507 * CHOOSE(CONTROL!$C$9, $D$9, 100%, $F$9) + CHOOSE(CONTROL!$C$27, 0.0021, 0)</f>
        <v>73.652799999999999</v>
      </c>
      <c r="L732" s="14"/>
    </row>
    <row r="733" spans="1:12" ht="15.75" x14ac:dyDescent="0.25">
      <c r="A733" s="32">
        <v>63248</v>
      </c>
      <c r="B733" s="14">
        <f>73.8834 * CHOOSE(CONTROL!$C$9, $D$9, 100%, $F$9) + CHOOSE(CONTROL!$C$27, 0.0021, 0)</f>
        <v>73.885499999999993</v>
      </c>
      <c r="C733" s="14">
        <f>73.4511 * CHOOSE(CONTROL!$C$9, $D$9, 100%, $F$9) + CHOOSE(CONTROL!$C$27, 0.0021, 0)</f>
        <v>73.453199999999995</v>
      </c>
      <c r="D733" s="14">
        <f>73.4511 * CHOOSE(CONTROL!$C$9, $D$9, 100%, $F$9) + CHOOSE(CONTROL!$C$27, 0.0021, 0)</f>
        <v>73.453199999999995</v>
      </c>
      <c r="E733" s="14">
        <f>73.3145 * CHOOSE(CONTROL!$C$9, $D$9, 100%, $F$9) + CHOOSE(CONTROL!$C$27, 0.0021, 0)</f>
        <v>73.316599999999994</v>
      </c>
      <c r="F733" s="14">
        <f>73.3145 * CHOOSE(CONTROL!$C$9, $D$9, 100%, $F$9) + CHOOSE(CONTROL!$C$27, 0.0021, 0)</f>
        <v>73.316599999999994</v>
      </c>
      <c r="G733" s="14">
        <f>73.5859 * CHOOSE(CONTROL!$C$9, $D$9, 100%, $F$9) + CHOOSE(CONTROL!$C$27, 0.0021, 0)</f>
        <v>73.587999999999994</v>
      </c>
      <c r="H733" s="14">
        <f>73.4511 * CHOOSE(CONTROL!$C$9, $D$9, 100%, $F$9) + CHOOSE(CONTROL!$C$27, 0.0021, 0)</f>
        <v>73.453199999999995</v>
      </c>
      <c r="I733" s="14">
        <f>73.4511 * CHOOSE(CONTROL!$C$9, $D$9, 100%, $F$9) + CHOOSE(CONTROL!$C$27, 0.0021, 0)</f>
        <v>73.453199999999995</v>
      </c>
      <c r="J733" s="14">
        <f>73.4511 * CHOOSE(CONTROL!$C$9, $D$9, 100%, $F$9) + CHOOSE(CONTROL!$C$27, 0.0021, 0)</f>
        <v>73.453199999999995</v>
      </c>
      <c r="K733" s="14">
        <f>73.4511 * CHOOSE(CONTROL!$C$9, $D$9, 100%, $F$9) + CHOOSE(CONTROL!$C$27, 0.0021, 0)</f>
        <v>73.453199999999995</v>
      </c>
      <c r="L733" s="14"/>
    </row>
    <row r="734" spans="1:12" ht="15.75" x14ac:dyDescent="0.25">
      <c r="A734" s="32">
        <v>63279</v>
      </c>
      <c r="B734" s="14">
        <f>77.6566 * CHOOSE(CONTROL!$C$9, $D$9, 100%, $F$9) + CHOOSE(CONTROL!$C$27, 0.0021, 0)</f>
        <v>77.658699999999996</v>
      </c>
      <c r="C734" s="14">
        <f>77.2244 * CHOOSE(CONTROL!$C$9, $D$9, 100%, $F$9) + CHOOSE(CONTROL!$C$27, 0.0021, 0)</f>
        <v>77.226500000000001</v>
      </c>
      <c r="D734" s="14">
        <f>77.2244 * CHOOSE(CONTROL!$C$9, $D$9, 100%, $F$9) + CHOOSE(CONTROL!$C$27, 0.0021, 0)</f>
        <v>77.226500000000001</v>
      </c>
      <c r="E734" s="14">
        <f>77.0877 * CHOOSE(CONTROL!$C$9, $D$9, 100%, $F$9) + CHOOSE(CONTROL!$C$27, 0.0021, 0)</f>
        <v>77.089799999999997</v>
      </c>
      <c r="F734" s="14">
        <f>77.0877 * CHOOSE(CONTROL!$C$9, $D$9, 100%, $F$9) + CHOOSE(CONTROL!$C$27, 0.0021, 0)</f>
        <v>77.089799999999997</v>
      </c>
      <c r="G734" s="14">
        <f>77.3591 * CHOOSE(CONTROL!$C$9, $D$9, 100%, $F$9) + CHOOSE(CONTROL!$C$27, 0.0021, 0)</f>
        <v>77.361199999999997</v>
      </c>
      <c r="H734" s="14">
        <f>77.2244 * CHOOSE(CONTROL!$C$9, $D$9, 100%, $F$9) + CHOOSE(CONTROL!$C$27, 0.0021, 0)</f>
        <v>77.226500000000001</v>
      </c>
      <c r="I734" s="14">
        <f>77.2244 * CHOOSE(CONTROL!$C$9, $D$9, 100%, $F$9) + CHOOSE(CONTROL!$C$27, 0.0021, 0)</f>
        <v>77.226500000000001</v>
      </c>
      <c r="J734" s="14">
        <f>77.2244 * CHOOSE(CONTROL!$C$9, $D$9, 100%, $F$9) + CHOOSE(CONTROL!$C$27, 0.0021, 0)</f>
        <v>77.226500000000001</v>
      </c>
      <c r="K734" s="14">
        <f>77.2244 * CHOOSE(CONTROL!$C$9, $D$9, 100%, $F$9) + CHOOSE(CONTROL!$C$27, 0.0021, 0)</f>
        <v>77.226500000000001</v>
      </c>
      <c r="L734" s="14"/>
    </row>
    <row r="735" spans="1:12" ht="15.75" x14ac:dyDescent="0.25">
      <c r="A735" s="32">
        <v>63309</v>
      </c>
      <c r="B735" s="14">
        <f>82.5497 * CHOOSE(CONTROL!$C$9, $D$9, 100%, $F$9) + CHOOSE(CONTROL!$C$27, 0.0021, 0)</f>
        <v>82.5518</v>
      </c>
      <c r="C735" s="14">
        <f>82.1174 * CHOOSE(CONTROL!$C$9, $D$9, 100%, $F$9) + CHOOSE(CONTROL!$C$27, 0.0021, 0)</f>
        <v>82.119500000000002</v>
      </c>
      <c r="D735" s="14">
        <f>82.1174 * CHOOSE(CONTROL!$C$9, $D$9, 100%, $F$9) + CHOOSE(CONTROL!$C$27, 0.0021, 0)</f>
        <v>82.119500000000002</v>
      </c>
      <c r="E735" s="14">
        <f>81.9808 * CHOOSE(CONTROL!$C$9, $D$9, 100%, $F$9) + CHOOSE(CONTROL!$C$27, 0.0021, 0)</f>
        <v>81.982900000000001</v>
      </c>
      <c r="F735" s="14">
        <f>81.9808 * CHOOSE(CONTROL!$C$9, $D$9, 100%, $F$9) + CHOOSE(CONTROL!$C$27, 0.0021, 0)</f>
        <v>81.982900000000001</v>
      </c>
      <c r="G735" s="14">
        <f>82.2521 * CHOOSE(CONTROL!$C$9, $D$9, 100%, $F$9) + CHOOSE(CONTROL!$C$27, 0.0021, 0)</f>
        <v>82.254199999999997</v>
      </c>
      <c r="H735" s="14">
        <f>82.1174 * CHOOSE(CONTROL!$C$9, $D$9, 100%, $F$9) + CHOOSE(CONTROL!$C$27, 0.0021, 0)</f>
        <v>82.119500000000002</v>
      </c>
      <c r="I735" s="14">
        <f>82.1174 * CHOOSE(CONTROL!$C$9, $D$9, 100%, $F$9) + CHOOSE(CONTROL!$C$27, 0.0021, 0)</f>
        <v>82.119500000000002</v>
      </c>
      <c r="J735" s="14">
        <f>82.1174 * CHOOSE(CONTROL!$C$9, $D$9, 100%, $F$9) + CHOOSE(CONTROL!$C$27, 0.0021, 0)</f>
        <v>82.119500000000002</v>
      </c>
      <c r="K735" s="14">
        <f>82.1174 * CHOOSE(CONTROL!$C$9, $D$9, 100%, $F$9) + CHOOSE(CONTROL!$C$27, 0.0021, 0)</f>
        <v>82.119500000000002</v>
      </c>
      <c r="L735" s="14"/>
    </row>
    <row r="736" spans="1:12" ht="15.75" x14ac:dyDescent="0.25">
      <c r="A736" s="32">
        <v>63340</v>
      </c>
      <c r="B736" s="14">
        <f>85.2429 * CHOOSE(CONTROL!$C$9, $D$9, 100%, $F$9) + CHOOSE(CONTROL!$C$27, 0.0021, 0)</f>
        <v>85.245000000000005</v>
      </c>
      <c r="C736" s="14">
        <f>84.8107 * CHOOSE(CONTROL!$C$9, $D$9, 100%, $F$9) + CHOOSE(CONTROL!$C$27, 0.0021, 0)</f>
        <v>84.812799999999996</v>
      </c>
      <c r="D736" s="14">
        <f>84.8107 * CHOOSE(CONTROL!$C$9, $D$9, 100%, $F$9) + CHOOSE(CONTROL!$C$27, 0.0021, 0)</f>
        <v>84.812799999999996</v>
      </c>
      <c r="E736" s="14">
        <f>84.674 * CHOOSE(CONTROL!$C$9, $D$9, 100%, $F$9) + CHOOSE(CONTROL!$C$27, 0.0021, 0)</f>
        <v>84.676100000000005</v>
      </c>
      <c r="F736" s="14">
        <f>84.674 * CHOOSE(CONTROL!$C$9, $D$9, 100%, $F$9) + CHOOSE(CONTROL!$C$27, 0.0021, 0)</f>
        <v>84.676100000000005</v>
      </c>
      <c r="G736" s="14">
        <f>84.9454 * CHOOSE(CONTROL!$C$9, $D$9, 100%, $F$9) + CHOOSE(CONTROL!$C$27, 0.0021, 0)</f>
        <v>84.947500000000005</v>
      </c>
      <c r="H736" s="14">
        <f>84.8107 * CHOOSE(CONTROL!$C$9, $D$9, 100%, $F$9) + CHOOSE(CONTROL!$C$27, 0.0021, 0)</f>
        <v>84.812799999999996</v>
      </c>
      <c r="I736" s="14">
        <f>84.8107 * CHOOSE(CONTROL!$C$9, $D$9, 100%, $F$9) + CHOOSE(CONTROL!$C$27, 0.0021, 0)</f>
        <v>84.812799999999996</v>
      </c>
      <c r="J736" s="14">
        <f>84.8107 * CHOOSE(CONTROL!$C$9, $D$9, 100%, $F$9) + CHOOSE(CONTROL!$C$27, 0.0021, 0)</f>
        <v>84.812799999999996</v>
      </c>
      <c r="K736" s="14">
        <f>84.8107 * CHOOSE(CONTROL!$C$9, $D$9, 100%, $F$9) + CHOOSE(CONTROL!$C$27, 0.0021, 0)</f>
        <v>84.812799999999996</v>
      </c>
      <c r="L736" s="14"/>
    </row>
    <row r="737" spans="1:12" ht="15.75" x14ac:dyDescent="0.25">
      <c r="A737" s="32">
        <v>63370</v>
      </c>
      <c r="B737" s="14">
        <f>86.4382 * CHOOSE(CONTROL!$C$9, $D$9, 100%, $F$9) + CHOOSE(CONTROL!$C$27, 0.0021, 0)</f>
        <v>86.440299999999993</v>
      </c>
      <c r="C737" s="14">
        <f>86.0059 * CHOOSE(CONTROL!$C$9, $D$9, 100%, $F$9) + CHOOSE(CONTROL!$C$27, 0.0021, 0)</f>
        <v>86.007999999999996</v>
      </c>
      <c r="D737" s="14">
        <f>86.0059 * CHOOSE(CONTROL!$C$9, $D$9, 100%, $F$9) + CHOOSE(CONTROL!$C$27, 0.0021, 0)</f>
        <v>86.007999999999996</v>
      </c>
      <c r="E737" s="14">
        <f>85.8693 * CHOOSE(CONTROL!$C$9, $D$9, 100%, $F$9) + CHOOSE(CONTROL!$C$27, 0.0021, 0)</f>
        <v>85.871399999999994</v>
      </c>
      <c r="F737" s="14">
        <f>85.8693 * CHOOSE(CONTROL!$C$9, $D$9, 100%, $F$9) + CHOOSE(CONTROL!$C$27, 0.0021, 0)</f>
        <v>85.871399999999994</v>
      </c>
      <c r="G737" s="14">
        <f>86.1406 * CHOOSE(CONTROL!$C$9, $D$9, 100%, $F$9) + CHOOSE(CONTROL!$C$27, 0.0021, 0)</f>
        <v>86.142700000000005</v>
      </c>
      <c r="H737" s="14">
        <f>86.0059 * CHOOSE(CONTROL!$C$9, $D$9, 100%, $F$9) + CHOOSE(CONTROL!$C$27, 0.0021, 0)</f>
        <v>86.007999999999996</v>
      </c>
      <c r="I737" s="14">
        <f>86.0059 * CHOOSE(CONTROL!$C$9, $D$9, 100%, $F$9) + CHOOSE(CONTROL!$C$27, 0.0021, 0)</f>
        <v>86.007999999999996</v>
      </c>
      <c r="J737" s="14">
        <f>86.0059 * CHOOSE(CONTROL!$C$9, $D$9, 100%, $F$9) + CHOOSE(CONTROL!$C$27, 0.0021, 0)</f>
        <v>86.007999999999996</v>
      </c>
      <c r="K737" s="14">
        <f>86.0059 * CHOOSE(CONTROL!$C$9, $D$9, 100%, $F$9) + CHOOSE(CONTROL!$C$27, 0.0021, 0)</f>
        <v>86.007999999999996</v>
      </c>
      <c r="L737" s="14"/>
    </row>
    <row r="738" spans="1:12" ht="15.75" x14ac:dyDescent="0.25">
      <c r="A738" s="32">
        <v>63401</v>
      </c>
      <c r="B738" s="14">
        <f>86.0446 * CHOOSE(CONTROL!$C$9, $D$9, 100%, $F$9) + CHOOSE(CONTROL!$C$27, 0.0021, 0)</f>
        <v>86.046700000000001</v>
      </c>
      <c r="C738" s="14">
        <f>85.6124 * CHOOSE(CONTROL!$C$9, $D$9, 100%, $F$9) + CHOOSE(CONTROL!$C$27, 0.0021, 0)</f>
        <v>85.614499999999992</v>
      </c>
      <c r="D738" s="14">
        <f>85.6124 * CHOOSE(CONTROL!$C$9, $D$9, 100%, $F$9) + CHOOSE(CONTROL!$C$27, 0.0021, 0)</f>
        <v>85.614499999999992</v>
      </c>
      <c r="E738" s="14">
        <f>85.4757 * CHOOSE(CONTROL!$C$9, $D$9, 100%, $F$9) + CHOOSE(CONTROL!$C$27, 0.0021, 0)</f>
        <v>85.477800000000002</v>
      </c>
      <c r="F738" s="14">
        <f>85.4757 * CHOOSE(CONTROL!$C$9, $D$9, 100%, $F$9) + CHOOSE(CONTROL!$C$27, 0.0021, 0)</f>
        <v>85.477800000000002</v>
      </c>
      <c r="G738" s="14">
        <f>85.7471 * CHOOSE(CONTROL!$C$9, $D$9, 100%, $F$9) + CHOOSE(CONTROL!$C$27, 0.0021, 0)</f>
        <v>85.749200000000002</v>
      </c>
      <c r="H738" s="14">
        <f>85.6124 * CHOOSE(CONTROL!$C$9, $D$9, 100%, $F$9) + CHOOSE(CONTROL!$C$27, 0.0021, 0)</f>
        <v>85.614499999999992</v>
      </c>
      <c r="I738" s="14">
        <f>85.6124 * CHOOSE(CONTROL!$C$9, $D$9, 100%, $F$9) + CHOOSE(CONTROL!$C$27, 0.0021, 0)</f>
        <v>85.614499999999992</v>
      </c>
      <c r="J738" s="14">
        <f>85.6124 * CHOOSE(CONTROL!$C$9, $D$9, 100%, $F$9) + CHOOSE(CONTROL!$C$27, 0.0021, 0)</f>
        <v>85.614499999999992</v>
      </c>
      <c r="K738" s="14">
        <f>85.6124 * CHOOSE(CONTROL!$C$9, $D$9, 100%, $F$9) + CHOOSE(CONTROL!$C$27, 0.0021, 0)</f>
        <v>85.614499999999992</v>
      </c>
      <c r="L738" s="14"/>
    </row>
    <row r="739" spans="1:12" ht="15.75" x14ac:dyDescent="0.25">
      <c r="A739" s="32">
        <v>63432</v>
      </c>
      <c r="B739" s="14">
        <f>84.0949 * CHOOSE(CONTROL!$C$9, $D$9, 100%, $F$9) + CHOOSE(CONTROL!$C$27, 0.0021, 0)</f>
        <v>84.096999999999994</v>
      </c>
      <c r="C739" s="14">
        <f>83.6627 * CHOOSE(CONTROL!$C$9, $D$9, 100%, $F$9) + CHOOSE(CONTROL!$C$27, 0.0021, 0)</f>
        <v>83.6648</v>
      </c>
      <c r="D739" s="14">
        <f>83.6627 * CHOOSE(CONTROL!$C$9, $D$9, 100%, $F$9) + CHOOSE(CONTROL!$C$27, 0.0021, 0)</f>
        <v>83.6648</v>
      </c>
      <c r="E739" s="14">
        <f>83.526 * CHOOSE(CONTROL!$C$9, $D$9, 100%, $F$9) + CHOOSE(CONTROL!$C$27, 0.0021, 0)</f>
        <v>83.528099999999995</v>
      </c>
      <c r="F739" s="14">
        <f>83.526 * CHOOSE(CONTROL!$C$9, $D$9, 100%, $F$9) + CHOOSE(CONTROL!$C$27, 0.0021, 0)</f>
        <v>83.528099999999995</v>
      </c>
      <c r="G739" s="14">
        <f>83.7974 * CHOOSE(CONTROL!$C$9, $D$9, 100%, $F$9) + CHOOSE(CONTROL!$C$27, 0.0021, 0)</f>
        <v>83.799499999999995</v>
      </c>
      <c r="H739" s="14">
        <f>83.6627 * CHOOSE(CONTROL!$C$9, $D$9, 100%, $F$9) + CHOOSE(CONTROL!$C$27, 0.0021, 0)</f>
        <v>83.6648</v>
      </c>
      <c r="I739" s="14">
        <f>83.6627 * CHOOSE(CONTROL!$C$9, $D$9, 100%, $F$9) + CHOOSE(CONTROL!$C$27, 0.0021, 0)</f>
        <v>83.6648</v>
      </c>
      <c r="J739" s="14">
        <f>83.6627 * CHOOSE(CONTROL!$C$9, $D$9, 100%, $F$9) + CHOOSE(CONTROL!$C$27, 0.0021, 0)</f>
        <v>83.6648</v>
      </c>
      <c r="K739" s="14">
        <f>83.6627 * CHOOSE(CONTROL!$C$9, $D$9, 100%, $F$9) + CHOOSE(CONTROL!$C$27, 0.0021, 0)</f>
        <v>83.6648</v>
      </c>
      <c r="L739" s="14"/>
    </row>
    <row r="740" spans="1:12" ht="15.75" x14ac:dyDescent="0.25">
      <c r="A740" s="32">
        <v>63462</v>
      </c>
      <c r="B740" s="14">
        <f>81.376 * CHOOSE(CONTROL!$C$9, $D$9, 100%, $F$9) + CHOOSE(CONTROL!$C$27, 0.0021, 0)</f>
        <v>81.378100000000003</v>
      </c>
      <c r="C740" s="14">
        <f>80.9437 * CHOOSE(CONTROL!$C$9, $D$9, 100%, $F$9) + CHOOSE(CONTROL!$C$27, 0.0021, 0)</f>
        <v>80.945800000000006</v>
      </c>
      <c r="D740" s="14">
        <f>80.9437 * CHOOSE(CONTROL!$C$9, $D$9, 100%, $F$9) + CHOOSE(CONTROL!$C$27, 0.0021, 0)</f>
        <v>80.945800000000006</v>
      </c>
      <c r="E740" s="14">
        <f>80.807 * CHOOSE(CONTROL!$C$9, $D$9, 100%, $F$9) + CHOOSE(CONTROL!$C$27, 0.0021, 0)</f>
        <v>80.809100000000001</v>
      </c>
      <c r="F740" s="14">
        <f>80.807 * CHOOSE(CONTROL!$C$9, $D$9, 100%, $F$9) + CHOOSE(CONTROL!$C$27, 0.0021, 0)</f>
        <v>80.809100000000001</v>
      </c>
      <c r="G740" s="14">
        <f>81.0784 * CHOOSE(CONTROL!$C$9, $D$9, 100%, $F$9) + CHOOSE(CONTROL!$C$27, 0.0021, 0)</f>
        <v>81.080500000000001</v>
      </c>
      <c r="H740" s="14">
        <f>80.9437 * CHOOSE(CONTROL!$C$9, $D$9, 100%, $F$9) + CHOOSE(CONTROL!$C$27, 0.0021, 0)</f>
        <v>80.945800000000006</v>
      </c>
      <c r="I740" s="14">
        <f>80.9437 * CHOOSE(CONTROL!$C$9, $D$9, 100%, $F$9) + CHOOSE(CONTROL!$C$27, 0.0021, 0)</f>
        <v>80.945800000000006</v>
      </c>
      <c r="J740" s="14">
        <f>80.9437 * CHOOSE(CONTROL!$C$9, $D$9, 100%, $F$9) + CHOOSE(CONTROL!$C$27, 0.0021, 0)</f>
        <v>80.945800000000006</v>
      </c>
      <c r="K740" s="14">
        <f>80.9437 * CHOOSE(CONTROL!$C$9, $D$9, 100%, $F$9) + CHOOSE(CONTROL!$C$27, 0.0021, 0)</f>
        <v>80.945800000000006</v>
      </c>
      <c r="L740" s="14"/>
    </row>
    <row r="741" spans="1:12" ht="15.75" x14ac:dyDescent="0.25">
      <c r="A741" s="32">
        <v>63493</v>
      </c>
      <c r="B741" s="14">
        <f>78.6412 * CHOOSE(CONTROL!$C$9, $D$9, 100%, $F$9) + CHOOSE(CONTROL!$C$27, 0.0021, 0)</f>
        <v>78.643299999999996</v>
      </c>
      <c r="C741" s="14">
        <f>78.2089 * CHOOSE(CONTROL!$C$9, $D$9, 100%, $F$9) + CHOOSE(CONTROL!$C$27, 0.0021, 0)</f>
        <v>78.210999999999999</v>
      </c>
      <c r="D741" s="14">
        <f>78.2089 * CHOOSE(CONTROL!$C$9, $D$9, 100%, $F$9) + CHOOSE(CONTROL!$C$27, 0.0021, 0)</f>
        <v>78.210999999999999</v>
      </c>
      <c r="E741" s="14">
        <f>78.0723 * CHOOSE(CONTROL!$C$9, $D$9, 100%, $F$9) + CHOOSE(CONTROL!$C$27, 0.0021, 0)</f>
        <v>78.074399999999997</v>
      </c>
      <c r="F741" s="14">
        <f>78.0723 * CHOOSE(CONTROL!$C$9, $D$9, 100%, $F$9) + CHOOSE(CONTROL!$C$27, 0.0021, 0)</f>
        <v>78.074399999999997</v>
      </c>
      <c r="G741" s="14">
        <f>78.3436 * CHOOSE(CONTROL!$C$9, $D$9, 100%, $F$9) + CHOOSE(CONTROL!$C$27, 0.0021, 0)</f>
        <v>78.345699999999994</v>
      </c>
      <c r="H741" s="14">
        <f>78.2089 * CHOOSE(CONTROL!$C$9, $D$9, 100%, $F$9) + CHOOSE(CONTROL!$C$27, 0.0021, 0)</f>
        <v>78.210999999999999</v>
      </c>
      <c r="I741" s="14">
        <f>78.2089 * CHOOSE(CONTROL!$C$9, $D$9, 100%, $F$9) + CHOOSE(CONTROL!$C$27, 0.0021, 0)</f>
        <v>78.210999999999999</v>
      </c>
      <c r="J741" s="14">
        <f>78.2089 * CHOOSE(CONTROL!$C$9, $D$9, 100%, $F$9) + CHOOSE(CONTROL!$C$27, 0.0021, 0)</f>
        <v>78.210999999999999</v>
      </c>
      <c r="K741" s="14">
        <f>78.2089 * CHOOSE(CONTROL!$C$9, $D$9, 100%, $F$9) + CHOOSE(CONTROL!$C$27, 0.0021, 0)</f>
        <v>78.210999999999999</v>
      </c>
      <c r="L741" s="14"/>
    </row>
    <row r="742" spans="1:12" ht="15.75" x14ac:dyDescent="0.25">
      <c r="A742" s="32">
        <v>63523</v>
      </c>
      <c r="B742" s="14">
        <f>78.0972 * CHOOSE(CONTROL!$C$9, $D$9, 100%, $F$9) + CHOOSE(CONTROL!$C$27, 0.0021, 0)</f>
        <v>78.099299999999999</v>
      </c>
      <c r="C742" s="14">
        <f>77.6649 * CHOOSE(CONTROL!$C$9, $D$9, 100%, $F$9) + CHOOSE(CONTROL!$C$27, 0.0021, 0)</f>
        <v>77.667000000000002</v>
      </c>
      <c r="D742" s="14">
        <f>77.6649 * CHOOSE(CONTROL!$C$9, $D$9, 100%, $F$9) + CHOOSE(CONTROL!$C$27, 0.0021, 0)</f>
        <v>77.667000000000002</v>
      </c>
      <c r="E742" s="14">
        <f>77.5282 * CHOOSE(CONTROL!$C$9, $D$9, 100%, $F$9) + CHOOSE(CONTROL!$C$27, 0.0021, 0)</f>
        <v>77.530299999999997</v>
      </c>
      <c r="F742" s="14">
        <f>77.5282 * CHOOSE(CONTROL!$C$9, $D$9, 100%, $F$9) + CHOOSE(CONTROL!$C$27, 0.0021, 0)</f>
        <v>77.530299999999997</v>
      </c>
      <c r="G742" s="14">
        <f>77.7996 * CHOOSE(CONTROL!$C$9, $D$9, 100%, $F$9) + CHOOSE(CONTROL!$C$27, 0.0021, 0)</f>
        <v>77.801699999999997</v>
      </c>
      <c r="H742" s="14">
        <f>77.6649 * CHOOSE(CONTROL!$C$9, $D$9, 100%, $F$9) + CHOOSE(CONTROL!$C$27, 0.0021, 0)</f>
        <v>77.667000000000002</v>
      </c>
      <c r="I742" s="14">
        <f>77.6649 * CHOOSE(CONTROL!$C$9, $D$9, 100%, $F$9) + CHOOSE(CONTROL!$C$27, 0.0021, 0)</f>
        <v>77.667000000000002</v>
      </c>
      <c r="J742" s="14">
        <f>77.6649 * CHOOSE(CONTROL!$C$9, $D$9, 100%, $F$9) + CHOOSE(CONTROL!$C$27, 0.0021, 0)</f>
        <v>77.667000000000002</v>
      </c>
      <c r="K742" s="14">
        <f>77.6649 * CHOOSE(CONTROL!$C$9, $D$9, 100%, $F$9) + CHOOSE(CONTROL!$C$27, 0.0021, 0)</f>
        <v>77.667000000000002</v>
      </c>
      <c r="L742" s="14"/>
    </row>
    <row r="743" spans="1:12" ht="15.75" x14ac:dyDescent="0.25">
      <c r="A743" s="32">
        <v>63554</v>
      </c>
      <c r="B743" s="14">
        <f>75.8476 * CHOOSE(CONTROL!$C$9, $D$9, 100%, $F$9) + CHOOSE(CONTROL!$C$27, 0.0021, 0)</f>
        <v>75.849699999999999</v>
      </c>
      <c r="C743" s="14">
        <f>75.4154 * CHOOSE(CONTROL!$C$9, $D$9, 100%, $F$9) + CHOOSE(CONTROL!$C$27, 0.0021, 0)</f>
        <v>75.417500000000004</v>
      </c>
      <c r="D743" s="14">
        <f>75.4154 * CHOOSE(CONTROL!$C$9, $D$9, 100%, $F$9) + CHOOSE(CONTROL!$C$27, 0.0021, 0)</f>
        <v>75.417500000000004</v>
      </c>
      <c r="E743" s="14">
        <f>75.2787 * CHOOSE(CONTROL!$C$9, $D$9, 100%, $F$9) + CHOOSE(CONTROL!$C$27, 0.0021, 0)</f>
        <v>75.280799999999999</v>
      </c>
      <c r="F743" s="14">
        <f>75.2787 * CHOOSE(CONTROL!$C$9, $D$9, 100%, $F$9) + CHOOSE(CONTROL!$C$27, 0.0021, 0)</f>
        <v>75.280799999999999</v>
      </c>
      <c r="G743" s="14">
        <f>75.5501 * CHOOSE(CONTROL!$C$9, $D$9, 100%, $F$9) + CHOOSE(CONTROL!$C$27, 0.0021, 0)</f>
        <v>75.552199999999999</v>
      </c>
      <c r="H743" s="14">
        <f>75.4154 * CHOOSE(CONTROL!$C$9, $D$9, 100%, $F$9) + CHOOSE(CONTROL!$C$27, 0.0021, 0)</f>
        <v>75.417500000000004</v>
      </c>
      <c r="I743" s="14">
        <f>75.4154 * CHOOSE(CONTROL!$C$9, $D$9, 100%, $F$9) + CHOOSE(CONTROL!$C$27, 0.0021, 0)</f>
        <v>75.417500000000004</v>
      </c>
      <c r="J743" s="14">
        <f>75.4154 * CHOOSE(CONTROL!$C$9, $D$9, 100%, $F$9) + CHOOSE(CONTROL!$C$27, 0.0021, 0)</f>
        <v>75.417500000000004</v>
      </c>
      <c r="K743" s="14">
        <f>75.4154 * CHOOSE(CONTROL!$C$9, $D$9, 100%, $F$9) + CHOOSE(CONTROL!$C$27, 0.0021, 0)</f>
        <v>75.417500000000004</v>
      </c>
      <c r="L743" s="14"/>
    </row>
    <row r="744" spans="1:12" ht="15.75" x14ac:dyDescent="0.25">
      <c r="A744" s="32">
        <v>63585</v>
      </c>
      <c r="B744" s="14">
        <f>75.4097 * CHOOSE(CONTROL!$C$9, $D$9, 100%, $F$9) + CHOOSE(CONTROL!$C$27, 0.0021, 0)</f>
        <v>75.411799999999999</v>
      </c>
      <c r="C744" s="14">
        <f>74.9774 * CHOOSE(CONTROL!$C$9, $D$9, 100%, $F$9) + CHOOSE(CONTROL!$C$27, 0.0021, 0)</f>
        <v>74.979500000000002</v>
      </c>
      <c r="D744" s="14">
        <f>74.9774 * CHOOSE(CONTROL!$C$9, $D$9, 100%, $F$9) + CHOOSE(CONTROL!$C$27, 0.0021, 0)</f>
        <v>74.979500000000002</v>
      </c>
      <c r="E744" s="14">
        <f>74.8408 * CHOOSE(CONTROL!$C$9, $D$9, 100%, $F$9) + CHOOSE(CONTROL!$C$27, 0.0021, 0)</f>
        <v>74.8429</v>
      </c>
      <c r="F744" s="14">
        <f>74.8408 * CHOOSE(CONTROL!$C$9, $D$9, 100%, $F$9) + CHOOSE(CONTROL!$C$27, 0.0021, 0)</f>
        <v>74.8429</v>
      </c>
      <c r="G744" s="14">
        <f>75.1122 * CHOOSE(CONTROL!$C$9, $D$9, 100%, $F$9) + CHOOSE(CONTROL!$C$27, 0.0021, 0)</f>
        <v>75.1143</v>
      </c>
      <c r="H744" s="14">
        <f>74.9774 * CHOOSE(CONTROL!$C$9, $D$9, 100%, $F$9) + CHOOSE(CONTROL!$C$27, 0.0021, 0)</f>
        <v>74.979500000000002</v>
      </c>
      <c r="I744" s="14">
        <f>74.9774 * CHOOSE(CONTROL!$C$9, $D$9, 100%, $F$9) + CHOOSE(CONTROL!$C$27, 0.0021, 0)</f>
        <v>74.979500000000002</v>
      </c>
      <c r="J744" s="14">
        <f>74.9774 * CHOOSE(CONTROL!$C$9, $D$9, 100%, $F$9) + CHOOSE(CONTROL!$C$27, 0.0021, 0)</f>
        <v>74.979500000000002</v>
      </c>
      <c r="K744" s="14">
        <f>74.9774 * CHOOSE(CONTROL!$C$9, $D$9, 100%, $F$9) + CHOOSE(CONTROL!$C$27, 0.0021, 0)</f>
        <v>74.979500000000002</v>
      </c>
      <c r="L744" s="14"/>
    </row>
    <row r="745" spans="1:12" ht="15.75" x14ac:dyDescent="0.25">
      <c r="A745" s="32">
        <v>63613</v>
      </c>
      <c r="B745" s="14">
        <f>75.2064 * CHOOSE(CONTROL!$C$9, $D$9, 100%, $F$9) + CHOOSE(CONTROL!$C$27, 0.0021, 0)</f>
        <v>75.208500000000001</v>
      </c>
      <c r="C745" s="14">
        <f>74.7742 * CHOOSE(CONTROL!$C$9, $D$9, 100%, $F$9) + CHOOSE(CONTROL!$C$27, 0.0021, 0)</f>
        <v>74.776299999999992</v>
      </c>
      <c r="D745" s="14">
        <f>74.7742 * CHOOSE(CONTROL!$C$9, $D$9, 100%, $F$9) + CHOOSE(CONTROL!$C$27, 0.0021, 0)</f>
        <v>74.776299999999992</v>
      </c>
      <c r="E745" s="14">
        <f>74.6375 * CHOOSE(CONTROL!$C$9, $D$9, 100%, $F$9) + CHOOSE(CONTROL!$C$27, 0.0021, 0)</f>
        <v>74.639600000000002</v>
      </c>
      <c r="F745" s="14">
        <f>74.6375 * CHOOSE(CONTROL!$C$9, $D$9, 100%, $F$9) + CHOOSE(CONTROL!$C$27, 0.0021, 0)</f>
        <v>74.639600000000002</v>
      </c>
      <c r="G745" s="14">
        <f>74.9089 * CHOOSE(CONTROL!$C$9, $D$9, 100%, $F$9) + CHOOSE(CONTROL!$C$27, 0.0021, 0)</f>
        <v>74.911000000000001</v>
      </c>
      <c r="H745" s="14">
        <f>74.7742 * CHOOSE(CONTROL!$C$9, $D$9, 100%, $F$9) + CHOOSE(CONTROL!$C$27, 0.0021, 0)</f>
        <v>74.776299999999992</v>
      </c>
      <c r="I745" s="14">
        <f>74.7742 * CHOOSE(CONTROL!$C$9, $D$9, 100%, $F$9) + CHOOSE(CONTROL!$C$27, 0.0021, 0)</f>
        <v>74.776299999999992</v>
      </c>
      <c r="J745" s="14">
        <f>74.7742 * CHOOSE(CONTROL!$C$9, $D$9, 100%, $F$9) + CHOOSE(CONTROL!$C$27, 0.0021, 0)</f>
        <v>74.776299999999992</v>
      </c>
      <c r="K745" s="14">
        <f>74.7742 * CHOOSE(CONTROL!$C$9, $D$9, 100%, $F$9) + CHOOSE(CONTROL!$C$27, 0.0021, 0)</f>
        <v>74.776299999999992</v>
      </c>
      <c r="L745" s="14"/>
    </row>
    <row r="746" spans="1:12" ht="15.75" x14ac:dyDescent="0.25">
      <c r="A746" s="32">
        <v>63644</v>
      </c>
      <c r="B746" s="14">
        <f>79.0494 * CHOOSE(CONTROL!$C$9, $D$9, 100%, $F$9) + CHOOSE(CONTROL!$C$27, 0.0021, 0)</f>
        <v>79.051500000000004</v>
      </c>
      <c r="C746" s="14">
        <f>78.6172 * CHOOSE(CONTROL!$C$9, $D$9, 100%, $F$9) + CHOOSE(CONTROL!$C$27, 0.0021, 0)</f>
        <v>78.619299999999996</v>
      </c>
      <c r="D746" s="14">
        <f>78.6172 * CHOOSE(CONTROL!$C$9, $D$9, 100%, $F$9) + CHOOSE(CONTROL!$C$27, 0.0021, 0)</f>
        <v>78.619299999999996</v>
      </c>
      <c r="E746" s="14">
        <f>78.4805 * CHOOSE(CONTROL!$C$9, $D$9, 100%, $F$9) + CHOOSE(CONTROL!$C$27, 0.0021, 0)</f>
        <v>78.482600000000005</v>
      </c>
      <c r="F746" s="14">
        <f>78.4805 * CHOOSE(CONTROL!$C$9, $D$9, 100%, $F$9) + CHOOSE(CONTROL!$C$27, 0.0021, 0)</f>
        <v>78.482600000000005</v>
      </c>
      <c r="G746" s="14">
        <f>78.7519 * CHOOSE(CONTROL!$C$9, $D$9, 100%, $F$9) + CHOOSE(CONTROL!$C$27, 0.0021, 0)</f>
        <v>78.754000000000005</v>
      </c>
      <c r="H746" s="14">
        <f>78.6172 * CHOOSE(CONTROL!$C$9, $D$9, 100%, $F$9) + CHOOSE(CONTROL!$C$27, 0.0021, 0)</f>
        <v>78.619299999999996</v>
      </c>
      <c r="I746" s="14">
        <f>78.6172 * CHOOSE(CONTROL!$C$9, $D$9, 100%, $F$9) + CHOOSE(CONTROL!$C$27, 0.0021, 0)</f>
        <v>78.619299999999996</v>
      </c>
      <c r="J746" s="14">
        <f>78.6172 * CHOOSE(CONTROL!$C$9, $D$9, 100%, $F$9) + CHOOSE(CONTROL!$C$27, 0.0021, 0)</f>
        <v>78.619299999999996</v>
      </c>
      <c r="K746" s="14">
        <f>78.6172 * CHOOSE(CONTROL!$C$9, $D$9, 100%, $F$9) + CHOOSE(CONTROL!$C$27, 0.0021, 0)</f>
        <v>78.619299999999996</v>
      </c>
      <c r="L746" s="14"/>
    </row>
    <row r="747" spans="1:12" ht="15.75" x14ac:dyDescent="0.25">
      <c r="A747" s="32">
        <v>63674</v>
      </c>
      <c r="B747" s="14">
        <f>84.0329 * CHOOSE(CONTROL!$C$9, $D$9, 100%, $F$9) + CHOOSE(CONTROL!$C$27, 0.0021, 0)</f>
        <v>84.034999999999997</v>
      </c>
      <c r="C747" s="14">
        <f>83.6006 * CHOOSE(CONTROL!$C$9, $D$9, 100%, $F$9) + CHOOSE(CONTROL!$C$27, 0.0021, 0)</f>
        <v>83.602699999999999</v>
      </c>
      <c r="D747" s="14">
        <f>83.6006 * CHOOSE(CONTROL!$C$9, $D$9, 100%, $F$9) + CHOOSE(CONTROL!$C$27, 0.0021, 0)</f>
        <v>83.602699999999999</v>
      </c>
      <c r="E747" s="14">
        <f>83.464 * CHOOSE(CONTROL!$C$9, $D$9, 100%, $F$9) + CHOOSE(CONTROL!$C$27, 0.0021, 0)</f>
        <v>83.466099999999997</v>
      </c>
      <c r="F747" s="14">
        <f>83.464 * CHOOSE(CONTROL!$C$9, $D$9, 100%, $F$9) + CHOOSE(CONTROL!$C$27, 0.0021, 0)</f>
        <v>83.466099999999997</v>
      </c>
      <c r="G747" s="14">
        <f>83.7354 * CHOOSE(CONTROL!$C$9, $D$9, 100%, $F$9) + CHOOSE(CONTROL!$C$27, 0.0021, 0)</f>
        <v>83.737499999999997</v>
      </c>
      <c r="H747" s="14">
        <f>83.6006 * CHOOSE(CONTROL!$C$9, $D$9, 100%, $F$9) + CHOOSE(CONTROL!$C$27, 0.0021, 0)</f>
        <v>83.602699999999999</v>
      </c>
      <c r="I747" s="14">
        <f>83.6006 * CHOOSE(CONTROL!$C$9, $D$9, 100%, $F$9) + CHOOSE(CONTROL!$C$27, 0.0021, 0)</f>
        <v>83.602699999999999</v>
      </c>
      <c r="J747" s="14">
        <f>83.6006 * CHOOSE(CONTROL!$C$9, $D$9, 100%, $F$9) + CHOOSE(CONTROL!$C$27, 0.0021, 0)</f>
        <v>83.602699999999999</v>
      </c>
      <c r="K747" s="14">
        <f>83.6006 * CHOOSE(CONTROL!$C$9, $D$9, 100%, $F$9) + CHOOSE(CONTROL!$C$27, 0.0021, 0)</f>
        <v>83.602699999999999</v>
      </c>
      <c r="L747" s="14"/>
    </row>
    <row r="748" spans="1:12" ht="15.75" x14ac:dyDescent="0.25">
      <c r="A748" s="32">
        <v>63705</v>
      </c>
      <c r="B748" s="14">
        <f>86.7759 * CHOOSE(CONTROL!$C$9, $D$9, 100%, $F$9) + CHOOSE(CONTROL!$C$27, 0.0021, 0)</f>
        <v>86.777999999999992</v>
      </c>
      <c r="C748" s="14">
        <f>86.3437 * CHOOSE(CONTROL!$C$9, $D$9, 100%, $F$9) + CHOOSE(CONTROL!$C$27, 0.0021, 0)</f>
        <v>86.345799999999997</v>
      </c>
      <c r="D748" s="14">
        <f>86.3437 * CHOOSE(CONTROL!$C$9, $D$9, 100%, $F$9) + CHOOSE(CONTROL!$C$27, 0.0021, 0)</f>
        <v>86.345799999999997</v>
      </c>
      <c r="E748" s="14">
        <f>86.207 * CHOOSE(CONTROL!$C$9, $D$9, 100%, $F$9) + CHOOSE(CONTROL!$C$27, 0.0021, 0)</f>
        <v>86.209099999999992</v>
      </c>
      <c r="F748" s="14">
        <f>86.207 * CHOOSE(CONTROL!$C$9, $D$9, 100%, $F$9) + CHOOSE(CONTROL!$C$27, 0.0021, 0)</f>
        <v>86.209099999999992</v>
      </c>
      <c r="G748" s="14">
        <f>86.4784 * CHOOSE(CONTROL!$C$9, $D$9, 100%, $F$9) + CHOOSE(CONTROL!$C$27, 0.0021, 0)</f>
        <v>86.480499999999992</v>
      </c>
      <c r="H748" s="14">
        <f>86.3437 * CHOOSE(CONTROL!$C$9, $D$9, 100%, $F$9) + CHOOSE(CONTROL!$C$27, 0.0021, 0)</f>
        <v>86.345799999999997</v>
      </c>
      <c r="I748" s="14">
        <f>86.3437 * CHOOSE(CONTROL!$C$9, $D$9, 100%, $F$9) + CHOOSE(CONTROL!$C$27, 0.0021, 0)</f>
        <v>86.345799999999997</v>
      </c>
      <c r="J748" s="14">
        <f>86.3437 * CHOOSE(CONTROL!$C$9, $D$9, 100%, $F$9) + CHOOSE(CONTROL!$C$27, 0.0021, 0)</f>
        <v>86.345799999999997</v>
      </c>
      <c r="K748" s="14">
        <f>86.3437 * CHOOSE(CONTROL!$C$9, $D$9, 100%, $F$9) + CHOOSE(CONTROL!$C$27, 0.0021, 0)</f>
        <v>86.345799999999997</v>
      </c>
      <c r="L748" s="14"/>
    </row>
    <row r="749" spans="1:12" ht="15.75" x14ac:dyDescent="0.25">
      <c r="A749" s="32">
        <v>63735</v>
      </c>
      <c r="B749" s="14">
        <f>87.9932 * CHOOSE(CONTROL!$C$9, $D$9, 100%, $F$9) + CHOOSE(CONTROL!$C$27, 0.0021, 0)</f>
        <v>87.9953</v>
      </c>
      <c r="C749" s="14">
        <f>87.561 * CHOOSE(CONTROL!$C$9, $D$9, 100%, $F$9) + CHOOSE(CONTROL!$C$27, 0.0021, 0)</f>
        <v>87.563100000000006</v>
      </c>
      <c r="D749" s="14">
        <f>87.561 * CHOOSE(CONTROL!$C$9, $D$9, 100%, $F$9) + CHOOSE(CONTROL!$C$27, 0.0021, 0)</f>
        <v>87.563100000000006</v>
      </c>
      <c r="E749" s="14">
        <f>87.4243 * CHOOSE(CONTROL!$C$9, $D$9, 100%, $F$9) + CHOOSE(CONTROL!$C$27, 0.0021, 0)</f>
        <v>87.426400000000001</v>
      </c>
      <c r="F749" s="14">
        <f>87.4243 * CHOOSE(CONTROL!$C$9, $D$9, 100%, $F$9) + CHOOSE(CONTROL!$C$27, 0.0021, 0)</f>
        <v>87.426400000000001</v>
      </c>
      <c r="G749" s="14">
        <f>87.6957 * CHOOSE(CONTROL!$C$9, $D$9, 100%, $F$9) + CHOOSE(CONTROL!$C$27, 0.0021, 0)</f>
        <v>87.697800000000001</v>
      </c>
      <c r="H749" s="14">
        <f>87.561 * CHOOSE(CONTROL!$C$9, $D$9, 100%, $F$9) + CHOOSE(CONTROL!$C$27, 0.0021, 0)</f>
        <v>87.563100000000006</v>
      </c>
      <c r="I749" s="14">
        <f>87.561 * CHOOSE(CONTROL!$C$9, $D$9, 100%, $F$9) + CHOOSE(CONTROL!$C$27, 0.0021, 0)</f>
        <v>87.563100000000006</v>
      </c>
      <c r="J749" s="14">
        <f>87.561 * CHOOSE(CONTROL!$C$9, $D$9, 100%, $F$9) + CHOOSE(CONTROL!$C$27, 0.0021, 0)</f>
        <v>87.563100000000006</v>
      </c>
      <c r="K749" s="14">
        <f>87.561 * CHOOSE(CONTROL!$C$9, $D$9, 100%, $F$9) + CHOOSE(CONTROL!$C$27, 0.0021, 0)</f>
        <v>87.563100000000006</v>
      </c>
      <c r="L749" s="14"/>
    </row>
    <row r="750" spans="1:12" ht="15.75" x14ac:dyDescent="0.25">
      <c r="A750" s="32">
        <v>63766</v>
      </c>
      <c r="B750" s="14">
        <f>87.5925 * CHOOSE(CONTROL!$C$9, $D$9, 100%, $F$9) + CHOOSE(CONTROL!$C$27, 0.0021, 0)</f>
        <v>87.5946</v>
      </c>
      <c r="C750" s="14">
        <f>87.1602 * CHOOSE(CONTROL!$C$9, $D$9, 100%, $F$9) + CHOOSE(CONTROL!$C$27, 0.0021, 0)</f>
        <v>87.162300000000002</v>
      </c>
      <c r="D750" s="14">
        <f>87.1602 * CHOOSE(CONTROL!$C$9, $D$9, 100%, $F$9) + CHOOSE(CONTROL!$C$27, 0.0021, 0)</f>
        <v>87.162300000000002</v>
      </c>
      <c r="E750" s="14">
        <f>87.0235 * CHOOSE(CONTROL!$C$9, $D$9, 100%, $F$9) + CHOOSE(CONTROL!$C$27, 0.0021, 0)</f>
        <v>87.025599999999997</v>
      </c>
      <c r="F750" s="14">
        <f>87.0235 * CHOOSE(CONTROL!$C$9, $D$9, 100%, $F$9) + CHOOSE(CONTROL!$C$27, 0.0021, 0)</f>
        <v>87.025599999999997</v>
      </c>
      <c r="G750" s="14">
        <f>87.2949 * CHOOSE(CONTROL!$C$9, $D$9, 100%, $F$9) + CHOOSE(CONTROL!$C$27, 0.0021, 0)</f>
        <v>87.296999999999997</v>
      </c>
      <c r="H750" s="14">
        <f>87.1602 * CHOOSE(CONTROL!$C$9, $D$9, 100%, $F$9) + CHOOSE(CONTROL!$C$27, 0.0021, 0)</f>
        <v>87.162300000000002</v>
      </c>
      <c r="I750" s="14">
        <f>87.1602 * CHOOSE(CONTROL!$C$9, $D$9, 100%, $F$9) + CHOOSE(CONTROL!$C$27, 0.0021, 0)</f>
        <v>87.162300000000002</v>
      </c>
      <c r="J750" s="14">
        <f>87.1602 * CHOOSE(CONTROL!$C$9, $D$9, 100%, $F$9) + CHOOSE(CONTROL!$C$27, 0.0021, 0)</f>
        <v>87.162300000000002</v>
      </c>
      <c r="K750" s="14">
        <f>87.1602 * CHOOSE(CONTROL!$C$9, $D$9, 100%, $F$9) + CHOOSE(CONTROL!$C$27, 0.0021, 0)</f>
        <v>87.162300000000002</v>
      </c>
      <c r="L750" s="14"/>
    </row>
    <row r="751" spans="1:12" ht="15.75" x14ac:dyDescent="0.25">
      <c r="A751" s="32">
        <v>63797</v>
      </c>
      <c r="B751" s="14">
        <f>85.6067 * CHOOSE(CONTROL!$C$9, $D$9, 100%, $F$9) + CHOOSE(CONTROL!$C$27, 0.0021, 0)</f>
        <v>85.608800000000002</v>
      </c>
      <c r="C751" s="14">
        <f>85.1745 * CHOOSE(CONTROL!$C$9, $D$9, 100%, $F$9) + CHOOSE(CONTROL!$C$27, 0.0021, 0)</f>
        <v>85.176599999999993</v>
      </c>
      <c r="D751" s="14">
        <f>85.1745 * CHOOSE(CONTROL!$C$9, $D$9, 100%, $F$9) + CHOOSE(CONTROL!$C$27, 0.0021, 0)</f>
        <v>85.176599999999993</v>
      </c>
      <c r="E751" s="14">
        <f>85.0378 * CHOOSE(CONTROL!$C$9, $D$9, 100%, $F$9) + CHOOSE(CONTROL!$C$27, 0.0021, 0)</f>
        <v>85.039900000000003</v>
      </c>
      <c r="F751" s="14">
        <f>85.0378 * CHOOSE(CONTROL!$C$9, $D$9, 100%, $F$9) + CHOOSE(CONTROL!$C$27, 0.0021, 0)</f>
        <v>85.039900000000003</v>
      </c>
      <c r="G751" s="14">
        <f>85.3092 * CHOOSE(CONTROL!$C$9, $D$9, 100%, $F$9) + CHOOSE(CONTROL!$C$27, 0.0021, 0)</f>
        <v>85.311300000000003</v>
      </c>
      <c r="H751" s="14">
        <f>85.1745 * CHOOSE(CONTROL!$C$9, $D$9, 100%, $F$9) + CHOOSE(CONTROL!$C$27, 0.0021, 0)</f>
        <v>85.176599999999993</v>
      </c>
      <c r="I751" s="14">
        <f>85.1745 * CHOOSE(CONTROL!$C$9, $D$9, 100%, $F$9) + CHOOSE(CONTROL!$C$27, 0.0021, 0)</f>
        <v>85.176599999999993</v>
      </c>
      <c r="J751" s="14">
        <f>85.1745 * CHOOSE(CONTROL!$C$9, $D$9, 100%, $F$9) + CHOOSE(CONTROL!$C$27, 0.0021, 0)</f>
        <v>85.176599999999993</v>
      </c>
      <c r="K751" s="14">
        <f>85.1745 * CHOOSE(CONTROL!$C$9, $D$9, 100%, $F$9) + CHOOSE(CONTROL!$C$27, 0.0021, 0)</f>
        <v>85.176599999999993</v>
      </c>
      <c r="L751" s="14"/>
    </row>
    <row r="752" spans="1:12" ht="15.75" x14ac:dyDescent="0.25">
      <c r="A752" s="32">
        <v>63827</v>
      </c>
      <c r="B752" s="14">
        <f>82.8375 * CHOOSE(CONTROL!$C$9, $D$9, 100%, $F$9) + CHOOSE(CONTROL!$C$27, 0.0021, 0)</f>
        <v>82.839600000000004</v>
      </c>
      <c r="C752" s="14">
        <f>82.4052 * CHOOSE(CONTROL!$C$9, $D$9, 100%, $F$9) + CHOOSE(CONTROL!$C$27, 0.0021, 0)</f>
        <v>82.407299999999992</v>
      </c>
      <c r="D752" s="14">
        <f>82.4052 * CHOOSE(CONTROL!$C$9, $D$9, 100%, $F$9) + CHOOSE(CONTROL!$C$27, 0.0021, 0)</f>
        <v>82.407299999999992</v>
      </c>
      <c r="E752" s="14">
        <f>82.2686 * CHOOSE(CONTROL!$C$9, $D$9, 100%, $F$9) + CHOOSE(CONTROL!$C$27, 0.0021, 0)</f>
        <v>82.270700000000005</v>
      </c>
      <c r="F752" s="14">
        <f>82.2686 * CHOOSE(CONTROL!$C$9, $D$9, 100%, $F$9) + CHOOSE(CONTROL!$C$27, 0.0021, 0)</f>
        <v>82.270700000000005</v>
      </c>
      <c r="G752" s="14">
        <f>82.5399 * CHOOSE(CONTROL!$C$9, $D$9, 100%, $F$9) + CHOOSE(CONTROL!$C$27, 0.0021, 0)</f>
        <v>82.542000000000002</v>
      </c>
      <c r="H752" s="14">
        <f>82.4052 * CHOOSE(CONTROL!$C$9, $D$9, 100%, $F$9) + CHOOSE(CONTROL!$C$27, 0.0021, 0)</f>
        <v>82.407299999999992</v>
      </c>
      <c r="I752" s="14">
        <f>82.4052 * CHOOSE(CONTROL!$C$9, $D$9, 100%, $F$9) + CHOOSE(CONTROL!$C$27, 0.0021, 0)</f>
        <v>82.407299999999992</v>
      </c>
      <c r="J752" s="14">
        <f>82.4052 * CHOOSE(CONTROL!$C$9, $D$9, 100%, $F$9) + CHOOSE(CONTROL!$C$27, 0.0021, 0)</f>
        <v>82.407299999999992</v>
      </c>
      <c r="K752" s="14">
        <f>82.4052 * CHOOSE(CONTROL!$C$9, $D$9, 100%, $F$9) + CHOOSE(CONTROL!$C$27, 0.0021, 0)</f>
        <v>82.407299999999992</v>
      </c>
      <c r="L752" s="14"/>
    </row>
    <row r="753" spans="1:12" ht="15.75" x14ac:dyDescent="0.25">
      <c r="A753" s="32">
        <v>63858</v>
      </c>
      <c r="B753" s="14">
        <f>80.0521 * CHOOSE(CONTROL!$C$9, $D$9, 100%, $F$9) + CHOOSE(CONTROL!$C$27, 0.0021, 0)</f>
        <v>80.054199999999994</v>
      </c>
      <c r="C753" s="14">
        <f>79.6199 * CHOOSE(CONTROL!$C$9, $D$9, 100%, $F$9) + CHOOSE(CONTROL!$C$27, 0.0021, 0)</f>
        <v>79.622</v>
      </c>
      <c r="D753" s="14">
        <f>79.6199 * CHOOSE(CONTROL!$C$9, $D$9, 100%, $F$9) + CHOOSE(CONTROL!$C$27, 0.0021, 0)</f>
        <v>79.622</v>
      </c>
      <c r="E753" s="14">
        <f>79.4832 * CHOOSE(CONTROL!$C$9, $D$9, 100%, $F$9) + CHOOSE(CONTROL!$C$27, 0.0021, 0)</f>
        <v>79.485299999999995</v>
      </c>
      <c r="F753" s="14">
        <f>79.4832 * CHOOSE(CONTROL!$C$9, $D$9, 100%, $F$9) + CHOOSE(CONTROL!$C$27, 0.0021, 0)</f>
        <v>79.485299999999995</v>
      </c>
      <c r="G753" s="14">
        <f>79.7546 * CHOOSE(CONTROL!$C$9, $D$9, 100%, $F$9) + CHOOSE(CONTROL!$C$27, 0.0021, 0)</f>
        <v>79.756699999999995</v>
      </c>
      <c r="H753" s="14">
        <f>79.6199 * CHOOSE(CONTROL!$C$9, $D$9, 100%, $F$9) + CHOOSE(CONTROL!$C$27, 0.0021, 0)</f>
        <v>79.622</v>
      </c>
      <c r="I753" s="14">
        <f>79.6199 * CHOOSE(CONTROL!$C$9, $D$9, 100%, $F$9) + CHOOSE(CONTROL!$C$27, 0.0021, 0)</f>
        <v>79.622</v>
      </c>
      <c r="J753" s="14">
        <f>79.6199 * CHOOSE(CONTROL!$C$9, $D$9, 100%, $F$9) + CHOOSE(CONTROL!$C$27, 0.0021, 0)</f>
        <v>79.622</v>
      </c>
      <c r="K753" s="14">
        <f>79.6199 * CHOOSE(CONTROL!$C$9, $D$9, 100%, $F$9) + CHOOSE(CONTROL!$C$27, 0.0021, 0)</f>
        <v>79.622</v>
      </c>
      <c r="L753" s="14"/>
    </row>
    <row r="754" spans="1:12" ht="15.75" x14ac:dyDescent="0.25">
      <c r="A754" s="32">
        <v>63888</v>
      </c>
      <c r="B754" s="14">
        <f>79.4981 * CHOOSE(CONTROL!$C$9, $D$9, 100%, $F$9) + CHOOSE(CONTROL!$C$27, 0.0021, 0)</f>
        <v>79.500199999999992</v>
      </c>
      <c r="C754" s="14">
        <f>79.0658 * CHOOSE(CONTROL!$C$9, $D$9, 100%, $F$9) + CHOOSE(CONTROL!$C$27, 0.0021, 0)</f>
        <v>79.067899999999995</v>
      </c>
      <c r="D754" s="14">
        <f>79.0658 * CHOOSE(CONTROL!$C$9, $D$9, 100%, $F$9) + CHOOSE(CONTROL!$C$27, 0.0021, 0)</f>
        <v>79.067899999999995</v>
      </c>
      <c r="E754" s="14">
        <f>78.9292 * CHOOSE(CONTROL!$C$9, $D$9, 100%, $F$9) + CHOOSE(CONTROL!$C$27, 0.0021, 0)</f>
        <v>78.931299999999993</v>
      </c>
      <c r="F754" s="14">
        <f>78.9292 * CHOOSE(CONTROL!$C$9, $D$9, 100%, $F$9) + CHOOSE(CONTROL!$C$27, 0.0021, 0)</f>
        <v>78.931299999999993</v>
      </c>
      <c r="G754" s="14">
        <f>79.2006 * CHOOSE(CONTROL!$C$9, $D$9, 100%, $F$9) + CHOOSE(CONTROL!$C$27, 0.0021, 0)</f>
        <v>79.202699999999993</v>
      </c>
      <c r="H754" s="14">
        <f>79.0658 * CHOOSE(CONTROL!$C$9, $D$9, 100%, $F$9) + CHOOSE(CONTROL!$C$27, 0.0021, 0)</f>
        <v>79.067899999999995</v>
      </c>
      <c r="I754" s="14">
        <f>79.0658 * CHOOSE(CONTROL!$C$9, $D$9, 100%, $F$9) + CHOOSE(CONTROL!$C$27, 0.0021, 0)</f>
        <v>79.067899999999995</v>
      </c>
      <c r="J754" s="14">
        <f>79.0658 * CHOOSE(CONTROL!$C$9, $D$9, 100%, $F$9) + CHOOSE(CONTROL!$C$27, 0.0021, 0)</f>
        <v>79.067899999999995</v>
      </c>
      <c r="K754" s="14">
        <f>79.0658 * CHOOSE(CONTROL!$C$9, $D$9, 100%, $F$9) + CHOOSE(CONTROL!$C$27, 0.0021, 0)</f>
        <v>79.067899999999995</v>
      </c>
      <c r="L754" s="14"/>
    </row>
    <row r="755" spans="1:12" ht="15.75" x14ac:dyDescent="0.25">
      <c r="A755" s="32">
        <v>63919</v>
      </c>
      <c r="B755" s="14">
        <f>77.207 * CHOOSE(CONTROL!$C$9, $D$9, 100%, $F$9) + CHOOSE(CONTROL!$C$27, 0.0021, 0)</f>
        <v>77.209099999999992</v>
      </c>
      <c r="C755" s="14">
        <f>76.7748 * CHOOSE(CONTROL!$C$9, $D$9, 100%, $F$9) + CHOOSE(CONTROL!$C$27, 0.0021, 0)</f>
        <v>76.776899999999998</v>
      </c>
      <c r="D755" s="14">
        <f>76.7748 * CHOOSE(CONTROL!$C$9, $D$9, 100%, $F$9) + CHOOSE(CONTROL!$C$27, 0.0021, 0)</f>
        <v>76.776899999999998</v>
      </c>
      <c r="E755" s="14">
        <f>76.6381 * CHOOSE(CONTROL!$C$9, $D$9, 100%, $F$9) + CHOOSE(CONTROL!$C$27, 0.0021, 0)</f>
        <v>76.640199999999993</v>
      </c>
      <c r="F755" s="14">
        <f>76.6381 * CHOOSE(CONTROL!$C$9, $D$9, 100%, $F$9) + CHOOSE(CONTROL!$C$27, 0.0021, 0)</f>
        <v>76.640199999999993</v>
      </c>
      <c r="G755" s="14">
        <f>76.9095 * CHOOSE(CONTROL!$C$9, $D$9, 100%, $F$9) + CHOOSE(CONTROL!$C$27, 0.0021, 0)</f>
        <v>76.911599999999993</v>
      </c>
      <c r="H755" s="14">
        <f>76.7748 * CHOOSE(CONTROL!$C$9, $D$9, 100%, $F$9) + CHOOSE(CONTROL!$C$27, 0.0021, 0)</f>
        <v>76.776899999999998</v>
      </c>
      <c r="I755" s="14">
        <f>76.7748 * CHOOSE(CONTROL!$C$9, $D$9, 100%, $F$9) + CHOOSE(CONTROL!$C$27, 0.0021, 0)</f>
        <v>76.776899999999998</v>
      </c>
      <c r="J755" s="14">
        <f>76.7748 * CHOOSE(CONTROL!$C$9, $D$9, 100%, $F$9) + CHOOSE(CONTROL!$C$27, 0.0021, 0)</f>
        <v>76.776899999999998</v>
      </c>
      <c r="K755" s="14">
        <f>76.7748 * CHOOSE(CONTROL!$C$9, $D$9, 100%, $F$9) + CHOOSE(CONTROL!$C$27, 0.0021, 0)</f>
        <v>76.776899999999998</v>
      </c>
      <c r="L755" s="14"/>
    </row>
    <row r="756" spans="1:12" ht="15.75" x14ac:dyDescent="0.25">
      <c r="A756" s="32">
        <v>63950</v>
      </c>
      <c r="B756" s="14">
        <f>76.7609 * CHOOSE(CONTROL!$C$9, $D$9, 100%, $F$9) + CHOOSE(CONTROL!$C$27, 0.0021, 0)</f>
        <v>76.763000000000005</v>
      </c>
      <c r="C756" s="14">
        <f>76.3287 * CHOOSE(CONTROL!$C$9, $D$9, 100%, $F$9) + CHOOSE(CONTROL!$C$27, 0.0021, 0)</f>
        <v>76.330799999999996</v>
      </c>
      <c r="D756" s="14">
        <f>76.3287 * CHOOSE(CONTROL!$C$9, $D$9, 100%, $F$9) + CHOOSE(CONTROL!$C$27, 0.0021, 0)</f>
        <v>76.330799999999996</v>
      </c>
      <c r="E756" s="14">
        <f>76.192 * CHOOSE(CONTROL!$C$9, $D$9, 100%, $F$9) + CHOOSE(CONTROL!$C$27, 0.0021, 0)</f>
        <v>76.194099999999992</v>
      </c>
      <c r="F756" s="14">
        <f>76.192 * CHOOSE(CONTROL!$C$9, $D$9, 100%, $F$9) + CHOOSE(CONTROL!$C$27, 0.0021, 0)</f>
        <v>76.194099999999992</v>
      </c>
      <c r="G756" s="14">
        <f>76.4634 * CHOOSE(CONTROL!$C$9, $D$9, 100%, $F$9) + CHOOSE(CONTROL!$C$27, 0.0021, 0)</f>
        <v>76.465499999999992</v>
      </c>
      <c r="H756" s="14">
        <f>76.3287 * CHOOSE(CONTROL!$C$9, $D$9, 100%, $F$9) + CHOOSE(CONTROL!$C$27, 0.0021, 0)</f>
        <v>76.330799999999996</v>
      </c>
      <c r="I756" s="14">
        <f>76.3287 * CHOOSE(CONTROL!$C$9, $D$9, 100%, $F$9) + CHOOSE(CONTROL!$C$27, 0.0021, 0)</f>
        <v>76.330799999999996</v>
      </c>
      <c r="J756" s="14">
        <f>76.3287 * CHOOSE(CONTROL!$C$9, $D$9, 100%, $F$9) + CHOOSE(CONTROL!$C$27, 0.0021, 0)</f>
        <v>76.330799999999996</v>
      </c>
      <c r="K756" s="14">
        <f>76.3287 * CHOOSE(CONTROL!$C$9, $D$9, 100%, $F$9) + CHOOSE(CONTROL!$C$27, 0.0021, 0)</f>
        <v>76.330799999999996</v>
      </c>
      <c r="L756" s="14"/>
    </row>
    <row r="757" spans="1:12" ht="15.75" x14ac:dyDescent="0.25">
      <c r="A757" s="32">
        <v>63978</v>
      </c>
      <c r="B757" s="14">
        <f>76.5539 * CHOOSE(CONTROL!$C$9, $D$9, 100%, $F$9) + CHOOSE(CONTROL!$C$27, 0.0021, 0)</f>
        <v>76.555999999999997</v>
      </c>
      <c r="C757" s="14">
        <f>76.1217 * CHOOSE(CONTROL!$C$9, $D$9, 100%, $F$9) + CHOOSE(CONTROL!$C$27, 0.0021, 0)</f>
        <v>76.123800000000003</v>
      </c>
      <c r="D757" s="14">
        <f>76.1217 * CHOOSE(CONTROL!$C$9, $D$9, 100%, $F$9) + CHOOSE(CONTROL!$C$27, 0.0021, 0)</f>
        <v>76.123800000000003</v>
      </c>
      <c r="E757" s="14">
        <f>75.985 * CHOOSE(CONTROL!$C$9, $D$9, 100%, $F$9) + CHOOSE(CONTROL!$C$27, 0.0021, 0)</f>
        <v>75.987099999999998</v>
      </c>
      <c r="F757" s="14">
        <f>75.985 * CHOOSE(CONTROL!$C$9, $D$9, 100%, $F$9) + CHOOSE(CONTROL!$C$27, 0.0021, 0)</f>
        <v>75.987099999999998</v>
      </c>
      <c r="G757" s="14">
        <f>76.2564 * CHOOSE(CONTROL!$C$9, $D$9, 100%, $F$9) + CHOOSE(CONTROL!$C$27, 0.0021, 0)</f>
        <v>76.258499999999998</v>
      </c>
      <c r="H757" s="14">
        <f>76.1217 * CHOOSE(CONTROL!$C$9, $D$9, 100%, $F$9) + CHOOSE(CONTROL!$C$27, 0.0021, 0)</f>
        <v>76.123800000000003</v>
      </c>
      <c r="I757" s="14">
        <f>76.1217 * CHOOSE(CONTROL!$C$9, $D$9, 100%, $F$9) + CHOOSE(CONTROL!$C$27, 0.0021, 0)</f>
        <v>76.123800000000003</v>
      </c>
      <c r="J757" s="14">
        <f>76.1217 * CHOOSE(CONTROL!$C$9, $D$9, 100%, $F$9) + CHOOSE(CONTROL!$C$27, 0.0021, 0)</f>
        <v>76.123800000000003</v>
      </c>
      <c r="K757" s="14">
        <f>76.1217 * CHOOSE(CONTROL!$C$9, $D$9, 100%, $F$9) + CHOOSE(CONTROL!$C$27, 0.0021, 0)</f>
        <v>76.123800000000003</v>
      </c>
      <c r="L757" s="14"/>
    </row>
    <row r="758" spans="1:12" ht="15.75" x14ac:dyDescent="0.25">
      <c r="A758" s="32">
        <v>64009</v>
      </c>
      <c r="B758" s="14">
        <f>80.468 * CHOOSE(CONTROL!$C$9, $D$9, 100%, $F$9) + CHOOSE(CONTROL!$C$27, 0.0021, 0)</f>
        <v>80.470100000000002</v>
      </c>
      <c r="C758" s="14">
        <f>80.0357 * CHOOSE(CONTROL!$C$9, $D$9, 100%, $F$9) + CHOOSE(CONTROL!$C$27, 0.0021, 0)</f>
        <v>80.037800000000004</v>
      </c>
      <c r="D758" s="14">
        <f>80.0357 * CHOOSE(CONTROL!$C$9, $D$9, 100%, $F$9) + CHOOSE(CONTROL!$C$27, 0.0021, 0)</f>
        <v>80.037800000000004</v>
      </c>
      <c r="E758" s="14">
        <f>79.8991 * CHOOSE(CONTROL!$C$9, $D$9, 100%, $F$9) + CHOOSE(CONTROL!$C$27, 0.0021, 0)</f>
        <v>79.901200000000003</v>
      </c>
      <c r="F758" s="14">
        <f>79.8991 * CHOOSE(CONTROL!$C$9, $D$9, 100%, $F$9) + CHOOSE(CONTROL!$C$27, 0.0021, 0)</f>
        <v>79.901200000000003</v>
      </c>
      <c r="G758" s="14">
        <f>80.1704 * CHOOSE(CONTROL!$C$9, $D$9, 100%, $F$9) + CHOOSE(CONTROL!$C$27, 0.0021, 0)</f>
        <v>80.172499999999999</v>
      </c>
      <c r="H758" s="14">
        <f>80.0357 * CHOOSE(CONTROL!$C$9, $D$9, 100%, $F$9) + CHOOSE(CONTROL!$C$27, 0.0021, 0)</f>
        <v>80.037800000000004</v>
      </c>
      <c r="I758" s="14">
        <f>80.0357 * CHOOSE(CONTROL!$C$9, $D$9, 100%, $F$9) + CHOOSE(CONTROL!$C$27, 0.0021, 0)</f>
        <v>80.037800000000004</v>
      </c>
      <c r="J758" s="14">
        <f>80.0357 * CHOOSE(CONTROL!$C$9, $D$9, 100%, $F$9) + CHOOSE(CONTROL!$C$27, 0.0021, 0)</f>
        <v>80.037800000000004</v>
      </c>
      <c r="K758" s="14">
        <f>80.0357 * CHOOSE(CONTROL!$C$9, $D$9, 100%, $F$9) + CHOOSE(CONTROL!$C$27, 0.0021, 0)</f>
        <v>80.037800000000004</v>
      </c>
      <c r="L758" s="14"/>
    </row>
    <row r="759" spans="1:12" ht="15.75" x14ac:dyDescent="0.25">
      <c r="A759" s="32">
        <v>64039</v>
      </c>
      <c r="B759" s="14">
        <f>85.5435 * CHOOSE(CONTROL!$C$9, $D$9, 100%, $F$9) + CHOOSE(CONTROL!$C$27, 0.0021, 0)</f>
        <v>85.545599999999993</v>
      </c>
      <c r="C759" s="14">
        <f>85.1113 * CHOOSE(CONTROL!$C$9, $D$9, 100%, $F$9) + CHOOSE(CONTROL!$C$27, 0.0021, 0)</f>
        <v>85.113399999999999</v>
      </c>
      <c r="D759" s="14">
        <f>85.1113 * CHOOSE(CONTROL!$C$9, $D$9, 100%, $F$9) + CHOOSE(CONTROL!$C$27, 0.0021, 0)</f>
        <v>85.113399999999999</v>
      </c>
      <c r="E759" s="14">
        <f>84.9746 * CHOOSE(CONTROL!$C$9, $D$9, 100%, $F$9) + CHOOSE(CONTROL!$C$27, 0.0021, 0)</f>
        <v>84.976699999999994</v>
      </c>
      <c r="F759" s="14">
        <f>84.9746 * CHOOSE(CONTROL!$C$9, $D$9, 100%, $F$9) + CHOOSE(CONTROL!$C$27, 0.0021, 0)</f>
        <v>84.976699999999994</v>
      </c>
      <c r="G759" s="14">
        <f>85.246 * CHOOSE(CONTROL!$C$9, $D$9, 100%, $F$9) + CHOOSE(CONTROL!$C$27, 0.0021, 0)</f>
        <v>85.248099999999994</v>
      </c>
      <c r="H759" s="14">
        <f>85.1113 * CHOOSE(CONTROL!$C$9, $D$9, 100%, $F$9) + CHOOSE(CONTROL!$C$27, 0.0021, 0)</f>
        <v>85.113399999999999</v>
      </c>
      <c r="I759" s="14">
        <f>85.1113 * CHOOSE(CONTROL!$C$9, $D$9, 100%, $F$9) + CHOOSE(CONTROL!$C$27, 0.0021, 0)</f>
        <v>85.113399999999999</v>
      </c>
      <c r="J759" s="14">
        <f>85.1113 * CHOOSE(CONTROL!$C$9, $D$9, 100%, $F$9) + CHOOSE(CONTROL!$C$27, 0.0021, 0)</f>
        <v>85.113399999999999</v>
      </c>
      <c r="K759" s="14">
        <f>85.1113 * CHOOSE(CONTROL!$C$9, $D$9, 100%, $F$9) + CHOOSE(CONTROL!$C$27, 0.0021, 0)</f>
        <v>85.113399999999999</v>
      </c>
      <c r="L759" s="14"/>
    </row>
    <row r="760" spans="1:12" ht="15.75" x14ac:dyDescent="0.25">
      <c r="A760" s="32">
        <v>64070</v>
      </c>
      <c r="B760" s="14">
        <f>88.3373 * CHOOSE(CONTROL!$C$9, $D$9, 100%, $F$9) + CHOOSE(CONTROL!$C$27, 0.0021, 0)</f>
        <v>88.339399999999998</v>
      </c>
      <c r="C760" s="14">
        <f>87.905 * CHOOSE(CONTROL!$C$9, $D$9, 100%, $F$9) + CHOOSE(CONTROL!$C$27, 0.0021, 0)</f>
        <v>87.9071</v>
      </c>
      <c r="D760" s="14">
        <f>87.905 * CHOOSE(CONTROL!$C$9, $D$9, 100%, $F$9) + CHOOSE(CONTROL!$C$27, 0.0021, 0)</f>
        <v>87.9071</v>
      </c>
      <c r="E760" s="14">
        <f>87.7683 * CHOOSE(CONTROL!$C$9, $D$9, 100%, $F$9) + CHOOSE(CONTROL!$C$27, 0.0021, 0)</f>
        <v>87.770399999999995</v>
      </c>
      <c r="F760" s="14">
        <f>87.7683 * CHOOSE(CONTROL!$C$9, $D$9, 100%, $F$9) + CHOOSE(CONTROL!$C$27, 0.0021, 0)</f>
        <v>87.770399999999995</v>
      </c>
      <c r="G760" s="14">
        <f>88.0397 * CHOOSE(CONTROL!$C$9, $D$9, 100%, $F$9) + CHOOSE(CONTROL!$C$27, 0.0021, 0)</f>
        <v>88.041799999999995</v>
      </c>
      <c r="H760" s="14">
        <f>87.905 * CHOOSE(CONTROL!$C$9, $D$9, 100%, $F$9) + CHOOSE(CONTROL!$C$27, 0.0021, 0)</f>
        <v>87.9071</v>
      </c>
      <c r="I760" s="14">
        <f>87.905 * CHOOSE(CONTROL!$C$9, $D$9, 100%, $F$9) + CHOOSE(CONTROL!$C$27, 0.0021, 0)</f>
        <v>87.9071</v>
      </c>
      <c r="J760" s="14">
        <f>87.905 * CHOOSE(CONTROL!$C$9, $D$9, 100%, $F$9) + CHOOSE(CONTROL!$C$27, 0.0021, 0)</f>
        <v>87.9071</v>
      </c>
      <c r="K760" s="14">
        <f>87.905 * CHOOSE(CONTROL!$C$9, $D$9, 100%, $F$9) + CHOOSE(CONTROL!$C$27, 0.0021, 0)</f>
        <v>87.9071</v>
      </c>
      <c r="L760" s="14"/>
    </row>
    <row r="761" spans="1:12" ht="15.75" x14ac:dyDescent="0.25">
      <c r="A761" s="32">
        <v>64100</v>
      </c>
      <c r="B761" s="14">
        <f>89.5771 * CHOOSE(CONTROL!$C$9, $D$9, 100%, $F$9) + CHOOSE(CONTROL!$C$27, 0.0021, 0)</f>
        <v>89.5792</v>
      </c>
      <c r="C761" s="14">
        <f>89.1448 * CHOOSE(CONTROL!$C$9, $D$9, 100%, $F$9) + CHOOSE(CONTROL!$C$27, 0.0021, 0)</f>
        <v>89.146900000000002</v>
      </c>
      <c r="D761" s="14">
        <f>89.1448 * CHOOSE(CONTROL!$C$9, $D$9, 100%, $F$9) + CHOOSE(CONTROL!$C$27, 0.0021, 0)</f>
        <v>89.146900000000002</v>
      </c>
      <c r="E761" s="14">
        <f>89.0082 * CHOOSE(CONTROL!$C$9, $D$9, 100%, $F$9) + CHOOSE(CONTROL!$C$27, 0.0021, 0)</f>
        <v>89.010300000000001</v>
      </c>
      <c r="F761" s="14">
        <f>89.0082 * CHOOSE(CONTROL!$C$9, $D$9, 100%, $F$9) + CHOOSE(CONTROL!$C$27, 0.0021, 0)</f>
        <v>89.010300000000001</v>
      </c>
      <c r="G761" s="14">
        <f>89.2795 * CHOOSE(CONTROL!$C$9, $D$9, 100%, $F$9) + CHOOSE(CONTROL!$C$27, 0.0021, 0)</f>
        <v>89.281599999999997</v>
      </c>
      <c r="H761" s="14">
        <f>89.1448 * CHOOSE(CONTROL!$C$9, $D$9, 100%, $F$9) + CHOOSE(CONTROL!$C$27, 0.0021, 0)</f>
        <v>89.146900000000002</v>
      </c>
      <c r="I761" s="14">
        <f>89.1448 * CHOOSE(CONTROL!$C$9, $D$9, 100%, $F$9) + CHOOSE(CONTROL!$C$27, 0.0021, 0)</f>
        <v>89.146900000000002</v>
      </c>
      <c r="J761" s="14">
        <f>89.1448 * CHOOSE(CONTROL!$C$9, $D$9, 100%, $F$9) + CHOOSE(CONTROL!$C$27, 0.0021, 0)</f>
        <v>89.146900000000002</v>
      </c>
      <c r="K761" s="14">
        <f>89.1448 * CHOOSE(CONTROL!$C$9, $D$9, 100%, $F$9) + CHOOSE(CONTROL!$C$27, 0.0021, 0)</f>
        <v>89.146900000000002</v>
      </c>
      <c r="L761" s="14"/>
    </row>
    <row r="762" spans="1:12" ht="15.75" x14ac:dyDescent="0.25">
      <c r="A762" s="32">
        <v>64131</v>
      </c>
      <c r="B762" s="14">
        <f>89.1689 * CHOOSE(CONTROL!$C$9, $D$9, 100%, $F$9) + CHOOSE(CONTROL!$C$27, 0.0021, 0)</f>
        <v>89.170999999999992</v>
      </c>
      <c r="C762" s="14">
        <f>88.7366 * CHOOSE(CONTROL!$C$9, $D$9, 100%, $F$9) + CHOOSE(CONTROL!$C$27, 0.0021, 0)</f>
        <v>88.738699999999994</v>
      </c>
      <c r="D762" s="14">
        <f>88.7366 * CHOOSE(CONTROL!$C$9, $D$9, 100%, $F$9) + CHOOSE(CONTROL!$C$27, 0.0021, 0)</f>
        <v>88.738699999999994</v>
      </c>
      <c r="E762" s="14">
        <f>88.6 * CHOOSE(CONTROL!$C$9, $D$9, 100%, $F$9) + CHOOSE(CONTROL!$C$27, 0.0021, 0)</f>
        <v>88.602099999999993</v>
      </c>
      <c r="F762" s="14">
        <f>88.6 * CHOOSE(CONTROL!$C$9, $D$9, 100%, $F$9) + CHOOSE(CONTROL!$C$27, 0.0021, 0)</f>
        <v>88.602099999999993</v>
      </c>
      <c r="G762" s="14">
        <f>88.8713 * CHOOSE(CONTROL!$C$9, $D$9, 100%, $F$9) + CHOOSE(CONTROL!$C$27, 0.0021, 0)</f>
        <v>88.873400000000004</v>
      </c>
      <c r="H762" s="14">
        <f>88.7366 * CHOOSE(CONTROL!$C$9, $D$9, 100%, $F$9) + CHOOSE(CONTROL!$C$27, 0.0021, 0)</f>
        <v>88.738699999999994</v>
      </c>
      <c r="I762" s="14">
        <f>88.7366 * CHOOSE(CONTROL!$C$9, $D$9, 100%, $F$9) + CHOOSE(CONTROL!$C$27, 0.0021, 0)</f>
        <v>88.738699999999994</v>
      </c>
      <c r="J762" s="14">
        <f>88.7366 * CHOOSE(CONTROL!$C$9, $D$9, 100%, $F$9) + CHOOSE(CONTROL!$C$27, 0.0021, 0)</f>
        <v>88.738699999999994</v>
      </c>
      <c r="K762" s="14">
        <f>88.7366 * CHOOSE(CONTROL!$C$9, $D$9, 100%, $F$9) + CHOOSE(CONTROL!$C$27, 0.0021, 0)</f>
        <v>88.738699999999994</v>
      </c>
      <c r="L762" s="14"/>
    </row>
    <row r="763" spans="1:12" ht="15.75" x14ac:dyDescent="0.25">
      <c r="A763" s="32">
        <v>64162</v>
      </c>
      <c r="B763" s="14">
        <f>87.1464 * CHOOSE(CONTROL!$C$9, $D$9, 100%, $F$9) + CHOOSE(CONTROL!$C$27, 0.0021, 0)</f>
        <v>87.148499999999999</v>
      </c>
      <c r="C763" s="14">
        <f>86.7142 * CHOOSE(CONTROL!$C$9, $D$9, 100%, $F$9) + CHOOSE(CONTROL!$C$27, 0.0021, 0)</f>
        <v>86.716300000000004</v>
      </c>
      <c r="D763" s="14">
        <f>86.7142 * CHOOSE(CONTROL!$C$9, $D$9, 100%, $F$9) + CHOOSE(CONTROL!$C$27, 0.0021, 0)</f>
        <v>86.716300000000004</v>
      </c>
      <c r="E763" s="14">
        <f>86.5775 * CHOOSE(CONTROL!$C$9, $D$9, 100%, $F$9) + CHOOSE(CONTROL!$C$27, 0.0021, 0)</f>
        <v>86.579599999999999</v>
      </c>
      <c r="F763" s="14">
        <f>86.5775 * CHOOSE(CONTROL!$C$9, $D$9, 100%, $F$9) + CHOOSE(CONTROL!$C$27, 0.0021, 0)</f>
        <v>86.579599999999999</v>
      </c>
      <c r="G763" s="14">
        <f>86.8489 * CHOOSE(CONTROL!$C$9, $D$9, 100%, $F$9) + CHOOSE(CONTROL!$C$27, 0.0021, 0)</f>
        <v>86.850999999999999</v>
      </c>
      <c r="H763" s="14">
        <f>86.7142 * CHOOSE(CONTROL!$C$9, $D$9, 100%, $F$9) + CHOOSE(CONTROL!$C$27, 0.0021, 0)</f>
        <v>86.716300000000004</v>
      </c>
      <c r="I763" s="14">
        <f>86.7142 * CHOOSE(CONTROL!$C$9, $D$9, 100%, $F$9) + CHOOSE(CONTROL!$C$27, 0.0021, 0)</f>
        <v>86.716300000000004</v>
      </c>
      <c r="J763" s="14">
        <f>86.7142 * CHOOSE(CONTROL!$C$9, $D$9, 100%, $F$9) + CHOOSE(CONTROL!$C$27, 0.0021, 0)</f>
        <v>86.716300000000004</v>
      </c>
      <c r="K763" s="14">
        <f>86.7142 * CHOOSE(CONTROL!$C$9, $D$9, 100%, $F$9) + CHOOSE(CONTROL!$C$27, 0.0021, 0)</f>
        <v>86.716300000000004</v>
      </c>
      <c r="L763" s="14"/>
    </row>
    <row r="764" spans="1:12" ht="15.75" x14ac:dyDescent="0.25">
      <c r="A764" s="32">
        <v>64192</v>
      </c>
      <c r="B764" s="14">
        <f>84.326 * CHOOSE(CONTROL!$C$9, $D$9, 100%, $F$9) + CHOOSE(CONTROL!$C$27, 0.0021, 0)</f>
        <v>84.328099999999992</v>
      </c>
      <c r="C764" s="14">
        <f>83.8938 * CHOOSE(CONTROL!$C$9, $D$9, 100%, $F$9) + CHOOSE(CONTROL!$C$27, 0.0021, 0)</f>
        <v>83.895899999999997</v>
      </c>
      <c r="D764" s="14">
        <f>83.8938 * CHOOSE(CONTROL!$C$9, $D$9, 100%, $F$9) + CHOOSE(CONTROL!$C$27, 0.0021, 0)</f>
        <v>83.895899999999997</v>
      </c>
      <c r="E764" s="14">
        <f>83.7571 * CHOOSE(CONTROL!$C$9, $D$9, 100%, $F$9) + CHOOSE(CONTROL!$C$27, 0.0021, 0)</f>
        <v>83.759199999999993</v>
      </c>
      <c r="F764" s="14">
        <f>83.7571 * CHOOSE(CONTROL!$C$9, $D$9, 100%, $F$9) + CHOOSE(CONTROL!$C$27, 0.0021, 0)</f>
        <v>83.759199999999993</v>
      </c>
      <c r="G764" s="14">
        <f>84.0285 * CHOOSE(CONTROL!$C$9, $D$9, 100%, $F$9) + CHOOSE(CONTROL!$C$27, 0.0021, 0)</f>
        <v>84.030599999999993</v>
      </c>
      <c r="H764" s="14">
        <f>83.8938 * CHOOSE(CONTROL!$C$9, $D$9, 100%, $F$9) + CHOOSE(CONTROL!$C$27, 0.0021, 0)</f>
        <v>83.895899999999997</v>
      </c>
      <c r="I764" s="14">
        <f>83.8938 * CHOOSE(CONTROL!$C$9, $D$9, 100%, $F$9) + CHOOSE(CONTROL!$C$27, 0.0021, 0)</f>
        <v>83.895899999999997</v>
      </c>
      <c r="J764" s="14">
        <f>83.8938 * CHOOSE(CONTROL!$C$9, $D$9, 100%, $F$9) + CHOOSE(CONTROL!$C$27, 0.0021, 0)</f>
        <v>83.895899999999997</v>
      </c>
      <c r="K764" s="14">
        <f>83.8938 * CHOOSE(CONTROL!$C$9, $D$9, 100%, $F$9) + CHOOSE(CONTROL!$C$27, 0.0021, 0)</f>
        <v>83.895899999999997</v>
      </c>
      <c r="L764" s="14"/>
    </row>
    <row r="765" spans="1:12" ht="15.75" x14ac:dyDescent="0.25">
      <c r="A765" s="32">
        <v>64223</v>
      </c>
      <c r="B765" s="14">
        <f>81.4892 * CHOOSE(CONTROL!$C$9, $D$9, 100%, $F$9) + CHOOSE(CONTROL!$C$27, 0.0021, 0)</f>
        <v>81.491299999999995</v>
      </c>
      <c r="C765" s="14">
        <f>81.057 * CHOOSE(CONTROL!$C$9, $D$9, 100%, $F$9) + CHOOSE(CONTROL!$C$27, 0.0021, 0)</f>
        <v>81.059100000000001</v>
      </c>
      <c r="D765" s="14">
        <f>81.057 * CHOOSE(CONTROL!$C$9, $D$9, 100%, $F$9) + CHOOSE(CONTROL!$C$27, 0.0021, 0)</f>
        <v>81.059100000000001</v>
      </c>
      <c r="E765" s="14">
        <f>80.9203 * CHOOSE(CONTROL!$C$9, $D$9, 100%, $F$9) + CHOOSE(CONTROL!$C$27, 0.0021, 0)</f>
        <v>80.922399999999996</v>
      </c>
      <c r="F765" s="14">
        <f>80.9203 * CHOOSE(CONTROL!$C$9, $D$9, 100%, $F$9) + CHOOSE(CONTROL!$C$27, 0.0021, 0)</f>
        <v>80.922399999999996</v>
      </c>
      <c r="G765" s="14">
        <f>81.1917 * CHOOSE(CONTROL!$C$9, $D$9, 100%, $F$9) + CHOOSE(CONTROL!$C$27, 0.0021, 0)</f>
        <v>81.193799999999996</v>
      </c>
      <c r="H765" s="14">
        <f>81.057 * CHOOSE(CONTROL!$C$9, $D$9, 100%, $F$9) + CHOOSE(CONTROL!$C$27, 0.0021, 0)</f>
        <v>81.059100000000001</v>
      </c>
      <c r="I765" s="14">
        <f>81.057 * CHOOSE(CONTROL!$C$9, $D$9, 100%, $F$9) + CHOOSE(CONTROL!$C$27, 0.0021, 0)</f>
        <v>81.059100000000001</v>
      </c>
      <c r="J765" s="14">
        <f>81.057 * CHOOSE(CONTROL!$C$9, $D$9, 100%, $F$9) + CHOOSE(CONTROL!$C$27, 0.0021, 0)</f>
        <v>81.059100000000001</v>
      </c>
      <c r="K765" s="14">
        <f>81.057 * CHOOSE(CONTROL!$C$9, $D$9, 100%, $F$9) + CHOOSE(CONTROL!$C$27, 0.0021, 0)</f>
        <v>81.059100000000001</v>
      </c>
      <c r="L765" s="14"/>
    </row>
    <row r="766" spans="1:12" ht="15.75" x14ac:dyDescent="0.25">
      <c r="A766" s="32">
        <v>64253</v>
      </c>
      <c r="B766" s="14">
        <f>80.9249 * CHOOSE(CONTROL!$C$9, $D$9, 100%, $F$9) + CHOOSE(CONTROL!$C$27, 0.0021, 0)</f>
        <v>80.926999999999992</v>
      </c>
      <c r="C766" s="14">
        <f>80.4927 * CHOOSE(CONTROL!$C$9, $D$9, 100%, $F$9) + CHOOSE(CONTROL!$C$27, 0.0021, 0)</f>
        <v>80.494799999999998</v>
      </c>
      <c r="D766" s="14">
        <f>80.4927 * CHOOSE(CONTROL!$C$9, $D$9, 100%, $F$9) + CHOOSE(CONTROL!$C$27, 0.0021, 0)</f>
        <v>80.494799999999998</v>
      </c>
      <c r="E766" s="14">
        <f>80.356 * CHOOSE(CONTROL!$C$9, $D$9, 100%, $F$9) + CHOOSE(CONTROL!$C$27, 0.0021, 0)</f>
        <v>80.358099999999993</v>
      </c>
      <c r="F766" s="14">
        <f>80.356 * CHOOSE(CONTROL!$C$9, $D$9, 100%, $F$9) + CHOOSE(CONTROL!$C$27, 0.0021, 0)</f>
        <v>80.358099999999993</v>
      </c>
      <c r="G766" s="14">
        <f>80.6274 * CHOOSE(CONTROL!$C$9, $D$9, 100%, $F$9) + CHOOSE(CONTROL!$C$27, 0.0021, 0)</f>
        <v>80.629499999999993</v>
      </c>
      <c r="H766" s="14">
        <f>80.4927 * CHOOSE(CONTROL!$C$9, $D$9, 100%, $F$9) + CHOOSE(CONTROL!$C$27, 0.0021, 0)</f>
        <v>80.494799999999998</v>
      </c>
      <c r="I766" s="14">
        <f>80.4927 * CHOOSE(CONTROL!$C$9, $D$9, 100%, $F$9) + CHOOSE(CONTROL!$C$27, 0.0021, 0)</f>
        <v>80.494799999999998</v>
      </c>
      <c r="J766" s="14">
        <f>80.4927 * CHOOSE(CONTROL!$C$9, $D$9, 100%, $F$9) + CHOOSE(CONTROL!$C$27, 0.0021, 0)</f>
        <v>80.494799999999998</v>
      </c>
      <c r="K766" s="14">
        <f>80.4927 * CHOOSE(CONTROL!$C$9, $D$9, 100%, $F$9) + CHOOSE(CONTROL!$C$27, 0.0021, 0)</f>
        <v>80.494799999999998</v>
      </c>
      <c r="L766" s="14"/>
    </row>
    <row r="767" spans="1:12" ht="15.75" x14ac:dyDescent="0.25">
      <c r="A767" s="32">
        <v>64284</v>
      </c>
      <c r="B767" s="14">
        <f>78.5915 * CHOOSE(CONTROL!$C$9, $D$9, 100%, $F$9) + CHOOSE(CONTROL!$C$27, 0.0021, 0)</f>
        <v>78.593599999999995</v>
      </c>
      <c r="C767" s="14">
        <f>78.1592 * CHOOSE(CONTROL!$C$9, $D$9, 100%, $F$9) + CHOOSE(CONTROL!$C$27, 0.0021, 0)</f>
        <v>78.161299999999997</v>
      </c>
      <c r="D767" s="14">
        <f>78.1592 * CHOOSE(CONTROL!$C$9, $D$9, 100%, $F$9) + CHOOSE(CONTROL!$C$27, 0.0021, 0)</f>
        <v>78.161299999999997</v>
      </c>
      <c r="E767" s="14">
        <f>78.0226 * CHOOSE(CONTROL!$C$9, $D$9, 100%, $F$9) + CHOOSE(CONTROL!$C$27, 0.0021, 0)</f>
        <v>78.024699999999996</v>
      </c>
      <c r="F767" s="14">
        <f>78.0226 * CHOOSE(CONTROL!$C$9, $D$9, 100%, $F$9) + CHOOSE(CONTROL!$C$27, 0.0021, 0)</f>
        <v>78.024699999999996</v>
      </c>
      <c r="G767" s="14">
        <f>78.2939 * CHOOSE(CONTROL!$C$9, $D$9, 100%, $F$9) + CHOOSE(CONTROL!$C$27, 0.0021, 0)</f>
        <v>78.295999999999992</v>
      </c>
      <c r="H767" s="14">
        <f>78.1592 * CHOOSE(CONTROL!$C$9, $D$9, 100%, $F$9) + CHOOSE(CONTROL!$C$27, 0.0021, 0)</f>
        <v>78.161299999999997</v>
      </c>
      <c r="I767" s="14">
        <f>78.1592 * CHOOSE(CONTROL!$C$9, $D$9, 100%, $F$9) + CHOOSE(CONTROL!$C$27, 0.0021, 0)</f>
        <v>78.161299999999997</v>
      </c>
      <c r="J767" s="14">
        <f>78.1592 * CHOOSE(CONTROL!$C$9, $D$9, 100%, $F$9) + CHOOSE(CONTROL!$C$27, 0.0021, 0)</f>
        <v>78.161299999999997</v>
      </c>
      <c r="K767" s="14">
        <f>78.1592 * CHOOSE(CONTROL!$C$9, $D$9, 100%, $F$9) + CHOOSE(CONTROL!$C$27, 0.0021, 0)</f>
        <v>78.161299999999997</v>
      </c>
      <c r="L767" s="14"/>
    </row>
    <row r="768" spans="1:12" ht="15.75" x14ac:dyDescent="0.25">
      <c r="A768" s="32">
        <v>64315</v>
      </c>
      <c r="B768" s="14">
        <f>78.1372 * CHOOSE(CONTROL!$C$9, $D$9, 100%, $F$9) + CHOOSE(CONTROL!$C$27, 0.0021, 0)</f>
        <v>78.139300000000006</v>
      </c>
      <c r="C768" s="14">
        <f>77.7049 * CHOOSE(CONTROL!$C$9, $D$9, 100%, $F$9) + CHOOSE(CONTROL!$C$27, 0.0021, 0)</f>
        <v>77.706999999999994</v>
      </c>
      <c r="D768" s="14">
        <f>77.7049 * CHOOSE(CONTROL!$C$9, $D$9, 100%, $F$9) + CHOOSE(CONTROL!$C$27, 0.0021, 0)</f>
        <v>77.706999999999994</v>
      </c>
      <c r="E768" s="14">
        <f>77.5683 * CHOOSE(CONTROL!$C$9, $D$9, 100%, $F$9) + CHOOSE(CONTROL!$C$27, 0.0021, 0)</f>
        <v>77.570399999999992</v>
      </c>
      <c r="F768" s="14">
        <f>77.5683 * CHOOSE(CONTROL!$C$9, $D$9, 100%, $F$9) + CHOOSE(CONTROL!$C$27, 0.0021, 0)</f>
        <v>77.570399999999992</v>
      </c>
      <c r="G768" s="14">
        <f>77.8397 * CHOOSE(CONTROL!$C$9, $D$9, 100%, $F$9) + CHOOSE(CONTROL!$C$27, 0.0021, 0)</f>
        <v>77.841799999999992</v>
      </c>
      <c r="H768" s="14">
        <f>77.7049 * CHOOSE(CONTROL!$C$9, $D$9, 100%, $F$9) + CHOOSE(CONTROL!$C$27, 0.0021, 0)</f>
        <v>77.706999999999994</v>
      </c>
      <c r="I768" s="14">
        <f>77.7049 * CHOOSE(CONTROL!$C$9, $D$9, 100%, $F$9) + CHOOSE(CONTROL!$C$27, 0.0021, 0)</f>
        <v>77.706999999999994</v>
      </c>
      <c r="J768" s="14">
        <f>77.7049 * CHOOSE(CONTROL!$C$9, $D$9, 100%, $F$9) + CHOOSE(CONTROL!$C$27, 0.0021, 0)</f>
        <v>77.706999999999994</v>
      </c>
      <c r="K768" s="14">
        <f>77.7049 * CHOOSE(CONTROL!$C$9, $D$9, 100%, $F$9) + CHOOSE(CONTROL!$C$27, 0.0021, 0)</f>
        <v>77.706999999999994</v>
      </c>
      <c r="L768" s="14"/>
    </row>
    <row r="769" spans="1:12" ht="15.75" x14ac:dyDescent="0.25">
      <c r="A769" s="32">
        <v>64344</v>
      </c>
      <c r="B769" s="14">
        <f>77.9264 * CHOOSE(CONTROL!$C$9, $D$9, 100%, $F$9) + CHOOSE(CONTROL!$C$27, 0.0021, 0)</f>
        <v>77.9285</v>
      </c>
      <c r="C769" s="14">
        <f>77.4941 * CHOOSE(CONTROL!$C$9, $D$9, 100%, $F$9) + CHOOSE(CONTROL!$C$27, 0.0021, 0)</f>
        <v>77.496200000000002</v>
      </c>
      <c r="D769" s="14">
        <f>77.4941 * CHOOSE(CONTROL!$C$9, $D$9, 100%, $F$9) + CHOOSE(CONTROL!$C$27, 0.0021, 0)</f>
        <v>77.496200000000002</v>
      </c>
      <c r="E769" s="14">
        <f>77.3575 * CHOOSE(CONTROL!$C$9, $D$9, 100%, $F$9) + CHOOSE(CONTROL!$C$27, 0.0021, 0)</f>
        <v>77.3596</v>
      </c>
      <c r="F769" s="14">
        <f>77.3575 * CHOOSE(CONTROL!$C$9, $D$9, 100%, $F$9) + CHOOSE(CONTROL!$C$27, 0.0021, 0)</f>
        <v>77.3596</v>
      </c>
      <c r="G769" s="14">
        <f>77.6288 * CHOOSE(CONTROL!$C$9, $D$9, 100%, $F$9) + CHOOSE(CONTROL!$C$27, 0.0021, 0)</f>
        <v>77.630899999999997</v>
      </c>
      <c r="H769" s="14">
        <f>77.4941 * CHOOSE(CONTROL!$C$9, $D$9, 100%, $F$9) + CHOOSE(CONTROL!$C$27, 0.0021, 0)</f>
        <v>77.496200000000002</v>
      </c>
      <c r="I769" s="14">
        <f>77.4941 * CHOOSE(CONTROL!$C$9, $D$9, 100%, $F$9) + CHOOSE(CONTROL!$C$27, 0.0021, 0)</f>
        <v>77.496200000000002</v>
      </c>
      <c r="J769" s="14">
        <f>77.4941 * CHOOSE(CONTROL!$C$9, $D$9, 100%, $F$9) + CHOOSE(CONTROL!$C$27, 0.0021, 0)</f>
        <v>77.496200000000002</v>
      </c>
      <c r="K769" s="14">
        <f>77.4941 * CHOOSE(CONTROL!$C$9, $D$9, 100%, $F$9) + CHOOSE(CONTROL!$C$27, 0.0021, 0)</f>
        <v>77.496200000000002</v>
      </c>
      <c r="L769" s="14"/>
    </row>
    <row r="770" spans="1:12" ht="15.75" x14ac:dyDescent="0.25">
      <c r="A770" s="32">
        <v>64375</v>
      </c>
      <c r="B770" s="14">
        <f>81.9127 * CHOOSE(CONTROL!$C$9, $D$9, 100%, $F$9) + CHOOSE(CONTROL!$C$27, 0.0021, 0)</f>
        <v>81.9148</v>
      </c>
      <c r="C770" s="14">
        <f>81.4805 * CHOOSE(CONTROL!$C$9, $D$9, 100%, $F$9) + CHOOSE(CONTROL!$C$27, 0.0021, 0)</f>
        <v>81.482600000000005</v>
      </c>
      <c r="D770" s="14">
        <f>81.4805 * CHOOSE(CONTROL!$C$9, $D$9, 100%, $F$9) + CHOOSE(CONTROL!$C$27, 0.0021, 0)</f>
        <v>81.482600000000005</v>
      </c>
      <c r="E770" s="14">
        <f>81.3438 * CHOOSE(CONTROL!$C$9, $D$9, 100%, $F$9) + CHOOSE(CONTROL!$C$27, 0.0021, 0)</f>
        <v>81.3459</v>
      </c>
      <c r="F770" s="14">
        <f>81.3438 * CHOOSE(CONTROL!$C$9, $D$9, 100%, $F$9) + CHOOSE(CONTROL!$C$27, 0.0021, 0)</f>
        <v>81.3459</v>
      </c>
      <c r="G770" s="14">
        <f>81.6152 * CHOOSE(CONTROL!$C$9, $D$9, 100%, $F$9) + CHOOSE(CONTROL!$C$27, 0.0021, 0)</f>
        <v>81.6173</v>
      </c>
      <c r="H770" s="14">
        <f>81.4805 * CHOOSE(CONTROL!$C$9, $D$9, 100%, $F$9) + CHOOSE(CONTROL!$C$27, 0.0021, 0)</f>
        <v>81.482600000000005</v>
      </c>
      <c r="I770" s="14">
        <f>81.4805 * CHOOSE(CONTROL!$C$9, $D$9, 100%, $F$9) + CHOOSE(CONTROL!$C$27, 0.0021, 0)</f>
        <v>81.482600000000005</v>
      </c>
      <c r="J770" s="14">
        <f>81.4805 * CHOOSE(CONTROL!$C$9, $D$9, 100%, $F$9) + CHOOSE(CONTROL!$C$27, 0.0021, 0)</f>
        <v>81.482600000000005</v>
      </c>
      <c r="K770" s="14">
        <f>81.4805 * CHOOSE(CONTROL!$C$9, $D$9, 100%, $F$9) + CHOOSE(CONTROL!$C$27, 0.0021, 0)</f>
        <v>81.482600000000005</v>
      </c>
      <c r="L770" s="14"/>
    </row>
    <row r="771" spans="1:12" ht="15.75" x14ac:dyDescent="0.25">
      <c r="A771" s="32">
        <v>64405</v>
      </c>
      <c r="B771" s="14">
        <f>87.0821 * CHOOSE(CONTROL!$C$9, $D$9, 100%, $F$9) + CHOOSE(CONTROL!$C$27, 0.0021, 0)</f>
        <v>87.084199999999996</v>
      </c>
      <c r="C771" s="14">
        <f>86.6498 * CHOOSE(CONTROL!$C$9, $D$9, 100%, $F$9) + CHOOSE(CONTROL!$C$27, 0.0021, 0)</f>
        <v>86.651899999999998</v>
      </c>
      <c r="D771" s="14">
        <f>86.6498 * CHOOSE(CONTROL!$C$9, $D$9, 100%, $F$9) + CHOOSE(CONTROL!$C$27, 0.0021, 0)</f>
        <v>86.651899999999998</v>
      </c>
      <c r="E771" s="14">
        <f>86.5131 * CHOOSE(CONTROL!$C$9, $D$9, 100%, $F$9) + CHOOSE(CONTROL!$C$27, 0.0021, 0)</f>
        <v>86.515199999999993</v>
      </c>
      <c r="F771" s="14">
        <f>86.5131 * CHOOSE(CONTROL!$C$9, $D$9, 100%, $F$9) + CHOOSE(CONTROL!$C$27, 0.0021, 0)</f>
        <v>86.515199999999993</v>
      </c>
      <c r="G771" s="14">
        <f>86.7845 * CHOOSE(CONTROL!$C$9, $D$9, 100%, $F$9) + CHOOSE(CONTROL!$C$27, 0.0021, 0)</f>
        <v>86.786599999999993</v>
      </c>
      <c r="H771" s="14">
        <f>86.6498 * CHOOSE(CONTROL!$C$9, $D$9, 100%, $F$9) + CHOOSE(CONTROL!$C$27, 0.0021, 0)</f>
        <v>86.651899999999998</v>
      </c>
      <c r="I771" s="14">
        <f>86.6498 * CHOOSE(CONTROL!$C$9, $D$9, 100%, $F$9) + CHOOSE(CONTROL!$C$27, 0.0021, 0)</f>
        <v>86.651899999999998</v>
      </c>
      <c r="J771" s="14">
        <f>86.6498 * CHOOSE(CONTROL!$C$9, $D$9, 100%, $F$9) + CHOOSE(CONTROL!$C$27, 0.0021, 0)</f>
        <v>86.651899999999998</v>
      </c>
      <c r="K771" s="14">
        <f>86.6498 * CHOOSE(CONTROL!$C$9, $D$9, 100%, $F$9) + CHOOSE(CONTROL!$C$27, 0.0021, 0)</f>
        <v>86.651899999999998</v>
      </c>
      <c r="L771" s="14"/>
    </row>
    <row r="772" spans="1:12" ht="15.75" x14ac:dyDescent="0.25">
      <c r="A772" s="32">
        <v>64436</v>
      </c>
      <c r="B772" s="14">
        <f>89.9274 * CHOOSE(CONTROL!$C$9, $D$9, 100%, $F$9) + CHOOSE(CONTROL!$C$27, 0.0021, 0)</f>
        <v>89.929500000000004</v>
      </c>
      <c r="C772" s="14">
        <f>89.4952 * CHOOSE(CONTROL!$C$9, $D$9, 100%, $F$9) + CHOOSE(CONTROL!$C$27, 0.0021, 0)</f>
        <v>89.497299999999996</v>
      </c>
      <c r="D772" s="14">
        <f>89.4952 * CHOOSE(CONTROL!$C$9, $D$9, 100%, $F$9) + CHOOSE(CONTROL!$C$27, 0.0021, 0)</f>
        <v>89.497299999999996</v>
      </c>
      <c r="E772" s="14">
        <f>89.3585 * CHOOSE(CONTROL!$C$9, $D$9, 100%, $F$9) + CHOOSE(CONTROL!$C$27, 0.0021, 0)</f>
        <v>89.360600000000005</v>
      </c>
      <c r="F772" s="14">
        <f>89.3585 * CHOOSE(CONTROL!$C$9, $D$9, 100%, $F$9) + CHOOSE(CONTROL!$C$27, 0.0021, 0)</f>
        <v>89.360600000000005</v>
      </c>
      <c r="G772" s="14">
        <f>89.6299 * CHOOSE(CONTROL!$C$9, $D$9, 100%, $F$9) + CHOOSE(CONTROL!$C$27, 0.0021, 0)</f>
        <v>89.632000000000005</v>
      </c>
      <c r="H772" s="14">
        <f>89.4952 * CHOOSE(CONTROL!$C$9, $D$9, 100%, $F$9) + CHOOSE(CONTROL!$C$27, 0.0021, 0)</f>
        <v>89.497299999999996</v>
      </c>
      <c r="I772" s="14">
        <f>89.4952 * CHOOSE(CONTROL!$C$9, $D$9, 100%, $F$9) + CHOOSE(CONTROL!$C$27, 0.0021, 0)</f>
        <v>89.497299999999996</v>
      </c>
      <c r="J772" s="14">
        <f>89.4952 * CHOOSE(CONTROL!$C$9, $D$9, 100%, $F$9) + CHOOSE(CONTROL!$C$27, 0.0021, 0)</f>
        <v>89.497299999999996</v>
      </c>
      <c r="K772" s="14">
        <f>89.4952 * CHOOSE(CONTROL!$C$9, $D$9, 100%, $F$9) + CHOOSE(CONTROL!$C$27, 0.0021, 0)</f>
        <v>89.497299999999996</v>
      </c>
      <c r="L772" s="14"/>
    </row>
    <row r="773" spans="1:12" ht="15.75" x14ac:dyDescent="0.25">
      <c r="A773" s="32">
        <v>64466</v>
      </c>
      <c r="B773" s="14">
        <f>91.1902 * CHOOSE(CONTROL!$C$9, $D$9, 100%, $F$9) + CHOOSE(CONTROL!$C$27, 0.0021, 0)</f>
        <v>91.192300000000003</v>
      </c>
      <c r="C773" s="14">
        <f>90.7579 * CHOOSE(CONTROL!$C$9, $D$9, 100%, $F$9) + CHOOSE(CONTROL!$C$27, 0.0021, 0)</f>
        <v>90.76</v>
      </c>
      <c r="D773" s="14">
        <f>90.7579 * CHOOSE(CONTROL!$C$9, $D$9, 100%, $F$9) + CHOOSE(CONTROL!$C$27, 0.0021, 0)</f>
        <v>90.76</v>
      </c>
      <c r="E773" s="14">
        <f>90.6212 * CHOOSE(CONTROL!$C$9, $D$9, 100%, $F$9) + CHOOSE(CONTROL!$C$27, 0.0021, 0)</f>
        <v>90.6233</v>
      </c>
      <c r="F773" s="14">
        <f>90.6212 * CHOOSE(CONTROL!$C$9, $D$9, 100%, $F$9) + CHOOSE(CONTROL!$C$27, 0.0021, 0)</f>
        <v>90.6233</v>
      </c>
      <c r="G773" s="14">
        <f>90.8926 * CHOOSE(CONTROL!$C$9, $D$9, 100%, $F$9) + CHOOSE(CONTROL!$C$27, 0.0021, 0)</f>
        <v>90.8947</v>
      </c>
      <c r="H773" s="14">
        <f>90.7579 * CHOOSE(CONTROL!$C$9, $D$9, 100%, $F$9) + CHOOSE(CONTROL!$C$27, 0.0021, 0)</f>
        <v>90.76</v>
      </c>
      <c r="I773" s="14">
        <f>90.7579 * CHOOSE(CONTROL!$C$9, $D$9, 100%, $F$9) + CHOOSE(CONTROL!$C$27, 0.0021, 0)</f>
        <v>90.76</v>
      </c>
      <c r="J773" s="14">
        <f>90.7579 * CHOOSE(CONTROL!$C$9, $D$9, 100%, $F$9) + CHOOSE(CONTROL!$C$27, 0.0021, 0)</f>
        <v>90.76</v>
      </c>
      <c r="K773" s="14">
        <f>90.7579 * CHOOSE(CONTROL!$C$9, $D$9, 100%, $F$9) + CHOOSE(CONTROL!$C$27, 0.0021, 0)</f>
        <v>90.76</v>
      </c>
      <c r="L773" s="14"/>
    </row>
    <row r="774" spans="1:12" ht="15.75" x14ac:dyDescent="0.25">
      <c r="A774" s="32">
        <v>64497</v>
      </c>
      <c r="B774" s="14">
        <f>90.7744 * CHOOSE(CONTROL!$C$9, $D$9, 100%, $F$9) + CHOOSE(CONTROL!$C$27, 0.0021, 0)</f>
        <v>90.776499999999999</v>
      </c>
      <c r="C774" s="14">
        <f>90.3422 * CHOOSE(CONTROL!$C$9, $D$9, 100%, $F$9) + CHOOSE(CONTROL!$C$27, 0.0021, 0)</f>
        <v>90.344300000000004</v>
      </c>
      <c r="D774" s="14">
        <f>90.3422 * CHOOSE(CONTROL!$C$9, $D$9, 100%, $F$9) + CHOOSE(CONTROL!$C$27, 0.0021, 0)</f>
        <v>90.344300000000004</v>
      </c>
      <c r="E774" s="14">
        <f>90.2055 * CHOOSE(CONTROL!$C$9, $D$9, 100%, $F$9) + CHOOSE(CONTROL!$C$27, 0.0021, 0)</f>
        <v>90.207599999999999</v>
      </c>
      <c r="F774" s="14">
        <f>90.2055 * CHOOSE(CONTROL!$C$9, $D$9, 100%, $F$9) + CHOOSE(CONTROL!$C$27, 0.0021, 0)</f>
        <v>90.207599999999999</v>
      </c>
      <c r="G774" s="14">
        <f>90.4769 * CHOOSE(CONTROL!$C$9, $D$9, 100%, $F$9) + CHOOSE(CONTROL!$C$27, 0.0021, 0)</f>
        <v>90.478999999999999</v>
      </c>
      <c r="H774" s="14">
        <f>90.3422 * CHOOSE(CONTROL!$C$9, $D$9, 100%, $F$9) + CHOOSE(CONTROL!$C$27, 0.0021, 0)</f>
        <v>90.344300000000004</v>
      </c>
      <c r="I774" s="14">
        <f>90.3422 * CHOOSE(CONTROL!$C$9, $D$9, 100%, $F$9) + CHOOSE(CONTROL!$C$27, 0.0021, 0)</f>
        <v>90.344300000000004</v>
      </c>
      <c r="J774" s="14">
        <f>90.3422 * CHOOSE(CONTROL!$C$9, $D$9, 100%, $F$9) + CHOOSE(CONTROL!$C$27, 0.0021, 0)</f>
        <v>90.344300000000004</v>
      </c>
      <c r="K774" s="14">
        <f>90.3422 * CHOOSE(CONTROL!$C$9, $D$9, 100%, $F$9) + CHOOSE(CONTROL!$C$27, 0.0021, 0)</f>
        <v>90.344300000000004</v>
      </c>
      <c r="L774" s="14"/>
    </row>
    <row r="775" spans="1:12" ht="15.75" x14ac:dyDescent="0.25">
      <c r="A775" s="32">
        <v>64528</v>
      </c>
      <c r="B775" s="14">
        <f>88.7146 * CHOOSE(CONTROL!$C$9, $D$9, 100%, $F$9) + CHOOSE(CONTROL!$C$27, 0.0021, 0)</f>
        <v>88.716700000000003</v>
      </c>
      <c r="C775" s="14">
        <f>88.2823 * CHOOSE(CONTROL!$C$9, $D$9, 100%, $F$9) + CHOOSE(CONTROL!$C$27, 0.0021, 0)</f>
        <v>88.284400000000005</v>
      </c>
      <c r="D775" s="14">
        <f>88.2823 * CHOOSE(CONTROL!$C$9, $D$9, 100%, $F$9) + CHOOSE(CONTROL!$C$27, 0.0021, 0)</f>
        <v>88.284400000000005</v>
      </c>
      <c r="E775" s="14">
        <f>88.1457 * CHOOSE(CONTROL!$C$9, $D$9, 100%, $F$9) + CHOOSE(CONTROL!$C$27, 0.0021, 0)</f>
        <v>88.147800000000004</v>
      </c>
      <c r="F775" s="14">
        <f>88.1457 * CHOOSE(CONTROL!$C$9, $D$9, 100%, $F$9) + CHOOSE(CONTROL!$C$27, 0.0021, 0)</f>
        <v>88.147800000000004</v>
      </c>
      <c r="G775" s="14">
        <f>88.417 * CHOOSE(CONTROL!$C$9, $D$9, 100%, $F$9) + CHOOSE(CONTROL!$C$27, 0.0021, 0)</f>
        <v>88.4191</v>
      </c>
      <c r="H775" s="14">
        <f>88.2823 * CHOOSE(CONTROL!$C$9, $D$9, 100%, $F$9) + CHOOSE(CONTROL!$C$27, 0.0021, 0)</f>
        <v>88.284400000000005</v>
      </c>
      <c r="I775" s="14">
        <f>88.2823 * CHOOSE(CONTROL!$C$9, $D$9, 100%, $F$9) + CHOOSE(CONTROL!$C$27, 0.0021, 0)</f>
        <v>88.284400000000005</v>
      </c>
      <c r="J775" s="14">
        <f>88.2823 * CHOOSE(CONTROL!$C$9, $D$9, 100%, $F$9) + CHOOSE(CONTROL!$C$27, 0.0021, 0)</f>
        <v>88.284400000000005</v>
      </c>
      <c r="K775" s="14">
        <f>88.2823 * CHOOSE(CONTROL!$C$9, $D$9, 100%, $F$9) + CHOOSE(CONTROL!$C$27, 0.0021, 0)</f>
        <v>88.284400000000005</v>
      </c>
      <c r="L775" s="14"/>
    </row>
    <row r="776" spans="1:12" ht="15.75" x14ac:dyDescent="0.25">
      <c r="A776" s="32">
        <v>64558</v>
      </c>
      <c r="B776" s="14">
        <f>85.8421 * CHOOSE(CONTROL!$C$9, $D$9, 100%, $F$9) + CHOOSE(CONTROL!$C$27, 0.0021, 0)</f>
        <v>85.844200000000001</v>
      </c>
      <c r="C776" s="14">
        <f>85.4098 * CHOOSE(CONTROL!$C$9, $D$9, 100%, $F$9) + CHOOSE(CONTROL!$C$27, 0.0021, 0)</f>
        <v>85.411900000000003</v>
      </c>
      <c r="D776" s="14">
        <f>85.4098 * CHOOSE(CONTROL!$C$9, $D$9, 100%, $F$9) + CHOOSE(CONTROL!$C$27, 0.0021, 0)</f>
        <v>85.411900000000003</v>
      </c>
      <c r="E776" s="14">
        <f>85.2731 * CHOOSE(CONTROL!$C$9, $D$9, 100%, $F$9) + CHOOSE(CONTROL!$C$27, 0.0021, 0)</f>
        <v>85.275199999999998</v>
      </c>
      <c r="F776" s="14">
        <f>85.2731 * CHOOSE(CONTROL!$C$9, $D$9, 100%, $F$9) + CHOOSE(CONTROL!$C$27, 0.0021, 0)</f>
        <v>85.275199999999998</v>
      </c>
      <c r="G776" s="14">
        <f>85.5445 * CHOOSE(CONTROL!$C$9, $D$9, 100%, $F$9) + CHOOSE(CONTROL!$C$27, 0.0021, 0)</f>
        <v>85.546599999999998</v>
      </c>
      <c r="H776" s="14">
        <f>85.4098 * CHOOSE(CONTROL!$C$9, $D$9, 100%, $F$9) + CHOOSE(CONTROL!$C$27, 0.0021, 0)</f>
        <v>85.411900000000003</v>
      </c>
      <c r="I776" s="14">
        <f>85.4098 * CHOOSE(CONTROL!$C$9, $D$9, 100%, $F$9) + CHOOSE(CONTROL!$C$27, 0.0021, 0)</f>
        <v>85.411900000000003</v>
      </c>
      <c r="J776" s="14">
        <f>85.4098 * CHOOSE(CONTROL!$C$9, $D$9, 100%, $F$9) + CHOOSE(CONTROL!$C$27, 0.0021, 0)</f>
        <v>85.411900000000003</v>
      </c>
      <c r="K776" s="14">
        <f>85.4098 * CHOOSE(CONTROL!$C$9, $D$9, 100%, $F$9) + CHOOSE(CONTROL!$C$27, 0.0021, 0)</f>
        <v>85.411900000000003</v>
      </c>
      <c r="L776" s="14"/>
    </row>
    <row r="777" spans="1:12" ht="15.75" x14ac:dyDescent="0.25">
      <c r="A777" s="32">
        <v>64589</v>
      </c>
      <c r="B777" s="14">
        <f>82.9528 * CHOOSE(CONTROL!$C$9, $D$9, 100%, $F$9) + CHOOSE(CONTROL!$C$27, 0.0021, 0)</f>
        <v>82.954899999999995</v>
      </c>
      <c r="C777" s="14">
        <f>82.5206 * CHOOSE(CONTROL!$C$9, $D$9, 100%, $F$9) + CHOOSE(CONTROL!$C$27, 0.0021, 0)</f>
        <v>82.5227</v>
      </c>
      <c r="D777" s="14">
        <f>82.5206 * CHOOSE(CONTROL!$C$9, $D$9, 100%, $F$9) + CHOOSE(CONTROL!$C$27, 0.0021, 0)</f>
        <v>82.5227</v>
      </c>
      <c r="E777" s="14">
        <f>82.3839 * CHOOSE(CONTROL!$C$9, $D$9, 100%, $F$9) + CHOOSE(CONTROL!$C$27, 0.0021, 0)</f>
        <v>82.385999999999996</v>
      </c>
      <c r="F777" s="14">
        <f>82.3839 * CHOOSE(CONTROL!$C$9, $D$9, 100%, $F$9) + CHOOSE(CONTROL!$C$27, 0.0021, 0)</f>
        <v>82.385999999999996</v>
      </c>
      <c r="G777" s="14">
        <f>82.6553 * CHOOSE(CONTROL!$C$9, $D$9, 100%, $F$9) + CHOOSE(CONTROL!$C$27, 0.0021, 0)</f>
        <v>82.657399999999996</v>
      </c>
      <c r="H777" s="14">
        <f>82.5206 * CHOOSE(CONTROL!$C$9, $D$9, 100%, $F$9) + CHOOSE(CONTROL!$C$27, 0.0021, 0)</f>
        <v>82.5227</v>
      </c>
      <c r="I777" s="14">
        <f>82.5206 * CHOOSE(CONTROL!$C$9, $D$9, 100%, $F$9) + CHOOSE(CONTROL!$C$27, 0.0021, 0)</f>
        <v>82.5227</v>
      </c>
      <c r="J777" s="14">
        <f>82.5206 * CHOOSE(CONTROL!$C$9, $D$9, 100%, $F$9) + CHOOSE(CONTROL!$C$27, 0.0021, 0)</f>
        <v>82.5227</v>
      </c>
      <c r="K777" s="14">
        <f>82.5206 * CHOOSE(CONTROL!$C$9, $D$9, 100%, $F$9) + CHOOSE(CONTROL!$C$27, 0.0021, 0)</f>
        <v>82.5227</v>
      </c>
      <c r="L777" s="14"/>
    </row>
    <row r="778" spans="1:12" ht="15.75" x14ac:dyDescent="0.25">
      <c r="A778" s="32">
        <v>64619</v>
      </c>
      <c r="B778" s="14">
        <f>82.3781 * CHOOSE(CONTROL!$C$9, $D$9, 100%, $F$9) + CHOOSE(CONTROL!$C$27, 0.0021, 0)</f>
        <v>82.380200000000002</v>
      </c>
      <c r="C778" s="14">
        <f>81.9458 * CHOOSE(CONTROL!$C$9, $D$9, 100%, $F$9) + CHOOSE(CONTROL!$C$27, 0.0021, 0)</f>
        <v>81.947900000000004</v>
      </c>
      <c r="D778" s="14">
        <f>81.9458 * CHOOSE(CONTROL!$C$9, $D$9, 100%, $F$9) + CHOOSE(CONTROL!$C$27, 0.0021, 0)</f>
        <v>81.947900000000004</v>
      </c>
      <c r="E778" s="14">
        <f>81.8092 * CHOOSE(CONTROL!$C$9, $D$9, 100%, $F$9) + CHOOSE(CONTROL!$C$27, 0.0021, 0)</f>
        <v>81.811300000000003</v>
      </c>
      <c r="F778" s="14">
        <f>81.8092 * CHOOSE(CONTROL!$C$9, $D$9, 100%, $F$9) + CHOOSE(CONTROL!$C$27, 0.0021, 0)</f>
        <v>81.811300000000003</v>
      </c>
      <c r="G778" s="14">
        <f>82.0806 * CHOOSE(CONTROL!$C$9, $D$9, 100%, $F$9) + CHOOSE(CONTROL!$C$27, 0.0021, 0)</f>
        <v>82.082700000000003</v>
      </c>
      <c r="H778" s="14">
        <f>81.9458 * CHOOSE(CONTROL!$C$9, $D$9, 100%, $F$9) + CHOOSE(CONTROL!$C$27, 0.0021, 0)</f>
        <v>81.947900000000004</v>
      </c>
      <c r="I778" s="14">
        <f>81.9458 * CHOOSE(CONTROL!$C$9, $D$9, 100%, $F$9) + CHOOSE(CONTROL!$C$27, 0.0021, 0)</f>
        <v>81.947900000000004</v>
      </c>
      <c r="J778" s="14">
        <f>81.9458 * CHOOSE(CONTROL!$C$9, $D$9, 100%, $F$9) + CHOOSE(CONTROL!$C$27, 0.0021, 0)</f>
        <v>81.947900000000004</v>
      </c>
      <c r="K778" s="14">
        <f>81.9458 * CHOOSE(CONTROL!$C$9, $D$9, 100%, $F$9) + CHOOSE(CONTROL!$C$27, 0.0021, 0)</f>
        <v>81.947900000000004</v>
      </c>
      <c r="L778" s="14"/>
    </row>
    <row r="779" spans="1:12" ht="15.75" x14ac:dyDescent="0.25">
      <c r="A779" s="32">
        <v>64650</v>
      </c>
      <c r="B779" s="14">
        <f>80.0015 * CHOOSE(CONTROL!$C$9, $D$9, 100%, $F$9) + CHOOSE(CONTROL!$C$27, 0.0021, 0)</f>
        <v>80.003599999999992</v>
      </c>
      <c r="C779" s="14">
        <f>79.5693 * CHOOSE(CONTROL!$C$9, $D$9, 100%, $F$9) + CHOOSE(CONTROL!$C$27, 0.0021, 0)</f>
        <v>79.571399999999997</v>
      </c>
      <c r="D779" s="14">
        <f>79.5693 * CHOOSE(CONTROL!$C$9, $D$9, 100%, $F$9) + CHOOSE(CONTROL!$C$27, 0.0021, 0)</f>
        <v>79.571399999999997</v>
      </c>
      <c r="E779" s="14">
        <f>79.4326 * CHOOSE(CONTROL!$C$9, $D$9, 100%, $F$9) + CHOOSE(CONTROL!$C$27, 0.0021, 0)</f>
        <v>79.434699999999992</v>
      </c>
      <c r="F779" s="14">
        <f>79.4326 * CHOOSE(CONTROL!$C$9, $D$9, 100%, $F$9) + CHOOSE(CONTROL!$C$27, 0.0021, 0)</f>
        <v>79.434699999999992</v>
      </c>
      <c r="G779" s="14">
        <f>79.704 * CHOOSE(CONTROL!$C$9, $D$9, 100%, $F$9) + CHOOSE(CONTROL!$C$27, 0.0021, 0)</f>
        <v>79.706099999999992</v>
      </c>
      <c r="H779" s="14">
        <f>79.5693 * CHOOSE(CONTROL!$C$9, $D$9, 100%, $F$9) + CHOOSE(CONTROL!$C$27, 0.0021, 0)</f>
        <v>79.571399999999997</v>
      </c>
      <c r="I779" s="14">
        <f>79.5693 * CHOOSE(CONTROL!$C$9, $D$9, 100%, $F$9) + CHOOSE(CONTROL!$C$27, 0.0021, 0)</f>
        <v>79.571399999999997</v>
      </c>
      <c r="J779" s="14">
        <f>79.5693 * CHOOSE(CONTROL!$C$9, $D$9, 100%, $F$9) + CHOOSE(CONTROL!$C$27, 0.0021, 0)</f>
        <v>79.571399999999997</v>
      </c>
      <c r="K779" s="14">
        <f>79.5693 * CHOOSE(CONTROL!$C$9, $D$9, 100%, $F$9) + CHOOSE(CONTROL!$C$27, 0.0021, 0)</f>
        <v>79.571399999999997</v>
      </c>
      <c r="L779" s="14"/>
    </row>
    <row r="780" spans="1:12" ht="15.75" x14ac:dyDescent="0.25">
      <c r="A780" s="32">
        <v>64681</v>
      </c>
      <c r="B780" s="14">
        <f>79.5389 * CHOOSE(CONTROL!$C$9, $D$9, 100%, $F$9) + CHOOSE(CONTROL!$C$27, 0.0021, 0)</f>
        <v>79.540999999999997</v>
      </c>
      <c r="C780" s="14">
        <f>79.1066 * CHOOSE(CONTROL!$C$9, $D$9, 100%, $F$9) + CHOOSE(CONTROL!$C$27, 0.0021, 0)</f>
        <v>79.108699999999999</v>
      </c>
      <c r="D780" s="14">
        <f>79.1066 * CHOOSE(CONTROL!$C$9, $D$9, 100%, $F$9) + CHOOSE(CONTROL!$C$27, 0.0021, 0)</f>
        <v>79.108699999999999</v>
      </c>
      <c r="E780" s="14">
        <f>78.9699 * CHOOSE(CONTROL!$C$9, $D$9, 100%, $F$9) + CHOOSE(CONTROL!$C$27, 0.0021, 0)</f>
        <v>78.971999999999994</v>
      </c>
      <c r="F780" s="14">
        <f>78.9699 * CHOOSE(CONTROL!$C$9, $D$9, 100%, $F$9) + CHOOSE(CONTROL!$C$27, 0.0021, 0)</f>
        <v>78.971999999999994</v>
      </c>
      <c r="G780" s="14">
        <f>79.2413 * CHOOSE(CONTROL!$C$9, $D$9, 100%, $F$9) + CHOOSE(CONTROL!$C$27, 0.0021, 0)</f>
        <v>79.243399999999994</v>
      </c>
      <c r="H780" s="14">
        <f>79.1066 * CHOOSE(CONTROL!$C$9, $D$9, 100%, $F$9) + CHOOSE(CONTROL!$C$27, 0.0021, 0)</f>
        <v>79.108699999999999</v>
      </c>
      <c r="I780" s="14">
        <f>79.1066 * CHOOSE(CONTROL!$C$9, $D$9, 100%, $F$9) + CHOOSE(CONTROL!$C$27, 0.0021, 0)</f>
        <v>79.108699999999999</v>
      </c>
      <c r="J780" s="14">
        <f>79.1066 * CHOOSE(CONTROL!$C$9, $D$9, 100%, $F$9) + CHOOSE(CONTROL!$C$27, 0.0021, 0)</f>
        <v>79.108699999999999</v>
      </c>
      <c r="K780" s="14">
        <f>79.1066 * CHOOSE(CONTROL!$C$9, $D$9, 100%, $F$9) + CHOOSE(CONTROL!$C$27, 0.0021, 0)</f>
        <v>79.108699999999999</v>
      </c>
      <c r="L780" s="14"/>
    </row>
    <row r="781" spans="1:12" ht="15.75" x14ac:dyDescent="0.25">
      <c r="A781" s="32">
        <v>64709</v>
      </c>
      <c r="B781" s="14">
        <f>79.3241 * CHOOSE(CONTROL!$C$9, $D$9, 100%, $F$9) + CHOOSE(CONTROL!$C$27, 0.0021, 0)</f>
        <v>79.3262</v>
      </c>
      <c r="C781" s="14">
        <f>78.8919 * CHOOSE(CONTROL!$C$9, $D$9, 100%, $F$9) + CHOOSE(CONTROL!$C$27, 0.0021, 0)</f>
        <v>78.894000000000005</v>
      </c>
      <c r="D781" s="14">
        <f>78.8919 * CHOOSE(CONTROL!$C$9, $D$9, 100%, $F$9) + CHOOSE(CONTROL!$C$27, 0.0021, 0)</f>
        <v>78.894000000000005</v>
      </c>
      <c r="E781" s="14">
        <f>78.7552 * CHOOSE(CONTROL!$C$9, $D$9, 100%, $F$9) + CHOOSE(CONTROL!$C$27, 0.0021, 0)</f>
        <v>78.757300000000001</v>
      </c>
      <c r="F781" s="14">
        <f>78.7552 * CHOOSE(CONTROL!$C$9, $D$9, 100%, $F$9) + CHOOSE(CONTROL!$C$27, 0.0021, 0)</f>
        <v>78.757300000000001</v>
      </c>
      <c r="G781" s="14">
        <f>79.0266 * CHOOSE(CONTROL!$C$9, $D$9, 100%, $F$9) + CHOOSE(CONTROL!$C$27, 0.0021, 0)</f>
        <v>79.028700000000001</v>
      </c>
      <c r="H781" s="14">
        <f>78.8919 * CHOOSE(CONTROL!$C$9, $D$9, 100%, $F$9) + CHOOSE(CONTROL!$C$27, 0.0021, 0)</f>
        <v>78.894000000000005</v>
      </c>
      <c r="I781" s="14">
        <f>78.8919 * CHOOSE(CONTROL!$C$9, $D$9, 100%, $F$9) + CHOOSE(CONTROL!$C$27, 0.0021, 0)</f>
        <v>78.894000000000005</v>
      </c>
      <c r="J781" s="14">
        <f>78.8919 * CHOOSE(CONTROL!$C$9, $D$9, 100%, $F$9) + CHOOSE(CONTROL!$C$27, 0.0021, 0)</f>
        <v>78.894000000000005</v>
      </c>
      <c r="K781" s="14">
        <f>78.8919 * CHOOSE(CONTROL!$C$9, $D$9, 100%, $F$9) + CHOOSE(CONTROL!$C$27, 0.0021, 0)</f>
        <v>78.894000000000005</v>
      </c>
      <c r="L781" s="14"/>
    </row>
    <row r="782" spans="1:12" ht="15.75" x14ac:dyDescent="0.25">
      <c r="A782" s="32">
        <v>64740</v>
      </c>
      <c r="B782" s="14">
        <f>83.3842 * CHOOSE(CONTROL!$C$9, $D$9, 100%, $F$9) + CHOOSE(CONTROL!$C$27, 0.0021, 0)</f>
        <v>83.386300000000006</v>
      </c>
      <c r="C782" s="14">
        <f>82.9519 * CHOOSE(CONTROL!$C$9, $D$9, 100%, $F$9) + CHOOSE(CONTROL!$C$27, 0.0021, 0)</f>
        <v>82.953999999999994</v>
      </c>
      <c r="D782" s="14">
        <f>82.9519 * CHOOSE(CONTROL!$C$9, $D$9, 100%, $F$9) + CHOOSE(CONTROL!$C$27, 0.0021, 0)</f>
        <v>82.953999999999994</v>
      </c>
      <c r="E782" s="14">
        <f>82.8152 * CHOOSE(CONTROL!$C$9, $D$9, 100%, $F$9) + CHOOSE(CONTROL!$C$27, 0.0021, 0)</f>
        <v>82.817300000000003</v>
      </c>
      <c r="F782" s="14">
        <f>82.8152 * CHOOSE(CONTROL!$C$9, $D$9, 100%, $F$9) + CHOOSE(CONTROL!$C$27, 0.0021, 0)</f>
        <v>82.817300000000003</v>
      </c>
      <c r="G782" s="14">
        <f>83.0866 * CHOOSE(CONTROL!$C$9, $D$9, 100%, $F$9) + CHOOSE(CONTROL!$C$27, 0.0021, 0)</f>
        <v>83.088700000000003</v>
      </c>
      <c r="H782" s="14">
        <f>82.9519 * CHOOSE(CONTROL!$C$9, $D$9, 100%, $F$9) + CHOOSE(CONTROL!$C$27, 0.0021, 0)</f>
        <v>82.953999999999994</v>
      </c>
      <c r="I782" s="14">
        <f>82.9519 * CHOOSE(CONTROL!$C$9, $D$9, 100%, $F$9) + CHOOSE(CONTROL!$C$27, 0.0021, 0)</f>
        <v>82.953999999999994</v>
      </c>
      <c r="J782" s="14">
        <f>82.9519 * CHOOSE(CONTROL!$C$9, $D$9, 100%, $F$9) + CHOOSE(CONTROL!$C$27, 0.0021, 0)</f>
        <v>82.953999999999994</v>
      </c>
      <c r="K782" s="14">
        <f>82.9519 * CHOOSE(CONTROL!$C$9, $D$9, 100%, $F$9) + CHOOSE(CONTROL!$C$27, 0.0021, 0)</f>
        <v>82.953999999999994</v>
      </c>
      <c r="L782" s="14"/>
    </row>
    <row r="783" spans="1:12" ht="15.75" x14ac:dyDescent="0.25">
      <c r="A783" s="32">
        <v>64770</v>
      </c>
      <c r="B783" s="14">
        <f>88.649 * CHOOSE(CONTROL!$C$9, $D$9, 100%, $F$9) + CHOOSE(CONTROL!$C$27, 0.0021, 0)</f>
        <v>88.6511</v>
      </c>
      <c r="C783" s="14">
        <f>88.2168 * CHOOSE(CONTROL!$C$9, $D$9, 100%, $F$9) + CHOOSE(CONTROL!$C$27, 0.0021, 0)</f>
        <v>88.218900000000005</v>
      </c>
      <c r="D783" s="14">
        <f>88.2168 * CHOOSE(CONTROL!$C$9, $D$9, 100%, $F$9) + CHOOSE(CONTROL!$C$27, 0.0021, 0)</f>
        <v>88.218900000000005</v>
      </c>
      <c r="E783" s="14">
        <f>88.0801 * CHOOSE(CONTROL!$C$9, $D$9, 100%, $F$9) + CHOOSE(CONTROL!$C$27, 0.0021, 0)</f>
        <v>88.0822</v>
      </c>
      <c r="F783" s="14">
        <f>88.0801 * CHOOSE(CONTROL!$C$9, $D$9, 100%, $F$9) + CHOOSE(CONTROL!$C$27, 0.0021, 0)</f>
        <v>88.0822</v>
      </c>
      <c r="G783" s="14">
        <f>88.3515 * CHOOSE(CONTROL!$C$9, $D$9, 100%, $F$9) + CHOOSE(CONTROL!$C$27, 0.0021, 0)</f>
        <v>88.3536</v>
      </c>
      <c r="H783" s="14">
        <f>88.2168 * CHOOSE(CONTROL!$C$9, $D$9, 100%, $F$9) + CHOOSE(CONTROL!$C$27, 0.0021, 0)</f>
        <v>88.218900000000005</v>
      </c>
      <c r="I783" s="14">
        <f>88.2168 * CHOOSE(CONTROL!$C$9, $D$9, 100%, $F$9) + CHOOSE(CONTROL!$C$27, 0.0021, 0)</f>
        <v>88.218900000000005</v>
      </c>
      <c r="J783" s="14">
        <f>88.2168 * CHOOSE(CONTROL!$C$9, $D$9, 100%, $F$9) + CHOOSE(CONTROL!$C$27, 0.0021, 0)</f>
        <v>88.218900000000005</v>
      </c>
      <c r="K783" s="14">
        <f>88.2168 * CHOOSE(CONTROL!$C$9, $D$9, 100%, $F$9) + CHOOSE(CONTROL!$C$27, 0.0021, 0)</f>
        <v>88.218900000000005</v>
      </c>
      <c r="L783" s="14"/>
    </row>
    <row r="784" spans="1:12" ht="15.75" x14ac:dyDescent="0.25">
      <c r="A784" s="32">
        <v>64801</v>
      </c>
      <c r="B784" s="14">
        <f>91.547 * CHOOSE(CONTROL!$C$9, $D$9, 100%, $F$9) + CHOOSE(CONTROL!$C$27, 0.0021, 0)</f>
        <v>91.549099999999996</v>
      </c>
      <c r="C784" s="14">
        <f>91.1147 * CHOOSE(CONTROL!$C$9, $D$9, 100%, $F$9) + CHOOSE(CONTROL!$C$27, 0.0021, 0)</f>
        <v>91.116799999999998</v>
      </c>
      <c r="D784" s="14">
        <f>91.1147 * CHOOSE(CONTROL!$C$9, $D$9, 100%, $F$9) + CHOOSE(CONTROL!$C$27, 0.0021, 0)</f>
        <v>91.116799999999998</v>
      </c>
      <c r="E784" s="14">
        <f>90.9781 * CHOOSE(CONTROL!$C$9, $D$9, 100%, $F$9) + CHOOSE(CONTROL!$C$27, 0.0021, 0)</f>
        <v>90.980199999999996</v>
      </c>
      <c r="F784" s="14">
        <f>90.9781 * CHOOSE(CONTROL!$C$9, $D$9, 100%, $F$9) + CHOOSE(CONTROL!$C$27, 0.0021, 0)</f>
        <v>90.980199999999996</v>
      </c>
      <c r="G784" s="14">
        <f>91.2495 * CHOOSE(CONTROL!$C$9, $D$9, 100%, $F$9) + CHOOSE(CONTROL!$C$27, 0.0021, 0)</f>
        <v>91.251599999999996</v>
      </c>
      <c r="H784" s="14">
        <f>91.1147 * CHOOSE(CONTROL!$C$9, $D$9, 100%, $F$9) + CHOOSE(CONTROL!$C$27, 0.0021, 0)</f>
        <v>91.116799999999998</v>
      </c>
      <c r="I784" s="14">
        <f>91.1147 * CHOOSE(CONTROL!$C$9, $D$9, 100%, $F$9) + CHOOSE(CONTROL!$C$27, 0.0021, 0)</f>
        <v>91.116799999999998</v>
      </c>
      <c r="J784" s="14">
        <f>91.1147 * CHOOSE(CONTROL!$C$9, $D$9, 100%, $F$9) + CHOOSE(CONTROL!$C$27, 0.0021, 0)</f>
        <v>91.116799999999998</v>
      </c>
      <c r="K784" s="14">
        <f>91.1147 * CHOOSE(CONTROL!$C$9, $D$9, 100%, $F$9) + CHOOSE(CONTROL!$C$27, 0.0021, 0)</f>
        <v>91.116799999999998</v>
      </c>
      <c r="L784" s="14"/>
    </row>
    <row r="785" spans="1:12" ht="15.75" x14ac:dyDescent="0.25">
      <c r="A785" s="32">
        <v>64831</v>
      </c>
      <c r="B785" s="14">
        <f>92.8331 * CHOOSE(CONTROL!$C$9, $D$9, 100%, $F$9) + CHOOSE(CONTROL!$C$27, 0.0021, 0)</f>
        <v>92.8352</v>
      </c>
      <c r="C785" s="14">
        <f>92.4008 * CHOOSE(CONTROL!$C$9, $D$9, 100%, $F$9) + CHOOSE(CONTROL!$C$27, 0.0021, 0)</f>
        <v>92.402900000000002</v>
      </c>
      <c r="D785" s="14">
        <f>92.4008 * CHOOSE(CONTROL!$C$9, $D$9, 100%, $F$9) + CHOOSE(CONTROL!$C$27, 0.0021, 0)</f>
        <v>92.402900000000002</v>
      </c>
      <c r="E785" s="14">
        <f>92.2641 * CHOOSE(CONTROL!$C$9, $D$9, 100%, $F$9) + CHOOSE(CONTROL!$C$27, 0.0021, 0)</f>
        <v>92.266199999999998</v>
      </c>
      <c r="F785" s="14">
        <f>92.2641 * CHOOSE(CONTROL!$C$9, $D$9, 100%, $F$9) + CHOOSE(CONTROL!$C$27, 0.0021, 0)</f>
        <v>92.266199999999998</v>
      </c>
      <c r="G785" s="14">
        <f>92.5355 * CHOOSE(CONTROL!$C$9, $D$9, 100%, $F$9) + CHOOSE(CONTROL!$C$27, 0.0021, 0)</f>
        <v>92.537599999999998</v>
      </c>
      <c r="H785" s="14">
        <f>92.4008 * CHOOSE(CONTROL!$C$9, $D$9, 100%, $F$9) + CHOOSE(CONTROL!$C$27, 0.0021, 0)</f>
        <v>92.402900000000002</v>
      </c>
      <c r="I785" s="14">
        <f>92.4008 * CHOOSE(CONTROL!$C$9, $D$9, 100%, $F$9) + CHOOSE(CONTROL!$C$27, 0.0021, 0)</f>
        <v>92.402900000000002</v>
      </c>
      <c r="J785" s="14">
        <f>92.4008 * CHOOSE(CONTROL!$C$9, $D$9, 100%, $F$9) + CHOOSE(CONTROL!$C$27, 0.0021, 0)</f>
        <v>92.402900000000002</v>
      </c>
      <c r="K785" s="14">
        <f>92.4008 * CHOOSE(CONTROL!$C$9, $D$9, 100%, $F$9) + CHOOSE(CONTROL!$C$27, 0.0021, 0)</f>
        <v>92.402900000000002</v>
      </c>
      <c r="L785" s="14"/>
    </row>
    <row r="786" spans="1:12" ht="15.75" x14ac:dyDescent="0.25">
      <c r="A786" s="32">
        <v>64862</v>
      </c>
      <c r="B786" s="14">
        <f>92.4096 * CHOOSE(CONTROL!$C$9, $D$9, 100%, $F$9) + CHOOSE(CONTROL!$C$27, 0.0021, 0)</f>
        <v>92.411699999999996</v>
      </c>
      <c r="C786" s="14">
        <f>91.9774 * CHOOSE(CONTROL!$C$9, $D$9, 100%, $F$9) + CHOOSE(CONTROL!$C$27, 0.0021, 0)</f>
        <v>91.979500000000002</v>
      </c>
      <c r="D786" s="14">
        <f>91.9774 * CHOOSE(CONTROL!$C$9, $D$9, 100%, $F$9) + CHOOSE(CONTROL!$C$27, 0.0021, 0)</f>
        <v>91.979500000000002</v>
      </c>
      <c r="E786" s="14">
        <f>91.8407 * CHOOSE(CONTROL!$C$9, $D$9, 100%, $F$9) + CHOOSE(CONTROL!$C$27, 0.0021, 0)</f>
        <v>91.842799999999997</v>
      </c>
      <c r="F786" s="14">
        <f>91.8407 * CHOOSE(CONTROL!$C$9, $D$9, 100%, $F$9) + CHOOSE(CONTROL!$C$27, 0.0021, 0)</f>
        <v>91.842799999999997</v>
      </c>
      <c r="G786" s="14">
        <f>92.1121 * CHOOSE(CONTROL!$C$9, $D$9, 100%, $F$9) + CHOOSE(CONTROL!$C$27, 0.0021, 0)</f>
        <v>92.114199999999997</v>
      </c>
      <c r="H786" s="14">
        <f>91.9774 * CHOOSE(CONTROL!$C$9, $D$9, 100%, $F$9) + CHOOSE(CONTROL!$C$27, 0.0021, 0)</f>
        <v>91.979500000000002</v>
      </c>
      <c r="I786" s="14">
        <f>91.9774 * CHOOSE(CONTROL!$C$9, $D$9, 100%, $F$9) + CHOOSE(CONTROL!$C$27, 0.0021, 0)</f>
        <v>91.979500000000002</v>
      </c>
      <c r="J786" s="14">
        <f>91.9774 * CHOOSE(CONTROL!$C$9, $D$9, 100%, $F$9) + CHOOSE(CONTROL!$C$27, 0.0021, 0)</f>
        <v>91.979500000000002</v>
      </c>
      <c r="K786" s="14">
        <f>91.9774 * CHOOSE(CONTROL!$C$9, $D$9, 100%, $F$9) + CHOOSE(CONTROL!$C$27, 0.0021, 0)</f>
        <v>91.979500000000002</v>
      </c>
      <c r="L786" s="14"/>
    </row>
    <row r="787" spans="1:12" ht="15.75" x14ac:dyDescent="0.25">
      <c r="A787" s="32">
        <v>64893</v>
      </c>
      <c r="B787" s="14">
        <f>90.3117 * CHOOSE(CONTROL!$C$9, $D$9, 100%, $F$9) + CHOOSE(CONTROL!$C$27, 0.0021, 0)</f>
        <v>90.313800000000001</v>
      </c>
      <c r="C787" s="14">
        <f>89.8795 * CHOOSE(CONTROL!$C$9, $D$9, 100%, $F$9) + CHOOSE(CONTROL!$C$27, 0.0021, 0)</f>
        <v>89.881599999999992</v>
      </c>
      <c r="D787" s="14">
        <f>89.8795 * CHOOSE(CONTROL!$C$9, $D$9, 100%, $F$9) + CHOOSE(CONTROL!$C$27, 0.0021, 0)</f>
        <v>89.881599999999992</v>
      </c>
      <c r="E787" s="14">
        <f>89.7428 * CHOOSE(CONTROL!$C$9, $D$9, 100%, $F$9) + CHOOSE(CONTROL!$C$27, 0.0021, 0)</f>
        <v>89.744900000000001</v>
      </c>
      <c r="F787" s="14">
        <f>89.7428 * CHOOSE(CONTROL!$C$9, $D$9, 100%, $F$9) + CHOOSE(CONTROL!$C$27, 0.0021, 0)</f>
        <v>89.744900000000001</v>
      </c>
      <c r="G787" s="14">
        <f>90.0142 * CHOOSE(CONTROL!$C$9, $D$9, 100%, $F$9) + CHOOSE(CONTROL!$C$27, 0.0021, 0)</f>
        <v>90.016300000000001</v>
      </c>
      <c r="H787" s="14">
        <f>89.8795 * CHOOSE(CONTROL!$C$9, $D$9, 100%, $F$9) + CHOOSE(CONTROL!$C$27, 0.0021, 0)</f>
        <v>89.881599999999992</v>
      </c>
      <c r="I787" s="14">
        <f>89.8795 * CHOOSE(CONTROL!$C$9, $D$9, 100%, $F$9) + CHOOSE(CONTROL!$C$27, 0.0021, 0)</f>
        <v>89.881599999999992</v>
      </c>
      <c r="J787" s="14">
        <f>89.8795 * CHOOSE(CONTROL!$C$9, $D$9, 100%, $F$9) + CHOOSE(CONTROL!$C$27, 0.0021, 0)</f>
        <v>89.881599999999992</v>
      </c>
      <c r="K787" s="14">
        <f>89.8795 * CHOOSE(CONTROL!$C$9, $D$9, 100%, $F$9) + CHOOSE(CONTROL!$C$27, 0.0021, 0)</f>
        <v>89.881599999999992</v>
      </c>
      <c r="L787" s="14"/>
    </row>
    <row r="788" spans="1:12" ht="15.75" x14ac:dyDescent="0.25">
      <c r="A788" s="32">
        <v>64923</v>
      </c>
      <c r="B788" s="14">
        <f>87.3861 * CHOOSE(CONTROL!$C$9, $D$9, 100%, $F$9) + CHOOSE(CONTROL!$C$27, 0.0021, 0)</f>
        <v>87.388199999999998</v>
      </c>
      <c r="C788" s="14">
        <f>86.9539 * CHOOSE(CONTROL!$C$9, $D$9, 100%, $F$9) + CHOOSE(CONTROL!$C$27, 0.0021, 0)</f>
        <v>86.956000000000003</v>
      </c>
      <c r="D788" s="14">
        <f>86.9539 * CHOOSE(CONTROL!$C$9, $D$9, 100%, $F$9) + CHOOSE(CONTROL!$C$27, 0.0021, 0)</f>
        <v>86.956000000000003</v>
      </c>
      <c r="E788" s="14">
        <f>86.8172 * CHOOSE(CONTROL!$C$9, $D$9, 100%, $F$9) + CHOOSE(CONTROL!$C$27, 0.0021, 0)</f>
        <v>86.819299999999998</v>
      </c>
      <c r="F788" s="14">
        <f>86.8172 * CHOOSE(CONTROL!$C$9, $D$9, 100%, $F$9) + CHOOSE(CONTROL!$C$27, 0.0021, 0)</f>
        <v>86.819299999999998</v>
      </c>
      <c r="G788" s="14">
        <f>87.0886 * CHOOSE(CONTROL!$C$9, $D$9, 100%, $F$9) + CHOOSE(CONTROL!$C$27, 0.0021, 0)</f>
        <v>87.090699999999998</v>
      </c>
      <c r="H788" s="14">
        <f>86.9539 * CHOOSE(CONTROL!$C$9, $D$9, 100%, $F$9) + CHOOSE(CONTROL!$C$27, 0.0021, 0)</f>
        <v>86.956000000000003</v>
      </c>
      <c r="I788" s="14">
        <f>86.9539 * CHOOSE(CONTROL!$C$9, $D$9, 100%, $F$9) + CHOOSE(CONTROL!$C$27, 0.0021, 0)</f>
        <v>86.956000000000003</v>
      </c>
      <c r="J788" s="14">
        <f>86.9539 * CHOOSE(CONTROL!$C$9, $D$9, 100%, $F$9) + CHOOSE(CONTROL!$C$27, 0.0021, 0)</f>
        <v>86.956000000000003</v>
      </c>
      <c r="K788" s="14">
        <f>86.9539 * CHOOSE(CONTROL!$C$9, $D$9, 100%, $F$9) + CHOOSE(CONTROL!$C$27, 0.0021, 0)</f>
        <v>86.956000000000003</v>
      </c>
      <c r="L788" s="14"/>
    </row>
    <row r="789" spans="1:12" ht="15.75" x14ac:dyDescent="0.25">
      <c r="A789" s="32">
        <v>64954</v>
      </c>
      <c r="B789" s="14">
        <f>84.4435 * CHOOSE(CONTROL!$C$9, $D$9, 100%, $F$9) + CHOOSE(CONTROL!$C$27, 0.0021, 0)</f>
        <v>84.445599999999999</v>
      </c>
      <c r="C789" s="14">
        <f>84.0112 * CHOOSE(CONTROL!$C$9, $D$9, 100%, $F$9) + CHOOSE(CONTROL!$C$27, 0.0021, 0)</f>
        <v>84.013300000000001</v>
      </c>
      <c r="D789" s="14">
        <f>84.0112 * CHOOSE(CONTROL!$C$9, $D$9, 100%, $F$9) + CHOOSE(CONTROL!$C$27, 0.0021, 0)</f>
        <v>84.013300000000001</v>
      </c>
      <c r="E789" s="14">
        <f>83.8746 * CHOOSE(CONTROL!$C$9, $D$9, 100%, $F$9) + CHOOSE(CONTROL!$C$27, 0.0021, 0)</f>
        <v>83.8767</v>
      </c>
      <c r="F789" s="14">
        <f>83.8746 * CHOOSE(CONTROL!$C$9, $D$9, 100%, $F$9) + CHOOSE(CONTROL!$C$27, 0.0021, 0)</f>
        <v>83.8767</v>
      </c>
      <c r="G789" s="14">
        <f>84.146 * CHOOSE(CONTROL!$C$9, $D$9, 100%, $F$9) + CHOOSE(CONTROL!$C$27, 0.0021, 0)</f>
        <v>84.148099999999999</v>
      </c>
      <c r="H789" s="14">
        <f>84.0112 * CHOOSE(CONTROL!$C$9, $D$9, 100%, $F$9) + CHOOSE(CONTROL!$C$27, 0.0021, 0)</f>
        <v>84.013300000000001</v>
      </c>
      <c r="I789" s="14">
        <f>84.0112 * CHOOSE(CONTROL!$C$9, $D$9, 100%, $F$9) + CHOOSE(CONTROL!$C$27, 0.0021, 0)</f>
        <v>84.013300000000001</v>
      </c>
      <c r="J789" s="14">
        <f>84.0112 * CHOOSE(CONTROL!$C$9, $D$9, 100%, $F$9) + CHOOSE(CONTROL!$C$27, 0.0021, 0)</f>
        <v>84.013300000000001</v>
      </c>
      <c r="K789" s="14">
        <f>84.0112 * CHOOSE(CONTROL!$C$9, $D$9, 100%, $F$9) + CHOOSE(CONTROL!$C$27, 0.0021, 0)</f>
        <v>84.013300000000001</v>
      </c>
      <c r="L789" s="14"/>
    </row>
    <row r="790" spans="1:12" ht="15.75" x14ac:dyDescent="0.25">
      <c r="A790" s="32">
        <v>64984</v>
      </c>
      <c r="B790" s="14">
        <f>83.8581 * CHOOSE(CONTROL!$C$9, $D$9, 100%, $F$9) + CHOOSE(CONTROL!$C$27, 0.0021, 0)</f>
        <v>83.860199999999992</v>
      </c>
      <c r="C790" s="14">
        <f>83.4259 * CHOOSE(CONTROL!$C$9, $D$9, 100%, $F$9) + CHOOSE(CONTROL!$C$27, 0.0021, 0)</f>
        <v>83.427999999999997</v>
      </c>
      <c r="D790" s="14">
        <f>83.4259 * CHOOSE(CONTROL!$C$9, $D$9, 100%, $F$9) + CHOOSE(CONTROL!$C$27, 0.0021, 0)</f>
        <v>83.427999999999997</v>
      </c>
      <c r="E790" s="14">
        <f>83.2892 * CHOOSE(CONTROL!$C$9, $D$9, 100%, $F$9) + CHOOSE(CONTROL!$C$27, 0.0021, 0)</f>
        <v>83.291299999999993</v>
      </c>
      <c r="F790" s="14">
        <f>83.2892 * CHOOSE(CONTROL!$C$9, $D$9, 100%, $F$9) + CHOOSE(CONTROL!$C$27, 0.0021, 0)</f>
        <v>83.291299999999993</v>
      </c>
      <c r="G790" s="14">
        <f>83.5606 * CHOOSE(CONTROL!$C$9, $D$9, 100%, $F$9) + CHOOSE(CONTROL!$C$27, 0.0021, 0)</f>
        <v>83.562699999999992</v>
      </c>
      <c r="H790" s="14">
        <f>83.4259 * CHOOSE(CONTROL!$C$9, $D$9, 100%, $F$9) + CHOOSE(CONTROL!$C$27, 0.0021, 0)</f>
        <v>83.427999999999997</v>
      </c>
      <c r="I790" s="14">
        <f>83.4259 * CHOOSE(CONTROL!$C$9, $D$9, 100%, $F$9) + CHOOSE(CONTROL!$C$27, 0.0021, 0)</f>
        <v>83.427999999999997</v>
      </c>
      <c r="J790" s="14">
        <f>83.4259 * CHOOSE(CONTROL!$C$9, $D$9, 100%, $F$9) + CHOOSE(CONTROL!$C$27, 0.0021, 0)</f>
        <v>83.427999999999997</v>
      </c>
      <c r="K790" s="14">
        <f>83.4259 * CHOOSE(CONTROL!$C$9, $D$9, 100%, $F$9) + CHOOSE(CONTROL!$C$27, 0.0021, 0)</f>
        <v>83.427999999999997</v>
      </c>
      <c r="L790" s="14"/>
    </row>
    <row r="791" spans="1:12" ht="15.75" x14ac:dyDescent="0.25">
      <c r="A791" s="32">
        <v>65015</v>
      </c>
      <c r="B791" s="14">
        <f>81.4377 * CHOOSE(CONTROL!$C$9, $D$9, 100%, $F$9) + CHOOSE(CONTROL!$C$27, 0.0021, 0)</f>
        <v>81.439800000000005</v>
      </c>
      <c r="C791" s="14">
        <f>81.0054 * CHOOSE(CONTROL!$C$9, $D$9, 100%, $F$9) + CHOOSE(CONTROL!$C$27, 0.0021, 0)</f>
        <v>81.007499999999993</v>
      </c>
      <c r="D791" s="14">
        <f>81.0054 * CHOOSE(CONTROL!$C$9, $D$9, 100%, $F$9) + CHOOSE(CONTROL!$C$27, 0.0021, 0)</f>
        <v>81.007499999999993</v>
      </c>
      <c r="E791" s="14">
        <f>80.8688 * CHOOSE(CONTROL!$C$9, $D$9, 100%, $F$9) + CHOOSE(CONTROL!$C$27, 0.0021, 0)</f>
        <v>80.870899999999992</v>
      </c>
      <c r="F791" s="14">
        <f>80.8688 * CHOOSE(CONTROL!$C$9, $D$9, 100%, $F$9) + CHOOSE(CONTROL!$C$27, 0.0021, 0)</f>
        <v>80.870899999999992</v>
      </c>
      <c r="G791" s="14">
        <f>81.1401 * CHOOSE(CONTROL!$C$9, $D$9, 100%, $F$9) + CHOOSE(CONTROL!$C$27, 0.0021, 0)</f>
        <v>81.142200000000003</v>
      </c>
      <c r="H791" s="14">
        <f>81.0054 * CHOOSE(CONTROL!$C$9, $D$9, 100%, $F$9) + CHOOSE(CONTROL!$C$27, 0.0021, 0)</f>
        <v>81.007499999999993</v>
      </c>
      <c r="I791" s="14">
        <f>81.0054 * CHOOSE(CONTROL!$C$9, $D$9, 100%, $F$9) + CHOOSE(CONTROL!$C$27, 0.0021, 0)</f>
        <v>81.007499999999993</v>
      </c>
      <c r="J791" s="14">
        <f>81.0054 * CHOOSE(CONTROL!$C$9, $D$9, 100%, $F$9) + CHOOSE(CONTROL!$C$27, 0.0021, 0)</f>
        <v>81.007499999999993</v>
      </c>
      <c r="K791" s="14">
        <f>81.0054 * CHOOSE(CONTROL!$C$9, $D$9, 100%, $F$9) + CHOOSE(CONTROL!$C$27, 0.0021, 0)</f>
        <v>81.007499999999993</v>
      </c>
      <c r="L791" s="14"/>
    </row>
    <row r="792" spans="1:12" ht="15.75" x14ac:dyDescent="0.25">
      <c r="A792" s="32">
        <v>65046</v>
      </c>
      <c r="B792" s="14">
        <f>80.9664 * CHOOSE(CONTROL!$C$9, $D$9, 100%, $F$9) + CHOOSE(CONTROL!$C$27, 0.0021, 0)</f>
        <v>80.968499999999992</v>
      </c>
      <c r="C792" s="14">
        <f>80.5342 * CHOOSE(CONTROL!$C$9, $D$9, 100%, $F$9) + CHOOSE(CONTROL!$C$27, 0.0021, 0)</f>
        <v>80.536299999999997</v>
      </c>
      <c r="D792" s="14">
        <f>80.5342 * CHOOSE(CONTROL!$C$9, $D$9, 100%, $F$9) + CHOOSE(CONTROL!$C$27, 0.0021, 0)</f>
        <v>80.536299999999997</v>
      </c>
      <c r="E792" s="14">
        <f>80.3975 * CHOOSE(CONTROL!$C$9, $D$9, 100%, $F$9) + CHOOSE(CONTROL!$C$27, 0.0021, 0)</f>
        <v>80.399599999999992</v>
      </c>
      <c r="F792" s="14">
        <f>80.3975 * CHOOSE(CONTROL!$C$9, $D$9, 100%, $F$9) + CHOOSE(CONTROL!$C$27, 0.0021, 0)</f>
        <v>80.399599999999992</v>
      </c>
      <c r="G792" s="14">
        <f>80.6689 * CHOOSE(CONTROL!$C$9, $D$9, 100%, $F$9) + CHOOSE(CONTROL!$C$27, 0.0021, 0)</f>
        <v>80.670999999999992</v>
      </c>
      <c r="H792" s="14">
        <f>80.5342 * CHOOSE(CONTROL!$C$9, $D$9, 100%, $F$9) + CHOOSE(CONTROL!$C$27, 0.0021, 0)</f>
        <v>80.536299999999997</v>
      </c>
      <c r="I792" s="14">
        <f>80.5342 * CHOOSE(CONTROL!$C$9, $D$9, 100%, $F$9) + CHOOSE(CONTROL!$C$27, 0.0021, 0)</f>
        <v>80.536299999999997</v>
      </c>
      <c r="J792" s="14">
        <f>80.5342 * CHOOSE(CONTROL!$C$9, $D$9, 100%, $F$9) + CHOOSE(CONTROL!$C$27, 0.0021, 0)</f>
        <v>80.536299999999997</v>
      </c>
      <c r="K792" s="14">
        <f>80.5342 * CHOOSE(CONTROL!$C$9, $D$9, 100%, $F$9) + CHOOSE(CONTROL!$C$27, 0.0021, 0)</f>
        <v>80.536299999999997</v>
      </c>
      <c r="L792" s="14"/>
    </row>
    <row r="793" spans="1:12" ht="15.75" x14ac:dyDescent="0.25">
      <c r="A793" s="32">
        <v>65074</v>
      </c>
      <c r="B793" s="14">
        <f>80.7477 * CHOOSE(CONTROL!$C$9, $D$9, 100%, $F$9) + CHOOSE(CONTROL!$C$27, 0.0021, 0)</f>
        <v>80.749799999999993</v>
      </c>
      <c r="C793" s="14">
        <f>80.3155 * CHOOSE(CONTROL!$C$9, $D$9, 100%, $F$9) + CHOOSE(CONTROL!$C$27, 0.0021, 0)</f>
        <v>80.317599999999999</v>
      </c>
      <c r="D793" s="14">
        <f>80.3155 * CHOOSE(CONTROL!$C$9, $D$9, 100%, $F$9) + CHOOSE(CONTROL!$C$27, 0.0021, 0)</f>
        <v>80.317599999999999</v>
      </c>
      <c r="E793" s="14">
        <f>80.1788 * CHOOSE(CONTROL!$C$9, $D$9, 100%, $F$9) + CHOOSE(CONTROL!$C$27, 0.0021, 0)</f>
        <v>80.180899999999994</v>
      </c>
      <c r="F793" s="14">
        <f>80.1788 * CHOOSE(CONTROL!$C$9, $D$9, 100%, $F$9) + CHOOSE(CONTROL!$C$27, 0.0021, 0)</f>
        <v>80.180899999999994</v>
      </c>
      <c r="G793" s="14">
        <f>80.4502 * CHOOSE(CONTROL!$C$9, $D$9, 100%, $F$9) + CHOOSE(CONTROL!$C$27, 0.0021, 0)</f>
        <v>80.452299999999994</v>
      </c>
      <c r="H793" s="14">
        <f>80.3155 * CHOOSE(CONTROL!$C$9, $D$9, 100%, $F$9) + CHOOSE(CONTROL!$C$27, 0.0021, 0)</f>
        <v>80.317599999999999</v>
      </c>
      <c r="I793" s="14">
        <f>80.3155 * CHOOSE(CONTROL!$C$9, $D$9, 100%, $F$9) + CHOOSE(CONTROL!$C$27, 0.0021, 0)</f>
        <v>80.317599999999999</v>
      </c>
      <c r="J793" s="14">
        <f>80.3155 * CHOOSE(CONTROL!$C$9, $D$9, 100%, $F$9) + CHOOSE(CONTROL!$C$27, 0.0021, 0)</f>
        <v>80.317599999999999</v>
      </c>
      <c r="K793" s="14">
        <f>80.3155 * CHOOSE(CONTROL!$C$9, $D$9, 100%, $F$9) + CHOOSE(CONTROL!$C$27, 0.0021, 0)</f>
        <v>80.317599999999999</v>
      </c>
      <c r="L793" s="14"/>
    </row>
    <row r="794" spans="1:12" ht="15.75" x14ac:dyDescent="0.25">
      <c r="A794" s="32">
        <v>65105</v>
      </c>
      <c r="B794" s="14">
        <f>84.8828 * CHOOSE(CONTROL!$C$9, $D$9, 100%, $F$9) + CHOOSE(CONTROL!$C$27, 0.0021, 0)</f>
        <v>84.884900000000002</v>
      </c>
      <c r="C794" s="14">
        <f>84.4505 * CHOOSE(CONTROL!$C$9, $D$9, 100%, $F$9) + CHOOSE(CONTROL!$C$27, 0.0021, 0)</f>
        <v>84.452600000000004</v>
      </c>
      <c r="D794" s="14">
        <f>84.4505 * CHOOSE(CONTROL!$C$9, $D$9, 100%, $F$9) + CHOOSE(CONTROL!$C$27, 0.0021, 0)</f>
        <v>84.452600000000004</v>
      </c>
      <c r="E794" s="14">
        <f>84.3139 * CHOOSE(CONTROL!$C$9, $D$9, 100%, $F$9) + CHOOSE(CONTROL!$C$27, 0.0021, 0)</f>
        <v>84.316000000000003</v>
      </c>
      <c r="F794" s="14">
        <f>84.3139 * CHOOSE(CONTROL!$C$9, $D$9, 100%, $F$9) + CHOOSE(CONTROL!$C$27, 0.0021, 0)</f>
        <v>84.316000000000003</v>
      </c>
      <c r="G794" s="14">
        <f>84.5853 * CHOOSE(CONTROL!$C$9, $D$9, 100%, $F$9) + CHOOSE(CONTROL!$C$27, 0.0021, 0)</f>
        <v>84.587400000000002</v>
      </c>
      <c r="H794" s="14">
        <f>84.4505 * CHOOSE(CONTROL!$C$9, $D$9, 100%, $F$9) + CHOOSE(CONTROL!$C$27, 0.0021, 0)</f>
        <v>84.452600000000004</v>
      </c>
      <c r="I794" s="14">
        <f>84.4505 * CHOOSE(CONTROL!$C$9, $D$9, 100%, $F$9) + CHOOSE(CONTROL!$C$27, 0.0021, 0)</f>
        <v>84.452600000000004</v>
      </c>
      <c r="J794" s="14">
        <f>84.4505 * CHOOSE(CONTROL!$C$9, $D$9, 100%, $F$9) + CHOOSE(CONTROL!$C$27, 0.0021, 0)</f>
        <v>84.452600000000004</v>
      </c>
      <c r="K794" s="14">
        <f>84.4505 * CHOOSE(CONTROL!$C$9, $D$9, 100%, $F$9) + CHOOSE(CONTROL!$C$27, 0.0021, 0)</f>
        <v>84.452600000000004</v>
      </c>
      <c r="L794" s="14"/>
    </row>
    <row r="795" spans="1:12" ht="15.75" x14ac:dyDescent="0.25">
      <c r="A795" s="32">
        <v>65135</v>
      </c>
      <c r="B795" s="14">
        <f>90.245 * CHOOSE(CONTROL!$C$9, $D$9, 100%, $F$9) + CHOOSE(CONTROL!$C$27, 0.0021, 0)</f>
        <v>90.247100000000003</v>
      </c>
      <c r="C795" s="14">
        <f>89.8127 * CHOOSE(CONTROL!$C$9, $D$9, 100%, $F$9) + CHOOSE(CONTROL!$C$27, 0.0021, 0)</f>
        <v>89.814800000000005</v>
      </c>
      <c r="D795" s="14">
        <f>89.8127 * CHOOSE(CONTROL!$C$9, $D$9, 100%, $F$9) + CHOOSE(CONTROL!$C$27, 0.0021, 0)</f>
        <v>89.814800000000005</v>
      </c>
      <c r="E795" s="14">
        <f>89.6761 * CHOOSE(CONTROL!$C$9, $D$9, 100%, $F$9) + CHOOSE(CONTROL!$C$27, 0.0021, 0)</f>
        <v>89.678200000000004</v>
      </c>
      <c r="F795" s="14">
        <f>89.6761 * CHOOSE(CONTROL!$C$9, $D$9, 100%, $F$9) + CHOOSE(CONTROL!$C$27, 0.0021, 0)</f>
        <v>89.678200000000004</v>
      </c>
      <c r="G795" s="14">
        <f>89.9474 * CHOOSE(CONTROL!$C$9, $D$9, 100%, $F$9) + CHOOSE(CONTROL!$C$27, 0.0021, 0)</f>
        <v>89.9495</v>
      </c>
      <c r="H795" s="14">
        <f>89.8127 * CHOOSE(CONTROL!$C$9, $D$9, 100%, $F$9) + CHOOSE(CONTROL!$C$27, 0.0021, 0)</f>
        <v>89.814800000000005</v>
      </c>
      <c r="I795" s="14">
        <f>89.8127 * CHOOSE(CONTROL!$C$9, $D$9, 100%, $F$9) + CHOOSE(CONTROL!$C$27, 0.0021, 0)</f>
        <v>89.814800000000005</v>
      </c>
      <c r="J795" s="14">
        <f>89.8127 * CHOOSE(CONTROL!$C$9, $D$9, 100%, $F$9) + CHOOSE(CONTROL!$C$27, 0.0021, 0)</f>
        <v>89.814800000000005</v>
      </c>
      <c r="K795" s="14">
        <f>89.8127 * CHOOSE(CONTROL!$C$9, $D$9, 100%, $F$9) + CHOOSE(CONTROL!$C$27, 0.0021, 0)</f>
        <v>89.814800000000005</v>
      </c>
      <c r="L795" s="14"/>
    </row>
    <row r="796" spans="1:12" ht="15.75" x14ac:dyDescent="0.25">
      <c r="A796" s="32">
        <v>65166</v>
      </c>
      <c r="B796" s="14">
        <f>93.1965 * CHOOSE(CONTROL!$C$9, $D$9, 100%, $F$9) + CHOOSE(CONTROL!$C$27, 0.0021, 0)</f>
        <v>93.198599999999999</v>
      </c>
      <c r="C796" s="14">
        <f>92.7642 * CHOOSE(CONTROL!$C$9, $D$9, 100%, $F$9) + CHOOSE(CONTROL!$C$27, 0.0021, 0)</f>
        <v>92.766300000000001</v>
      </c>
      <c r="D796" s="14">
        <f>92.7642 * CHOOSE(CONTROL!$C$9, $D$9, 100%, $F$9) + CHOOSE(CONTROL!$C$27, 0.0021, 0)</f>
        <v>92.766300000000001</v>
      </c>
      <c r="E796" s="14">
        <f>92.6276 * CHOOSE(CONTROL!$C$9, $D$9, 100%, $F$9) + CHOOSE(CONTROL!$C$27, 0.0021, 0)</f>
        <v>92.6297</v>
      </c>
      <c r="F796" s="14">
        <f>92.6276 * CHOOSE(CONTROL!$C$9, $D$9, 100%, $F$9) + CHOOSE(CONTROL!$C$27, 0.0021, 0)</f>
        <v>92.6297</v>
      </c>
      <c r="G796" s="14">
        <f>92.899 * CHOOSE(CONTROL!$C$9, $D$9, 100%, $F$9) + CHOOSE(CONTROL!$C$27, 0.0021, 0)</f>
        <v>92.9011</v>
      </c>
      <c r="H796" s="14">
        <f>92.7642 * CHOOSE(CONTROL!$C$9, $D$9, 100%, $F$9) + CHOOSE(CONTROL!$C$27, 0.0021, 0)</f>
        <v>92.766300000000001</v>
      </c>
      <c r="I796" s="14">
        <f>92.7642 * CHOOSE(CONTROL!$C$9, $D$9, 100%, $F$9) + CHOOSE(CONTROL!$C$27, 0.0021, 0)</f>
        <v>92.766300000000001</v>
      </c>
      <c r="J796" s="14">
        <f>92.7642 * CHOOSE(CONTROL!$C$9, $D$9, 100%, $F$9) + CHOOSE(CONTROL!$C$27, 0.0021, 0)</f>
        <v>92.766300000000001</v>
      </c>
      <c r="K796" s="14">
        <f>92.7642 * CHOOSE(CONTROL!$C$9, $D$9, 100%, $F$9) + CHOOSE(CONTROL!$C$27, 0.0021, 0)</f>
        <v>92.766300000000001</v>
      </c>
      <c r="L796" s="14"/>
    </row>
    <row r="797" spans="1:12" ht="15.75" x14ac:dyDescent="0.25">
      <c r="A797" s="32">
        <v>65196</v>
      </c>
      <c r="B797" s="14">
        <f>94.5063 * CHOOSE(CONTROL!$C$9, $D$9, 100%, $F$9) + CHOOSE(CONTROL!$C$27, 0.0021, 0)</f>
        <v>94.508399999999995</v>
      </c>
      <c r="C797" s="14">
        <f>94.0741 * CHOOSE(CONTROL!$C$9, $D$9, 100%, $F$9) + CHOOSE(CONTROL!$C$27, 0.0021, 0)</f>
        <v>94.0762</v>
      </c>
      <c r="D797" s="14">
        <f>94.0741 * CHOOSE(CONTROL!$C$9, $D$9, 100%, $F$9) + CHOOSE(CONTROL!$C$27, 0.0021, 0)</f>
        <v>94.0762</v>
      </c>
      <c r="E797" s="14">
        <f>93.9374 * CHOOSE(CONTROL!$C$9, $D$9, 100%, $F$9) + CHOOSE(CONTROL!$C$27, 0.0021, 0)</f>
        <v>93.939499999999995</v>
      </c>
      <c r="F797" s="14">
        <f>93.9374 * CHOOSE(CONTROL!$C$9, $D$9, 100%, $F$9) + CHOOSE(CONTROL!$C$27, 0.0021, 0)</f>
        <v>93.939499999999995</v>
      </c>
      <c r="G797" s="14">
        <f>94.2088 * CHOOSE(CONTROL!$C$9, $D$9, 100%, $F$9) + CHOOSE(CONTROL!$C$27, 0.0021, 0)</f>
        <v>94.210899999999995</v>
      </c>
      <c r="H797" s="14">
        <f>94.0741 * CHOOSE(CONTROL!$C$9, $D$9, 100%, $F$9) + CHOOSE(CONTROL!$C$27, 0.0021, 0)</f>
        <v>94.0762</v>
      </c>
      <c r="I797" s="14">
        <f>94.0741 * CHOOSE(CONTROL!$C$9, $D$9, 100%, $F$9) + CHOOSE(CONTROL!$C$27, 0.0021, 0)</f>
        <v>94.0762</v>
      </c>
      <c r="J797" s="14">
        <f>94.0741 * CHOOSE(CONTROL!$C$9, $D$9, 100%, $F$9) + CHOOSE(CONTROL!$C$27, 0.0021, 0)</f>
        <v>94.0762</v>
      </c>
      <c r="K797" s="14">
        <f>94.0741 * CHOOSE(CONTROL!$C$9, $D$9, 100%, $F$9) + CHOOSE(CONTROL!$C$27, 0.0021, 0)</f>
        <v>94.0762</v>
      </c>
      <c r="L797" s="14"/>
    </row>
    <row r="798" spans="1:12" ht="15.75" x14ac:dyDescent="0.25">
      <c r="A798" s="32">
        <v>65227</v>
      </c>
      <c r="B798" s="14">
        <f>94.0751 * CHOOSE(CONTROL!$C$9, $D$9, 100%, $F$9) + CHOOSE(CONTROL!$C$27, 0.0021, 0)</f>
        <v>94.077200000000005</v>
      </c>
      <c r="C798" s="14">
        <f>93.6428 * CHOOSE(CONTROL!$C$9, $D$9, 100%, $F$9) + CHOOSE(CONTROL!$C$27, 0.0021, 0)</f>
        <v>93.644899999999993</v>
      </c>
      <c r="D798" s="14">
        <f>93.6428 * CHOOSE(CONTROL!$C$9, $D$9, 100%, $F$9) + CHOOSE(CONTROL!$C$27, 0.0021, 0)</f>
        <v>93.644899999999993</v>
      </c>
      <c r="E798" s="14">
        <f>93.5061 * CHOOSE(CONTROL!$C$9, $D$9, 100%, $F$9) + CHOOSE(CONTROL!$C$27, 0.0021, 0)</f>
        <v>93.508200000000002</v>
      </c>
      <c r="F798" s="14">
        <f>93.5061 * CHOOSE(CONTROL!$C$9, $D$9, 100%, $F$9) + CHOOSE(CONTROL!$C$27, 0.0021, 0)</f>
        <v>93.508200000000002</v>
      </c>
      <c r="G798" s="14">
        <f>93.7775 * CHOOSE(CONTROL!$C$9, $D$9, 100%, $F$9) + CHOOSE(CONTROL!$C$27, 0.0021, 0)</f>
        <v>93.779600000000002</v>
      </c>
      <c r="H798" s="14">
        <f>93.6428 * CHOOSE(CONTROL!$C$9, $D$9, 100%, $F$9) + CHOOSE(CONTROL!$C$27, 0.0021, 0)</f>
        <v>93.644899999999993</v>
      </c>
      <c r="I798" s="14">
        <f>93.6428 * CHOOSE(CONTROL!$C$9, $D$9, 100%, $F$9) + CHOOSE(CONTROL!$C$27, 0.0021, 0)</f>
        <v>93.644899999999993</v>
      </c>
      <c r="J798" s="14">
        <f>93.6428 * CHOOSE(CONTROL!$C$9, $D$9, 100%, $F$9) + CHOOSE(CONTROL!$C$27, 0.0021, 0)</f>
        <v>93.644899999999993</v>
      </c>
      <c r="K798" s="14">
        <f>93.6428 * CHOOSE(CONTROL!$C$9, $D$9, 100%, $F$9) + CHOOSE(CONTROL!$C$27, 0.0021, 0)</f>
        <v>93.644899999999993</v>
      </c>
      <c r="L798" s="14"/>
    </row>
    <row r="799" spans="1:12" ht="15.75" x14ac:dyDescent="0.25">
      <c r="A799" s="32">
        <v>65258</v>
      </c>
      <c r="B799" s="14">
        <f>91.9384 * CHOOSE(CONTROL!$C$9, $D$9, 100%, $F$9) + CHOOSE(CONTROL!$C$27, 0.0021, 0)</f>
        <v>91.9405</v>
      </c>
      <c r="C799" s="14">
        <f>91.5061 * CHOOSE(CONTROL!$C$9, $D$9, 100%, $F$9) + CHOOSE(CONTROL!$C$27, 0.0021, 0)</f>
        <v>91.508200000000002</v>
      </c>
      <c r="D799" s="14">
        <f>91.5061 * CHOOSE(CONTROL!$C$9, $D$9, 100%, $F$9) + CHOOSE(CONTROL!$C$27, 0.0021, 0)</f>
        <v>91.508200000000002</v>
      </c>
      <c r="E799" s="14">
        <f>91.3695 * CHOOSE(CONTROL!$C$9, $D$9, 100%, $F$9) + CHOOSE(CONTROL!$C$27, 0.0021, 0)</f>
        <v>91.371600000000001</v>
      </c>
      <c r="F799" s="14">
        <f>91.3695 * CHOOSE(CONTROL!$C$9, $D$9, 100%, $F$9) + CHOOSE(CONTROL!$C$27, 0.0021, 0)</f>
        <v>91.371600000000001</v>
      </c>
      <c r="G799" s="14">
        <f>91.6409 * CHOOSE(CONTROL!$C$9, $D$9, 100%, $F$9) + CHOOSE(CONTROL!$C$27, 0.0021, 0)</f>
        <v>91.643000000000001</v>
      </c>
      <c r="H799" s="14">
        <f>91.5061 * CHOOSE(CONTROL!$C$9, $D$9, 100%, $F$9) + CHOOSE(CONTROL!$C$27, 0.0021, 0)</f>
        <v>91.508200000000002</v>
      </c>
      <c r="I799" s="14">
        <f>91.5061 * CHOOSE(CONTROL!$C$9, $D$9, 100%, $F$9) + CHOOSE(CONTROL!$C$27, 0.0021, 0)</f>
        <v>91.508200000000002</v>
      </c>
      <c r="J799" s="14">
        <f>91.5061 * CHOOSE(CONTROL!$C$9, $D$9, 100%, $F$9) + CHOOSE(CONTROL!$C$27, 0.0021, 0)</f>
        <v>91.508200000000002</v>
      </c>
      <c r="K799" s="14">
        <f>91.5061 * CHOOSE(CONTROL!$C$9, $D$9, 100%, $F$9) + CHOOSE(CONTROL!$C$27, 0.0021, 0)</f>
        <v>91.508200000000002</v>
      </c>
      <c r="L799" s="14"/>
    </row>
    <row r="800" spans="1:12" ht="15.75" x14ac:dyDescent="0.25">
      <c r="A800" s="32">
        <v>65288</v>
      </c>
      <c r="B800" s="14">
        <f>88.9587 * CHOOSE(CONTROL!$C$9, $D$9, 100%, $F$9) + CHOOSE(CONTROL!$C$27, 0.0021, 0)</f>
        <v>88.960799999999992</v>
      </c>
      <c r="C800" s="14">
        <f>88.5265 * CHOOSE(CONTROL!$C$9, $D$9, 100%, $F$9) + CHOOSE(CONTROL!$C$27, 0.0021, 0)</f>
        <v>88.528599999999997</v>
      </c>
      <c r="D800" s="14">
        <f>88.5265 * CHOOSE(CONTROL!$C$9, $D$9, 100%, $F$9) + CHOOSE(CONTROL!$C$27, 0.0021, 0)</f>
        <v>88.528599999999997</v>
      </c>
      <c r="E800" s="14">
        <f>88.3898 * CHOOSE(CONTROL!$C$9, $D$9, 100%, $F$9) + CHOOSE(CONTROL!$C$27, 0.0021, 0)</f>
        <v>88.391899999999993</v>
      </c>
      <c r="F800" s="14">
        <f>88.3898 * CHOOSE(CONTROL!$C$9, $D$9, 100%, $F$9) + CHOOSE(CONTROL!$C$27, 0.0021, 0)</f>
        <v>88.391899999999993</v>
      </c>
      <c r="G800" s="14">
        <f>88.6612 * CHOOSE(CONTROL!$C$9, $D$9, 100%, $F$9) + CHOOSE(CONTROL!$C$27, 0.0021, 0)</f>
        <v>88.663299999999992</v>
      </c>
      <c r="H800" s="14">
        <f>88.5265 * CHOOSE(CONTROL!$C$9, $D$9, 100%, $F$9) + CHOOSE(CONTROL!$C$27, 0.0021, 0)</f>
        <v>88.528599999999997</v>
      </c>
      <c r="I800" s="14">
        <f>88.5265 * CHOOSE(CONTROL!$C$9, $D$9, 100%, $F$9) + CHOOSE(CONTROL!$C$27, 0.0021, 0)</f>
        <v>88.528599999999997</v>
      </c>
      <c r="J800" s="14">
        <f>88.5265 * CHOOSE(CONTROL!$C$9, $D$9, 100%, $F$9) + CHOOSE(CONTROL!$C$27, 0.0021, 0)</f>
        <v>88.528599999999997</v>
      </c>
      <c r="K800" s="14">
        <f>88.5265 * CHOOSE(CONTROL!$C$9, $D$9, 100%, $F$9) + CHOOSE(CONTROL!$C$27, 0.0021, 0)</f>
        <v>88.528599999999997</v>
      </c>
      <c r="L800" s="14"/>
    </row>
    <row r="801" spans="1:12" ht="15.75" x14ac:dyDescent="0.25">
      <c r="A801" s="32">
        <v>65319</v>
      </c>
      <c r="B801" s="14">
        <f>85.9617 * CHOOSE(CONTROL!$C$9, $D$9, 100%, $F$9) + CHOOSE(CONTROL!$C$27, 0.0021, 0)</f>
        <v>85.963799999999992</v>
      </c>
      <c r="C801" s="14">
        <f>85.5295 * CHOOSE(CONTROL!$C$9, $D$9, 100%, $F$9) + CHOOSE(CONTROL!$C$27, 0.0021, 0)</f>
        <v>85.531599999999997</v>
      </c>
      <c r="D801" s="14">
        <f>85.5295 * CHOOSE(CONTROL!$C$9, $D$9, 100%, $F$9) + CHOOSE(CONTROL!$C$27, 0.0021, 0)</f>
        <v>85.531599999999997</v>
      </c>
      <c r="E801" s="14">
        <f>85.3928 * CHOOSE(CONTROL!$C$9, $D$9, 100%, $F$9) + CHOOSE(CONTROL!$C$27, 0.0021, 0)</f>
        <v>85.394899999999993</v>
      </c>
      <c r="F801" s="14">
        <f>85.3928 * CHOOSE(CONTROL!$C$9, $D$9, 100%, $F$9) + CHOOSE(CONTROL!$C$27, 0.0021, 0)</f>
        <v>85.394899999999993</v>
      </c>
      <c r="G801" s="14">
        <f>85.6642 * CHOOSE(CONTROL!$C$9, $D$9, 100%, $F$9) + CHOOSE(CONTROL!$C$27, 0.0021, 0)</f>
        <v>85.666299999999993</v>
      </c>
      <c r="H801" s="14">
        <f>85.5295 * CHOOSE(CONTROL!$C$9, $D$9, 100%, $F$9) + CHOOSE(CONTROL!$C$27, 0.0021, 0)</f>
        <v>85.531599999999997</v>
      </c>
      <c r="I801" s="14">
        <f>85.5295 * CHOOSE(CONTROL!$C$9, $D$9, 100%, $F$9) + CHOOSE(CONTROL!$C$27, 0.0021, 0)</f>
        <v>85.531599999999997</v>
      </c>
      <c r="J801" s="14">
        <f>85.5295 * CHOOSE(CONTROL!$C$9, $D$9, 100%, $F$9) + CHOOSE(CONTROL!$C$27, 0.0021, 0)</f>
        <v>85.531599999999997</v>
      </c>
      <c r="K801" s="14">
        <f>85.5295 * CHOOSE(CONTROL!$C$9, $D$9, 100%, $F$9) + CHOOSE(CONTROL!$C$27, 0.0021, 0)</f>
        <v>85.531599999999997</v>
      </c>
      <c r="L801" s="14"/>
    </row>
    <row r="802" spans="1:12" ht="15.75" x14ac:dyDescent="0.25">
      <c r="A802" s="32">
        <v>65349</v>
      </c>
      <c r="B802" s="14">
        <f>85.3655 * CHOOSE(CONTROL!$C$9, $D$9, 100%, $F$9) + CHOOSE(CONTROL!$C$27, 0.0021, 0)</f>
        <v>85.367599999999996</v>
      </c>
      <c r="C802" s="14">
        <f>84.9333 * CHOOSE(CONTROL!$C$9, $D$9, 100%, $F$9) + CHOOSE(CONTROL!$C$27, 0.0021, 0)</f>
        <v>84.935400000000001</v>
      </c>
      <c r="D802" s="14">
        <f>84.9333 * CHOOSE(CONTROL!$C$9, $D$9, 100%, $F$9) + CHOOSE(CONTROL!$C$27, 0.0021, 0)</f>
        <v>84.935400000000001</v>
      </c>
      <c r="E802" s="14">
        <f>84.7966 * CHOOSE(CONTROL!$C$9, $D$9, 100%, $F$9) + CHOOSE(CONTROL!$C$27, 0.0021, 0)</f>
        <v>84.798699999999997</v>
      </c>
      <c r="F802" s="14">
        <f>84.7966 * CHOOSE(CONTROL!$C$9, $D$9, 100%, $F$9) + CHOOSE(CONTROL!$C$27, 0.0021, 0)</f>
        <v>84.798699999999997</v>
      </c>
      <c r="G802" s="14">
        <f>85.068 * CHOOSE(CONTROL!$C$9, $D$9, 100%, $F$9) + CHOOSE(CONTROL!$C$27, 0.0021, 0)</f>
        <v>85.070099999999996</v>
      </c>
      <c r="H802" s="14">
        <f>84.9333 * CHOOSE(CONTROL!$C$9, $D$9, 100%, $F$9) + CHOOSE(CONTROL!$C$27, 0.0021, 0)</f>
        <v>84.935400000000001</v>
      </c>
      <c r="I802" s="14">
        <f>84.9333 * CHOOSE(CONTROL!$C$9, $D$9, 100%, $F$9) + CHOOSE(CONTROL!$C$27, 0.0021, 0)</f>
        <v>84.935400000000001</v>
      </c>
      <c r="J802" s="14">
        <f>84.9333 * CHOOSE(CONTROL!$C$9, $D$9, 100%, $F$9) + CHOOSE(CONTROL!$C$27, 0.0021, 0)</f>
        <v>84.935400000000001</v>
      </c>
      <c r="K802" s="14">
        <f>84.9333 * CHOOSE(CONTROL!$C$9, $D$9, 100%, $F$9) + CHOOSE(CONTROL!$C$27, 0.0021, 0)</f>
        <v>84.935400000000001</v>
      </c>
      <c r="L802" s="14"/>
    </row>
    <row r="803" spans="1:12" ht="15.75" x14ac:dyDescent="0.25">
      <c r="A803" s="32">
        <v>65380</v>
      </c>
      <c r="B803" s="14">
        <f>82.9003 * CHOOSE(CONTROL!$C$9, $D$9, 100%, $F$9) + CHOOSE(CONTROL!$C$27, 0.0021, 0)</f>
        <v>82.9024</v>
      </c>
      <c r="C803" s="14">
        <f>82.4681 * CHOOSE(CONTROL!$C$9, $D$9, 100%, $F$9) + CHOOSE(CONTROL!$C$27, 0.0021, 0)</f>
        <v>82.470200000000006</v>
      </c>
      <c r="D803" s="14">
        <f>82.4681 * CHOOSE(CONTROL!$C$9, $D$9, 100%, $F$9) + CHOOSE(CONTROL!$C$27, 0.0021, 0)</f>
        <v>82.470200000000006</v>
      </c>
      <c r="E803" s="14">
        <f>82.3314 * CHOOSE(CONTROL!$C$9, $D$9, 100%, $F$9) + CHOOSE(CONTROL!$C$27, 0.0021, 0)</f>
        <v>82.333500000000001</v>
      </c>
      <c r="F803" s="14">
        <f>82.3314 * CHOOSE(CONTROL!$C$9, $D$9, 100%, $F$9) + CHOOSE(CONTROL!$C$27, 0.0021, 0)</f>
        <v>82.333500000000001</v>
      </c>
      <c r="G803" s="14">
        <f>82.6028 * CHOOSE(CONTROL!$C$9, $D$9, 100%, $F$9) + CHOOSE(CONTROL!$C$27, 0.0021, 0)</f>
        <v>82.604900000000001</v>
      </c>
      <c r="H803" s="14">
        <f>82.4681 * CHOOSE(CONTROL!$C$9, $D$9, 100%, $F$9) + CHOOSE(CONTROL!$C$27, 0.0021, 0)</f>
        <v>82.470200000000006</v>
      </c>
      <c r="I803" s="14">
        <f>82.4681 * CHOOSE(CONTROL!$C$9, $D$9, 100%, $F$9) + CHOOSE(CONTROL!$C$27, 0.0021, 0)</f>
        <v>82.470200000000006</v>
      </c>
      <c r="J803" s="14">
        <f>82.4681 * CHOOSE(CONTROL!$C$9, $D$9, 100%, $F$9) + CHOOSE(CONTROL!$C$27, 0.0021, 0)</f>
        <v>82.470200000000006</v>
      </c>
      <c r="K803" s="14">
        <f>82.4681 * CHOOSE(CONTROL!$C$9, $D$9, 100%, $F$9) + CHOOSE(CONTROL!$C$27, 0.0021, 0)</f>
        <v>82.470200000000006</v>
      </c>
      <c r="L803" s="14"/>
    </row>
    <row r="804" spans="1:12" ht="15.75" x14ac:dyDescent="0.25">
      <c r="A804" s="32">
        <v>65411</v>
      </c>
      <c r="B804" s="14">
        <f>82.4204 * CHOOSE(CONTROL!$C$9, $D$9, 100%, $F$9) + CHOOSE(CONTROL!$C$27, 0.0021, 0)</f>
        <v>82.422499999999999</v>
      </c>
      <c r="C804" s="14">
        <f>81.9881 * CHOOSE(CONTROL!$C$9, $D$9, 100%, $F$9) + CHOOSE(CONTROL!$C$27, 0.0021, 0)</f>
        <v>81.990200000000002</v>
      </c>
      <c r="D804" s="14">
        <f>81.9881 * CHOOSE(CONTROL!$C$9, $D$9, 100%, $F$9) + CHOOSE(CONTROL!$C$27, 0.0021, 0)</f>
        <v>81.990200000000002</v>
      </c>
      <c r="E804" s="14">
        <f>81.8515 * CHOOSE(CONTROL!$C$9, $D$9, 100%, $F$9) + CHOOSE(CONTROL!$C$27, 0.0021, 0)</f>
        <v>81.8536</v>
      </c>
      <c r="F804" s="14">
        <f>81.8515 * CHOOSE(CONTROL!$C$9, $D$9, 100%, $F$9) + CHOOSE(CONTROL!$C$27, 0.0021, 0)</f>
        <v>81.8536</v>
      </c>
      <c r="G804" s="14">
        <f>82.1229 * CHOOSE(CONTROL!$C$9, $D$9, 100%, $F$9) + CHOOSE(CONTROL!$C$27, 0.0021, 0)</f>
        <v>82.125</v>
      </c>
      <c r="H804" s="14">
        <f>81.9881 * CHOOSE(CONTROL!$C$9, $D$9, 100%, $F$9) + CHOOSE(CONTROL!$C$27, 0.0021, 0)</f>
        <v>81.990200000000002</v>
      </c>
      <c r="I804" s="14">
        <f>81.9881 * CHOOSE(CONTROL!$C$9, $D$9, 100%, $F$9) + CHOOSE(CONTROL!$C$27, 0.0021, 0)</f>
        <v>81.990200000000002</v>
      </c>
      <c r="J804" s="14">
        <f>81.9881 * CHOOSE(CONTROL!$C$9, $D$9, 100%, $F$9) + CHOOSE(CONTROL!$C$27, 0.0021, 0)</f>
        <v>81.990200000000002</v>
      </c>
      <c r="K804" s="14">
        <f>81.9881 * CHOOSE(CONTROL!$C$9, $D$9, 100%, $F$9) + CHOOSE(CONTROL!$C$27, 0.0021, 0)</f>
        <v>81.990200000000002</v>
      </c>
      <c r="L804" s="14"/>
    </row>
    <row r="805" spans="1:12" ht="15.75" x14ac:dyDescent="0.25">
      <c r="A805" s="32">
        <v>65439</v>
      </c>
      <c r="B805" s="14">
        <f>82.1977 * CHOOSE(CONTROL!$C$9, $D$9, 100%, $F$9) + CHOOSE(CONTROL!$C$27, 0.0021, 0)</f>
        <v>82.199799999999996</v>
      </c>
      <c r="C805" s="14">
        <f>81.7654 * CHOOSE(CONTROL!$C$9, $D$9, 100%, $F$9) + CHOOSE(CONTROL!$C$27, 0.0021, 0)</f>
        <v>81.767499999999998</v>
      </c>
      <c r="D805" s="14">
        <f>81.7654 * CHOOSE(CONTROL!$C$9, $D$9, 100%, $F$9) + CHOOSE(CONTROL!$C$27, 0.0021, 0)</f>
        <v>81.767499999999998</v>
      </c>
      <c r="E805" s="14">
        <f>81.6287 * CHOOSE(CONTROL!$C$9, $D$9, 100%, $F$9) + CHOOSE(CONTROL!$C$27, 0.0021, 0)</f>
        <v>81.630799999999994</v>
      </c>
      <c r="F805" s="14">
        <f>81.6287 * CHOOSE(CONTROL!$C$9, $D$9, 100%, $F$9) + CHOOSE(CONTROL!$C$27, 0.0021, 0)</f>
        <v>81.630799999999994</v>
      </c>
      <c r="G805" s="14">
        <f>81.9001 * CHOOSE(CONTROL!$C$9, $D$9, 100%, $F$9) + CHOOSE(CONTROL!$C$27, 0.0021, 0)</f>
        <v>81.902199999999993</v>
      </c>
      <c r="H805" s="14">
        <f>81.7654 * CHOOSE(CONTROL!$C$9, $D$9, 100%, $F$9) + CHOOSE(CONTROL!$C$27, 0.0021, 0)</f>
        <v>81.767499999999998</v>
      </c>
      <c r="I805" s="14">
        <f>81.7654 * CHOOSE(CONTROL!$C$9, $D$9, 100%, $F$9) + CHOOSE(CONTROL!$C$27, 0.0021, 0)</f>
        <v>81.767499999999998</v>
      </c>
      <c r="J805" s="14">
        <f>81.7654 * CHOOSE(CONTROL!$C$9, $D$9, 100%, $F$9) + CHOOSE(CONTROL!$C$27, 0.0021, 0)</f>
        <v>81.767499999999998</v>
      </c>
      <c r="K805" s="14">
        <f>81.7654 * CHOOSE(CONTROL!$C$9, $D$9, 100%, $F$9) + CHOOSE(CONTROL!$C$27, 0.0021, 0)</f>
        <v>81.767499999999998</v>
      </c>
      <c r="L805" s="14"/>
    </row>
    <row r="806" spans="1:12" ht="15.75" x14ac:dyDescent="0.25">
      <c r="A806" s="32">
        <v>65470</v>
      </c>
      <c r="B806" s="14">
        <f>86.4091 * CHOOSE(CONTROL!$C$9, $D$9, 100%, $F$9) + CHOOSE(CONTROL!$C$27, 0.0021, 0)</f>
        <v>86.411199999999994</v>
      </c>
      <c r="C806" s="14">
        <f>85.9769 * CHOOSE(CONTROL!$C$9, $D$9, 100%, $F$9) + CHOOSE(CONTROL!$C$27, 0.0021, 0)</f>
        <v>85.978999999999999</v>
      </c>
      <c r="D806" s="14">
        <f>85.9769 * CHOOSE(CONTROL!$C$9, $D$9, 100%, $F$9) + CHOOSE(CONTROL!$C$27, 0.0021, 0)</f>
        <v>85.978999999999999</v>
      </c>
      <c r="E806" s="14">
        <f>85.8402 * CHOOSE(CONTROL!$C$9, $D$9, 100%, $F$9) + CHOOSE(CONTROL!$C$27, 0.0021, 0)</f>
        <v>85.842299999999994</v>
      </c>
      <c r="F806" s="14">
        <f>85.8402 * CHOOSE(CONTROL!$C$9, $D$9, 100%, $F$9) + CHOOSE(CONTROL!$C$27, 0.0021, 0)</f>
        <v>85.842299999999994</v>
      </c>
      <c r="G806" s="14">
        <f>86.1116 * CHOOSE(CONTROL!$C$9, $D$9, 100%, $F$9) + CHOOSE(CONTROL!$C$27, 0.0021, 0)</f>
        <v>86.113699999999994</v>
      </c>
      <c r="H806" s="14">
        <f>85.9769 * CHOOSE(CONTROL!$C$9, $D$9, 100%, $F$9) + CHOOSE(CONTROL!$C$27, 0.0021, 0)</f>
        <v>85.978999999999999</v>
      </c>
      <c r="I806" s="14">
        <f>85.9769 * CHOOSE(CONTROL!$C$9, $D$9, 100%, $F$9) + CHOOSE(CONTROL!$C$27, 0.0021, 0)</f>
        <v>85.978999999999999</v>
      </c>
      <c r="J806" s="14">
        <f>85.9769 * CHOOSE(CONTROL!$C$9, $D$9, 100%, $F$9) + CHOOSE(CONTROL!$C$27, 0.0021, 0)</f>
        <v>85.978999999999999</v>
      </c>
      <c r="K806" s="14">
        <f>85.9769 * CHOOSE(CONTROL!$C$9, $D$9, 100%, $F$9) + CHOOSE(CONTROL!$C$27, 0.0021, 0)</f>
        <v>85.978999999999999</v>
      </c>
      <c r="L806" s="14"/>
    </row>
    <row r="807" spans="1:12" ht="15.75" x14ac:dyDescent="0.25">
      <c r="A807" s="32">
        <v>65500</v>
      </c>
      <c r="B807" s="14">
        <f>91.8704 * CHOOSE(CONTROL!$C$9, $D$9, 100%, $F$9) + CHOOSE(CONTROL!$C$27, 0.0021, 0)</f>
        <v>91.872500000000002</v>
      </c>
      <c r="C807" s="14">
        <f>91.4381 * CHOOSE(CONTROL!$C$9, $D$9, 100%, $F$9) + CHOOSE(CONTROL!$C$27, 0.0021, 0)</f>
        <v>91.440200000000004</v>
      </c>
      <c r="D807" s="14">
        <f>91.4381 * CHOOSE(CONTROL!$C$9, $D$9, 100%, $F$9) + CHOOSE(CONTROL!$C$27, 0.0021, 0)</f>
        <v>91.440200000000004</v>
      </c>
      <c r="E807" s="14">
        <f>91.3015 * CHOOSE(CONTROL!$C$9, $D$9, 100%, $F$9) + CHOOSE(CONTROL!$C$27, 0.0021, 0)</f>
        <v>91.303600000000003</v>
      </c>
      <c r="F807" s="14">
        <f>91.3015 * CHOOSE(CONTROL!$C$9, $D$9, 100%, $F$9) + CHOOSE(CONTROL!$C$27, 0.0021, 0)</f>
        <v>91.303600000000003</v>
      </c>
      <c r="G807" s="14">
        <f>91.5729 * CHOOSE(CONTROL!$C$9, $D$9, 100%, $F$9) + CHOOSE(CONTROL!$C$27, 0.0021, 0)</f>
        <v>91.575000000000003</v>
      </c>
      <c r="H807" s="14">
        <f>91.4381 * CHOOSE(CONTROL!$C$9, $D$9, 100%, $F$9) + CHOOSE(CONTROL!$C$27, 0.0021, 0)</f>
        <v>91.440200000000004</v>
      </c>
      <c r="I807" s="14">
        <f>91.4381 * CHOOSE(CONTROL!$C$9, $D$9, 100%, $F$9) + CHOOSE(CONTROL!$C$27, 0.0021, 0)</f>
        <v>91.440200000000004</v>
      </c>
      <c r="J807" s="14">
        <f>91.4381 * CHOOSE(CONTROL!$C$9, $D$9, 100%, $F$9) + CHOOSE(CONTROL!$C$27, 0.0021, 0)</f>
        <v>91.440200000000004</v>
      </c>
      <c r="K807" s="14">
        <f>91.4381 * CHOOSE(CONTROL!$C$9, $D$9, 100%, $F$9) + CHOOSE(CONTROL!$C$27, 0.0021, 0)</f>
        <v>91.440200000000004</v>
      </c>
      <c r="L807" s="14"/>
    </row>
    <row r="808" spans="1:12" ht="15.75" x14ac:dyDescent="0.25">
      <c r="A808" s="32">
        <v>65531</v>
      </c>
      <c r="B808" s="14">
        <f>94.8765 * CHOOSE(CONTROL!$C$9, $D$9, 100%, $F$9) + CHOOSE(CONTROL!$C$27, 0.0021, 0)</f>
        <v>94.878599999999992</v>
      </c>
      <c r="C808" s="14">
        <f>94.4442 * CHOOSE(CONTROL!$C$9, $D$9, 100%, $F$9) + CHOOSE(CONTROL!$C$27, 0.0021, 0)</f>
        <v>94.446299999999994</v>
      </c>
      <c r="D808" s="14">
        <f>94.4442 * CHOOSE(CONTROL!$C$9, $D$9, 100%, $F$9) + CHOOSE(CONTROL!$C$27, 0.0021, 0)</f>
        <v>94.446299999999994</v>
      </c>
      <c r="E808" s="14">
        <f>94.3076 * CHOOSE(CONTROL!$C$9, $D$9, 100%, $F$9) + CHOOSE(CONTROL!$C$27, 0.0021, 0)</f>
        <v>94.309699999999992</v>
      </c>
      <c r="F808" s="14">
        <f>94.3076 * CHOOSE(CONTROL!$C$9, $D$9, 100%, $F$9) + CHOOSE(CONTROL!$C$27, 0.0021, 0)</f>
        <v>94.309699999999992</v>
      </c>
      <c r="G808" s="14">
        <f>94.5789 * CHOOSE(CONTROL!$C$9, $D$9, 100%, $F$9) + CHOOSE(CONTROL!$C$27, 0.0021, 0)</f>
        <v>94.581000000000003</v>
      </c>
      <c r="H808" s="14">
        <f>94.4442 * CHOOSE(CONTROL!$C$9, $D$9, 100%, $F$9) + CHOOSE(CONTROL!$C$27, 0.0021, 0)</f>
        <v>94.446299999999994</v>
      </c>
      <c r="I808" s="14">
        <f>94.4442 * CHOOSE(CONTROL!$C$9, $D$9, 100%, $F$9) + CHOOSE(CONTROL!$C$27, 0.0021, 0)</f>
        <v>94.446299999999994</v>
      </c>
      <c r="J808" s="14">
        <f>94.4442 * CHOOSE(CONTROL!$C$9, $D$9, 100%, $F$9) + CHOOSE(CONTROL!$C$27, 0.0021, 0)</f>
        <v>94.446299999999994</v>
      </c>
      <c r="K808" s="14">
        <f>94.4442 * CHOOSE(CONTROL!$C$9, $D$9, 100%, $F$9) + CHOOSE(CONTROL!$C$27, 0.0021, 0)</f>
        <v>94.446299999999994</v>
      </c>
      <c r="L808" s="14"/>
    </row>
    <row r="809" spans="1:12" ht="15.75" x14ac:dyDescent="0.25">
      <c r="A809" s="32">
        <v>65561</v>
      </c>
      <c r="B809" s="14">
        <f>96.2105 * CHOOSE(CONTROL!$C$9, $D$9, 100%, $F$9) + CHOOSE(CONTROL!$C$27, 0.0021, 0)</f>
        <v>96.212599999999995</v>
      </c>
      <c r="C809" s="14">
        <f>95.7782 * CHOOSE(CONTROL!$C$9, $D$9, 100%, $F$9) + CHOOSE(CONTROL!$C$27, 0.0021, 0)</f>
        <v>95.780299999999997</v>
      </c>
      <c r="D809" s="14">
        <f>95.7782 * CHOOSE(CONTROL!$C$9, $D$9, 100%, $F$9) + CHOOSE(CONTROL!$C$27, 0.0021, 0)</f>
        <v>95.780299999999997</v>
      </c>
      <c r="E809" s="14">
        <f>95.6416 * CHOOSE(CONTROL!$C$9, $D$9, 100%, $F$9) + CHOOSE(CONTROL!$C$27, 0.0021, 0)</f>
        <v>95.643699999999995</v>
      </c>
      <c r="F809" s="14">
        <f>95.6416 * CHOOSE(CONTROL!$C$9, $D$9, 100%, $F$9) + CHOOSE(CONTROL!$C$27, 0.0021, 0)</f>
        <v>95.643699999999995</v>
      </c>
      <c r="G809" s="14">
        <f>95.913 * CHOOSE(CONTROL!$C$9, $D$9, 100%, $F$9) + CHOOSE(CONTROL!$C$27, 0.0021, 0)</f>
        <v>95.915099999999995</v>
      </c>
      <c r="H809" s="14">
        <f>95.7782 * CHOOSE(CONTROL!$C$9, $D$9, 100%, $F$9) + CHOOSE(CONTROL!$C$27, 0.0021, 0)</f>
        <v>95.780299999999997</v>
      </c>
      <c r="I809" s="14">
        <f>95.7782 * CHOOSE(CONTROL!$C$9, $D$9, 100%, $F$9) + CHOOSE(CONTROL!$C$27, 0.0021, 0)</f>
        <v>95.780299999999997</v>
      </c>
      <c r="J809" s="14">
        <f>95.7782 * CHOOSE(CONTROL!$C$9, $D$9, 100%, $F$9) + CHOOSE(CONTROL!$C$27, 0.0021, 0)</f>
        <v>95.780299999999997</v>
      </c>
      <c r="K809" s="14">
        <f>95.7782 * CHOOSE(CONTROL!$C$9, $D$9, 100%, $F$9) + CHOOSE(CONTROL!$C$27, 0.0021, 0)</f>
        <v>95.780299999999997</v>
      </c>
      <c r="L809" s="14"/>
    </row>
    <row r="810" spans="1:12" ht="15.75" x14ac:dyDescent="0.25">
      <c r="A810" s="32">
        <v>65592</v>
      </c>
      <c r="B810" s="14">
        <f>95.7713 * CHOOSE(CONTROL!$C$9, $D$9, 100%, $F$9) + CHOOSE(CONTROL!$C$27, 0.0021, 0)</f>
        <v>95.773399999999995</v>
      </c>
      <c r="C810" s="14">
        <f>95.339 * CHOOSE(CONTROL!$C$9, $D$9, 100%, $F$9) + CHOOSE(CONTROL!$C$27, 0.0021, 0)</f>
        <v>95.341099999999997</v>
      </c>
      <c r="D810" s="14">
        <f>95.339 * CHOOSE(CONTROL!$C$9, $D$9, 100%, $F$9) + CHOOSE(CONTROL!$C$27, 0.0021, 0)</f>
        <v>95.341099999999997</v>
      </c>
      <c r="E810" s="14">
        <f>95.2024 * CHOOSE(CONTROL!$C$9, $D$9, 100%, $F$9) + CHOOSE(CONTROL!$C$27, 0.0021, 0)</f>
        <v>95.204499999999996</v>
      </c>
      <c r="F810" s="14">
        <f>95.2024 * CHOOSE(CONTROL!$C$9, $D$9, 100%, $F$9) + CHOOSE(CONTROL!$C$27, 0.0021, 0)</f>
        <v>95.204499999999996</v>
      </c>
      <c r="G810" s="14">
        <f>95.4737 * CHOOSE(CONTROL!$C$9, $D$9, 100%, $F$9) + CHOOSE(CONTROL!$C$27, 0.0021, 0)</f>
        <v>95.475799999999992</v>
      </c>
      <c r="H810" s="14">
        <f>95.339 * CHOOSE(CONTROL!$C$9, $D$9, 100%, $F$9) + CHOOSE(CONTROL!$C$27, 0.0021, 0)</f>
        <v>95.341099999999997</v>
      </c>
      <c r="I810" s="14">
        <f>95.339 * CHOOSE(CONTROL!$C$9, $D$9, 100%, $F$9) + CHOOSE(CONTROL!$C$27, 0.0021, 0)</f>
        <v>95.341099999999997</v>
      </c>
      <c r="J810" s="14">
        <f>95.339 * CHOOSE(CONTROL!$C$9, $D$9, 100%, $F$9) + CHOOSE(CONTROL!$C$27, 0.0021, 0)</f>
        <v>95.341099999999997</v>
      </c>
      <c r="K810" s="14">
        <f>95.339 * CHOOSE(CONTROL!$C$9, $D$9, 100%, $F$9) + CHOOSE(CONTROL!$C$27, 0.0021, 0)</f>
        <v>95.341099999999997</v>
      </c>
      <c r="L810" s="14"/>
    </row>
    <row r="811" spans="1:12" ht="15.75" x14ac:dyDescent="0.25">
      <c r="A811" s="32">
        <v>65623</v>
      </c>
      <c r="B811" s="14">
        <f>93.5951 * CHOOSE(CONTROL!$C$9, $D$9, 100%, $F$9) + CHOOSE(CONTROL!$C$27, 0.0021, 0)</f>
        <v>93.597200000000001</v>
      </c>
      <c r="C811" s="14">
        <f>93.1629 * CHOOSE(CONTROL!$C$9, $D$9, 100%, $F$9) + CHOOSE(CONTROL!$C$27, 0.0021, 0)</f>
        <v>93.164999999999992</v>
      </c>
      <c r="D811" s="14">
        <f>93.1629 * CHOOSE(CONTROL!$C$9, $D$9, 100%, $F$9) + CHOOSE(CONTROL!$C$27, 0.0021, 0)</f>
        <v>93.164999999999992</v>
      </c>
      <c r="E811" s="14">
        <f>93.0262 * CHOOSE(CONTROL!$C$9, $D$9, 100%, $F$9) + CHOOSE(CONTROL!$C$27, 0.0021, 0)</f>
        <v>93.028300000000002</v>
      </c>
      <c r="F811" s="14">
        <f>93.0262 * CHOOSE(CONTROL!$C$9, $D$9, 100%, $F$9) + CHOOSE(CONTROL!$C$27, 0.0021, 0)</f>
        <v>93.028300000000002</v>
      </c>
      <c r="G811" s="14">
        <f>93.2976 * CHOOSE(CONTROL!$C$9, $D$9, 100%, $F$9) + CHOOSE(CONTROL!$C$27, 0.0021, 0)</f>
        <v>93.299700000000001</v>
      </c>
      <c r="H811" s="14">
        <f>93.1629 * CHOOSE(CONTROL!$C$9, $D$9, 100%, $F$9) + CHOOSE(CONTROL!$C$27, 0.0021, 0)</f>
        <v>93.164999999999992</v>
      </c>
      <c r="I811" s="14">
        <f>93.1629 * CHOOSE(CONTROL!$C$9, $D$9, 100%, $F$9) + CHOOSE(CONTROL!$C$27, 0.0021, 0)</f>
        <v>93.164999999999992</v>
      </c>
      <c r="J811" s="14">
        <f>93.1629 * CHOOSE(CONTROL!$C$9, $D$9, 100%, $F$9) + CHOOSE(CONTROL!$C$27, 0.0021, 0)</f>
        <v>93.164999999999992</v>
      </c>
      <c r="K811" s="14">
        <f>93.1629 * CHOOSE(CONTROL!$C$9, $D$9, 100%, $F$9) + CHOOSE(CONTROL!$C$27, 0.0021, 0)</f>
        <v>93.164999999999992</v>
      </c>
      <c r="L811" s="14"/>
    </row>
    <row r="812" spans="1:12" ht="15.75" x14ac:dyDescent="0.25">
      <c r="A812" s="32">
        <v>65653</v>
      </c>
      <c r="B812" s="14">
        <f>90.5604 * CHOOSE(CONTROL!$C$9, $D$9, 100%, $F$9) + CHOOSE(CONTROL!$C$27, 0.0021, 0)</f>
        <v>90.5625</v>
      </c>
      <c r="C812" s="14">
        <f>90.1281 * CHOOSE(CONTROL!$C$9, $D$9, 100%, $F$9) + CHOOSE(CONTROL!$C$27, 0.0021, 0)</f>
        <v>90.130200000000002</v>
      </c>
      <c r="D812" s="14">
        <f>90.1281 * CHOOSE(CONTROL!$C$9, $D$9, 100%, $F$9) + CHOOSE(CONTROL!$C$27, 0.0021, 0)</f>
        <v>90.130200000000002</v>
      </c>
      <c r="E812" s="14">
        <f>89.9915 * CHOOSE(CONTROL!$C$9, $D$9, 100%, $F$9) + CHOOSE(CONTROL!$C$27, 0.0021, 0)</f>
        <v>89.993600000000001</v>
      </c>
      <c r="F812" s="14">
        <f>89.9915 * CHOOSE(CONTROL!$C$9, $D$9, 100%, $F$9) + CHOOSE(CONTROL!$C$27, 0.0021, 0)</f>
        <v>89.993600000000001</v>
      </c>
      <c r="G812" s="14">
        <f>90.2628 * CHOOSE(CONTROL!$C$9, $D$9, 100%, $F$9) + CHOOSE(CONTROL!$C$27, 0.0021, 0)</f>
        <v>90.264899999999997</v>
      </c>
      <c r="H812" s="14">
        <f>90.1281 * CHOOSE(CONTROL!$C$9, $D$9, 100%, $F$9) + CHOOSE(CONTROL!$C$27, 0.0021, 0)</f>
        <v>90.130200000000002</v>
      </c>
      <c r="I812" s="14">
        <f>90.1281 * CHOOSE(CONTROL!$C$9, $D$9, 100%, $F$9) + CHOOSE(CONTROL!$C$27, 0.0021, 0)</f>
        <v>90.130200000000002</v>
      </c>
      <c r="J812" s="14">
        <f>90.1281 * CHOOSE(CONTROL!$C$9, $D$9, 100%, $F$9) + CHOOSE(CONTROL!$C$27, 0.0021, 0)</f>
        <v>90.130200000000002</v>
      </c>
      <c r="K812" s="14">
        <f>90.1281 * CHOOSE(CONTROL!$C$9, $D$9, 100%, $F$9) + CHOOSE(CONTROL!$C$27, 0.0021, 0)</f>
        <v>90.130200000000002</v>
      </c>
      <c r="L812" s="14"/>
    </row>
    <row r="813" spans="1:12" ht="15.75" x14ac:dyDescent="0.25">
      <c r="A813" s="32">
        <v>65684</v>
      </c>
      <c r="B813" s="14">
        <f>87.508 * CHOOSE(CONTROL!$C$9, $D$9, 100%, $F$9) + CHOOSE(CONTROL!$C$27, 0.0021, 0)</f>
        <v>87.510099999999994</v>
      </c>
      <c r="C813" s="14">
        <f>87.0757 * CHOOSE(CONTROL!$C$9, $D$9, 100%, $F$9) + CHOOSE(CONTROL!$C$27, 0.0021, 0)</f>
        <v>87.077799999999996</v>
      </c>
      <c r="D813" s="14">
        <f>87.0757 * CHOOSE(CONTROL!$C$9, $D$9, 100%, $F$9) + CHOOSE(CONTROL!$C$27, 0.0021, 0)</f>
        <v>87.077799999999996</v>
      </c>
      <c r="E813" s="14">
        <f>86.9391 * CHOOSE(CONTROL!$C$9, $D$9, 100%, $F$9) + CHOOSE(CONTROL!$C$27, 0.0021, 0)</f>
        <v>86.941199999999995</v>
      </c>
      <c r="F813" s="14">
        <f>86.9391 * CHOOSE(CONTROL!$C$9, $D$9, 100%, $F$9) + CHOOSE(CONTROL!$C$27, 0.0021, 0)</f>
        <v>86.941199999999995</v>
      </c>
      <c r="G813" s="14">
        <f>87.2104 * CHOOSE(CONTROL!$C$9, $D$9, 100%, $F$9) + CHOOSE(CONTROL!$C$27, 0.0021, 0)</f>
        <v>87.212500000000006</v>
      </c>
      <c r="H813" s="14">
        <f>87.0757 * CHOOSE(CONTROL!$C$9, $D$9, 100%, $F$9) + CHOOSE(CONTROL!$C$27, 0.0021, 0)</f>
        <v>87.077799999999996</v>
      </c>
      <c r="I813" s="14">
        <f>87.0757 * CHOOSE(CONTROL!$C$9, $D$9, 100%, $F$9) + CHOOSE(CONTROL!$C$27, 0.0021, 0)</f>
        <v>87.077799999999996</v>
      </c>
      <c r="J813" s="14">
        <f>87.0757 * CHOOSE(CONTROL!$C$9, $D$9, 100%, $F$9) + CHOOSE(CONTROL!$C$27, 0.0021, 0)</f>
        <v>87.077799999999996</v>
      </c>
      <c r="K813" s="14">
        <f>87.0757 * CHOOSE(CONTROL!$C$9, $D$9, 100%, $F$9) + CHOOSE(CONTROL!$C$27, 0.0021, 0)</f>
        <v>87.077799999999996</v>
      </c>
      <c r="L813" s="14"/>
    </row>
    <row r="814" spans="1:12" ht="15.75" x14ac:dyDescent="0.25">
      <c r="A814" s="32">
        <v>65714</v>
      </c>
      <c r="B814" s="14">
        <f>86.9008 * CHOOSE(CONTROL!$C$9, $D$9, 100%, $F$9) + CHOOSE(CONTROL!$C$27, 0.0021, 0)</f>
        <v>86.902900000000002</v>
      </c>
      <c r="C814" s="14">
        <f>86.4685 * CHOOSE(CONTROL!$C$9, $D$9, 100%, $F$9) + CHOOSE(CONTROL!$C$27, 0.0021, 0)</f>
        <v>86.470600000000005</v>
      </c>
      <c r="D814" s="14">
        <f>86.4685 * CHOOSE(CONTROL!$C$9, $D$9, 100%, $F$9) + CHOOSE(CONTROL!$C$27, 0.0021, 0)</f>
        <v>86.470600000000005</v>
      </c>
      <c r="E814" s="14">
        <f>86.3319 * CHOOSE(CONTROL!$C$9, $D$9, 100%, $F$9) + CHOOSE(CONTROL!$C$27, 0.0021, 0)</f>
        <v>86.334000000000003</v>
      </c>
      <c r="F814" s="14">
        <f>86.3319 * CHOOSE(CONTROL!$C$9, $D$9, 100%, $F$9) + CHOOSE(CONTROL!$C$27, 0.0021, 0)</f>
        <v>86.334000000000003</v>
      </c>
      <c r="G814" s="14">
        <f>86.6033 * CHOOSE(CONTROL!$C$9, $D$9, 100%, $F$9) + CHOOSE(CONTROL!$C$27, 0.0021, 0)</f>
        <v>86.605400000000003</v>
      </c>
      <c r="H814" s="14">
        <f>86.4685 * CHOOSE(CONTROL!$C$9, $D$9, 100%, $F$9) + CHOOSE(CONTROL!$C$27, 0.0021, 0)</f>
        <v>86.470600000000005</v>
      </c>
      <c r="I814" s="14">
        <f>86.4685 * CHOOSE(CONTROL!$C$9, $D$9, 100%, $F$9) + CHOOSE(CONTROL!$C$27, 0.0021, 0)</f>
        <v>86.470600000000005</v>
      </c>
      <c r="J814" s="14">
        <f>86.4685 * CHOOSE(CONTROL!$C$9, $D$9, 100%, $F$9) + CHOOSE(CONTROL!$C$27, 0.0021, 0)</f>
        <v>86.470600000000005</v>
      </c>
      <c r="K814" s="14">
        <f>86.4685 * CHOOSE(CONTROL!$C$9, $D$9, 100%, $F$9) + CHOOSE(CONTROL!$C$27, 0.0021, 0)</f>
        <v>86.470600000000005</v>
      </c>
      <c r="L814" s="14"/>
    </row>
    <row r="815" spans="1:12" ht="15.75" x14ac:dyDescent="0.25">
      <c r="A815" s="32">
        <v>65745</v>
      </c>
      <c r="B815" s="14">
        <f>84.39 * CHOOSE(CONTROL!$C$9, $D$9, 100%, $F$9) + CHOOSE(CONTROL!$C$27, 0.0021, 0)</f>
        <v>84.392099999999999</v>
      </c>
      <c r="C815" s="14">
        <f>83.9578 * CHOOSE(CONTROL!$C$9, $D$9, 100%, $F$9) + CHOOSE(CONTROL!$C$27, 0.0021, 0)</f>
        <v>83.959900000000005</v>
      </c>
      <c r="D815" s="14">
        <f>83.9578 * CHOOSE(CONTROL!$C$9, $D$9, 100%, $F$9) + CHOOSE(CONTROL!$C$27, 0.0021, 0)</f>
        <v>83.959900000000005</v>
      </c>
      <c r="E815" s="14">
        <f>83.8211 * CHOOSE(CONTROL!$C$9, $D$9, 100%, $F$9) + CHOOSE(CONTROL!$C$27, 0.0021, 0)</f>
        <v>83.8232</v>
      </c>
      <c r="F815" s="14">
        <f>83.8211 * CHOOSE(CONTROL!$C$9, $D$9, 100%, $F$9) + CHOOSE(CONTROL!$C$27, 0.0021, 0)</f>
        <v>83.8232</v>
      </c>
      <c r="G815" s="14">
        <f>84.0925 * CHOOSE(CONTROL!$C$9, $D$9, 100%, $F$9) + CHOOSE(CONTROL!$C$27, 0.0021, 0)</f>
        <v>84.0946</v>
      </c>
      <c r="H815" s="14">
        <f>83.9578 * CHOOSE(CONTROL!$C$9, $D$9, 100%, $F$9) + CHOOSE(CONTROL!$C$27, 0.0021, 0)</f>
        <v>83.959900000000005</v>
      </c>
      <c r="I815" s="14">
        <f>83.9578 * CHOOSE(CONTROL!$C$9, $D$9, 100%, $F$9) + CHOOSE(CONTROL!$C$27, 0.0021, 0)</f>
        <v>83.959900000000005</v>
      </c>
      <c r="J815" s="14">
        <f>83.9578 * CHOOSE(CONTROL!$C$9, $D$9, 100%, $F$9) + CHOOSE(CONTROL!$C$27, 0.0021, 0)</f>
        <v>83.959900000000005</v>
      </c>
      <c r="K815" s="14">
        <f>83.9578 * CHOOSE(CONTROL!$C$9, $D$9, 100%, $F$9) + CHOOSE(CONTROL!$C$27, 0.0021, 0)</f>
        <v>83.959900000000005</v>
      </c>
      <c r="L815" s="14"/>
    </row>
    <row r="816" spans="1:12" ht="15.75" x14ac:dyDescent="0.25">
      <c r="A816" s="32">
        <v>65776</v>
      </c>
      <c r="B816" s="14">
        <f>83.9012 * CHOOSE(CONTROL!$C$9, $D$9, 100%, $F$9) + CHOOSE(CONTROL!$C$27, 0.0021, 0)</f>
        <v>83.903300000000002</v>
      </c>
      <c r="C816" s="14">
        <f>83.469 * CHOOSE(CONTROL!$C$9, $D$9, 100%, $F$9) + CHOOSE(CONTROL!$C$27, 0.0021, 0)</f>
        <v>83.471099999999993</v>
      </c>
      <c r="D816" s="14">
        <f>83.469 * CHOOSE(CONTROL!$C$9, $D$9, 100%, $F$9) + CHOOSE(CONTROL!$C$27, 0.0021, 0)</f>
        <v>83.471099999999993</v>
      </c>
      <c r="E816" s="14">
        <f>83.3323 * CHOOSE(CONTROL!$C$9, $D$9, 100%, $F$9) + CHOOSE(CONTROL!$C$27, 0.0021, 0)</f>
        <v>83.334400000000002</v>
      </c>
      <c r="F816" s="14">
        <f>83.3323 * CHOOSE(CONTROL!$C$9, $D$9, 100%, $F$9) + CHOOSE(CONTROL!$C$27, 0.0021, 0)</f>
        <v>83.334400000000002</v>
      </c>
      <c r="G816" s="14">
        <f>83.6037 * CHOOSE(CONTROL!$C$9, $D$9, 100%, $F$9) + CHOOSE(CONTROL!$C$27, 0.0021, 0)</f>
        <v>83.605800000000002</v>
      </c>
      <c r="H816" s="14">
        <f>83.469 * CHOOSE(CONTROL!$C$9, $D$9, 100%, $F$9) + CHOOSE(CONTROL!$C$27, 0.0021, 0)</f>
        <v>83.471099999999993</v>
      </c>
      <c r="I816" s="14">
        <f>83.469 * CHOOSE(CONTROL!$C$9, $D$9, 100%, $F$9) + CHOOSE(CONTROL!$C$27, 0.0021, 0)</f>
        <v>83.471099999999993</v>
      </c>
      <c r="J816" s="14">
        <f>83.469 * CHOOSE(CONTROL!$C$9, $D$9, 100%, $F$9) + CHOOSE(CONTROL!$C$27, 0.0021, 0)</f>
        <v>83.471099999999993</v>
      </c>
      <c r="K816" s="14">
        <f>83.469 * CHOOSE(CONTROL!$C$9, $D$9, 100%, $F$9) + CHOOSE(CONTROL!$C$27, 0.0021, 0)</f>
        <v>83.471099999999993</v>
      </c>
      <c r="L816" s="14"/>
    </row>
    <row r="817" spans="1:12" ht="15.75" x14ac:dyDescent="0.25">
      <c r="A817" s="32">
        <v>65805</v>
      </c>
      <c r="B817" s="14">
        <f>83.6744 * CHOOSE(CONTROL!$C$9, $D$9, 100%, $F$9) + CHOOSE(CONTROL!$C$27, 0.0021, 0)</f>
        <v>83.676500000000004</v>
      </c>
      <c r="C817" s="14">
        <f>83.2421 * CHOOSE(CONTROL!$C$9, $D$9, 100%, $F$9) + CHOOSE(CONTROL!$C$27, 0.0021, 0)</f>
        <v>83.244199999999992</v>
      </c>
      <c r="D817" s="14">
        <f>83.2421 * CHOOSE(CONTROL!$C$9, $D$9, 100%, $F$9) + CHOOSE(CONTROL!$C$27, 0.0021, 0)</f>
        <v>83.244199999999992</v>
      </c>
      <c r="E817" s="14">
        <f>83.1055 * CHOOSE(CONTROL!$C$9, $D$9, 100%, $F$9) + CHOOSE(CONTROL!$C$27, 0.0021, 0)</f>
        <v>83.107600000000005</v>
      </c>
      <c r="F817" s="14">
        <f>83.1055 * CHOOSE(CONTROL!$C$9, $D$9, 100%, $F$9) + CHOOSE(CONTROL!$C$27, 0.0021, 0)</f>
        <v>83.107600000000005</v>
      </c>
      <c r="G817" s="14">
        <f>83.3768 * CHOOSE(CONTROL!$C$9, $D$9, 100%, $F$9) + CHOOSE(CONTROL!$C$27, 0.0021, 0)</f>
        <v>83.378900000000002</v>
      </c>
      <c r="H817" s="14">
        <f>83.2421 * CHOOSE(CONTROL!$C$9, $D$9, 100%, $F$9) + CHOOSE(CONTROL!$C$27, 0.0021, 0)</f>
        <v>83.244199999999992</v>
      </c>
      <c r="I817" s="14">
        <f>83.2421 * CHOOSE(CONTROL!$C$9, $D$9, 100%, $F$9) + CHOOSE(CONTROL!$C$27, 0.0021, 0)</f>
        <v>83.244199999999992</v>
      </c>
      <c r="J817" s="14">
        <f>83.2421 * CHOOSE(CONTROL!$C$9, $D$9, 100%, $F$9) + CHOOSE(CONTROL!$C$27, 0.0021, 0)</f>
        <v>83.244199999999992</v>
      </c>
      <c r="K817" s="14">
        <f>83.2421 * CHOOSE(CONTROL!$C$9, $D$9, 100%, $F$9) + CHOOSE(CONTROL!$C$27, 0.0021, 0)</f>
        <v>83.244199999999992</v>
      </c>
      <c r="L817" s="14"/>
    </row>
    <row r="818" spans="1:12" ht="15.75" x14ac:dyDescent="0.25">
      <c r="A818" s="32">
        <v>65836</v>
      </c>
      <c r="B818" s="14">
        <f>87.9637 * CHOOSE(CONTROL!$C$9, $D$9, 100%, $F$9) + CHOOSE(CONTROL!$C$27, 0.0021, 0)</f>
        <v>87.965800000000002</v>
      </c>
      <c r="C818" s="14">
        <f>87.5314 * CHOOSE(CONTROL!$C$9, $D$9, 100%, $F$9) + CHOOSE(CONTROL!$C$27, 0.0021, 0)</f>
        <v>87.533500000000004</v>
      </c>
      <c r="D818" s="14">
        <f>87.5314 * CHOOSE(CONTROL!$C$9, $D$9, 100%, $F$9) + CHOOSE(CONTROL!$C$27, 0.0021, 0)</f>
        <v>87.533500000000004</v>
      </c>
      <c r="E818" s="14">
        <f>87.3948 * CHOOSE(CONTROL!$C$9, $D$9, 100%, $F$9) + CHOOSE(CONTROL!$C$27, 0.0021, 0)</f>
        <v>87.396900000000002</v>
      </c>
      <c r="F818" s="14">
        <f>87.3948 * CHOOSE(CONTROL!$C$9, $D$9, 100%, $F$9) + CHOOSE(CONTROL!$C$27, 0.0021, 0)</f>
        <v>87.396900000000002</v>
      </c>
      <c r="G818" s="14">
        <f>87.6661 * CHOOSE(CONTROL!$C$9, $D$9, 100%, $F$9) + CHOOSE(CONTROL!$C$27, 0.0021, 0)</f>
        <v>87.668199999999999</v>
      </c>
      <c r="H818" s="14">
        <f>87.5314 * CHOOSE(CONTROL!$C$9, $D$9, 100%, $F$9) + CHOOSE(CONTROL!$C$27, 0.0021, 0)</f>
        <v>87.533500000000004</v>
      </c>
      <c r="I818" s="14">
        <f>87.5314 * CHOOSE(CONTROL!$C$9, $D$9, 100%, $F$9) + CHOOSE(CONTROL!$C$27, 0.0021, 0)</f>
        <v>87.533500000000004</v>
      </c>
      <c r="J818" s="14">
        <f>87.5314 * CHOOSE(CONTROL!$C$9, $D$9, 100%, $F$9) + CHOOSE(CONTROL!$C$27, 0.0021, 0)</f>
        <v>87.533500000000004</v>
      </c>
      <c r="K818" s="14">
        <f>87.5314 * CHOOSE(CONTROL!$C$9, $D$9, 100%, $F$9) + CHOOSE(CONTROL!$C$27, 0.0021, 0)</f>
        <v>87.533500000000004</v>
      </c>
      <c r="L818" s="14"/>
    </row>
    <row r="819" spans="1:12" ht="15.75" x14ac:dyDescent="0.25">
      <c r="A819" s="32">
        <v>65866</v>
      </c>
      <c r="B819" s="14">
        <f>93.5259 * CHOOSE(CONTROL!$C$9, $D$9, 100%, $F$9) + CHOOSE(CONTROL!$C$27, 0.0021, 0)</f>
        <v>93.527999999999992</v>
      </c>
      <c r="C819" s="14">
        <f>93.0936 * CHOOSE(CONTROL!$C$9, $D$9, 100%, $F$9) + CHOOSE(CONTROL!$C$27, 0.0021, 0)</f>
        <v>93.095699999999994</v>
      </c>
      <c r="D819" s="14">
        <f>93.0936 * CHOOSE(CONTROL!$C$9, $D$9, 100%, $F$9) + CHOOSE(CONTROL!$C$27, 0.0021, 0)</f>
        <v>93.095699999999994</v>
      </c>
      <c r="E819" s="14">
        <f>92.957 * CHOOSE(CONTROL!$C$9, $D$9, 100%, $F$9) + CHOOSE(CONTROL!$C$27, 0.0021, 0)</f>
        <v>92.959099999999992</v>
      </c>
      <c r="F819" s="14">
        <f>92.957 * CHOOSE(CONTROL!$C$9, $D$9, 100%, $F$9) + CHOOSE(CONTROL!$C$27, 0.0021, 0)</f>
        <v>92.959099999999992</v>
      </c>
      <c r="G819" s="14">
        <f>93.2283 * CHOOSE(CONTROL!$C$9, $D$9, 100%, $F$9) + CHOOSE(CONTROL!$C$27, 0.0021, 0)</f>
        <v>93.230400000000003</v>
      </c>
      <c r="H819" s="14">
        <f>93.0936 * CHOOSE(CONTROL!$C$9, $D$9, 100%, $F$9) + CHOOSE(CONTROL!$C$27, 0.0021, 0)</f>
        <v>93.095699999999994</v>
      </c>
      <c r="I819" s="14">
        <f>93.0936 * CHOOSE(CONTROL!$C$9, $D$9, 100%, $F$9) + CHOOSE(CONTROL!$C$27, 0.0021, 0)</f>
        <v>93.095699999999994</v>
      </c>
      <c r="J819" s="14">
        <f>93.0936 * CHOOSE(CONTROL!$C$9, $D$9, 100%, $F$9) + CHOOSE(CONTROL!$C$27, 0.0021, 0)</f>
        <v>93.095699999999994</v>
      </c>
      <c r="K819" s="14">
        <f>93.0936 * CHOOSE(CONTROL!$C$9, $D$9, 100%, $F$9) + CHOOSE(CONTROL!$C$27, 0.0021, 0)</f>
        <v>93.095699999999994</v>
      </c>
      <c r="L819" s="14"/>
    </row>
    <row r="820" spans="1:12" ht="15.75" x14ac:dyDescent="0.25">
      <c r="A820" s="32">
        <v>65897</v>
      </c>
      <c r="B820" s="14">
        <f>96.5875 * CHOOSE(CONTROL!$C$9, $D$9, 100%, $F$9) + CHOOSE(CONTROL!$C$27, 0.0021, 0)</f>
        <v>96.589600000000004</v>
      </c>
      <c r="C820" s="14">
        <f>96.1552 * CHOOSE(CONTROL!$C$9, $D$9, 100%, $F$9) + CHOOSE(CONTROL!$C$27, 0.0021, 0)</f>
        <v>96.157299999999992</v>
      </c>
      <c r="D820" s="14">
        <f>96.1552 * CHOOSE(CONTROL!$C$9, $D$9, 100%, $F$9) + CHOOSE(CONTROL!$C$27, 0.0021, 0)</f>
        <v>96.157299999999992</v>
      </c>
      <c r="E820" s="14">
        <f>96.0186 * CHOOSE(CONTROL!$C$9, $D$9, 100%, $F$9) + CHOOSE(CONTROL!$C$27, 0.0021, 0)</f>
        <v>96.020700000000005</v>
      </c>
      <c r="F820" s="14">
        <f>96.0186 * CHOOSE(CONTROL!$C$9, $D$9, 100%, $F$9) + CHOOSE(CONTROL!$C$27, 0.0021, 0)</f>
        <v>96.020700000000005</v>
      </c>
      <c r="G820" s="14">
        <f>96.29 * CHOOSE(CONTROL!$C$9, $D$9, 100%, $F$9) + CHOOSE(CONTROL!$C$27, 0.0021, 0)</f>
        <v>96.292100000000005</v>
      </c>
      <c r="H820" s="14">
        <f>96.1552 * CHOOSE(CONTROL!$C$9, $D$9, 100%, $F$9) + CHOOSE(CONTROL!$C$27, 0.0021, 0)</f>
        <v>96.157299999999992</v>
      </c>
      <c r="I820" s="14">
        <f>96.1552 * CHOOSE(CONTROL!$C$9, $D$9, 100%, $F$9) + CHOOSE(CONTROL!$C$27, 0.0021, 0)</f>
        <v>96.157299999999992</v>
      </c>
      <c r="J820" s="14">
        <f>96.1552 * CHOOSE(CONTROL!$C$9, $D$9, 100%, $F$9) + CHOOSE(CONTROL!$C$27, 0.0021, 0)</f>
        <v>96.157299999999992</v>
      </c>
      <c r="K820" s="14">
        <f>96.1552 * CHOOSE(CONTROL!$C$9, $D$9, 100%, $F$9) + CHOOSE(CONTROL!$C$27, 0.0021, 0)</f>
        <v>96.157299999999992</v>
      </c>
      <c r="L820" s="14"/>
    </row>
    <row r="821" spans="1:12" ht="15.75" x14ac:dyDescent="0.25">
      <c r="A821" s="32">
        <v>65927</v>
      </c>
      <c r="B821" s="14">
        <f>97.9462 * CHOOSE(CONTROL!$C$9, $D$9, 100%, $F$9) + CHOOSE(CONTROL!$C$27, 0.0021, 0)</f>
        <v>97.948300000000003</v>
      </c>
      <c r="C821" s="14">
        <f>97.5139 * CHOOSE(CONTROL!$C$9, $D$9, 100%, $F$9) + CHOOSE(CONTROL!$C$27, 0.0021, 0)</f>
        <v>97.516000000000005</v>
      </c>
      <c r="D821" s="14">
        <f>97.5139 * CHOOSE(CONTROL!$C$9, $D$9, 100%, $F$9) + CHOOSE(CONTROL!$C$27, 0.0021, 0)</f>
        <v>97.516000000000005</v>
      </c>
      <c r="E821" s="14">
        <f>97.3773 * CHOOSE(CONTROL!$C$9, $D$9, 100%, $F$9) + CHOOSE(CONTROL!$C$27, 0.0021, 0)</f>
        <v>97.379400000000004</v>
      </c>
      <c r="F821" s="14">
        <f>97.3773 * CHOOSE(CONTROL!$C$9, $D$9, 100%, $F$9) + CHOOSE(CONTROL!$C$27, 0.0021, 0)</f>
        <v>97.379400000000004</v>
      </c>
      <c r="G821" s="14">
        <f>97.6486 * CHOOSE(CONTROL!$C$9, $D$9, 100%, $F$9) + CHOOSE(CONTROL!$C$27, 0.0021, 0)</f>
        <v>97.650700000000001</v>
      </c>
      <c r="H821" s="14">
        <f>97.5139 * CHOOSE(CONTROL!$C$9, $D$9, 100%, $F$9) + CHOOSE(CONTROL!$C$27, 0.0021, 0)</f>
        <v>97.516000000000005</v>
      </c>
      <c r="I821" s="14">
        <f>97.5139 * CHOOSE(CONTROL!$C$9, $D$9, 100%, $F$9) + CHOOSE(CONTROL!$C$27, 0.0021, 0)</f>
        <v>97.516000000000005</v>
      </c>
      <c r="J821" s="14">
        <f>97.5139 * CHOOSE(CONTROL!$C$9, $D$9, 100%, $F$9) + CHOOSE(CONTROL!$C$27, 0.0021, 0)</f>
        <v>97.516000000000005</v>
      </c>
      <c r="K821" s="14">
        <f>97.5139 * CHOOSE(CONTROL!$C$9, $D$9, 100%, $F$9) + CHOOSE(CONTROL!$C$27, 0.0021, 0)</f>
        <v>97.516000000000005</v>
      </c>
      <c r="L821" s="14"/>
    </row>
    <row r="822" spans="1:12" ht="15.75" x14ac:dyDescent="0.25">
      <c r="A822" s="32">
        <v>65958</v>
      </c>
      <c r="B822" s="14">
        <f>97.4988 * CHOOSE(CONTROL!$C$9, $D$9, 100%, $F$9) + CHOOSE(CONTROL!$C$27, 0.0021, 0)</f>
        <v>97.500900000000001</v>
      </c>
      <c r="C822" s="14">
        <f>97.0666 * CHOOSE(CONTROL!$C$9, $D$9, 100%, $F$9) + CHOOSE(CONTROL!$C$27, 0.0021, 0)</f>
        <v>97.068699999999993</v>
      </c>
      <c r="D822" s="14">
        <f>97.0666 * CHOOSE(CONTROL!$C$9, $D$9, 100%, $F$9) + CHOOSE(CONTROL!$C$27, 0.0021, 0)</f>
        <v>97.068699999999993</v>
      </c>
      <c r="E822" s="14">
        <f>96.9299 * CHOOSE(CONTROL!$C$9, $D$9, 100%, $F$9) + CHOOSE(CONTROL!$C$27, 0.0021, 0)</f>
        <v>96.932000000000002</v>
      </c>
      <c r="F822" s="14">
        <f>96.9299 * CHOOSE(CONTROL!$C$9, $D$9, 100%, $F$9) + CHOOSE(CONTROL!$C$27, 0.0021, 0)</f>
        <v>96.932000000000002</v>
      </c>
      <c r="G822" s="14">
        <f>97.2013 * CHOOSE(CONTROL!$C$9, $D$9, 100%, $F$9) + CHOOSE(CONTROL!$C$27, 0.0021, 0)</f>
        <v>97.203400000000002</v>
      </c>
      <c r="H822" s="14">
        <f>97.0666 * CHOOSE(CONTROL!$C$9, $D$9, 100%, $F$9) + CHOOSE(CONTROL!$C$27, 0.0021, 0)</f>
        <v>97.068699999999993</v>
      </c>
      <c r="I822" s="14">
        <f>97.0666 * CHOOSE(CONTROL!$C$9, $D$9, 100%, $F$9) + CHOOSE(CONTROL!$C$27, 0.0021, 0)</f>
        <v>97.068699999999993</v>
      </c>
      <c r="J822" s="14">
        <f>97.0666 * CHOOSE(CONTROL!$C$9, $D$9, 100%, $F$9) + CHOOSE(CONTROL!$C$27, 0.0021, 0)</f>
        <v>97.068699999999993</v>
      </c>
      <c r="K822" s="14">
        <f>97.0666 * CHOOSE(CONTROL!$C$9, $D$9, 100%, $F$9) + CHOOSE(CONTROL!$C$27, 0.0021, 0)</f>
        <v>97.068699999999993</v>
      </c>
      <c r="L822" s="14"/>
    </row>
    <row r="823" spans="1:12" ht="15.75" x14ac:dyDescent="0.25">
      <c r="A823" s="32">
        <v>65989</v>
      </c>
      <c r="B823" s="14">
        <f>95.2825 * CHOOSE(CONTROL!$C$9, $D$9, 100%, $F$9) + CHOOSE(CONTROL!$C$27, 0.0021, 0)</f>
        <v>95.284599999999998</v>
      </c>
      <c r="C823" s="14">
        <f>94.8502 * CHOOSE(CONTROL!$C$9, $D$9, 100%, $F$9) + CHOOSE(CONTROL!$C$27, 0.0021, 0)</f>
        <v>94.8523</v>
      </c>
      <c r="D823" s="14">
        <f>94.8502 * CHOOSE(CONTROL!$C$9, $D$9, 100%, $F$9) + CHOOSE(CONTROL!$C$27, 0.0021, 0)</f>
        <v>94.8523</v>
      </c>
      <c r="E823" s="14">
        <f>94.7136 * CHOOSE(CONTROL!$C$9, $D$9, 100%, $F$9) + CHOOSE(CONTROL!$C$27, 0.0021, 0)</f>
        <v>94.715699999999998</v>
      </c>
      <c r="F823" s="14">
        <f>94.7136 * CHOOSE(CONTROL!$C$9, $D$9, 100%, $F$9) + CHOOSE(CONTROL!$C$27, 0.0021, 0)</f>
        <v>94.715699999999998</v>
      </c>
      <c r="G823" s="14">
        <f>94.9849 * CHOOSE(CONTROL!$C$9, $D$9, 100%, $F$9) + CHOOSE(CONTROL!$C$27, 0.0021, 0)</f>
        <v>94.986999999999995</v>
      </c>
      <c r="H823" s="14">
        <f>94.8502 * CHOOSE(CONTROL!$C$9, $D$9, 100%, $F$9) + CHOOSE(CONTROL!$C$27, 0.0021, 0)</f>
        <v>94.8523</v>
      </c>
      <c r="I823" s="14">
        <f>94.8502 * CHOOSE(CONTROL!$C$9, $D$9, 100%, $F$9) + CHOOSE(CONTROL!$C$27, 0.0021, 0)</f>
        <v>94.8523</v>
      </c>
      <c r="J823" s="14">
        <f>94.8502 * CHOOSE(CONTROL!$C$9, $D$9, 100%, $F$9) + CHOOSE(CONTROL!$C$27, 0.0021, 0)</f>
        <v>94.8523</v>
      </c>
      <c r="K823" s="14">
        <f>94.8502 * CHOOSE(CONTROL!$C$9, $D$9, 100%, $F$9) + CHOOSE(CONTROL!$C$27, 0.0021, 0)</f>
        <v>94.8523</v>
      </c>
      <c r="L823" s="14"/>
    </row>
    <row r="824" spans="1:12" ht="15.75" x14ac:dyDescent="0.25">
      <c r="A824" s="32">
        <v>66019</v>
      </c>
      <c r="B824" s="14">
        <f>92.1916 * CHOOSE(CONTROL!$C$9, $D$9, 100%, $F$9) + CHOOSE(CONTROL!$C$27, 0.0021, 0)</f>
        <v>92.193699999999993</v>
      </c>
      <c r="C824" s="14">
        <f>91.7594 * CHOOSE(CONTROL!$C$9, $D$9, 100%, $F$9) + CHOOSE(CONTROL!$C$27, 0.0021, 0)</f>
        <v>91.761499999999998</v>
      </c>
      <c r="D824" s="14">
        <f>91.7594 * CHOOSE(CONTROL!$C$9, $D$9, 100%, $F$9) + CHOOSE(CONTROL!$C$27, 0.0021, 0)</f>
        <v>91.761499999999998</v>
      </c>
      <c r="E824" s="14">
        <f>91.6227 * CHOOSE(CONTROL!$C$9, $D$9, 100%, $F$9) + CHOOSE(CONTROL!$C$27, 0.0021, 0)</f>
        <v>91.624799999999993</v>
      </c>
      <c r="F824" s="14">
        <f>91.6227 * CHOOSE(CONTROL!$C$9, $D$9, 100%, $F$9) + CHOOSE(CONTROL!$C$27, 0.0021, 0)</f>
        <v>91.624799999999993</v>
      </c>
      <c r="G824" s="14">
        <f>91.8941 * CHOOSE(CONTROL!$C$9, $D$9, 100%, $F$9) + CHOOSE(CONTROL!$C$27, 0.0021, 0)</f>
        <v>91.896199999999993</v>
      </c>
      <c r="H824" s="14">
        <f>91.7594 * CHOOSE(CONTROL!$C$9, $D$9, 100%, $F$9) + CHOOSE(CONTROL!$C$27, 0.0021, 0)</f>
        <v>91.761499999999998</v>
      </c>
      <c r="I824" s="14">
        <f>91.7594 * CHOOSE(CONTROL!$C$9, $D$9, 100%, $F$9) + CHOOSE(CONTROL!$C$27, 0.0021, 0)</f>
        <v>91.761499999999998</v>
      </c>
      <c r="J824" s="14">
        <f>91.7594 * CHOOSE(CONTROL!$C$9, $D$9, 100%, $F$9) + CHOOSE(CONTROL!$C$27, 0.0021, 0)</f>
        <v>91.761499999999998</v>
      </c>
      <c r="K824" s="14">
        <f>91.7594 * CHOOSE(CONTROL!$C$9, $D$9, 100%, $F$9) + CHOOSE(CONTROL!$C$27, 0.0021, 0)</f>
        <v>91.761499999999998</v>
      </c>
      <c r="L824" s="14"/>
    </row>
    <row r="825" spans="1:12" ht="15.75" x14ac:dyDescent="0.25">
      <c r="A825" s="32">
        <v>66050</v>
      </c>
      <c r="B825" s="14">
        <f>89.0828 * CHOOSE(CONTROL!$C$9, $D$9, 100%, $F$9) + CHOOSE(CONTROL!$C$27, 0.0021, 0)</f>
        <v>89.084900000000005</v>
      </c>
      <c r="C825" s="14">
        <f>88.6506 * CHOOSE(CONTROL!$C$9, $D$9, 100%, $F$9) + CHOOSE(CONTROL!$C$27, 0.0021, 0)</f>
        <v>88.652699999999996</v>
      </c>
      <c r="D825" s="14">
        <f>88.6506 * CHOOSE(CONTROL!$C$9, $D$9, 100%, $F$9) + CHOOSE(CONTROL!$C$27, 0.0021, 0)</f>
        <v>88.652699999999996</v>
      </c>
      <c r="E825" s="14">
        <f>88.5139 * CHOOSE(CONTROL!$C$9, $D$9, 100%, $F$9) + CHOOSE(CONTROL!$C$27, 0.0021, 0)</f>
        <v>88.516000000000005</v>
      </c>
      <c r="F825" s="14">
        <f>88.5139 * CHOOSE(CONTROL!$C$9, $D$9, 100%, $F$9) + CHOOSE(CONTROL!$C$27, 0.0021, 0)</f>
        <v>88.516000000000005</v>
      </c>
      <c r="G825" s="14">
        <f>88.7853 * CHOOSE(CONTROL!$C$9, $D$9, 100%, $F$9) + CHOOSE(CONTROL!$C$27, 0.0021, 0)</f>
        <v>88.787400000000005</v>
      </c>
      <c r="H825" s="14">
        <f>88.6506 * CHOOSE(CONTROL!$C$9, $D$9, 100%, $F$9) + CHOOSE(CONTROL!$C$27, 0.0021, 0)</f>
        <v>88.652699999999996</v>
      </c>
      <c r="I825" s="14">
        <f>88.6506 * CHOOSE(CONTROL!$C$9, $D$9, 100%, $F$9) + CHOOSE(CONTROL!$C$27, 0.0021, 0)</f>
        <v>88.652699999999996</v>
      </c>
      <c r="J825" s="14">
        <f>88.6506 * CHOOSE(CONTROL!$C$9, $D$9, 100%, $F$9) + CHOOSE(CONTROL!$C$27, 0.0021, 0)</f>
        <v>88.652699999999996</v>
      </c>
      <c r="K825" s="14">
        <f>88.6506 * CHOOSE(CONTROL!$C$9, $D$9, 100%, $F$9) + CHOOSE(CONTROL!$C$27, 0.0021, 0)</f>
        <v>88.652699999999996</v>
      </c>
      <c r="L825" s="14"/>
    </row>
    <row r="826" spans="1:12" ht="15.75" x14ac:dyDescent="0.25">
      <c r="A826" s="32">
        <v>66080</v>
      </c>
      <c r="B826" s="14">
        <f>88.4644 * CHOOSE(CONTROL!$C$9, $D$9, 100%, $F$9) + CHOOSE(CONTROL!$C$27, 0.0021, 0)</f>
        <v>88.466499999999996</v>
      </c>
      <c r="C826" s="14">
        <f>88.0322 * CHOOSE(CONTROL!$C$9, $D$9, 100%, $F$9) + CHOOSE(CONTROL!$C$27, 0.0021, 0)</f>
        <v>88.034300000000002</v>
      </c>
      <c r="D826" s="14">
        <f>88.0322 * CHOOSE(CONTROL!$C$9, $D$9, 100%, $F$9) + CHOOSE(CONTROL!$C$27, 0.0021, 0)</f>
        <v>88.034300000000002</v>
      </c>
      <c r="E826" s="14">
        <f>87.8955 * CHOOSE(CONTROL!$C$9, $D$9, 100%, $F$9) + CHOOSE(CONTROL!$C$27, 0.0021, 0)</f>
        <v>87.897599999999997</v>
      </c>
      <c r="F826" s="14">
        <f>87.8955 * CHOOSE(CONTROL!$C$9, $D$9, 100%, $F$9) + CHOOSE(CONTROL!$C$27, 0.0021, 0)</f>
        <v>87.897599999999997</v>
      </c>
      <c r="G826" s="14">
        <f>88.1669 * CHOOSE(CONTROL!$C$9, $D$9, 100%, $F$9) + CHOOSE(CONTROL!$C$27, 0.0021, 0)</f>
        <v>88.168999999999997</v>
      </c>
      <c r="H826" s="14">
        <f>88.0322 * CHOOSE(CONTROL!$C$9, $D$9, 100%, $F$9) + CHOOSE(CONTROL!$C$27, 0.0021, 0)</f>
        <v>88.034300000000002</v>
      </c>
      <c r="I826" s="14">
        <f>88.0322 * CHOOSE(CONTROL!$C$9, $D$9, 100%, $F$9) + CHOOSE(CONTROL!$C$27, 0.0021, 0)</f>
        <v>88.034300000000002</v>
      </c>
      <c r="J826" s="14">
        <f>88.0322 * CHOOSE(CONTROL!$C$9, $D$9, 100%, $F$9) + CHOOSE(CONTROL!$C$27, 0.0021, 0)</f>
        <v>88.034300000000002</v>
      </c>
      <c r="K826" s="14">
        <f>88.0322 * CHOOSE(CONTROL!$C$9, $D$9, 100%, $F$9) + CHOOSE(CONTROL!$C$27, 0.0021, 0)</f>
        <v>88.034300000000002</v>
      </c>
      <c r="L826" s="14"/>
    </row>
    <row r="827" spans="1:12" ht="15.75" x14ac:dyDescent="0.25">
      <c r="A827" s="32">
        <v>66111</v>
      </c>
      <c r="B827" s="14">
        <f>85.9073 * CHOOSE(CONTROL!$C$9, $D$9, 100%, $F$9) + CHOOSE(CONTROL!$C$27, 0.0021, 0)</f>
        <v>85.909400000000005</v>
      </c>
      <c r="C827" s="14">
        <f>85.475 * CHOOSE(CONTROL!$C$9, $D$9, 100%, $F$9) + CHOOSE(CONTROL!$C$27, 0.0021, 0)</f>
        <v>85.477099999999993</v>
      </c>
      <c r="D827" s="14">
        <f>85.475 * CHOOSE(CONTROL!$C$9, $D$9, 100%, $F$9) + CHOOSE(CONTROL!$C$27, 0.0021, 0)</f>
        <v>85.477099999999993</v>
      </c>
      <c r="E827" s="14">
        <f>85.3383 * CHOOSE(CONTROL!$C$9, $D$9, 100%, $F$9) + CHOOSE(CONTROL!$C$27, 0.0021, 0)</f>
        <v>85.340400000000002</v>
      </c>
      <c r="F827" s="14">
        <f>85.3383 * CHOOSE(CONTROL!$C$9, $D$9, 100%, $F$9) + CHOOSE(CONTROL!$C$27, 0.0021, 0)</f>
        <v>85.340400000000002</v>
      </c>
      <c r="G827" s="14">
        <f>85.6097 * CHOOSE(CONTROL!$C$9, $D$9, 100%, $F$9) + CHOOSE(CONTROL!$C$27, 0.0021, 0)</f>
        <v>85.611800000000002</v>
      </c>
      <c r="H827" s="14">
        <f>85.475 * CHOOSE(CONTROL!$C$9, $D$9, 100%, $F$9) + CHOOSE(CONTROL!$C$27, 0.0021, 0)</f>
        <v>85.477099999999993</v>
      </c>
      <c r="I827" s="14">
        <f>85.475 * CHOOSE(CONTROL!$C$9, $D$9, 100%, $F$9) + CHOOSE(CONTROL!$C$27, 0.0021, 0)</f>
        <v>85.477099999999993</v>
      </c>
      <c r="J827" s="14">
        <f>85.475 * CHOOSE(CONTROL!$C$9, $D$9, 100%, $F$9) + CHOOSE(CONTROL!$C$27, 0.0021, 0)</f>
        <v>85.477099999999993</v>
      </c>
      <c r="K827" s="14">
        <f>85.475 * CHOOSE(CONTROL!$C$9, $D$9, 100%, $F$9) + CHOOSE(CONTROL!$C$27, 0.0021, 0)</f>
        <v>85.477099999999993</v>
      </c>
      <c r="L827" s="14"/>
    </row>
    <row r="828" spans="1:12" ht="15.75" x14ac:dyDescent="0.25">
      <c r="A828" s="32">
        <v>66142</v>
      </c>
      <c r="B828" s="14">
        <f>85.4094 * CHOOSE(CONTROL!$C$9, $D$9, 100%, $F$9) + CHOOSE(CONTROL!$C$27, 0.0021, 0)</f>
        <v>85.411500000000004</v>
      </c>
      <c r="C828" s="14">
        <f>84.9772 * CHOOSE(CONTROL!$C$9, $D$9, 100%, $F$9) + CHOOSE(CONTROL!$C$27, 0.0021, 0)</f>
        <v>84.979299999999995</v>
      </c>
      <c r="D828" s="14">
        <f>84.9772 * CHOOSE(CONTROL!$C$9, $D$9, 100%, $F$9) + CHOOSE(CONTROL!$C$27, 0.0021, 0)</f>
        <v>84.979299999999995</v>
      </c>
      <c r="E828" s="14">
        <f>84.8405 * CHOOSE(CONTROL!$C$9, $D$9, 100%, $F$9) + CHOOSE(CONTROL!$C$27, 0.0021, 0)</f>
        <v>84.842600000000004</v>
      </c>
      <c r="F828" s="14">
        <f>84.8405 * CHOOSE(CONTROL!$C$9, $D$9, 100%, $F$9) + CHOOSE(CONTROL!$C$27, 0.0021, 0)</f>
        <v>84.842600000000004</v>
      </c>
      <c r="G828" s="14">
        <f>85.1119 * CHOOSE(CONTROL!$C$9, $D$9, 100%, $F$9) + CHOOSE(CONTROL!$C$27, 0.0021, 0)</f>
        <v>85.114000000000004</v>
      </c>
      <c r="H828" s="14">
        <f>84.9772 * CHOOSE(CONTROL!$C$9, $D$9, 100%, $F$9) + CHOOSE(CONTROL!$C$27, 0.0021, 0)</f>
        <v>84.979299999999995</v>
      </c>
      <c r="I828" s="14">
        <f>84.9772 * CHOOSE(CONTROL!$C$9, $D$9, 100%, $F$9) + CHOOSE(CONTROL!$C$27, 0.0021, 0)</f>
        <v>84.979299999999995</v>
      </c>
      <c r="J828" s="14">
        <f>84.9772 * CHOOSE(CONTROL!$C$9, $D$9, 100%, $F$9) + CHOOSE(CONTROL!$C$27, 0.0021, 0)</f>
        <v>84.979299999999995</v>
      </c>
      <c r="K828" s="14">
        <f>84.9772 * CHOOSE(CONTROL!$C$9, $D$9, 100%, $F$9) + CHOOSE(CONTROL!$C$27, 0.0021, 0)</f>
        <v>84.979299999999995</v>
      </c>
      <c r="L828" s="14"/>
    </row>
    <row r="829" spans="1:12" ht="15.75" x14ac:dyDescent="0.25">
      <c r="A829" s="32">
        <v>66170</v>
      </c>
      <c r="B829" s="14">
        <f>85.1784 * CHOOSE(CONTROL!$C$9, $D$9, 100%, $F$9) + CHOOSE(CONTROL!$C$27, 0.0021, 0)</f>
        <v>85.180499999999995</v>
      </c>
      <c r="C829" s="14">
        <f>84.7461 * CHOOSE(CONTROL!$C$9, $D$9, 100%, $F$9) + CHOOSE(CONTROL!$C$27, 0.0021, 0)</f>
        <v>84.748199999999997</v>
      </c>
      <c r="D829" s="14">
        <f>84.7461 * CHOOSE(CONTROL!$C$9, $D$9, 100%, $F$9) + CHOOSE(CONTROL!$C$27, 0.0021, 0)</f>
        <v>84.748199999999997</v>
      </c>
      <c r="E829" s="14">
        <f>84.6095 * CHOOSE(CONTROL!$C$9, $D$9, 100%, $F$9) + CHOOSE(CONTROL!$C$27, 0.0021, 0)</f>
        <v>84.611599999999996</v>
      </c>
      <c r="F829" s="14">
        <f>84.6095 * CHOOSE(CONTROL!$C$9, $D$9, 100%, $F$9) + CHOOSE(CONTROL!$C$27, 0.0021, 0)</f>
        <v>84.611599999999996</v>
      </c>
      <c r="G829" s="14">
        <f>84.8808 * CHOOSE(CONTROL!$C$9, $D$9, 100%, $F$9) + CHOOSE(CONTROL!$C$27, 0.0021, 0)</f>
        <v>84.882899999999992</v>
      </c>
      <c r="H829" s="14">
        <f>84.7461 * CHOOSE(CONTROL!$C$9, $D$9, 100%, $F$9) + CHOOSE(CONTROL!$C$27, 0.0021, 0)</f>
        <v>84.748199999999997</v>
      </c>
      <c r="I829" s="14">
        <f>84.7461 * CHOOSE(CONTROL!$C$9, $D$9, 100%, $F$9) + CHOOSE(CONTROL!$C$27, 0.0021, 0)</f>
        <v>84.748199999999997</v>
      </c>
      <c r="J829" s="14">
        <f>84.7461 * CHOOSE(CONTROL!$C$9, $D$9, 100%, $F$9) + CHOOSE(CONTROL!$C$27, 0.0021, 0)</f>
        <v>84.748199999999997</v>
      </c>
      <c r="K829" s="14">
        <f>84.7461 * CHOOSE(CONTROL!$C$9, $D$9, 100%, $F$9) + CHOOSE(CONTROL!$C$27, 0.0021, 0)</f>
        <v>84.748199999999997</v>
      </c>
      <c r="L829" s="14"/>
    </row>
    <row r="830" spans="1:12" ht="15.75" x14ac:dyDescent="0.25">
      <c r="A830" s="32">
        <v>66201</v>
      </c>
      <c r="B830" s="14">
        <f>89.5469 * CHOOSE(CONTROL!$C$9, $D$9, 100%, $F$9) + CHOOSE(CONTROL!$C$27, 0.0021, 0)</f>
        <v>89.548999999999992</v>
      </c>
      <c r="C830" s="14">
        <f>89.1147 * CHOOSE(CONTROL!$C$9, $D$9, 100%, $F$9) + CHOOSE(CONTROL!$C$27, 0.0021, 0)</f>
        <v>89.116799999999998</v>
      </c>
      <c r="D830" s="14">
        <f>89.1147 * CHOOSE(CONTROL!$C$9, $D$9, 100%, $F$9) + CHOOSE(CONTROL!$C$27, 0.0021, 0)</f>
        <v>89.116799999999998</v>
      </c>
      <c r="E830" s="14">
        <f>88.978 * CHOOSE(CONTROL!$C$9, $D$9, 100%, $F$9) + CHOOSE(CONTROL!$C$27, 0.0021, 0)</f>
        <v>88.980099999999993</v>
      </c>
      <c r="F830" s="14">
        <f>88.978 * CHOOSE(CONTROL!$C$9, $D$9, 100%, $F$9) + CHOOSE(CONTROL!$C$27, 0.0021, 0)</f>
        <v>88.980099999999993</v>
      </c>
      <c r="G830" s="14">
        <f>89.2494 * CHOOSE(CONTROL!$C$9, $D$9, 100%, $F$9) + CHOOSE(CONTROL!$C$27, 0.0021, 0)</f>
        <v>89.251499999999993</v>
      </c>
      <c r="H830" s="14">
        <f>89.1147 * CHOOSE(CONTROL!$C$9, $D$9, 100%, $F$9) + CHOOSE(CONTROL!$C$27, 0.0021, 0)</f>
        <v>89.116799999999998</v>
      </c>
      <c r="I830" s="14">
        <f>89.1147 * CHOOSE(CONTROL!$C$9, $D$9, 100%, $F$9) + CHOOSE(CONTROL!$C$27, 0.0021, 0)</f>
        <v>89.116799999999998</v>
      </c>
      <c r="J830" s="14">
        <f>89.1147 * CHOOSE(CONTROL!$C$9, $D$9, 100%, $F$9) + CHOOSE(CONTROL!$C$27, 0.0021, 0)</f>
        <v>89.116799999999998</v>
      </c>
      <c r="K830" s="14">
        <f>89.1147 * CHOOSE(CONTROL!$C$9, $D$9, 100%, $F$9) + CHOOSE(CONTROL!$C$27, 0.0021, 0)</f>
        <v>89.116799999999998</v>
      </c>
      <c r="L830" s="14"/>
    </row>
    <row r="831" spans="1:12" ht="15.75" x14ac:dyDescent="0.25">
      <c r="A831" s="32">
        <v>66231</v>
      </c>
      <c r="B831" s="14">
        <f>95.2119 * CHOOSE(CONTROL!$C$9, $D$9, 100%, $F$9) + CHOOSE(CONTROL!$C$27, 0.0021, 0)</f>
        <v>95.213999999999999</v>
      </c>
      <c r="C831" s="14">
        <f>94.7797 * CHOOSE(CONTROL!$C$9, $D$9, 100%, $F$9) + CHOOSE(CONTROL!$C$27, 0.0021, 0)</f>
        <v>94.781800000000004</v>
      </c>
      <c r="D831" s="14">
        <f>94.7797 * CHOOSE(CONTROL!$C$9, $D$9, 100%, $F$9) + CHOOSE(CONTROL!$C$27, 0.0021, 0)</f>
        <v>94.781800000000004</v>
      </c>
      <c r="E831" s="14">
        <f>94.643 * CHOOSE(CONTROL!$C$9, $D$9, 100%, $F$9) + CHOOSE(CONTROL!$C$27, 0.0021, 0)</f>
        <v>94.645099999999999</v>
      </c>
      <c r="F831" s="14">
        <f>94.643 * CHOOSE(CONTROL!$C$9, $D$9, 100%, $F$9) + CHOOSE(CONTROL!$C$27, 0.0021, 0)</f>
        <v>94.645099999999999</v>
      </c>
      <c r="G831" s="14">
        <f>94.9144 * CHOOSE(CONTROL!$C$9, $D$9, 100%, $F$9) + CHOOSE(CONTROL!$C$27, 0.0021, 0)</f>
        <v>94.916499999999999</v>
      </c>
      <c r="H831" s="14">
        <f>94.7797 * CHOOSE(CONTROL!$C$9, $D$9, 100%, $F$9) + CHOOSE(CONTROL!$C$27, 0.0021, 0)</f>
        <v>94.781800000000004</v>
      </c>
      <c r="I831" s="14">
        <f>94.7797 * CHOOSE(CONTROL!$C$9, $D$9, 100%, $F$9) + CHOOSE(CONTROL!$C$27, 0.0021, 0)</f>
        <v>94.781800000000004</v>
      </c>
      <c r="J831" s="14">
        <f>94.7797 * CHOOSE(CONTROL!$C$9, $D$9, 100%, $F$9) + CHOOSE(CONTROL!$C$27, 0.0021, 0)</f>
        <v>94.781800000000004</v>
      </c>
      <c r="K831" s="14">
        <f>94.7797 * CHOOSE(CONTROL!$C$9, $D$9, 100%, $F$9) + CHOOSE(CONTROL!$C$27, 0.0021, 0)</f>
        <v>94.781800000000004</v>
      </c>
      <c r="L831" s="14"/>
    </row>
    <row r="832" spans="1:12" ht="15.75" x14ac:dyDescent="0.25">
      <c r="A832" s="32">
        <v>66262</v>
      </c>
      <c r="B832" s="14">
        <f>98.3301 * CHOOSE(CONTROL!$C$9, $D$9, 100%, $F$9) + CHOOSE(CONTROL!$C$27, 0.0021, 0)</f>
        <v>98.3322</v>
      </c>
      <c r="C832" s="14">
        <f>97.8979 * CHOOSE(CONTROL!$C$9, $D$9, 100%, $F$9) + CHOOSE(CONTROL!$C$27, 0.0021, 0)</f>
        <v>97.9</v>
      </c>
      <c r="D832" s="14">
        <f>97.8979 * CHOOSE(CONTROL!$C$9, $D$9, 100%, $F$9) + CHOOSE(CONTROL!$C$27, 0.0021, 0)</f>
        <v>97.9</v>
      </c>
      <c r="E832" s="14">
        <f>97.7612 * CHOOSE(CONTROL!$C$9, $D$9, 100%, $F$9) + CHOOSE(CONTROL!$C$27, 0.0021, 0)</f>
        <v>97.763300000000001</v>
      </c>
      <c r="F832" s="14">
        <f>97.7612 * CHOOSE(CONTROL!$C$9, $D$9, 100%, $F$9) + CHOOSE(CONTROL!$C$27, 0.0021, 0)</f>
        <v>97.763300000000001</v>
      </c>
      <c r="G832" s="14">
        <f>98.0326 * CHOOSE(CONTROL!$C$9, $D$9, 100%, $F$9) + CHOOSE(CONTROL!$C$27, 0.0021, 0)</f>
        <v>98.034700000000001</v>
      </c>
      <c r="H832" s="14">
        <f>97.8979 * CHOOSE(CONTROL!$C$9, $D$9, 100%, $F$9) + CHOOSE(CONTROL!$C$27, 0.0021, 0)</f>
        <v>97.9</v>
      </c>
      <c r="I832" s="14">
        <f>97.8979 * CHOOSE(CONTROL!$C$9, $D$9, 100%, $F$9) + CHOOSE(CONTROL!$C$27, 0.0021, 0)</f>
        <v>97.9</v>
      </c>
      <c r="J832" s="14">
        <f>97.8979 * CHOOSE(CONTROL!$C$9, $D$9, 100%, $F$9) + CHOOSE(CONTROL!$C$27, 0.0021, 0)</f>
        <v>97.9</v>
      </c>
      <c r="K832" s="14">
        <f>97.8979 * CHOOSE(CONTROL!$C$9, $D$9, 100%, $F$9) + CHOOSE(CONTROL!$C$27, 0.0021, 0)</f>
        <v>97.9</v>
      </c>
      <c r="L832" s="14"/>
    </row>
    <row r="833" spans="1:12" ht="15.75" x14ac:dyDescent="0.25">
      <c r="A833" s="32">
        <v>66292</v>
      </c>
      <c r="B833" s="14">
        <f>99.7139 * CHOOSE(CONTROL!$C$9, $D$9, 100%, $F$9) + CHOOSE(CONTROL!$C$27, 0.0021, 0)</f>
        <v>99.715999999999994</v>
      </c>
      <c r="C833" s="14">
        <f>99.2817 * CHOOSE(CONTROL!$C$9, $D$9, 100%, $F$9) + CHOOSE(CONTROL!$C$27, 0.0021, 0)</f>
        <v>99.283799999999999</v>
      </c>
      <c r="D833" s="14">
        <f>99.2817 * CHOOSE(CONTROL!$C$9, $D$9, 100%, $F$9) + CHOOSE(CONTROL!$C$27, 0.0021, 0)</f>
        <v>99.283799999999999</v>
      </c>
      <c r="E833" s="14">
        <f>99.145 * CHOOSE(CONTROL!$C$9, $D$9, 100%, $F$9) + CHOOSE(CONTROL!$C$27, 0.0021, 0)</f>
        <v>99.147099999999995</v>
      </c>
      <c r="F833" s="14">
        <f>99.145 * CHOOSE(CONTROL!$C$9, $D$9, 100%, $F$9) + CHOOSE(CONTROL!$C$27, 0.0021, 0)</f>
        <v>99.147099999999995</v>
      </c>
      <c r="G833" s="14">
        <f>99.4164 * CHOOSE(CONTROL!$C$9, $D$9, 100%, $F$9) + CHOOSE(CONTROL!$C$27, 0.0021, 0)</f>
        <v>99.418499999999995</v>
      </c>
      <c r="H833" s="14">
        <f>99.2817 * CHOOSE(CONTROL!$C$9, $D$9, 100%, $F$9) + CHOOSE(CONTROL!$C$27, 0.0021, 0)</f>
        <v>99.283799999999999</v>
      </c>
      <c r="I833" s="14">
        <f>99.2817 * CHOOSE(CONTROL!$C$9, $D$9, 100%, $F$9) + CHOOSE(CONTROL!$C$27, 0.0021, 0)</f>
        <v>99.283799999999999</v>
      </c>
      <c r="J833" s="14">
        <f>99.2817 * CHOOSE(CONTROL!$C$9, $D$9, 100%, $F$9) + CHOOSE(CONTROL!$C$27, 0.0021, 0)</f>
        <v>99.283799999999999</v>
      </c>
      <c r="K833" s="14">
        <f>99.2817 * CHOOSE(CONTROL!$C$9, $D$9, 100%, $F$9) + CHOOSE(CONTROL!$C$27, 0.0021, 0)</f>
        <v>99.283799999999999</v>
      </c>
      <c r="L833" s="14"/>
    </row>
    <row r="834" spans="1:12" ht="15.75" x14ac:dyDescent="0.25">
      <c r="A834" s="32">
        <v>66323</v>
      </c>
      <c r="B834" s="14">
        <f>99.2583 * CHOOSE(CONTROL!$C$9, $D$9, 100%, $F$9) + CHOOSE(CONTROL!$C$27, 0.0021, 0)</f>
        <v>99.260400000000004</v>
      </c>
      <c r="C834" s="14">
        <f>98.8261 * CHOOSE(CONTROL!$C$9, $D$9, 100%, $F$9) + CHOOSE(CONTROL!$C$27, 0.0021, 0)</f>
        <v>98.828199999999995</v>
      </c>
      <c r="D834" s="14">
        <f>98.8261 * CHOOSE(CONTROL!$C$9, $D$9, 100%, $F$9) + CHOOSE(CONTROL!$C$27, 0.0021, 0)</f>
        <v>98.828199999999995</v>
      </c>
      <c r="E834" s="14">
        <f>98.6894 * CHOOSE(CONTROL!$C$9, $D$9, 100%, $F$9) + CHOOSE(CONTROL!$C$27, 0.0021, 0)</f>
        <v>98.691500000000005</v>
      </c>
      <c r="F834" s="14">
        <f>98.6894 * CHOOSE(CONTROL!$C$9, $D$9, 100%, $F$9) + CHOOSE(CONTROL!$C$27, 0.0021, 0)</f>
        <v>98.691500000000005</v>
      </c>
      <c r="G834" s="14">
        <f>98.9608 * CHOOSE(CONTROL!$C$9, $D$9, 100%, $F$9) + CHOOSE(CONTROL!$C$27, 0.0021, 0)</f>
        <v>98.962900000000005</v>
      </c>
      <c r="H834" s="14">
        <f>98.8261 * CHOOSE(CONTROL!$C$9, $D$9, 100%, $F$9) + CHOOSE(CONTROL!$C$27, 0.0021, 0)</f>
        <v>98.828199999999995</v>
      </c>
      <c r="I834" s="14">
        <f>98.8261 * CHOOSE(CONTROL!$C$9, $D$9, 100%, $F$9) + CHOOSE(CONTROL!$C$27, 0.0021, 0)</f>
        <v>98.828199999999995</v>
      </c>
      <c r="J834" s="14">
        <f>98.8261 * CHOOSE(CONTROL!$C$9, $D$9, 100%, $F$9) + CHOOSE(CONTROL!$C$27, 0.0021, 0)</f>
        <v>98.828199999999995</v>
      </c>
      <c r="K834" s="14">
        <f>98.8261 * CHOOSE(CONTROL!$C$9, $D$9, 100%, $F$9) + CHOOSE(CONTROL!$C$27, 0.0021, 0)</f>
        <v>98.828199999999995</v>
      </c>
      <c r="L834" s="14"/>
    </row>
    <row r="835" spans="1:12" ht="15.75" x14ac:dyDescent="0.25">
      <c r="A835" s="32">
        <v>66354</v>
      </c>
      <c r="B835" s="14">
        <f>97.001 * CHOOSE(CONTROL!$C$9, $D$9, 100%, $F$9) + CHOOSE(CONTROL!$C$27, 0.0021, 0)</f>
        <v>97.003100000000003</v>
      </c>
      <c r="C835" s="14">
        <f>96.5687 * CHOOSE(CONTROL!$C$9, $D$9, 100%, $F$9) + CHOOSE(CONTROL!$C$27, 0.0021, 0)</f>
        <v>96.570800000000006</v>
      </c>
      <c r="D835" s="14">
        <f>96.5687 * CHOOSE(CONTROL!$C$9, $D$9, 100%, $F$9) + CHOOSE(CONTROL!$C$27, 0.0021, 0)</f>
        <v>96.570800000000006</v>
      </c>
      <c r="E835" s="14">
        <f>96.4321 * CHOOSE(CONTROL!$C$9, $D$9, 100%, $F$9) + CHOOSE(CONTROL!$C$27, 0.0021, 0)</f>
        <v>96.434200000000004</v>
      </c>
      <c r="F835" s="14">
        <f>96.4321 * CHOOSE(CONTROL!$C$9, $D$9, 100%, $F$9) + CHOOSE(CONTROL!$C$27, 0.0021, 0)</f>
        <v>96.434200000000004</v>
      </c>
      <c r="G835" s="14">
        <f>96.7035 * CHOOSE(CONTROL!$C$9, $D$9, 100%, $F$9) + CHOOSE(CONTROL!$C$27, 0.0021, 0)</f>
        <v>96.705600000000004</v>
      </c>
      <c r="H835" s="14">
        <f>96.5687 * CHOOSE(CONTROL!$C$9, $D$9, 100%, $F$9) + CHOOSE(CONTROL!$C$27, 0.0021, 0)</f>
        <v>96.570800000000006</v>
      </c>
      <c r="I835" s="14">
        <f>96.5687 * CHOOSE(CONTROL!$C$9, $D$9, 100%, $F$9) + CHOOSE(CONTROL!$C$27, 0.0021, 0)</f>
        <v>96.570800000000006</v>
      </c>
      <c r="J835" s="14">
        <f>96.5687 * CHOOSE(CONTROL!$C$9, $D$9, 100%, $F$9) + CHOOSE(CONTROL!$C$27, 0.0021, 0)</f>
        <v>96.570800000000006</v>
      </c>
      <c r="K835" s="14">
        <f>96.5687 * CHOOSE(CONTROL!$C$9, $D$9, 100%, $F$9) + CHOOSE(CONTROL!$C$27, 0.0021, 0)</f>
        <v>96.570800000000006</v>
      </c>
      <c r="L835" s="14"/>
    </row>
    <row r="836" spans="1:12" ht="15.75" x14ac:dyDescent="0.25">
      <c r="A836" s="32">
        <v>66384</v>
      </c>
      <c r="B836" s="14">
        <f>93.853 * CHOOSE(CONTROL!$C$9, $D$9, 100%, $F$9) + CHOOSE(CONTROL!$C$27, 0.0021, 0)</f>
        <v>93.855099999999993</v>
      </c>
      <c r="C836" s="14">
        <f>93.4208 * CHOOSE(CONTROL!$C$9, $D$9, 100%, $F$9) + CHOOSE(CONTROL!$C$27, 0.0021, 0)</f>
        <v>93.422899999999998</v>
      </c>
      <c r="D836" s="14">
        <f>93.4208 * CHOOSE(CONTROL!$C$9, $D$9, 100%, $F$9) + CHOOSE(CONTROL!$C$27, 0.0021, 0)</f>
        <v>93.422899999999998</v>
      </c>
      <c r="E836" s="14">
        <f>93.2841 * CHOOSE(CONTROL!$C$9, $D$9, 100%, $F$9) + CHOOSE(CONTROL!$C$27, 0.0021, 0)</f>
        <v>93.286199999999994</v>
      </c>
      <c r="F836" s="14">
        <f>93.2841 * CHOOSE(CONTROL!$C$9, $D$9, 100%, $F$9) + CHOOSE(CONTROL!$C$27, 0.0021, 0)</f>
        <v>93.286199999999994</v>
      </c>
      <c r="G836" s="14">
        <f>93.5555 * CHOOSE(CONTROL!$C$9, $D$9, 100%, $F$9) + CHOOSE(CONTROL!$C$27, 0.0021, 0)</f>
        <v>93.557599999999994</v>
      </c>
      <c r="H836" s="14">
        <f>93.4208 * CHOOSE(CONTROL!$C$9, $D$9, 100%, $F$9) + CHOOSE(CONTROL!$C$27, 0.0021, 0)</f>
        <v>93.422899999999998</v>
      </c>
      <c r="I836" s="14">
        <f>93.4208 * CHOOSE(CONTROL!$C$9, $D$9, 100%, $F$9) + CHOOSE(CONTROL!$C$27, 0.0021, 0)</f>
        <v>93.422899999999998</v>
      </c>
      <c r="J836" s="14">
        <f>93.4208 * CHOOSE(CONTROL!$C$9, $D$9, 100%, $F$9) + CHOOSE(CONTROL!$C$27, 0.0021, 0)</f>
        <v>93.422899999999998</v>
      </c>
      <c r="K836" s="14">
        <f>93.4208 * CHOOSE(CONTROL!$C$9, $D$9, 100%, $F$9) + CHOOSE(CONTROL!$C$27, 0.0021, 0)</f>
        <v>93.422899999999998</v>
      </c>
      <c r="L836" s="14"/>
    </row>
    <row r="837" spans="1:12" ht="15.75" x14ac:dyDescent="0.25">
      <c r="A837" s="32">
        <v>66415</v>
      </c>
      <c r="B837" s="14">
        <f>90.6868 * CHOOSE(CONTROL!$C$9, $D$9, 100%, $F$9) + CHOOSE(CONTROL!$C$27, 0.0021, 0)</f>
        <v>90.688900000000004</v>
      </c>
      <c r="C837" s="14">
        <f>90.2545 * CHOOSE(CONTROL!$C$9, $D$9, 100%, $F$9) + CHOOSE(CONTROL!$C$27, 0.0021, 0)</f>
        <v>90.256599999999992</v>
      </c>
      <c r="D837" s="14">
        <f>90.2545 * CHOOSE(CONTROL!$C$9, $D$9, 100%, $F$9) + CHOOSE(CONTROL!$C$27, 0.0021, 0)</f>
        <v>90.256599999999992</v>
      </c>
      <c r="E837" s="14">
        <f>90.1179 * CHOOSE(CONTROL!$C$9, $D$9, 100%, $F$9) + CHOOSE(CONTROL!$C$27, 0.0021, 0)</f>
        <v>90.12</v>
      </c>
      <c r="F837" s="14">
        <f>90.1179 * CHOOSE(CONTROL!$C$9, $D$9, 100%, $F$9) + CHOOSE(CONTROL!$C$27, 0.0021, 0)</f>
        <v>90.12</v>
      </c>
      <c r="G837" s="14">
        <f>90.3892 * CHOOSE(CONTROL!$C$9, $D$9, 100%, $F$9) + CHOOSE(CONTROL!$C$27, 0.0021, 0)</f>
        <v>90.391300000000001</v>
      </c>
      <c r="H837" s="14">
        <f>90.2545 * CHOOSE(CONTROL!$C$9, $D$9, 100%, $F$9) + CHOOSE(CONTROL!$C$27, 0.0021, 0)</f>
        <v>90.256599999999992</v>
      </c>
      <c r="I837" s="14">
        <f>90.2545 * CHOOSE(CONTROL!$C$9, $D$9, 100%, $F$9) + CHOOSE(CONTROL!$C$27, 0.0021, 0)</f>
        <v>90.256599999999992</v>
      </c>
      <c r="J837" s="14">
        <f>90.2545 * CHOOSE(CONTROL!$C$9, $D$9, 100%, $F$9) + CHOOSE(CONTROL!$C$27, 0.0021, 0)</f>
        <v>90.256599999999992</v>
      </c>
      <c r="K837" s="14">
        <f>90.2545 * CHOOSE(CONTROL!$C$9, $D$9, 100%, $F$9) + CHOOSE(CONTROL!$C$27, 0.0021, 0)</f>
        <v>90.256599999999992</v>
      </c>
      <c r="L837" s="14"/>
    </row>
    <row r="838" spans="1:12" ht="15.75" x14ac:dyDescent="0.25">
      <c r="A838" s="32">
        <v>66445</v>
      </c>
      <c r="B838" s="14">
        <f>90.0569 * CHOOSE(CONTROL!$C$9, $D$9, 100%, $F$9) + CHOOSE(CONTROL!$C$27, 0.0021, 0)</f>
        <v>90.058999999999997</v>
      </c>
      <c r="C838" s="14">
        <f>89.6247 * CHOOSE(CONTROL!$C$9, $D$9, 100%, $F$9) + CHOOSE(CONTROL!$C$27, 0.0021, 0)</f>
        <v>89.626800000000003</v>
      </c>
      <c r="D838" s="14">
        <f>89.6247 * CHOOSE(CONTROL!$C$9, $D$9, 100%, $F$9) + CHOOSE(CONTROL!$C$27, 0.0021, 0)</f>
        <v>89.626800000000003</v>
      </c>
      <c r="E838" s="14">
        <f>89.488 * CHOOSE(CONTROL!$C$9, $D$9, 100%, $F$9) + CHOOSE(CONTROL!$C$27, 0.0021, 0)</f>
        <v>89.490099999999998</v>
      </c>
      <c r="F838" s="14">
        <f>89.488 * CHOOSE(CONTROL!$C$9, $D$9, 100%, $F$9) + CHOOSE(CONTROL!$C$27, 0.0021, 0)</f>
        <v>89.490099999999998</v>
      </c>
      <c r="G838" s="14">
        <f>89.7594 * CHOOSE(CONTROL!$C$9, $D$9, 100%, $F$9) + CHOOSE(CONTROL!$C$27, 0.0021, 0)</f>
        <v>89.761499999999998</v>
      </c>
      <c r="H838" s="14">
        <f>89.6247 * CHOOSE(CONTROL!$C$9, $D$9, 100%, $F$9) + CHOOSE(CONTROL!$C$27, 0.0021, 0)</f>
        <v>89.626800000000003</v>
      </c>
      <c r="I838" s="14">
        <f>89.6247 * CHOOSE(CONTROL!$C$9, $D$9, 100%, $F$9) + CHOOSE(CONTROL!$C$27, 0.0021, 0)</f>
        <v>89.626800000000003</v>
      </c>
      <c r="J838" s="14">
        <f>89.6247 * CHOOSE(CONTROL!$C$9, $D$9, 100%, $F$9) + CHOOSE(CONTROL!$C$27, 0.0021, 0)</f>
        <v>89.626800000000003</v>
      </c>
      <c r="K838" s="14">
        <f>89.6247 * CHOOSE(CONTROL!$C$9, $D$9, 100%, $F$9) + CHOOSE(CONTROL!$C$27, 0.0021, 0)</f>
        <v>89.626800000000003</v>
      </c>
      <c r="L838" s="14"/>
    </row>
    <row r="839" spans="1:12" ht="15.75" x14ac:dyDescent="0.25">
      <c r="A839" s="32">
        <v>66476</v>
      </c>
      <c r="B839" s="14">
        <f>87.4525 * CHOOSE(CONTROL!$C$9, $D$9, 100%, $F$9) + CHOOSE(CONTROL!$C$27, 0.0021, 0)</f>
        <v>87.454599999999999</v>
      </c>
      <c r="C839" s="14">
        <f>87.0203 * CHOOSE(CONTROL!$C$9, $D$9, 100%, $F$9) + CHOOSE(CONTROL!$C$27, 0.0021, 0)</f>
        <v>87.022400000000005</v>
      </c>
      <c r="D839" s="14">
        <f>87.0203 * CHOOSE(CONTROL!$C$9, $D$9, 100%, $F$9) + CHOOSE(CONTROL!$C$27, 0.0021, 0)</f>
        <v>87.022400000000005</v>
      </c>
      <c r="E839" s="14">
        <f>86.8836 * CHOOSE(CONTROL!$C$9, $D$9, 100%, $F$9) + CHOOSE(CONTROL!$C$27, 0.0021, 0)</f>
        <v>86.8857</v>
      </c>
      <c r="F839" s="14">
        <f>86.8836 * CHOOSE(CONTROL!$C$9, $D$9, 100%, $F$9) + CHOOSE(CONTROL!$C$27, 0.0021, 0)</f>
        <v>86.8857</v>
      </c>
      <c r="G839" s="14">
        <f>87.155 * CHOOSE(CONTROL!$C$9, $D$9, 100%, $F$9) + CHOOSE(CONTROL!$C$27, 0.0021, 0)</f>
        <v>87.1571</v>
      </c>
      <c r="H839" s="14">
        <f>87.0203 * CHOOSE(CONTROL!$C$9, $D$9, 100%, $F$9) + CHOOSE(CONTROL!$C$27, 0.0021, 0)</f>
        <v>87.022400000000005</v>
      </c>
      <c r="I839" s="14">
        <f>87.0203 * CHOOSE(CONTROL!$C$9, $D$9, 100%, $F$9) + CHOOSE(CONTROL!$C$27, 0.0021, 0)</f>
        <v>87.022400000000005</v>
      </c>
      <c r="J839" s="14">
        <f>87.0203 * CHOOSE(CONTROL!$C$9, $D$9, 100%, $F$9) + CHOOSE(CONTROL!$C$27, 0.0021, 0)</f>
        <v>87.022400000000005</v>
      </c>
      <c r="K839" s="14">
        <f>87.0203 * CHOOSE(CONTROL!$C$9, $D$9, 100%, $F$9) + CHOOSE(CONTROL!$C$27, 0.0021, 0)</f>
        <v>87.022400000000005</v>
      </c>
      <c r="L839" s="14"/>
    </row>
    <row r="840" spans="1:12" ht="15.75" x14ac:dyDescent="0.25">
      <c r="A840" s="32">
        <v>66507</v>
      </c>
      <c r="B840" s="14">
        <f>86.9455 * CHOOSE(CONTROL!$C$9, $D$9, 100%, $F$9) + CHOOSE(CONTROL!$C$27, 0.0021, 0)</f>
        <v>86.947599999999994</v>
      </c>
      <c r="C840" s="14">
        <f>86.5132 * CHOOSE(CONTROL!$C$9, $D$9, 100%, $F$9) + CHOOSE(CONTROL!$C$27, 0.0021, 0)</f>
        <v>86.515299999999996</v>
      </c>
      <c r="D840" s="14">
        <f>86.5132 * CHOOSE(CONTROL!$C$9, $D$9, 100%, $F$9) + CHOOSE(CONTROL!$C$27, 0.0021, 0)</f>
        <v>86.515299999999996</v>
      </c>
      <c r="E840" s="14">
        <f>86.3766 * CHOOSE(CONTROL!$C$9, $D$9, 100%, $F$9) + CHOOSE(CONTROL!$C$27, 0.0021, 0)</f>
        <v>86.378699999999995</v>
      </c>
      <c r="F840" s="14">
        <f>86.3766 * CHOOSE(CONTROL!$C$9, $D$9, 100%, $F$9) + CHOOSE(CONTROL!$C$27, 0.0021, 0)</f>
        <v>86.378699999999995</v>
      </c>
      <c r="G840" s="14">
        <f>86.6479 * CHOOSE(CONTROL!$C$9, $D$9, 100%, $F$9) + CHOOSE(CONTROL!$C$27, 0.0021, 0)</f>
        <v>86.65</v>
      </c>
      <c r="H840" s="14">
        <f>86.5132 * CHOOSE(CONTROL!$C$9, $D$9, 100%, $F$9) + CHOOSE(CONTROL!$C$27, 0.0021, 0)</f>
        <v>86.515299999999996</v>
      </c>
      <c r="I840" s="14">
        <f>86.5132 * CHOOSE(CONTROL!$C$9, $D$9, 100%, $F$9) + CHOOSE(CONTROL!$C$27, 0.0021, 0)</f>
        <v>86.515299999999996</v>
      </c>
      <c r="J840" s="14">
        <f>86.5132 * CHOOSE(CONTROL!$C$9, $D$9, 100%, $F$9) + CHOOSE(CONTROL!$C$27, 0.0021, 0)</f>
        <v>86.515299999999996</v>
      </c>
      <c r="K840" s="14">
        <f>86.5132 * CHOOSE(CONTROL!$C$9, $D$9, 100%, $F$9) + CHOOSE(CONTROL!$C$27, 0.0021, 0)</f>
        <v>86.515299999999996</v>
      </c>
      <c r="L840" s="14"/>
    </row>
    <row r="841" spans="1:12" ht="15.75" x14ac:dyDescent="0.25">
      <c r="A841" s="32">
        <v>66535</v>
      </c>
      <c r="B841" s="14">
        <f>86.7102 * CHOOSE(CONTROL!$C$9, $D$9, 100%, $F$9) + CHOOSE(CONTROL!$C$27, 0.0021, 0)</f>
        <v>86.712299999999999</v>
      </c>
      <c r="C841" s="14">
        <f>86.2779 * CHOOSE(CONTROL!$C$9, $D$9, 100%, $F$9) + CHOOSE(CONTROL!$C$27, 0.0021, 0)</f>
        <v>86.28</v>
      </c>
      <c r="D841" s="14">
        <f>86.2779 * CHOOSE(CONTROL!$C$9, $D$9, 100%, $F$9) + CHOOSE(CONTROL!$C$27, 0.0021, 0)</f>
        <v>86.28</v>
      </c>
      <c r="E841" s="14">
        <f>86.1413 * CHOOSE(CONTROL!$C$9, $D$9, 100%, $F$9) + CHOOSE(CONTROL!$C$27, 0.0021, 0)</f>
        <v>86.1434</v>
      </c>
      <c r="F841" s="14">
        <f>86.1413 * CHOOSE(CONTROL!$C$9, $D$9, 100%, $F$9) + CHOOSE(CONTROL!$C$27, 0.0021, 0)</f>
        <v>86.1434</v>
      </c>
      <c r="G841" s="14">
        <f>86.4126 * CHOOSE(CONTROL!$C$9, $D$9, 100%, $F$9) + CHOOSE(CONTROL!$C$27, 0.0021, 0)</f>
        <v>86.414699999999996</v>
      </c>
      <c r="H841" s="14">
        <f>86.2779 * CHOOSE(CONTROL!$C$9, $D$9, 100%, $F$9) + CHOOSE(CONTROL!$C$27, 0.0021, 0)</f>
        <v>86.28</v>
      </c>
      <c r="I841" s="14">
        <f>86.2779 * CHOOSE(CONTROL!$C$9, $D$9, 100%, $F$9) + CHOOSE(CONTROL!$C$27, 0.0021, 0)</f>
        <v>86.28</v>
      </c>
      <c r="J841" s="14">
        <f>86.2779 * CHOOSE(CONTROL!$C$9, $D$9, 100%, $F$9) + CHOOSE(CONTROL!$C$27, 0.0021, 0)</f>
        <v>86.28</v>
      </c>
      <c r="K841" s="14">
        <f>86.2779 * CHOOSE(CONTROL!$C$9, $D$9, 100%, $F$9) + CHOOSE(CONTROL!$C$27, 0.0021, 0)</f>
        <v>86.28</v>
      </c>
      <c r="L841" s="14"/>
    </row>
    <row r="842" spans="1:12" ht="15.75" x14ac:dyDescent="0.25">
      <c r="A842" s="32">
        <v>66566</v>
      </c>
      <c r="B842" s="14">
        <f>91.1595 * CHOOSE(CONTROL!$C$9, $D$9, 100%, $F$9) + CHOOSE(CONTROL!$C$27, 0.0021, 0)</f>
        <v>91.161599999999993</v>
      </c>
      <c r="C842" s="14">
        <f>90.7272 * CHOOSE(CONTROL!$C$9, $D$9, 100%, $F$9) + CHOOSE(CONTROL!$C$27, 0.0021, 0)</f>
        <v>90.729299999999995</v>
      </c>
      <c r="D842" s="14">
        <f>90.7272 * CHOOSE(CONTROL!$C$9, $D$9, 100%, $F$9) + CHOOSE(CONTROL!$C$27, 0.0021, 0)</f>
        <v>90.729299999999995</v>
      </c>
      <c r="E842" s="14">
        <f>90.5906 * CHOOSE(CONTROL!$C$9, $D$9, 100%, $F$9) + CHOOSE(CONTROL!$C$27, 0.0021, 0)</f>
        <v>90.592699999999994</v>
      </c>
      <c r="F842" s="14">
        <f>90.5906 * CHOOSE(CONTROL!$C$9, $D$9, 100%, $F$9) + CHOOSE(CONTROL!$C$27, 0.0021, 0)</f>
        <v>90.592699999999994</v>
      </c>
      <c r="G842" s="14">
        <f>90.8619 * CHOOSE(CONTROL!$C$9, $D$9, 100%, $F$9) + CHOOSE(CONTROL!$C$27, 0.0021, 0)</f>
        <v>90.864000000000004</v>
      </c>
      <c r="H842" s="14">
        <f>90.7272 * CHOOSE(CONTROL!$C$9, $D$9, 100%, $F$9) + CHOOSE(CONTROL!$C$27, 0.0021, 0)</f>
        <v>90.729299999999995</v>
      </c>
      <c r="I842" s="14">
        <f>90.7272 * CHOOSE(CONTROL!$C$9, $D$9, 100%, $F$9) + CHOOSE(CONTROL!$C$27, 0.0021, 0)</f>
        <v>90.729299999999995</v>
      </c>
      <c r="J842" s="14">
        <f>90.7272 * CHOOSE(CONTROL!$C$9, $D$9, 100%, $F$9) + CHOOSE(CONTROL!$C$27, 0.0021, 0)</f>
        <v>90.729299999999995</v>
      </c>
      <c r="K842" s="14">
        <f>90.7272 * CHOOSE(CONTROL!$C$9, $D$9, 100%, $F$9) + CHOOSE(CONTROL!$C$27, 0.0021, 0)</f>
        <v>90.729299999999995</v>
      </c>
      <c r="L842" s="14"/>
    </row>
    <row r="843" spans="1:12" ht="15.75" x14ac:dyDescent="0.25">
      <c r="A843" s="32">
        <v>66596</v>
      </c>
      <c r="B843" s="14">
        <f>96.9292 * CHOOSE(CONTROL!$C$9, $D$9, 100%, $F$9) + CHOOSE(CONTROL!$C$27, 0.0021, 0)</f>
        <v>96.931299999999993</v>
      </c>
      <c r="C843" s="14">
        <f>96.4969 * CHOOSE(CONTROL!$C$9, $D$9, 100%, $F$9) + CHOOSE(CONTROL!$C$27, 0.0021, 0)</f>
        <v>96.498999999999995</v>
      </c>
      <c r="D843" s="14">
        <f>96.4969 * CHOOSE(CONTROL!$C$9, $D$9, 100%, $F$9) + CHOOSE(CONTROL!$C$27, 0.0021, 0)</f>
        <v>96.498999999999995</v>
      </c>
      <c r="E843" s="14">
        <f>96.3602 * CHOOSE(CONTROL!$C$9, $D$9, 100%, $F$9) + CHOOSE(CONTROL!$C$27, 0.0021, 0)</f>
        <v>96.362300000000005</v>
      </c>
      <c r="F843" s="14">
        <f>96.3602 * CHOOSE(CONTROL!$C$9, $D$9, 100%, $F$9) + CHOOSE(CONTROL!$C$27, 0.0021, 0)</f>
        <v>96.362300000000005</v>
      </c>
      <c r="G843" s="14">
        <f>96.6316 * CHOOSE(CONTROL!$C$9, $D$9, 100%, $F$9) + CHOOSE(CONTROL!$C$27, 0.0021, 0)</f>
        <v>96.633700000000005</v>
      </c>
      <c r="H843" s="14">
        <f>96.4969 * CHOOSE(CONTROL!$C$9, $D$9, 100%, $F$9) + CHOOSE(CONTROL!$C$27, 0.0021, 0)</f>
        <v>96.498999999999995</v>
      </c>
      <c r="I843" s="14">
        <f>96.4969 * CHOOSE(CONTROL!$C$9, $D$9, 100%, $F$9) + CHOOSE(CONTROL!$C$27, 0.0021, 0)</f>
        <v>96.498999999999995</v>
      </c>
      <c r="J843" s="14">
        <f>96.4969 * CHOOSE(CONTROL!$C$9, $D$9, 100%, $F$9) + CHOOSE(CONTROL!$C$27, 0.0021, 0)</f>
        <v>96.498999999999995</v>
      </c>
      <c r="K843" s="14">
        <f>96.4969 * CHOOSE(CONTROL!$C$9, $D$9, 100%, $F$9) + CHOOSE(CONTROL!$C$27, 0.0021, 0)</f>
        <v>96.498999999999995</v>
      </c>
      <c r="L843" s="14"/>
    </row>
    <row r="844" spans="1:12" ht="15.75" x14ac:dyDescent="0.25">
      <c r="A844" s="32">
        <v>66627</v>
      </c>
      <c r="B844" s="14">
        <f>100.105 * CHOOSE(CONTROL!$C$9, $D$9, 100%, $F$9) + CHOOSE(CONTROL!$C$27, 0.0021, 0)</f>
        <v>100.1071</v>
      </c>
      <c r="C844" s="14">
        <f>99.6727 * CHOOSE(CONTROL!$C$9, $D$9, 100%, $F$9) + CHOOSE(CONTROL!$C$27, 0.0021, 0)</f>
        <v>99.674800000000005</v>
      </c>
      <c r="D844" s="14">
        <f>99.6727 * CHOOSE(CONTROL!$C$9, $D$9, 100%, $F$9) + CHOOSE(CONTROL!$C$27, 0.0021, 0)</f>
        <v>99.674800000000005</v>
      </c>
      <c r="E844" s="14">
        <f>99.5361 * CHOOSE(CONTROL!$C$9, $D$9, 100%, $F$9) + CHOOSE(CONTROL!$C$27, 0.0021, 0)</f>
        <v>99.538200000000003</v>
      </c>
      <c r="F844" s="14">
        <f>99.5361 * CHOOSE(CONTROL!$C$9, $D$9, 100%, $F$9) + CHOOSE(CONTROL!$C$27, 0.0021, 0)</f>
        <v>99.538200000000003</v>
      </c>
      <c r="G844" s="14">
        <f>99.8074 * CHOOSE(CONTROL!$C$9, $D$9, 100%, $F$9) + CHOOSE(CONTROL!$C$27, 0.0021, 0)</f>
        <v>99.8095</v>
      </c>
      <c r="H844" s="14">
        <f>99.6727 * CHOOSE(CONTROL!$C$9, $D$9, 100%, $F$9) + CHOOSE(CONTROL!$C$27, 0.0021, 0)</f>
        <v>99.674800000000005</v>
      </c>
      <c r="I844" s="14">
        <f>99.6727 * CHOOSE(CONTROL!$C$9, $D$9, 100%, $F$9) + CHOOSE(CONTROL!$C$27, 0.0021, 0)</f>
        <v>99.674800000000005</v>
      </c>
      <c r="J844" s="14">
        <f>99.6727 * CHOOSE(CONTROL!$C$9, $D$9, 100%, $F$9) + CHOOSE(CONTROL!$C$27, 0.0021, 0)</f>
        <v>99.674800000000005</v>
      </c>
      <c r="K844" s="14">
        <f>99.6727 * CHOOSE(CONTROL!$C$9, $D$9, 100%, $F$9) + CHOOSE(CONTROL!$C$27, 0.0021, 0)</f>
        <v>99.674800000000005</v>
      </c>
      <c r="L844" s="14"/>
    </row>
    <row r="845" spans="1:12" ht="15.75" x14ac:dyDescent="0.25">
      <c r="A845" s="32">
        <v>66657</v>
      </c>
      <c r="B845" s="14">
        <f>101.5144 * CHOOSE(CONTROL!$C$9, $D$9, 100%, $F$9) + CHOOSE(CONTROL!$C$27, 0.0021, 0)</f>
        <v>101.51649999999999</v>
      </c>
      <c r="C845" s="14">
        <f>101.0821 * CHOOSE(CONTROL!$C$9, $D$9, 100%, $F$9) + CHOOSE(CONTROL!$C$27, 0.0021, 0)</f>
        <v>101.0842</v>
      </c>
      <c r="D845" s="14">
        <f>101.0821 * CHOOSE(CONTROL!$C$9, $D$9, 100%, $F$9) + CHOOSE(CONTROL!$C$27, 0.0021, 0)</f>
        <v>101.0842</v>
      </c>
      <c r="E845" s="14">
        <f>100.9454 * CHOOSE(CONTROL!$C$9, $D$9, 100%, $F$9) + CHOOSE(CONTROL!$C$27, 0.0021, 0)</f>
        <v>100.94750000000001</v>
      </c>
      <c r="F845" s="14">
        <f>100.9454 * CHOOSE(CONTROL!$C$9, $D$9, 100%, $F$9) + CHOOSE(CONTROL!$C$27, 0.0021, 0)</f>
        <v>100.94750000000001</v>
      </c>
      <c r="G845" s="14">
        <f>101.2168 * CHOOSE(CONTROL!$C$9, $D$9, 100%, $F$9) + CHOOSE(CONTROL!$C$27, 0.0021, 0)</f>
        <v>101.2189</v>
      </c>
      <c r="H845" s="14">
        <f>101.0821 * CHOOSE(CONTROL!$C$9, $D$9, 100%, $F$9) + CHOOSE(CONTROL!$C$27, 0.0021, 0)</f>
        <v>101.0842</v>
      </c>
      <c r="I845" s="14">
        <f>101.0821 * CHOOSE(CONTROL!$C$9, $D$9, 100%, $F$9) + CHOOSE(CONTROL!$C$27, 0.0021, 0)</f>
        <v>101.0842</v>
      </c>
      <c r="J845" s="14">
        <f>101.0821 * CHOOSE(CONTROL!$C$9, $D$9, 100%, $F$9) + CHOOSE(CONTROL!$C$27, 0.0021, 0)</f>
        <v>101.0842</v>
      </c>
      <c r="K845" s="14">
        <f>101.0821 * CHOOSE(CONTROL!$C$9, $D$9, 100%, $F$9) + CHOOSE(CONTROL!$C$27, 0.0021, 0)</f>
        <v>101.0842</v>
      </c>
      <c r="L845" s="14"/>
    </row>
    <row r="846" spans="1:12" ht="15.75" x14ac:dyDescent="0.25">
      <c r="A846" s="32">
        <v>66688</v>
      </c>
      <c r="B846" s="14">
        <f>101.0503 * CHOOSE(CONTROL!$C$9, $D$9, 100%, $F$9) + CHOOSE(CONTROL!$C$27, 0.0021, 0)</f>
        <v>101.05239999999999</v>
      </c>
      <c r="C846" s="14">
        <f>100.6181 * CHOOSE(CONTROL!$C$9, $D$9, 100%, $F$9) + CHOOSE(CONTROL!$C$27, 0.0021, 0)</f>
        <v>100.6202</v>
      </c>
      <c r="D846" s="14">
        <f>100.6181 * CHOOSE(CONTROL!$C$9, $D$9, 100%, $F$9) + CHOOSE(CONTROL!$C$27, 0.0021, 0)</f>
        <v>100.6202</v>
      </c>
      <c r="E846" s="14">
        <f>100.4814 * CHOOSE(CONTROL!$C$9, $D$9, 100%, $F$9) + CHOOSE(CONTROL!$C$27, 0.0021, 0)</f>
        <v>100.48349999999999</v>
      </c>
      <c r="F846" s="14">
        <f>100.4814 * CHOOSE(CONTROL!$C$9, $D$9, 100%, $F$9) + CHOOSE(CONTROL!$C$27, 0.0021, 0)</f>
        <v>100.48349999999999</v>
      </c>
      <c r="G846" s="14">
        <f>100.7528 * CHOOSE(CONTROL!$C$9, $D$9, 100%, $F$9) + CHOOSE(CONTROL!$C$27, 0.0021, 0)</f>
        <v>100.75489999999999</v>
      </c>
      <c r="H846" s="14">
        <f>100.6181 * CHOOSE(CONTROL!$C$9, $D$9, 100%, $F$9) + CHOOSE(CONTROL!$C$27, 0.0021, 0)</f>
        <v>100.6202</v>
      </c>
      <c r="I846" s="14">
        <f>100.6181 * CHOOSE(CONTROL!$C$9, $D$9, 100%, $F$9) + CHOOSE(CONTROL!$C$27, 0.0021, 0)</f>
        <v>100.6202</v>
      </c>
      <c r="J846" s="14">
        <f>100.6181 * CHOOSE(CONTROL!$C$9, $D$9, 100%, $F$9) + CHOOSE(CONTROL!$C$27, 0.0021, 0)</f>
        <v>100.6202</v>
      </c>
      <c r="K846" s="14">
        <f>100.6181 * CHOOSE(CONTROL!$C$9, $D$9, 100%, $F$9) + CHOOSE(CONTROL!$C$27, 0.0021, 0)</f>
        <v>100.6202</v>
      </c>
      <c r="L846" s="14"/>
    </row>
    <row r="847" spans="1:12" ht="15.75" x14ac:dyDescent="0.25">
      <c r="A847" s="32">
        <v>66719</v>
      </c>
      <c r="B847" s="14">
        <f>98.7513 * CHOOSE(CONTROL!$C$9, $D$9, 100%, $F$9) + CHOOSE(CONTROL!$C$27, 0.0021, 0)</f>
        <v>98.753399999999999</v>
      </c>
      <c r="C847" s="14">
        <f>98.319 * CHOOSE(CONTROL!$C$9, $D$9, 100%, $F$9) + CHOOSE(CONTROL!$C$27, 0.0021, 0)</f>
        <v>98.321100000000001</v>
      </c>
      <c r="D847" s="14">
        <f>98.319 * CHOOSE(CONTROL!$C$9, $D$9, 100%, $F$9) + CHOOSE(CONTROL!$C$27, 0.0021, 0)</f>
        <v>98.321100000000001</v>
      </c>
      <c r="E847" s="14">
        <f>98.1824 * CHOOSE(CONTROL!$C$9, $D$9, 100%, $F$9) + CHOOSE(CONTROL!$C$27, 0.0021, 0)</f>
        <v>98.1845</v>
      </c>
      <c r="F847" s="14">
        <f>98.1824 * CHOOSE(CONTROL!$C$9, $D$9, 100%, $F$9) + CHOOSE(CONTROL!$C$27, 0.0021, 0)</f>
        <v>98.1845</v>
      </c>
      <c r="G847" s="14">
        <f>98.4537 * CHOOSE(CONTROL!$C$9, $D$9, 100%, $F$9) + CHOOSE(CONTROL!$C$27, 0.0021, 0)</f>
        <v>98.455799999999996</v>
      </c>
      <c r="H847" s="14">
        <f>98.319 * CHOOSE(CONTROL!$C$9, $D$9, 100%, $F$9) + CHOOSE(CONTROL!$C$27, 0.0021, 0)</f>
        <v>98.321100000000001</v>
      </c>
      <c r="I847" s="14">
        <f>98.319 * CHOOSE(CONTROL!$C$9, $D$9, 100%, $F$9) + CHOOSE(CONTROL!$C$27, 0.0021, 0)</f>
        <v>98.321100000000001</v>
      </c>
      <c r="J847" s="14">
        <f>98.319 * CHOOSE(CONTROL!$C$9, $D$9, 100%, $F$9) + CHOOSE(CONTROL!$C$27, 0.0021, 0)</f>
        <v>98.321100000000001</v>
      </c>
      <c r="K847" s="14">
        <f>98.319 * CHOOSE(CONTROL!$C$9, $D$9, 100%, $F$9) + CHOOSE(CONTROL!$C$27, 0.0021, 0)</f>
        <v>98.321100000000001</v>
      </c>
      <c r="L847" s="14"/>
    </row>
    <row r="848" spans="1:12" ht="15.75" x14ac:dyDescent="0.25">
      <c r="A848" s="32">
        <v>66749</v>
      </c>
      <c r="B848" s="14">
        <f>95.5451 * CHOOSE(CONTROL!$C$9, $D$9, 100%, $F$9) + CHOOSE(CONTROL!$C$27, 0.0021, 0)</f>
        <v>95.547200000000004</v>
      </c>
      <c r="C848" s="14">
        <f>95.1129 * CHOOSE(CONTROL!$C$9, $D$9, 100%, $F$9) + CHOOSE(CONTROL!$C$27, 0.0021, 0)</f>
        <v>95.114999999999995</v>
      </c>
      <c r="D848" s="14">
        <f>95.1129 * CHOOSE(CONTROL!$C$9, $D$9, 100%, $F$9) + CHOOSE(CONTROL!$C$27, 0.0021, 0)</f>
        <v>95.114999999999995</v>
      </c>
      <c r="E848" s="14">
        <f>94.9762 * CHOOSE(CONTROL!$C$9, $D$9, 100%, $F$9) + CHOOSE(CONTROL!$C$27, 0.0021, 0)</f>
        <v>94.978300000000004</v>
      </c>
      <c r="F848" s="14">
        <f>94.9762 * CHOOSE(CONTROL!$C$9, $D$9, 100%, $F$9) + CHOOSE(CONTROL!$C$27, 0.0021, 0)</f>
        <v>94.978300000000004</v>
      </c>
      <c r="G848" s="14">
        <f>95.2476 * CHOOSE(CONTROL!$C$9, $D$9, 100%, $F$9) + CHOOSE(CONTROL!$C$27, 0.0021, 0)</f>
        <v>95.249700000000004</v>
      </c>
      <c r="H848" s="14">
        <f>95.1129 * CHOOSE(CONTROL!$C$9, $D$9, 100%, $F$9) + CHOOSE(CONTROL!$C$27, 0.0021, 0)</f>
        <v>95.114999999999995</v>
      </c>
      <c r="I848" s="14">
        <f>95.1129 * CHOOSE(CONTROL!$C$9, $D$9, 100%, $F$9) + CHOOSE(CONTROL!$C$27, 0.0021, 0)</f>
        <v>95.114999999999995</v>
      </c>
      <c r="J848" s="14">
        <f>95.1129 * CHOOSE(CONTROL!$C$9, $D$9, 100%, $F$9) + CHOOSE(CONTROL!$C$27, 0.0021, 0)</f>
        <v>95.114999999999995</v>
      </c>
      <c r="K848" s="14">
        <f>95.1129 * CHOOSE(CONTROL!$C$9, $D$9, 100%, $F$9) + CHOOSE(CONTROL!$C$27, 0.0021, 0)</f>
        <v>95.114999999999995</v>
      </c>
      <c r="L848" s="14"/>
    </row>
    <row r="849" spans="1:12" ht="15.75" x14ac:dyDescent="0.25">
      <c r="A849" s="32">
        <v>66780</v>
      </c>
      <c r="B849" s="14">
        <f>92.3204 * CHOOSE(CONTROL!$C$9, $D$9, 100%, $F$9) + CHOOSE(CONTROL!$C$27, 0.0021, 0)</f>
        <v>92.322500000000005</v>
      </c>
      <c r="C849" s="14">
        <f>91.8881 * CHOOSE(CONTROL!$C$9, $D$9, 100%, $F$9) + CHOOSE(CONTROL!$C$27, 0.0021, 0)</f>
        <v>91.890199999999993</v>
      </c>
      <c r="D849" s="14">
        <f>91.8881 * CHOOSE(CONTROL!$C$9, $D$9, 100%, $F$9) + CHOOSE(CONTROL!$C$27, 0.0021, 0)</f>
        <v>91.890199999999993</v>
      </c>
      <c r="E849" s="14">
        <f>91.7515 * CHOOSE(CONTROL!$C$9, $D$9, 100%, $F$9) + CHOOSE(CONTROL!$C$27, 0.0021, 0)</f>
        <v>91.753599999999992</v>
      </c>
      <c r="F849" s="14">
        <f>91.7515 * CHOOSE(CONTROL!$C$9, $D$9, 100%, $F$9) + CHOOSE(CONTROL!$C$27, 0.0021, 0)</f>
        <v>91.753599999999992</v>
      </c>
      <c r="G849" s="14">
        <f>92.0228 * CHOOSE(CONTROL!$C$9, $D$9, 100%, $F$9) + CHOOSE(CONTROL!$C$27, 0.0021, 0)</f>
        <v>92.024900000000002</v>
      </c>
      <c r="H849" s="14">
        <f>91.8881 * CHOOSE(CONTROL!$C$9, $D$9, 100%, $F$9) + CHOOSE(CONTROL!$C$27, 0.0021, 0)</f>
        <v>91.890199999999993</v>
      </c>
      <c r="I849" s="14">
        <f>91.8881 * CHOOSE(CONTROL!$C$9, $D$9, 100%, $F$9) + CHOOSE(CONTROL!$C$27, 0.0021, 0)</f>
        <v>91.890199999999993</v>
      </c>
      <c r="J849" s="14">
        <f>91.8881 * CHOOSE(CONTROL!$C$9, $D$9, 100%, $F$9) + CHOOSE(CONTROL!$C$27, 0.0021, 0)</f>
        <v>91.890199999999993</v>
      </c>
      <c r="K849" s="14">
        <f>91.8881 * CHOOSE(CONTROL!$C$9, $D$9, 100%, $F$9) + CHOOSE(CONTROL!$C$27, 0.0021, 0)</f>
        <v>91.890199999999993</v>
      </c>
      <c r="L849" s="14"/>
    </row>
    <row r="850" spans="1:12" ht="15.75" x14ac:dyDescent="0.25">
      <c r="A850" s="32">
        <v>66810</v>
      </c>
      <c r="B850" s="14">
        <f>91.6789 * CHOOSE(CONTROL!$C$9, $D$9, 100%, $F$9) + CHOOSE(CONTROL!$C$27, 0.0021, 0)</f>
        <v>91.680999999999997</v>
      </c>
      <c r="C850" s="14">
        <f>91.2466 * CHOOSE(CONTROL!$C$9, $D$9, 100%, $F$9) + CHOOSE(CONTROL!$C$27, 0.0021, 0)</f>
        <v>91.248699999999999</v>
      </c>
      <c r="D850" s="14">
        <f>91.2466 * CHOOSE(CONTROL!$C$9, $D$9, 100%, $F$9) + CHOOSE(CONTROL!$C$27, 0.0021, 0)</f>
        <v>91.248699999999999</v>
      </c>
      <c r="E850" s="14">
        <f>91.11 * CHOOSE(CONTROL!$C$9, $D$9, 100%, $F$9) + CHOOSE(CONTROL!$C$27, 0.0021, 0)</f>
        <v>91.112099999999998</v>
      </c>
      <c r="F850" s="14">
        <f>91.11 * CHOOSE(CONTROL!$C$9, $D$9, 100%, $F$9) + CHOOSE(CONTROL!$C$27, 0.0021, 0)</f>
        <v>91.112099999999998</v>
      </c>
      <c r="G850" s="14">
        <f>91.3814 * CHOOSE(CONTROL!$C$9, $D$9, 100%, $F$9) + CHOOSE(CONTROL!$C$27, 0.0021, 0)</f>
        <v>91.383499999999998</v>
      </c>
      <c r="H850" s="14">
        <f>91.2466 * CHOOSE(CONTROL!$C$9, $D$9, 100%, $F$9) + CHOOSE(CONTROL!$C$27, 0.0021, 0)</f>
        <v>91.248699999999999</v>
      </c>
      <c r="I850" s="14">
        <f>91.2466 * CHOOSE(CONTROL!$C$9, $D$9, 100%, $F$9) + CHOOSE(CONTROL!$C$27, 0.0021, 0)</f>
        <v>91.248699999999999</v>
      </c>
      <c r="J850" s="14">
        <f>91.2466 * CHOOSE(CONTROL!$C$9, $D$9, 100%, $F$9) + CHOOSE(CONTROL!$C$27, 0.0021, 0)</f>
        <v>91.248699999999999</v>
      </c>
      <c r="K850" s="14">
        <f>91.2466 * CHOOSE(CONTROL!$C$9, $D$9, 100%, $F$9) + CHOOSE(CONTROL!$C$27, 0.0021, 0)</f>
        <v>91.248699999999999</v>
      </c>
      <c r="L850" s="14"/>
    </row>
    <row r="851" spans="1:12" ht="15.75" x14ac:dyDescent="0.25">
      <c r="A851" s="32">
        <v>66841</v>
      </c>
      <c r="B851" s="14">
        <f>89.0263 * CHOOSE(CONTROL!$C$9, $D$9, 100%, $F$9) + CHOOSE(CONTROL!$C$27, 0.0021, 0)</f>
        <v>89.028400000000005</v>
      </c>
      <c r="C851" s="14">
        <f>88.5941 * CHOOSE(CONTROL!$C$9, $D$9, 100%, $F$9) + CHOOSE(CONTROL!$C$27, 0.0021, 0)</f>
        <v>88.596199999999996</v>
      </c>
      <c r="D851" s="14">
        <f>88.5941 * CHOOSE(CONTROL!$C$9, $D$9, 100%, $F$9) + CHOOSE(CONTROL!$C$27, 0.0021, 0)</f>
        <v>88.596199999999996</v>
      </c>
      <c r="E851" s="14">
        <f>88.4574 * CHOOSE(CONTROL!$C$9, $D$9, 100%, $F$9) + CHOOSE(CONTROL!$C$27, 0.0021, 0)</f>
        <v>88.459500000000006</v>
      </c>
      <c r="F851" s="14">
        <f>88.4574 * CHOOSE(CONTROL!$C$9, $D$9, 100%, $F$9) + CHOOSE(CONTROL!$C$27, 0.0021, 0)</f>
        <v>88.459500000000006</v>
      </c>
      <c r="G851" s="14">
        <f>88.7288 * CHOOSE(CONTROL!$C$9, $D$9, 100%, $F$9) + CHOOSE(CONTROL!$C$27, 0.0021, 0)</f>
        <v>88.730900000000005</v>
      </c>
      <c r="H851" s="14">
        <f>88.5941 * CHOOSE(CONTROL!$C$9, $D$9, 100%, $F$9) + CHOOSE(CONTROL!$C$27, 0.0021, 0)</f>
        <v>88.596199999999996</v>
      </c>
      <c r="I851" s="14">
        <f>88.5941 * CHOOSE(CONTROL!$C$9, $D$9, 100%, $F$9) + CHOOSE(CONTROL!$C$27, 0.0021, 0)</f>
        <v>88.596199999999996</v>
      </c>
      <c r="J851" s="14">
        <f>88.5941 * CHOOSE(CONTROL!$C$9, $D$9, 100%, $F$9) + CHOOSE(CONTROL!$C$27, 0.0021, 0)</f>
        <v>88.596199999999996</v>
      </c>
      <c r="K851" s="14">
        <f>88.5941 * CHOOSE(CONTROL!$C$9, $D$9, 100%, $F$9) + CHOOSE(CONTROL!$C$27, 0.0021, 0)</f>
        <v>88.596199999999996</v>
      </c>
      <c r="L851" s="14"/>
    </row>
    <row r="852" spans="1:12" ht="15.75" x14ac:dyDescent="0.25">
      <c r="A852" s="32">
        <v>66872</v>
      </c>
      <c r="B852" s="14">
        <f>88.5099 * CHOOSE(CONTROL!$C$9, $D$9, 100%, $F$9) + CHOOSE(CONTROL!$C$27, 0.0021, 0)</f>
        <v>88.512</v>
      </c>
      <c r="C852" s="14">
        <f>88.0777 * CHOOSE(CONTROL!$C$9, $D$9, 100%, $F$9) + CHOOSE(CONTROL!$C$27, 0.0021, 0)</f>
        <v>88.079799999999992</v>
      </c>
      <c r="D852" s="14">
        <f>88.0777 * CHOOSE(CONTROL!$C$9, $D$9, 100%, $F$9) + CHOOSE(CONTROL!$C$27, 0.0021, 0)</f>
        <v>88.079799999999992</v>
      </c>
      <c r="E852" s="14">
        <f>87.941 * CHOOSE(CONTROL!$C$9, $D$9, 100%, $F$9) + CHOOSE(CONTROL!$C$27, 0.0021, 0)</f>
        <v>87.943100000000001</v>
      </c>
      <c r="F852" s="14">
        <f>87.941 * CHOOSE(CONTROL!$C$9, $D$9, 100%, $F$9) + CHOOSE(CONTROL!$C$27, 0.0021, 0)</f>
        <v>87.943100000000001</v>
      </c>
      <c r="G852" s="14">
        <f>88.2124 * CHOOSE(CONTROL!$C$9, $D$9, 100%, $F$9) + CHOOSE(CONTROL!$C$27, 0.0021, 0)</f>
        <v>88.214500000000001</v>
      </c>
      <c r="H852" s="14">
        <f>88.0777 * CHOOSE(CONTROL!$C$9, $D$9, 100%, $F$9) + CHOOSE(CONTROL!$C$27, 0.0021, 0)</f>
        <v>88.079799999999992</v>
      </c>
      <c r="I852" s="14">
        <f>88.0777 * CHOOSE(CONTROL!$C$9, $D$9, 100%, $F$9) + CHOOSE(CONTROL!$C$27, 0.0021, 0)</f>
        <v>88.079799999999992</v>
      </c>
      <c r="J852" s="14">
        <f>88.0777 * CHOOSE(CONTROL!$C$9, $D$9, 100%, $F$9) + CHOOSE(CONTROL!$C$27, 0.0021, 0)</f>
        <v>88.079799999999992</v>
      </c>
      <c r="K852" s="14">
        <f>88.0777 * CHOOSE(CONTROL!$C$9, $D$9, 100%, $F$9) + CHOOSE(CONTROL!$C$27, 0.0021, 0)</f>
        <v>88.079799999999992</v>
      </c>
      <c r="L852" s="14"/>
    </row>
    <row r="853" spans="1:12" ht="15.75" x14ac:dyDescent="0.25">
      <c r="A853" s="32">
        <v>66900</v>
      </c>
      <c r="B853" s="14">
        <f>88.2703 * CHOOSE(CONTROL!$C$9, $D$9, 100%, $F$9) + CHOOSE(CONTROL!$C$27, 0.0021, 0)</f>
        <v>88.272400000000005</v>
      </c>
      <c r="C853" s="14">
        <f>87.838 * CHOOSE(CONTROL!$C$9, $D$9, 100%, $F$9) + CHOOSE(CONTROL!$C$27, 0.0021, 0)</f>
        <v>87.840099999999993</v>
      </c>
      <c r="D853" s="14">
        <f>87.838 * CHOOSE(CONTROL!$C$9, $D$9, 100%, $F$9) + CHOOSE(CONTROL!$C$27, 0.0021, 0)</f>
        <v>87.840099999999993</v>
      </c>
      <c r="E853" s="14">
        <f>87.7014 * CHOOSE(CONTROL!$C$9, $D$9, 100%, $F$9) + CHOOSE(CONTROL!$C$27, 0.0021, 0)</f>
        <v>87.703500000000005</v>
      </c>
      <c r="F853" s="14">
        <f>87.7014 * CHOOSE(CONTROL!$C$9, $D$9, 100%, $F$9) + CHOOSE(CONTROL!$C$27, 0.0021, 0)</f>
        <v>87.703500000000005</v>
      </c>
      <c r="G853" s="14">
        <f>87.9727 * CHOOSE(CONTROL!$C$9, $D$9, 100%, $F$9) + CHOOSE(CONTROL!$C$27, 0.0021, 0)</f>
        <v>87.974800000000002</v>
      </c>
      <c r="H853" s="14">
        <f>87.838 * CHOOSE(CONTROL!$C$9, $D$9, 100%, $F$9) + CHOOSE(CONTROL!$C$27, 0.0021, 0)</f>
        <v>87.840099999999993</v>
      </c>
      <c r="I853" s="14">
        <f>87.838 * CHOOSE(CONTROL!$C$9, $D$9, 100%, $F$9) + CHOOSE(CONTROL!$C$27, 0.0021, 0)</f>
        <v>87.840099999999993</v>
      </c>
      <c r="J853" s="14">
        <f>87.838 * CHOOSE(CONTROL!$C$9, $D$9, 100%, $F$9) + CHOOSE(CONTROL!$C$27, 0.0021, 0)</f>
        <v>87.840099999999993</v>
      </c>
      <c r="K853" s="14">
        <f>87.838 * CHOOSE(CONTROL!$C$9, $D$9, 100%, $F$9) + CHOOSE(CONTROL!$C$27, 0.0021, 0)</f>
        <v>87.840099999999993</v>
      </c>
      <c r="L853" s="14"/>
    </row>
    <row r="854" spans="1:12" ht="15.75" x14ac:dyDescent="0.25">
      <c r="A854" s="32">
        <v>66931</v>
      </c>
      <c r="B854" s="14">
        <f>92.8018 * CHOOSE(CONTROL!$C$9, $D$9, 100%, $F$9) + CHOOSE(CONTROL!$C$27, 0.0021, 0)</f>
        <v>92.803899999999999</v>
      </c>
      <c r="C854" s="14">
        <f>92.3695 * CHOOSE(CONTROL!$C$9, $D$9, 100%, $F$9) + CHOOSE(CONTROL!$C$27, 0.0021, 0)</f>
        <v>92.371600000000001</v>
      </c>
      <c r="D854" s="14">
        <f>92.3695 * CHOOSE(CONTROL!$C$9, $D$9, 100%, $F$9) + CHOOSE(CONTROL!$C$27, 0.0021, 0)</f>
        <v>92.371600000000001</v>
      </c>
      <c r="E854" s="14">
        <f>92.2329 * CHOOSE(CONTROL!$C$9, $D$9, 100%, $F$9) + CHOOSE(CONTROL!$C$27, 0.0021, 0)</f>
        <v>92.234999999999999</v>
      </c>
      <c r="F854" s="14">
        <f>92.2329 * CHOOSE(CONTROL!$C$9, $D$9, 100%, $F$9) + CHOOSE(CONTROL!$C$27, 0.0021, 0)</f>
        <v>92.234999999999999</v>
      </c>
      <c r="G854" s="14">
        <f>92.5043 * CHOOSE(CONTROL!$C$9, $D$9, 100%, $F$9) + CHOOSE(CONTROL!$C$27, 0.0021, 0)</f>
        <v>92.506399999999999</v>
      </c>
      <c r="H854" s="14">
        <f>92.3695 * CHOOSE(CONTROL!$C$9, $D$9, 100%, $F$9) + CHOOSE(CONTROL!$C$27, 0.0021, 0)</f>
        <v>92.371600000000001</v>
      </c>
      <c r="I854" s="14">
        <f>92.3695 * CHOOSE(CONTROL!$C$9, $D$9, 100%, $F$9) + CHOOSE(CONTROL!$C$27, 0.0021, 0)</f>
        <v>92.371600000000001</v>
      </c>
      <c r="J854" s="14">
        <f>92.3695 * CHOOSE(CONTROL!$C$9, $D$9, 100%, $F$9) + CHOOSE(CONTROL!$C$27, 0.0021, 0)</f>
        <v>92.371600000000001</v>
      </c>
      <c r="K854" s="14">
        <f>92.3695 * CHOOSE(CONTROL!$C$9, $D$9, 100%, $F$9) + CHOOSE(CONTROL!$C$27, 0.0021, 0)</f>
        <v>92.371600000000001</v>
      </c>
      <c r="L854" s="14"/>
    </row>
    <row r="855" spans="1:12" ht="15.75" x14ac:dyDescent="0.25">
      <c r="A855" s="32">
        <v>66961</v>
      </c>
      <c r="B855" s="14">
        <f>98.6781 * CHOOSE(CONTROL!$C$9, $D$9, 100%, $F$9) + CHOOSE(CONTROL!$C$27, 0.0021, 0)</f>
        <v>98.680199999999999</v>
      </c>
      <c r="C855" s="14">
        <f>98.2459 * CHOOSE(CONTROL!$C$9, $D$9, 100%, $F$9) + CHOOSE(CONTROL!$C$27, 0.0021, 0)</f>
        <v>98.248000000000005</v>
      </c>
      <c r="D855" s="14">
        <f>98.2459 * CHOOSE(CONTROL!$C$9, $D$9, 100%, $F$9) + CHOOSE(CONTROL!$C$27, 0.0021, 0)</f>
        <v>98.248000000000005</v>
      </c>
      <c r="E855" s="14">
        <f>98.1092 * CHOOSE(CONTROL!$C$9, $D$9, 100%, $F$9) + CHOOSE(CONTROL!$C$27, 0.0021, 0)</f>
        <v>98.1113</v>
      </c>
      <c r="F855" s="14">
        <f>98.1092 * CHOOSE(CONTROL!$C$9, $D$9, 100%, $F$9) + CHOOSE(CONTROL!$C$27, 0.0021, 0)</f>
        <v>98.1113</v>
      </c>
      <c r="G855" s="14">
        <f>98.3806 * CHOOSE(CONTROL!$C$9, $D$9, 100%, $F$9) + CHOOSE(CONTROL!$C$27, 0.0021, 0)</f>
        <v>98.3827</v>
      </c>
      <c r="H855" s="14">
        <f>98.2459 * CHOOSE(CONTROL!$C$9, $D$9, 100%, $F$9) + CHOOSE(CONTROL!$C$27, 0.0021, 0)</f>
        <v>98.248000000000005</v>
      </c>
      <c r="I855" s="14">
        <f>98.2459 * CHOOSE(CONTROL!$C$9, $D$9, 100%, $F$9) + CHOOSE(CONTROL!$C$27, 0.0021, 0)</f>
        <v>98.248000000000005</v>
      </c>
      <c r="J855" s="14">
        <f>98.2459 * CHOOSE(CONTROL!$C$9, $D$9, 100%, $F$9) + CHOOSE(CONTROL!$C$27, 0.0021, 0)</f>
        <v>98.248000000000005</v>
      </c>
      <c r="K855" s="14">
        <f>98.2459 * CHOOSE(CONTROL!$C$9, $D$9, 100%, $F$9) + CHOOSE(CONTROL!$C$27, 0.0021, 0)</f>
        <v>98.248000000000005</v>
      </c>
      <c r="L855" s="14"/>
    </row>
    <row r="856" spans="1:12" ht="15.75" x14ac:dyDescent="0.25">
      <c r="A856" s="32">
        <v>66992</v>
      </c>
      <c r="B856" s="14">
        <f>101.9126 * CHOOSE(CONTROL!$C$9, $D$9, 100%, $F$9) + CHOOSE(CONTROL!$C$27, 0.0021, 0)</f>
        <v>101.9147</v>
      </c>
      <c r="C856" s="14">
        <f>101.4804 * CHOOSE(CONTROL!$C$9, $D$9, 100%, $F$9) + CHOOSE(CONTROL!$C$27, 0.0021, 0)</f>
        <v>101.4825</v>
      </c>
      <c r="D856" s="14">
        <f>101.4804 * CHOOSE(CONTROL!$C$9, $D$9, 100%, $F$9) + CHOOSE(CONTROL!$C$27, 0.0021, 0)</f>
        <v>101.4825</v>
      </c>
      <c r="E856" s="14">
        <f>101.3437 * CHOOSE(CONTROL!$C$9, $D$9, 100%, $F$9) + CHOOSE(CONTROL!$C$27, 0.0021, 0)</f>
        <v>101.3458</v>
      </c>
      <c r="F856" s="14">
        <f>101.3437 * CHOOSE(CONTROL!$C$9, $D$9, 100%, $F$9) + CHOOSE(CONTROL!$C$27, 0.0021, 0)</f>
        <v>101.3458</v>
      </c>
      <c r="G856" s="14">
        <f>101.6151 * CHOOSE(CONTROL!$C$9, $D$9, 100%, $F$9) + CHOOSE(CONTROL!$C$27, 0.0021, 0)</f>
        <v>101.6172</v>
      </c>
      <c r="H856" s="14">
        <f>101.4804 * CHOOSE(CONTROL!$C$9, $D$9, 100%, $F$9) + CHOOSE(CONTROL!$C$27, 0.0021, 0)</f>
        <v>101.4825</v>
      </c>
      <c r="I856" s="14">
        <f>101.4804 * CHOOSE(CONTROL!$C$9, $D$9, 100%, $F$9) + CHOOSE(CONTROL!$C$27, 0.0021, 0)</f>
        <v>101.4825</v>
      </c>
      <c r="J856" s="14">
        <f>101.4804 * CHOOSE(CONTROL!$C$9, $D$9, 100%, $F$9) + CHOOSE(CONTROL!$C$27, 0.0021, 0)</f>
        <v>101.4825</v>
      </c>
      <c r="K856" s="14">
        <f>101.4804 * CHOOSE(CONTROL!$C$9, $D$9, 100%, $F$9) + CHOOSE(CONTROL!$C$27, 0.0021, 0)</f>
        <v>101.4825</v>
      </c>
      <c r="L856" s="14"/>
    </row>
    <row r="857" spans="1:12" ht="15.75" x14ac:dyDescent="0.25">
      <c r="A857" s="32">
        <v>67022</v>
      </c>
      <c r="B857" s="14">
        <f>103.348 * CHOOSE(CONTROL!$C$9, $D$9, 100%, $F$9) + CHOOSE(CONTROL!$C$27, 0.0021, 0)</f>
        <v>103.3501</v>
      </c>
      <c r="C857" s="14">
        <f>102.9158 * CHOOSE(CONTROL!$C$9, $D$9, 100%, $F$9) + CHOOSE(CONTROL!$C$27, 0.0021, 0)</f>
        <v>102.9179</v>
      </c>
      <c r="D857" s="14">
        <f>102.9158 * CHOOSE(CONTROL!$C$9, $D$9, 100%, $F$9) + CHOOSE(CONTROL!$C$27, 0.0021, 0)</f>
        <v>102.9179</v>
      </c>
      <c r="E857" s="14">
        <f>102.7791 * CHOOSE(CONTROL!$C$9, $D$9, 100%, $F$9) + CHOOSE(CONTROL!$C$27, 0.0021, 0)</f>
        <v>102.7812</v>
      </c>
      <c r="F857" s="14">
        <f>102.7791 * CHOOSE(CONTROL!$C$9, $D$9, 100%, $F$9) + CHOOSE(CONTROL!$C$27, 0.0021, 0)</f>
        <v>102.7812</v>
      </c>
      <c r="G857" s="14">
        <f>103.0505 * CHOOSE(CONTROL!$C$9, $D$9, 100%, $F$9) + CHOOSE(CONTROL!$C$27, 0.0021, 0)</f>
        <v>103.0526</v>
      </c>
      <c r="H857" s="14">
        <f>102.9158 * CHOOSE(CONTROL!$C$9, $D$9, 100%, $F$9) + CHOOSE(CONTROL!$C$27, 0.0021, 0)</f>
        <v>102.9179</v>
      </c>
      <c r="I857" s="14">
        <f>102.9158 * CHOOSE(CONTROL!$C$9, $D$9, 100%, $F$9) + CHOOSE(CONTROL!$C$27, 0.0021, 0)</f>
        <v>102.9179</v>
      </c>
      <c r="J857" s="14">
        <f>102.9158 * CHOOSE(CONTROL!$C$9, $D$9, 100%, $F$9) + CHOOSE(CONTROL!$C$27, 0.0021, 0)</f>
        <v>102.9179</v>
      </c>
      <c r="K857" s="14">
        <f>102.9158 * CHOOSE(CONTROL!$C$9, $D$9, 100%, $F$9) + CHOOSE(CONTROL!$C$27, 0.0021, 0)</f>
        <v>102.9179</v>
      </c>
      <c r="L857" s="14"/>
    </row>
    <row r="858" spans="1:12" ht="15.75" x14ac:dyDescent="0.25">
      <c r="A858" s="32">
        <v>67053</v>
      </c>
      <c r="B858" s="14">
        <f>102.8754 * CHOOSE(CONTROL!$C$9, $D$9, 100%, $F$9) + CHOOSE(CONTROL!$C$27, 0.0021, 0)</f>
        <v>102.8775</v>
      </c>
      <c r="C858" s="14">
        <f>102.4432 * CHOOSE(CONTROL!$C$9, $D$9, 100%, $F$9) + CHOOSE(CONTROL!$C$27, 0.0021, 0)</f>
        <v>102.4453</v>
      </c>
      <c r="D858" s="14">
        <f>102.4432 * CHOOSE(CONTROL!$C$9, $D$9, 100%, $F$9) + CHOOSE(CONTROL!$C$27, 0.0021, 0)</f>
        <v>102.4453</v>
      </c>
      <c r="E858" s="14">
        <f>102.3065 * CHOOSE(CONTROL!$C$9, $D$9, 100%, $F$9) + CHOOSE(CONTROL!$C$27, 0.0021, 0)</f>
        <v>102.3086</v>
      </c>
      <c r="F858" s="14">
        <f>102.3065 * CHOOSE(CONTROL!$C$9, $D$9, 100%, $F$9) + CHOOSE(CONTROL!$C$27, 0.0021, 0)</f>
        <v>102.3086</v>
      </c>
      <c r="G858" s="14">
        <f>102.5779 * CHOOSE(CONTROL!$C$9, $D$9, 100%, $F$9) + CHOOSE(CONTROL!$C$27, 0.0021, 0)</f>
        <v>102.58</v>
      </c>
      <c r="H858" s="14">
        <f>102.4432 * CHOOSE(CONTROL!$C$9, $D$9, 100%, $F$9) + CHOOSE(CONTROL!$C$27, 0.0021, 0)</f>
        <v>102.4453</v>
      </c>
      <c r="I858" s="14">
        <f>102.4432 * CHOOSE(CONTROL!$C$9, $D$9, 100%, $F$9) + CHOOSE(CONTROL!$C$27, 0.0021, 0)</f>
        <v>102.4453</v>
      </c>
      <c r="J858" s="14">
        <f>102.4432 * CHOOSE(CONTROL!$C$9, $D$9, 100%, $F$9) + CHOOSE(CONTROL!$C$27, 0.0021, 0)</f>
        <v>102.4453</v>
      </c>
      <c r="K858" s="14">
        <f>102.4432 * CHOOSE(CONTROL!$C$9, $D$9, 100%, $F$9) + CHOOSE(CONTROL!$C$27, 0.0021, 0)</f>
        <v>102.4453</v>
      </c>
      <c r="L858" s="14"/>
    </row>
    <row r="859" spans="1:12" ht="15.75" x14ac:dyDescent="0.25">
      <c r="A859" s="32">
        <v>67084</v>
      </c>
      <c r="B859" s="14">
        <f>100.5339 * CHOOSE(CONTROL!$C$9, $D$9, 100%, $F$9) + CHOOSE(CONTROL!$C$27, 0.0021, 0)</f>
        <v>100.536</v>
      </c>
      <c r="C859" s="14">
        <f>100.1017 * CHOOSE(CONTROL!$C$9, $D$9, 100%, $F$9) + CHOOSE(CONTROL!$C$27, 0.0021, 0)</f>
        <v>100.10379999999999</v>
      </c>
      <c r="D859" s="14">
        <f>100.1017 * CHOOSE(CONTROL!$C$9, $D$9, 100%, $F$9) + CHOOSE(CONTROL!$C$27, 0.0021, 0)</f>
        <v>100.10379999999999</v>
      </c>
      <c r="E859" s="14">
        <f>99.965 * CHOOSE(CONTROL!$C$9, $D$9, 100%, $F$9) + CHOOSE(CONTROL!$C$27, 0.0021, 0)</f>
        <v>99.967100000000002</v>
      </c>
      <c r="F859" s="14">
        <f>99.965 * CHOOSE(CONTROL!$C$9, $D$9, 100%, $F$9) + CHOOSE(CONTROL!$C$27, 0.0021, 0)</f>
        <v>99.967100000000002</v>
      </c>
      <c r="G859" s="14">
        <f>100.2364 * CHOOSE(CONTROL!$C$9, $D$9, 100%, $F$9) + CHOOSE(CONTROL!$C$27, 0.0021, 0)</f>
        <v>100.2385</v>
      </c>
      <c r="H859" s="14">
        <f>100.1017 * CHOOSE(CONTROL!$C$9, $D$9, 100%, $F$9) + CHOOSE(CONTROL!$C$27, 0.0021, 0)</f>
        <v>100.10379999999999</v>
      </c>
      <c r="I859" s="14">
        <f>100.1017 * CHOOSE(CONTROL!$C$9, $D$9, 100%, $F$9) + CHOOSE(CONTROL!$C$27, 0.0021, 0)</f>
        <v>100.10379999999999</v>
      </c>
      <c r="J859" s="14">
        <f>100.1017 * CHOOSE(CONTROL!$C$9, $D$9, 100%, $F$9) + CHOOSE(CONTROL!$C$27, 0.0021, 0)</f>
        <v>100.10379999999999</v>
      </c>
      <c r="K859" s="14">
        <f>100.1017 * CHOOSE(CONTROL!$C$9, $D$9, 100%, $F$9) + CHOOSE(CONTROL!$C$27, 0.0021, 0)</f>
        <v>100.10379999999999</v>
      </c>
      <c r="L859" s="14"/>
    </row>
    <row r="860" spans="1:12" ht="15.75" x14ac:dyDescent="0.25">
      <c r="A860" s="32">
        <v>67114</v>
      </c>
      <c r="B860" s="14">
        <f>97.2685 * CHOOSE(CONTROL!$C$9, $D$9, 100%, $F$9) + CHOOSE(CONTROL!$C$27, 0.0021, 0)</f>
        <v>97.270600000000002</v>
      </c>
      <c r="C860" s="14">
        <f>96.8363 * CHOOSE(CONTROL!$C$9, $D$9, 100%, $F$9) + CHOOSE(CONTROL!$C$27, 0.0021, 0)</f>
        <v>96.838399999999993</v>
      </c>
      <c r="D860" s="14">
        <f>96.8363 * CHOOSE(CONTROL!$C$9, $D$9, 100%, $F$9) + CHOOSE(CONTROL!$C$27, 0.0021, 0)</f>
        <v>96.838399999999993</v>
      </c>
      <c r="E860" s="14">
        <f>96.6996 * CHOOSE(CONTROL!$C$9, $D$9, 100%, $F$9) + CHOOSE(CONTROL!$C$27, 0.0021, 0)</f>
        <v>96.701700000000002</v>
      </c>
      <c r="F860" s="14">
        <f>96.6996 * CHOOSE(CONTROL!$C$9, $D$9, 100%, $F$9) + CHOOSE(CONTROL!$C$27, 0.0021, 0)</f>
        <v>96.701700000000002</v>
      </c>
      <c r="G860" s="14">
        <f>96.971 * CHOOSE(CONTROL!$C$9, $D$9, 100%, $F$9) + CHOOSE(CONTROL!$C$27, 0.0021, 0)</f>
        <v>96.973100000000002</v>
      </c>
      <c r="H860" s="14">
        <f>96.8363 * CHOOSE(CONTROL!$C$9, $D$9, 100%, $F$9) + CHOOSE(CONTROL!$C$27, 0.0021, 0)</f>
        <v>96.838399999999993</v>
      </c>
      <c r="I860" s="14">
        <f>96.8363 * CHOOSE(CONTROL!$C$9, $D$9, 100%, $F$9) + CHOOSE(CONTROL!$C$27, 0.0021, 0)</f>
        <v>96.838399999999993</v>
      </c>
      <c r="J860" s="14">
        <f>96.8363 * CHOOSE(CONTROL!$C$9, $D$9, 100%, $F$9) + CHOOSE(CONTROL!$C$27, 0.0021, 0)</f>
        <v>96.838399999999993</v>
      </c>
      <c r="K860" s="14">
        <f>96.8363 * CHOOSE(CONTROL!$C$9, $D$9, 100%, $F$9) + CHOOSE(CONTROL!$C$27, 0.0021, 0)</f>
        <v>96.838399999999993</v>
      </c>
      <c r="L860" s="14"/>
    </row>
    <row r="861" spans="1:12" ht="15.75" x14ac:dyDescent="0.25">
      <c r="A861" s="32">
        <v>67145</v>
      </c>
      <c r="B861" s="14">
        <f>93.9842 * CHOOSE(CONTROL!$C$9, $D$9, 100%, $F$9) + CHOOSE(CONTROL!$C$27, 0.0021, 0)</f>
        <v>93.9863</v>
      </c>
      <c r="C861" s="14">
        <f>93.5519 * CHOOSE(CONTROL!$C$9, $D$9, 100%, $F$9) + CHOOSE(CONTROL!$C$27, 0.0021, 0)</f>
        <v>93.554000000000002</v>
      </c>
      <c r="D861" s="14">
        <f>93.5519 * CHOOSE(CONTROL!$C$9, $D$9, 100%, $F$9) + CHOOSE(CONTROL!$C$27, 0.0021, 0)</f>
        <v>93.554000000000002</v>
      </c>
      <c r="E861" s="14">
        <f>93.4152 * CHOOSE(CONTROL!$C$9, $D$9, 100%, $F$9) + CHOOSE(CONTROL!$C$27, 0.0021, 0)</f>
        <v>93.417299999999997</v>
      </c>
      <c r="F861" s="14">
        <f>93.4152 * CHOOSE(CONTROL!$C$9, $D$9, 100%, $F$9) + CHOOSE(CONTROL!$C$27, 0.0021, 0)</f>
        <v>93.417299999999997</v>
      </c>
      <c r="G861" s="14">
        <f>93.6866 * CHOOSE(CONTROL!$C$9, $D$9, 100%, $F$9) + CHOOSE(CONTROL!$C$27, 0.0021, 0)</f>
        <v>93.688699999999997</v>
      </c>
      <c r="H861" s="14">
        <f>93.5519 * CHOOSE(CONTROL!$C$9, $D$9, 100%, $F$9) + CHOOSE(CONTROL!$C$27, 0.0021, 0)</f>
        <v>93.554000000000002</v>
      </c>
      <c r="I861" s="14">
        <f>93.5519 * CHOOSE(CONTROL!$C$9, $D$9, 100%, $F$9) + CHOOSE(CONTROL!$C$27, 0.0021, 0)</f>
        <v>93.554000000000002</v>
      </c>
      <c r="J861" s="14">
        <f>93.5519 * CHOOSE(CONTROL!$C$9, $D$9, 100%, $F$9) + CHOOSE(CONTROL!$C$27, 0.0021, 0)</f>
        <v>93.554000000000002</v>
      </c>
      <c r="K861" s="14">
        <f>93.5519 * CHOOSE(CONTROL!$C$9, $D$9, 100%, $F$9) + CHOOSE(CONTROL!$C$27, 0.0021, 0)</f>
        <v>93.554000000000002</v>
      </c>
      <c r="L861" s="14"/>
    </row>
    <row r="862" spans="1:12" ht="15.75" x14ac:dyDescent="0.25">
      <c r="A862" s="32">
        <v>67175</v>
      </c>
      <c r="B862" s="14">
        <f>93.3308 * CHOOSE(CONTROL!$C$9, $D$9, 100%, $F$9) + CHOOSE(CONTROL!$C$27, 0.0021, 0)</f>
        <v>93.332899999999995</v>
      </c>
      <c r="C862" s="14">
        <f>92.8986 * CHOOSE(CONTROL!$C$9, $D$9, 100%, $F$9) + CHOOSE(CONTROL!$C$27, 0.0021, 0)</f>
        <v>92.900700000000001</v>
      </c>
      <c r="D862" s="14">
        <f>92.8986 * CHOOSE(CONTROL!$C$9, $D$9, 100%, $F$9) + CHOOSE(CONTROL!$C$27, 0.0021, 0)</f>
        <v>92.900700000000001</v>
      </c>
      <c r="E862" s="14">
        <f>92.7619 * CHOOSE(CONTROL!$C$9, $D$9, 100%, $F$9) + CHOOSE(CONTROL!$C$27, 0.0021, 0)</f>
        <v>92.763999999999996</v>
      </c>
      <c r="F862" s="14">
        <f>92.7619 * CHOOSE(CONTROL!$C$9, $D$9, 100%, $F$9) + CHOOSE(CONTROL!$C$27, 0.0021, 0)</f>
        <v>92.763999999999996</v>
      </c>
      <c r="G862" s="14">
        <f>93.0333 * CHOOSE(CONTROL!$C$9, $D$9, 100%, $F$9) + CHOOSE(CONTROL!$C$27, 0.0021, 0)</f>
        <v>93.035399999999996</v>
      </c>
      <c r="H862" s="14">
        <f>92.8986 * CHOOSE(CONTROL!$C$9, $D$9, 100%, $F$9) + CHOOSE(CONTROL!$C$27, 0.0021, 0)</f>
        <v>92.900700000000001</v>
      </c>
      <c r="I862" s="14">
        <f>92.8986 * CHOOSE(CONTROL!$C$9, $D$9, 100%, $F$9) + CHOOSE(CONTROL!$C$27, 0.0021, 0)</f>
        <v>92.900700000000001</v>
      </c>
      <c r="J862" s="14">
        <f>92.8986 * CHOOSE(CONTROL!$C$9, $D$9, 100%, $F$9) + CHOOSE(CONTROL!$C$27, 0.0021, 0)</f>
        <v>92.900700000000001</v>
      </c>
      <c r="K862" s="14">
        <f>92.8986 * CHOOSE(CONTROL!$C$9, $D$9, 100%, $F$9) + CHOOSE(CONTROL!$C$27, 0.0021, 0)</f>
        <v>92.900700000000001</v>
      </c>
      <c r="L862" s="14"/>
    </row>
    <row r="863" spans="1:12" ht="15.75" x14ac:dyDescent="0.25">
      <c r="A863" s="32">
        <v>67206</v>
      </c>
      <c r="B863" s="14">
        <f>90.6293 * CHOOSE(CONTROL!$C$9, $D$9, 100%, $F$9) + CHOOSE(CONTROL!$C$27, 0.0021, 0)</f>
        <v>90.631399999999999</v>
      </c>
      <c r="C863" s="14">
        <f>90.197 * CHOOSE(CONTROL!$C$9, $D$9, 100%, $F$9) + CHOOSE(CONTROL!$C$27, 0.0021, 0)</f>
        <v>90.199100000000001</v>
      </c>
      <c r="D863" s="14">
        <f>90.197 * CHOOSE(CONTROL!$C$9, $D$9, 100%, $F$9) + CHOOSE(CONTROL!$C$27, 0.0021, 0)</f>
        <v>90.199100000000001</v>
      </c>
      <c r="E863" s="14">
        <f>90.0603 * CHOOSE(CONTROL!$C$9, $D$9, 100%, $F$9) + CHOOSE(CONTROL!$C$27, 0.0021, 0)</f>
        <v>90.062399999999997</v>
      </c>
      <c r="F863" s="14">
        <f>90.0603 * CHOOSE(CONTROL!$C$9, $D$9, 100%, $F$9) + CHOOSE(CONTROL!$C$27, 0.0021, 0)</f>
        <v>90.062399999999997</v>
      </c>
      <c r="G863" s="14">
        <f>90.3317 * CHOOSE(CONTROL!$C$9, $D$9, 100%, $F$9) + CHOOSE(CONTROL!$C$27, 0.0021, 0)</f>
        <v>90.333799999999997</v>
      </c>
      <c r="H863" s="14">
        <f>90.197 * CHOOSE(CONTROL!$C$9, $D$9, 100%, $F$9) + CHOOSE(CONTROL!$C$27, 0.0021, 0)</f>
        <v>90.199100000000001</v>
      </c>
      <c r="I863" s="14">
        <f>90.197 * CHOOSE(CONTROL!$C$9, $D$9, 100%, $F$9) + CHOOSE(CONTROL!$C$27, 0.0021, 0)</f>
        <v>90.199100000000001</v>
      </c>
      <c r="J863" s="14">
        <f>90.197 * CHOOSE(CONTROL!$C$9, $D$9, 100%, $F$9) + CHOOSE(CONTROL!$C$27, 0.0021, 0)</f>
        <v>90.199100000000001</v>
      </c>
      <c r="K863" s="14">
        <f>90.197 * CHOOSE(CONTROL!$C$9, $D$9, 100%, $F$9) + CHOOSE(CONTROL!$C$27, 0.0021, 0)</f>
        <v>90.199100000000001</v>
      </c>
      <c r="L863" s="14"/>
    </row>
    <row r="864" spans="1:12" ht="15.75" x14ac:dyDescent="0.25">
      <c r="A864" s="32">
        <v>67237</v>
      </c>
      <c r="B864" s="14">
        <f>90.1033 * CHOOSE(CONTROL!$C$9, $D$9, 100%, $F$9) + CHOOSE(CONTROL!$C$27, 0.0021, 0)</f>
        <v>90.105400000000003</v>
      </c>
      <c r="C864" s="14">
        <f>89.671 * CHOOSE(CONTROL!$C$9, $D$9, 100%, $F$9) + CHOOSE(CONTROL!$C$27, 0.0021, 0)</f>
        <v>89.673100000000005</v>
      </c>
      <c r="D864" s="14">
        <f>89.671 * CHOOSE(CONTROL!$C$9, $D$9, 100%, $F$9) + CHOOSE(CONTROL!$C$27, 0.0021, 0)</f>
        <v>89.673100000000005</v>
      </c>
      <c r="E864" s="14">
        <f>89.5344 * CHOOSE(CONTROL!$C$9, $D$9, 100%, $F$9) + CHOOSE(CONTROL!$C$27, 0.0021, 0)</f>
        <v>89.536500000000004</v>
      </c>
      <c r="F864" s="14">
        <f>89.5344 * CHOOSE(CONTROL!$C$9, $D$9, 100%, $F$9) + CHOOSE(CONTROL!$C$27, 0.0021, 0)</f>
        <v>89.536500000000004</v>
      </c>
      <c r="G864" s="14">
        <f>89.8058 * CHOOSE(CONTROL!$C$9, $D$9, 100%, $F$9) + CHOOSE(CONTROL!$C$27, 0.0021, 0)</f>
        <v>89.807900000000004</v>
      </c>
      <c r="H864" s="14">
        <f>89.671 * CHOOSE(CONTROL!$C$9, $D$9, 100%, $F$9) + CHOOSE(CONTROL!$C$27, 0.0021, 0)</f>
        <v>89.673100000000005</v>
      </c>
      <c r="I864" s="14">
        <f>89.671 * CHOOSE(CONTROL!$C$9, $D$9, 100%, $F$9) + CHOOSE(CONTROL!$C$27, 0.0021, 0)</f>
        <v>89.673100000000005</v>
      </c>
      <c r="J864" s="14">
        <f>89.671 * CHOOSE(CONTROL!$C$9, $D$9, 100%, $F$9) + CHOOSE(CONTROL!$C$27, 0.0021, 0)</f>
        <v>89.673100000000005</v>
      </c>
      <c r="K864" s="14">
        <f>89.671 * CHOOSE(CONTROL!$C$9, $D$9, 100%, $F$9) + CHOOSE(CONTROL!$C$27, 0.0021, 0)</f>
        <v>89.673100000000005</v>
      </c>
      <c r="L864" s="14"/>
    </row>
    <row r="865" spans="1:12" ht="15.75" x14ac:dyDescent="0.25">
      <c r="A865" s="32">
        <v>67266</v>
      </c>
      <c r="B865" s="14">
        <f>89.8592 * CHOOSE(CONTROL!$C$9, $D$9, 100%, $F$9) + CHOOSE(CONTROL!$C$27, 0.0021, 0)</f>
        <v>89.8613</v>
      </c>
      <c r="C865" s="14">
        <f>89.427 * CHOOSE(CONTROL!$C$9, $D$9, 100%, $F$9) + CHOOSE(CONTROL!$C$27, 0.0021, 0)</f>
        <v>89.429100000000005</v>
      </c>
      <c r="D865" s="14">
        <f>89.427 * CHOOSE(CONTROL!$C$9, $D$9, 100%, $F$9) + CHOOSE(CONTROL!$C$27, 0.0021, 0)</f>
        <v>89.429100000000005</v>
      </c>
      <c r="E865" s="14">
        <f>89.2903 * CHOOSE(CONTROL!$C$9, $D$9, 100%, $F$9) + CHOOSE(CONTROL!$C$27, 0.0021, 0)</f>
        <v>89.292400000000001</v>
      </c>
      <c r="F865" s="14">
        <f>89.2903 * CHOOSE(CONTROL!$C$9, $D$9, 100%, $F$9) + CHOOSE(CONTROL!$C$27, 0.0021, 0)</f>
        <v>89.292400000000001</v>
      </c>
      <c r="G865" s="14">
        <f>89.5617 * CHOOSE(CONTROL!$C$9, $D$9, 100%, $F$9) + CHOOSE(CONTROL!$C$27, 0.0021, 0)</f>
        <v>89.563800000000001</v>
      </c>
      <c r="H865" s="14">
        <f>89.427 * CHOOSE(CONTROL!$C$9, $D$9, 100%, $F$9) + CHOOSE(CONTROL!$C$27, 0.0021, 0)</f>
        <v>89.429100000000005</v>
      </c>
      <c r="I865" s="14">
        <f>89.427 * CHOOSE(CONTROL!$C$9, $D$9, 100%, $F$9) + CHOOSE(CONTROL!$C$27, 0.0021, 0)</f>
        <v>89.429100000000005</v>
      </c>
      <c r="J865" s="14">
        <f>89.427 * CHOOSE(CONTROL!$C$9, $D$9, 100%, $F$9) + CHOOSE(CONTROL!$C$27, 0.0021, 0)</f>
        <v>89.429100000000005</v>
      </c>
      <c r="K865" s="14">
        <f>89.427 * CHOOSE(CONTROL!$C$9, $D$9, 100%, $F$9) + CHOOSE(CONTROL!$C$27, 0.0021, 0)</f>
        <v>89.429100000000005</v>
      </c>
      <c r="L865" s="14"/>
    </row>
    <row r="866" spans="1:12" ht="15.75" x14ac:dyDescent="0.25">
      <c r="A866" s="32">
        <v>67297</v>
      </c>
      <c r="B866" s="14">
        <f>94.4745 * CHOOSE(CONTROL!$C$9, $D$9, 100%, $F$9) + CHOOSE(CONTROL!$C$27, 0.0021, 0)</f>
        <v>94.476600000000005</v>
      </c>
      <c r="C866" s="14">
        <f>94.0422 * CHOOSE(CONTROL!$C$9, $D$9, 100%, $F$9) + CHOOSE(CONTROL!$C$27, 0.0021, 0)</f>
        <v>94.044299999999993</v>
      </c>
      <c r="D866" s="14">
        <f>94.0422 * CHOOSE(CONTROL!$C$9, $D$9, 100%, $F$9) + CHOOSE(CONTROL!$C$27, 0.0021, 0)</f>
        <v>94.044299999999993</v>
      </c>
      <c r="E866" s="14">
        <f>93.9056 * CHOOSE(CONTROL!$C$9, $D$9, 100%, $F$9) + CHOOSE(CONTROL!$C$27, 0.0021, 0)</f>
        <v>93.907700000000006</v>
      </c>
      <c r="F866" s="14">
        <f>93.9056 * CHOOSE(CONTROL!$C$9, $D$9, 100%, $F$9) + CHOOSE(CONTROL!$C$27, 0.0021, 0)</f>
        <v>93.907700000000006</v>
      </c>
      <c r="G866" s="14">
        <f>94.1769 * CHOOSE(CONTROL!$C$9, $D$9, 100%, $F$9) + CHOOSE(CONTROL!$C$27, 0.0021, 0)</f>
        <v>94.179000000000002</v>
      </c>
      <c r="H866" s="14">
        <f>94.0422 * CHOOSE(CONTROL!$C$9, $D$9, 100%, $F$9) + CHOOSE(CONTROL!$C$27, 0.0021, 0)</f>
        <v>94.044299999999993</v>
      </c>
      <c r="I866" s="14">
        <f>94.0422 * CHOOSE(CONTROL!$C$9, $D$9, 100%, $F$9) + CHOOSE(CONTROL!$C$27, 0.0021, 0)</f>
        <v>94.044299999999993</v>
      </c>
      <c r="J866" s="14">
        <f>94.0422 * CHOOSE(CONTROL!$C$9, $D$9, 100%, $F$9) + CHOOSE(CONTROL!$C$27, 0.0021, 0)</f>
        <v>94.044299999999993</v>
      </c>
      <c r="K866" s="14">
        <f>94.0422 * CHOOSE(CONTROL!$C$9, $D$9, 100%, $F$9) + CHOOSE(CONTROL!$C$27, 0.0021, 0)</f>
        <v>94.044299999999993</v>
      </c>
      <c r="L866" s="14"/>
    </row>
    <row r="867" spans="1:12" ht="15.75" x14ac:dyDescent="0.25">
      <c r="A867" s="32">
        <v>67327</v>
      </c>
      <c r="B867" s="14">
        <f>100.4594 * CHOOSE(CONTROL!$C$9, $D$9, 100%, $F$9) + CHOOSE(CONTROL!$C$27, 0.0021, 0)</f>
        <v>100.4615</v>
      </c>
      <c r="C867" s="14">
        <f>100.0271 * CHOOSE(CONTROL!$C$9, $D$9, 100%, $F$9) + CHOOSE(CONTROL!$C$27, 0.0021, 0)</f>
        <v>100.0292</v>
      </c>
      <c r="D867" s="14">
        <f>100.0271 * CHOOSE(CONTROL!$C$9, $D$9, 100%, $F$9) + CHOOSE(CONTROL!$C$27, 0.0021, 0)</f>
        <v>100.0292</v>
      </c>
      <c r="E867" s="14">
        <f>99.8905 * CHOOSE(CONTROL!$C$9, $D$9, 100%, $F$9) + CHOOSE(CONTROL!$C$27, 0.0021, 0)</f>
        <v>99.892600000000002</v>
      </c>
      <c r="F867" s="14">
        <f>99.8905 * CHOOSE(CONTROL!$C$9, $D$9, 100%, $F$9) + CHOOSE(CONTROL!$C$27, 0.0021, 0)</f>
        <v>99.892600000000002</v>
      </c>
      <c r="G867" s="14">
        <f>100.1619 * CHOOSE(CONTROL!$C$9, $D$9, 100%, $F$9) + CHOOSE(CONTROL!$C$27, 0.0021, 0)</f>
        <v>100.164</v>
      </c>
      <c r="H867" s="14">
        <f>100.0271 * CHOOSE(CONTROL!$C$9, $D$9, 100%, $F$9) + CHOOSE(CONTROL!$C$27, 0.0021, 0)</f>
        <v>100.0292</v>
      </c>
      <c r="I867" s="14">
        <f>100.0271 * CHOOSE(CONTROL!$C$9, $D$9, 100%, $F$9) + CHOOSE(CONTROL!$C$27, 0.0021, 0)</f>
        <v>100.0292</v>
      </c>
      <c r="J867" s="14">
        <f>100.0271 * CHOOSE(CONTROL!$C$9, $D$9, 100%, $F$9) + CHOOSE(CONTROL!$C$27, 0.0021, 0)</f>
        <v>100.0292</v>
      </c>
      <c r="K867" s="14">
        <f>100.0271 * CHOOSE(CONTROL!$C$9, $D$9, 100%, $F$9) + CHOOSE(CONTROL!$C$27, 0.0021, 0)</f>
        <v>100.0292</v>
      </c>
      <c r="L867" s="14"/>
    </row>
    <row r="868" spans="1:12" ht="15.75" x14ac:dyDescent="0.25">
      <c r="A868" s="32">
        <v>67358</v>
      </c>
      <c r="B868" s="14">
        <f>103.7537 * CHOOSE(CONTROL!$C$9, $D$9, 100%, $F$9) + CHOOSE(CONTROL!$C$27, 0.0021, 0)</f>
        <v>103.75579999999999</v>
      </c>
      <c r="C868" s="14">
        <f>103.3214 * CHOOSE(CONTROL!$C$9, $D$9, 100%, $F$9) + CHOOSE(CONTROL!$C$27, 0.0021, 0)</f>
        <v>103.3235</v>
      </c>
      <c r="D868" s="14">
        <f>103.3214 * CHOOSE(CONTROL!$C$9, $D$9, 100%, $F$9) + CHOOSE(CONTROL!$C$27, 0.0021, 0)</f>
        <v>103.3235</v>
      </c>
      <c r="E868" s="14">
        <f>103.1848 * CHOOSE(CONTROL!$C$9, $D$9, 100%, $F$9) + CHOOSE(CONTROL!$C$27, 0.0021, 0)</f>
        <v>103.18689999999999</v>
      </c>
      <c r="F868" s="14">
        <f>103.1848 * CHOOSE(CONTROL!$C$9, $D$9, 100%, $F$9) + CHOOSE(CONTROL!$C$27, 0.0021, 0)</f>
        <v>103.18689999999999</v>
      </c>
      <c r="G868" s="14">
        <f>103.4562 * CHOOSE(CONTROL!$C$9, $D$9, 100%, $F$9) + CHOOSE(CONTROL!$C$27, 0.0021, 0)</f>
        <v>103.45829999999999</v>
      </c>
      <c r="H868" s="14">
        <f>103.3214 * CHOOSE(CONTROL!$C$9, $D$9, 100%, $F$9) + CHOOSE(CONTROL!$C$27, 0.0021, 0)</f>
        <v>103.3235</v>
      </c>
      <c r="I868" s="14">
        <f>103.3214 * CHOOSE(CONTROL!$C$9, $D$9, 100%, $F$9) + CHOOSE(CONTROL!$C$27, 0.0021, 0)</f>
        <v>103.3235</v>
      </c>
      <c r="J868" s="14">
        <f>103.3214 * CHOOSE(CONTROL!$C$9, $D$9, 100%, $F$9) + CHOOSE(CONTROL!$C$27, 0.0021, 0)</f>
        <v>103.3235</v>
      </c>
      <c r="K868" s="14">
        <f>103.3214 * CHOOSE(CONTROL!$C$9, $D$9, 100%, $F$9) + CHOOSE(CONTROL!$C$27, 0.0021, 0)</f>
        <v>103.3235</v>
      </c>
      <c r="L868" s="14"/>
    </row>
    <row r="869" spans="1:12" ht="15.75" x14ac:dyDescent="0.25">
      <c r="A869" s="32">
        <v>67388</v>
      </c>
      <c r="B869" s="14">
        <f>105.2156 * CHOOSE(CONTROL!$C$9, $D$9, 100%, $F$9) + CHOOSE(CONTROL!$C$27, 0.0021, 0)</f>
        <v>105.21769999999999</v>
      </c>
      <c r="C869" s="14">
        <f>104.7834 * CHOOSE(CONTROL!$C$9, $D$9, 100%, $F$9) + CHOOSE(CONTROL!$C$27, 0.0021, 0)</f>
        <v>104.7855</v>
      </c>
      <c r="D869" s="14">
        <f>104.7834 * CHOOSE(CONTROL!$C$9, $D$9, 100%, $F$9) + CHOOSE(CONTROL!$C$27, 0.0021, 0)</f>
        <v>104.7855</v>
      </c>
      <c r="E869" s="14">
        <f>104.6467 * CHOOSE(CONTROL!$C$9, $D$9, 100%, $F$9) + CHOOSE(CONTROL!$C$27, 0.0021, 0)</f>
        <v>104.64879999999999</v>
      </c>
      <c r="F869" s="14">
        <f>104.6467 * CHOOSE(CONTROL!$C$9, $D$9, 100%, $F$9) + CHOOSE(CONTROL!$C$27, 0.0021, 0)</f>
        <v>104.64879999999999</v>
      </c>
      <c r="G869" s="14">
        <f>104.9181 * CHOOSE(CONTROL!$C$9, $D$9, 100%, $F$9) + CHOOSE(CONTROL!$C$27, 0.0021, 0)</f>
        <v>104.92019999999999</v>
      </c>
      <c r="H869" s="14">
        <f>104.7834 * CHOOSE(CONTROL!$C$9, $D$9, 100%, $F$9) + CHOOSE(CONTROL!$C$27, 0.0021, 0)</f>
        <v>104.7855</v>
      </c>
      <c r="I869" s="14">
        <f>104.7834 * CHOOSE(CONTROL!$C$9, $D$9, 100%, $F$9) + CHOOSE(CONTROL!$C$27, 0.0021, 0)</f>
        <v>104.7855</v>
      </c>
      <c r="J869" s="14">
        <f>104.7834 * CHOOSE(CONTROL!$C$9, $D$9, 100%, $F$9) + CHOOSE(CONTROL!$C$27, 0.0021, 0)</f>
        <v>104.7855</v>
      </c>
      <c r="K869" s="14">
        <f>104.7834 * CHOOSE(CONTROL!$C$9, $D$9, 100%, $F$9) + CHOOSE(CONTROL!$C$27, 0.0021, 0)</f>
        <v>104.7855</v>
      </c>
      <c r="L869" s="14"/>
    </row>
    <row r="870" spans="1:12" ht="15.75" x14ac:dyDescent="0.25">
      <c r="A870" s="32">
        <v>67419</v>
      </c>
      <c r="B870" s="14">
        <f>104.7343 * CHOOSE(CONTROL!$C$9, $D$9, 100%, $F$9) + CHOOSE(CONTROL!$C$27, 0.0021, 0)</f>
        <v>104.7364</v>
      </c>
      <c r="C870" s="14">
        <f>104.302 * CHOOSE(CONTROL!$C$9, $D$9, 100%, $F$9) + CHOOSE(CONTROL!$C$27, 0.0021, 0)</f>
        <v>104.30410000000001</v>
      </c>
      <c r="D870" s="14">
        <f>104.302 * CHOOSE(CONTROL!$C$9, $D$9, 100%, $F$9) + CHOOSE(CONTROL!$C$27, 0.0021, 0)</f>
        <v>104.30410000000001</v>
      </c>
      <c r="E870" s="14">
        <f>104.1654 * CHOOSE(CONTROL!$C$9, $D$9, 100%, $F$9) + CHOOSE(CONTROL!$C$27, 0.0021, 0)</f>
        <v>104.1675</v>
      </c>
      <c r="F870" s="14">
        <f>104.1654 * CHOOSE(CONTROL!$C$9, $D$9, 100%, $F$9) + CHOOSE(CONTROL!$C$27, 0.0021, 0)</f>
        <v>104.1675</v>
      </c>
      <c r="G870" s="14">
        <f>104.4368 * CHOOSE(CONTROL!$C$9, $D$9, 100%, $F$9) + CHOOSE(CONTROL!$C$27, 0.0021, 0)</f>
        <v>104.4389</v>
      </c>
      <c r="H870" s="14">
        <f>104.302 * CHOOSE(CONTROL!$C$9, $D$9, 100%, $F$9) + CHOOSE(CONTROL!$C$27, 0.0021, 0)</f>
        <v>104.30410000000001</v>
      </c>
      <c r="I870" s="14">
        <f>104.302 * CHOOSE(CONTROL!$C$9, $D$9, 100%, $F$9) + CHOOSE(CONTROL!$C$27, 0.0021, 0)</f>
        <v>104.30410000000001</v>
      </c>
      <c r="J870" s="14">
        <f>104.302 * CHOOSE(CONTROL!$C$9, $D$9, 100%, $F$9) + CHOOSE(CONTROL!$C$27, 0.0021, 0)</f>
        <v>104.30410000000001</v>
      </c>
      <c r="K870" s="14">
        <f>104.302 * CHOOSE(CONTROL!$C$9, $D$9, 100%, $F$9) + CHOOSE(CONTROL!$C$27, 0.0021, 0)</f>
        <v>104.30410000000001</v>
      </c>
      <c r="L870" s="14"/>
    </row>
    <row r="871" spans="1:12" ht="15.75" x14ac:dyDescent="0.25">
      <c r="A871" s="32">
        <v>67450</v>
      </c>
      <c r="B871" s="14">
        <f>102.3495 * CHOOSE(CONTROL!$C$9, $D$9, 100%, $F$9) + CHOOSE(CONTROL!$C$27, 0.0021, 0)</f>
        <v>102.3516</v>
      </c>
      <c r="C871" s="14">
        <f>101.9172 * CHOOSE(CONTROL!$C$9, $D$9, 100%, $F$9) + CHOOSE(CONTROL!$C$27, 0.0021, 0)</f>
        <v>101.91929999999999</v>
      </c>
      <c r="D871" s="14">
        <f>101.9172 * CHOOSE(CONTROL!$C$9, $D$9, 100%, $F$9) + CHOOSE(CONTROL!$C$27, 0.0021, 0)</f>
        <v>101.91929999999999</v>
      </c>
      <c r="E871" s="14">
        <f>101.7806 * CHOOSE(CONTROL!$C$9, $D$9, 100%, $F$9) + CHOOSE(CONTROL!$C$27, 0.0021, 0)</f>
        <v>101.78270000000001</v>
      </c>
      <c r="F871" s="14">
        <f>101.7806 * CHOOSE(CONTROL!$C$9, $D$9, 100%, $F$9) + CHOOSE(CONTROL!$C$27, 0.0021, 0)</f>
        <v>101.78270000000001</v>
      </c>
      <c r="G871" s="14">
        <f>102.052 * CHOOSE(CONTROL!$C$9, $D$9, 100%, $F$9) + CHOOSE(CONTROL!$C$27, 0.0021, 0)</f>
        <v>102.05410000000001</v>
      </c>
      <c r="H871" s="14">
        <f>101.9172 * CHOOSE(CONTROL!$C$9, $D$9, 100%, $F$9) + CHOOSE(CONTROL!$C$27, 0.0021, 0)</f>
        <v>101.91929999999999</v>
      </c>
      <c r="I871" s="14">
        <f>101.9172 * CHOOSE(CONTROL!$C$9, $D$9, 100%, $F$9) + CHOOSE(CONTROL!$C$27, 0.0021, 0)</f>
        <v>101.91929999999999</v>
      </c>
      <c r="J871" s="14">
        <f>101.9172 * CHOOSE(CONTROL!$C$9, $D$9, 100%, $F$9) + CHOOSE(CONTROL!$C$27, 0.0021, 0)</f>
        <v>101.91929999999999</v>
      </c>
      <c r="K871" s="14">
        <f>101.9172 * CHOOSE(CONTROL!$C$9, $D$9, 100%, $F$9) + CHOOSE(CONTROL!$C$27, 0.0021, 0)</f>
        <v>101.91929999999999</v>
      </c>
      <c r="L871" s="14"/>
    </row>
    <row r="872" spans="1:12" ht="15.75" x14ac:dyDescent="0.25">
      <c r="A872" s="32">
        <v>67480</v>
      </c>
      <c r="B872" s="14">
        <f>99.0238 * CHOOSE(CONTROL!$C$9, $D$9, 100%, $F$9) + CHOOSE(CONTROL!$C$27, 0.0021, 0)</f>
        <v>99.025899999999993</v>
      </c>
      <c r="C872" s="14">
        <f>98.5915 * CHOOSE(CONTROL!$C$9, $D$9, 100%, $F$9) + CHOOSE(CONTROL!$C$27, 0.0021, 0)</f>
        <v>98.593599999999995</v>
      </c>
      <c r="D872" s="14">
        <f>98.5915 * CHOOSE(CONTROL!$C$9, $D$9, 100%, $F$9) + CHOOSE(CONTROL!$C$27, 0.0021, 0)</f>
        <v>98.593599999999995</v>
      </c>
      <c r="E872" s="14">
        <f>98.4549 * CHOOSE(CONTROL!$C$9, $D$9, 100%, $F$9) + CHOOSE(CONTROL!$C$27, 0.0021, 0)</f>
        <v>98.456999999999994</v>
      </c>
      <c r="F872" s="14">
        <f>98.4549 * CHOOSE(CONTROL!$C$9, $D$9, 100%, $F$9) + CHOOSE(CONTROL!$C$27, 0.0021, 0)</f>
        <v>98.456999999999994</v>
      </c>
      <c r="G872" s="14">
        <f>98.7262 * CHOOSE(CONTROL!$C$9, $D$9, 100%, $F$9) + CHOOSE(CONTROL!$C$27, 0.0021, 0)</f>
        <v>98.728300000000004</v>
      </c>
      <c r="H872" s="14">
        <f>98.5915 * CHOOSE(CONTROL!$C$9, $D$9, 100%, $F$9) + CHOOSE(CONTROL!$C$27, 0.0021, 0)</f>
        <v>98.593599999999995</v>
      </c>
      <c r="I872" s="14">
        <f>98.5915 * CHOOSE(CONTROL!$C$9, $D$9, 100%, $F$9) + CHOOSE(CONTROL!$C$27, 0.0021, 0)</f>
        <v>98.593599999999995</v>
      </c>
      <c r="J872" s="14">
        <f>98.5915 * CHOOSE(CONTROL!$C$9, $D$9, 100%, $F$9) + CHOOSE(CONTROL!$C$27, 0.0021, 0)</f>
        <v>98.593599999999995</v>
      </c>
      <c r="K872" s="14">
        <f>98.5915 * CHOOSE(CONTROL!$C$9, $D$9, 100%, $F$9) + CHOOSE(CONTROL!$C$27, 0.0021, 0)</f>
        <v>98.593599999999995</v>
      </c>
      <c r="L872" s="14"/>
    </row>
    <row r="873" spans="1:12" ht="15.75" x14ac:dyDescent="0.25">
      <c r="A873" s="32">
        <v>67511</v>
      </c>
      <c r="B873" s="14">
        <f>95.6787 * CHOOSE(CONTROL!$C$9, $D$9, 100%, $F$9) + CHOOSE(CONTROL!$C$27, 0.0021, 0)</f>
        <v>95.680800000000005</v>
      </c>
      <c r="C873" s="14">
        <f>95.2464 * CHOOSE(CONTROL!$C$9, $D$9, 100%, $F$9) + CHOOSE(CONTROL!$C$27, 0.0021, 0)</f>
        <v>95.248499999999993</v>
      </c>
      <c r="D873" s="14">
        <f>95.2464 * CHOOSE(CONTROL!$C$9, $D$9, 100%, $F$9) + CHOOSE(CONTROL!$C$27, 0.0021, 0)</f>
        <v>95.248499999999993</v>
      </c>
      <c r="E873" s="14">
        <f>95.1098 * CHOOSE(CONTROL!$C$9, $D$9, 100%, $F$9) + CHOOSE(CONTROL!$C$27, 0.0021, 0)</f>
        <v>95.111900000000006</v>
      </c>
      <c r="F873" s="14">
        <f>95.1098 * CHOOSE(CONTROL!$C$9, $D$9, 100%, $F$9) + CHOOSE(CONTROL!$C$27, 0.0021, 0)</f>
        <v>95.111900000000006</v>
      </c>
      <c r="G873" s="14">
        <f>95.3812 * CHOOSE(CONTROL!$C$9, $D$9, 100%, $F$9) + CHOOSE(CONTROL!$C$27, 0.0021, 0)</f>
        <v>95.383300000000006</v>
      </c>
      <c r="H873" s="14">
        <f>95.2464 * CHOOSE(CONTROL!$C$9, $D$9, 100%, $F$9) + CHOOSE(CONTROL!$C$27, 0.0021, 0)</f>
        <v>95.248499999999993</v>
      </c>
      <c r="I873" s="14">
        <f>95.2464 * CHOOSE(CONTROL!$C$9, $D$9, 100%, $F$9) + CHOOSE(CONTROL!$C$27, 0.0021, 0)</f>
        <v>95.248499999999993</v>
      </c>
      <c r="J873" s="14">
        <f>95.2464 * CHOOSE(CONTROL!$C$9, $D$9, 100%, $F$9) + CHOOSE(CONTROL!$C$27, 0.0021, 0)</f>
        <v>95.248499999999993</v>
      </c>
      <c r="K873" s="14">
        <f>95.2464 * CHOOSE(CONTROL!$C$9, $D$9, 100%, $F$9) + CHOOSE(CONTROL!$C$27, 0.0021, 0)</f>
        <v>95.248499999999993</v>
      </c>
      <c r="L873" s="14"/>
    </row>
    <row r="874" spans="1:12" ht="15.75" x14ac:dyDescent="0.25">
      <c r="A874" s="32">
        <v>67541</v>
      </c>
      <c r="B874" s="14">
        <f>95.0133 * CHOOSE(CONTROL!$C$9, $D$9, 100%, $F$9) + CHOOSE(CONTROL!$C$27, 0.0021, 0)</f>
        <v>95.0154</v>
      </c>
      <c r="C874" s="14">
        <f>94.581 * CHOOSE(CONTROL!$C$9, $D$9, 100%, $F$9) + CHOOSE(CONTROL!$C$27, 0.0021, 0)</f>
        <v>94.583100000000002</v>
      </c>
      <c r="D874" s="14">
        <f>94.581 * CHOOSE(CONTROL!$C$9, $D$9, 100%, $F$9) + CHOOSE(CONTROL!$C$27, 0.0021, 0)</f>
        <v>94.583100000000002</v>
      </c>
      <c r="E874" s="14">
        <f>94.4444 * CHOOSE(CONTROL!$C$9, $D$9, 100%, $F$9) + CHOOSE(CONTROL!$C$27, 0.0021, 0)</f>
        <v>94.4465</v>
      </c>
      <c r="F874" s="14">
        <f>94.4444 * CHOOSE(CONTROL!$C$9, $D$9, 100%, $F$9) + CHOOSE(CONTROL!$C$27, 0.0021, 0)</f>
        <v>94.4465</v>
      </c>
      <c r="G874" s="14">
        <f>94.7158 * CHOOSE(CONTROL!$C$9, $D$9, 100%, $F$9) + CHOOSE(CONTROL!$C$27, 0.0021, 0)</f>
        <v>94.7179</v>
      </c>
      <c r="H874" s="14">
        <f>94.581 * CHOOSE(CONTROL!$C$9, $D$9, 100%, $F$9) + CHOOSE(CONTROL!$C$27, 0.0021, 0)</f>
        <v>94.583100000000002</v>
      </c>
      <c r="I874" s="14">
        <f>94.581 * CHOOSE(CONTROL!$C$9, $D$9, 100%, $F$9) + CHOOSE(CONTROL!$C$27, 0.0021, 0)</f>
        <v>94.583100000000002</v>
      </c>
      <c r="J874" s="14">
        <f>94.581 * CHOOSE(CONTROL!$C$9, $D$9, 100%, $F$9) + CHOOSE(CONTROL!$C$27, 0.0021, 0)</f>
        <v>94.583100000000002</v>
      </c>
      <c r="K874" s="14">
        <f>94.581 * CHOOSE(CONTROL!$C$9, $D$9, 100%, $F$9) + CHOOSE(CONTROL!$C$27, 0.0021, 0)</f>
        <v>94.583100000000002</v>
      </c>
      <c r="L874" s="14"/>
    </row>
    <row r="875" spans="1:12" ht="15.75" x14ac:dyDescent="0.25">
      <c r="A875" s="32">
        <v>67572</v>
      </c>
      <c r="B875" s="14">
        <f>92.2618 * CHOOSE(CONTROL!$C$9, $D$9, 100%, $F$9) + CHOOSE(CONTROL!$C$27, 0.0021, 0)</f>
        <v>92.263899999999992</v>
      </c>
      <c r="C875" s="14">
        <f>91.8295 * CHOOSE(CONTROL!$C$9, $D$9, 100%, $F$9) + CHOOSE(CONTROL!$C$27, 0.0021, 0)</f>
        <v>91.831599999999995</v>
      </c>
      <c r="D875" s="14">
        <f>91.8295 * CHOOSE(CONTROL!$C$9, $D$9, 100%, $F$9) + CHOOSE(CONTROL!$C$27, 0.0021, 0)</f>
        <v>91.831599999999995</v>
      </c>
      <c r="E875" s="14">
        <f>91.6929 * CHOOSE(CONTROL!$C$9, $D$9, 100%, $F$9) + CHOOSE(CONTROL!$C$27, 0.0021, 0)</f>
        <v>91.694999999999993</v>
      </c>
      <c r="F875" s="14">
        <f>91.6929 * CHOOSE(CONTROL!$C$9, $D$9, 100%, $F$9) + CHOOSE(CONTROL!$C$27, 0.0021, 0)</f>
        <v>91.694999999999993</v>
      </c>
      <c r="G875" s="14">
        <f>91.9643 * CHOOSE(CONTROL!$C$9, $D$9, 100%, $F$9) + CHOOSE(CONTROL!$C$27, 0.0021, 0)</f>
        <v>91.966399999999993</v>
      </c>
      <c r="H875" s="14">
        <f>91.8295 * CHOOSE(CONTROL!$C$9, $D$9, 100%, $F$9) + CHOOSE(CONTROL!$C$27, 0.0021, 0)</f>
        <v>91.831599999999995</v>
      </c>
      <c r="I875" s="14">
        <f>91.8295 * CHOOSE(CONTROL!$C$9, $D$9, 100%, $F$9) + CHOOSE(CONTROL!$C$27, 0.0021, 0)</f>
        <v>91.831599999999995</v>
      </c>
      <c r="J875" s="14">
        <f>91.8295 * CHOOSE(CONTROL!$C$9, $D$9, 100%, $F$9) + CHOOSE(CONTROL!$C$27, 0.0021, 0)</f>
        <v>91.831599999999995</v>
      </c>
      <c r="K875" s="14">
        <f>91.8295 * CHOOSE(CONTROL!$C$9, $D$9, 100%, $F$9) + CHOOSE(CONTROL!$C$27, 0.0021, 0)</f>
        <v>91.831599999999995</v>
      </c>
      <c r="L875" s="14"/>
    </row>
    <row r="876" spans="1:12" ht="15.75" x14ac:dyDescent="0.25">
      <c r="A876" s="32">
        <v>67603</v>
      </c>
      <c r="B876" s="14">
        <f>91.7261 * CHOOSE(CONTROL!$C$9, $D$9, 100%, $F$9) + CHOOSE(CONTROL!$C$27, 0.0021, 0)</f>
        <v>91.728200000000001</v>
      </c>
      <c r="C876" s="14">
        <f>91.2938 * CHOOSE(CONTROL!$C$9, $D$9, 100%, $F$9) + CHOOSE(CONTROL!$C$27, 0.0021, 0)</f>
        <v>91.295900000000003</v>
      </c>
      <c r="D876" s="14">
        <f>91.2938 * CHOOSE(CONTROL!$C$9, $D$9, 100%, $F$9) + CHOOSE(CONTROL!$C$27, 0.0021, 0)</f>
        <v>91.295900000000003</v>
      </c>
      <c r="E876" s="14">
        <f>91.1572 * CHOOSE(CONTROL!$C$9, $D$9, 100%, $F$9) + CHOOSE(CONTROL!$C$27, 0.0021, 0)</f>
        <v>91.159300000000002</v>
      </c>
      <c r="F876" s="14">
        <f>91.1572 * CHOOSE(CONTROL!$C$9, $D$9, 100%, $F$9) + CHOOSE(CONTROL!$C$27, 0.0021, 0)</f>
        <v>91.159300000000002</v>
      </c>
      <c r="G876" s="14">
        <f>91.4286 * CHOOSE(CONTROL!$C$9, $D$9, 100%, $F$9) + CHOOSE(CONTROL!$C$27, 0.0021, 0)</f>
        <v>91.430700000000002</v>
      </c>
      <c r="H876" s="14">
        <f>91.2938 * CHOOSE(CONTROL!$C$9, $D$9, 100%, $F$9) + CHOOSE(CONTROL!$C$27, 0.0021, 0)</f>
        <v>91.295900000000003</v>
      </c>
      <c r="I876" s="14">
        <f>91.2938 * CHOOSE(CONTROL!$C$9, $D$9, 100%, $F$9) + CHOOSE(CONTROL!$C$27, 0.0021, 0)</f>
        <v>91.295900000000003</v>
      </c>
      <c r="J876" s="14">
        <f>91.2938 * CHOOSE(CONTROL!$C$9, $D$9, 100%, $F$9) + CHOOSE(CONTROL!$C$27, 0.0021, 0)</f>
        <v>91.295900000000003</v>
      </c>
      <c r="K876" s="14">
        <f>91.2938 * CHOOSE(CONTROL!$C$9, $D$9, 100%, $F$9) + CHOOSE(CONTROL!$C$27, 0.0021, 0)</f>
        <v>91.295900000000003</v>
      </c>
      <c r="L876" s="14"/>
    </row>
    <row r="877" spans="1:12" ht="15.75" x14ac:dyDescent="0.25">
      <c r="A877" s="32">
        <v>67631</v>
      </c>
      <c r="B877" s="14">
        <f>91.4775 * CHOOSE(CONTROL!$C$9, $D$9, 100%, $F$9) + CHOOSE(CONTROL!$C$27, 0.0021, 0)</f>
        <v>91.479600000000005</v>
      </c>
      <c r="C877" s="14">
        <f>91.0453 * CHOOSE(CONTROL!$C$9, $D$9, 100%, $F$9) + CHOOSE(CONTROL!$C$27, 0.0021, 0)</f>
        <v>91.047399999999996</v>
      </c>
      <c r="D877" s="14">
        <f>91.0453 * CHOOSE(CONTROL!$C$9, $D$9, 100%, $F$9) + CHOOSE(CONTROL!$C$27, 0.0021, 0)</f>
        <v>91.047399999999996</v>
      </c>
      <c r="E877" s="14">
        <f>90.9086 * CHOOSE(CONTROL!$C$9, $D$9, 100%, $F$9) + CHOOSE(CONTROL!$C$27, 0.0021, 0)</f>
        <v>90.910700000000006</v>
      </c>
      <c r="F877" s="14">
        <f>90.9086 * CHOOSE(CONTROL!$C$9, $D$9, 100%, $F$9) + CHOOSE(CONTROL!$C$27, 0.0021, 0)</f>
        <v>90.910700000000006</v>
      </c>
      <c r="G877" s="14">
        <f>91.18 * CHOOSE(CONTROL!$C$9, $D$9, 100%, $F$9) + CHOOSE(CONTROL!$C$27, 0.0021, 0)</f>
        <v>91.182100000000005</v>
      </c>
      <c r="H877" s="14">
        <f>91.0453 * CHOOSE(CONTROL!$C$9, $D$9, 100%, $F$9) + CHOOSE(CONTROL!$C$27, 0.0021, 0)</f>
        <v>91.047399999999996</v>
      </c>
      <c r="I877" s="14">
        <f>91.0453 * CHOOSE(CONTROL!$C$9, $D$9, 100%, $F$9) + CHOOSE(CONTROL!$C$27, 0.0021, 0)</f>
        <v>91.047399999999996</v>
      </c>
      <c r="J877" s="14">
        <f>91.0453 * CHOOSE(CONTROL!$C$9, $D$9, 100%, $F$9) + CHOOSE(CONTROL!$C$27, 0.0021, 0)</f>
        <v>91.047399999999996</v>
      </c>
      <c r="K877" s="14">
        <f>91.0453 * CHOOSE(CONTROL!$C$9, $D$9, 100%, $F$9) + CHOOSE(CONTROL!$C$27, 0.0021, 0)</f>
        <v>91.047399999999996</v>
      </c>
      <c r="L877" s="14"/>
    </row>
    <row r="878" spans="1:12" ht="15.75" x14ac:dyDescent="0.25">
      <c r="A878" s="32">
        <v>67662</v>
      </c>
      <c r="B878" s="14">
        <f>96.1781 * CHOOSE(CONTROL!$C$9, $D$9, 100%, $F$9) + CHOOSE(CONTROL!$C$27, 0.0021, 0)</f>
        <v>96.180199999999999</v>
      </c>
      <c r="C878" s="14">
        <f>95.7458 * CHOOSE(CONTROL!$C$9, $D$9, 100%, $F$9) + CHOOSE(CONTROL!$C$27, 0.0021, 0)</f>
        <v>95.747900000000001</v>
      </c>
      <c r="D878" s="14">
        <f>95.7458 * CHOOSE(CONTROL!$C$9, $D$9, 100%, $F$9) + CHOOSE(CONTROL!$C$27, 0.0021, 0)</f>
        <v>95.747900000000001</v>
      </c>
      <c r="E878" s="14">
        <f>95.6092 * CHOOSE(CONTROL!$C$9, $D$9, 100%, $F$9) + CHOOSE(CONTROL!$C$27, 0.0021, 0)</f>
        <v>95.6113</v>
      </c>
      <c r="F878" s="14">
        <f>95.6092 * CHOOSE(CONTROL!$C$9, $D$9, 100%, $F$9) + CHOOSE(CONTROL!$C$27, 0.0021, 0)</f>
        <v>95.6113</v>
      </c>
      <c r="G878" s="14">
        <f>95.8805 * CHOOSE(CONTROL!$C$9, $D$9, 100%, $F$9) + CHOOSE(CONTROL!$C$27, 0.0021, 0)</f>
        <v>95.882599999999996</v>
      </c>
      <c r="H878" s="14">
        <f>95.7458 * CHOOSE(CONTROL!$C$9, $D$9, 100%, $F$9) + CHOOSE(CONTROL!$C$27, 0.0021, 0)</f>
        <v>95.747900000000001</v>
      </c>
      <c r="I878" s="14">
        <f>95.7458 * CHOOSE(CONTROL!$C$9, $D$9, 100%, $F$9) + CHOOSE(CONTROL!$C$27, 0.0021, 0)</f>
        <v>95.747900000000001</v>
      </c>
      <c r="J878" s="14">
        <f>95.7458 * CHOOSE(CONTROL!$C$9, $D$9, 100%, $F$9) + CHOOSE(CONTROL!$C$27, 0.0021, 0)</f>
        <v>95.747900000000001</v>
      </c>
      <c r="K878" s="14">
        <f>95.7458 * CHOOSE(CONTROL!$C$9, $D$9, 100%, $F$9) + CHOOSE(CONTROL!$C$27, 0.0021, 0)</f>
        <v>95.747900000000001</v>
      </c>
      <c r="L878" s="14"/>
    </row>
    <row r="879" spans="1:12" ht="15.75" x14ac:dyDescent="0.25">
      <c r="A879" s="32">
        <v>67692</v>
      </c>
      <c r="B879" s="14">
        <f>102.2736 * CHOOSE(CONTROL!$C$9, $D$9, 100%, $F$9) + CHOOSE(CONTROL!$C$27, 0.0021, 0)</f>
        <v>102.2757</v>
      </c>
      <c r="C879" s="14">
        <f>101.8413 * CHOOSE(CONTROL!$C$9, $D$9, 100%, $F$9) + CHOOSE(CONTROL!$C$27, 0.0021, 0)</f>
        <v>101.8434</v>
      </c>
      <c r="D879" s="14">
        <f>101.8413 * CHOOSE(CONTROL!$C$9, $D$9, 100%, $F$9) + CHOOSE(CONTROL!$C$27, 0.0021, 0)</f>
        <v>101.8434</v>
      </c>
      <c r="E879" s="14">
        <f>101.7047 * CHOOSE(CONTROL!$C$9, $D$9, 100%, $F$9) + CHOOSE(CONTROL!$C$27, 0.0021, 0)</f>
        <v>101.7068</v>
      </c>
      <c r="F879" s="14">
        <f>101.7047 * CHOOSE(CONTROL!$C$9, $D$9, 100%, $F$9) + CHOOSE(CONTROL!$C$27, 0.0021, 0)</f>
        <v>101.7068</v>
      </c>
      <c r="G879" s="14">
        <f>101.9761 * CHOOSE(CONTROL!$C$9, $D$9, 100%, $F$9) + CHOOSE(CONTROL!$C$27, 0.0021, 0)</f>
        <v>101.9782</v>
      </c>
      <c r="H879" s="14">
        <f>101.8413 * CHOOSE(CONTROL!$C$9, $D$9, 100%, $F$9) + CHOOSE(CONTROL!$C$27, 0.0021, 0)</f>
        <v>101.8434</v>
      </c>
      <c r="I879" s="14">
        <f>101.8413 * CHOOSE(CONTROL!$C$9, $D$9, 100%, $F$9) + CHOOSE(CONTROL!$C$27, 0.0021, 0)</f>
        <v>101.8434</v>
      </c>
      <c r="J879" s="14">
        <f>101.8413 * CHOOSE(CONTROL!$C$9, $D$9, 100%, $F$9) + CHOOSE(CONTROL!$C$27, 0.0021, 0)</f>
        <v>101.8434</v>
      </c>
      <c r="K879" s="14">
        <f>101.8413 * CHOOSE(CONTROL!$C$9, $D$9, 100%, $F$9) + CHOOSE(CONTROL!$C$27, 0.0021, 0)</f>
        <v>101.8434</v>
      </c>
      <c r="L879" s="14"/>
    </row>
    <row r="880" spans="1:12" ht="15.75" x14ac:dyDescent="0.25">
      <c r="A880" s="32">
        <v>67723</v>
      </c>
      <c r="B880" s="14">
        <f>105.6288 * CHOOSE(CONTROL!$C$9, $D$9, 100%, $F$9) + CHOOSE(CONTROL!$C$27, 0.0021, 0)</f>
        <v>105.6309</v>
      </c>
      <c r="C880" s="14">
        <f>105.1965 * CHOOSE(CONTROL!$C$9, $D$9, 100%, $F$9) + CHOOSE(CONTROL!$C$27, 0.0021, 0)</f>
        <v>105.1986</v>
      </c>
      <c r="D880" s="14">
        <f>105.1965 * CHOOSE(CONTROL!$C$9, $D$9, 100%, $F$9) + CHOOSE(CONTROL!$C$27, 0.0021, 0)</f>
        <v>105.1986</v>
      </c>
      <c r="E880" s="14">
        <f>105.0599 * CHOOSE(CONTROL!$C$9, $D$9, 100%, $F$9) + CHOOSE(CONTROL!$C$27, 0.0021, 0)</f>
        <v>105.062</v>
      </c>
      <c r="F880" s="14">
        <f>105.0599 * CHOOSE(CONTROL!$C$9, $D$9, 100%, $F$9) + CHOOSE(CONTROL!$C$27, 0.0021, 0)</f>
        <v>105.062</v>
      </c>
      <c r="G880" s="14">
        <f>105.3312 * CHOOSE(CONTROL!$C$9, $D$9, 100%, $F$9) + CHOOSE(CONTROL!$C$27, 0.0021, 0)</f>
        <v>105.33329999999999</v>
      </c>
      <c r="H880" s="14">
        <f>105.1965 * CHOOSE(CONTROL!$C$9, $D$9, 100%, $F$9) + CHOOSE(CONTROL!$C$27, 0.0021, 0)</f>
        <v>105.1986</v>
      </c>
      <c r="I880" s="14">
        <f>105.1965 * CHOOSE(CONTROL!$C$9, $D$9, 100%, $F$9) + CHOOSE(CONTROL!$C$27, 0.0021, 0)</f>
        <v>105.1986</v>
      </c>
      <c r="J880" s="14">
        <f>105.1965 * CHOOSE(CONTROL!$C$9, $D$9, 100%, $F$9) + CHOOSE(CONTROL!$C$27, 0.0021, 0)</f>
        <v>105.1986</v>
      </c>
      <c r="K880" s="14">
        <f>105.1965 * CHOOSE(CONTROL!$C$9, $D$9, 100%, $F$9) + CHOOSE(CONTROL!$C$27, 0.0021, 0)</f>
        <v>105.1986</v>
      </c>
      <c r="L880" s="14"/>
    </row>
    <row r="881" spans="1:12" ht="15.75" x14ac:dyDescent="0.25">
      <c r="A881" s="32">
        <v>67753</v>
      </c>
      <c r="B881" s="14">
        <f>107.1177 * CHOOSE(CONTROL!$C$9, $D$9, 100%, $F$9) + CHOOSE(CONTROL!$C$27, 0.0021, 0)</f>
        <v>107.1198</v>
      </c>
      <c r="C881" s="14">
        <f>106.6855 * CHOOSE(CONTROL!$C$9, $D$9, 100%, $F$9) + CHOOSE(CONTROL!$C$27, 0.0021, 0)</f>
        <v>106.6876</v>
      </c>
      <c r="D881" s="14">
        <f>106.6855 * CHOOSE(CONTROL!$C$9, $D$9, 100%, $F$9) + CHOOSE(CONTROL!$C$27, 0.0021, 0)</f>
        <v>106.6876</v>
      </c>
      <c r="E881" s="14">
        <f>106.5488 * CHOOSE(CONTROL!$C$9, $D$9, 100%, $F$9) + CHOOSE(CONTROL!$C$27, 0.0021, 0)</f>
        <v>106.5509</v>
      </c>
      <c r="F881" s="14">
        <f>106.5488 * CHOOSE(CONTROL!$C$9, $D$9, 100%, $F$9) + CHOOSE(CONTROL!$C$27, 0.0021, 0)</f>
        <v>106.5509</v>
      </c>
      <c r="G881" s="14">
        <f>106.8202 * CHOOSE(CONTROL!$C$9, $D$9, 100%, $F$9) + CHOOSE(CONTROL!$C$27, 0.0021, 0)</f>
        <v>106.8223</v>
      </c>
      <c r="H881" s="14">
        <f>106.6855 * CHOOSE(CONTROL!$C$9, $D$9, 100%, $F$9) + CHOOSE(CONTROL!$C$27, 0.0021, 0)</f>
        <v>106.6876</v>
      </c>
      <c r="I881" s="14">
        <f>106.6855 * CHOOSE(CONTROL!$C$9, $D$9, 100%, $F$9) + CHOOSE(CONTROL!$C$27, 0.0021, 0)</f>
        <v>106.6876</v>
      </c>
      <c r="J881" s="14">
        <f>106.6855 * CHOOSE(CONTROL!$C$9, $D$9, 100%, $F$9) + CHOOSE(CONTROL!$C$27, 0.0021, 0)</f>
        <v>106.6876</v>
      </c>
      <c r="K881" s="14">
        <f>106.6855 * CHOOSE(CONTROL!$C$9, $D$9, 100%, $F$9) + CHOOSE(CONTROL!$C$27, 0.0021, 0)</f>
        <v>106.6876</v>
      </c>
      <c r="L881" s="14"/>
    </row>
    <row r="882" spans="1:12" ht="15.75" x14ac:dyDescent="0.25">
      <c r="A882" s="32">
        <v>67784</v>
      </c>
      <c r="B882" s="14">
        <f>106.6275 * CHOOSE(CONTROL!$C$9, $D$9, 100%, $F$9) + CHOOSE(CONTROL!$C$27, 0.0021, 0)</f>
        <v>106.6296</v>
      </c>
      <c r="C882" s="14">
        <f>106.1952 * CHOOSE(CONTROL!$C$9, $D$9, 100%, $F$9) + CHOOSE(CONTROL!$C$27, 0.0021, 0)</f>
        <v>106.1973</v>
      </c>
      <c r="D882" s="14">
        <f>106.1952 * CHOOSE(CONTROL!$C$9, $D$9, 100%, $F$9) + CHOOSE(CONTROL!$C$27, 0.0021, 0)</f>
        <v>106.1973</v>
      </c>
      <c r="E882" s="14">
        <f>106.0586 * CHOOSE(CONTROL!$C$9, $D$9, 100%, $F$9) + CHOOSE(CONTROL!$C$27, 0.0021, 0)</f>
        <v>106.0607</v>
      </c>
      <c r="F882" s="14">
        <f>106.0586 * CHOOSE(CONTROL!$C$9, $D$9, 100%, $F$9) + CHOOSE(CONTROL!$C$27, 0.0021, 0)</f>
        <v>106.0607</v>
      </c>
      <c r="G882" s="14">
        <f>106.33 * CHOOSE(CONTROL!$C$9, $D$9, 100%, $F$9) + CHOOSE(CONTROL!$C$27, 0.0021, 0)</f>
        <v>106.3321</v>
      </c>
      <c r="H882" s="14">
        <f>106.1952 * CHOOSE(CONTROL!$C$9, $D$9, 100%, $F$9) + CHOOSE(CONTROL!$C$27, 0.0021, 0)</f>
        <v>106.1973</v>
      </c>
      <c r="I882" s="14">
        <f>106.1952 * CHOOSE(CONTROL!$C$9, $D$9, 100%, $F$9) + CHOOSE(CONTROL!$C$27, 0.0021, 0)</f>
        <v>106.1973</v>
      </c>
      <c r="J882" s="14">
        <f>106.1952 * CHOOSE(CONTROL!$C$9, $D$9, 100%, $F$9) + CHOOSE(CONTROL!$C$27, 0.0021, 0)</f>
        <v>106.1973</v>
      </c>
      <c r="K882" s="14">
        <f>106.1952 * CHOOSE(CONTROL!$C$9, $D$9, 100%, $F$9) + CHOOSE(CONTROL!$C$27, 0.0021, 0)</f>
        <v>106.1973</v>
      </c>
      <c r="L882" s="14"/>
    </row>
    <row r="883" spans="1:12" ht="15.75" x14ac:dyDescent="0.25">
      <c r="A883" s="32">
        <v>67815</v>
      </c>
      <c r="B883" s="14">
        <f>104.1986 * CHOOSE(CONTROL!$C$9, $D$9, 100%, $F$9) + CHOOSE(CONTROL!$C$27, 0.0021, 0)</f>
        <v>104.2007</v>
      </c>
      <c r="C883" s="14">
        <f>103.7664 * CHOOSE(CONTROL!$C$9, $D$9, 100%, $F$9) + CHOOSE(CONTROL!$C$27, 0.0021, 0)</f>
        <v>103.7685</v>
      </c>
      <c r="D883" s="14">
        <f>103.7664 * CHOOSE(CONTROL!$C$9, $D$9, 100%, $F$9) + CHOOSE(CONTROL!$C$27, 0.0021, 0)</f>
        <v>103.7685</v>
      </c>
      <c r="E883" s="14">
        <f>103.6297 * CHOOSE(CONTROL!$C$9, $D$9, 100%, $F$9) + CHOOSE(CONTROL!$C$27, 0.0021, 0)</f>
        <v>103.6318</v>
      </c>
      <c r="F883" s="14">
        <f>103.6297 * CHOOSE(CONTROL!$C$9, $D$9, 100%, $F$9) + CHOOSE(CONTROL!$C$27, 0.0021, 0)</f>
        <v>103.6318</v>
      </c>
      <c r="G883" s="14">
        <f>103.9011 * CHOOSE(CONTROL!$C$9, $D$9, 100%, $F$9) + CHOOSE(CONTROL!$C$27, 0.0021, 0)</f>
        <v>103.9032</v>
      </c>
      <c r="H883" s="14">
        <f>103.7664 * CHOOSE(CONTROL!$C$9, $D$9, 100%, $F$9) + CHOOSE(CONTROL!$C$27, 0.0021, 0)</f>
        <v>103.7685</v>
      </c>
      <c r="I883" s="14">
        <f>103.7664 * CHOOSE(CONTROL!$C$9, $D$9, 100%, $F$9) + CHOOSE(CONTROL!$C$27, 0.0021, 0)</f>
        <v>103.7685</v>
      </c>
      <c r="J883" s="14">
        <f>103.7664 * CHOOSE(CONTROL!$C$9, $D$9, 100%, $F$9) + CHOOSE(CONTROL!$C$27, 0.0021, 0)</f>
        <v>103.7685</v>
      </c>
      <c r="K883" s="14">
        <f>103.7664 * CHOOSE(CONTROL!$C$9, $D$9, 100%, $F$9) + CHOOSE(CONTROL!$C$27, 0.0021, 0)</f>
        <v>103.7685</v>
      </c>
      <c r="L883" s="14"/>
    </row>
    <row r="884" spans="1:12" ht="15.75" x14ac:dyDescent="0.25">
      <c r="A884" s="32">
        <v>67845</v>
      </c>
      <c r="B884" s="14">
        <f>100.8114 * CHOOSE(CONTROL!$C$9, $D$9, 100%, $F$9) + CHOOSE(CONTROL!$C$27, 0.0021, 0)</f>
        <v>100.8135</v>
      </c>
      <c r="C884" s="14">
        <f>100.3792 * CHOOSE(CONTROL!$C$9, $D$9, 100%, $F$9) + CHOOSE(CONTROL!$C$27, 0.0021, 0)</f>
        <v>100.3813</v>
      </c>
      <c r="D884" s="14">
        <f>100.3792 * CHOOSE(CONTROL!$C$9, $D$9, 100%, $F$9) + CHOOSE(CONTROL!$C$27, 0.0021, 0)</f>
        <v>100.3813</v>
      </c>
      <c r="E884" s="14">
        <f>100.2425 * CHOOSE(CONTROL!$C$9, $D$9, 100%, $F$9) + CHOOSE(CONTROL!$C$27, 0.0021, 0)</f>
        <v>100.24460000000001</v>
      </c>
      <c r="F884" s="14">
        <f>100.2425 * CHOOSE(CONTROL!$C$9, $D$9, 100%, $F$9) + CHOOSE(CONTROL!$C$27, 0.0021, 0)</f>
        <v>100.24460000000001</v>
      </c>
      <c r="G884" s="14">
        <f>100.5139 * CHOOSE(CONTROL!$C$9, $D$9, 100%, $F$9) + CHOOSE(CONTROL!$C$27, 0.0021, 0)</f>
        <v>100.51600000000001</v>
      </c>
      <c r="H884" s="14">
        <f>100.3792 * CHOOSE(CONTROL!$C$9, $D$9, 100%, $F$9) + CHOOSE(CONTROL!$C$27, 0.0021, 0)</f>
        <v>100.3813</v>
      </c>
      <c r="I884" s="14">
        <f>100.3792 * CHOOSE(CONTROL!$C$9, $D$9, 100%, $F$9) + CHOOSE(CONTROL!$C$27, 0.0021, 0)</f>
        <v>100.3813</v>
      </c>
      <c r="J884" s="14">
        <f>100.3792 * CHOOSE(CONTROL!$C$9, $D$9, 100%, $F$9) + CHOOSE(CONTROL!$C$27, 0.0021, 0)</f>
        <v>100.3813</v>
      </c>
      <c r="K884" s="14">
        <f>100.3792 * CHOOSE(CONTROL!$C$9, $D$9, 100%, $F$9) + CHOOSE(CONTROL!$C$27, 0.0021, 0)</f>
        <v>100.3813</v>
      </c>
      <c r="L884" s="14"/>
    </row>
    <row r="885" spans="1:12" ht="15.75" x14ac:dyDescent="0.25">
      <c r="A885" s="32">
        <v>67876</v>
      </c>
      <c r="B885" s="14">
        <f>97.4045 * CHOOSE(CONTROL!$C$9, $D$9, 100%, $F$9) + CHOOSE(CONTROL!$C$27, 0.0021, 0)</f>
        <v>97.406599999999997</v>
      </c>
      <c r="C885" s="14">
        <f>96.9723 * CHOOSE(CONTROL!$C$9, $D$9, 100%, $F$9) + CHOOSE(CONTROL!$C$27, 0.0021, 0)</f>
        <v>96.974400000000003</v>
      </c>
      <c r="D885" s="14">
        <f>96.9723 * CHOOSE(CONTROL!$C$9, $D$9, 100%, $F$9) + CHOOSE(CONTROL!$C$27, 0.0021, 0)</f>
        <v>96.974400000000003</v>
      </c>
      <c r="E885" s="14">
        <f>96.8356 * CHOOSE(CONTROL!$C$9, $D$9, 100%, $F$9) + CHOOSE(CONTROL!$C$27, 0.0021, 0)</f>
        <v>96.837699999999998</v>
      </c>
      <c r="F885" s="14">
        <f>96.8356 * CHOOSE(CONTROL!$C$9, $D$9, 100%, $F$9) + CHOOSE(CONTROL!$C$27, 0.0021, 0)</f>
        <v>96.837699999999998</v>
      </c>
      <c r="G885" s="14">
        <f>97.107 * CHOOSE(CONTROL!$C$9, $D$9, 100%, $F$9) + CHOOSE(CONTROL!$C$27, 0.0021, 0)</f>
        <v>97.109099999999998</v>
      </c>
      <c r="H885" s="14">
        <f>96.9723 * CHOOSE(CONTROL!$C$9, $D$9, 100%, $F$9) + CHOOSE(CONTROL!$C$27, 0.0021, 0)</f>
        <v>96.974400000000003</v>
      </c>
      <c r="I885" s="14">
        <f>96.9723 * CHOOSE(CONTROL!$C$9, $D$9, 100%, $F$9) + CHOOSE(CONTROL!$C$27, 0.0021, 0)</f>
        <v>96.974400000000003</v>
      </c>
      <c r="J885" s="14">
        <f>96.9723 * CHOOSE(CONTROL!$C$9, $D$9, 100%, $F$9) + CHOOSE(CONTROL!$C$27, 0.0021, 0)</f>
        <v>96.974400000000003</v>
      </c>
      <c r="K885" s="14">
        <f>96.9723 * CHOOSE(CONTROL!$C$9, $D$9, 100%, $F$9) + CHOOSE(CONTROL!$C$27, 0.0021, 0)</f>
        <v>96.974400000000003</v>
      </c>
      <c r="L885" s="14"/>
    </row>
    <row r="886" spans="1:12" ht="15.75" x14ac:dyDescent="0.25">
      <c r="A886" s="32">
        <v>67906</v>
      </c>
      <c r="B886" s="14">
        <f>96.7268 * CHOOSE(CONTROL!$C$9, $D$9, 100%, $F$9) + CHOOSE(CONTROL!$C$27, 0.0021, 0)</f>
        <v>96.728899999999996</v>
      </c>
      <c r="C886" s="14">
        <f>96.2946 * CHOOSE(CONTROL!$C$9, $D$9, 100%, $F$9) + CHOOSE(CONTROL!$C$27, 0.0021, 0)</f>
        <v>96.296700000000001</v>
      </c>
      <c r="D886" s="14">
        <f>96.2946 * CHOOSE(CONTROL!$C$9, $D$9, 100%, $F$9) + CHOOSE(CONTROL!$C$27, 0.0021, 0)</f>
        <v>96.296700000000001</v>
      </c>
      <c r="E886" s="14">
        <f>96.1579 * CHOOSE(CONTROL!$C$9, $D$9, 100%, $F$9) + CHOOSE(CONTROL!$C$27, 0.0021, 0)</f>
        <v>96.16</v>
      </c>
      <c r="F886" s="14">
        <f>96.1579 * CHOOSE(CONTROL!$C$9, $D$9, 100%, $F$9) + CHOOSE(CONTROL!$C$27, 0.0021, 0)</f>
        <v>96.16</v>
      </c>
      <c r="G886" s="14">
        <f>96.4293 * CHOOSE(CONTROL!$C$9, $D$9, 100%, $F$9) + CHOOSE(CONTROL!$C$27, 0.0021, 0)</f>
        <v>96.431399999999996</v>
      </c>
      <c r="H886" s="14">
        <f>96.2946 * CHOOSE(CONTROL!$C$9, $D$9, 100%, $F$9) + CHOOSE(CONTROL!$C$27, 0.0021, 0)</f>
        <v>96.296700000000001</v>
      </c>
      <c r="I886" s="14">
        <f>96.2946 * CHOOSE(CONTROL!$C$9, $D$9, 100%, $F$9) + CHOOSE(CONTROL!$C$27, 0.0021, 0)</f>
        <v>96.296700000000001</v>
      </c>
      <c r="J886" s="14">
        <f>96.2946 * CHOOSE(CONTROL!$C$9, $D$9, 100%, $F$9) + CHOOSE(CONTROL!$C$27, 0.0021, 0)</f>
        <v>96.296700000000001</v>
      </c>
      <c r="K886" s="14">
        <f>96.2946 * CHOOSE(CONTROL!$C$9, $D$9, 100%, $F$9) + CHOOSE(CONTROL!$C$27, 0.0021, 0)</f>
        <v>96.296700000000001</v>
      </c>
      <c r="L886" s="14"/>
    </row>
    <row r="887" spans="1:12" ht="15.75" x14ac:dyDescent="0.25">
      <c r="A887" s="32">
        <v>67937</v>
      </c>
      <c r="B887" s="14">
        <f>93.9245 * CHOOSE(CONTROL!$C$9, $D$9, 100%, $F$9) + CHOOSE(CONTROL!$C$27, 0.0021, 0)</f>
        <v>93.926599999999993</v>
      </c>
      <c r="C887" s="14">
        <f>93.4922 * CHOOSE(CONTROL!$C$9, $D$9, 100%, $F$9) + CHOOSE(CONTROL!$C$27, 0.0021, 0)</f>
        <v>93.494299999999996</v>
      </c>
      <c r="D887" s="14">
        <f>93.4922 * CHOOSE(CONTROL!$C$9, $D$9, 100%, $F$9) + CHOOSE(CONTROL!$C$27, 0.0021, 0)</f>
        <v>93.494299999999996</v>
      </c>
      <c r="E887" s="14">
        <f>93.3556 * CHOOSE(CONTROL!$C$9, $D$9, 100%, $F$9) + CHOOSE(CONTROL!$C$27, 0.0021, 0)</f>
        <v>93.357699999999994</v>
      </c>
      <c r="F887" s="14">
        <f>93.3556 * CHOOSE(CONTROL!$C$9, $D$9, 100%, $F$9) + CHOOSE(CONTROL!$C$27, 0.0021, 0)</f>
        <v>93.357699999999994</v>
      </c>
      <c r="G887" s="14">
        <f>93.627 * CHOOSE(CONTROL!$C$9, $D$9, 100%, $F$9) + CHOOSE(CONTROL!$C$27, 0.0021, 0)</f>
        <v>93.629099999999994</v>
      </c>
      <c r="H887" s="14">
        <f>93.4922 * CHOOSE(CONTROL!$C$9, $D$9, 100%, $F$9) + CHOOSE(CONTROL!$C$27, 0.0021, 0)</f>
        <v>93.494299999999996</v>
      </c>
      <c r="I887" s="14">
        <f>93.4922 * CHOOSE(CONTROL!$C$9, $D$9, 100%, $F$9) + CHOOSE(CONTROL!$C$27, 0.0021, 0)</f>
        <v>93.494299999999996</v>
      </c>
      <c r="J887" s="14">
        <f>93.4922 * CHOOSE(CONTROL!$C$9, $D$9, 100%, $F$9) + CHOOSE(CONTROL!$C$27, 0.0021, 0)</f>
        <v>93.494299999999996</v>
      </c>
      <c r="K887" s="14">
        <f>93.4922 * CHOOSE(CONTROL!$C$9, $D$9, 100%, $F$9) + CHOOSE(CONTROL!$C$27, 0.0021, 0)</f>
        <v>93.494299999999996</v>
      </c>
      <c r="L887" s="14"/>
    </row>
    <row r="888" spans="1:12" ht="15.75" x14ac:dyDescent="0.25">
      <c r="A888" s="32">
        <v>67968</v>
      </c>
      <c r="B888" s="14">
        <f>93.3789 * CHOOSE(CONTROL!$C$9, $D$9, 100%, $F$9) + CHOOSE(CONTROL!$C$27, 0.0021, 0)</f>
        <v>93.381</v>
      </c>
      <c r="C888" s="14">
        <f>92.9467 * CHOOSE(CONTROL!$C$9, $D$9, 100%, $F$9) + CHOOSE(CONTROL!$C$27, 0.0021, 0)</f>
        <v>92.948800000000006</v>
      </c>
      <c r="D888" s="14">
        <f>92.9467 * CHOOSE(CONTROL!$C$9, $D$9, 100%, $F$9) + CHOOSE(CONTROL!$C$27, 0.0021, 0)</f>
        <v>92.948800000000006</v>
      </c>
      <c r="E888" s="14">
        <f>92.81 * CHOOSE(CONTROL!$C$9, $D$9, 100%, $F$9) + CHOOSE(CONTROL!$C$27, 0.0021, 0)</f>
        <v>92.812100000000001</v>
      </c>
      <c r="F888" s="14">
        <f>92.81 * CHOOSE(CONTROL!$C$9, $D$9, 100%, $F$9) + CHOOSE(CONTROL!$C$27, 0.0021, 0)</f>
        <v>92.812100000000001</v>
      </c>
      <c r="G888" s="14">
        <f>93.0814 * CHOOSE(CONTROL!$C$9, $D$9, 100%, $F$9) + CHOOSE(CONTROL!$C$27, 0.0021, 0)</f>
        <v>93.083500000000001</v>
      </c>
      <c r="H888" s="14">
        <f>92.9467 * CHOOSE(CONTROL!$C$9, $D$9, 100%, $F$9) + CHOOSE(CONTROL!$C$27, 0.0021, 0)</f>
        <v>92.948800000000006</v>
      </c>
      <c r="I888" s="14">
        <f>92.9467 * CHOOSE(CONTROL!$C$9, $D$9, 100%, $F$9) + CHOOSE(CONTROL!$C$27, 0.0021, 0)</f>
        <v>92.948800000000006</v>
      </c>
      <c r="J888" s="14">
        <f>92.9467 * CHOOSE(CONTROL!$C$9, $D$9, 100%, $F$9) + CHOOSE(CONTROL!$C$27, 0.0021, 0)</f>
        <v>92.948800000000006</v>
      </c>
      <c r="K888" s="14">
        <f>92.9467 * CHOOSE(CONTROL!$C$9, $D$9, 100%, $F$9) + CHOOSE(CONTROL!$C$27, 0.0021, 0)</f>
        <v>92.948800000000006</v>
      </c>
      <c r="L888" s="14"/>
    </row>
    <row r="889" spans="1:12" ht="15.75" x14ac:dyDescent="0.25">
      <c r="A889" s="32">
        <v>67996</v>
      </c>
      <c r="B889" s="14">
        <f>93.1257 * CHOOSE(CONTROL!$C$9, $D$9, 100%, $F$9) + CHOOSE(CONTROL!$C$27, 0.0021, 0)</f>
        <v>93.127799999999993</v>
      </c>
      <c r="C889" s="14">
        <f>92.6935 * CHOOSE(CONTROL!$C$9, $D$9, 100%, $F$9) + CHOOSE(CONTROL!$C$27, 0.0021, 0)</f>
        <v>92.695599999999999</v>
      </c>
      <c r="D889" s="14">
        <f>92.6935 * CHOOSE(CONTROL!$C$9, $D$9, 100%, $F$9) + CHOOSE(CONTROL!$C$27, 0.0021, 0)</f>
        <v>92.695599999999999</v>
      </c>
      <c r="E889" s="14">
        <f>92.5568 * CHOOSE(CONTROL!$C$9, $D$9, 100%, $F$9) + CHOOSE(CONTROL!$C$27, 0.0021, 0)</f>
        <v>92.558899999999994</v>
      </c>
      <c r="F889" s="14">
        <f>92.5568 * CHOOSE(CONTROL!$C$9, $D$9, 100%, $F$9) + CHOOSE(CONTROL!$C$27, 0.0021, 0)</f>
        <v>92.558899999999994</v>
      </c>
      <c r="G889" s="14">
        <f>92.8282 * CHOOSE(CONTROL!$C$9, $D$9, 100%, $F$9) + CHOOSE(CONTROL!$C$27, 0.0021, 0)</f>
        <v>92.830299999999994</v>
      </c>
      <c r="H889" s="14">
        <f>92.6935 * CHOOSE(CONTROL!$C$9, $D$9, 100%, $F$9) + CHOOSE(CONTROL!$C$27, 0.0021, 0)</f>
        <v>92.695599999999999</v>
      </c>
      <c r="I889" s="14">
        <f>92.6935 * CHOOSE(CONTROL!$C$9, $D$9, 100%, $F$9) + CHOOSE(CONTROL!$C$27, 0.0021, 0)</f>
        <v>92.695599999999999</v>
      </c>
      <c r="J889" s="14">
        <f>92.6935 * CHOOSE(CONTROL!$C$9, $D$9, 100%, $F$9) + CHOOSE(CONTROL!$C$27, 0.0021, 0)</f>
        <v>92.695599999999999</v>
      </c>
      <c r="K889" s="14">
        <f>92.6935 * CHOOSE(CONTROL!$C$9, $D$9, 100%, $F$9) + CHOOSE(CONTROL!$C$27, 0.0021, 0)</f>
        <v>92.695599999999999</v>
      </c>
      <c r="L889" s="14"/>
    </row>
    <row r="890" spans="1:12" ht="15.75" x14ac:dyDescent="0.25">
      <c r="A890" s="32">
        <v>68027</v>
      </c>
      <c r="B890" s="14">
        <f>97.9132 * CHOOSE(CONTROL!$C$9, $D$9, 100%, $F$9) + CHOOSE(CONTROL!$C$27, 0.0021, 0)</f>
        <v>97.915300000000002</v>
      </c>
      <c r="C890" s="14">
        <f>97.4809 * CHOOSE(CONTROL!$C$9, $D$9, 100%, $F$9) + CHOOSE(CONTROL!$C$27, 0.0021, 0)</f>
        <v>97.483000000000004</v>
      </c>
      <c r="D890" s="14">
        <f>97.4809 * CHOOSE(CONTROL!$C$9, $D$9, 100%, $F$9) + CHOOSE(CONTROL!$C$27, 0.0021, 0)</f>
        <v>97.483000000000004</v>
      </c>
      <c r="E890" s="14">
        <f>97.3442 * CHOOSE(CONTROL!$C$9, $D$9, 100%, $F$9) + CHOOSE(CONTROL!$C$27, 0.0021, 0)</f>
        <v>97.346299999999999</v>
      </c>
      <c r="F890" s="14">
        <f>97.3442 * CHOOSE(CONTROL!$C$9, $D$9, 100%, $F$9) + CHOOSE(CONTROL!$C$27, 0.0021, 0)</f>
        <v>97.346299999999999</v>
      </c>
      <c r="G890" s="14">
        <f>97.6156 * CHOOSE(CONTROL!$C$9, $D$9, 100%, $F$9) + CHOOSE(CONTROL!$C$27, 0.0021, 0)</f>
        <v>97.617699999999999</v>
      </c>
      <c r="H890" s="14">
        <f>97.4809 * CHOOSE(CONTROL!$C$9, $D$9, 100%, $F$9) + CHOOSE(CONTROL!$C$27, 0.0021, 0)</f>
        <v>97.483000000000004</v>
      </c>
      <c r="I890" s="14">
        <f>97.4809 * CHOOSE(CONTROL!$C$9, $D$9, 100%, $F$9) + CHOOSE(CONTROL!$C$27, 0.0021, 0)</f>
        <v>97.483000000000004</v>
      </c>
      <c r="J890" s="14">
        <f>97.4809 * CHOOSE(CONTROL!$C$9, $D$9, 100%, $F$9) + CHOOSE(CONTROL!$C$27, 0.0021, 0)</f>
        <v>97.483000000000004</v>
      </c>
      <c r="K890" s="14">
        <f>97.4809 * CHOOSE(CONTROL!$C$9, $D$9, 100%, $F$9) + CHOOSE(CONTROL!$C$27, 0.0021, 0)</f>
        <v>97.483000000000004</v>
      </c>
      <c r="L890" s="14"/>
    </row>
    <row r="891" spans="1:12" ht="15.75" x14ac:dyDescent="0.25">
      <c r="A891" s="32">
        <v>68057</v>
      </c>
      <c r="B891" s="14">
        <f>104.1213 * CHOOSE(CONTROL!$C$9, $D$9, 100%, $F$9) + CHOOSE(CONTROL!$C$27, 0.0021, 0)</f>
        <v>104.1234</v>
      </c>
      <c r="C891" s="14">
        <f>103.6891 * CHOOSE(CONTROL!$C$9, $D$9, 100%, $F$9) + CHOOSE(CONTROL!$C$27, 0.0021, 0)</f>
        <v>103.69119999999999</v>
      </c>
      <c r="D891" s="14">
        <f>103.6891 * CHOOSE(CONTROL!$C$9, $D$9, 100%, $F$9) + CHOOSE(CONTROL!$C$27, 0.0021, 0)</f>
        <v>103.69119999999999</v>
      </c>
      <c r="E891" s="14">
        <f>103.5524 * CHOOSE(CONTROL!$C$9, $D$9, 100%, $F$9) + CHOOSE(CONTROL!$C$27, 0.0021, 0)</f>
        <v>103.5545</v>
      </c>
      <c r="F891" s="14">
        <f>103.5524 * CHOOSE(CONTROL!$C$9, $D$9, 100%, $F$9) + CHOOSE(CONTROL!$C$27, 0.0021, 0)</f>
        <v>103.5545</v>
      </c>
      <c r="G891" s="14">
        <f>103.8238 * CHOOSE(CONTROL!$C$9, $D$9, 100%, $F$9) + CHOOSE(CONTROL!$C$27, 0.0021, 0)</f>
        <v>103.8259</v>
      </c>
      <c r="H891" s="14">
        <f>103.6891 * CHOOSE(CONTROL!$C$9, $D$9, 100%, $F$9) + CHOOSE(CONTROL!$C$27, 0.0021, 0)</f>
        <v>103.69119999999999</v>
      </c>
      <c r="I891" s="14">
        <f>103.6891 * CHOOSE(CONTROL!$C$9, $D$9, 100%, $F$9) + CHOOSE(CONTROL!$C$27, 0.0021, 0)</f>
        <v>103.69119999999999</v>
      </c>
      <c r="J891" s="14">
        <f>103.6891 * CHOOSE(CONTROL!$C$9, $D$9, 100%, $F$9) + CHOOSE(CONTROL!$C$27, 0.0021, 0)</f>
        <v>103.69119999999999</v>
      </c>
      <c r="K891" s="14">
        <f>103.6891 * CHOOSE(CONTROL!$C$9, $D$9, 100%, $F$9) + CHOOSE(CONTROL!$C$27, 0.0021, 0)</f>
        <v>103.69119999999999</v>
      </c>
      <c r="L891" s="14"/>
    </row>
    <row r="892" spans="1:12" ht="15.75" x14ac:dyDescent="0.25">
      <c r="A892" s="32">
        <v>68088</v>
      </c>
      <c r="B892" s="14">
        <f>107.5385 * CHOOSE(CONTROL!$C$9, $D$9, 100%, $F$9) + CHOOSE(CONTROL!$C$27, 0.0021, 0)</f>
        <v>107.5406</v>
      </c>
      <c r="C892" s="14">
        <f>107.1063 * CHOOSE(CONTROL!$C$9, $D$9, 100%, $F$9) + CHOOSE(CONTROL!$C$27, 0.0021, 0)</f>
        <v>107.1084</v>
      </c>
      <c r="D892" s="14">
        <f>107.1063 * CHOOSE(CONTROL!$C$9, $D$9, 100%, $F$9) + CHOOSE(CONTROL!$C$27, 0.0021, 0)</f>
        <v>107.1084</v>
      </c>
      <c r="E892" s="14">
        <f>106.9696 * CHOOSE(CONTROL!$C$9, $D$9, 100%, $F$9) + CHOOSE(CONTROL!$C$27, 0.0021, 0)</f>
        <v>106.9717</v>
      </c>
      <c r="F892" s="14">
        <f>106.9696 * CHOOSE(CONTROL!$C$9, $D$9, 100%, $F$9) + CHOOSE(CONTROL!$C$27, 0.0021, 0)</f>
        <v>106.9717</v>
      </c>
      <c r="G892" s="14">
        <f>107.241 * CHOOSE(CONTROL!$C$9, $D$9, 100%, $F$9) + CHOOSE(CONTROL!$C$27, 0.0021, 0)</f>
        <v>107.2431</v>
      </c>
      <c r="H892" s="14">
        <f>107.1063 * CHOOSE(CONTROL!$C$9, $D$9, 100%, $F$9) + CHOOSE(CONTROL!$C$27, 0.0021, 0)</f>
        <v>107.1084</v>
      </c>
      <c r="I892" s="14">
        <f>107.1063 * CHOOSE(CONTROL!$C$9, $D$9, 100%, $F$9) + CHOOSE(CONTROL!$C$27, 0.0021, 0)</f>
        <v>107.1084</v>
      </c>
      <c r="J892" s="14">
        <f>107.1063 * CHOOSE(CONTROL!$C$9, $D$9, 100%, $F$9) + CHOOSE(CONTROL!$C$27, 0.0021, 0)</f>
        <v>107.1084</v>
      </c>
      <c r="K892" s="14">
        <f>107.1063 * CHOOSE(CONTROL!$C$9, $D$9, 100%, $F$9) + CHOOSE(CONTROL!$C$27, 0.0021, 0)</f>
        <v>107.1084</v>
      </c>
      <c r="L892" s="14"/>
    </row>
    <row r="893" spans="1:12" ht="15.75" x14ac:dyDescent="0.25">
      <c r="A893" s="32">
        <v>68118</v>
      </c>
      <c r="B893" s="14">
        <f>109.055 * CHOOSE(CONTROL!$C$9, $D$9, 100%, $F$9) + CHOOSE(CONTROL!$C$27, 0.0021, 0)</f>
        <v>109.05710000000001</v>
      </c>
      <c r="C893" s="14">
        <f>108.6227 * CHOOSE(CONTROL!$C$9, $D$9, 100%, $F$9) + CHOOSE(CONTROL!$C$27, 0.0021, 0)</f>
        <v>108.62479999999999</v>
      </c>
      <c r="D893" s="14">
        <f>108.6227 * CHOOSE(CONTROL!$C$9, $D$9, 100%, $F$9) + CHOOSE(CONTROL!$C$27, 0.0021, 0)</f>
        <v>108.62479999999999</v>
      </c>
      <c r="E893" s="14">
        <f>108.4861 * CHOOSE(CONTROL!$C$9, $D$9, 100%, $F$9) + CHOOSE(CONTROL!$C$27, 0.0021, 0)</f>
        <v>108.48819999999999</v>
      </c>
      <c r="F893" s="14">
        <f>108.4861 * CHOOSE(CONTROL!$C$9, $D$9, 100%, $F$9) + CHOOSE(CONTROL!$C$27, 0.0021, 0)</f>
        <v>108.48819999999999</v>
      </c>
      <c r="G893" s="14">
        <f>108.7575 * CHOOSE(CONTROL!$C$9, $D$9, 100%, $F$9) + CHOOSE(CONTROL!$C$27, 0.0021, 0)</f>
        <v>108.75959999999999</v>
      </c>
      <c r="H893" s="14">
        <f>108.6227 * CHOOSE(CONTROL!$C$9, $D$9, 100%, $F$9) + CHOOSE(CONTROL!$C$27, 0.0021, 0)</f>
        <v>108.62479999999999</v>
      </c>
      <c r="I893" s="14">
        <f>108.6227 * CHOOSE(CONTROL!$C$9, $D$9, 100%, $F$9) + CHOOSE(CONTROL!$C$27, 0.0021, 0)</f>
        <v>108.62479999999999</v>
      </c>
      <c r="J893" s="14">
        <f>108.6227 * CHOOSE(CONTROL!$C$9, $D$9, 100%, $F$9) + CHOOSE(CONTROL!$C$27, 0.0021, 0)</f>
        <v>108.62479999999999</v>
      </c>
      <c r="K893" s="14">
        <f>108.6227 * CHOOSE(CONTROL!$C$9, $D$9, 100%, $F$9) + CHOOSE(CONTROL!$C$27, 0.0021, 0)</f>
        <v>108.62479999999999</v>
      </c>
      <c r="L893" s="14"/>
    </row>
    <row r="894" spans="1:12" ht="15.75" x14ac:dyDescent="0.25">
      <c r="A894" s="32">
        <v>68149</v>
      </c>
      <c r="B894" s="14">
        <f>108.5557 * CHOOSE(CONTROL!$C$9, $D$9, 100%, $F$9) + CHOOSE(CONTROL!$C$27, 0.0021, 0)</f>
        <v>108.5578</v>
      </c>
      <c r="C894" s="14">
        <f>108.1234 * CHOOSE(CONTROL!$C$9, $D$9, 100%, $F$9) + CHOOSE(CONTROL!$C$27, 0.0021, 0)</f>
        <v>108.1255</v>
      </c>
      <c r="D894" s="14">
        <f>108.1234 * CHOOSE(CONTROL!$C$9, $D$9, 100%, $F$9) + CHOOSE(CONTROL!$C$27, 0.0021, 0)</f>
        <v>108.1255</v>
      </c>
      <c r="E894" s="14">
        <f>107.9868 * CHOOSE(CONTROL!$C$9, $D$9, 100%, $F$9) + CHOOSE(CONTROL!$C$27, 0.0021, 0)</f>
        <v>107.9889</v>
      </c>
      <c r="F894" s="14">
        <f>107.9868 * CHOOSE(CONTROL!$C$9, $D$9, 100%, $F$9) + CHOOSE(CONTROL!$C$27, 0.0021, 0)</f>
        <v>107.9889</v>
      </c>
      <c r="G894" s="14">
        <f>108.2582 * CHOOSE(CONTROL!$C$9, $D$9, 100%, $F$9) + CHOOSE(CONTROL!$C$27, 0.0021, 0)</f>
        <v>108.2603</v>
      </c>
      <c r="H894" s="14">
        <f>108.1234 * CHOOSE(CONTROL!$C$9, $D$9, 100%, $F$9) + CHOOSE(CONTROL!$C$27, 0.0021, 0)</f>
        <v>108.1255</v>
      </c>
      <c r="I894" s="14">
        <f>108.1234 * CHOOSE(CONTROL!$C$9, $D$9, 100%, $F$9) + CHOOSE(CONTROL!$C$27, 0.0021, 0)</f>
        <v>108.1255</v>
      </c>
      <c r="J894" s="14">
        <f>108.1234 * CHOOSE(CONTROL!$C$9, $D$9, 100%, $F$9) + CHOOSE(CONTROL!$C$27, 0.0021, 0)</f>
        <v>108.1255</v>
      </c>
      <c r="K894" s="14">
        <f>108.1234 * CHOOSE(CONTROL!$C$9, $D$9, 100%, $F$9) + CHOOSE(CONTROL!$C$27, 0.0021, 0)</f>
        <v>108.1255</v>
      </c>
      <c r="L894" s="14"/>
    </row>
    <row r="895" spans="1:12" ht="15.75" x14ac:dyDescent="0.25">
      <c r="A895" s="32">
        <v>68180</v>
      </c>
      <c r="B895" s="14">
        <f>106.0819 * CHOOSE(CONTROL!$C$9, $D$9, 100%, $F$9) + CHOOSE(CONTROL!$C$27, 0.0021, 0)</f>
        <v>106.084</v>
      </c>
      <c r="C895" s="14">
        <f>105.6497 * CHOOSE(CONTROL!$C$9, $D$9, 100%, $F$9) + CHOOSE(CONTROL!$C$27, 0.0021, 0)</f>
        <v>105.65179999999999</v>
      </c>
      <c r="D895" s="14">
        <f>105.6497 * CHOOSE(CONTROL!$C$9, $D$9, 100%, $F$9) + CHOOSE(CONTROL!$C$27, 0.0021, 0)</f>
        <v>105.65179999999999</v>
      </c>
      <c r="E895" s="14">
        <f>105.513 * CHOOSE(CONTROL!$C$9, $D$9, 100%, $F$9) + CHOOSE(CONTROL!$C$27, 0.0021, 0)</f>
        <v>105.5151</v>
      </c>
      <c r="F895" s="14">
        <f>105.513 * CHOOSE(CONTROL!$C$9, $D$9, 100%, $F$9) + CHOOSE(CONTROL!$C$27, 0.0021, 0)</f>
        <v>105.5151</v>
      </c>
      <c r="G895" s="14">
        <f>105.7844 * CHOOSE(CONTROL!$C$9, $D$9, 100%, $F$9) + CHOOSE(CONTROL!$C$27, 0.0021, 0)</f>
        <v>105.7865</v>
      </c>
      <c r="H895" s="14">
        <f>105.6497 * CHOOSE(CONTROL!$C$9, $D$9, 100%, $F$9) + CHOOSE(CONTROL!$C$27, 0.0021, 0)</f>
        <v>105.65179999999999</v>
      </c>
      <c r="I895" s="14">
        <f>105.6497 * CHOOSE(CONTROL!$C$9, $D$9, 100%, $F$9) + CHOOSE(CONTROL!$C$27, 0.0021, 0)</f>
        <v>105.65179999999999</v>
      </c>
      <c r="J895" s="14">
        <f>105.6497 * CHOOSE(CONTROL!$C$9, $D$9, 100%, $F$9) + CHOOSE(CONTROL!$C$27, 0.0021, 0)</f>
        <v>105.65179999999999</v>
      </c>
      <c r="K895" s="14">
        <f>105.6497 * CHOOSE(CONTROL!$C$9, $D$9, 100%, $F$9) + CHOOSE(CONTROL!$C$27, 0.0021, 0)</f>
        <v>105.65179999999999</v>
      </c>
      <c r="L895" s="14"/>
    </row>
    <row r="896" spans="1:12" ht="15.75" x14ac:dyDescent="0.25">
      <c r="A896" s="32">
        <v>68210</v>
      </c>
      <c r="B896" s="14">
        <f>102.6321 * CHOOSE(CONTROL!$C$9, $D$9, 100%, $F$9) + CHOOSE(CONTROL!$C$27, 0.0021, 0)</f>
        <v>102.63419999999999</v>
      </c>
      <c r="C896" s="14">
        <f>102.1999 * CHOOSE(CONTROL!$C$9, $D$9, 100%, $F$9) + CHOOSE(CONTROL!$C$27, 0.0021, 0)</f>
        <v>102.202</v>
      </c>
      <c r="D896" s="14">
        <f>102.1999 * CHOOSE(CONTROL!$C$9, $D$9, 100%, $F$9) + CHOOSE(CONTROL!$C$27, 0.0021, 0)</f>
        <v>102.202</v>
      </c>
      <c r="E896" s="14">
        <f>102.0632 * CHOOSE(CONTROL!$C$9, $D$9, 100%, $F$9) + CHOOSE(CONTROL!$C$27, 0.0021, 0)</f>
        <v>102.06529999999999</v>
      </c>
      <c r="F896" s="14">
        <f>102.0632 * CHOOSE(CONTROL!$C$9, $D$9, 100%, $F$9) + CHOOSE(CONTROL!$C$27, 0.0021, 0)</f>
        <v>102.06529999999999</v>
      </c>
      <c r="G896" s="14">
        <f>102.3346 * CHOOSE(CONTROL!$C$9, $D$9, 100%, $F$9) + CHOOSE(CONTROL!$C$27, 0.0021, 0)</f>
        <v>102.33669999999999</v>
      </c>
      <c r="H896" s="14">
        <f>102.1999 * CHOOSE(CONTROL!$C$9, $D$9, 100%, $F$9) + CHOOSE(CONTROL!$C$27, 0.0021, 0)</f>
        <v>102.202</v>
      </c>
      <c r="I896" s="14">
        <f>102.1999 * CHOOSE(CONTROL!$C$9, $D$9, 100%, $F$9) + CHOOSE(CONTROL!$C$27, 0.0021, 0)</f>
        <v>102.202</v>
      </c>
      <c r="J896" s="14">
        <f>102.1999 * CHOOSE(CONTROL!$C$9, $D$9, 100%, $F$9) + CHOOSE(CONTROL!$C$27, 0.0021, 0)</f>
        <v>102.202</v>
      </c>
      <c r="K896" s="14">
        <f>102.1999 * CHOOSE(CONTROL!$C$9, $D$9, 100%, $F$9) + CHOOSE(CONTROL!$C$27, 0.0021, 0)</f>
        <v>102.202</v>
      </c>
      <c r="L896" s="14"/>
    </row>
    <row r="897" spans="1:12" ht="15.75" x14ac:dyDescent="0.25">
      <c r="A897" s="32">
        <v>68241</v>
      </c>
      <c r="B897" s="14">
        <f>99.1623 * CHOOSE(CONTROL!$C$9, $D$9, 100%, $F$9) + CHOOSE(CONTROL!$C$27, 0.0021, 0)</f>
        <v>99.164400000000001</v>
      </c>
      <c r="C897" s="14">
        <f>98.73 * CHOOSE(CONTROL!$C$9, $D$9, 100%, $F$9) + CHOOSE(CONTROL!$C$27, 0.0021, 0)</f>
        <v>98.732100000000003</v>
      </c>
      <c r="D897" s="14">
        <f>98.73 * CHOOSE(CONTROL!$C$9, $D$9, 100%, $F$9) + CHOOSE(CONTROL!$C$27, 0.0021, 0)</f>
        <v>98.732100000000003</v>
      </c>
      <c r="E897" s="14">
        <f>98.5934 * CHOOSE(CONTROL!$C$9, $D$9, 100%, $F$9) + CHOOSE(CONTROL!$C$27, 0.0021, 0)</f>
        <v>98.595500000000001</v>
      </c>
      <c r="F897" s="14">
        <f>98.5934 * CHOOSE(CONTROL!$C$9, $D$9, 100%, $F$9) + CHOOSE(CONTROL!$C$27, 0.0021, 0)</f>
        <v>98.595500000000001</v>
      </c>
      <c r="G897" s="14">
        <f>98.8648 * CHOOSE(CONTROL!$C$9, $D$9, 100%, $F$9) + CHOOSE(CONTROL!$C$27, 0.0021, 0)</f>
        <v>98.866900000000001</v>
      </c>
      <c r="H897" s="14">
        <f>98.73 * CHOOSE(CONTROL!$C$9, $D$9, 100%, $F$9) + CHOOSE(CONTROL!$C$27, 0.0021, 0)</f>
        <v>98.732100000000003</v>
      </c>
      <c r="I897" s="14">
        <f>98.73 * CHOOSE(CONTROL!$C$9, $D$9, 100%, $F$9) + CHOOSE(CONTROL!$C$27, 0.0021, 0)</f>
        <v>98.732100000000003</v>
      </c>
      <c r="J897" s="14">
        <f>98.73 * CHOOSE(CONTROL!$C$9, $D$9, 100%, $F$9) + CHOOSE(CONTROL!$C$27, 0.0021, 0)</f>
        <v>98.732100000000003</v>
      </c>
      <c r="K897" s="14">
        <f>98.73 * CHOOSE(CONTROL!$C$9, $D$9, 100%, $F$9) + CHOOSE(CONTROL!$C$27, 0.0021, 0)</f>
        <v>98.732100000000003</v>
      </c>
      <c r="L897" s="14"/>
    </row>
    <row r="898" spans="1:12" ht="15.75" x14ac:dyDescent="0.25">
      <c r="A898" s="32">
        <v>68271</v>
      </c>
      <c r="B898" s="14">
        <f>98.4721 * CHOOSE(CONTROL!$C$9, $D$9, 100%, $F$9) + CHOOSE(CONTROL!$C$27, 0.0021, 0)</f>
        <v>98.474199999999996</v>
      </c>
      <c r="C898" s="14">
        <f>98.0398 * CHOOSE(CONTROL!$C$9, $D$9, 100%, $F$9) + CHOOSE(CONTROL!$C$27, 0.0021, 0)</f>
        <v>98.041899999999998</v>
      </c>
      <c r="D898" s="14">
        <f>98.0398 * CHOOSE(CONTROL!$C$9, $D$9, 100%, $F$9) + CHOOSE(CONTROL!$C$27, 0.0021, 0)</f>
        <v>98.041899999999998</v>
      </c>
      <c r="E898" s="14">
        <f>97.9032 * CHOOSE(CONTROL!$C$9, $D$9, 100%, $F$9) + CHOOSE(CONTROL!$C$27, 0.0021, 0)</f>
        <v>97.905299999999997</v>
      </c>
      <c r="F898" s="14">
        <f>97.9032 * CHOOSE(CONTROL!$C$9, $D$9, 100%, $F$9) + CHOOSE(CONTROL!$C$27, 0.0021, 0)</f>
        <v>97.905299999999997</v>
      </c>
      <c r="G898" s="14">
        <f>98.1745 * CHOOSE(CONTROL!$C$9, $D$9, 100%, $F$9) + CHOOSE(CONTROL!$C$27, 0.0021, 0)</f>
        <v>98.176599999999993</v>
      </c>
      <c r="H898" s="14">
        <f>98.0398 * CHOOSE(CONTROL!$C$9, $D$9, 100%, $F$9) + CHOOSE(CONTROL!$C$27, 0.0021, 0)</f>
        <v>98.041899999999998</v>
      </c>
      <c r="I898" s="14">
        <f>98.0398 * CHOOSE(CONTROL!$C$9, $D$9, 100%, $F$9) + CHOOSE(CONTROL!$C$27, 0.0021, 0)</f>
        <v>98.041899999999998</v>
      </c>
      <c r="J898" s="14">
        <f>98.0398 * CHOOSE(CONTROL!$C$9, $D$9, 100%, $F$9) + CHOOSE(CONTROL!$C$27, 0.0021, 0)</f>
        <v>98.041899999999998</v>
      </c>
      <c r="K898" s="14">
        <f>98.0398 * CHOOSE(CONTROL!$C$9, $D$9, 100%, $F$9) + CHOOSE(CONTROL!$C$27, 0.0021, 0)</f>
        <v>98.041899999999998</v>
      </c>
      <c r="L898" s="14"/>
    </row>
    <row r="899" spans="1:12" ht="15.75" x14ac:dyDescent="0.25">
      <c r="A899" s="32">
        <v>68302</v>
      </c>
      <c r="B899" s="14">
        <f>95.6179 * CHOOSE(CONTROL!$C$9, $D$9, 100%, $F$9) + CHOOSE(CONTROL!$C$27, 0.0021, 0)</f>
        <v>95.62</v>
      </c>
      <c r="C899" s="14">
        <f>95.1857 * CHOOSE(CONTROL!$C$9, $D$9, 100%, $F$9) + CHOOSE(CONTROL!$C$27, 0.0021, 0)</f>
        <v>95.187799999999996</v>
      </c>
      <c r="D899" s="14">
        <f>95.1857 * CHOOSE(CONTROL!$C$9, $D$9, 100%, $F$9) + CHOOSE(CONTROL!$C$27, 0.0021, 0)</f>
        <v>95.187799999999996</v>
      </c>
      <c r="E899" s="14">
        <f>95.049 * CHOOSE(CONTROL!$C$9, $D$9, 100%, $F$9) + CHOOSE(CONTROL!$C$27, 0.0021, 0)</f>
        <v>95.051100000000005</v>
      </c>
      <c r="F899" s="14">
        <f>95.049 * CHOOSE(CONTROL!$C$9, $D$9, 100%, $F$9) + CHOOSE(CONTROL!$C$27, 0.0021, 0)</f>
        <v>95.051100000000005</v>
      </c>
      <c r="G899" s="14">
        <f>95.3204 * CHOOSE(CONTROL!$C$9, $D$9, 100%, $F$9) + CHOOSE(CONTROL!$C$27, 0.0021, 0)</f>
        <v>95.322500000000005</v>
      </c>
      <c r="H899" s="14">
        <f>95.1857 * CHOOSE(CONTROL!$C$9, $D$9, 100%, $F$9) + CHOOSE(CONTROL!$C$27, 0.0021, 0)</f>
        <v>95.187799999999996</v>
      </c>
      <c r="I899" s="14">
        <f>95.1857 * CHOOSE(CONTROL!$C$9, $D$9, 100%, $F$9) + CHOOSE(CONTROL!$C$27, 0.0021, 0)</f>
        <v>95.187799999999996</v>
      </c>
      <c r="J899" s="14">
        <f>95.1857 * CHOOSE(CONTROL!$C$9, $D$9, 100%, $F$9) + CHOOSE(CONTROL!$C$27, 0.0021, 0)</f>
        <v>95.187799999999996</v>
      </c>
      <c r="K899" s="14">
        <f>95.1857 * CHOOSE(CONTROL!$C$9, $D$9, 100%, $F$9) + CHOOSE(CONTROL!$C$27, 0.0021, 0)</f>
        <v>95.187799999999996</v>
      </c>
      <c r="L899" s="14"/>
    </row>
    <row r="900" spans="1:12" ht="15.75" x14ac:dyDescent="0.25">
      <c r="A900" s="32">
        <v>68333</v>
      </c>
      <c r="B900" s="14">
        <f>95.0622 * CHOOSE(CONTROL!$C$9, $D$9, 100%, $F$9) + CHOOSE(CONTROL!$C$27, 0.0021, 0)</f>
        <v>95.064300000000003</v>
      </c>
      <c r="C900" s="14">
        <f>94.63 * CHOOSE(CONTROL!$C$9, $D$9, 100%, $F$9) + CHOOSE(CONTROL!$C$27, 0.0021, 0)</f>
        <v>94.632099999999994</v>
      </c>
      <c r="D900" s="14">
        <f>94.63 * CHOOSE(CONTROL!$C$9, $D$9, 100%, $F$9) + CHOOSE(CONTROL!$C$27, 0.0021, 0)</f>
        <v>94.632099999999994</v>
      </c>
      <c r="E900" s="14">
        <f>94.4933 * CHOOSE(CONTROL!$C$9, $D$9, 100%, $F$9) + CHOOSE(CONTROL!$C$27, 0.0021, 0)</f>
        <v>94.495400000000004</v>
      </c>
      <c r="F900" s="14">
        <f>94.4933 * CHOOSE(CONTROL!$C$9, $D$9, 100%, $F$9) + CHOOSE(CONTROL!$C$27, 0.0021, 0)</f>
        <v>94.495400000000004</v>
      </c>
      <c r="G900" s="14">
        <f>94.7647 * CHOOSE(CONTROL!$C$9, $D$9, 100%, $F$9) + CHOOSE(CONTROL!$C$27, 0.0021, 0)</f>
        <v>94.766800000000003</v>
      </c>
      <c r="H900" s="14">
        <f>94.63 * CHOOSE(CONTROL!$C$9, $D$9, 100%, $F$9) + CHOOSE(CONTROL!$C$27, 0.0021, 0)</f>
        <v>94.632099999999994</v>
      </c>
      <c r="I900" s="14">
        <f>94.63 * CHOOSE(CONTROL!$C$9, $D$9, 100%, $F$9) + CHOOSE(CONTROL!$C$27, 0.0021, 0)</f>
        <v>94.632099999999994</v>
      </c>
      <c r="J900" s="14">
        <f>94.63 * CHOOSE(CONTROL!$C$9, $D$9, 100%, $F$9) + CHOOSE(CONTROL!$C$27, 0.0021, 0)</f>
        <v>94.632099999999994</v>
      </c>
      <c r="K900" s="14">
        <f>94.63 * CHOOSE(CONTROL!$C$9, $D$9, 100%, $F$9) + CHOOSE(CONTROL!$C$27, 0.0021, 0)</f>
        <v>94.632099999999994</v>
      </c>
      <c r="L900" s="14"/>
    </row>
    <row r="901" spans="1:12" ht="15.75" x14ac:dyDescent="0.25">
      <c r="A901" s="32">
        <v>68361</v>
      </c>
      <c r="B901" s="14">
        <f>94.8044 * CHOOSE(CONTROL!$C$9, $D$9, 100%, $F$9) + CHOOSE(CONTROL!$C$27, 0.0021, 0)</f>
        <v>94.8065</v>
      </c>
      <c r="C901" s="14">
        <f>94.3721 * CHOOSE(CONTROL!$C$9, $D$9, 100%, $F$9) + CHOOSE(CONTROL!$C$27, 0.0021, 0)</f>
        <v>94.374200000000002</v>
      </c>
      <c r="D901" s="14">
        <f>94.3721 * CHOOSE(CONTROL!$C$9, $D$9, 100%, $F$9) + CHOOSE(CONTROL!$C$27, 0.0021, 0)</f>
        <v>94.374200000000002</v>
      </c>
      <c r="E901" s="14">
        <f>94.2355 * CHOOSE(CONTROL!$C$9, $D$9, 100%, $F$9) + CHOOSE(CONTROL!$C$27, 0.0021, 0)</f>
        <v>94.2376</v>
      </c>
      <c r="F901" s="14">
        <f>94.2355 * CHOOSE(CONTROL!$C$9, $D$9, 100%, $F$9) + CHOOSE(CONTROL!$C$27, 0.0021, 0)</f>
        <v>94.2376</v>
      </c>
      <c r="G901" s="14">
        <f>94.5068 * CHOOSE(CONTROL!$C$9, $D$9, 100%, $F$9) + CHOOSE(CONTROL!$C$27, 0.0021, 0)</f>
        <v>94.508899999999997</v>
      </c>
      <c r="H901" s="14">
        <f>94.3721 * CHOOSE(CONTROL!$C$9, $D$9, 100%, $F$9) + CHOOSE(CONTROL!$C$27, 0.0021, 0)</f>
        <v>94.374200000000002</v>
      </c>
      <c r="I901" s="14">
        <f>94.3721 * CHOOSE(CONTROL!$C$9, $D$9, 100%, $F$9) + CHOOSE(CONTROL!$C$27, 0.0021, 0)</f>
        <v>94.374200000000002</v>
      </c>
      <c r="J901" s="14">
        <f>94.3721 * CHOOSE(CONTROL!$C$9, $D$9, 100%, $F$9) + CHOOSE(CONTROL!$C$27, 0.0021, 0)</f>
        <v>94.374200000000002</v>
      </c>
      <c r="K901" s="14">
        <f>94.3721 * CHOOSE(CONTROL!$C$9, $D$9, 100%, $F$9) + CHOOSE(CONTROL!$C$27, 0.0021, 0)</f>
        <v>94.374200000000002</v>
      </c>
      <c r="L901" s="14"/>
    </row>
    <row r="902" spans="1:12" ht="15.75" x14ac:dyDescent="0.25">
      <c r="A902" s="32">
        <v>68392</v>
      </c>
      <c r="B902" s="14">
        <f>99.6803 * CHOOSE(CONTROL!$C$9, $D$9, 100%, $F$9) + CHOOSE(CONTROL!$C$27, 0.0021, 0)</f>
        <v>99.682400000000001</v>
      </c>
      <c r="C902" s="14">
        <f>99.248 * CHOOSE(CONTROL!$C$9, $D$9, 100%, $F$9) + CHOOSE(CONTROL!$C$27, 0.0021, 0)</f>
        <v>99.250100000000003</v>
      </c>
      <c r="D902" s="14">
        <f>99.248 * CHOOSE(CONTROL!$C$9, $D$9, 100%, $F$9) + CHOOSE(CONTROL!$C$27, 0.0021, 0)</f>
        <v>99.250100000000003</v>
      </c>
      <c r="E902" s="14">
        <f>99.1114 * CHOOSE(CONTROL!$C$9, $D$9, 100%, $F$9) + CHOOSE(CONTROL!$C$27, 0.0021, 0)</f>
        <v>99.113500000000002</v>
      </c>
      <c r="F902" s="14">
        <f>99.1114 * CHOOSE(CONTROL!$C$9, $D$9, 100%, $F$9) + CHOOSE(CONTROL!$C$27, 0.0021, 0)</f>
        <v>99.113500000000002</v>
      </c>
      <c r="G902" s="14">
        <f>99.3828 * CHOOSE(CONTROL!$C$9, $D$9, 100%, $F$9) + CHOOSE(CONTROL!$C$27, 0.0021, 0)</f>
        <v>99.384900000000002</v>
      </c>
      <c r="H902" s="14">
        <f>99.248 * CHOOSE(CONTROL!$C$9, $D$9, 100%, $F$9) + CHOOSE(CONTROL!$C$27, 0.0021, 0)</f>
        <v>99.250100000000003</v>
      </c>
      <c r="I902" s="14">
        <f>99.248 * CHOOSE(CONTROL!$C$9, $D$9, 100%, $F$9) + CHOOSE(CONTROL!$C$27, 0.0021, 0)</f>
        <v>99.250100000000003</v>
      </c>
      <c r="J902" s="14">
        <f>99.248 * CHOOSE(CONTROL!$C$9, $D$9, 100%, $F$9) + CHOOSE(CONTROL!$C$27, 0.0021, 0)</f>
        <v>99.250100000000003</v>
      </c>
      <c r="K902" s="14">
        <f>99.248 * CHOOSE(CONTROL!$C$9, $D$9, 100%, $F$9) + CHOOSE(CONTROL!$C$27, 0.0021, 0)</f>
        <v>99.250100000000003</v>
      </c>
      <c r="L902" s="14"/>
    </row>
    <row r="903" spans="1:12" ht="15.75" x14ac:dyDescent="0.25">
      <c r="A903" s="32">
        <v>68422</v>
      </c>
      <c r="B903" s="14">
        <f>106.0032 * CHOOSE(CONTROL!$C$9, $D$9, 100%, $F$9) + CHOOSE(CONTROL!$C$27, 0.0021, 0)</f>
        <v>106.00530000000001</v>
      </c>
      <c r="C903" s="14">
        <f>105.571 * CHOOSE(CONTROL!$C$9, $D$9, 100%, $F$9) + CHOOSE(CONTROL!$C$27, 0.0021, 0)</f>
        <v>105.5731</v>
      </c>
      <c r="D903" s="14">
        <f>105.571 * CHOOSE(CONTROL!$C$9, $D$9, 100%, $F$9) + CHOOSE(CONTROL!$C$27, 0.0021, 0)</f>
        <v>105.5731</v>
      </c>
      <c r="E903" s="14">
        <f>105.4343 * CHOOSE(CONTROL!$C$9, $D$9, 100%, $F$9) + CHOOSE(CONTROL!$C$27, 0.0021, 0)</f>
        <v>105.43639999999999</v>
      </c>
      <c r="F903" s="14">
        <f>105.4343 * CHOOSE(CONTROL!$C$9, $D$9, 100%, $F$9) + CHOOSE(CONTROL!$C$27, 0.0021, 0)</f>
        <v>105.43639999999999</v>
      </c>
      <c r="G903" s="14">
        <f>105.7057 * CHOOSE(CONTROL!$C$9, $D$9, 100%, $F$9) + CHOOSE(CONTROL!$C$27, 0.0021, 0)</f>
        <v>105.70779999999999</v>
      </c>
      <c r="H903" s="14">
        <f>105.571 * CHOOSE(CONTROL!$C$9, $D$9, 100%, $F$9) + CHOOSE(CONTROL!$C$27, 0.0021, 0)</f>
        <v>105.5731</v>
      </c>
      <c r="I903" s="14">
        <f>105.571 * CHOOSE(CONTROL!$C$9, $D$9, 100%, $F$9) + CHOOSE(CONTROL!$C$27, 0.0021, 0)</f>
        <v>105.5731</v>
      </c>
      <c r="J903" s="14">
        <f>105.571 * CHOOSE(CONTROL!$C$9, $D$9, 100%, $F$9) + CHOOSE(CONTROL!$C$27, 0.0021, 0)</f>
        <v>105.5731</v>
      </c>
      <c r="K903" s="14">
        <f>105.571 * CHOOSE(CONTROL!$C$9, $D$9, 100%, $F$9) + CHOOSE(CONTROL!$C$27, 0.0021, 0)</f>
        <v>105.5731</v>
      </c>
      <c r="L903" s="14"/>
    </row>
    <row r="904" spans="1:12" ht="15.75" x14ac:dyDescent="0.25">
      <c r="A904" s="32">
        <v>68453</v>
      </c>
      <c r="B904" s="14">
        <f>109.4835 * CHOOSE(CONTROL!$C$9, $D$9, 100%, $F$9) + CHOOSE(CONTROL!$C$27, 0.0021, 0)</f>
        <v>109.48560000000001</v>
      </c>
      <c r="C904" s="14">
        <f>109.0513 * CHOOSE(CONTROL!$C$9, $D$9, 100%, $F$9) + CHOOSE(CONTROL!$C$27, 0.0021, 0)</f>
        <v>109.0534</v>
      </c>
      <c r="D904" s="14">
        <f>109.0513 * CHOOSE(CONTROL!$C$9, $D$9, 100%, $F$9) + CHOOSE(CONTROL!$C$27, 0.0021, 0)</f>
        <v>109.0534</v>
      </c>
      <c r="E904" s="14">
        <f>108.9146 * CHOOSE(CONTROL!$C$9, $D$9, 100%, $F$9) + CHOOSE(CONTROL!$C$27, 0.0021, 0)</f>
        <v>108.91669999999999</v>
      </c>
      <c r="F904" s="14">
        <f>108.9146 * CHOOSE(CONTROL!$C$9, $D$9, 100%, $F$9) + CHOOSE(CONTROL!$C$27, 0.0021, 0)</f>
        <v>108.91669999999999</v>
      </c>
      <c r="G904" s="14">
        <f>109.186 * CHOOSE(CONTROL!$C$9, $D$9, 100%, $F$9) + CHOOSE(CONTROL!$C$27, 0.0021, 0)</f>
        <v>109.18810000000001</v>
      </c>
      <c r="H904" s="14">
        <f>109.0513 * CHOOSE(CONTROL!$C$9, $D$9, 100%, $F$9) + CHOOSE(CONTROL!$C$27, 0.0021, 0)</f>
        <v>109.0534</v>
      </c>
      <c r="I904" s="14">
        <f>109.0513 * CHOOSE(CONTROL!$C$9, $D$9, 100%, $F$9) + CHOOSE(CONTROL!$C$27, 0.0021, 0)</f>
        <v>109.0534</v>
      </c>
      <c r="J904" s="14">
        <f>109.0513 * CHOOSE(CONTROL!$C$9, $D$9, 100%, $F$9) + CHOOSE(CONTROL!$C$27, 0.0021, 0)</f>
        <v>109.0534</v>
      </c>
      <c r="K904" s="14">
        <f>109.0513 * CHOOSE(CONTROL!$C$9, $D$9, 100%, $F$9) + CHOOSE(CONTROL!$C$27, 0.0021, 0)</f>
        <v>109.0534</v>
      </c>
      <c r="L904" s="14"/>
    </row>
    <row r="905" spans="1:12" ht="15.75" x14ac:dyDescent="0.25">
      <c r="A905" s="32">
        <v>68483</v>
      </c>
      <c r="B905" s="14">
        <f>111.028 * CHOOSE(CONTROL!$C$9, $D$9, 100%, $F$9) + CHOOSE(CONTROL!$C$27, 0.0021, 0)</f>
        <v>111.0301</v>
      </c>
      <c r="C905" s="14">
        <f>110.5958 * CHOOSE(CONTROL!$C$9, $D$9, 100%, $F$9) + CHOOSE(CONTROL!$C$27, 0.0021, 0)</f>
        <v>110.5979</v>
      </c>
      <c r="D905" s="14">
        <f>110.5958 * CHOOSE(CONTROL!$C$9, $D$9, 100%, $F$9) + CHOOSE(CONTROL!$C$27, 0.0021, 0)</f>
        <v>110.5979</v>
      </c>
      <c r="E905" s="14">
        <f>110.4591 * CHOOSE(CONTROL!$C$9, $D$9, 100%, $F$9) + CHOOSE(CONTROL!$C$27, 0.0021, 0)</f>
        <v>110.46120000000001</v>
      </c>
      <c r="F905" s="14">
        <f>110.4591 * CHOOSE(CONTROL!$C$9, $D$9, 100%, $F$9) + CHOOSE(CONTROL!$C$27, 0.0021, 0)</f>
        <v>110.46120000000001</v>
      </c>
      <c r="G905" s="14">
        <f>110.7305 * CHOOSE(CONTROL!$C$9, $D$9, 100%, $F$9) + CHOOSE(CONTROL!$C$27, 0.0021, 0)</f>
        <v>110.73260000000001</v>
      </c>
      <c r="H905" s="14">
        <f>110.5958 * CHOOSE(CONTROL!$C$9, $D$9, 100%, $F$9) + CHOOSE(CONTROL!$C$27, 0.0021, 0)</f>
        <v>110.5979</v>
      </c>
      <c r="I905" s="14">
        <f>110.5958 * CHOOSE(CONTROL!$C$9, $D$9, 100%, $F$9) + CHOOSE(CONTROL!$C$27, 0.0021, 0)</f>
        <v>110.5979</v>
      </c>
      <c r="J905" s="14">
        <f>110.5958 * CHOOSE(CONTROL!$C$9, $D$9, 100%, $F$9) + CHOOSE(CONTROL!$C$27, 0.0021, 0)</f>
        <v>110.5979</v>
      </c>
      <c r="K905" s="14">
        <f>110.5958 * CHOOSE(CONTROL!$C$9, $D$9, 100%, $F$9) + CHOOSE(CONTROL!$C$27, 0.0021, 0)</f>
        <v>110.5979</v>
      </c>
      <c r="L905" s="14"/>
    </row>
    <row r="906" spans="1:12" ht="15.75" x14ac:dyDescent="0.25">
      <c r="A906" s="32">
        <v>68514</v>
      </c>
      <c r="B906" s="14">
        <f>110.5195 * CHOOSE(CONTROL!$C$9, $D$9, 100%, $F$9) + CHOOSE(CONTROL!$C$27, 0.0021, 0)</f>
        <v>110.52159999999999</v>
      </c>
      <c r="C906" s="14">
        <f>110.0873 * CHOOSE(CONTROL!$C$9, $D$9, 100%, $F$9) + CHOOSE(CONTROL!$C$27, 0.0021, 0)</f>
        <v>110.0894</v>
      </c>
      <c r="D906" s="14">
        <f>110.0873 * CHOOSE(CONTROL!$C$9, $D$9, 100%, $F$9) + CHOOSE(CONTROL!$C$27, 0.0021, 0)</f>
        <v>110.0894</v>
      </c>
      <c r="E906" s="14">
        <f>109.9506 * CHOOSE(CONTROL!$C$9, $D$9, 100%, $F$9) + CHOOSE(CONTROL!$C$27, 0.0021, 0)</f>
        <v>109.95269999999999</v>
      </c>
      <c r="F906" s="14">
        <f>109.9506 * CHOOSE(CONTROL!$C$9, $D$9, 100%, $F$9) + CHOOSE(CONTROL!$C$27, 0.0021, 0)</f>
        <v>109.95269999999999</v>
      </c>
      <c r="G906" s="14">
        <f>110.222 * CHOOSE(CONTROL!$C$9, $D$9, 100%, $F$9) + CHOOSE(CONTROL!$C$27, 0.0021, 0)</f>
        <v>110.22409999999999</v>
      </c>
      <c r="H906" s="14">
        <f>110.0873 * CHOOSE(CONTROL!$C$9, $D$9, 100%, $F$9) + CHOOSE(CONTROL!$C$27, 0.0021, 0)</f>
        <v>110.0894</v>
      </c>
      <c r="I906" s="14">
        <f>110.0873 * CHOOSE(CONTROL!$C$9, $D$9, 100%, $F$9) + CHOOSE(CONTROL!$C$27, 0.0021, 0)</f>
        <v>110.0894</v>
      </c>
      <c r="J906" s="14">
        <f>110.0873 * CHOOSE(CONTROL!$C$9, $D$9, 100%, $F$9) + CHOOSE(CONTROL!$C$27, 0.0021, 0)</f>
        <v>110.0894</v>
      </c>
      <c r="K906" s="14">
        <f>110.0873 * CHOOSE(CONTROL!$C$9, $D$9, 100%, $F$9) + CHOOSE(CONTROL!$C$27, 0.0021, 0)</f>
        <v>110.0894</v>
      </c>
      <c r="L906" s="14"/>
    </row>
    <row r="907" spans="1:12" ht="15.75" x14ac:dyDescent="0.25">
      <c r="A907" s="32">
        <v>68545</v>
      </c>
      <c r="B907" s="14">
        <f>108 * CHOOSE(CONTROL!$C$9, $D$9, 100%, $F$9) + CHOOSE(CONTROL!$C$27, 0.0021, 0)</f>
        <v>108.0021</v>
      </c>
      <c r="C907" s="14">
        <f>107.5678 * CHOOSE(CONTROL!$C$9, $D$9, 100%, $F$9) + CHOOSE(CONTROL!$C$27, 0.0021, 0)</f>
        <v>107.5699</v>
      </c>
      <c r="D907" s="14">
        <f>107.5678 * CHOOSE(CONTROL!$C$9, $D$9, 100%, $F$9) + CHOOSE(CONTROL!$C$27, 0.0021, 0)</f>
        <v>107.5699</v>
      </c>
      <c r="E907" s="14">
        <f>107.4311 * CHOOSE(CONTROL!$C$9, $D$9, 100%, $F$9) + CHOOSE(CONTROL!$C$27, 0.0021, 0)</f>
        <v>107.4332</v>
      </c>
      <c r="F907" s="14">
        <f>107.4311 * CHOOSE(CONTROL!$C$9, $D$9, 100%, $F$9) + CHOOSE(CONTROL!$C$27, 0.0021, 0)</f>
        <v>107.4332</v>
      </c>
      <c r="G907" s="14">
        <f>107.7025 * CHOOSE(CONTROL!$C$9, $D$9, 100%, $F$9) + CHOOSE(CONTROL!$C$27, 0.0021, 0)</f>
        <v>107.7046</v>
      </c>
      <c r="H907" s="14">
        <f>107.5678 * CHOOSE(CONTROL!$C$9, $D$9, 100%, $F$9) + CHOOSE(CONTROL!$C$27, 0.0021, 0)</f>
        <v>107.5699</v>
      </c>
      <c r="I907" s="14">
        <f>107.5678 * CHOOSE(CONTROL!$C$9, $D$9, 100%, $F$9) + CHOOSE(CONTROL!$C$27, 0.0021, 0)</f>
        <v>107.5699</v>
      </c>
      <c r="J907" s="14">
        <f>107.5678 * CHOOSE(CONTROL!$C$9, $D$9, 100%, $F$9) + CHOOSE(CONTROL!$C$27, 0.0021, 0)</f>
        <v>107.5699</v>
      </c>
      <c r="K907" s="14">
        <f>107.5678 * CHOOSE(CONTROL!$C$9, $D$9, 100%, $F$9) + CHOOSE(CONTROL!$C$27, 0.0021, 0)</f>
        <v>107.5699</v>
      </c>
      <c r="L907" s="14"/>
    </row>
    <row r="908" spans="1:12" ht="15.75" x14ac:dyDescent="0.25">
      <c r="A908" s="32">
        <v>68575</v>
      </c>
      <c r="B908" s="14">
        <f>104.4865 * CHOOSE(CONTROL!$C$9, $D$9, 100%, $F$9) + CHOOSE(CONTROL!$C$27, 0.0021, 0)</f>
        <v>104.48860000000001</v>
      </c>
      <c r="C908" s="14">
        <f>104.0542 * CHOOSE(CONTROL!$C$9, $D$9, 100%, $F$9) + CHOOSE(CONTROL!$C$27, 0.0021, 0)</f>
        <v>104.05629999999999</v>
      </c>
      <c r="D908" s="14">
        <f>104.0542 * CHOOSE(CONTROL!$C$9, $D$9, 100%, $F$9) + CHOOSE(CONTROL!$C$27, 0.0021, 0)</f>
        <v>104.05629999999999</v>
      </c>
      <c r="E908" s="14">
        <f>103.9176 * CHOOSE(CONTROL!$C$9, $D$9, 100%, $F$9) + CHOOSE(CONTROL!$C$27, 0.0021, 0)</f>
        <v>103.91969999999999</v>
      </c>
      <c r="F908" s="14">
        <f>103.9176 * CHOOSE(CONTROL!$C$9, $D$9, 100%, $F$9) + CHOOSE(CONTROL!$C$27, 0.0021, 0)</f>
        <v>103.91969999999999</v>
      </c>
      <c r="G908" s="14">
        <f>104.189 * CHOOSE(CONTROL!$C$9, $D$9, 100%, $F$9) + CHOOSE(CONTROL!$C$27, 0.0021, 0)</f>
        <v>104.19109999999999</v>
      </c>
      <c r="H908" s="14">
        <f>104.0542 * CHOOSE(CONTROL!$C$9, $D$9, 100%, $F$9) + CHOOSE(CONTROL!$C$27, 0.0021, 0)</f>
        <v>104.05629999999999</v>
      </c>
      <c r="I908" s="14">
        <f>104.0542 * CHOOSE(CONTROL!$C$9, $D$9, 100%, $F$9) + CHOOSE(CONTROL!$C$27, 0.0021, 0)</f>
        <v>104.05629999999999</v>
      </c>
      <c r="J908" s="14">
        <f>104.0542 * CHOOSE(CONTROL!$C$9, $D$9, 100%, $F$9) + CHOOSE(CONTROL!$C$27, 0.0021, 0)</f>
        <v>104.05629999999999</v>
      </c>
      <c r="K908" s="14">
        <f>104.0542 * CHOOSE(CONTROL!$C$9, $D$9, 100%, $F$9) + CHOOSE(CONTROL!$C$27, 0.0021, 0)</f>
        <v>104.05629999999999</v>
      </c>
      <c r="L908" s="14"/>
    </row>
    <row r="909" spans="1:12" ht="15.75" x14ac:dyDescent="0.25">
      <c r="A909" s="32">
        <v>68606</v>
      </c>
      <c r="B909" s="14">
        <f>100.9525 * CHOOSE(CONTROL!$C$9, $D$9, 100%, $F$9) + CHOOSE(CONTROL!$C$27, 0.0021, 0)</f>
        <v>100.9546</v>
      </c>
      <c r="C909" s="14">
        <f>100.5203 * CHOOSE(CONTROL!$C$9, $D$9, 100%, $F$9) + CHOOSE(CONTROL!$C$27, 0.0021, 0)</f>
        <v>100.5224</v>
      </c>
      <c r="D909" s="14">
        <f>100.5203 * CHOOSE(CONTROL!$C$9, $D$9, 100%, $F$9) + CHOOSE(CONTROL!$C$27, 0.0021, 0)</f>
        <v>100.5224</v>
      </c>
      <c r="E909" s="14">
        <f>100.3836 * CHOOSE(CONTROL!$C$9, $D$9, 100%, $F$9) + CHOOSE(CONTROL!$C$27, 0.0021, 0)</f>
        <v>100.3857</v>
      </c>
      <c r="F909" s="14">
        <f>100.3836 * CHOOSE(CONTROL!$C$9, $D$9, 100%, $F$9) + CHOOSE(CONTROL!$C$27, 0.0021, 0)</f>
        <v>100.3857</v>
      </c>
      <c r="G909" s="14">
        <f>100.655 * CHOOSE(CONTROL!$C$9, $D$9, 100%, $F$9) + CHOOSE(CONTROL!$C$27, 0.0021, 0)</f>
        <v>100.6571</v>
      </c>
      <c r="H909" s="14">
        <f>100.5203 * CHOOSE(CONTROL!$C$9, $D$9, 100%, $F$9) + CHOOSE(CONTROL!$C$27, 0.0021, 0)</f>
        <v>100.5224</v>
      </c>
      <c r="I909" s="14">
        <f>100.5203 * CHOOSE(CONTROL!$C$9, $D$9, 100%, $F$9) + CHOOSE(CONTROL!$C$27, 0.0021, 0)</f>
        <v>100.5224</v>
      </c>
      <c r="J909" s="14">
        <f>100.5203 * CHOOSE(CONTROL!$C$9, $D$9, 100%, $F$9) + CHOOSE(CONTROL!$C$27, 0.0021, 0)</f>
        <v>100.5224</v>
      </c>
      <c r="K909" s="14">
        <f>100.5203 * CHOOSE(CONTROL!$C$9, $D$9, 100%, $F$9) + CHOOSE(CONTROL!$C$27, 0.0021, 0)</f>
        <v>100.5224</v>
      </c>
      <c r="L909" s="14"/>
    </row>
    <row r="910" spans="1:12" ht="15.75" x14ac:dyDescent="0.25">
      <c r="A910" s="32">
        <v>68636</v>
      </c>
      <c r="B910" s="14">
        <f>100.2495 * CHOOSE(CONTROL!$C$9, $D$9, 100%, $F$9) + CHOOSE(CONTROL!$C$27, 0.0021, 0)</f>
        <v>100.2516</v>
      </c>
      <c r="C910" s="14">
        <f>99.8173 * CHOOSE(CONTROL!$C$9, $D$9, 100%, $F$9) + CHOOSE(CONTROL!$C$27, 0.0021, 0)</f>
        <v>99.819400000000002</v>
      </c>
      <c r="D910" s="14">
        <f>99.8173 * CHOOSE(CONTROL!$C$9, $D$9, 100%, $F$9) + CHOOSE(CONTROL!$C$27, 0.0021, 0)</f>
        <v>99.819400000000002</v>
      </c>
      <c r="E910" s="14">
        <f>99.6806 * CHOOSE(CONTROL!$C$9, $D$9, 100%, $F$9) + CHOOSE(CONTROL!$C$27, 0.0021, 0)</f>
        <v>99.682699999999997</v>
      </c>
      <c r="F910" s="14">
        <f>99.6806 * CHOOSE(CONTROL!$C$9, $D$9, 100%, $F$9) + CHOOSE(CONTROL!$C$27, 0.0021, 0)</f>
        <v>99.682699999999997</v>
      </c>
      <c r="G910" s="14">
        <f>99.952 * CHOOSE(CONTROL!$C$9, $D$9, 100%, $F$9) + CHOOSE(CONTROL!$C$27, 0.0021, 0)</f>
        <v>99.954099999999997</v>
      </c>
      <c r="H910" s="14">
        <f>99.8173 * CHOOSE(CONTROL!$C$9, $D$9, 100%, $F$9) + CHOOSE(CONTROL!$C$27, 0.0021, 0)</f>
        <v>99.819400000000002</v>
      </c>
      <c r="I910" s="14">
        <f>99.8173 * CHOOSE(CONTROL!$C$9, $D$9, 100%, $F$9) + CHOOSE(CONTROL!$C$27, 0.0021, 0)</f>
        <v>99.819400000000002</v>
      </c>
      <c r="J910" s="14">
        <f>99.8173 * CHOOSE(CONTROL!$C$9, $D$9, 100%, $F$9) + CHOOSE(CONTROL!$C$27, 0.0021, 0)</f>
        <v>99.819400000000002</v>
      </c>
      <c r="K910" s="14">
        <f>99.8173 * CHOOSE(CONTROL!$C$9, $D$9, 100%, $F$9) + CHOOSE(CONTROL!$C$27, 0.0021, 0)</f>
        <v>99.819400000000002</v>
      </c>
      <c r="L910" s="14"/>
    </row>
    <row r="911" spans="1:12" ht="15.75" x14ac:dyDescent="0.25">
      <c r="A911" s="32">
        <v>68667</v>
      </c>
      <c r="B911" s="14">
        <f>97.3426 * CHOOSE(CONTROL!$C$9, $D$9, 100%, $F$9) + CHOOSE(CONTROL!$C$27, 0.0021, 0)</f>
        <v>97.344700000000003</v>
      </c>
      <c r="C911" s="14">
        <f>96.9104 * CHOOSE(CONTROL!$C$9, $D$9, 100%, $F$9) + CHOOSE(CONTROL!$C$27, 0.0021, 0)</f>
        <v>96.912499999999994</v>
      </c>
      <c r="D911" s="14">
        <f>96.9104 * CHOOSE(CONTROL!$C$9, $D$9, 100%, $F$9) + CHOOSE(CONTROL!$C$27, 0.0021, 0)</f>
        <v>96.912499999999994</v>
      </c>
      <c r="E911" s="14">
        <f>96.7737 * CHOOSE(CONTROL!$C$9, $D$9, 100%, $F$9) + CHOOSE(CONTROL!$C$27, 0.0021, 0)</f>
        <v>96.775800000000004</v>
      </c>
      <c r="F911" s="14">
        <f>96.7737 * CHOOSE(CONTROL!$C$9, $D$9, 100%, $F$9) + CHOOSE(CONTROL!$C$27, 0.0021, 0)</f>
        <v>96.775800000000004</v>
      </c>
      <c r="G911" s="14">
        <f>97.0451 * CHOOSE(CONTROL!$C$9, $D$9, 100%, $F$9) + CHOOSE(CONTROL!$C$27, 0.0021, 0)</f>
        <v>97.047200000000004</v>
      </c>
      <c r="H911" s="14">
        <f>96.9104 * CHOOSE(CONTROL!$C$9, $D$9, 100%, $F$9) + CHOOSE(CONTROL!$C$27, 0.0021, 0)</f>
        <v>96.912499999999994</v>
      </c>
      <c r="I911" s="14">
        <f>96.9104 * CHOOSE(CONTROL!$C$9, $D$9, 100%, $F$9) + CHOOSE(CONTROL!$C$27, 0.0021, 0)</f>
        <v>96.912499999999994</v>
      </c>
      <c r="J911" s="14">
        <f>96.9104 * CHOOSE(CONTROL!$C$9, $D$9, 100%, $F$9) + CHOOSE(CONTROL!$C$27, 0.0021, 0)</f>
        <v>96.912499999999994</v>
      </c>
      <c r="K911" s="14">
        <f>96.9104 * CHOOSE(CONTROL!$C$9, $D$9, 100%, $F$9) + CHOOSE(CONTROL!$C$27, 0.0021, 0)</f>
        <v>96.912499999999994</v>
      </c>
      <c r="L911" s="14"/>
    </row>
    <row r="912" spans="1:12" ht="15.75" x14ac:dyDescent="0.25">
      <c r="A912" s="32">
        <v>68698</v>
      </c>
      <c r="B912" s="14">
        <f>96.7767 * CHOOSE(CONTROL!$C$9, $D$9, 100%, $F$9) + CHOOSE(CONTROL!$C$27, 0.0021, 0)</f>
        <v>96.778800000000004</v>
      </c>
      <c r="C912" s="14">
        <f>96.3445 * CHOOSE(CONTROL!$C$9, $D$9, 100%, $F$9) + CHOOSE(CONTROL!$C$27, 0.0021, 0)</f>
        <v>96.346599999999995</v>
      </c>
      <c r="D912" s="14">
        <f>96.3445 * CHOOSE(CONTROL!$C$9, $D$9, 100%, $F$9) + CHOOSE(CONTROL!$C$27, 0.0021, 0)</f>
        <v>96.346599999999995</v>
      </c>
      <c r="E912" s="14">
        <f>96.2078 * CHOOSE(CONTROL!$C$9, $D$9, 100%, $F$9) + CHOOSE(CONTROL!$C$27, 0.0021, 0)</f>
        <v>96.209900000000005</v>
      </c>
      <c r="F912" s="14">
        <f>96.2078 * CHOOSE(CONTROL!$C$9, $D$9, 100%, $F$9) + CHOOSE(CONTROL!$C$27, 0.0021, 0)</f>
        <v>96.209900000000005</v>
      </c>
      <c r="G912" s="14">
        <f>96.4792 * CHOOSE(CONTROL!$C$9, $D$9, 100%, $F$9) + CHOOSE(CONTROL!$C$27, 0.0021, 0)</f>
        <v>96.481300000000005</v>
      </c>
      <c r="H912" s="14">
        <f>96.3445 * CHOOSE(CONTROL!$C$9, $D$9, 100%, $F$9) + CHOOSE(CONTROL!$C$27, 0.0021, 0)</f>
        <v>96.346599999999995</v>
      </c>
      <c r="I912" s="14">
        <f>96.3445 * CHOOSE(CONTROL!$C$9, $D$9, 100%, $F$9) + CHOOSE(CONTROL!$C$27, 0.0021, 0)</f>
        <v>96.346599999999995</v>
      </c>
      <c r="J912" s="14">
        <f>96.3445 * CHOOSE(CONTROL!$C$9, $D$9, 100%, $F$9) + CHOOSE(CONTROL!$C$27, 0.0021, 0)</f>
        <v>96.346599999999995</v>
      </c>
      <c r="K912" s="14">
        <f>96.3445 * CHOOSE(CONTROL!$C$9, $D$9, 100%, $F$9) + CHOOSE(CONTROL!$C$27, 0.0021, 0)</f>
        <v>96.346599999999995</v>
      </c>
      <c r="L912" s="14"/>
    </row>
    <row r="913" spans="1:12" ht="15.75" x14ac:dyDescent="0.25">
      <c r="A913" s="32">
        <v>68727</v>
      </c>
      <c r="B913" s="14">
        <f>96.5141 * CHOOSE(CONTROL!$C$9, $D$9, 100%, $F$9) + CHOOSE(CONTROL!$C$27, 0.0021, 0)</f>
        <v>96.516199999999998</v>
      </c>
      <c r="C913" s="14">
        <f>96.0818 * CHOOSE(CONTROL!$C$9, $D$9, 100%, $F$9) + CHOOSE(CONTROL!$C$27, 0.0021, 0)</f>
        <v>96.0839</v>
      </c>
      <c r="D913" s="14">
        <f>96.0818 * CHOOSE(CONTROL!$C$9, $D$9, 100%, $F$9) + CHOOSE(CONTROL!$C$27, 0.0021, 0)</f>
        <v>96.0839</v>
      </c>
      <c r="E913" s="14">
        <f>95.9452 * CHOOSE(CONTROL!$C$9, $D$9, 100%, $F$9) + CHOOSE(CONTROL!$C$27, 0.0021, 0)</f>
        <v>95.947299999999998</v>
      </c>
      <c r="F913" s="14">
        <f>95.9452 * CHOOSE(CONTROL!$C$9, $D$9, 100%, $F$9) + CHOOSE(CONTROL!$C$27, 0.0021, 0)</f>
        <v>95.947299999999998</v>
      </c>
      <c r="G913" s="14">
        <f>96.2165 * CHOOSE(CONTROL!$C$9, $D$9, 100%, $F$9) + CHOOSE(CONTROL!$C$27, 0.0021, 0)</f>
        <v>96.218599999999995</v>
      </c>
      <c r="H913" s="14">
        <f>96.0818 * CHOOSE(CONTROL!$C$9, $D$9, 100%, $F$9) + CHOOSE(CONTROL!$C$27, 0.0021, 0)</f>
        <v>96.0839</v>
      </c>
      <c r="I913" s="14">
        <f>96.0818 * CHOOSE(CONTROL!$C$9, $D$9, 100%, $F$9) + CHOOSE(CONTROL!$C$27, 0.0021, 0)</f>
        <v>96.0839</v>
      </c>
      <c r="J913" s="14">
        <f>96.0818 * CHOOSE(CONTROL!$C$9, $D$9, 100%, $F$9) + CHOOSE(CONTROL!$C$27, 0.0021, 0)</f>
        <v>96.0839</v>
      </c>
      <c r="K913" s="14">
        <f>96.0818 * CHOOSE(CONTROL!$C$9, $D$9, 100%, $F$9) + CHOOSE(CONTROL!$C$27, 0.0021, 0)</f>
        <v>96.0839</v>
      </c>
      <c r="L913" s="14"/>
    </row>
    <row r="914" spans="1:12" ht="15.75" x14ac:dyDescent="0.25">
      <c r="A914" s="32">
        <v>68758</v>
      </c>
      <c r="B914" s="14">
        <f>101.4801 * CHOOSE(CONTROL!$C$9, $D$9, 100%, $F$9) + CHOOSE(CONTROL!$C$27, 0.0021, 0)</f>
        <v>101.48219999999999</v>
      </c>
      <c r="C914" s="14">
        <f>101.0479 * CHOOSE(CONTROL!$C$9, $D$9, 100%, $F$9) + CHOOSE(CONTROL!$C$27, 0.0021, 0)</f>
        <v>101.05</v>
      </c>
      <c r="D914" s="14">
        <f>101.0479 * CHOOSE(CONTROL!$C$9, $D$9, 100%, $F$9) + CHOOSE(CONTROL!$C$27, 0.0021, 0)</f>
        <v>101.05</v>
      </c>
      <c r="E914" s="14">
        <f>100.9112 * CHOOSE(CONTROL!$C$9, $D$9, 100%, $F$9) + CHOOSE(CONTROL!$C$27, 0.0021, 0)</f>
        <v>100.91329999999999</v>
      </c>
      <c r="F914" s="14">
        <f>100.9112 * CHOOSE(CONTROL!$C$9, $D$9, 100%, $F$9) + CHOOSE(CONTROL!$C$27, 0.0021, 0)</f>
        <v>100.91329999999999</v>
      </c>
      <c r="G914" s="14">
        <f>101.1826 * CHOOSE(CONTROL!$C$9, $D$9, 100%, $F$9) + CHOOSE(CONTROL!$C$27, 0.0021, 0)</f>
        <v>101.18469999999999</v>
      </c>
      <c r="H914" s="14">
        <f>101.0479 * CHOOSE(CONTROL!$C$9, $D$9, 100%, $F$9) + CHOOSE(CONTROL!$C$27, 0.0021, 0)</f>
        <v>101.05</v>
      </c>
      <c r="I914" s="14">
        <f>101.0479 * CHOOSE(CONTROL!$C$9, $D$9, 100%, $F$9) + CHOOSE(CONTROL!$C$27, 0.0021, 0)</f>
        <v>101.05</v>
      </c>
      <c r="J914" s="14">
        <f>101.0479 * CHOOSE(CONTROL!$C$9, $D$9, 100%, $F$9) + CHOOSE(CONTROL!$C$27, 0.0021, 0)</f>
        <v>101.05</v>
      </c>
      <c r="K914" s="14">
        <f>101.0479 * CHOOSE(CONTROL!$C$9, $D$9, 100%, $F$9) + CHOOSE(CONTROL!$C$27, 0.0021, 0)</f>
        <v>101.05</v>
      </c>
      <c r="L914" s="14"/>
    </row>
    <row r="915" spans="1:12" ht="15.75" x14ac:dyDescent="0.25">
      <c r="A915" s="32">
        <v>68788</v>
      </c>
      <c r="B915" s="14">
        <f>107.9199 * CHOOSE(CONTROL!$C$9, $D$9, 100%, $F$9) + CHOOSE(CONTROL!$C$27, 0.0021, 0)</f>
        <v>107.922</v>
      </c>
      <c r="C915" s="14">
        <f>107.4876 * CHOOSE(CONTROL!$C$9, $D$9, 100%, $F$9) + CHOOSE(CONTROL!$C$27, 0.0021, 0)</f>
        <v>107.4897</v>
      </c>
      <c r="D915" s="14">
        <f>107.4876 * CHOOSE(CONTROL!$C$9, $D$9, 100%, $F$9) + CHOOSE(CONTROL!$C$27, 0.0021, 0)</f>
        <v>107.4897</v>
      </c>
      <c r="E915" s="14">
        <f>107.3509 * CHOOSE(CONTROL!$C$9, $D$9, 100%, $F$9) + CHOOSE(CONTROL!$C$27, 0.0021, 0)</f>
        <v>107.35299999999999</v>
      </c>
      <c r="F915" s="14">
        <f>107.3509 * CHOOSE(CONTROL!$C$9, $D$9, 100%, $F$9) + CHOOSE(CONTROL!$C$27, 0.0021, 0)</f>
        <v>107.35299999999999</v>
      </c>
      <c r="G915" s="14">
        <f>107.6223 * CHOOSE(CONTROL!$C$9, $D$9, 100%, $F$9) + CHOOSE(CONTROL!$C$27, 0.0021, 0)</f>
        <v>107.62439999999999</v>
      </c>
      <c r="H915" s="14">
        <f>107.4876 * CHOOSE(CONTROL!$C$9, $D$9, 100%, $F$9) + CHOOSE(CONTROL!$C$27, 0.0021, 0)</f>
        <v>107.4897</v>
      </c>
      <c r="I915" s="14">
        <f>107.4876 * CHOOSE(CONTROL!$C$9, $D$9, 100%, $F$9) + CHOOSE(CONTROL!$C$27, 0.0021, 0)</f>
        <v>107.4897</v>
      </c>
      <c r="J915" s="14">
        <f>107.4876 * CHOOSE(CONTROL!$C$9, $D$9, 100%, $F$9) + CHOOSE(CONTROL!$C$27, 0.0021, 0)</f>
        <v>107.4897</v>
      </c>
      <c r="K915" s="14">
        <f>107.4876 * CHOOSE(CONTROL!$C$9, $D$9, 100%, $F$9) + CHOOSE(CONTROL!$C$27, 0.0021, 0)</f>
        <v>107.4897</v>
      </c>
      <c r="L915" s="14"/>
    </row>
    <row r="916" spans="1:12" ht="15.75" x14ac:dyDescent="0.25">
      <c r="A916" s="32">
        <v>68819</v>
      </c>
      <c r="B916" s="14">
        <f>111.4645 * CHOOSE(CONTROL!$C$9, $D$9, 100%, $F$9) + CHOOSE(CONTROL!$C$27, 0.0021, 0)</f>
        <v>111.4666</v>
      </c>
      <c r="C916" s="14">
        <f>111.0323 * CHOOSE(CONTROL!$C$9, $D$9, 100%, $F$9) + CHOOSE(CONTROL!$C$27, 0.0021, 0)</f>
        <v>111.03440000000001</v>
      </c>
      <c r="D916" s="14">
        <f>111.0323 * CHOOSE(CONTROL!$C$9, $D$9, 100%, $F$9) + CHOOSE(CONTROL!$C$27, 0.0021, 0)</f>
        <v>111.03440000000001</v>
      </c>
      <c r="E916" s="14">
        <f>110.8956 * CHOOSE(CONTROL!$C$9, $D$9, 100%, $F$9) + CHOOSE(CONTROL!$C$27, 0.0021, 0)</f>
        <v>110.8977</v>
      </c>
      <c r="F916" s="14">
        <f>110.8956 * CHOOSE(CONTROL!$C$9, $D$9, 100%, $F$9) + CHOOSE(CONTROL!$C$27, 0.0021, 0)</f>
        <v>110.8977</v>
      </c>
      <c r="G916" s="14">
        <f>111.167 * CHOOSE(CONTROL!$C$9, $D$9, 100%, $F$9) + CHOOSE(CONTROL!$C$27, 0.0021, 0)</f>
        <v>111.1691</v>
      </c>
      <c r="H916" s="14">
        <f>111.0323 * CHOOSE(CONTROL!$C$9, $D$9, 100%, $F$9) + CHOOSE(CONTROL!$C$27, 0.0021, 0)</f>
        <v>111.03440000000001</v>
      </c>
      <c r="I916" s="14">
        <f>111.0323 * CHOOSE(CONTROL!$C$9, $D$9, 100%, $F$9) + CHOOSE(CONTROL!$C$27, 0.0021, 0)</f>
        <v>111.03440000000001</v>
      </c>
      <c r="J916" s="14">
        <f>111.0323 * CHOOSE(CONTROL!$C$9, $D$9, 100%, $F$9) + CHOOSE(CONTROL!$C$27, 0.0021, 0)</f>
        <v>111.03440000000001</v>
      </c>
      <c r="K916" s="14">
        <f>111.0323 * CHOOSE(CONTROL!$C$9, $D$9, 100%, $F$9) + CHOOSE(CONTROL!$C$27, 0.0021, 0)</f>
        <v>111.03440000000001</v>
      </c>
      <c r="L916" s="14"/>
    </row>
    <row r="917" spans="1:12" ht="15.75" x14ac:dyDescent="0.25">
      <c r="A917" s="32">
        <v>68849</v>
      </c>
      <c r="B917" s="14">
        <f>113.0376 * CHOOSE(CONTROL!$C$9, $D$9, 100%, $F$9) + CHOOSE(CONTROL!$C$27, 0.0021, 0)</f>
        <v>113.0397</v>
      </c>
      <c r="C917" s="14">
        <f>112.6053 * CHOOSE(CONTROL!$C$9, $D$9, 100%, $F$9) + CHOOSE(CONTROL!$C$27, 0.0021, 0)</f>
        <v>112.6074</v>
      </c>
      <c r="D917" s="14">
        <f>112.6053 * CHOOSE(CONTROL!$C$9, $D$9, 100%, $F$9) + CHOOSE(CONTROL!$C$27, 0.0021, 0)</f>
        <v>112.6074</v>
      </c>
      <c r="E917" s="14">
        <f>112.4686 * CHOOSE(CONTROL!$C$9, $D$9, 100%, $F$9) + CHOOSE(CONTROL!$C$27, 0.0021, 0)</f>
        <v>112.47069999999999</v>
      </c>
      <c r="F917" s="14">
        <f>112.4686 * CHOOSE(CONTROL!$C$9, $D$9, 100%, $F$9) + CHOOSE(CONTROL!$C$27, 0.0021, 0)</f>
        <v>112.47069999999999</v>
      </c>
      <c r="G917" s="14">
        <f>112.74 * CHOOSE(CONTROL!$C$9, $D$9, 100%, $F$9) + CHOOSE(CONTROL!$C$27, 0.0021, 0)</f>
        <v>112.74209999999999</v>
      </c>
      <c r="H917" s="14">
        <f>112.6053 * CHOOSE(CONTROL!$C$9, $D$9, 100%, $F$9) + CHOOSE(CONTROL!$C$27, 0.0021, 0)</f>
        <v>112.6074</v>
      </c>
      <c r="I917" s="14">
        <f>112.6053 * CHOOSE(CONTROL!$C$9, $D$9, 100%, $F$9) + CHOOSE(CONTROL!$C$27, 0.0021, 0)</f>
        <v>112.6074</v>
      </c>
      <c r="J917" s="14">
        <f>112.6053 * CHOOSE(CONTROL!$C$9, $D$9, 100%, $F$9) + CHOOSE(CONTROL!$C$27, 0.0021, 0)</f>
        <v>112.6074</v>
      </c>
      <c r="K917" s="14">
        <f>112.6053 * CHOOSE(CONTROL!$C$9, $D$9, 100%, $F$9) + CHOOSE(CONTROL!$C$27, 0.0021, 0)</f>
        <v>112.6074</v>
      </c>
      <c r="L917" s="14"/>
    </row>
    <row r="918" spans="1:12" ht="15.75" x14ac:dyDescent="0.25">
      <c r="A918" s="32">
        <v>68880</v>
      </c>
      <c r="B918" s="14">
        <f>112.5196 * CHOOSE(CONTROL!$C$9, $D$9, 100%, $F$9) + CHOOSE(CONTROL!$C$27, 0.0021, 0)</f>
        <v>112.5217</v>
      </c>
      <c r="C918" s="14">
        <f>112.0874 * CHOOSE(CONTROL!$C$9, $D$9, 100%, $F$9) + CHOOSE(CONTROL!$C$27, 0.0021, 0)</f>
        <v>112.0895</v>
      </c>
      <c r="D918" s="14">
        <f>112.0874 * CHOOSE(CONTROL!$C$9, $D$9, 100%, $F$9) + CHOOSE(CONTROL!$C$27, 0.0021, 0)</f>
        <v>112.0895</v>
      </c>
      <c r="E918" s="14">
        <f>111.9507 * CHOOSE(CONTROL!$C$9, $D$9, 100%, $F$9) + CHOOSE(CONTROL!$C$27, 0.0021, 0)</f>
        <v>111.9528</v>
      </c>
      <c r="F918" s="14">
        <f>111.9507 * CHOOSE(CONTROL!$C$9, $D$9, 100%, $F$9) + CHOOSE(CONTROL!$C$27, 0.0021, 0)</f>
        <v>111.9528</v>
      </c>
      <c r="G918" s="14">
        <f>112.2221 * CHOOSE(CONTROL!$C$9, $D$9, 100%, $F$9) + CHOOSE(CONTROL!$C$27, 0.0021, 0)</f>
        <v>112.2242</v>
      </c>
      <c r="H918" s="14">
        <f>112.0874 * CHOOSE(CONTROL!$C$9, $D$9, 100%, $F$9) + CHOOSE(CONTROL!$C$27, 0.0021, 0)</f>
        <v>112.0895</v>
      </c>
      <c r="I918" s="14">
        <f>112.0874 * CHOOSE(CONTROL!$C$9, $D$9, 100%, $F$9) + CHOOSE(CONTROL!$C$27, 0.0021, 0)</f>
        <v>112.0895</v>
      </c>
      <c r="J918" s="14">
        <f>112.0874 * CHOOSE(CONTROL!$C$9, $D$9, 100%, $F$9) + CHOOSE(CONTROL!$C$27, 0.0021, 0)</f>
        <v>112.0895</v>
      </c>
      <c r="K918" s="14">
        <f>112.0874 * CHOOSE(CONTROL!$C$9, $D$9, 100%, $F$9) + CHOOSE(CONTROL!$C$27, 0.0021, 0)</f>
        <v>112.0895</v>
      </c>
      <c r="L918" s="14"/>
    </row>
    <row r="919" spans="1:12" ht="15.75" x14ac:dyDescent="0.25">
      <c r="A919" s="32">
        <v>68911</v>
      </c>
      <c r="B919" s="14">
        <f>109.9536 * CHOOSE(CONTROL!$C$9, $D$9, 100%, $F$9) + CHOOSE(CONTROL!$C$27, 0.0021, 0)</f>
        <v>109.95569999999999</v>
      </c>
      <c r="C919" s="14">
        <f>109.5213 * CHOOSE(CONTROL!$C$9, $D$9, 100%, $F$9) + CHOOSE(CONTROL!$C$27, 0.0021, 0)</f>
        <v>109.5234</v>
      </c>
      <c r="D919" s="14">
        <f>109.5213 * CHOOSE(CONTROL!$C$9, $D$9, 100%, $F$9) + CHOOSE(CONTROL!$C$27, 0.0021, 0)</f>
        <v>109.5234</v>
      </c>
      <c r="E919" s="14">
        <f>109.3847 * CHOOSE(CONTROL!$C$9, $D$9, 100%, $F$9) + CHOOSE(CONTROL!$C$27, 0.0021, 0)</f>
        <v>109.38679999999999</v>
      </c>
      <c r="F919" s="14">
        <f>109.3847 * CHOOSE(CONTROL!$C$9, $D$9, 100%, $F$9) + CHOOSE(CONTROL!$C$27, 0.0021, 0)</f>
        <v>109.38679999999999</v>
      </c>
      <c r="G919" s="14">
        <f>109.6561 * CHOOSE(CONTROL!$C$9, $D$9, 100%, $F$9) + CHOOSE(CONTROL!$C$27, 0.0021, 0)</f>
        <v>109.65819999999999</v>
      </c>
      <c r="H919" s="14">
        <f>109.5213 * CHOOSE(CONTROL!$C$9, $D$9, 100%, $F$9) + CHOOSE(CONTROL!$C$27, 0.0021, 0)</f>
        <v>109.5234</v>
      </c>
      <c r="I919" s="14">
        <f>109.5213 * CHOOSE(CONTROL!$C$9, $D$9, 100%, $F$9) + CHOOSE(CONTROL!$C$27, 0.0021, 0)</f>
        <v>109.5234</v>
      </c>
      <c r="J919" s="14">
        <f>109.5213 * CHOOSE(CONTROL!$C$9, $D$9, 100%, $F$9) + CHOOSE(CONTROL!$C$27, 0.0021, 0)</f>
        <v>109.5234</v>
      </c>
      <c r="K919" s="14">
        <f>109.5213 * CHOOSE(CONTROL!$C$9, $D$9, 100%, $F$9) + CHOOSE(CONTROL!$C$27, 0.0021, 0)</f>
        <v>109.5234</v>
      </c>
      <c r="L919" s="14"/>
    </row>
    <row r="920" spans="1:12" ht="15.75" x14ac:dyDescent="0.25">
      <c r="A920" s="32">
        <v>68941</v>
      </c>
      <c r="B920" s="14">
        <f>106.3751 * CHOOSE(CONTROL!$C$9, $D$9, 100%, $F$9) + CHOOSE(CONTROL!$C$27, 0.0021, 0)</f>
        <v>106.3772</v>
      </c>
      <c r="C920" s="14">
        <f>105.9429 * CHOOSE(CONTROL!$C$9, $D$9, 100%, $F$9) + CHOOSE(CONTROL!$C$27, 0.0021, 0)</f>
        <v>105.94499999999999</v>
      </c>
      <c r="D920" s="14">
        <f>105.9429 * CHOOSE(CONTROL!$C$9, $D$9, 100%, $F$9) + CHOOSE(CONTROL!$C$27, 0.0021, 0)</f>
        <v>105.94499999999999</v>
      </c>
      <c r="E920" s="14">
        <f>105.8062 * CHOOSE(CONTROL!$C$9, $D$9, 100%, $F$9) + CHOOSE(CONTROL!$C$27, 0.0021, 0)</f>
        <v>105.8083</v>
      </c>
      <c r="F920" s="14">
        <f>105.8062 * CHOOSE(CONTROL!$C$9, $D$9, 100%, $F$9) + CHOOSE(CONTROL!$C$27, 0.0021, 0)</f>
        <v>105.8083</v>
      </c>
      <c r="G920" s="14">
        <f>106.0776 * CHOOSE(CONTROL!$C$9, $D$9, 100%, $F$9) + CHOOSE(CONTROL!$C$27, 0.0021, 0)</f>
        <v>106.0797</v>
      </c>
      <c r="H920" s="14">
        <f>105.9429 * CHOOSE(CONTROL!$C$9, $D$9, 100%, $F$9) + CHOOSE(CONTROL!$C$27, 0.0021, 0)</f>
        <v>105.94499999999999</v>
      </c>
      <c r="I920" s="14">
        <f>105.9429 * CHOOSE(CONTROL!$C$9, $D$9, 100%, $F$9) + CHOOSE(CONTROL!$C$27, 0.0021, 0)</f>
        <v>105.94499999999999</v>
      </c>
      <c r="J920" s="14">
        <f>105.9429 * CHOOSE(CONTROL!$C$9, $D$9, 100%, $F$9) + CHOOSE(CONTROL!$C$27, 0.0021, 0)</f>
        <v>105.94499999999999</v>
      </c>
      <c r="K920" s="14">
        <f>105.9429 * CHOOSE(CONTROL!$C$9, $D$9, 100%, $F$9) + CHOOSE(CONTROL!$C$27, 0.0021, 0)</f>
        <v>105.94499999999999</v>
      </c>
      <c r="L920" s="14"/>
    </row>
    <row r="921" spans="1:12" ht="15.75" x14ac:dyDescent="0.25">
      <c r="A921" s="32">
        <v>68972</v>
      </c>
      <c r="B921" s="14">
        <f>102.7758 * CHOOSE(CONTROL!$C$9, $D$9, 100%, $F$9) + CHOOSE(CONTROL!$C$27, 0.0021, 0)</f>
        <v>102.7779</v>
      </c>
      <c r="C921" s="14">
        <f>102.3436 * CHOOSE(CONTROL!$C$9, $D$9, 100%, $F$9) + CHOOSE(CONTROL!$C$27, 0.0021, 0)</f>
        <v>102.34569999999999</v>
      </c>
      <c r="D921" s="14">
        <f>102.3436 * CHOOSE(CONTROL!$C$9, $D$9, 100%, $F$9) + CHOOSE(CONTROL!$C$27, 0.0021, 0)</f>
        <v>102.34569999999999</v>
      </c>
      <c r="E921" s="14">
        <f>102.2069 * CHOOSE(CONTROL!$C$9, $D$9, 100%, $F$9) + CHOOSE(CONTROL!$C$27, 0.0021, 0)</f>
        <v>102.209</v>
      </c>
      <c r="F921" s="14">
        <f>102.2069 * CHOOSE(CONTROL!$C$9, $D$9, 100%, $F$9) + CHOOSE(CONTROL!$C$27, 0.0021, 0)</f>
        <v>102.209</v>
      </c>
      <c r="G921" s="14">
        <f>102.4783 * CHOOSE(CONTROL!$C$9, $D$9, 100%, $F$9) + CHOOSE(CONTROL!$C$27, 0.0021, 0)</f>
        <v>102.4804</v>
      </c>
      <c r="H921" s="14">
        <f>102.3436 * CHOOSE(CONTROL!$C$9, $D$9, 100%, $F$9) + CHOOSE(CONTROL!$C$27, 0.0021, 0)</f>
        <v>102.34569999999999</v>
      </c>
      <c r="I921" s="14">
        <f>102.3436 * CHOOSE(CONTROL!$C$9, $D$9, 100%, $F$9) + CHOOSE(CONTROL!$C$27, 0.0021, 0)</f>
        <v>102.34569999999999</v>
      </c>
      <c r="J921" s="14">
        <f>102.3436 * CHOOSE(CONTROL!$C$9, $D$9, 100%, $F$9) + CHOOSE(CONTROL!$C$27, 0.0021, 0)</f>
        <v>102.34569999999999</v>
      </c>
      <c r="K921" s="14">
        <f>102.3436 * CHOOSE(CONTROL!$C$9, $D$9, 100%, $F$9) + CHOOSE(CONTROL!$C$27, 0.0021, 0)</f>
        <v>102.34569999999999</v>
      </c>
      <c r="L921" s="14"/>
    </row>
    <row r="922" spans="1:12" ht="15.75" x14ac:dyDescent="0.25">
      <c r="A922" s="32">
        <v>69002</v>
      </c>
      <c r="B922" s="14">
        <f>102.0599 * CHOOSE(CONTROL!$C$9, $D$9, 100%, $F$9) + CHOOSE(CONTROL!$C$27, 0.0021, 0)</f>
        <v>102.062</v>
      </c>
      <c r="C922" s="14">
        <f>101.6276 * CHOOSE(CONTROL!$C$9, $D$9, 100%, $F$9) + CHOOSE(CONTROL!$C$27, 0.0021, 0)</f>
        <v>101.6297</v>
      </c>
      <c r="D922" s="14">
        <f>101.6276 * CHOOSE(CONTROL!$C$9, $D$9, 100%, $F$9) + CHOOSE(CONTROL!$C$27, 0.0021, 0)</f>
        <v>101.6297</v>
      </c>
      <c r="E922" s="14">
        <f>101.4909 * CHOOSE(CONTROL!$C$9, $D$9, 100%, $F$9) + CHOOSE(CONTROL!$C$27, 0.0021, 0)</f>
        <v>101.49299999999999</v>
      </c>
      <c r="F922" s="14">
        <f>101.4909 * CHOOSE(CONTROL!$C$9, $D$9, 100%, $F$9) + CHOOSE(CONTROL!$C$27, 0.0021, 0)</f>
        <v>101.49299999999999</v>
      </c>
      <c r="G922" s="14">
        <f>101.7623 * CHOOSE(CONTROL!$C$9, $D$9, 100%, $F$9) + CHOOSE(CONTROL!$C$27, 0.0021, 0)</f>
        <v>101.76439999999999</v>
      </c>
      <c r="H922" s="14">
        <f>101.6276 * CHOOSE(CONTROL!$C$9, $D$9, 100%, $F$9) + CHOOSE(CONTROL!$C$27, 0.0021, 0)</f>
        <v>101.6297</v>
      </c>
      <c r="I922" s="14">
        <f>101.6276 * CHOOSE(CONTROL!$C$9, $D$9, 100%, $F$9) + CHOOSE(CONTROL!$C$27, 0.0021, 0)</f>
        <v>101.6297</v>
      </c>
      <c r="J922" s="14">
        <f>101.6276 * CHOOSE(CONTROL!$C$9, $D$9, 100%, $F$9) + CHOOSE(CONTROL!$C$27, 0.0021, 0)</f>
        <v>101.6297</v>
      </c>
      <c r="K922" s="14">
        <f>101.6276 * CHOOSE(CONTROL!$C$9, $D$9, 100%, $F$9) + CHOOSE(CONTROL!$C$27, 0.0021, 0)</f>
        <v>101.6297</v>
      </c>
      <c r="L922" s="14"/>
    </row>
    <row r="923" spans="1:12" ht="15.75" x14ac:dyDescent="0.25">
      <c r="A923" s="32">
        <v>69033</v>
      </c>
      <c r="B923" s="14">
        <f>99.0992 * CHOOSE(CONTROL!$C$9, $D$9, 100%, $F$9) + CHOOSE(CONTROL!$C$27, 0.0021, 0)</f>
        <v>99.101299999999995</v>
      </c>
      <c r="C923" s="14">
        <f>98.667 * CHOOSE(CONTROL!$C$9, $D$9, 100%, $F$9) + CHOOSE(CONTROL!$C$27, 0.0021, 0)</f>
        <v>98.6691</v>
      </c>
      <c r="D923" s="14">
        <f>98.667 * CHOOSE(CONTROL!$C$9, $D$9, 100%, $F$9) + CHOOSE(CONTROL!$C$27, 0.0021, 0)</f>
        <v>98.6691</v>
      </c>
      <c r="E923" s="14">
        <f>98.5303 * CHOOSE(CONTROL!$C$9, $D$9, 100%, $F$9) + CHOOSE(CONTROL!$C$27, 0.0021, 0)</f>
        <v>98.532399999999996</v>
      </c>
      <c r="F923" s="14">
        <f>98.5303 * CHOOSE(CONTROL!$C$9, $D$9, 100%, $F$9) + CHOOSE(CONTROL!$C$27, 0.0021, 0)</f>
        <v>98.532399999999996</v>
      </c>
      <c r="G923" s="14">
        <f>98.8017 * CHOOSE(CONTROL!$C$9, $D$9, 100%, $F$9) + CHOOSE(CONTROL!$C$27, 0.0021, 0)</f>
        <v>98.803799999999995</v>
      </c>
      <c r="H923" s="14">
        <f>98.667 * CHOOSE(CONTROL!$C$9, $D$9, 100%, $F$9) + CHOOSE(CONTROL!$C$27, 0.0021, 0)</f>
        <v>98.6691</v>
      </c>
      <c r="I923" s="14">
        <f>98.667 * CHOOSE(CONTROL!$C$9, $D$9, 100%, $F$9) + CHOOSE(CONTROL!$C$27, 0.0021, 0)</f>
        <v>98.6691</v>
      </c>
      <c r="J923" s="14">
        <f>98.667 * CHOOSE(CONTROL!$C$9, $D$9, 100%, $F$9) + CHOOSE(CONTROL!$C$27, 0.0021, 0)</f>
        <v>98.6691</v>
      </c>
      <c r="K923" s="14">
        <f>98.667 * CHOOSE(CONTROL!$C$9, $D$9, 100%, $F$9) + CHOOSE(CONTROL!$C$27, 0.0021, 0)</f>
        <v>98.6691</v>
      </c>
      <c r="L923" s="14"/>
    </row>
    <row r="924" spans="1:12" ht="15.75" x14ac:dyDescent="0.25">
      <c r="A924" s="32">
        <v>69064</v>
      </c>
      <c r="B924" s="14">
        <f>98.5228 * CHOOSE(CONTROL!$C$9, $D$9, 100%, $F$9) + CHOOSE(CONTROL!$C$27, 0.0021, 0)</f>
        <v>98.524900000000002</v>
      </c>
      <c r="C924" s="14">
        <f>98.0906 * CHOOSE(CONTROL!$C$9, $D$9, 100%, $F$9) + CHOOSE(CONTROL!$C$27, 0.0021, 0)</f>
        <v>98.092699999999994</v>
      </c>
      <c r="D924" s="14">
        <f>98.0906 * CHOOSE(CONTROL!$C$9, $D$9, 100%, $F$9) + CHOOSE(CONTROL!$C$27, 0.0021, 0)</f>
        <v>98.092699999999994</v>
      </c>
      <c r="E924" s="14">
        <f>97.9539 * CHOOSE(CONTROL!$C$9, $D$9, 100%, $F$9) + CHOOSE(CONTROL!$C$27, 0.0021, 0)</f>
        <v>97.956000000000003</v>
      </c>
      <c r="F924" s="14">
        <f>97.9539 * CHOOSE(CONTROL!$C$9, $D$9, 100%, $F$9) + CHOOSE(CONTROL!$C$27, 0.0021, 0)</f>
        <v>97.956000000000003</v>
      </c>
      <c r="G924" s="14">
        <f>98.2253 * CHOOSE(CONTROL!$C$9, $D$9, 100%, $F$9) + CHOOSE(CONTROL!$C$27, 0.0021, 0)</f>
        <v>98.227400000000003</v>
      </c>
      <c r="H924" s="14">
        <f>98.0906 * CHOOSE(CONTROL!$C$9, $D$9, 100%, $F$9) + CHOOSE(CONTROL!$C$27, 0.0021, 0)</f>
        <v>98.092699999999994</v>
      </c>
      <c r="I924" s="14">
        <f>98.0906 * CHOOSE(CONTROL!$C$9, $D$9, 100%, $F$9) + CHOOSE(CONTROL!$C$27, 0.0021, 0)</f>
        <v>98.092699999999994</v>
      </c>
      <c r="J924" s="14">
        <f>98.0906 * CHOOSE(CONTROL!$C$9, $D$9, 100%, $F$9) + CHOOSE(CONTROL!$C$27, 0.0021, 0)</f>
        <v>98.092699999999994</v>
      </c>
      <c r="K924" s="14">
        <f>98.0906 * CHOOSE(CONTROL!$C$9, $D$9, 100%, $F$9) + CHOOSE(CONTROL!$C$27, 0.0021, 0)</f>
        <v>98.092699999999994</v>
      </c>
      <c r="L924" s="14"/>
    </row>
    <row r="925" spans="1:12" ht="15.75" x14ac:dyDescent="0.25">
      <c r="A925" s="32">
        <v>69092</v>
      </c>
      <c r="B925" s="14">
        <f>98.2554 * CHOOSE(CONTROL!$C$9, $D$9, 100%, $F$9) + CHOOSE(CONTROL!$C$27, 0.0021, 0)</f>
        <v>98.257499999999993</v>
      </c>
      <c r="C925" s="14">
        <f>97.8231 * CHOOSE(CONTROL!$C$9, $D$9, 100%, $F$9) + CHOOSE(CONTROL!$C$27, 0.0021, 0)</f>
        <v>97.825199999999995</v>
      </c>
      <c r="D925" s="14">
        <f>97.8231 * CHOOSE(CONTROL!$C$9, $D$9, 100%, $F$9) + CHOOSE(CONTROL!$C$27, 0.0021, 0)</f>
        <v>97.825199999999995</v>
      </c>
      <c r="E925" s="14">
        <f>97.6865 * CHOOSE(CONTROL!$C$9, $D$9, 100%, $F$9) + CHOOSE(CONTROL!$C$27, 0.0021, 0)</f>
        <v>97.688599999999994</v>
      </c>
      <c r="F925" s="14">
        <f>97.6865 * CHOOSE(CONTROL!$C$9, $D$9, 100%, $F$9) + CHOOSE(CONTROL!$C$27, 0.0021, 0)</f>
        <v>97.688599999999994</v>
      </c>
      <c r="G925" s="14">
        <f>97.9578 * CHOOSE(CONTROL!$C$9, $D$9, 100%, $F$9) + CHOOSE(CONTROL!$C$27, 0.0021, 0)</f>
        <v>97.959900000000005</v>
      </c>
      <c r="H925" s="14">
        <f>97.8231 * CHOOSE(CONTROL!$C$9, $D$9, 100%, $F$9) + CHOOSE(CONTROL!$C$27, 0.0021, 0)</f>
        <v>97.825199999999995</v>
      </c>
      <c r="I925" s="14">
        <f>97.8231 * CHOOSE(CONTROL!$C$9, $D$9, 100%, $F$9) + CHOOSE(CONTROL!$C$27, 0.0021, 0)</f>
        <v>97.825199999999995</v>
      </c>
      <c r="J925" s="14">
        <f>97.8231 * CHOOSE(CONTROL!$C$9, $D$9, 100%, $F$9) + CHOOSE(CONTROL!$C$27, 0.0021, 0)</f>
        <v>97.825199999999995</v>
      </c>
      <c r="K925" s="14">
        <f>97.8231 * CHOOSE(CONTROL!$C$9, $D$9, 100%, $F$9) + CHOOSE(CONTROL!$C$27, 0.0021, 0)</f>
        <v>97.825199999999995</v>
      </c>
      <c r="L925" s="14"/>
    </row>
    <row r="926" spans="1:12" ht="15.75" x14ac:dyDescent="0.25">
      <c r="A926" s="32">
        <v>69123</v>
      </c>
      <c r="B926" s="14">
        <f>103.3132 * CHOOSE(CONTROL!$C$9, $D$9, 100%, $F$9) + CHOOSE(CONTROL!$C$27, 0.0021, 0)</f>
        <v>103.31529999999999</v>
      </c>
      <c r="C926" s="14">
        <f>102.8809 * CHOOSE(CONTROL!$C$9, $D$9, 100%, $F$9) + CHOOSE(CONTROL!$C$27, 0.0021, 0)</f>
        <v>102.883</v>
      </c>
      <c r="D926" s="14">
        <f>102.8809 * CHOOSE(CONTROL!$C$9, $D$9, 100%, $F$9) + CHOOSE(CONTROL!$C$27, 0.0021, 0)</f>
        <v>102.883</v>
      </c>
      <c r="E926" s="14">
        <f>102.7443 * CHOOSE(CONTROL!$C$9, $D$9, 100%, $F$9) + CHOOSE(CONTROL!$C$27, 0.0021, 0)</f>
        <v>102.74639999999999</v>
      </c>
      <c r="F926" s="14">
        <f>102.7443 * CHOOSE(CONTROL!$C$9, $D$9, 100%, $F$9) + CHOOSE(CONTROL!$C$27, 0.0021, 0)</f>
        <v>102.74639999999999</v>
      </c>
      <c r="G926" s="14">
        <f>103.0156 * CHOOSE(CONTROL!$C$9, $D$9, 100%, $F$9) + CHOOSE(CONTROL!$C$27, 0.0021, 0)</f>
        <v>103.0177</v>
      </c>
      <c r="H926" s="14">
        <f>102.8809 * CHOOSE(CONTROL!$C$9, $D$9, 100%, $F$9) + CHOOSE(CONTROL!$C$27, 0.0021, 0)</f>
        <v>102.883</v>
      </c>
      <c r="I926" s="14">
        <f>102.8809 * CHOOSE(CONTROL!$C$9, $D$9, 100%, $F$9) + CHOOSE(CONTROL!$C$27, 0.0021, 0)</f>
        <v>102.883</v>
      </c>
      <c r="J926" s="14">
        <f>102.8809 * CHOOSE(CONTROL!$C$9, $D$9, 100%, $F$9) + CHOOSE(CONTROL!$C$27, 0.0021, 0)</f>
        <v>102.883</v>
      </c>
      <c r="K926" s="14">
        <f>102.8809 * CHOOSE(CONTROL!$C$9, $D$9, 100%, $F$9) + CHOOSE(CONTROL!$C$27, 0.0021, 0)</f>
        <v>102.883</v>
      </c>
      <c r="L926" s="14"/>
    </row>
    <row r="927" spans="1:12" ht="15.75" x14ac:dyDescent="0.25">
      <c r="A927" s="32">
        <v>69153</v>
      </c>
      <c r="B927" s="14">
        <f>109.8719 * CHOOSE(CONTROL!$C$9, $D$9, 100%, $F$9) + CHOOSE(CONTROL!$C$27, 0.0021, 0)</f>
        <v>109.874</v>
      </c>
      <c r="C927" s="14">
        <f>109.4397 * CHOOSE(CONTROL!$C$9, $D$9, 100%, $F$9) + CHOOSE(CONTROL!$C$27, 0.0021, 0)</f>
        <v>109.4418</v>
      </c>
      <c r="D927" s="14">
        <f>109.4397 * CHOOSE(CONTROL!$C$9, $D$9, 100%, $F$9) + CHOOSE(CONTROL!$C$27, 0.0021, 0)</f>
        <v>109.4418</v>
      </c>
      <c r="E927" s="14">
        <f>109.303 * CHOOSE(CONTROL!$C$9, $D$9, 100%, $F$9) + CHOOSE(CONTROL!$C$27, 0.0021, 0)</f>
        <v>109.3051</v>
      </c>
      <c r="F927" s="14">
        <f>109.303 * CHOOSE(CONTROL!$C$9, $D$9, 100%, $F$9) + CHOOSE(CONTROL!$C$27, 0.0021, 0)</f>
        <v>109.3051</v>
      </c>
      <c r="G927" s="14">
        <f>109.5744 * CHOOSE(CONTROL!$C$9, $D$9, 100%, $F$9) + CHOOSE(CONTROL!$C$27, 0.0021, 0)</f>
        <v>109.5765</v>
      </c>
      <c r="H927" s="14">
        <f>109.4397 * CHOOSE(CONTROL!$C$9, $D$9, 100%, $F$9) + CHOOSE(CONTROL!$C$27, 0.0021, 0)</f>
        <v>109.4418</v>
      </c>
      <c r="I927" s="14">
        <f>109.4397 * CHOOSE(CONTROL!$C$9, $D$9, 100%, $F$9) + CHOOSE(CONTROL!$C$27, 0.0021, 0)</f>
        <v>109.4418</v>
      </c>
      <c r="J927" s="14">
        <f>109.4397 * CHOOSE(CONTROL!$C$9, $D$9, 100%, $F$9) + CHOOSE(CONTROL!$C$27, 0.0021, 0)</f>
        <v>109.4418</v>
      </c>
      <c r="K927" s="14">
        <f>109.4397 * CHOOSE(CONTROL!$C$9, $D$9, 100%, $F$9) + CHOOSE(CONTROL!$C$27, 0.0021, 0)</f>
        <v>109.4418</v>
      </c>
      <c r="L927" s="14"/>
    </row>
    <row r="928" spans="1:12" ht="15.75" x14ac:dyDescent="0.25">
      <c r="A928" s="32">
        <v>69184</v>
      </c>
      <c r="B928" s="14">
        <f>113.4821 * CHOOSE(CONTROL!$C$9, $D$9, 100%, $F$9) + CHOOSE(CONTROL!$C$27, 0.0021, 0)</f>
        <v>113.4842</v>
      </c>
      <c r="C928" s="14">
        <f>113.0498 * CHOOSE(CONTROL!$C$9, $D$9, 100%, $F$9) + CHOOSE(CONTROL!$C$27, 0.0021, 0)</f>
        <v>113.0519</v>
      </c>
      <c r="D928" s="14">
        <f>113.0498 * CHOOSE(CONTROL!$C$9, $D$9, 100%, $F$9) + CHOOSE(CONTROL!$C$27, 0.0021, 0)</f>
        <v>113.0519</v>
      </c>
      <c r="E928" s="14">
        <f>112.9132 * CHOOSE(CONTROL!$C$9, $D$9, 100%, $F$9) + CHOOSE(CONTROL!$C$27, 0.0021, 0)</f>
        <v>112.9153</v>
      </c>
      <c r="F928" s="14">
        <f>112.9132 * CHOOSE(CONTROL!$C$9, $D$9, 100%, $F$9) + CHOOSE(CONTROL!$C$27, 0.0021, 0)</f>
        <v>112.9153</v>
      </c>
      <c r="G928" s="14">
        <f>113.1846 * CHOOSE(CONTROL!$C$9, $D$9, 100%, $F$9) + CHOOSE(CONTROL!$C$27, 0.0021, 0)</f>
        <v>113.1867</v>
      </c>
      <c r="H928" s="14">
        <f>113.0498 * CHOOSE(CONTROL!$C$9, $D$9, 100%, $F$9) + CHOOSE(CONTROL!$C$27, 0.0021, 0)</f>
        <v>113.0519</v>
      </c>
      <c r="I928" s="14">
        <f>113.0498 * CHOOSE(CONTROL!$C$9, $D$9, 100%, $F$9) + CHOOSE(CONTROL!$C$27, 0.0021, 0)</f>
        <v>113.0519</v>
      </c>
      <c r="J928" s="14">
        <f>113.0498 * CHOOSE(CONTROL!$C$9, $D$9, 100%, $F$9) + CHOOSE(CONTROL!$C$27, 0.0021, 0)</f>
        <v>113.0519</v>
      </c>
      <c r="K928" s="14">
        <f>113.0498 * CHOOSE(CONTROL!$C$9, $D$9, 100%, $F$9) + CHOOSE(CONTROL!$C$27, 0.0021, 0)</f>
        <v>113.0519</v>
      </c>
      <c r="L928" s="14"/>
    </row>
    <row r="929" spans="1:12" ht="15.75" x14ac:dyDescent="0.25">
      <c r="A929" s="32">
        <v>69214</v>
      </c>
      <c r="B929" s="14">
        <f>115.0842 * CHOOSE(CONTROL!$C$9, $D$9, 100%, $F$9) + CHOOSE(CONTROL!$C$27, 0.0021, 0)</f>
        <v>115.08629999999999</v>
      </c>
      <c r="C929" s="14">
        <f>114.652 * CHOOSE(CONTROL!$C$9, $D$9, 100%, $F$9) + CHOOSE(CONTROL!$C$27, 0.0021, 0)</f>
        <v>114.6541</v>
      </c>
      <c r="D929" s="14">
        <f>114.652 * CHOOSE(CONTROL!$C$9, $D$9, 100%, $F$9) + CHOOSE(CONTROL!$C$27, 0.0021, 0)</f>
        <v>114.6541</v>
      </c>
      <c r="E929" s="14">
        <f>114.5153 * CHOOSE(CONTROL!$C$9, $D$9, 100%, $F$9) + CHOOSE(CONTROL!$C$27, 0.0021, 0)</f>
        <v>114.51739999999999</v>
      </c>
      <c r="F929" s="14">
        <f>114.5153 * CHOOSE(CONTROL!$C$9, $D$9, 100%, $F$9) + CHOOSE(CONTROL!$C$27, 0.0021, 0)</f>
        <v>114.51739999999999</v>
      </c>
      <c r="G929" s="14">
        <f>114.7867 * CHOOSE(CONTROL!$C$9, $D$9, 100%, $F$9) + CHOOSE(CONTROL!$C$27, 0.0021, 0)</f>
        <v>114.78879999999999</v>
      </c>
      <c r="H929" s="14">
        <f>114.652 * CHOOSE(CONTROL!$C$9, $D$9, 100%, $F$9) + CHOOSE(CONTROL!$C$27, 0.0021, 0)</f>
        <v>114.6541</v>
      </c>
      <c r="I929" s="14">
        <f>114.652 * CHOOSE(CONTROL!$C$9, $D$9, 100%, $F$9) + CHOOSE(CONTROL!$C$27, 0.0021, 0)</f>
        <v>114.6541</v>
      </c>
      <c r="J929" s="14">
        <f>114.652 * CHOOSE(CONTROL!$C$9, $D$9, 100%, $F$9) + CHOOSE(CONTROL!$C$27, 0.0021, 0)</f>
        <v>114.6541</v>
      </c>
      <c r="K929" s="14">
        <f>114.652 * CHOOSE(CONTROL!$C$9, $D$9, 100%, $F$9) + CHOOSE(CONTROL!$C$27, 0.0021, 0)</f>
        <v>114.6541</v>
      </c>
      <c r="L929" s="14"/>
    </row>
    <row r="930" spans="1:12" ht="15.75" x14ac:dyDescent="0.25">
      <c r="A930" s="32">
        <v>69245</v>
      </c>
      <c r="B930" s="14">
        <f>114.5567 * CHOOSE(CONTROL!$C$9, $D$9, 100%, $F$9) + CHOOSE(CONTROL!$C$27, 0.0021, 0)</f>
        <v>114.55880000000001</v>
      </c>
      <c r="C930" s="14">
        <f>114.1245 * CHOOSE(CONTROL!$C$9, $D$9, 100%, $F$9) + CHOOSE(CONTROL!$C$27, 0.0021, 0)</f>
        <v>114.1266</v>
      </c>
      <c r="D930" s="14">
        <f>114.1245 * CHOOSE(CONTROL!$C$9, $D$9, 100%, $F$9) + CHOOSE(CONTROL!$C$27, 0.0021, 0)</f>
        <v>114.1266</v>
      </c>
      <c r="E930" s="14">
        <f>113.9878 * CHOOSE(CONTROL!$C$9, $D$9, 100%, $F$9) + CHOOSE(CONTROL!$C$27, 0.0021, 0)</f>
        <v>113.98989999999999</v>
      </c>
      <c r="F930" s="14">
        <f>113.9878 * CHOOSE(CONTROL!$C$9, $D$9, 100%, $F$9) + CHOOSE(CONTROL!$C$27, 0.0021, 0)</f>
        <v>113.98989999999999</v>
      </c>
      <c r="G930" s="14">
        <f>114.2592 * CHOOSE(CONTROL!$C$9, $D$9, 100%, $F$9) + CHOOSE(CONTROL!$C$27, 0.0021, 0)</f>
        <v>114.26130000000001</v>
      </c>
      <c r="H930" s="14">
        <f>114.1245 * CHOOSE(CONTROL!$C$9, $D$9, 100%, $F$9) + CHOOSE(CONTROL!$C$27, 0.0021, 0)</f>
        <v>114.1266</v>
      </c>
      <c r="I930" s="14">
        <f>114.1245 * CHOOSE(CONTROL!$C$9, $D$9, 100%, $F$9) + CHOOSE(CONTROL!$C$27, 0.0021, 0)</f>
        <v>114.1266</v>
      </c>
      <c r="J930" s="14">
        <f>114.1245 * CHOOSE(CONTROL!$C$9, $D$9, 100%, $F$9) + CHOOSE(CONTROL!$C$27, 0.0021, 0)</f>
        <v>114.1266</v>
      </c>
      <c r="K930" s="14">
        <f>114.1245 * CHOOSE(CONTROL!$C$9, $D$9, 100%, $F$9) + CHOOSE(CONTROL!$C$27, 0.0021, 0)</f>
        <v>114.1266</v>
      </c>
      <c r="L930" s="14"/>
    </row>
    <row r="931" spans="1:12" ht="15.75" x14ac:dyDescent="0.25">
      <c r="A931" s="32">
        <v>69276</v>
      </c>
      <c r="B931" s="14">
        <f>111.9432 * CHOOSE(CONTROL!$C$9, $D$9, 100%, $F$9) + CHOOSE(CONTROL!$C$27, 0.0021, 0)</f>
        <v>111.9453</v>
      </c>
      <c r="C931" s="14">
        <f>111.511 * CHOOSE(CONTROL!$C$9, $D$9, 100%, $F$9) + CHOOSE(CONTROL!$C$27, 0.0021, 0)</f>
        <v>111.51309999999999</v>
      </c>
      <c r="D931" s="14">
        <f>111.511 * CHOOSE(CONTROL!$C$9, $D$9, 100%, $F$9) + CHOOSE(CONTROL!$C$27, 0.0021, 0)</f>
        <v>111.51309999999999</v>
      </c>
      <c r="E931" s="14">
        <f>111.3743 * CHOOSE(CONTROL!$C$9, $D$9, 100%, $F$9) + CHOOSE(CONTROL!$C$27, 0.0021, 0)</f>
        <v>111.3764</v>
      </c>
      <c r="F931" s="14">
        <f>111.3743 * CHOOSE(CONTROL!$C$9, $D$9, 100%, $F$9) + CHOOSE(CONTROL!$C$27, 0.0021, 0)</f>
        <v>111.3764</v>
      </c>
      <c r="G931" s="14">
        <f>111.6457 * CHOOSE(CONTROL!$C$9, $D$9, 100%, $F$9) + CHOOSE(CONTROL!$C$27, 0.0021, 0)</f>
        <v>111.6478</v>
      </c>
      <c r="H931" s="14">
        <f>111.511 * CHOOSE(CONTROL!$C$9, $D$9, 100%, $F$9) + CHOOSE(CONTROL!$C$27, 0.0021, 0)</f>
        <v>111.51309999999999</v>
      </c>
      <c r="I931" s="14">
        <f>111.511 * CHOOSE(CONTROL!$C$9, $D$9, 100%, $F$9) + CHOOSE(CONTROL!$C$27, 0.0021, 0)</f>
        <v>111.51309999999999</v>
      </c>
      <c r="J931" s="14">
        <f>111.511 * CHOOSE(CONTROL!$C$9, $D$9, 100%, $F$9) + CHOOSE(CONTROL!$C$27, 0.0021, 0)</f>
        <v>111.51309999999999</v>
      </c>
      <c r="K931" s="14">
        <f>111.511 * CHOOSE(CONTROL!$C$9, $D$9, 100%, $F$9) + CHOOSE(CONTROL!$C$27, 0.0021, 0)</f>
        <v>111.51309999999999</v>
      </c>
      <c r="L931" s="14"/>
    </row>
    <row r="932" spans="1:12" ht="15.75" x14ac:dyDescent="0.25">
      <c r="A932" s="32">
        <v>69306</v>
      </c>
      <c r="B932" s="14">
        <f>108.2986 * CHOOSE(CONTROL!$C$9, $D$9, 100%, $F$9) + CHOOSE(CONTROL!$C$27, 0.0021, 0)</f>
        <v>108.30069999999999</v>
      </c>
      <c r="C932" s="14">
        <f>107.8664 * CHOOSE(CONTROL!$C$9, $D$9, 100%, $F$9) + CHOOSE(CONTROL!$C$27, 0.0021, 0)</f>
        <v>107.8685</v>
      </c>
      <c r="D932" s="14">
        <f>107.8664 * CHOOSE(CONTROL!$C$9, $D$9, 100%, $F$9) + CHOOSE(CONTROL!$C$27, 0.0021, 0)</f>
        <v>107.8685</v>
      </c>
      <c r="E932" s="14">
        <f>107.7297 * CHOOSE(CONTROL!$C$9, $D$9, 100%, $F$9) + CHOOSE(CONTROL!$C$27, 0.0021, 0)</f>
        <v>107.73179999999999</v>
      </c>
      <c r="F932" s="14">
        <f>107.7297 * CHOOSE(CONTROL!$C$9, $D$9, 100%, $F$9) + CHOOSE(CONTROL!$C$27, 0.0021, 0)</f>
        <v>107.73179999999999</v>
      </c>
      <c r="G932" s="14">
        <f>108.0011 * CHOOSE(CONTROL!$C$9, $D$9, 100%, $F$9) + CHOOSE(CONTROL!$C$27, 0.0021, 0)</f>
        <v>108.00319999999999</v>
      </c>
      <c r="H932" s="14">
        <f>107.8664 * CHOOSE(CONTROL!$C$9, $D$9, 100%, $F$9) + CHOOSE(CONTROL!$C$27, 0.0021, 0)</f>
        <v>107.8685</v>
      </c>
      <c r="I932" s="14">
        <f>107.8664 * CHOOSE(CONTROL!$C$9, $D$9, 100%, $F$9) + CHOOSE(CONTROL!$C$27, 0.0021, 0)</f>
        <v>107.8685</v>
      </c>
      <c r="J932" s="14">
        <f>107.8664 * CHOOSE(CONTROL!$C$9, $D$9, 100%, $F$9) + CHOOSE(CONTROL!$C$27, 0.0021, 0)</f>
        <v>107.8685</v>
      </c>
      <c r="K932" s="14">
        <f>107.8664 * CHOOSE(CONTROL!$C$9, $D$9, 100%, $F$9) + CHOOSE(CONTROL!$C$27, 0.0021, 0)</f>
        <v>107.8685</v>
      </c>
      <c r="L932" s="14"/>
    </row>
    <row r="933" spans="1:12" ht="15.75" x14ac:dyDescent="0.25">
      <c r="A933" s="32">
        <v>69337</v>
      </c>
      <c r="B933" s="14">
        <f>104.6328 * CHOOSE(CONTROL!$C$9, $D$9, 100%, $F$9) + CHOOSE(CONTROL!$C$27, 0.0021, 0)</f>
        <v>104.6349</v>
      </c>
      <c r="C933" s="14">
        <f>104.2006 * CHOOSE(CONTROL!$C$9, $D$9, 100%, $F$9) + CHOOSE(CONTROL!$C$27, 0.0021, 0)</f>
        <v>104.20269999999999</v>
      </c>
      <c r="D933" s="14">
        <f>104.2006 * CHOOSE(CONTROL!$C$9, $D$9, 100%, $F$9) + CHOOSE(CONTROL!$C$27, 0.0021, 0)</f>
        <v>104.20269999999999</v>
      </c>
      <c r="E933" s="14">
        <f>104.0639 * CHOOSE(CONTROL!$C$9, $D$9, 100%, $F$9) + CHOOSE(CONTROL!$C$27, 0.0021, 0)</f>
        <v>104.066</v>
      </c>
      <c r="F933" s="14">
        <f>104.0639 * CHOOSE(CONTROL!$C$9, $D$9, 100%, $F$9) + CHOOSE(CONTROL!$C$27, 0.0021, 0)</f>
        <v>104.066</v>
      </c>
      <c r="G933" s="14">
        <f>104.3353 * CHOOSE(CONTROL!$C$9, $D$9, 100%, $F$9) + CHOOSE(CONTROL!$C$27, 0.0021, 0)</f>
        <v>104.3374</v>
      </c>
      <c r="H933" s="14">
        <f>104.2006 * CHOOSE(CONTROL!$C$9, $D$9, 100%, $F$9) + CHOOSE(CONTROL!$C$27, 0.0021, 0)</f>
        <v>104.20269999999999</v>
      </c>
      <c r="I933" s="14">
        <f>104.2006 * CHOOSE(CONTROL!$C$9, $D$9, 100%, $F$9) + CHOOSE(CONTROL!$C$27, 0.0021, 0)</f>
        <v>104.20269999999999</v>
      </c>
      <c r="J933" s="14">
        <f>104.2006 * CHOOSE(CONTROL!$C$9, $D$9, 100%, $F$9) + CHOOSE(CONTROL!$C$27, 0.0021, 0)</f>
        <v>104.20269999999999</v>
      </c>
      <c r="K933" s="14">
        <f>104.2006 * CHOOSE(CONTROL!$C$9, $D$9, 100%, $F$9) + CHOOSE(CONTROL!$C$27, 0.0021, 0)</f>
        <v>104.20269999999999</v>
      </c>
      <c r="L933" s="14"/>
    </row>
    <row r="934" spans="1:12" ht="15.75" x14ac:dyDescent="0.25">
      <c r="A934" s="32">
        <v>69367</v>
      </c>
      <c r="B934" s="14">
        <f>103.9036 * CHOOSE(CONTROL!$C$9, $D$9, 100%, $F$9) + CHOOSE(CONTROL!$C$27, 0.0021, 0)</f>
        <v>103.9057</v>
      </c>
      <c r="C934" s="14">
        <f>103.4714 * CHOOSE(CONTROL!$C$9, $D$9, 100%, $F$9) + CHOOSE(CONTROL!$C$27, 0.0021, 0)</f>
        <v>103.4735</v>
      </c>
      <c r="D934" s="14">
        <f>103.4714 * CHOOSE(CONTROL!$C$9, $D$9, 100%, $F$9) + CHOOSE(CONTROL!$C$27, 0.0021, 0)</f>
        <v>103.4735</v>
      </c>
      <c r="E934" s="14">
        <f>103.3347 * CHOOSE(CONTROL!$C$9, $D$9, 100%, $F$9) + CHOOSE(CONTROL!$C$27, 0.0021, 0)</f>
        <v>103.3368</v>
      </c>
      <c r="F934" s="14">
        <f>103.3347 * CHOOSE(CONTROL!$C$9, $D$9, 100%, $F$9) + CHOOSE(CONTROL!$C$27, 0.0021, 0)</f>
        <v>103.3368</v>
      </c>
      <c r="G934" s="14">
        <f>103.6061 * CHOOSE(CONTROL!$C$9, $D$9, 100%, $F$9) + CHOOSE(CONTROL!$C$27, 0.0021, 0)</f>
        <v>103.6082</v>
      </c>
      <c r="H934" s="14">
        <f>103.4714 * CHOOSE(CONTROL!$C$9, $D$9, 100%, $F$9) + CHOOSE(CONTROL!$C$27, 0.0021, 0)</f>
        <v>103.4735</v>
      </c>
      <c r="I934" s="14">
        <f>103.4714 * CHOOSE(CONTROL!$C$9, $D$9, 100%, $F$9) + CHOOSE(CONTROL!$C$27, 0.0021, 0)</f>
        <v>103.4735</v>
      </c>
      <c r="J934" s="14">
        <f>103.4714 * CHOOSE(CONTROL!$C$9, $D$9, 100%, $F$9) + CHOOSE(CONTROL!$C$27, 0.0021, 0)</f>
        <v>103.4735</v>
      </c>
      <c r="K934" s="14">
        <f>103.4714 * CHOOSE(CONTROL!$C$9, $D$9, 100%, $F$9) + CHOOSE(CONTROL!$C$27, 0.0021, 0)</f>
        <v>103.4735</v>
      </c>
      <c r="L934" s="14"/>
    </row>
    <row r="935" spans="1:12" ht="15.75" x14ac:dyDescent="0.25">
      <c r="A935" s="32">
        <v>69398</v>
      </c>
      <c r="B935" s="14">
        <f>100.8883 * CHOOSE(CONTROL!$C$9, $D$9, 100%, $F$9) + CHOOSE(CONTROL!$C$27, 0.0021, 0)</f>
        <v>100.8904</v>
      </c>
      <c r="C935" s="14">
        <f>100.4561 * CHOOSE(CONTROL!$C$9, $D$9, 100%, $F$9) + CHOOSE(CONTROL!$C$27, 0.0021, 0)</f>
        <v>100.45820000000001</v>
      </c>
      <c r="D935" s="14">
        <f>100.4561 * CHOOSE(CONTROL!$C$9, $D$9, 100%, $F$9) + CHOOSE(CONTROL!$C$27, 0.0021, 0)</f>
        <v>100.45820000000001</v>
      </c>
      <c r="E935" s="14">
        <f>100.3194 * CHOOSE(CONTROL!$C$9, $D$9, 100%, $F$9) + CHOOSE(CONTROL!$C$27, 0.0021, 0)</f>
        <v>100.3215</v>
      </c>
      <c r="F935" s="14">
        <f>100.3194 * CHOOSE(CONTROL!$C$9, $D$9, 100%, $F$9) + CHOOSE(CONTROL!$C$27, 0.0021, 0)</f>
        <v>100.3215</v>
      </c>
      <c r="G935" s="14">
        <f>100.5908 * CHOOSE(CONTROL!$C$9, $D$9, 100%, $F$9) + CHOOSE(CONTROL!$C$27, 0.0021, 0)</f>
        <v>100.5929</v>
      </c>
      <c r="H935" s="14">
        <f>100.4561 * CHOOSE(CONTROL!$C$9, $D$9, 100%, $F$9) + CHOOSE(CONTROL!$C$27, 0.0021, 0)</f>
        <v>100.45820000000001</v>
      </c>
      <c r="I935" s="14">
        <f>100.4561 * CHOOSE(CONTROL!$C$9, $D$9, 100%, $F$9) + CHOOSE(CONTROL!$C$27, 0.0021, 0)</f>
        <v>100.45820000000001</v>
      </c>
      <c r="J935" s="14">
        <f>100.4561 * CHOOSE(CONTROL!$C$9, $D$9, 100%, $F$9) + CHOOSE(CONTROL!$C$27, 0.0021, 0)</f>
        <v>100.45820000000001</v>
      </c>
      <c r="K935" s="14">
        <f>100.4561 * CHOOSE(CONTROL!$C$9, $D$9, 100%, $F$9) + CHOOSE(CONTROL!$C$27, 0.0021, 0)</f>
        <v>100.45820000000001</v>
      </c>
      <c r="L935" s="14"/>
    </row>
    <row r="936" spans="1:12" ht="15.75" x14ac:dyDescent="0.25">
      <c r="A936" s="32">
        <v>69429</v>
      </c>
      <c r="B936" s="14">
        <f>100.3013 * CHOOSE(CONTROL!$C$9, $D$9, 100%, $F$9) + CHOOSE(CONTROL!$C$27, 0.0021, 0)</f>
        <v>100.3034</v>
      </c>
      <c r="C936" s="14">
        <f>99.869 * CHOOSE(CONTROL!$C$9, $D$9, 100%, $F$9) + CHOOSE(CONTROL!$C$27, 0.0021, 0)</f>
        <v>99.871099999999998</v>
      </c>
      <c r="D936" s="14">
        <f>99.869 * CHOOSE(CONTROL!$C$9, $D$9, 100%, $F$9) + CHOOSE(CONTROL!$C$27, 0.0021, 0)</f>
        <v>99.871099999999998</v>
      </c>
      <c r="E936" s="14">
        <f>99.7324 * CHOOSE(CONTROL!$C$9, $D$9, 100%, $F$9) + CHOOSE(CONTROL!$C$27, 0.0021, 0)</f>
        <v>99.734499999999997</v>
      </c>
      <c r="F936" s="14">
        <f>99.7324 * CHOOSE(CONTROL!$C$9, $D$9, 100%, $F$9) + CHOOSE(CONTROL!$C$27, 0.0021, 0)</f>
        <v>99.734499999999997</v>
      </c>
      <c r="G936" s="14">
        <f>100.0037 * CHOOSE(CONTROL!$C$9, $D$9, 100%, $F$9) + CHOOSE(CONTROL!$C$27, 0.0021, 0)</f>
        <v>100.00579999999999</v>
      </c>
      <c r="H936" s="14">
        <f>99.869 * CHOOSE(CONTROL!$C$9, $D$9, 100%, $F$9) + CHOOSE(CONTROL!$C$27, 0.0021, 0)</f>
        <v>99.871099999999998</v>
      </c>
      <c r="I936" s="14">
        <f>99.869 * CHOOSE(CONTROL!$C$9, $D$9, 100%, $F$9) + CHOOSE(CONTROL!$C$27, 0.0021, 0)</f>
        <v>99.871099999999998</v>
      </c>
      <c r="J936" s="14">
        <f>99.869 * CHOOSE(CONTROL!$C$9, $D$9, 100%, $F$9) + CHOOSE(CONTROL!$C$27, 0.0021, 0)</f>
        <v>99.871099999999998</v>
      </c>
      <c r="K936" s="14">
        <f>99.869 * CHOOSE(CONTROL!$C$9, $D$9, 100%, $F$9) + CHOOSE(CONTROL!$C$27, 0.0021, 0)</f>
        <v>99.871099999999998</v>
      </c>
      <c r="L936" s="14"/>
    </row>
    <row r="937" spans="1:12" ht="15.75" x14ac:dyDescent="0.25">
      <c r="A937" s="32">
        <v>69457</v>
      </c>
      <c r="B937" s="14">
        <f>100.0288 * CHOOSE(CONTROL!$C$9, $D$9, 100%, $F$9) + CHOOSE(CONTROL!$C$27, 0.0021, 0)</f>
        <v>100.0309</v>
      </c>
      <c r="C937" s="14">
        <f>99.5966 * CHOOSE(CONTROL!$C$9, $D$9, 100%, $F$9) + CHOOSE(CONTROL!$C$27, 0.0021, 0)</f>
        <v>99.598699999999994</v>
      </c>
      <c r="D937" s="14">
        <f>99.5966 * CHOOSE(CONTROL!$C$9, $D$9, 100%, $F$9) + CHOOSE(CONTROL!$C$27, 0.0021, 0)</f>
        <v>99.598699999999994</v>
      </c>
      <c r="E937" s="14">
        <f>99.4599 * CHOOSE(CONTROL!$C$9, $D$9, 100%, $F$9) + CHOOSE(CONTROL!$C$27, 0.0021, 0)</f>
        <v>99.462000000000003</v>
      </c>
      <c r="F937" s="14">
        <f>99.4599 * CHOOSE(CONTROL!$C$9, $D$9, 100%, $F$9) + CHOOSE(CONTROL!$C$27, 0.0021, 0)</f>
        <v>99.462000000000003</v>
      </c>
      <c r="G937" s="14">
        <f>99.7313 * CHOOSE(CONTROL!$C$9, $D$9, 100%, $F$9) + CHOOSE(CONTROL!$C$27, 0.0021, 0)</f>
        <v>99.733400000000003</v>
      </c>
      <c r="H937" s="14">
        <f>99.5966 * CHOOSE(CONTROL!$C$9, $D$9, 100%, $F$9) + CHOOSE(CONTROL!$C$27, 0.0021, 0)</f>
        <v>99.598699999999994</v>
      </c>
      <c r="I937" s="14">
        <f>99.5966 * CHOOSE(CONTROL!$C$9, $D$9, 100%, $F$9) + CHOOSE(CONTROL!$C$27, 0.0021, 0)</f>
        <v>99.598699999999994</v>
      </c>
      <c r="J937" s="14">
        <f>99.5966 * CHOOSE(CONTROL!$C$9, $D$9, 100%, $F$9) + CHOOSE(CONTROL!$C$27, 0.0021, 0)</f>
        <v>99.598699999999994</v>
      </c>
      <c r="K937" s="14">
        <f>99.5966 * CHOOSE(CONTROL!$C$9, $D$9, 100%, $F$9) + CHOOSE(CONTROL!$C$27, 0.0021, 0)</f>
        <v>99.598699999999994</v>
      </c>
      <c r="L937" s="14"/>
    </row>
    <row r="938" spans="1:12" ht="15.75" x14ac:dyDescent="0.25">
      <c r="A938" s="32">
        <v>69488</v>
      </c>
      <c r="B938" s="14">
        <f>105.1801 * CHOOSE(CONTROL!$C$9, $D$9, 100%, $F$9) + CHOOSE(CONTROL!$C$27, 0.0021, 0)</f>
        <v>105.18219999999999</v>
      </c>
      <c r="C938" s="14">
        <f>104.7479 * CHOOSE(CONTROL!$C$9, $D$9, 100%, $F$9) + CHOOSE(CONTROL!$C$27, 0.0021, 0)</f>
        <v>104.75</v>
      </c>
      <c r="D938" s="14">
        <f>104.7479 * CHOOSE(CONTROL!$C$9, $D$9, 100%, $F$9) + CHOOSE(CONTROL!$C$27, 0.0021, 0)</f>
        <v>104.75</v>
      </c>
      <c r="E938" s="14">
        <f>104.6112 * CHOOSE(CONTROL!$C$9, $D$9, 100%, $F$9) + CHOOSE(CONTROL!$C$27, 0.0021, 0)</f>
        <v>104.6133</v>
      </c>
      <c r="F938" s="14">
        <f>104.6112 * CHOOSE(CONTROL!$C$9, $D$9, 100%, $F$9) + CHOOSE(CONTROL!$C$27, 0.0021, 0)</f>
        <v>104.6133</v>
      </c>
      <c r="G938" s="14">
        <f>104.8826 * CHOOSE(CONTROL!$C$9, $D$9, 100%, $F$9) + CHOOSE(CONTROL!$C$27, 0.0021, 0)</f>
        <v>104.8847</v>
      </c>
      <c r="H938" s="14">
        <f>104.7479 * CHOOSE(CONTROL!$C$9, $D$9, 100%, $F$9) + CHOOSE(CONTROL!$C$27, 0.0021, 0)</f>
        <v>104.75</v>
      </c>
      <c r="I938" s="14">
        <f>104.7479 * CHOOSE(CONTROL!$C$9, $D$9, 100%, $F$9) + CHOOSE(CONTROL!$C$27, 0.0021, 0)</f>
        <v>104.75</v>
      </c>
      <c r="J938" s="14">
        <f>104.7479 * CHOOSE(CONTROL!$C$9, $D$9, 100%, $F$9) + CHOOSE(CONTROL!$C$27, 0.0021, 0)</f>
        <v>104.75</v>
      </c>
      <c r="K938" s="14">
        <f>104.7479 * CHOOSE(CONTROL!$C$9, $D$9, 100%, $F$9) + CHOOSE(CONTROL!$C$27, 0.0021, 0)</f>
        <v>104.75</v>
      </c>
      <c r="L938" s="14"/>
    </row>
    <row r="939" spans="1:12" ht="15.75" x14ac:dyDescent="0.25">
      <c r="A939" s="32">
        <v>69518</v>
      </c>
      <c r="B939" s="14">
        <f>111.8601 * CHOOSE(CONTROL!$C$9, $D$9, 100%, $F$9) + CHOOSE(CONTROL!$C$27, 0.0021, 0)</f>
        <v>111.8622</v>
      </c>
      <c r="C939" s="14">
        <f>111.4278 * CHOOSE(CONTROL!$C$9, $D$9, 100%, $F$9) + CHOOSE(CONTROL!$C$27, 0.0021, 0)</f>
        <v>111.4299</v>
      </c>
      <c r="D939" s="14">
        <f>111.4278 * CHOOSE(CONTROL!$C$9, $D$9, 100%, $F$9) + CHOOSE(CONTROL!$C$27, 0.0021, 0)</f>
        <v>111.4299</v>
      </c>
      <c r="E939" s="14">
        <f>111.2912 * CHOOSE(CONTROL!$C$9, $D$9, 100%, $F$9) + CHOOSE(CONTROL!$C$27, 0.0021, 0)</f>
        <v>111.2933</v>
      </c>
      <c r="F939" s="14">
        <f>111.2912 * CHOOSE(CONTROL!$C$9, $D$9, 100%, $F$9) + CHOOSE(CONTROL!$C$27, 0.0021, 0)</f>
        <v>111.2933</v>
      </c>
      <c r="G939" s="14">
        <f>111.5625 * CHOOSE(CONTROL!$C$9, $D$9, 100%, $F$9) + CHOOSE(CONTROL!$C$27, 0.0021, 0)</f>
        <v>111.5646</v>
      </c>
      <c r="H939" s="14">
        <f>111.4278 * CHOOSE(CONTROL!$C$9, $D$9, 100%, $F$9) + CHOOSE(CONTROL!$C$27, 0.0021, 0)</f>
        <v>111.4299</v>
      </c>
      <c r="I939" s="14">
        <f>111.4278 * CHOOSE(CONTROL!$C$9, $D$9, 100%, $F$9) + CHOOSE(CONTROL!$C$27, 0.0021, 0)</f>
        <v>111.4299</v>
      </c>
      <c r="J939" s="14">
        <f>111.4278 * CHOOSE(CONTROL!$C$9, $D$9, 100%, $F$9) + CHOOSE(CONTROL!$C$27, 0.0021, 0)</f>
        <v>111.4299</v>
      </c>
      <c r="K939" s="14">
        <f>111.4278 * CHOOSE(CONTROL!$C$9, $D$9, 100%, $F$9) + CHOOSE(CONTROL!$C$27, 0.0021, 0)</f>
        <v>111.4299</v>
      </c>
      <c r="L939" s="14"/>
    </row>
    <row r="940" spans="1:12" ht="15.75" x14ac:dyDescent="0.25">
      <c r="A940" s="32">
        <v>69549</v>
      </c>
      <c r="B940" s="14">
        <f>115.537 * CHOOSE(CONTROL!$C$9, $D$9, 100%, $F$9) + CHOOSE(CONTROL!$C$27, 0.0021, 0)</f>
        <v>115.5391</v>
      </c>
      <c r="C940" s="14">
        <f>115.1047 * CHOOSE(CONTROL!$C$9, $D$9, 100%, $F$9) + CHOOSE(CONTROL!$C$27, 0.0021, 0)</f>
        <v>115.10679999999999</v>
      </c>
      <c r="D940" s="14">
        <f>115.1047 * CHOOSE(CONTROL!$C$9, $D$9, 100%, $F$9) + CHOOSE(CONTROL!$C$27, 0.0021, 0)</f>
        <v>115.10679999999999</v>
      </c>
      <c r="E940" s="14">
        <f>114.968 * CHOOSE(CONTROL!$C$9, $D$9, 100%, $F$9) + CHOOSE(CONTROL!$C$27, 0.0021, 0)</f>
        <v>114.9701</v>
      </c>
      <c r="F940" s="14">
        <f>114.968 * CHOOSE(CONTROL!$C$9, $D$9, 100%, $F$9) + CHOOSE(CONTROL!$C$27, 0.0021, 0)</f>
        <v>114.9701</v>
      </c>
      <c r="G940" s="14">
        <f>115.2394 * CHOOSE(CONTROL!$C$9, $D$9, 100%, $F$9) + CHOOSE(CONTROL!$C$27, 0.0021, 0)</f>
        <v>115.2415</v>
      </c>
      <c r="H940" s="14">
        <f>115.1047 * CHOOSE(CONTROL!$C$9, $D$9, 100%, $F$9) + CHOOSE(CONTROL!$C$27, 0.0021, 0)</f>
        <v>115.10679999999999</v>
      </c>
      <c r="I940" s="14">
        <f>115.1047 * CHOOSE(CONTROL!$C$9, $D$9, 100%, $F$9) + CHOOSE(CONTROL!$C$27, 0.0021, 0)</f>
        <v>115.10679999999999</v>
      </c>
      <c r="J940" s="14">
        <f>115.1047 * CHOOSE(CONTROL!$C$9, $D$9, 100%, $F$9) + CHOOSE(CONTROL!$C$27, 0.0021, 0)</f>
        <v>115.10679999999999</v>
      </c>
      <c r="K940" s="14">
        <f>115.1047 * CHOOSE(CONTROL!$C$9, $D$9, 100%, $F$9) + CHOOSE(CONTROL!$C$27, 0.0021, 0)</f>
        <v>115.10679999999999</v>
      </c>
      <c r="L940" s="14"/>
    </row>
    <row r="941" spans="1:12" ht="15.75" x14ac:dyDescent="0.25">
      <c r="A941" s="32">
        <v>69579</v>
      </c>
      <c r="B941" s="14">
        <f>117.1687 * CHOOSE(CONTROL!$C$9, $D$9, 100%, $F$9) + CHOOSE(CONTROL!$C$27, 0.0021, 0)</f>
        <v>117.1708</v>
      </c>
      <c r="C941" s="14">
        <f>116.7364 * CHOOSE(CONTROL!$C$9, $D$9, 100%, $F$9) + CHOOSE(CONTROL!$C$27, 0.0021, 0)</f>
        <v>116.7385</v>
      </c>
      <c r="D941" s="14">
        <f>116.7364 * CHOOSE(CONTROL!$C$9, $D$9, 100%, $F$9) + CHOOSE(CONTROL!$C$27, 0.0021, 0)</f>
        <v>116.7385</v>
      </c>
      <c r="E941" s="14">
        <f>116.5998 * CHOOSE(CONTROL!$C$9, $D$9, 100%, $F$9) + CHOOSE(CONTROL!$C$27, 0.0021, 0)</f>
        <v>116.6019</v>
      </c>
      <c r="F941" s="14">
        <f>116.5998 * CHOOSE(CONTROL!$C$9, $D$9, 100%, $F$9) + CHOOSE(CONTROL!$C$27, 0.0021, 0)</f>
        <v>116.6019</v>
      </c>
      <c r="G941" s="14">
        <f>116.8712 * CHOOSE(CONTROL!$C$9, $D$9, 100%, $F$9) + CHOOSE(CONTROL!$C$27, 0.0021, 0)</f>
        <v>116.8733</v>
      </c>
      <c r="H941" s="14">
        <f>116.7364 * CHOOSE(CONTROL!$C$9, $D$9, 100%, $F$9) + CHOOSE(CONTROL!$C$27, 0.0021, 0)</f>
        <v>116.7385</v>
      </c>
      <c r="I941" s="14">
        <f>116.7364 * CHOOSE(CONTROL!$C$9, $D$9, 100%, $F$9) + CHOOSE(CONTROL!$C$27, 0.0021, 0)</f>
        <v>116.7385</v>
      </c>
      <c r="J941" s="14">
        <f>116.7364 * CHOOSE(CONTROL!$C$9, $D$9, 100%, $F$9) + CHOOSE(CONTROL!$C$27, 0.0021, 0)</f>
        <v>116.7385</v>
      </c>
      <c r="K941" s="14">
        <f>116.7364 * CHOOSE(CONTROL!$C$9, $D$9, 100%, $F$9) + CHOOSE(CONTROL!$C$27, 0.0021, 0)</f>
        <v>116.7385</v>
      </c>
      <c r="L941" s="14"/>
    </row>
    <row r="942" spans="1:12" ht="15.75" x14ac:dyDescent="0.25">
      <c r="A942" s="32">
        <v>69610</v>
      </c>
      <c r="B942" s="14">
        <f>116.6314 * CHOOSE(CONTROL!$C$9, $D$9, 100%, $F$9) + CHOOSE(CONTROL!$C$27, 0.0021, 0)</f>
        <v>116.6335</v>
      </c>
      <c r="C942" s="14">
        <f>116.1992 * CHOOSE(CONTROL!$C$9, $D$9, 100%, $F$9) + CHOOSE(CONTROL!$C$27, 0.0021, 0)</f>
        <v>116.2013</v>
      </c>
      <c r="D942" s="14">
        <f>116.1992 * CHOOSE(CONTROL!$C$9, $D$9, 100%, $F$9) + CHOOSE(CONTROL!$C$27, 0.0021, 0)</f>
        <v>116.2013</v>
      </c>
      <c r="E942" s="14">
        <f>116.0625 * CHOOSE(CONTROL!$C$9, $D$9, 100%, $F$9) + CHOOSE(CONTROL!$C$27, 0.0021, 0)</f>
        <v>116.0646</v>
      </c>
      <c r="F942" s="14">
        <f>116.0625 * CHOOSE(CONTROL!$C$9, $D$9, 100%, $F$9) + CHOOSE(CONTROL!$C$27, 0.0021, 0)</f>
        <v>116.0646</v>
      </c>
      <c r="G942" s="14">
        <f>116.3339 * CHOOSE(CONTROL!$C$9, $D$9, 100%, $F$9) + CHOOSE(CONTROL!$C$27, 0.0021, 0)</f>
        <v>116.336</v>
      </c>
      <c r="H942" s="14">
        <f>116.1992 * CHOOSE(CONTROL!$C$9, $D$9, 100%, $F$9) + CHOOSE(CONTROL!$C$27, 0.0021, 0)</f>
        <v>116.2013</v>
      </c>
      <c r="I942" s="14">
        <f>116.1992 * CHOOSE(CONTROL!$C$9, $D$9, 100%, $F$9) + CHOOSE(CONTROL!$C$27, 0.0021, 0)</f>
        <v>116.2013</v>
      </c>
      <c r="J942" s="14">
        <f>116.1992 * CHOOSE(CONTROL!$C$9, $D$9, 100%, $F$9) + CHOOSE(CONTROL!$C$27, 0.0021, 0)</f>
        <v>116.2013</v>
      </c>
      <c r="K942" s="14">
        <f>116.1992 * CHOOSE(CONTROL!$C$9, $D$9, 100%, $F$9) + CHOOSE(CONTROL!$C$27, 0.0021, 0)</f>
        <v>116.2013</v>
      </c>
      <c r="L942" s="14"/>
    </row>
    <row r="943" spans="1:12" ht="15.75" x14ac:dyDescent="0.25">
      <c r="A943" s="32">
        <v>69641</v>
      </c>
      <c r="B943" s="14">
        <f>113.9697 * CHOOSE(CONTROL!$C$9, $D$9, 100%, $F$9) + CHOOSE(CONTROL!$C$27, 0.0021, 0)</f>
        <v>113.9718</v>
      </c>
      <c r="C943" s="14">
        <f>113.5374 * CHOOSE(CONTROL!$C$9, $D$9, 100%, $F$9) + CHOOSE(CONTROL!$C$27, 0.0021, 0)</f>
        <v>113.5395</v>
      </c>
      <c r="D943" s="14">
        <f>113.5374 * CHOOSE(CONTROL!$C$9, $D$9, 100%, $F$9) + CHOOSE(CONTROL!$C$27, 0.0021, 0)</f>
        <v>113.5395</v>
      </c>
      <c r="E943" s="14">
        <f>113.4008 * CHOOSE(CONTROL!$C$9, $D$9, 100%, $F$9) + CHOOSE(CONTROL!$C$27, 0.0021, 0)</f>
        <v>113.4029</v>
      </c>
      <c r="F943" s="14">
        <f>113.4008 * CHOOSE(CONTROL!$C$9, $D$9, 100%, $F$9) + CHOOSE(CONTROL!$C$27, 0.0021, 0)</f>
        <v>113.4029</v>
      </c>
      <c r="G943" s="14">
        <f>113.6721 * CHOOSE(CONTROL!$C$9, $D$9, 100%, $F$9) + CHOOSE(CONTROL!$C$27, 0.0021, 0)</f>
        <v>113.6742</v>
      </c>
      <c r="H943" s="14">
        <f>113.5374 * CHOOSE(CONTROL!$C$9, $D$9, 100%, $F$9) + CHOOSE(CONTROL!$C$27, 0.0021, 0)</f>
        <v>113.5395</v>
      </c>
      <c r="I943" s="14">
        <f>113.5374 * CHOOSE(CONTROL!$C$9, $D$9, 100%, $F$9) + CHOOSE(CONTROL!$C$27, 0.0021, 0)</f>
        <v>113.5395</v>
      </c>
      <c r="J943" s="14">
        <f>113.5374 * CHOOSE(CONTROL!$C$9, $D$9, 100%, $F$9) + CHOOSE(CONTROL!$C$27, 0.0021, 0)</f>
        <v>113.5395</v>
      </c>
      <c r="K943" s="14">
        <f>113.5374 * CHOOSE(CONTROL!$C$9, $D$9, 100%, $F$9) + CHOOSE(CONTROL!$C$27, 0.0021, 0)</f>
        <v>113.5395</v>
      </c>
      <c r="L943" s="14"/>
    </row>
    <row r="944" spans="1:12" ht="15.75" x14ac:dyDescent="0.25">
      <c r="A944" s="32">
        <v>69671</v>
      </c>
      <c r="B944" s="14">
        <f>110.2577 * CHOOSE(CONTROL!$C$9, $D$9, 100%, $F$9) + CHOOSE(CONTROL!$C$27, 0.0021, 0)</f>
        <v>110.2598</v>
      </c>
      <c r="C944" s="14">
        <f>109.8255 * CHOOSE(CONTROL!$C$9, $D$9, 100%, $F$9) + CHOOSE(CONTROL!$C$27, 0.0021, 0)</f>
        <v>109.8276</v>
      </c>
      <c r="D944" s="14">
        <f>109.8255 * CHOOSE(CONTROL!$C$9, $D$9, 100%, $F$9) + CHOOSE(CONTROL!$C$27, 0.0021, 0)</f>
        <v>109.8276</v>
      </c>
      <c r="E944" s="14">
        <f>109.6888 * CHOOSE(CONTROL!$C$9, $D$9, 100%, $F$9) + CHOOSE(CONTROL!$C$27, 0.0021, 0)</f>
        <v>109.6909</v>
      </c>
      <c r="F944" s="14">
        <f>109.6888 * CHOOSE(CONTROL!$C$9, $D$9, 100%, $F$9) + CHOOSE(CONTROL!$C$27, 0.0021, 0)</f>
        <v>109.6909</v>
      </c>
      <c r="G944" s="14">
        <f>109.9602 * CHOOSE(CONTROL!$C$9, $D$9, 100%, $F$9) + CHOOSE(CONTROL!$C$27, 0.0021, 0)</f>
        <v>109.9623</v>
      </c>
      <c r="H944" s="14">
        <f>109.8255 * CHOOSE(CONTROL!$C$9, $D$9, 100%, $F$9) + CHOOSE(CONTROL!$C$27, 0.0021, 0)</f>
        <v>109.8276</v>
      </c>
      <c r="I944" s="14">
        <f>109.8255 * CHOOSE(CONTROL!$C$9, $D$9, 100%, $F$9) + CHOOSE(CONTROL!$C$27, 0.0021, 0)</f>
        <v>109.8276</v>
      </c>
      <c r="J944" s="14">
        <f>109.8255 * CHOOSE(CONTROL!$C$9, $D$9, 100%, $F$9) + CHOOSE(CONTROL!$C$27, 0.0021, 0)</f>
        <v>109.8276</v>
      </c>
      <c r="K944" s="14">
        <f>109.8255 * CHOOSE(CONTROL!$C$9, $D$9, 100%, $F$9) + CHOOSE(CONTROL!$C$27, 0.0021, 0)</f>
        <v>109.8276</v>
      </c>
      <c r="L944" s="14"/>
    </row>
    <row r="945" spans="1:12" ht="15.75" x14ac:dyDescent="0.25">
      <c r="A945" s="32">
        <v>69702</v>
      </c>
      <c r="B945" s="14">
        <f>106.5242 * CHOOSE(CONTROL!$C$9, $D$9, 100%, $F$9) + CHOOSE(CONTROL!$C$27, 0.0021, 0)</f>
        <v>106.52629999999999</v>
      </c>
      <c r="C945" s="14">
        <f>106.0919 * CHOOSE(CONTROL!$C$9, $D$9, 100%, $F$9) + CHOOSE(CONTROL!$C$27, 0.0021, 0)</f>
        <v>106.09399999999999</v>
      </c>
      <c r="D945" s="14">
        <f>106.0919 * CHOOSE(CONTROL!$C$9, $D$9, 100%, $F$9) + CHOOSE(CONTROL!$C$27, 0.0021, 0)</f>
        <v>106.09399999999999</v>
      </c>
      <c r="E945" s="14">
        <f>105.9553 * CHOOSE(CONTROL!$C$9, $D$9, 100%, $F$9) + CHOOSE(CONTROL!$C$27, 0.0021, 0)</f>
        <v>105.95739999999999</v>
      </c>
      <c r="F945" s="14">
        <f>105.9553 * CHOOSE(CONTROL!$C$9, $D$9, 100%, $F$9) + CHOOSE(CONTROL!$C$27, 0.0021, 0)</f>
        <v>105.95739999999999</v>
      </c>
      <c r="G945" s="14">
        <f>106.2266 * CHOOSE(CONTROL!$C$9, $D$9, 100%, $F$9) + CHOOSE(CONTROL!$C$27, 0.0021, 0)</f>
        <v>106.2287</v>
      </c>
      <c r="H945" s="14">
        <f>106.0919 * CHOOSE(CONTROL!$C$9, $D$9, 100%, $F$9) + CHOOSE(CONTROL!$C$27, 0.0021, 0)</f>
        <v>106.09399999999999</v>
      </c>
      <c r="I945" s="14">
        <f>106.0919 * CHOOSE(CONTROL!$C$9, $D$9, 100%, $F$9) + CHOOSE(CONTROL!$C$27, 0.0021, 0)</f>
        <v>106.09399999999999</v>
      </c>
      <c r="J945" s="14">
        <f>106.0919 * CHOOSE(CONTROL!$C$9, $D$9, 100%, $F$9) + CHOOSE(CONTROL!$C$27, 0.0021, 0)</f>
        <v>106.09399999999999</v>
      </c>
      <c r="K945" s="14">
        <f>106.0919 * CHOOSE(CONTROL!$C$9, $D$9, 100%, $F$9) + CHOOSE(CONTROL!$C$27, 0.0021, 0)</f>
        <v>106.09399999999999</v>
      </c>
      <c r="L945" s="14"/>
    </row>
    <row r="946" spans="1:12" ht="15.75" x14ac:dyDescent="0.25">
      <c r="A946" s="32">
        <v>69732</v>
      </c>
      <c r="B946" s="14">
        <f>105.7815 * CHOOSE(CONTROL!$C$9, $D$9, 100%, $F$9) + CHOOSE(CONTROL!$C$27, 0.0021, 0)</f>
        <v>105.78359999999999</v>
      </c>
      <c r="C946" s="14">
        <f>105.3492 * CHOOSE(CONTROL!$C$9, $D$9, 100%, $F$9) + CHOOSE(CONTROL!$C$27, 0.0021, 0)</f>
        <v>105.35129999999999</v>
      </c>
      <c r="D946" s="14">
        <f>105.3492 * CHOOSE(CONTROL!$C$9, $D$9, 100%, $F$9) + CHOOSE(CONTROL!$C$27, 0.0021, 0)</f>
        <v>105.35129999999999</v>
      </c>
      <c r="E946" s="14">
        <f>105.2126 * CHOOSE(CONTROL!$C$9, $D$9, 100%, $F$9) + CHOOSE(CONTROL!$C$27, 0.0021, 0)</f>
        <v>105.21469999999999</v>
      </c>
      <c r="F946" s="14">
        <f>105.2126 * CHOOSE(CONTROL!$C$9, $D$9, 100%, $F$9) + CHOOSE(CONTROL!$C$27, 0.0021, 0)</f>
        <v>105.21469999999999</v>
      </c>
      <c r="G946" s="14">
        <f>105.484 * CHOOSE(CONTROL!$C$9, $D$9, 100%, $F$9) + CHOOSE(CONTROL!$C$27, 0.0021, 0)</f>
        <v>105.48609999999999</v>
      </c>
      <c r="H946" s="14">
        <f>105.3492 * CHOOSE(CONTROL!$C$9, $D$9, 100%, $F$9) + CHOOSE(CONTROL!$C$27, 0.0021, 0)</f>
        <v>105.35129999999999</v>
      </c>
      <c r="I946" s="14">
        <f>105.3492 * CHOOSE(CONTROL!$C$9, $D$9, 100%, $F$9) + CHOOSE(CONTROL!$C$27, 0.0021, 0)</f>
        <v>105.35129999999999</v>
      </c>
      <c r="J946" s="14">
        <f>105.3492 * CHOOSE(CONTROL!$C$9, $D$9, 100%, $F$9) + CHOOSE(CONTROL!$C$27, 0.0021, 0)</f>
        <v>105.35129999999999</v>
      </c>
      <c r="K946" s="14">
        <f>105.3492 * CHOOSE(CONTROL!$C$9, $D$9, 100%, $F$9) + CHOOSE(CONTROL!$C$27, 0.0021, 0)</f>
        <v>105.35129999999999</v>
      </c>
      <c r="L946" s="14"/>
    </row>
    <row r="947" spans="1:12" ht="15.75" x14ac:dyDescent="0.25">
      <c r="A947" s="32">
        <v>69763</v>
      </c>
      <c r="B947" s="14">
        <f>102.7104 * CHOOSE(CONTROL!$C$9, $D$9, 100%, $F$9) + CHOOSE(CONTROL!$C$27, 0.0021, 0)</f>
        <v>102.71250000000001</v>
      </c>
      <c r="C947" s="14">
        <f>102.2782 * CHOOSE(CONTROL!$C$9, $D$9, 100%, $F$9) + CHOOSE(CONTROL!$C$27, 0.0021, 0)</f>
        <v>102.2803</v>
      </c>
      <c r="D947" s="14">
        <f>102.2782 * CHOOSE(CONTROL!$C$9, $D$9, 100%, $F$9) + CHOOSE(CONTROL!$C$27, 0.0021, 0)</f>
        <v>102.2803</v>
      </c>
      <c r="E947" s="14">
        <f>102.1415 * CHOOSE(CONTROL!$C$9, $D$9, 100%, $F$9) + CHOOSE(CONTROL!$C$27, 0.0021, 0)</f>
        <v>102.14359999999999</v>
      </c>
      <c r="F947" s="14">
        <f>102.1415 * CHOOSE(CONTROL!$C$9, $D$9, 100%, $F$9) + CHOOSE(CONTROL!$C$27, 0.0021, 0)</f>
        <v>102.14359999999999</v>
      </c>
      <c r="G947" s="14">
        <f>102.4129 * CHOOSE(CONTROL!$C$9, $D$9, 100%, $F$9) + CHOOSE(CONTROL!$C$27, 0.0021, 0)</f>
        <v>102.41499999999999</v>
      </c>
      <c r="H947" s="14">
        <f>102.2782 * CHOOSE(CONTROL!$C$9, $D$9, 100%, $F$9) + CHOOSE(CONTROL!$C$27, 0.0021, 0)</f>
        <v>102.2803</v>
      </c>
      <c r="I947" s="14">
        <f>102.2782 * CHOOSE(CONTROL!$C$9, $D$9, 100%, $F$9) + CHOOSE(CONTROL!$C$27, 0.0021, 0)</f>
        <v>102.2803</v>
      </c>
      <c r="J947" s="14">
        <f>102.2782 * CHOOSE(CONTROL!$C$9, $D$9, 100%, $F$9) + CHOOSE(CONTROL!$C$27, 0.0021, 0)</f>
        <v>102.2803</v>
      </c>
      <c r="K947" s="14">
        <f>102.2782 * CHOOSE(CONTROL!$C$9, $D$9, 100%, $F$9) + CHOOSE(CONTROL!$C$27, 0.0021, 0)</f>
        <v>102.2803</v>
      </c>
      <c r="L947" s="14"/>
    </row>
    <row r="948" spans="1:12" ht="15.75" x14ac:dyDescent="0.25">
      <c r="A948" s="32">
        <v>69794</v>
      </c>
      <c r="B948" s="14">
        <f>102.1125 * CHOOSE(CONTROL!$C$9, $D$9, 100%, $F$9) + CHOOSE(CONTROL!$C$27, 0.0021, 0)</f>
        <v>102.1146</v>
      </c>
      <c r="C948" s="14">
        <f>101.6803 * CHOOSE(CONTROL!$C$9, $D$9, 100%, $F$9) + CHOOSE(CONTROL!$C$27, 0.0021, 0)</f>
        <v>101.6824</v>
      </c>
      <c r="D948" s="14">
        <f>101.6803 * CHOOSE(CONTROL!$C$9, $D$9, 100%, $F$9) + CHOOSE(CONTROL!$C$27, 0.0021, 0)</f>
        <v>101.6824</v>
      </c>
      <c r="E948" s="14">
        <f>101.5436 * CHOOSE(CONTROL!$C$9, $D$9, 100%, $F$9) + CHOOSE(CONTROL!$C$27, 0.0021, 0)</f>
        <v>101.5457</v>
      </c>
      <c r="F948" s="14">
        <f>101.5436 * CHOOSE(CONTROL!$C$9, $D$9, 100%, $F$9) + CHOOSE(CONTROL!$C$27, 0.0021, 0)</f>
        <v>101.5457</v>
      </c>
      <c r="G948" s="14">
        <f>101.815 * CHOOSE(CONTROL!$C$9, $D$9, 100%, $F$9) + CHOOSE(CONTROL!$C$27, 0.0021, 0)</f>
        <v>101.8171</v>
      </c>
      <c r="H948" s="14">
        <f>101.6803 * CHOOSE(CONTROL!$C$9, $D$9, 100%, $F$9) + CHOOSE(CONTROL!$C$27, 0.0021, 0)</f>
        <v>101.6824</v>
      </c>
      <c r="I948" s="14">
        <f>101.6803 * CHOOSE(CONTROL!$C$9, $D$9, 100%, $F$9) + CHOOSE(CONTROL!$C$27, 0.0021, 0)</f>
        <v>101.6824</v>
      </c>
      <c r="J948" s="14">
        <f>101.6803 * CHOOSE(CONTROL!$C$9, $D$9, 100%, $F$9) + CHOOSE(CONTROL!$C$27, 0.0021, 0)</f>
        <v>101.6824</v>
      </c>
      <c r="K948" s="14">
        <f>101.6803 * CHOOSE(CONTROL!$C$9, $D$9, 100%, $F$9) + CHOOSE(CONTROL!$C$27, 0.0021, 0)</f>
        <v>101.6824</v>
      </c>
      <c r="L948" s="14"/>
    </row>
    <row r="949" spans="1:12" ht="15.75" x14ac:dyDescent="0.25">
      <c r="A949" s="32">
        <v>69822</v>
      </c>
      <c r="B949" s="14">
        <f>101.8351 * CHOOSE(CONTROL!$C$9, $D$9, 100%, $F$9) + CHOOSE(CONTROL!$C$27, 0.0021, 0)</f>
        <v>101.8372</v>
      </c>
      <c r="C949" s="14">
        <f>101.4028 * CHOOSE(CONTROL!$C$9, $D$9, 100%, $F$9) + CHOOSE(CONTROL!$C$27, 0.0021, 0)</f>
        <v>101.4049</v>
      </c>
      <c r="D949" s="14">
        <f>101.4028 * CHOOSE(CONTROL!$C$9, $D$9, 100%, $F$9) + CHOOSE(CONTROL!$C$27, 0.0021, 0)</f>
        <v>101.4049</v>
      </c>
      <c r="E949" s="14">
        <f>101.2662 * CHOOSE(CONTROL!$C$9, $D$9, 100%, $F$9) + CHOOSE(CONTROL!$C$27, 0.0021, 0)</f>
        <v>101.2683</v>
      </c>
      <c r="F949" s="14">
        <f>101.2662 * CHOOSE(CONTROL!$C$9, $D$9, 100%, $F$9) + CHOOSE(CONTROL!$C$27, 0.0021, 0)</f>
        <v>101.2683</v>
      </c>
      <c r="G949" s="14">
        <f>101.5375 * CHOOSE(CONTROL!$C$9, $D$9, 100%, $F$9) + CHOOSE(CONTROL!$C$27, 0.0021, 0)</f>
        <v>101.53959999999999</v>
      </c>
      <c r="H949" s="14">
        <f>101.4028 * CHOOSE(CONTROL!$C$9, $D$9, 100%, $F$9) + CHOOSE(CONTROL!$C$27, 0.0021, 0)</f>
        <v>101.4049</v>
      </c>
      <c r="I949" s="14">
        <f>101.4028 * CHOOSE(CONTROL!$C$9, $D$9, 100%, $F$9) + CHOOSE(CONTROL!$C$27, 0.0021, 0)</f>
        <v>101.4049</v>
      </c>
      <c r="J949" s="14">
        <f>101.4028 * CHOOSE(CONTROL!$C$9, $D$9, 100%, $F$9) + CHOOSE(CONTROL!$C$27, 0.0021, 0)</f>
        <v>101.4049</v>
      </c>
      <c r="K949" s="14">
        <f>101.4028 * CHOOSE(CONTROL!$C$9, $D$9, 100%, $F$9) + CHOOSE(CONTROL!$C$27, 0.0021, 0)</f>
        <v>101.4049</v>
      </c>
      <c r="L949" s="14"/>
    </row>
    <row r="950" spans="1:12" ht="15.75" x14ac:dyDescent="0.25">
      <c r="A950" s="32">
        <v>69853</v>
      </c>
      <c r="B950" s="14">
        <f>107.0815 * CHOOSE(CONTROL!$C$9, $D$9, 100%, $F$9) + CHOOSE(CONTROL!$C$27, 0.0021, 0)</f>
        <v>107.0836</v>
      </c>
      <c r="C950" s="14">
        <f>106.6493 * CHOOSE(CONTROL!$C$9, $D$9, 100%, $F$9) + CHOOSE(CONTROL!$C$27, 0.0021, 0)</f>
        <v>106.6514</v>
      </c>
      <c r="D950" s="14">
        <f>106.6493 * CHOOSE(CONTROL!$C$9, $D$9, 100%, $F$9) + CHOOSE(CONTROL!$C$27, 0.0021, 0)</f>
        <v>106.6514</v>
      </c>
      <c r="E950" s="14">
        <f>106.5126 * CHOOSE(CONTROL!$C$9, $D$9, 100%, $F$9) + CHOOSE(CONTROL!$C$27, 0.0021, 0)</f>
        <v>106.5147</v>
      </c>
      <c r="F950" s="14">
        <f>106.5126 * CHOOSE(CONTROL!$C$9, $D$9, 100%, $F$9) + CHOOSE(CONTROL!$C$27, 0.0021, 0)</f>
        <v>106.5147</v>
      </c>
      <c r="G950" s="14">
        <f>106.784 * CHOOSE(CONTROL!$C$9, $D$9, 100%, $F$9) + CHOOSE(CONTROL!$C$27, 0.0021, 0)</f>
        <v>106.7861</v>
      </c>
      <c r="H950" s="14">
        <f>106.6493 * CHOOSE(CONTROL!$C$9, $D$9, 100%, $F$9) + CHOOSE(CONTROL!$C$27, 0.0021, 0)</f>
        <v>106.6514</v>
      </c>
      <c r="I950" s="14">
        <f>106.6493 * CHOOSE(CONTROL!$C$9, $D$9, 100%, $F$9) + CHOOSE(CONTROL!$C$27, 0.0021, 0)</f>
        <v>106.6514</v>
      </c>
      <c r="J950" s="14">
        <f>106.6493 * CHOOSE(CONTROL!$C$9, $D$9, 100%, $F$9) + CHOOSE(CONTROL!$C$27, 0.0021, 0)</f>
        <v>106.6514</v>
      </c>
      <c r="K950" s="14">
        <f>106.6493 * CHOOSE(CONTROL!$C$9, $D$9, 100%, $F$9) + CHOOSE(CONTROL!$C$27, 0.0021, 0)</f>
        <v>106.6514</v>
      </c>
      <c r="L950" s="14"/>
    </row>
    <row r="951" spans="1:12" ht="15.75" x14ac:dyDescent="0.25">
      <c r="A951" s="32">
        <v>69883</v>
      </c>
      <c r="B951" s="14">
        <f>113.885 * CHOOSE(CONTROL!$C$9, $D$9, 100%, $F$9) + CHOOSE(CONTROL!$C$27, 0.0021, 0)</f>
        <v>113.8871</v>
      </c>
      <c r="C951" s="14">
        <f>113.4527 * CHOOSE(CONTROL!$C$9, $D$9, 100%, $F$9) + CHOOSE(CONTROL!$C$27, 0.0021, 0)</f>
        <v>113.45479999999999</v>
      </c>
      <c r="D951" s="14">
        <f>113.4527 * CHOOSE(CONTROL!$C$9, $D$9, 100%, $F$9) + CHOOSE(CONTROL!$C$27, 0.0021, 0)</f>
        <v>113.45479999999999</v>
      </c>
      <c r="E951" s="14">
        <f>113.3161 * CHOOSE(CONTROL!$C$9, $D$9, 100%, $F$9) + CHOOSE(CONTROL!$C$27, 0.0021, 0)</f>
        <v>113.3182</v>
      </c>
      <c r="F951" s="14">
        <f>113.3161 * CHOOSE(CONTROL!$C$9, $D$9, 100%, $F$9) + CHOOSE(CONTROL!$C$27, 0.0021, 0)</f>
        <v>113.3182</v>
      </c>
      <c r="G951" s="14">
        <f>113.5874 * CHOOSE(CONTROL!$C$9, $D$9, 100%, $F$9) + CHOOSE(CONTROL!$C$27, 0.0021, 0)</f>
        <v>113.5895</v>
      </c>
      <c r="H951" s="14">
        <f>113.4527 * CHOOSE(CONTROL!$C$9, $D$9, 100%, $F$9) + CHOOSE(CONTROL!$C$27, 0.0021, 0)</f>
        <v>113.45479999999999</v>
      </c>
      <c r="I951" s="14">
        <f>113.4527 * CHOOSE(CONTROL!$C$9, $D$9, 100%, $F$9) + CHOOSE(CONTROL!$C$27, 0.0021, 0)</f>
        <v>113.45479999999999</v>
      </c>
      <c r="J951" s="14">
        <f>113.4527 * CHOOSE(CONTROL!$C$9, $D$9, 100%, $F$9) + CHOOSE(CONTROL!$C$27, 0.0021, 0)</f>
        <v>113.45479999999999</v>
      </c>
      <c r="K951" s="14">
        <f>113.4527 * CHOOSE(CONTROL!$C$9, $D$9, 100%, $F$9) + CHOOSE(CONTROL!$C$27, 0.0021, 0)</f>
        <v>113.45479999999999</v>
      </c>
      <c r="L951" s="14"/>
    </row>
    <row r="952" spans="1:12" ht="15.75" x14ac:dyDescent="0.25">
      <c r="A952" s="32">
        <v>69914</v>
      </c>
      <c r="B952" s="14">
        <f>117.6298 * CHOOSE(CONTROL!$C$9, $D$9, 100%, $F$9) + CHOOSE(CONTROL!$C$27, 0.0021, 0)</f>
        <v>117.6319</v>
      </c>
      <c r="C952" s="14">
        <f>117.1976 * CHOOSE(CONTROL!$C$9, $D$9, 100%, $F$9) + CHOOSE(CONTROL!$C$27, 0.0021, 0)</f>
        <v>117.19969999999999</v>
      </c>
      <c r="D952" s="14">
        <f>117.1976 * CHOOSE(CONTROL!$C$9, $D$9, 100%, $F$9) + CHOOSE(CONTROL!$C$27, 0.0021, 0)</f>
        <v>117.19969999999999</v>
      </c>
      <c r="E952" s="14">
        <f>117.0609 * CHOOSE(CONTROL!$C$9, $D$9, 100%, $F$9) + CHOOSE(CONTROL!$C$27, 0.0021, 0)</f>
        <v>117.063</v>
      </c>
      <c r="F952" s="14">
        <f>117.0609 * CHOOSE(CONTROL!$C$9, $D$9, 100%, $F$9) + CHOOSE(CONTROL!$C$27, 0.0021, 0)</f>
        <v>117.063</v>
      </c>
      <c r="G952" s="14">
        <f>117.3323 * CHOOSE(CONTROL!$C$9, $D$9, 100%, $F$9) + CHOOSE(CONTROL!$C$27, 0.0021, 0)</f>
        <v>117.3344</v>
      </c>
      <c r="H952" s="14">
        <f>117.1976 * CHOOSE(CONTROL!$C$9, $D$9, 100%, $F$9) + CHOOSE(CONTROL!$C$27, 0.0021, 0)</f>
        <v>117.19969999999999</v>
      </c>
      <c r="I952" s="14">
        <f>117.1976 * CHOOSE(CONTROL!$C$9, $D$9, 100%, $F$9) + CHOOSE(CONTROL!$C$27, 0.0021, 0)</f>
        <v>117.19969999999999</v>
      </c>
      <c r="J952" s="14">
        <f>117.1976 * CHOOSE(CONTROL!$C$9, $D$9, 100%, $F$9) + CHOOSE(CONTROL!$C$27, 0.0021, 0)</f>
        <v>117.19969999999999</v>
      </c>
      <c r="K952" s="14">
        <f>117.1976 * CHOOSE(CONTROL!$C$9, $D$9, 100%, $F$9) + CHOOSE(CONTROL!$C$27, 0.0021, 0)</f>
        <v>117.19969999999999</v>
      </c>
      <c r="L952" s="14"/>
    </row>
    <row r="953" spans="1:12" ht="15.75" x14ac:dyDescent="0.25">
      <c r="A953" s="32">
        <v>69944</v>
      </c>
      <c r="B953" s="14">
        <f>119.2917 * CHOOSE(CONTROL!$C$9, $D$9, 100%, $F$9) + CHOOSE(CONTROL!$C$27, 0.0021, 0)</f>
        <v>119.2938</v>
      </c>
      <c r="C953" s="14">
        <f>118.8594 * CHOOSE(CONTROL!$C$9, $D$9, 100%, $F$9) + CHOOSE(CONTROL!$C$27, 0.0021, 0)</f>
        <v>118.86149999999999</v>
      </c>
      <c r="D953" s="14">
        <f>118.8594 * CHOOSE(CONTROL!$C$9, $D$9, 100%, $F$9) + CHOOSE(CONTROL!$C$27, 0.0021, 0)</f>
        <v>118.86149999999999</v>
      </c>
      <c r="E953" s="14">
        <f>118.7228 * CHOOSE(CONTROL!$C$9, $D$9, 100%, $F$9) + CHOOSE(CONTROL!$C$27, 0.0021, 0)</f>
        <v>118.72490000000001</v>
      </c>
      <c r="F953" s="14">
        <f>118.7228 * CHOOSE(CONTROL!$C$9, $D$9, 100%, $F$9) + CHOOSE(CONTROL!$C$27, 0.0021, 0)</f>
        <v>118.72490000000001</v>
      </c>
      <c r="G953" s="14">
        <f>118.9942 * CHOOSE(CONTROL!$C$9, $D$9, 100%, $F$9) + CHOOSE(CONTROL!$C$27, 0.0021, 0)</f>
        <v>118.99630000000001</v>
      </c>
      <c r="H953" s="14">
        <f>118.8594 * CHOOSE(CONTROL!$C$9, $D$9, 100%, $F$9) + CHOOSE(CONTROL!$C$27, 0.0021, 0)</f>
        <v>118.86149999999999</v>
      </c>
      <c r="I953" s="14">
        <f>118.8594 * CHOOSE(CONTROL!$C$9, $D$9, 100%, $F$9) + CHOOSE(CONTROL!$C$27, 0.0021, 0)</f>
        <v>118.86149999999999</v>
      </c>
      <c r="J953" s="14">
        <f>118.8594 * CHOOSE(CONTROL!$C$9, $D$9, 100%, $F$9) + CHOOSE(CONTROL!$C$27, 0.0021, 0)</f>
        <v>118.86149999999999</v>
      </c>
      <c r="K953" s="14">
        <f>118.8594 * CHOOSE(CONTROL!$C$9, $D$9, 100%, $F$9) + CHOOSE(CONTROL!$C$27, 0.0021, 0)</f>
        <v>118.86149999999999</v>
      </c>
      <c r="L953" s="14"/>
    </row>
    <row r="954" spans="1:12" ht="15.75" x14ac:dyDescent="0.25">
      <c r="A954" s="32">
        <v>69975</v>
      </c>
      <c r="B954" s="14">
        <f>118.7445 * CHOOSE(CONTROL!$C$9, $D$9, 100%, $F$9) + CHOOSE(CONTROL!$C$27, 0.0021, 0)</f>
        <v>118.7466</v>
      </c>
      <c r="C954" s="14">
        <f>118.3123 * CHOOSE(CONTROL!$C$9, $D$9, 100%, $F$9) + CHOOSE(CONTROL!$C$27, 0.0021, 0)</f>
        <v>118.31439999999999</v>
      </c>
      <c r="D954" s="14">
        <f>118.3123 * CHOOSE(CONTROL!$C$9, $D$9, 100%, $F$9) + CHOOSE(CONTROL!$C$27, 0.0021, 0)</f>
        <v>118.31439999999999</v>
      </c>
      <c r="E954" s="14">
        <f>118.1756 * CHOOSE(CONTROL!$C$9, $D$9, 100%, $F$9) + CHOOSE(CONTROL!$C$27, 0.0021, 0)</f>
        <v>118.1777</v>
      </c>
      <c r="F954" s="14">
        <f>118.1756 * CHOOSE(CONTROL!$C$9, $D$9, 100%, $F$9) + CHOOSE(CONTROL!$C$27, 0.0021, 0)</f>
        <v>118.1777</v>
      </c>
      <c r="G954" s="14">
        <f>118.447 * CHOOSE(CONTROL!$C$9, $D$9, 100%, $F$9) + CHOOSE(CONTROL!$C$27, 0.0021, 0)</f>
        <v>118.4491</v>
      </c>
      <c r="H954" s="14">
        <f>118.3123 * CHOOSE(CONTROL!$C$9, $D$9, 100%, $F$9) + CHOOSE(CONTROL!$C$27, 0.0021, 0)</f>
        <v>118.31439999999999</v>
      </c>
      <c r="I954" s="14">
        <f>118.3123 * CHOOSE(CONTROL!$C$9, $D$9, 100%, $F$9) + CHOOSE(CONTROL!$C$27, 0.0021, 0)</f>
        <v>118.31439999999999</v>
      </c>
      <c r="J954" s="14">
        <f>118.3123 * CHOOSE(CONTROL!$C$9, $D$9, 100%, $F$9) + CHOOSE(CONTROL!$C$27, 0.0021, 0)</f>
        <v>118.31439999999999</v>
      </c>
      <c r="K954" s="14">
        <f>118.3123 * CHOOSE(CONTROL!$C$9, $D$9, 100%, $F$9) + CHOOSE(CONTROL!$C$27, 0.0021, 0)</f>
        <v>118.31439999999999</v>
      </c>
      <c r="L954" s="14"/>
    </row>
    <row r="955" spans="1:12" ht="15.75" x14ac:dyDescent="0.25">
      <c r="A955" s="32">
        <v>70006</v>
      </c>
      <c r="B955" s="14">
        <f>116.0336 * CHOOSE(CONTROL!$C$9, $D$9, 100%, $F$9) + CHOOSE(CONTROL!$C$27, 0.0021, 0)</f>
        <v>116.03570000000001</v>
      </c>
      <c r="C955" s="14">
        <f>115.6013 * CHOOSE(CONTROL!$C$9, $D$9, 100%, $F$9) + CHOOSE(CONTROL!$C$27, 0.0021, 0)</f>
        <v>115.60339999999999</v>
      </c>
      <c r="D955" s="14">
        <f>115.6013 * CHOOSE(CONTROL!$C$9, $D$9, 100%, $F$9) + CHOOSE(CONTROL!$C$27, 0.0021, 0)</f>
        <v>115.60339999999999</v>
      </c>
      <c r="E955" s="14">
        <f>115.4647 * CHOOSE(CONTROL!$C$9, $D$9, 100%, $F$9) + CHOOSE(CONTROL!$C$27, 0.0021, 0)</f>
        <v>115.46679999999999</v>
      </c>
      <c r="F955" s="14">
        <f>115.4647 * CHOOSE(CONTROL!$C$9, $D$9, 100%, $F$9) + CHOOSE(CONTROL!$C$27, 0.0021, 0)</f>
        <v>115.46679999999999</v>
      </c>
      <c r="G955" s="14">
        <f>115.736 * CHOOSE(CONTROL!$C$9, $D$9, 100%, $F$9) + CHOOSE(CONTROL!$C$27, 0.0021, 0)</f>
        <v>115.7381</v>
      </c>
      <c r="H955" s="14">
        <f>115.6013 * CHOOSE(CONTROL!$C$9, $D$9, 100%, $F$9) + CHOOSE(CONTROL!$C$27, 0.0021, 0)</f>
        <v>115.60339999999999</v>
      </c>
      <c r="I955" s="14">
        <f>115.6013 * CHOOSE(CONTROL!$C$9, $D$9, 100%, $F$9) + CHOOSE(CONTROL!$C$27, 0.0021, 0)</f>
        <v>115.60339999999999</v>
      </c>
      <c r="J955" s="14">
        <f>115.6013 * CHOOSE(CONTROL!$C$9, $D$9, 100%, $F$9) + CHOOSE(CONTROL!$C$27, 0.0021, 0)</f>
        <v>115.60339999999999</v>
      </c>
      <c r="K955" s="14">
        <f>115.6013 * CHOOSE(CONTROL!$C$9, $D$9, 100%, $F$9) + CHOOSE(CONTROL!$C$27, 0.0021, 0)</f>
        <v>115.60339999999999</v>
      </c>
      <c r="L955" s="14"/>
    </row>
    <row r="956" spans="1:12" ht="15.75" x14ac:dyDescent="0.25">
      <c r="A956" s="32">
        <v>70036</v>
      </c>
      <c r="B956" s="14">
        <f>112.253 * CHOOSE(CONTROL!$C$9, $D$9, 100%, $F$9) + CHOOSE(CONTROL!$C$27, 0.0021, 0)</f>
        <v>112.2551</v>
      </c>
      <c r="C956" s="14">
        <f>111.8208 * CHOOSE(CONTROL!$C$9, $D$9, 100%, $F$9) + CHOOSE(CONTROL!$C$27, 0.0021, 0)</f>
        <v>111.8229</v>
      </c>
      <c r="D956" s="14">
        <f>111.8208 * CHOOSE(CONTROL!$C$9, $D$9, 100%, $F$9) + CHOOSE(CONTROL!$C$27, 0.0021, 0)</f>
        <v>111.8229</v>
      </c>
      <c r="E956" s="14">
        <f>111.6841 * CHOOSE(CONTROL!$C$9, $D$9, 100%, $F$9) + CHOOSE(CONTROL!$C$27, 0.0021, 0)</f>
        <v>111.6862</v>
      </c>
      <c r="F956" s="14">
        <f>111.6841 * CHOOSE(CONTROL!$C$9, $D$9, 100%, $F$9) + CHOOSE(CONTROL!$C$27, 0.0021, 0)</f>
        <v>111.6862</v>
      </c>
      <c r="G956" s="14">
        <f>111.9555 * CHOOSE(CONTROL!$C$9, $D$9, 100%, $F$9) + CHOOSE(CONTROL!$C$27, 0.0021, 0)</f>
        <v>111.9576</v>
      </c>
      <c r="H956" s="14">
        <f>111.8208 * CHOOSE(CONTROL!$C$9, $D$9, 100%, $F$9) + CHOOSE(CONTROL!$C$27, 0.0021, 0)</f>
        <v>111.8229</v>
      </c>
      <c r="I956" s="14">
        <f>111.8208 * CHOOSE(CONTROL!$C$9, $D$9, 100%, $F$9) + CHOOSE(CONTROL!$C$27, 0.0021, 0)</f>
        <v>111.8229</v>
      </c>
      <c r="J956" s="14">
        <f>111.8208 * CHOOSE(CONTROL!$C$9, $D$9, 100%, $F$9) + CHOOSE(CONTROL!$C$27, 0.0021, 0)</f>
        <v>111.8229</v>
      </c>
      <c r="K956" s="14">
        <f>111.8208 * CHOOSE(CONTROL!$C$9, $D$9, 100%, $F$9) + CHOOSE(CONTROL!$C$27, 0.0021, 0)</f>
        <v>111.8229</v>
      </c>
      <c r="L956" s="14"/>
    </row>
    <row r="957" spans="1:12" ht="15.75" x14ac:dyDescent="0.25">
      <c r="A957" s="32">
        <v>70067</v>
      </c>
      <c r="B957" s="14">
        <f>108.4504 * CHOOSE(CONTROL!$C$9, $D$9, 100%, $F$9) + CHOOSE(CONTROL!$C$27, 0.0021, 0)</f>
        <v>108.4525</v>
      </c>
      <c r="C957" s="14">
        <f>108.0182 * CHOOSE(CONTROL!$C$9, $D$9, 100%, $F$9) + CHOOSE(CONTROL!$C$27, 0.0021, 0)</f>
        <v>108.02029999999999</v>
      </c>
      <c r="D957" s="14">
        <f>108.0182 * CHOOSE(CONTROL!$C$9, $D$9, 100%, $F$9) + CHOOSE(CONTROL!$C$27, 0.0021, 0)</f>
        <v>108.02029999999999</v>
      </c>
      <c r="E957" s="14">
        <f>107.8815 * CHOOSE(CONTROL!$C$9, $D$9, 100%, $F$9) + CHOOSE(CONTROL!$C$27, 0.0021, 0)</f>
        <v>107.8836</v>
      </c>
      <c r="F957" s="14">
        <f>107.8815 * CHOOSE(CONTROL!$C$9, $D$9, 100%, $F$9) + CHOOSE(CONTROL!$C$27, 0.0021, 0)</f>
        <v>107.8836</v>
      </c>
      <c r="G957" s="14">
        <f>108.1529 * CHOOSE(CONTROL!$C$9, $D$9, 100%, $F$9) + CHOOSE(CONTROL!$C$27, 0.0021, 0)</f>
        <v>108.155</v>
      </c>
      <c r="H957" s="14">
        <f>108.0182 * CHOOSE(CONTROL!$C$9, $D$9, 100%, $F$9) + CHOOSE(CONTROL!$C$27, 0.0021, 0)</f>
        <v>108.02029999999999</v>
      </c>
      <c r="I957" s="14">
        <f>108.0182 * CHOOSE(CONTROL!$C$9, $D$9, 100%, $F$9) + CHOOSE(CONTROL!$C$27, 0.0021, 0)</f>
        <v>108.02029999999999</v>
      </c>
      <c r="J957" s="14">
        <f>108.0182 * CHOOSE(CONTROL!$C$9, $D$9, 100%, $F$9) + CHOOSE(CONTROL!$C$27, 0.0021, 0)</f>
        <v>108.02029999999999</v>
      </c>
      <c r="K957" s="14">
        <f>108.0182 * CHOOSE(CONTROL!$C$9, $D$9, 100%, $F$9) + CHOOSE(CONTROL!$C$27, 0.0021, 0)</f>
        <v>108.02029999999999</v>
      </c>
      <c r="L957" s="14"/>
    </row>
    <row r="958" spans="1:12" ht="15.75" x14ac:dyDescent="0.25">
      <c r="A958" s="32">
        <v>70097</v>
      </c>
      <c r="B958" s="14">
        <f>107.694 * CHOOSE(CONTROL!$C$9, $D$9, 100%, $F$9) + CHOOSE(CONTROL!$C$27, 0.0021, 0)</f>
        <v>107.6961</v>
      </c>
      <c r="C958" s="14">
        <f>107.2618 * CHOOSE(CONTROL!$C$9, $D$9, 100%, $F$9) + CHOOSE(CONTROL!$C$27, 0.0021, 0)</f>
        <v>107.26389999999999</v>
      </c>
      <c r="D958" s="14">
        <f>107.2618 * CHOOSE(CONTROL!$C$9, $D$9, 100%, $F$9) + CHOOSE(CONTROL!$C$27, 0.0021, 0)</f>
        <v>107.26389999999999</v>
      </c>
      <c r="E958" s="14">
        <f>107.1251 * CHOOSE(CONTROL!$C$9, $D$9, 100%, $F$9) + CHOOSE(CONTROL!$C$27, 0.0021, 0)</f>
        <v>107.1272</v>
      </c>
      <c r="F958" s="14">
        <f>107.1251 * CHOOSE(CONTROL!$C$9, $D$9, 100%, $F$9) + CHOOSE(CONTROL!$C$27, 0.0021, 0)</f>
        <v>107.1272</v>
      </c>
      <c r="G958" s="14">
        <f>107.3965 * CHOOSE(CONTROL!$C$9, $D$9, 100%, $F$9) + CHOOSE(CONTROL!$C$27, 0.0021, 0)</f>
        <v>107.3986</v>
      </c>
      <c r="H958" s="14">
        <f>107.2618 * CHOOSE(CONTROL!$C$9, $D$9, 100%, $F$9) + CHOOSE(CONTROL!$C$27, 0.0021, 0)</f>
        <v>107.26389999999999</v>
      </c>
      <c r="I958" s="14">
        <f>107.2618 * CHOOSE(CONTROL!$C$9, $D$9, 100%, $F$9) + CHOOSE(CONTROL!$C$27, 0.0021, 0)</f>
        <v>107.26389999999999</v>
      </c>
      <c r="J958" s="14">
        <f>107.2618 * CHOOSE(CONTROL!$C$9, $D$9, 100%, $F$9) + CHOOSE(CONTROL!$C$27, 0.0021, 0)</f>
        <v>107.26389999999999</v>
      </c>
      <c r="K958" s="14">
        <f>107.2618 * CHOOSE(CONTROL!$C$9, $D$9, 100%, $F$9) + CHOOSE(CONTROL!$C$27, 0.0021, 0)</f>
        <v>107.26389999999999</v>
      </c>
      <c r="L958" s="14"/>
    </row>
    <row r="959" spans="1:12" ht="15.75" x14ac:dyDescent="0.25">
      <c r="A959" s="32">
        <v>70128</v>
      </c>
      <c r="B959" s="14">
        <f>104.5662 * CHOOSE(CONTROL!$C$9, $D$9, 100%, $F$9) + CHOOSE(CONTROL!$C$27, 0.0021, 0)</f>
        <v>104.56829999999999</v>
      </c>
      <c r="C959" s="14">
        <f>104.134 * CHOOSE(CONTROL!$C$9, $D$9, 100%, $F$9) + CHOOSE(CONTROL!$C$27, 0.0021, 0)</f>
        <v>104.1361</v>
      </c>
      <c r="D959" s="14">
        <f>104.134 * CHOOSE(CONTROL!$C$9, $D$9, 100%, $F$9) + CHOOSE(CONTROL!$C$27, 0.0021, 0)</f>
        <v>104.1361</v>
      </c>
      <c r="E959" s="14">
        <f>103.9973 * CHOOSE(CONTROL!$C$9, $D$9, 100%, $F$9) + CHOOSE(CONTROL!$C$27, 0.0021, 0)</f>
        <v>103.99939999999999</v>
      </c>
      <c r="F959" s="14">
        <f>103.9973 * CHOOSE(CONTROL!$C$9, $D$9, 100%, $F$9) + CHOOSE(CONTROL!$C$27, 0.0021, 0)</f>
        <v>103.99939999999999</v>
      </c>
      <c r="G959" s="14">
        <f>104.2687 * CHOOSE(CONTROL!$C$9, $D$9, 100%, $F$9) + CHOOSE(CONTROL!$C$27, 0.0021, 0)</f>
        <v>104.27079999999999</v>
      </c>
      <c r="H959" s="14">
        <f>104.134 * CHOOSE(CONTROL!$C$9, $D$9, 100%, $F$9) + CHOOSE(CONTROL!$C$27, 0.0021, 0)</f>
        <v>104.1361</v>
      </c>
      <c r="I959" s="14">
        <f>104.134 * CHOOSE(CONTROL!$C$9, $D$9, 100%, $F$9) + CHOOSE(CONTROL!$C$27, 0.0021, 0)</f>
        <v>104.1361</v>
      </c>
      <c r="J959" s="14">
        <f>104.134 * CHOOSE(CONTROL!$C$9, $D$9, 100%, $F$9) + CHOOSE(CONTROL!$C$27, 0.0021, 0)</f>
        <v>104.1361</v>
      </c>
      <c r="K959" s="14">
        <f>104.134 * CHOOSE(CONTROL!$C$9, $D$9, 100%, $F$9) + CHOOSE(CONTROL!$C$27, 0.0021, 0)</f>
        <v>104.1361</v>
      </c>
      <c r="L959" s="14"/>
    </row>
    <row r="960" spans="1:12" ht="15.75" x14ac:dyDescent="0.25">
      <c r="A960" s="32">
        <v>70159</v>
      </c>
      <c r="B960" s="14">
        <f>103.9573 * CHOOSE(CONTROL!$C$9, $D$9, 100%, $F$9) + CHOOSE(CONTROL!$C$27, 0.0021, 0)</f>
        <v>103.9594</v>
      </c>
      <c r="C960" s="14">
        <f>103.525 * CHOOSE(CONTROL!$C$9, $D$9, 100%, $F$9) + CHOOSE(CONTROL!$C$27, 0.0021, 0)</f>
        <v>103.5271</v>
      </c>
      <c r="D960" s="14">
        <f>103.525 * CHOOSE(CONTROL!$C$9, $D$9, 100%, $F$9) + CHOOSE(CONTROL!$C$27, 0.0021, 0)</f>
        <v>103.5271</v>
      </c>
      <c r="E960" s="14">
        <f>103.3884 * CHOOSE(CONTROL!$C$9, $D$9, 100%, $F$9) + CHOOSE(CONTROL!$C$27, 0.0021, 0)</f>
        <v>103.3905</v>
      </c>
      <c r="F960" s="14">
        <f>103.3884 * CHOOSE(CONTROL!$C$9, $D$9, 100%, $F$9) + CHOOSE(CONTROL!$C$27, 0.0021, 0)</f>
        <v>103.3905</v>
      </c>
      <c r="G960" s="14">
        <f>103.6598 * CHOOSE(CONTROL!$C$9, $D$9, 100%, $F$9) + CHOOSE(CONTROL!$C$27, 0.0021, 0)</f>
        <v>103.6619</v>
      </c>
      <c r="H960" s="14">
        <f>103.525 * CHOOSE(CONTROL!$C$9, $D$9, 100%, $F$9) + CHOOSE(CONTROL!$C$27, 0.0021, 0)</f>
        <v>103.5271</v>
      </c>
      <c r="I960" s="14">
        <f>103.525 * CHOOSE(CONTROL!$C$9, $D$9, 100%, $F$9) + CHOOSE(CONTROL!$C$27, 0.0021, 0)</f>
        <v>103.5271</v>
      </c>
      <c r="J960" s="14">
        <f>103.525 * CHOOSE(CONTROL!$C$9, $D$9, 100%, $F$9) + CHOOSE(CONTROL!$C$27, 0.0021, 0)</f>
        <v>103.5271</v>
      </c>
      <c r="K960" s="14">
        <f>103.525 * CHOOSE(CONTROL!$C$9, $D$9, 100%, $F$9) + CHOOSE(CONTROL!$C$27, 0.0021, 0)</f>
        <v>103.5271</v>
      </c>
      <c r="L960" s="14"/>
    </row>
    <row r="961" spans="1:12" ht="15.75" x14ac:dyDescent="0.25">
      <c r="A961" s="32">
        <v>70188</v>
      </c>
      <c r="B961" s="14">
        <f>103.6747 * CHOOSE(CONTROL!$C$9, $D$9, 100%, $F$9) + CHOOSE(CONTROL!$C$27, 0.0021, 0)</f>
        <v>103.6768</v>
      </c>
      <c r="C961" s="14">
        <f>103.2424 * CHOOSE(CONTROL!$C$9, $D$9, 100%, $F$9) + CHOOSE(CONTROL!$C$27, 0.0021, 0)</f>
        <v>103.2445</v>
      </c>
      <c r="D961" s="14">
        <f>103.2424 * CHOOSE(CONTROL!$C$9, $D$9, 100%, $F$9) + CHOOSE(CONTROL!$C$27, 0.0021, 0)</f>
        <v>103.2445</v>
      </c>
      <c r="E961" s="14">
        <f>103.1058 * CHOOSE(CONTROL!$C$9, $D$9, 100%, $F$9) + CHOOSE(CONTROL!$C$27, 0.0021, 0)</f>
        <v>103.1079</v>
      </c>
      <c r="F961" s="14">
        <f>103.1058 * CHOOSE(CONTROL!$C$9, $D$9, 100%, $F$9) + CHOOSE(CONTROL!$C$27, 0.0021, 0)</f>
        <v>103.1079</v>
      </c>
      <c r="G961" s="14">
        <f>103.3772 * CHOOSE(CONTROL!$C$9, $D$9, 100%, $F$9) + CHOOSE(CONTROL!$C$27, 0.0021, 0)</f>
        <v>103.3793</v>
      </c>
      <c r="H961" s="14">
        <f>103.2424 * CHOOSE(CONTROL!$C$9, $D$9, 100%, $F$9) + CHOOSE(CONTROL!$C$27, 0.0021, 0)</f>
        <v>103.2445</v>
      </c>
      <c r="I961" s="14">
        <f>103.2424 * CHOOSE(CONTROL!$C$9, $D$9, 100%, $F$9) + CHOOSE(CONTROL!$C$27, 0.0021, 0)</f>
        <v>103.2445</v>
      </c>
      <c r="J961" s="14">
        <f>103.2424 * CHOOSE(CONTROL!$C$9, $D$9, 100%, $F$9) + CHOOSE(CONTROL!$C$27, 0.0021, 0)</f>
        <v>103.2445</v>
      </c>
      <c r="K961" s="14">
        <f>103.2424 * CHOOSE(CONTROL!$C$9, $D$9, 100%, $F$9) + CHOOSE(CONTROL!$C$27, 0.0021, 0)</f>
        <v>103.2445</v>
      </c>
      <c r="L961" s="14"/>
    </row>
    <row r="962" spans="1:12" ht="15.75" x14ac:dyDescent="0.25">
      <c r="A962" s="32">
        <v>70219</v>
      </c>
      <c r="B962" s="14">
        <f>109.0181 * CHOOSE(CONTROL!$C$9, $D$9, 100%, $F$9) + CHOOSE(CONTROL!$C$27, 0.0021, 0)</f>
        <v>109.0202</v>
      </c>
      <c r="C962" s="14">
        <f>108.5859 * CHOOSE(CONTROL!$C$9, $D$9, 100%, $F$9) + CHOOSE(CONTROL!$C$27, 0.0021, 0)</f>
        <v>108.58799999999999</v>
      </c>
      <c r="D962" s="14">
        <f>108.5859 * CHOOSE(CONTROL!$C$9, $D$9, 100%, $F$9) + CHOOSE(CONTROL!$C$27, 0.0021, 0)</f>
        <v>108.58799999999999</v>
      </c>
      <c r="E962" s="14">
        <f>108.4492 * CHOOSE(CONTROL!$C$9, $D$9, 100%, $F$9) + CHOOSE(CONTROL!$C$27, 0.0021, 0)</f>
        <v>108.4513</v>
      </c>
      <c r="F962" s="14">
        <f>108.4492 * CHOOSE(CONTROL!$C$9, $D$9, 100%, $F$9) + CHOOSE(CONTROL!$C$27, 0.0021, 0)</f>
        <v>108.4513</v>
      </c>
      <c r="G962" s="14">
        <f>108.7206 * CHOOSE(CONTROL!$C$9, $D$9, 100%, $F$9) + CHOOSE(CONTROL!$C$27, 0.0021, 0)</f>
        <v>108.7227</v>
      </c>
      <c r="H962" s="14">
        <f>108.5859 * CHOOSE(CONTROL!$C$9, $D$9, 100%, $F$9) + CHOOSE(CONTROL!$C$27, 0.0021, 0)</f>
        <v>108.58799999999999</v>
      </c>
      <c r="I962" s="14">
        <f>108.5859 * CHOOSE(CONTROL!$C$9, $D$9, 100%, $F$9) + CHOOSE(CONTROL!$C$27, 0.0021, 0)</f>
        <v>108.58799999999999</v>
      </c>
      <c r="J962" s="14">
        <f>108.5859 * CHOOSE(CONTROL!$C$9, $D$9, 100%, $F$9) + CHOOSE(CONTROL!$C$27, 0.0021, 0)</f>
        <v>108.58799999999999</v>
      </c>
      <c r="K962" s="14">
        <f>108.5859 * CHOOSE(CONTROL!$C$9, $D$9, 100%, $F$9) + CHOOSE(CONTROL!$C$27, 0.0021, 0)</f>
        <v>108.58799999999999</v>
      </c>
      <c r="L962" s="14"/>
    </row>
    <row r="963" spans="1:12" ht="15.75" x14ac:dyDescent="0.25">
      <c r="A963" s="32">
        <v>70249</v>
      </c>
      <c r="B963" s="14">
        <f>115.9473 * CHOOSE(CONTROL!$C$9, $D$9, 100%, $F$9) + CHOOSE(CONTROL!$C$27, 0.0021, 0)</f>
        <v>115.9494</v>
      </c>
      <c r="C963" s="14">
        <f>115.515 * CHOOSE(CONTROL!$C$9, $D$9, 100%, $F$9) + CHOOSE(CONTROL!$C$27, 0.0021, 0)</f>
        <v>115.5171</v>
      </c>
      <c r="D963" s="14">
        <f>115.515 * CHOOSE(CONTROL!$C$9, $D$9, 100%, $F$9) + CHOOSE(CONTROL!$C$27, 0.0021, 0)</f>
        <v>115.5171</v>
      </c>
      <c r="E963" s="14">
        <f>115.3784 * CHOOSE(CONTROL!$C$9, $D$9, 100%, $F$9) + CHOOSE(CONTROL!$C$27, 0.0021, 0)</f>
        <v>115.3805</v>
      </c>
      <c r="F963" s="14">
        <f>115.3784 * CHOOSE(CONTROL!$C$9, $D$9, 100%, $F$9) + CHOOSE(CONTROL!$C$27, 0.0021, 0)</f>
        <v>115.3805</v>
      </c>
      <c r="G963" s="14">
        <f>115.6498 * CHOOSE(CONTROL!$C$9, $D$9, 100%, $F$9) + CHOOSE(CONTROL!$C$27, 0.0021, 0)</f>
        <v>115.6519</v>
      </c>
      <c r="H963" s="14">
        <f>115.515 * CHOOSE(CONTROL!$C$9, $D$9, 100%, $F$9) + CHOOSE(CONTROL!$C$27, 0.0021, 0)</f>
        <v>115.5171</v>
      </c>
      <c r="I963" s="14">
        <f>115.515 * CHOOSE(CONTROL!$C$9, $D$9, 100%, $F$9) + CHOOSE(CONTROL!$C$27, 0.0021, 0)</f>
        <v>115.5171</v>
      </c>
      <c r="J963" s="14">
        <f>115.515 * CHOOSE(CONTROL!$C$9, $D$9, 100%, $F$9) + CHOOSE(CONTROL!$C$27, 0.0021, 0)</f>
        <v>115.5171</v>
      </c>
      <c r="K963" s="14">
        <f>115.515 * CHOOSE(CONTROL!$C$9, $D$9, 100%, $F$9) + CHOOSE(CONTROL!$C$27, 0.0021, 0)</f>
        <v>115.5171</v>
      </c>
      <c r="L963" s="14"/>
    </row>
    <row r="964" spans="1:12" ht="15.75" x14ac:dyDescent="0.25">
      <c r="A964" s="32">
        <v>70280</v>
      </c>
      <c r="B964" s="14">
        <f>119.7613 * CHOOSE(CONTROL!$C$9, $D$9, 100%, $F$9) + CHOOSE(CONTROL!$C$27, 0.0021, 0)</f>
        <v>119.7634</v>
      </c>
      <c r="C964" s="14">
        <f>119.3291 * CHOOSE(CONTROL!$C$9, $D$9, 100%, $F$9) + CHOOSE(CONTROL!$C$27, 0.0021, 0)</f>
        <v>119.3312</v>
      </c>
      <c r="D964" s="14">
        <f>119.3291 * CHOOSE(CONTROL!$C$9, $D$9, 100%, $F$9) + CHOOSE(CONTROL!$C$27, 0.0021, 0)</f>
        <v>119.3312</v>
      </c>
      <c r="E964" s="14">
        <f>119.1924 * CHOOSE(CONTROL!$C$9, $D$9, 100%, $F$9) + CHOOSE(CONTROL!$C$27, 0.0021, 0)</f>
        <v>119.19450000000001</v>
      </c>
      <c r="F964" s="14">
        <f>119.1924 * CHOOSE(CONTROL!$C$9, $D$9, 100%, $F$9) + CHOOSE(CONTROL!$C$27, 0.0021, 0)</f>
        <v>119.19450000000001</v>
      </c>
      <c r="G964" s="14">
        <f>119.4638 * CHOOSE(CONTROL!$C$9, $D$9, 100%, $F$9) + CHOOSE(CONTROL!$C$27, 0.0021, 0)</f>
        <v>119.4659</v>
      </c>
      <c r="H964" s="14">
        <f>119.3291 * CHOOSE(CONTROL!$C$9, $D$9, 100%, $F$9) + CHOOSE(CONTROL!$C$27, 0.0021, 0)</f>
        <v>119.3312</v>
      </c>
      <c r="I964" s="14">
        <f>119.3291 * CHOOSE(CONTROL!$C$9, $D$9, 100%, $F$9) + CHOOSE(CONTROL!$C$27, 0.0021, 0)</f>
        <v>119.3312</v>
      </c>
      <c r="J964" s="14">
        <f>119.3291 * CHOOSE(CONTROL!$C$9, $D$9, 100%, $F$9) + CHOOSE(CONTROL!$C$27, 0.0021, 0)</f>
        <v>119.3312</v>
      </c>
      <c r="K964" s="14">
        <f>119.3291 * CHOOSE(CONTROL!$C$9, $D$9, 100%, $F$9) + CHOOSE(CONTROL!$C$27, 0.0021, 0)</f>
        <v>119.3312</v>
      </c>
      <c r="L964" s="14"/>
    </row>
    <row r="965" spans="1:12" ht="15.75" x14ac:dyDescent="0.25">
      <c r="A965" s="32">
        <v>70310</v>
      </c>
      <c r="B965" s="14">
        <f>121.4539 * CHOOSE(CONTROL!$C$9, $D$9, 100%, $F$9) + CHOOSE(CONTROL!$C$27, 0.0021, 0)</f>
        <v>121.456</v>
      </c>
      <c r="C965" s="14">
        <f>121.0217 * CHOOSE(CONTROL!$C$9, $D$9, 100%, $F$9) + CHOOSE(CONTROL!$C$27, 0.0021, 0)</f>
        <v>121.02379999999999</v>
      </c>
      <c r="D965" s="14">
        <f>121.0217 * CHOOSE(CONTROL!$C$9, $D$9, 100%, $F$9) + CHOOSE(CONTROL!$C$27, 0.0021, 0)</f>
        <v>121.02379999999999</v>
      </c>
      <c r="E965" s="14">
        <f>120.885 * CHOOSE(CONTROL!$C$9, $D$9, 100%, $F$9) + CHOOSE(CONTROL!$C$27, 0.0021, 0)</f>
        <v>120.8871</v>
      </c>
      <c r="F965" s="14">
        <f>120.885 * CHOOSE(CONTROL!$C$9, $D$9, 100%, $F$9) + CHOOSE(CONTROL!$C$27, 0.0021, 0)</f>
        <v>120.8871</v>
      </c>
      <c r="G965" s="14">
        <f>121.1564 * CHOOSE(CONTROL!$C$9, $D$9, 100%, $F$9) + CHOOSE(CONTROL!$C$27, 0.0021, 0)</f>
        <v>121.1585</v>
      </c>
      <c r="H965" s="14">
        <f>121.0217 * CHOOSE(CONTROL!$C$9, $D$9, 100%, $F$9) + CHOOSE(CONTROL!$C$27, 0.0021, 0)</f>
        <v>121.02379999999999</v>
      </c>
      <c r="I965" s="14">
        <f>121.0217 * CHOOSE(CONTROL!$C$9, $D$9, 100%, $F$9) + CHOOSE(CONTROL!$C$27, 0.0021, 0)</f>
        <v>121.02379999999999</v>
      </c>
      <c r="J965" s="14">
        <f>121.0217 * CHOOSE(CONTROL!$C$9, $D$9, 100%, $F$9) + CHOOSE(CONTROL!$C$27, 0.0021, 0)</f>
        <v>121.02379999999999</v>
      </c>
      <c r="K965" s="14">
        <f>121.0217 * CHOOSE(CONTROL!$C$9, $D$9, 100%, $F$9) + CHOOSE(CONTROL!$C$27, 0.0021, 0)</f>
        <v>121.02379999999999</v>
      </c>
      <c r="L965" s="14"/>
    </row>
    <row r="966" spans="1:12" ht="15.75" x14ac:dyDescent="0.25">
      <c r="A966" s="32">
        <v>70341</v>
      </c>
      <c r="B966" s="14">
        <f>120.8966 * CHOOSE(CONTROL!$C$9, $D$9, 100%, $F$9) + CHOOSE(CONTROL!$C$27, 0.0021, 0)</f>
        <v>120.89870000000001</v>
      </c>
      <c r="C966" s="14">
        <f>120.4644 * CHOOSE(CONTROL!$C$9, $D$9, 100%, $F$9) + CHOOSE(CONTROL!$C$27, 0.0021, 0)</f>
        <v>120.4665</v>
      </c>
      <c r="D966" s="14">
        <f>120.4644 * CHOOSE(CONTROL!$C$9, $D$9, 100%, $F$9) + CHOOSE(CONTROL!$C$27, 0.0021, 0)</f>
        <v>120.4665</v>
      </c>
      <c r="E966" s="14">
        <f>120.3277 * CHOOSE(CONTROL!$C$9, $D$9, 100%, $F$9) + CHOOSE(CONTROL!$C$27, 0.0021, 0)</f>
        <v>120.32979999999999</v>
      </c>
      <c r="F966" s="14">
        <f>120.3277 * CHOOSE(CONTROL!$C$9, $D$9, 100%, $F$9) + CHOOSE(CONTROL!$C$27, 0.0021, 0)</f>
        <v>120.32979999999999</v>
      </c>
      <c r="G966" s="14">
        <f>120.5991 * CHOOSE(CONTROL!$C$9, $D$9, 100%, $F$9) + CHOOSE(CONTROL!$C$27, 0.0021, 0)</f>
        <v>120.60120000000001</v>
      </c>
      <c r="H966" s="14">
        <f>120.4644 * CHOOSE(CONTROL!$C$9, $D$9, 100%, $F$9) + CHOOSE(CONTROL!$C$27, 0.0021, 0)</f>
        <v>120.4665</v>
      </c>
      <c r="I966" s="14">
        <f>120.4644 * CHOOSE(CONTROL!$C$9, $D$9, 100%, $F$9) + CHOOSE(CONTROL!$C$27, 0.0021, 0)</f>
        <v>120.4665</v>
      </c>
      <c r="J966" s="14">
        <f>120.4644 * CHOOSE(CONTROL!$C$9, $D$9, 100%, $F$9) + CHOOSE(CONTROL!$C$27, 0.0021, 0)</f>
        <v>120.4665</v>
      </c>
      <c r="K966" s="14">
        <f>120.4644 * CHOOSE(CONTROL!$C$9, $D$9, 100%, $F$9) + CHOOSE(CONTROL!$C$27, 0.0021, 0)</f>
        <v>120.4665</v>
      </c>
      <c r="L966" s="14"/>
    </row>
    <row r="967" spans="1:12" ht="15.75" x14ac:dyDescent="0.25">
      <c r="A967" s="32">
        <v>70372</v>
      </c>
      <c r="B967" s="14">
        <f>118.1356 * CHOOSE(CONTROL!$C$9, $D$9, 100%, $F$9) + CHOOSE(CONTROL!$C$27, 0.0021, 0)</f>
        <v>118.1377</v>
      </c>
      <c r="C967" s="14">
        <f>117.7033 * CHOOSE(CONTROL!$C$9, $D$9, 100%, $F$9) + CHOOSE(CONTROL!$C$27, 0.0021, 0)</f>
        <v>117.7054</v>
      </c>
      <c r="D967" s="14">
        <f>117.7033 * CHOOSE(CONTROL!$C$9, $D$9, 100%, $F$9) + CHOOSE(CONTROL!$C$27, 0.0021, 0)</f>
        <v>117.7054</v>
      </c>
      <c r="E967" s="14">
        <f>117.5667 * CHOOSE(CONTROL!$C$9, $D$9, 100%, $F$9) + CHOOSE(CONTROL!$C$27, 0.0021, 0)</f>
        <v>117.5688</v>
      </c>
      <c r="F967" s="14">
        <f>117.5667 * CHOOSE(CONTROL!$C$9, $D$9, 100%, $F$9) + CHOOSE(CONTROL!$C$27, 0.0021, 0)</f>
        <v>117.5688</v>
      </c>
      <c r="G967" s="14">
        <f>117.8381 * CHOOSE(CONTROL!$C$9, $D$9, 100%, $F$9) + CHOOSE(CONTROL!$C$27, 0.0021, 0)</f>
        <v>117.8402</v>
      </c>
      <c r="H967" s="14">
        <f>117.7033 * CHOOSE(CONTROL!$C$9, $D$9, 100%, $F$9) + CHOOSE(CONTROL!$C$27, 0.0021, 0)</f>
        <v>117.7054</v>
      </c>
      <c r="I967" s="14">
        <f>117.7033 * CHOOSE(CONTROL!$C$9, $D$9, 100%, $F$9) + CHOOSE(CONTROL!$C$27, 0.0021, 0)</f>
        <v>117.7054</v>
      </c>
      <c r="J967" s="14">
        <f>117.7033 * CHOOSE(CONTROL!$C$9, $D$9, 100%, $F$9) + CHOOSE(CONTROL!$C$27, 0.0021, 0)</f>
        <v>117.7054</v>
      </c>
      <c r="K967" s="14">
        <f>117.7033 * CHOOSE(CONTROL!$C$9, $D$9, 100%, $F$9) + CHOOSE(CONTROL!$C$27, 0.0021, 0)</f>
        <v>117.7054</v>
      </c>
      <c r="L967" s="14"/>
    </row>
    <row r="968" spans="1:12" ht="15.75" x14ac:dyDescent="0.25">
      <c r="A968" s="32">
        <v>70402</v>
      </c>
      <c r="B968" s="14">
        <f>114.2852 * CHOOSE(CONTROL!$C$9, $D$9, 100%, $F$9) + CHOOSE(CONTROL!$C$27, 0.0021, 0)</f>
        <v>114.2873</v>
      </c>
      <c r="C968" s="14">
        <f>113.8529 * CHOOSE(CONTROL!$C$9, $D$9, 100%, $F$9) + CHOOSE(CONTROL!$C$27, 0.0021, 0)</f>
        <v>113.855</v>
      </c>
      <c r="D968" s="14">
        <f>113.8529 * CHOOSE(CONTROL!$C$9, $D$9, 100%, $F$9) + CHOOSE(CONTROL!$C$27, 0.0021, 0)</f>
        <v>113.855</v>
      </c>
      <c r="E968" s="14">
        <f>113.7162 * CHOOSE(CONTROL!$C$9, $D$9, 100%, $F$9) + CHOOSE(CONTROL!$C$27, 0.0021, 0)</f>
        <v>113.7183</v>
      </c>
      <c r="F968" s="14">
        <f>113.7162 * CHOOSE(CONTROL!$C$9, $D$9, 100%, $F$9) + CHOOSE(CONTROL!$C$27, 0.0021, 0)</f>
        <v>113.7183</v>
      </c>
      <c r="G968" s="14">
        <f>113.9876 * CHOOSE(CONTROL!$C$9, $D$9, 100%, $F$9) + CHOOSE(CONTROL!$C$27, 0.0021, 0)</f>
        <v>113.9897</v>
      </c>
      <c r="H968" s="14">
        <f>113.8529 * CHOOSE(CONTROL!$C$9, $D$9, 100%, $F$9) + CHOOSE(CONTROL!$C$27, 0.0021, 0)</f>
        <v>113.855</v>
      </c>
      <c r="I968" s="14">
        <f>113.8529 * CHOOSE(CONTROL!$C$9, $D$9, 100%, $F$9) + CHOOSE(CONTROL!$C$27, 0.0021, 0)</f>
        <v>113.855</v>
      </c>
      <c r="J968" s="14">
        <f>113.8529 * CHOOSE(CONTROL!$C$9, $D$9, 100%, $F$9) + CHOOSE(CONTROL!$C$27, 0.0021, 0)</f>
        <v>113.855</v>
      </c>
      <c r="K968" s="14">
        <f>113.8529 * CHOOSE(CONTROL!$C$9, $D$9, 100%, $F$9) + CHOOSE(CONTROL!$C$27, 0.0021, 0)</f>
        <v>113.855</v>
      </c>
      <c r="L968" s="14"/>
    </row>
    <row r="969" spans="1:12" ht="15.75" x14ac:dyDescent="0.25">
      <c r="A969" s="32">
        <v>70433</v>
      </c>
      <c r="B969" s="14">
        <f>110.4123 * CHOOSE(CONTROL!$C$9, $D$9, 100%, $F$9) + CHOOSE(CONTROL!$C$27, 0.0021, 0)</f>
        <v>110.4144</v>
      </c>
      <c r="C969" s="14">
        <f>109.9801 * CHOOSE(CONTROL!$C$9, $D$9, 100%, $F$9) + CHOOSE(CONTROL!$C$27, 0.0021, 0)</f>
        <v>109.98219999999999</v>
      </c>
      <c r="D969" s="14">
        <f>109.9801 * CHOOSE(CONTROL!$C$9, $D$9, 100%, $F$9) + CHOOSE(CONTROL!$C$27, 0.0021, 0)</f>
        <v>109.98219999999999</v>
      </c>
      <c r="E969" s="14">
        <f>109.8434 * CHOOSE(CONTROL!$C$9, $D$9, 100%, $F$9) + CHOOSE(CONTROL!$C$27, 0.0021, 0)</f>
        <v>109.8455</v>
      </c>
      <c r="F969" s="14">
        <f>109.8434 * CHOOSE(CONTROL!$C$9, $D$9, 100%, $F$9) + CHOOSE(CONTROL!$C$27, 0.0021, 0)</f>
        <v>109.8455</v>
      </c>
      <c r="G969" s="14">
        <f>110.1148 * CHOOSE(CONTROL!$C$9, $D$9, 100%, $F$9) + CHOOSE(CONTROL!$C$27, 0.0021, 0)</f>
        <v>110.1169</v>
      </c>
      <c r="H969" s="14">
        <f>109.9801 * CHOOSE(CONTROL!$C$9, $D$9, 100%, $F$9) + CHOOSE(CONTROL!$C$27, 0.0021, 0)</f>
        <v>109.98219999999999</v>
      </c>
      <c r="I969" s="14">
        <f>109.9801 * CHOOSE(CONTROL!$C$9, $D$9, 100%, $F$9) + CHOOSE(CONTROL!$C$27, 0.0021, 0)</f>
        <v>109.98219999999999</v>
      </c>
      <c r="J969" s="14">
        <f>109.9801 * CHOOSE(CONTROL!$C$9, $D$9, 100%, $F$9) + CHOOSE(CONTROL!$C$27, 0.0021, 0)</f>
        <v>109.98219999999999</v>
      </c>
      <c r="K969" s="14">
        <f>109.9801 * CHOOSE(CONTROL!$C$9, $D$9, 100%, $F$9) + CHOOSE(CONTROL!$C$27, 0.0021, 0)</f>
        <v>109.98219999999999</v>
      </c>
      <c r="L969" s="14"/>
    </row>
    <row r="970" spans="1:12" ht="15.75" x14ac:dyDescent="0.25">
      <c r="A970" s="32">
        <v>70463</v>
      </c>
      <c r="B970" s="14">
        <f>109.6419 * CHOOSE(CONTROL!$C$9, $D$9, 100%, $F$9) + CHOOSE(CONTROL!$C$27, 0.0021, 0)</f>
        <v>109.64400000000001</v>
      </c>
      <c r="C970" s="14">
        <f>109.2097 * CHOOSE(CONTROL!$C$9, $D$9, 100%, $F$9) + CHOOSE(CONTROL!$C$27, 0.0021, 0)</f>
        <v>109.2118</v>
      </c>
      <c r="D970" s="14">
        <f>109.2097 * CHOOSE(CONTROL!$C$9, $D$9, 100%, $F$9) + CHOOSE(CONTROL!$C$27, 0.0021, 0)</f>
        <v>109.2118</v>
      </c>
      <c r="E970" s="14">
        <f>109.073 * CHOOSE(CONTROL!$C$9, $D$9, 100%, $F$9) + CHOOSE(CONTROL!$C$27, 0.0021, 0)</f>
        <v>109.07509999999999</v>
      </c>
      <c r="F970" s="14">
        <f>109.073 * CHOOSE(CONTROL!$C$9, $D$9, 100%, $F$9) + CHOOSE(CONTROL!$C$27, 0.0021, 0)</f>
        <v>109.07509999999999</v>
      </c>
      <c r="G970" s="14">
        <f>109.3444 * CHOOSE(CONTROL!$C$9, $D$9, 100%, $F$9) + CHOOSE(CONTROL!$C$27, 0.0021, 0)</f>
        <v>109.34649999999999</v>
      </c>
      <c r="H970" s="14">
        <f>109.2097 * CHOOSE(CONTROL!$C$9, $D$9, 100%, $F$9) + CHOOSE(CONTROL!$C$27, 0.0021, 0)</f>
        <v>109.2118</v>
      </c>
      <c r="I970" s="14">
        <f>109.2097 * CHOOSE(CONTROL!$C$9, $D$9, 100%, $F$9) + CHOOSE(CONTROL!$C$27, 0.0021, 0)</f>
        <v>109.2118</v>
      </c>
      <c r="J970" s="14">
        <f>109.2097 * CHOOSE(CONTROL!$C$9, $D$9, 100%, $F$9) + CHOOSE(CONTROL!$C$27, 0.0021, 0)</f>
        <v>109.2118</v>
      </c>
      <c r="K970" s="14">
        <f>109.2097 * CHOOSE(CONTROL!$C$9, $D$9, 100%, $F$9) + CHOOSE(CONTROL!$C$27, 0.0021, 0)</f>
        <v>109.2118</v>
      </c>
      <c r="L970" s="14"/>
    </row>
    <row r="971" spans="1:12" ht="15.75" x14ac:dyDescent="0.25">
      <c r="A971" s="32">
        <v>70494</v>
      </c>
      <c r="B971" s="14">
        <f>106.4563 * CHOOSE(CONTROL!$C$9, $D$9, 100%, $F$9) + CHOOSE(CONTROL!$C$27, 0.0021, 0)</f>
        <v>106.4584</v>
      </c>
      <c r="C971" s="14">
        <f>106.0241 * CHOOSE(CONTROL!$C$9, $D$9, 100%, $F$9) + CHOOSE(CONTROL!$C$27, 0.0021, 0)</f>
        <v>106.0262</v>
      </c>
      <c r="D971" s="14">
        <f>106.0241 * CHOOSE(CONTROL!$C$9, $D$9, 100%, $F$9) + CHOOSE(CONTROL!$C$27, 0.0021, 0)</f>
        <v>106.0262</v>
      </c>
      <c r="E971" s="14">
        <f>105.8874 * CHOOSE(CONTROL!$C$9, $D$9, 100%, $F$9) + CHOOSE(CONTROL!$C$27, 0.0021, 0)</f>
        <v>105.8895</v>
      </c>
      <c r="F971" s="14">
        <f>105.8874 * CHOOSE(CONTROL!$C$9, $D$9, 100%, $F$9) + CHOOSE(CONTROL!$C$27, 0.0021, 0)</f>
        <v>105.8895</v>
      </c>
      <c r="G971" s="14">
        <f>106.1588 * CHOOSE(CONTROL!$C$9, $D$9, 100%, $F$9) + CHOOSE(CONTROL!$C$27, 0.0021, 0)</f>
        <v>106.1609</v>
      </c>
      <c r="H971" s="14">
        <f>106.0241 * CHOOSE(CONTROL!$C$9, $D$9, 100%, $F$9) + CHOOSE(CONTROL!$C$27, 0.0021, 0)</f>
        <v>106.0262</v>
      </c>
      <c r="I971" s="14">
        <f>106.0241 * CHOOSE(CONTROL!$C$9, $D$9, 100%, $F$9) + CHOOSE(CONTROL!$C$27, 0.0021, 0)</f>
        <v>106.0262</v>
      </c>
      <c r="J971" s="14">
        <f>106.0241 * CHOOSE(CONTROL!$C$9, $D$9, 100%, $F$9) + CHOOSE(CONTROL!$C$27, 0.0021, 0)</f>
        <v>106.0262</v>
      </c>
      <c r="K971" s="14">
        <f>106.0241 * CHOOSE(CONTROL!$C$9, $D$9, 100%, $F$9) + CHOOSE(CONTROL!$C$27, 0.0021, 0)</f>
        <v>106.0262</v>
      </c>
      <c r="L971" s="14"/>
    </row>
    <row r="972" spans="1:12" ht="15.75" x14ac:dyDescent="0.25">
      <c r="A972" s="32">
        <v>70525</v>
      </c>
      <c r="B972" s="14">
        <f>105.8361 * CHOOSE(CONTROL!$C$9, $D$9, 100%, $F$9) + CHOOSE(CONTROL!$C$27, 0.0021, 0)</f>
        <v>105.8382</v>
      </c>
      <c r="C972" s="14">
        <f>105.4039 * CHOOSE(CONTROL!$C$9, $D$9, 100%, $F$9) + CHOOSE(CONTROL!$C$27, 0.0021, 0)</f>
        <v>105.40599999999999</v>
      </c>
      <c r="D972" s="14">
        <f>105.4039 * CHOOSE(CONTROL!$C$9, $D$9, 100%, $F$9) + CHOOSE(CONTROL!$C$27, 0.0021, 0)</f>
        <v>105.40599999999999</v>
      </c>
      <c r="E972" s="14">
        <f>105.2672 * CHOOSE(CONTROL!$C$9, $D$9, 100%, $F$9) + CHOOSE(CONTROL!$C$27, 0.0021, 0)</f>
        <v>105.2693</v>
      </c>
      <c r="F972" s="14">
        <f>105.2672 * CHOOSE(CONTROL!$C$9, $D$9, 100%, $F$9) + CHOOSE(CONTROL!$C$27, 0.0021, 0)</f>
        <v>105.2693</v>
      </c>
      <c r="G972" s="14">
        <f>105.5386 * CHOOSE(CONTROL!$C$9, $D$9, 100%, $F$9) + CHOOSE(CONTROL!$C$27, 0.0021, 0)</f>
        <v>105.5407</v>
      </c>
      <c r="H972" s="14">
        <f>105.4039 * CHOOSE(CONTROL!$C$9, $D$9, 100%, $F$9) + CHOOSE(CONTROL!$C$27, 0.0021, 0)</f>
        <v>105.40599999999999</v>
      </c>
      <c r="I972" s="14">
        <f>105.4039 * CHOOSE(CONTROL!$C$9, $D$9, 100%, $F$9) + CHOOSE(CONTROL!$C$27, 0.0021, 0)</f>
        <v>105.40599999999999</v>
      </c>
      <c r="J972" s="14">
        <f>105.4039 * CHOOSE(CONTROL!$C$9, $D$9, 100%, $F$9) + CHOOSE(CONTROL!$C$27, 0.0021, 0)</f>
        <v>105.40599999999999</v>
      </c>
      <c r="K972" s="14">
        <f>105.4039 * CHOOSE(CONTROL!$C$9, $D$9, 100%, $F$9) + CHOOSE(CONTROL!$C$27, 0.0021, 0)</f>
        <v>105.40599999999999</v>
      </c>
      <c r="L972" s="14"/>
    </row>
    <row r="973" spans="1:12" ht="15.75" x14ac:dyDescent="0.25">
      <c r="A973" s="32">
        <v>70553</v>
      </c>
      <c r="B973" s="14">
        <f>105.5483 * CHOOSE(CONTROL!$C$9, $D$9, 100%, $F$9) + CHOOSE(CONTROL!$C$27, 0.0021, 0)</f>
        <v>105.5504</v>
      </c>
      <c r="C973" s="14">
        <f>105.1161 * CHOOSE(CONTROL!$C$9, $D$9, 100%, $F$9) + CHOOSE(CONTROL!$C$27, 0.0021, 0)</f>
        <v>105.1182</v>
      </c>
      <c r="D973" s="14">
        <f>105.1161 * CHOOSE(CONTROL!$C$9, $D$9, 100%, $F$9) + CHOOSE(CONTROL!$C$27, 0.0021, 0)</f>
        <v>105.1182</v>
      </c>
      <c r="E973" s="14">
        <f>104.9794 * CHOOSE(CONTROL!$C$9, $D$9, 100%, $F$9) + CHOOSE(CONTROL!$C$27, 0.0021, 0)</f>
        <v>104.9815</v>
      </c>
      <c r="F973" s="14">
        <f>104.9794 * CHOOSE(CONTROL!$C$9, $D$9, 100%, $F$9) + CHOOSE(CONTROL!$C$27, 0.0021, 0)</f>
        <v>104.9815</v>
      </c>
      <c r="G973" s="14">
        <f>105.2508 * CHOOSE(CONTROL!$C$9, $D$9, 100%, $F$9) + CHOOSE(CONTROL!$C$27, 0.0021, 0)</f>
        <v>105.2529</v>
      </c>
      <c r="H973" s="14">
        <f>105.1161 * CHOOSE(CONTROL!$C$9, $D$9, 100%, $F$9) + CHOOSE(CONTROL!$C$27, 0.0021, 0)</f>
        <v>105.1182</v>
      </c>
      <c r="I973" s="14">
        <f>105.1161 * CHOOSE(CONTROL!$C$9, $D$9, 100%, $F$9) + CHOOSE(CONTROL!$C$27, 0.0021, 0)</f>
        <v>105.1182</v>
      </c>
      <c r="J973" s="14">
        <f>105.1161 * CHOOSE(CONTROL!$C$9, $D$9, 100%, $F$9) + CHOOSE(CONTROL!$C$27, 0.0021, 0)</f>
        <v>105.1182</v>
      </c>
      <c r="K973" s="14">
        <f>105.1161 * CHOOSE(CONTROL!$C$9, $D$9, 100%, $F$9) + CHOOSE(CONTROL!$C$27, 0.0021, 0)</f>
        <v>105.1182</v>
      </c>
      <c r="L973" s="14"/>
    </row>
    <row r="974" spans="1:12" ht="15.75" x14ac:dyDescent="0.25">
      <c r="A974" s="32">
        <v>70584</v>
      </c>
      <c r="B974" s="14">
        <f>110.9905 * CHOOSE(CONTROL!$C$9, $D$9, 100%, $F$9) + CHOOSE(CONTROL!$C$27, 0.0021, 0)</f>
        <v>110.9926</v>
      </c>
      <c r="C974" s="14">
        <f>110.5583 * CHOOSE(CONTROL!$C$9, $D$9, 100%, $F$9) + CHOOSE(CONTROL!$C$27, 0.0021, 0)</f>
        <v>110.5604</v>
      </c>
      <c r="D974" s="14">
        <f>110.5583 * CHOOSE(CONTROL!$C$9, $D$9, 100%, $F$9) + CHOOSE(CONTROL!$C$27, 0.0021, 0)</f>
        <v>110.5604</v>
      </c>
      <c r="E974" s="14">
        <f>110.4216 * CHOOSE(CONTROL!$C$9, $D$9, 100%, $F$9) + CHOOSE(CONTROL!$C$27, 0.0021, 0)</f>
        <v>110.4237</v>
      </c>
      <c r="F974" s="14">
        <f>110.4216 * CHOOSE(CONTROL!$C$9, $D$9, 100%, $F$9) + CHOOSE(CONTROL!$C$27, 0.0021, 0)</f>
        <v>110.4237</v>
      </c>
      <c r="G974" s="14">
        <f>110.693 * CHOOSE(CONTROL!$C$9, $D$9, 100%, $F$9) + CHOOSE(CONTROL!$C$27, 0.0021, 0)</f>
        <v>110.6951</v>
      </c>
      <c r="H974" s="14">
        <f>110.5583 * CHOOSE(CONTROL!$C$9, $D$9, 100%, $F$9) + CHOOSE(CONTROL!$C$27, 0.0021, 0)</f>
        <v>110.5604</v>
      </c>
      <c r="I974" s="14">
        <f>110.5583 * CHOOSE(CONTROL!$C$9, $D$9, 100%, $F$9) + CHOOSE(CONTROL!$C$27, 0.0021, 0)</f>
        <v>110.5604</v>
      </c>
      <c r="J974" s="14">
        <f>110.5583 * CHOOSE(CONTROL!$C$9, $D$9, 100%, $F$9) + CHOOSE(CONTROL!$C$27, 0.0021, 0)</f>
        <v>110.5604</v>
      </c>
      <c r="K974" s="14">
        <f>110.5583 * CHOOSE(CONTROL!$C$9, $D$9, 100%, $F$9) + CHOOSE(CONTROL!$C$27, 0.0021, 0)</f>
        <v>110.5604</v>
      </c>
      <c r="L974" s="14"/>
    </row>
    <row r="975" spans="1:12" ht="15.75" x14ac:dyDescent="0.25">
      <c r="A975" s="32">
        <v>70614</v>
      </c>
      <c r="B975" s="14">
        <f>118.0477 * CHOOSE(CONTROL!$C$9, $D$9, 100%, $F$9) + CHOOSE(CONTROL!$C$27, 0.0021, 0)</f>
        <v>118.0498</v>
      </c>
      <c r="C975" s="14">
        <f>117.6155 * CHOOSE(CONTROL!$C$9, $D$9, 100%, $F$9) + CHOOSE(CONTROL!$C$27, 0.0021, 0)</f>
        <v>117.6176</v>
      </c>
      <c r="D975" s="14">
        <f>117.6155 * CHOOSE(CONTROL!$C$9, $D$9, 100%, $F$9) + CHOOSE(CONTROL!$C$27, 0.0021, 0)</f>
        <v>117.6176</v>
      </c>
      <c r="E975" s="14">
        <f>117.4788 * CHOOSE(CONTROL!$C$9, $D$9, 100%, $F$9) + CHOOSE(CONTROL!$C$27, 0.0021, 0)</f>
        <v>117.48090000000001</v>
      </c>
      <c r="F975" s="14">
        <f>117.4788 * CHOOSE(CONTROL!$C$9, $D$9, 100%, $F$9) + CHOOSE(CONTROL!$C$27, 0.0021, 0)</f>
        <v>117.48090000000001</v>
      </c>
      <c r="G975" s="14">
        <f>117.7502 * CHOOSE(CONTROL!$C$9, $D$9, 100%, $F$9) + CHOOSE(CONTROL!$C$27, 0.0021, 0)</f>
        <v>117.75230000000001</v>
      </c>
      <c r="H975" s="14">
        <f>117.6155 * CHOOSE(CONTROL!$C$9, $D$9, 100%, $F$9) + CHOOSE(CONTROL!$C$27, 0.0021, 0)</f>
        <v>117.6176</v>
      </c>
      <c r="I975" s="14">
        <f>117.6155 * CHOOSE(CONTROL!$C$9, $D$9, 100%, $F$9) + CHOOSE(CONTROL!$C$27, 0.0021, 0)</f>
        <v>117.6176</v>
      </c>
      <c r="J975" s="14">
        <f>117.6155 * CHOOSE(CONTROL!$C$9, $D$9, 100%, $F$9) + CHOOSE(CONTROL!$C$27, 0.0021, 0)</f>
        <v>117.6176</v>
      </c>
      <c r="K975" s="14">
        <f>117.6155 * CHOOSE(CONTROL!$C$9, $D$9, 100%, $F$9) + CHOOSE(CONTROL!$C$27, 0.0021, 0)</f>
        <v>117.6176</v>
      </c>
      <c r="L975" s="14"/>
    </row>
    <row r="976" spans="1:12" ht="15.75" x14ac:dyDescent="0.25">
      <c r="A976" s="32">
        <v>70645</v>
      </c>
      <c r="B976" s="14">
        <f>121.9322 * CHOOSE(CONTROL!$C$9, $D$9, 100%, $F$9) + CHOOSE(CONTROL!$C$27, 0.0021, 0)</f>
        <v>121.93429999999999</v>
      </c>
      <c r="C976" s="14">
        <f>121.5 * CHOOSE(CONTROL!$C$9, $D$9, 100%, $F$9) + CHOOSE(CONTROL!$C$27, 0.0021, 0)</f>
        <v>121.5021</v>
      </c>
      <c r="D976" s="14">
        <f>121.5 * CHOOSE(CONTROL!$C$9, $D$9, 100%, $F$9) + CHOOSE(CONTROL!$C$27, 0.0021, 0)</f>
        <v>121.5021</v>
      </c>
      <c r="E976" s="14">
        <f>121.3633 * CHOOSE(CONTROL!$C$9, $D$9, 100%, $F$9) + CHOOSE(CONTROL!$C$27, 0.0021, 0)</f>
        <v>121.36539999999999</v>
      </c>
      <c r="F976" s="14">
        <f>121.3633 * CHOOSE(CONTROL!$C$9, $D$9, 100%, $F$9) + CHOOSE(CONTROL!$C$27, 0.0021, 0)</f>
        <v>121.36539999999999</v>
      </c>
      <c r="G976" s="14">
        <f>121.6347 * CHOOSE(CONTROL!$C$9, $D$9, 100%, $F$9) + CHOOSE(CONTROL!$C$27, 0.0021, 0)</f>
        <v>121.63679999999999</v>
      </c>
      <c r="H976" s="14">
        <f>121.5 * CHOOSE(CONTROL!$C$9, $D$9, 100%, $F$9) + CHOOSE(CONTROL!$C$27, 0.0021, 0)</f>
        <v>121.5021</v>
      </c>
      <c r="I976" s="14">
        <f>121.5 * CHOOSE(CONTROL!$C$9, $D$9, 100%, $F$9) + CHOOSE(CONTROL!$C$27, 0.0021, 0)</f>
        <v>121.5021</v>
      </c>
      <c r="J976" s="14">
        <f>121.5 * CHOOSE(CONTROL!$C$9, $D$9, 100%, $F$9) + CHOOSE(CONTROL!$C$27, 0.0021, 0)</f>
        <v>121.5021</v>
      </c>
      <c r="K976" s="14">
        <f>121.5 * CHOOSE(CONTROL!$C$9, $D$9, 100%, $F$9) + CHOOSE(CONTROL!$C$27, 0.0021, 0)</f>
        <v>121.5021</v>
      </c>
      <c r="L976" s="14"/>
    </row>
    <row r="977" spans="1:12" ht="15.75" x14ac:dyDescent="0.25">
      <c r="A977" s="32">
        <v>70675</v>
      </c>
      <c r="B977" s="14">
        <f>123.6561 * CHOOSE(CONTROL!$C$9, $D$9, 100%, $F$9) + CHOOSE(CONTROL!$C$27, 0.0021, 0)</f>
        <v>123.65819999999999</v>
      </c>
      <c r="C977" s="14">
        <f>123.2239 * CHOOSE(CONTROL!$C$9, $D$9, 100%, $F$9) + CHOOSE(CONTROL!$C$27, 0.0021, 0)</f>
        <v>123.226</v>
      </c>
      <c r="D977" s="14">
        <f>123.2239 * CHOOSE(CONTROL!$C$9, $D$9, 100%, $F$9) + CHOOSE(CONTROL!$C$27, 0.0021, 0)</f>
        <v>123.226</v>
      </c>
      <c r="E977" s="14">
        <f>123.0872 * CHOOSE(CONTROL!$C$9, $D$9, 100%, $F$9) + CHOOSE(CONTROL!$C$27, 0.0021, 0)</f>
        <v>123.08929999999999</v>
      </c>
      <c r="F977" s="14">
        <f>123.0872 * CHOOSE(CONTROL!$C$9, $D$9, 100%, $F$9) + CHOOSE(CONTROL!$C$27, 0.0021, 0)</f>
        <v>123.08929999999999</v>
      </c>
      <c r="G977" s="14">
        <f>123.3586 * CHOOSE(CONTROL!$C$9, $D$9, 100%, $F$9) + CHOOSE(CONTROL!$C$27, 0.0021, 0)</f>
        <v>123.36069999999999</v>
      </c>
      <c r="H977" s="14">
        <f>123.2239 * CHOOSE(CONTROL!$C$9, $D$9, 100%, $F$9) + CHOOSE(CONTROL!$C$27, 0.0021, 0)</f>
        <v>123.226</v>
      </c>
      <c r="I977" s="14">
        <f>123.2239 * CHOOSE(CONTROL!$C$9, $D$9, 100%, $F$9) + CHOOSE(CONTROL!$C$27, 0.0021, 0)</f>
        <v>123.226</v>
      </c>
      <c r="J977" s="14">
        <f>123.2239 * CHOOSE(CONTROL!$C$9, $D$9, 100%, $F$9) + CHOOSE(CONTROL!$C$27, 0.0021, 0)</f>
        <v>123.226</v>
      </c>
      <c r="K977" s="14">
        <f>123.2239 * CHOOSE(CONTROL!$C$9, $D$9, 100%, $F$9) + CHOOSE(CONTROL!$C$27, 0.0021, 0)</f>
        <v>123.226</v>
      </c>
      <c r="L977" s="14"/>
    </row>
    <row r="978" spans="1:12" ht="15.75" x14ac:dyDescent="0.25">
      <c r="A978" s="32">
        <v>70706</v>
      </c>
      <c r="B978" s="14">
        <f>123.0885 * CHOOSE(CONTROL!$C$9, $D$9, 100%, $F$9) + CHOOSE(CONTROL!$C$27, 0.0021, 0)</f>
        <v>123.09059999999999</v>
      </c>
      <c r="C978" s="14">
        <f>122.6563 * CHOOSE(CONTROL!$C$9, $D$9, 100%, $F$9) + CHOOSE(CONTROL!$C$27, 0.0021, 0)</f>
        <v>122.6584</v>
      </c>
      <c r="D978" s="14">
        <f>122.6563 * CHOOSE(CONTROL!$C$9, $D$9, 100%, $F$9) + CHOOSE(CONTROL!$C$27, 0.0021, 0)</f>
        <v>122.6584</v>
      </c>
      <c r="E978" s="14">
        <f>122.5196 * CHOOSE(CONTROL!$C$9, $D$9, 100%, $F$9) + CHOOSE(CONTROL!$C$27, 0.0021, 0)</f>
        <v>122.5217</v>
      </c>
      <c r="F978" s="14">
        <f>122.5196 * CHOOSE(CONTROL!$C$9, $D$9, 100%, $F$9) + CHOOSE(CONTROL!$C$27, 0.0021, 0)</f>
        <v>122.5217</v>
      </c>
      <c r="G978" s="14">
        <f>122.791 * CHOOSE(CONTROL!$C$9, $D$9, 100%, $F$9) + CHOOSE(CONTROL!$C$27, 0.0021, 0)</f>
        <v>122.7931</v>
      </c>
      <c r="H978" s="14">
        <f>122.6563 * CHOOSE(CONTROL!$C$9, $D$9, 100%, $F$9) + CHOOSE(CONTROL!$C$27, 0.0021, 0)</f>
        <v>122.6584</v>
      </c>
      <c r="I978" s="14">
        <f>122.6563 * CHOOSE(CONTROL!$C$9, $D$9, 100%, $F$9) + CHOOSE(CONTROL!$C$27, 0.0021, 0)</f>
        <v>122.6584</v>
      </c>
      <c r="J978" s="14">
        <f>122.6563 * CHOOSE(CONTROL!$C$9, $D$9, 100%, $F$9) + CHOOSE(CONTROL!$C$27, 0.0021, 0)</f>
        <v>122.6584</v>
      </c>
      <c r="K978" s="14">
        <f>122.6563 * CHOOSE(CONTROL!$C$9, $D$9, 100%, $F$9) + CHOOSE(CONTROL!$C$27, 0.0021, 0)</f>
        <v>122.6584</v>
      </c>
      <c r="L978" s="14"/>
    </row>
    <row r="979" spans="1:12" ht="15.75" x14ac:dyDescent="0.25">
      <c r="A979" s="32">
        <v>70737</v>
      </c>
      <c r="B979" s="14">
        <f>120.2765 * CHOOSE(CONTROL!$C$9, $D$9, 100%, $F$9) + CHOOSE(CONTROL!$C$27, 0.0021, 0)</f>
        <v>120.2786</v>
      </c>
      <c r="C979" s="14">
        <f>119.8442 * CHOOSE(CONTROL!$C$9, $D$9, 100%, $F$9) + CHOOSE(CONTROL!$C$27, 0.0021, 0)</f>
        <v>119.8463</v>
      </c>
      <c r="D979" s="14">
        <f>119.8442 * CHOOSE(CONTROL!$C$9, $D$9, 100%, $F$9) + CHOOSE(CONTROL!$C$27, 0.0021, 0)</f>
        <v>119.8463</v>
      </c>
      <c r="E979" s="14">
        <f>119.7075 * CHOOSE(CONTROL!$C$9, $D$9, 100%, $F$9) + CHOOSE(CONTROL!$C$27, 0.0021, 0)</f>
        <v>119.70959999999999</v>
      </c>
      <c r="F979" s="14">
        <f>119.7075 * CHOOSE(CONTROL!$C$9, $D$9, 100%, $F$9) + CHOOSE(CONTROL!$C$27, 0.0021, 0)</f>
        <v>119.70959999999999</v>
      </c>
      <c r="G979" s="14">
        <f>119.9789 * CHOOSE(CONTROL!$C$9, $D$9, 100%, $F$9) + CHOOSE(CONTROL!$C$27, 0.0021, 0)</f>
        <v>119.98099999999999</v>
      </c>
      <c r="H979" s="14">
        <f>119.8442 * CHOOSE(CONTROL!$C$9, $D$9, 100%, $F$9) + CHOOSE(CONTROL!$C$27, 0.0021, 0)</f>
        <v>119.8463</v>
      </c>
      <c r="I979" s="14">
        <f>119.8442 * CHOOSE(CONTROL!$C$9, $D$9, 100%, $F$9) + CHOOSE(CONTROL!$C$27, 0.0021, 0)</f>
        <v>119.8463</v>
      </c>
      <c r="J979" s="14">
        <f>119.8442 * CHOOSE(CONTROL!$C$9, $D$9, 100%, $F$9) + CHOOSE(CONTROL!$C$27, 0.0021, 0)</f>
        <v>119.8463</v>
      </c>
      <c r="K979" s="14">
        <f>119.8442 * CHOOSE(CONTROL!$C$9, $D$9, 100%, $F$9) + CHOOSE(CONTROL!$C$27, 0.0021, 0)</f>
        <v>119.8463</v>
      </c>
      <c r="L979" s="14"/>
    </row>
    <row r="980" spans="1:12" ht="15.75" x14ac:dyDescent="0.25">
      <c r="A980" s="32">
        <v>70767</v>
      </c>
      <c r="B980" s="14">
        <f>116.3549 * CHOOSE(CONTROL!$C$9, $D$9, 100%, $F$9) + CHOOSE(CONTROL!$C$27, 0.0021, 0)</f>
        <v>116.357</v>
      </c>
      <c r="C980" s="14">
        <f>115.9226 * CHOOSE(CONTROL!$C$9, $D$9, 100%, $F$9) + CHOOSE(CONTROL!$C$27, 0.0021, 0)</f>
        <v>115.9247</v>
      </c>
      <c r="D980" s="14">
        <f>115.9226 * CHOOSE(CONTROL!$C$9, $D$9, 100%, $F$9) + CHOOSE(CONTROL!$C$27, 0.0021, 0)</f>
        <v>115.9247</v>
      </c>
      <c r="E980" s="14">
        <f>115.786 * CHOOSE(CONTROL!$C$9, $D$9, 100%, $F$9) + CHOOSE(CONTROL!$C$27, 0.0021, 0)</f>
        <v>115.7881</v>
      </c>
      <c r="F980" s="14">
        <f>115.786 * CHOOSE(CONTROL!$C$9, $D$9, 100%, $F$9) + CHOOSE(CONTROL!$C$27, 0.0021, 0)</f>
        <v>115.7881</v>
      </c>
      <c r="G980" s="14">
        <f>116.0573 * CHOOSE(CONTROL!$C$9, $D$9, 100%, $F$9) + CHOOSE(CONTROL!$C$27, 0.0021, 0)</f>
        <v>116.0594</v>
      </c>
      <c r="H980" s="14">
        <f>115.9226 * CHOOSE(CONTROL!$C$9, $D$9, 100%, $F$9) + CHOOSE(CONTROL!$C$27, 0.0021, 0)</f>
        <v>115.9247</v>
      </c>
      <c r="I980" s="14">
        <f>115.9226 * CHOOSE(CONTROL!$C$9, $D$9, 100%, $F$9) + CHOOSE(CONTROL!$C$27, 0.0021, 0)</f>
        <v>115.9247</v>
      </c>
      <c r="J980" s="14">
        <f>115.9226 * CHOOSE(CONTROL!$C$9, $D$9, 100%, $F$9) + CHOOSE(CONTROL!$C$27, 0.0021, 0)</f>
        <v>115.9247</v>
      </c>
      <c r="K980" s="14">
        <f>115.9226 * CHOOSE(CONTROL!$C$9, $D$9, 100%, $F$9) + CHOOSE(CONTROL!$C$27, 0.0021, 0)</f>
        <v>115.9247</v>
      </c>
      <c r="L980" s="14"/>
    </row>
    <row r="981" spans="1:12" ht="15.75" x14ac:dyDescent="0.25">
      <c r="A981" s="32">
        <v>70798</v>
      </c>
      <c r="B981" s="14">
        <f>112.4105 * CHOOSE(CONTROL!$C$9, $D$9, 100%, $F$9) + CHOOSE(CONTROL!$C$27, 0.0021, 0)</f>
        <v>112.4126</v>
      </c>
      <c r="C981" s="14">
        <f>111.9782 * CHOOSE(CONTROL!$C$9, $D$9, 100%, $F$9) + CHOOSE(CONTROL!$C$27, 0.0021, 0)</f>
        <v>111.9803</v>
      </c>
      <c r="D981" s="14">
        <f>111.9782 * CHOOSE(CONTROL!$C$9, $D$9, 100%, $F$9) + CHOOSE(CONTROL!$C$27, 0.0021, 0)</f>
        <v>111.9803</v>
      </c>
      <c r="E981" s="14">
        <f>111.8416 * CHOOSE(CONTROL!$C$9, $D$9, 100%, $F$9) + CHOOSE(CONTROL!$C$27, 0.0021, 0)</f>
        <v>111.8437</v>
      </c>
      <c r="F981" s="14">
        <f>111.8416 * CHOOSE(CONTROL!$C$9, $D$9, 100%, $F$9) + CHOOSE(CONTROL!$C$27, 0.0021, 0)</f>
        <v>111.8437</v>
      </c>
      <c r="G981" s="14">
        <f>112.1129 * CHOOSE(CONTROL!$C$9, $D$9, 100%, $F$9) + CHOOSE(CONTROL!$C$27, 0.0021, 0)</f>
        <v>112.11499999999999</v>
      </c>
      <c r="H981" s="14">
        <f>111.9782 * CHOOSE(CONTROL!$C$9, $D$9, 100%, $F$9) + CHOOSE(CONTROL!$C$27, 0.0021, 0)</f>
        <v>111.9803</v>
      </c>
      <c r="I981" s="14">
        <f>111.9782 * CHOOSE(CONTROL!$C$9, $D$9, 100%, $F$9) + CHOOSE(CONTROL!$C$27, 0.0021, 0)</f>
        <v>111.9803</v>
      </c>
      <c r="J981" s="14">
        <f>111.9782 * CHOOSE(CONTROL!$C$9, $D$9, 100%, $F$9) + CHOOSE(CONTROL!$C$27, 0.0021, 0)</f>
        <v>111.9803</v>
      </c>
      <c r="K981" s="14">
        <f>111.9782 * CHOOSE(CONTROL!$C$9, $D$9, 100%, $F$9) + CHOOSE(CONTROL!$C$27, 0.0021, 0)</f>
        <v>111.9803</v>
      </c>
      <c r="L981" s="14"/>
    </row>
    <row r="982" spans="1:12" ht="15.75" x14ac:dyDescent="0.25">
      <c r="A982" s="32">
        <v>70828</v>
      </c>
      <c r="B982" s="14">
        <f>111.6258 * CHOOSE(CONTROL!$C$9, $D$9, 100%, $F$9) + CHOOSE(CONTROL!$C$27, 0.0021, 0)</f>
        <v>111.6279</v>
      </c>
      <c r="C982" s="14">
        <f>111.1936 * CHOOSE(CONTROL!$C$9, $D$9, 100%, $F$9) + CHOOSE(CONTROL!$C$27, 0.0021, 0)</f>
        <v>111.1957</v>
      </c>
      <c r="D982" s="14">
        <f>111.1936 * CHOOSE(CONTROL!$C$9, $D$9, 100%, $F$9) + CHOOSE(CONTROL!$C$27, 0.0021, 0)</f>
        <v>111.1957</v>
      </c>
      <c r="E982" s="14">
        <f>111.0569 * CHOOSE(CONTROL!$C$9, $D$9, 100%, $F$9) + CHOOSE(CONTROL!$C$27, 0.0021, 0)</f>
        <v>111.059</v>
      </c>
      <c r="F982" s="14">
        <f>111.0569 * CHOOSE(CONTROL!$C$9, $D$9, 100%, $F$9) + CHOOSE(CONTROL!$C$27, 0.0021, 0)</f>
        <v>111.059</v>
      </c>
      <c r="G982" s="14">
        <f>111.3283 * CHOOSE(CONTROL!$C$9, $D$9, 100%, $F$9) + CHOOSE(CONTROL!$C$27, 0.0021, 0)</f>
        <v>111.3304</v>
      </c>
      <c r="H982" s="14">
        <f>111.1936 * CHOOSE(CONTROL!$C$9, $D$9, 100%, $F$9) + CHOOSE(CONTROL!$C$27, 0.0021, 0)</f>
        <v>111.1957</v>
      </c>
      <c r="I982" s="14">
        <f>111.1936 * CHOOSE(CONTROL!$C$9, $D$9, 100%, $F$9) + CHOOSE(CONTROL!$C$27, 0.0021, 0)</f>
        <v>111.1957</v>
      </c>
      <c r="J982" s="14">
        <f>111.1936 * CHOOSE(CONTROL!$C$9, $D$9, 100%, $F$9) + CHOOSE(CONTROL!$C$27, 0.0021, 0)</f>
        <v>111.1957</v>
      </c>
      <c r="K982" s="14">
        <f>111.1936 * CHOOSE(CONTROL!$C$9, $D$9, 100%, $F$9) + CHOOSE(CONTROL!$C$27, 0.0021, 0)</f>
        <v>111.1957</v>
      </c>
      <c r="L982" s="14"/>
    </row>
    <row r="983" spans="1:12" ht="15.75" x14ac:dyDescent="0.25">
      <c r="A983" s="32">
        <v>70859</v>
      </c>
      <c r="B983" s="14">
        <f>108.3814 * CHOOSE(CONTROL!$C$9, $D$9, 100%, $F$9) + CHOOSE(CONTROL!$C$27, 0.0021, 0)</f>
        <v>108.3835</v>
      </c>
      <c r="C983" s="14">
        <f>107.9491 * CHOOSE(CONTROL!$C$9, $D$9, 100%, $F$9) + CHOOSE(CONTROL!$C$27, 0.0021, 0)</f>
        <v>107.9512</v>
      </c>
      <c r="D983" s="14">
        <f>107.9491 * CHOOSE(CONTROL!$C$9, $D$9, 100%, $F$9) + CHOOSE(CONTROL!$C$27, 0.0021, 0)</f>
        <v>107.9512</v>
      </c>
      <c r="E983" s="14">
        <f>107.8125 * CHOOSE(CONTROL!$C$9, $D$9, 100%, $F$9) + CHOOSE(CONTROL!$C$27, 0.0021, 0)</f>
        <v>107.8146</v>
      </c>
      <c r="F983" s="14">
        <f>107.8125 * CHOOSE(CONTROL!$C$9, $D$9, 100%, $F$9) + CHOOSE(CONTROL!$C$27, 0.0021, 0)</f>
        <v>107.8146</v>
      </c>
      <c r="G983" s="14">
        <f>108.0838 * CHOOSE(CONTROL!$C$9, $D$9, 100%, $F$9) + CHOOSE(CONTROL!$C$27, 0.0021, 0)</f>
        <v>108.0859</v>
      </c>
      <c r="H983" s="14">
        <f>107.9491 * CHOOSE(CONTROL!$C$9, $D$9, 100%, $F$9) + CHOOSE(CONTROL!$C$27, 0.0021, 0)</f>
        <v>107.9512</v>
      </c>
      <c r="I983" s="14">
        <f>107.9491 * CHOOSE(CONTROL!$C$9, $D$9, 100%, $F$9) + CHOOSE(CONTROL!$C$27, 0.0021, 0)</f>
        <v>107.9512</v>
      </c>
      <c r="J983" s="14">
        <f>107.9491 * CHOOSE(CONTROL!$C$9, $D$9, 100%, $F$9) + CHOOSE(CONTROL!$C$27, 0.0021, 0)</f>
        <v>107.9512</v>
      </c>
      <c r="K983" s="14">
        <f>107.9491 * CHOOSE(CONTROL!$C$9, $D$9, 100%, $F$9) + CHOOSE(CONTROL!$C$27, 0.0021, 0)</f>
        <v>107.9512</v>
      </c>
      <c r="L983" s="14"/>
    </row>
    <row r="984" spans="1:12" ht="15.75" x14ac:dyDescent="0.25">
      <c r="A984" s="32">
        <v>70890</v>
      </c>
      <c r="B984" s="14">
        <f>107.7497 * CHOOSE(CONTROL!$C$9, $D$9, 100%, $F$9) + CHOOSE(CONTROL!$C$27, 0.0021, 0)</f>
        <v>107.7518</v>
      </c>
      <c r="C984" s="14">
        <f>107.3175 * CHOOSE(CONTROL!$C$9, $D$9, 100%, $F$9) + CHOOSE(CONTROL!$C$27, 0.0021, 0)</f>
        <v>107.31959999999999</v>
      </c>
      <c r="D984" s="14">
        <f>107.3175 * CHOOSE(CONTROL!$C$9, $D$9, 100%, $F$9) + CHOOSE(CONTROL!$C$27, 0.0021, 0)</f>
        <v>107.31959999999999</v>
      </c>
      <c r="E984" s="14">
        <f>107.1808 * CHOOSE(CONTROL!$C$9, $D$9, 100%, $F$9) + CHOOSE(CONTROL!$C$27, 0.0021, 0)</f>
        <v>107.1829</v>
      </c>
      <c r="F984" s="14">
        <f>107.1808 * CHOOSE(CONTROL!$C$9, $D$9, 100%, $F$9) + CHOOSE(CONTROL!$C$27, 0.0021, 0)</f>
        <v>107.1829</v>
      </c>
      <c r="G984" s="14">
        <f>107.4522 * CHOOSE(CONTROL!$C$9, $D$9, 100%, $F$9) + CHOOSE(CONTROL!$C$27, 0.0021, 0)</f>
        <v>107.4543</v>
      </c>
      <c r="H984" s="14">
        <f>107.3175 * CHOOSE(CONTROL!$C$9, $D$9, 100%, $F$9) + CHOOSE(CONTROL!$C$27, 0.0021, 0)</f>
        <v>107.31959999999999</v>
      </c>
      <c r="I984" s="14">
        <f>107.3175 * CHOOSE(CONTROL!$C$9, $D$9, 100%, $F$9) + CHOOSE(CONTROL!$C$27, 0.0021, 0)</f>
        <v>107.31959999999999</v>
      </c>
      <c r="J984" s="14">
        <f>107.3175 * CHOOSE(CONTROL!$C$9, $D$9, 100%, $F$9) + CHOOSE(CONTROL!$C$27, 0.0021, 0)</f>
        <v>107.31959999999999</v>
      </c>
      <c r="K984" s="14">
        <f>107.3175 * CHOOSE(CONTROL!$C$9, $D$9, 100%, $F$9) + CHOOSE(CONTROL!$C$27, 0.0021, 0)</f>
        <v>107.31959999999999</v>
      </c>
      <c r="L984" s="14"/>
    </row>
    <row r="985" spans="1:12" ht="15.75" x14ac:dyDescent="0.25">
      <c r="A985" s="32">
        <v>70918</v>
      </c>
      <c r="B985" s="14">
        <f>107.4566 * CHOOSE(CONTROL!$C$9, $D$9, 100%, $F$9) + CHOOSE(CONTROL!$C$27, 0.0021, 0)</f>
        <v>107.45869999999999</v>
      </c>
      <c r="C985" s="14">
        <f>107.0243 * CHOOSE(CONTROL!$C$9, $D$9, 100%, $F$9) + CHOOSE(CONTROL!$C$27, 0.0021, 0)</f>
        <v>107.0264</v>
      </c>
      <c r="D985" s="14">
        <f>107.0243 * CHOOSE(CONTROL!$C$9, $D$9, 100%, $F$9) + CHOOSE(CONTROL!$C$27, 0.0021, 0)</f>
        <v>107.0264</v>
      </c>
      <c r="E985" s="14">
        <f>106.8877 * CHOOSE(CONTROL!$C$9, $D$9, 100%, $F$9) + CHOOSE(CONTROL!$C$27, 0.0021, 0)</f>
        <v>106.88979999999999</v>
      </c>
      <c r="F985" s="14">
        <f>106.8877 * CHOOSE(CONTROL!$C$9, $D$9, 100%, $F$9) + CHOOSE(CONTROL!$C$27, 0.0021, 0)</f>
        <v>106.88979999999999</v>
      </c>
      <c r="G985" s="14">
        <f>107.159 * CHOOSE(CONTROL!$C$9, $D$9, 100%, $F$9) + CHOOSE(CONTROL!$C$27, 0.0021, 0)</f>
        <v>107.1611</v>
      </c>
      <c r="H985" s="14">
        <f>107.0243 * CHOOSE(CONTROL!$C$9, $D$9, 100%, $F$9) + CHOOSE(CONTROL!$C$27, 0.0021, 0)</f>
        <v>107.0264</v>
      </c>
      <c r="I985" s="14">
        <f>107.0243 * CHOOSE(CONTROL!$C$9, $D$9, 100%, $F$9) + CHOOSE(CONTROL!$C$27, 0.0021, 0)</f>
        <v>107.0264</v>
      </c>
      <c r="J985" s="14">
        <f>107.0243 * CHOOSE(CONTROL!$C$9, $D$9, 100%, $F$9) + CHOOSE(CONTROL!$C$27, 0.0021, 0)</f>
        <v>107.0264</v>
      </c>
      <c r="K985" s="14">
        <f>107.0243 * CHOOSE(CONTROL!$C$9, $D$9, 100%, $F$9) + CHOOSE(CONTROL!$C$27, 0.0021, 0)</f>
        <v>107.0264</v>
      </c>
      <c r="L985" s="14"/>
    </row>
    <row r="986" spans="1:12" ht="15.75" x14ac:dyDescent="0.25">
      <c r="A986" s="32">
        <v>70949</v>
      </c>
      <c r="B986" s="14">
        <f>112.9993 * CHOOSE(CONTROL!$C$9, $D$9, 100%, $F$9) + CHOOSE(CONTROL!$C$27, 0.0021, 0)</f>
        <v>113.0014</v>
      </c>
      <c r="C986" s="14">
        <f>112.5671 * CHOOSE(CONTROL!$C$9, $D$9, 100%, $F$9) + CHOOSE(CONTROL!$C$27, 0.0021, 0)</f>
        <v>112.5692</v>
      </c>
      <c r="D986" s="14">
        <f>112.5671 * CHOOSE(CONTROL!$C$9, $D$9, 100%, $F$9) + CHOOSE(CONTROL!$C$27, 0.0021, 0)</f>
        <v>112.5692</v>
      </c>
      <c r="E986" s="14">
        <f>112.4304 * CHOOSE(CONTROL!$C$9, $D$9, 100%, $F$9) + CHOOSE(CONTROL!$C$27, 0.0021, 0)</f>
        <v>112.4325</v>
      </c>
      <c r="F986" s="14">
        <f>112.4304 * CHOOSE(CONTROL!$C$9, $D$9, 100%, $F$9) + CHOOSE(CONTROL!$C$27, 0.0021, 0)</f>
        <v>112.4325</v>
      </c>
      <c r="G986" s="14">
        <f>112.7018 * CHOOSE(CONTROL!$C$9, $D$9, 100%, $F$9) + CHOOSE(CONTROL!$C$27, 0.0021, 0)</f>
        <v>112.7039</v>
      </c>
      <c r="H986" s="14">
        <f>112.5671 * CHOOSE(CONTROL!$C$9, $D$9, 100%, $F$9) + CHOOSE(CONTROL!$C$27, 0.0021, 0)</f>
        <v>112.5692</v>
      </c>
      <c r="I986" s="14">
        <f>112.5671 * CHOOSE(CONTROL!$C$9, $D$9, 100%, $F$9) + CHOOSE(CONTROL!$C$27, 0.0021, 0)</f>
        <v>112.5692</v>
      </c>
      <c r="J986" s="14">
        <f>112.5671 * CHOOSE(CONTROL!$C$9, $D$9, 100%, $F$9) + CHOOSE(CONTROL!$C$27, 0.0021, 0)</f>
        <v>112.5692</v>
      </c>
      <c r="K986" s="14">
        <f>112.5671 * CHOOSE(CONTROL!$C$9, $D$9, 100%, $F$9) + CHOOSE(CONTROL!$C$27, 0.0021, 0)</f>
        <v>112.5692</v>
      </c>
      <c r="L986" s="14"/>
    </row>
    <row r="987" spans="1:12" ht="15.75" x14ac:dyDescent="0.25">
      <c r="A987" s="32">
        <v>70979</v>
      </c>
      <c r="B987" s="14">
        <f>120.187 * CHOOSE(CONTROL!$C$9, $D$9, 100%, $F$9) + CHOOSE(CONTROL!$C$27, 0.0021, 0)</f>
        <v>120.1891</v>
      </c>
      <c r="C987" s="14">
        <f>119.7547 * CHOOSE(CONTROL!$C$9, $D$9, 100%, $F$9) + CHOOSE(CONTROL!$C$27, 0.0021, 0)</f>
        <v>119.7568</v>
      </c>
      <c r="D987" s="14">
        <f>119.7547 * CHOOSE(CONTROL!$C$9, $D$9, 100%, $F$9) + CHOOSE(CONTROL!$C$27, 0.0021, 0)</f>
        <v>119.7568</v>
      </c>
      <c r="E987" s="14">
        <f>119.6181 * CHOOSE(CONTROL!$C$9, $D$9, 100%, $F$9) + CHOOSE(CONTROL!$C$27, 0.0021, 0)</f>
        <v>119.6202</v>
      </c>
      <c r="F987" s="14">
        <f>119.6181 * CHOOSE(CONTROL!$C$9, $D$9, 100%, $F$9) + CHOOSE(CONTROL!$C$27, 0.0021, 0)</f>
        <v>119.6202</v>
      </c>
      <c r="G987" s="14">
        <f>119.8894 * CHOOSE(CONTROL!$C$9, $D$9, 100%, $F$9) + CHOOSE(CONTROL!$C$27, 0.0021, 0)</f>
        <v>119.89149999999999</v>
      </c>
      <c r="H987" s="14">
        <f>119.7547 * CHOOSE(CONTROL!$C$9, $D$9, 100%, $F$9) + CHOOSE(CONTROL!$C$27, 0.0021, 0)</f>
        <v>119.7568</v>
      </c>
      <c r="I987" s="14">
        <f>119.7547 * CHOOSE(CONTROL!$C$9, $D$9, 100%, $F$9) + CHOOSE(CONTROL!$C$27, 0.0021, 0)</f>
        <v>119.7568</v>
      </c>
      <c r="J987" s="14">
        <f>119.7547 * CHOOSE(CONTROL!$C$9, $D$9, 100%, $F$9) + CHOOSE(CONTROL!$C$27, 0.0021, 0)</f>
        <v>119.7568</v>
      </c>
      <c r="K987" s="14">
        <f>119.7547 * CHOOSE(CONTROL!$C$9, $D$9, 100%, $F$9) + CHOOSE(CONTROL!$C$27, 0.0021, 0)</f>
        <v>119.7568</v>
      </c>
      <c r="L987" s="14"/>
    </row>
    <row r="988" spans="1:12" ht="15.75" x14ac:dyDescent="0.25">
      <c r="A988" s="32">
        <v>71010</v>
      </c>
      <c r="B988" s="14">
        <f>124.1433 * CHOOSE(CONTROL!$C$9, $D$9, 100%, $F$9) + CHOOSE(CONTROL!$C$27, 0.0021, 0)</f>
        <v>124.1454</v>
      </c>
      <c r="C988" s="14">
        <f>123.711 * CHOOSE(CONTROL!$C$9, $D$9, 100%, $F$9) + CHOOSE(CONTROL!$C$27, 0.0021, 0)</f>
        <v>123.7131</v>
      </c>
      <c r="D988" s="14">
        <f>123.711 * CHOOSE(CONTROL!$C$9, $D$9, 100%, $F$9) + CHOOSE(CONTROL!$C$27, 0.0021, 0)</f>
        <v>123.7131</v>
      </c>
      <c r="E988" s="14">
        <f>123.5744 * CHOOSE(CONTROL!$C$9, $D$9, 100%, $F$9) + CHOOSE(CONTROL!$C$27, 0.0021, 0)</f>
        <v>123.5765</v>
      </c>
      <c r="F988" s="14">
        <f>123.5744 * CHOOSE(CONTROL!$C$9, $D$9, 100%, $F$9) + CHOOSE(CONTROL!$C$27, 0.0021, 0)</f>
        <v>123.5765</v>
      </c>
      <c r="G988" s="14">
        <f>123.8457 * CHOOSE(CONTROL!$C$9, $D$9, 100%, $F$9) + CHOOSE(CONTROL!$C$27, 0.0021, 0)</f>
        <v>123.84779999999999</v>
      </c>
      <c r="H988" s="14">
        <f>123.711 * CHOOSE(CONTROL!$C$9, $D$9, 100%, $F$9) + CHOOSE(CONTROL!$C$27, 0.0021, 0)</f>
        <v>123.7131</v>
      </c>
      <c r="I988" s="14">
        <f>123.711 * CHOOSE(CONTROL!$C$9, $D$9, 100%, $F$9) + CHOOSE(CONTROL!$C$27, 0.0021, 0)</f>
        <v>123.7131</v>
      </c>
      <c r="J988" s="14">
        <f>123.711 * CHOOSE(CONTROL!$C$9, $D$9, 100%, $F$9) + CHOOSE(CONTROL!$C$27, 0.0021, 0)</f>
        <v>123.7131</v>
      </c>
      <c r="K988" s="14">
        <f>123.711 * CHOOSE(CONTROL!$C$9, $D$9, 100%, $F$9) + CHOOSE(CONTROL!$C$27, 0.0021, 0)</f>
        <v>123.7131</v>
      </c>
      <c r="L988" s="14"/>
    </row>
    <row r="989" spans="1:12" ht="15.75" x14ac:dyDescent="0.25">
      <c r="A989" s="32">
        <v>71040</v>
      </c>
      <c r="B989" s="14">
        <f>125.899 * CHOOSE(CONTROL!$C$9, $D$9, 100%, $F$9) + CHOOSE(CONTROL!$C$27, 0.0021, 0)</f>
        <v>125.9011</v>
      </c>
      <c r="C989" s="14">
        <f>125.4668 * CHOOSE(CONTROL!$C$9, $D$9, 100%, $F$9) + CHOOSE(CONTROL!$C$27, 0.0021, 0)</f>
        <v>125.4689</v>
      </c>
      <c r="D989" s="14">
        <f>125.4668 * CHOOSE(CONTROL!$C$9, $D$9, 100%, $F$9) + CHOOSE(CONTROL!$C$27, 0.0021, 0)</f>
        <v>125.4689</v>
      </c>
      <c r="E989" s="14">
        <f>125.3301 * CHOOSE(CONTROL!$C$9, $D$9, 100%, $F$9) + CHOOSE(CONTROL!$C$27, 0.0021, 0)</f>
        <v>125.3322</v>
      </c>
      <c r="F989" s="14">
        <f>125.3301 * CHOOSE(CONTROL!$C$9, $D$9, 100%, $F$9) + CHOOSE(CONTROL!$C$27, 0.0021, 0)</f>
        <v>125.3322</v>
      </c>
      <c r="G989" s="14">
        <f>125.6015 * CHOOSE(CONTROL!$C$9, $D$9, 100%, $F$9) + CHOOSE(CONTROL!$C$27, 0.0021, 0)</f>
        <v>125.6036</v>
      </c>
      <c r="H989" s="14">
        <f>125.4668 * CHOOSE(CONTROL!$C$9, $D$9, 100%, $F$9) + CHOOSE(CONTROL!$C$27, 0.0021, 0)</f>
        <v>125.4689</v>
      </c>
      <c r="I989" s="14">
        <f>125.4668 * CHOOSE(CONTROL!$C$9, $D$9, 100%, $F$9) + CHOOSE(CONTROL!$C$27, 0.0021, 0)</f>
        <v>125.4689</v>
      </c>
      <c r="J989" s="14">
        <f>125.4668 * CHOOSE(CONTROL!$C$9, $D$9, 100%, $F$9) + CHOOSE(CONTROL!$C$27, 0.0021, 0)</f>
        <v>125.4689</v>
      </c>
      <c r="K989" s="14">
        <f>125.4668 * CHOOSE(CONTROL!$C$9, $D$9, 100%, $F$9) + CHOOSE(CONTROL!$C$27, 0.0021, 0)</f>
        <v>125.4689</v>
      </c>
      <c r="L989" s="14"/>
    </row>
    <row r="990" spans="1:12" ht="15.75" x14ac:dyDescent="0.25">
      <c r="A990" s="32">
        <v>71071</v>
      </c>
      <c r="B990" s="14">
        <f>125.3209 * CHOOSE(CONTROL!$C$9, $D$9, 100%, $F$9) + CHOOSE(CONTROL!$C$27, 0.0021, 0)</f>
        <v>125.32299999999999</v>
      </c>
      <c r="C990" s="14">
        <f>124.8887 * CHOOSE(CONTROL!$C$9, $D$9, 100%, $F$9) + CHOOSE(CONTROL!$C$27, 0.0021, 0)</f>
        <v>124.8908</v>
      </c>
      <c r="D990" s="14">
        <f>124.8887 * CHOOSE(CONTROL!$C$9, $D$9, 100%, $F$9) + CHOOSE(CONTROL!$C$27, 0.0021, 0)</f>
        <v>124.8908</v>
      </c>
      <c r="E990" s="14">
        <f>124.752 * CHOOSE(CONTROL!$C$9, $D$9, 100%, $F$9) + CHOOSE(CONTROL!$C$27, 0.0021, 0)</f>
        <v>124.75409999999999</v>
      </c>
      <c r="F990" s="14">
        <f>124.752 * CHOOSE(CONTROL!$C$9, $D$9, 100%, $F$9) + CHOOSE(CONTROL!$C$27, 0.0021, 0)</f>
        <v>124.75409999999999</v>
      </c>
      <c r="G990" s="14">
        <f>125.0234 * CHOOSE(CONTROL!$C$9, $D$9, 100%, $F$9) + CHOOSE(CONTROL!$C$27, 0.0021, 0)</f>
        <v>125.02549999999999</v>
      </c>
      <c r="H990" s="14">
        <f>124.8887 * CHOOSE(CONTROL!$C$9, $D$9, 100%, $F$9) + CHOOSE(CONTROL!$C$27, 0.0021, 0)</f>
        <v>124.8908</v>
      </c>
      <c r="I990" s="14">
        <f>124.8887 * CHOOSE(CONTROL!$C$9, $D$9, 100%, $F$9) + CHOOSE(CONTROL!$C$27, 0.0021, 0)</f>
        <v>124.8908</v>
      </c>
      <c r="J990" s="14">
        <f>124.8887 * CHOOSE(CONTROL!$C$9, $D$9, 100%, $F$9) + CHOOSE(CONTROL!$C$27, 0.0021, 0)</f>
        <v>124.8908</v>
      </c>
      <c r="K990" s="14">
        <f>124.8887 * CHOOSE(CONTROL!$C$9, $D$9, 100%, $F$9) + CHOOSE(CONTROL!$C$27, 0.0021, 0)</f>
        <v>124.8908</v>
      </c>
      <c r="L990" s="14"/>
    </row>
    <row r="991" spans="1:12" ht="15.75" x14ac:dyDescent="0.25">
      <c r="A991" s="32">
        <v>71102</v>
      </c>
      <c r="B991" s="14">
        <f>122.4569 * CHOOSE(CONTROL!$C$9, $D$9, 100%, $F$9) + CHOOSE(CONTROL!$C$27, 0.0021, 0)</f>
        <v>122.459</v>
      </c>
      <c r="C991" s="14">
        <f>122.0246 * CHOOSE(CONTROL!$C$9, $D$9, 100%, $F$9) + CHOOSE(CONTROL!$C$27, 0.0021, 0)</f>
        <v>122.02670000000001</v>
      </c>
      <c r="D991" s="14">
        <f>122.0246 * CHOOSE(CONTROL!$C$9, $D$9, 100%, $F$9) + CHOOSE(CONTROL!$C$27, 0.0021, 0)</f>
        <v>122.02670000000001</v>
      </c>
      <c r="E991" s="14">
        <f>121.888 * CHOOSE(CONTROL!$C$9, $D$9, 100%, $F$9) + CHOOSE(CONTROL!$C$27, 0.0021, 0)</f>
        <v>121.8901</v>
      </c>
      <c r="F991" s="14">
        <f>121.888 * CHOOSE(CONTROL!$C$9, $D$9, 100%, $F$9) + CHOOSE(CONTROL!$C$27, 0.0021, 0)</f>
        <v>121.8901</v>
      </c>
      <c r="G991" s="14">
        <f>122.1594 * CHOOSE(CONTROL!$C$9, $D$9, 100%, $F$9) + CHOOSE(CONTROL!$C$27, 0.0021, 0)</f>
        <v>122.1615</v>
      </c>
      <c r="H991" s="14">
        <f>122.0246 * CHOOSE(CONTROL!$C$9, $D$9, 100%, $F$9) + CHOOSE(CONTROL!$C$27, 0.0021, 0)</f>
        <v>122.02670000000001</v>
      </c>
      <c r="I991" s="14">
        <f>122.0246 * CHOOSE(CONTROL!$C$9, $D$9, 100%, $F$9) + CHOOSE(CONTROL!$C$27, 0.0021, 0)</f>
        <v>122.02670000000001</v>
      </c>
      <c r="J991" s="14">
        <f>122.0246 * CHOOSE(CONTROL!$C$9, $D$9, 100%, $F$9) + CHOOSE(CONTROL!$C$27, 0.0021, 0)</f>
        <v>122.02670000000001</v>
      </c>
      <c r="K991" s="14">
        <f>122.0246 * CHOOSE(CONTROL!$C$9, $D$9, 100%, $F$9) + CHOOSE(CONTROL!$C$27, 0.0021, 0)</f>
        <v>122.02670000000001</v>
      </c>
      <c r="L991" s="14"/>
    </row>
    <row r="992" spans="1:12" ht="15.75" x14ac:dyDescent="0.25">
      <c r="A992" s="32">
        <v>71132</v>
      </c>
      <c r="B992" s="14">
        <f>118.4628 * CHOOSE(CONTROL!$C$9, $D$9, 100%, $F$9) + CHOOSE(CONTROL!$C$27, 0.0021, 0)</f>
        <v>118.4649</v>
      </c>
      <c r="C992" s="14">
        <f>118.0306 * CHOOSE(CONTROL!$C$9, $D$9, 100%, $F$9) + CHOOSE(CONTROL!$C$27, 0.0021, 0)</f>
        <v>118.03270000000001</v>
      </c>
      <c r="D992" s="14">
        <f>118.0306 * CHOOSE(CONTROL!$C$9, $D$9, 100%, $F$9) + CHOOSE(CONTROL!$C$27, 0.0021, 0)</f>
        <v>118.03270000000001</v>
      </c>
      <c r="E992" s="14">
        <f>117.8939 * CHOOSE(CONTROL!$C$9, $D$9, 100%, $F$9) + CHOOSE(CONTROL!$C$27, 0.0021, 0)</f>
        <v>117.896</v>
      </c>
      <c r="F992" s="14">
        <f>117.8939 * CHOOSE(CONTROL!$C$9, $D$9, 100%, $F$9) + CHOOSE(CONTROL!$C$27, 0.0021, 0)</f>
        <v>117.896</v>
      </c>
      <c r="G992" s="14">
        <f>118.1653 * CHOOSE(CONTROL!$C$9, $D$9, 100%, $F$9) + CHOOSE(CONTROL!$C$27, 0.0021, 0)</f>
        <v>118.1674</v>
      </c>
      <c r="H992" s="14">
        <f>118.0306 * CHOOSE(CONTROL!$C$9, $D$9, 100%, $F$9) + CHOOSE(CONTROL!$C$27, 0.0021, 0)</f>
        <v>118.03270000000001</v>
      </c>
      <c r="I992" s="14">
        <f>118.0306 * CHOOSE(CONTROL!$C$9, $D$9, 100%, $F$9) + CHOOSE(CONTROL!$C$27, 0.0021, 0)</f>
        <v>118.03270000000001</v>
      </c>
      <c r="J992" s="14">
        <f>118.0306 * CHOOSE(CONTROL!$C$9, $D$9, 100%, $F$9) + CHOOSE(CONTROL!$C$27, 0.0021, 0)</f>
        <v>118.03270000000001</v>
      </c>
      <c r="K992" s="14">
        <f>118.0306 * CHOOSE(CONTROL!$C$9, $D$9, 100%, $F$9) + CHOOSE(CONTROL!$C$27, 0.0021, 0)</f>
        <v>118.03270000000001</v>
      </c>
      <c r="L992" s="14"/>
    </row>
    <row r="993" spans="1:12" ht="15.75" x14ac:dyDescent="0.25">
      <c r="A993" s="32">
        <v>71163</v>
      </c>
      <c r="B993" s="14">
        <f>114.4455 * CHOOSE(CONTROL!$C$9, $D$9, 100%, $F$9) + CHOOSE(CONTROL!$C$27, 0.0021, 0)</f>
        <v>114.44759999999999</v>
      </c>
      <c r="C993" s="14">
        <f>114.0133 * CHOOSE(CONTROL!$C$9, $D$9, 100%, $F$9) + CHOOSE(CONTROL!$C$27, 0.0021, 0)</f>
        <v>114.0154</v>
      </c>
      <c r="D993" s="14">
        <f>114.0133 * CHOOSE(CONTROL!$C$9, $D$9, 100%, $F$9) + CHOOSE(CONTROL!$C$27, 0.0021, 0)</f>
        <v>114.0154</v>
      </c>
      <c r="E993" s="14">
        <f>113.8766 * CHOOSE(CONTROL!$C$9, $D$9, 100%, $F$9) + CHOOSE(CONTROL!$C$27, 0.0021, 0)</f>
        <v>113.87869999999999</v>
      </c>
      <c r="F993" s="14">
        <f>113.8766 * CHOOSE(CONTROL!$C$9, $D$9, 100%, $F$9) + CHOOSE(CONTROL!$C$27, 0.0021, 0)</f>
        <v>113.87869999999999</v>
      </c>
      <c r="G993" s="14">
        <f>114.148 * CHOOSE(CONTROL!$C$9, $D$9, 100%, $F$9) + CHOOSE(CONTROL!$C$27, 0.0021, 0)</f>
        <v>114.15009999999999</v>
      </c>
      <c r="H993" s="14">
        <f>114.0133 * CHOOSE(CONTROL!$C$9, $D$9, 100%, $F$9) + CHOOSE(CONTROL!$C$27, 0.0021, 0)</f>
        <v>114.0154</v>
      </c>
      <c r="I993" s="14">
        <f>114.0133 * CHOOSE(CONTROL!$C$9, $D$9, 100%, $F$9) + CHOOSE(CONTROL!$C$27, 0.0021, 0)</f>
        <v>114.0154</v>
      </c>
      <c r="J993" s="14">
        <f>114.0133 * CHOOSE(CONTROL!$C$9, $D$9, 100%, $F$9) + CHOOSE(CONTROL!$C$27, 0.0021, 0)</f>
        <v>114.0154</v>
      </c>
      <c r="K993" s="14">
        <f>114.0133 * CHOOSE(CONTROL!$C$9, $D$9, 100%, $F$9) + CHOOSE(CONTROL!$C$27, 0.0021, 0)</f>
        <v>114.0154</v>
      </c>
      <c r="L993" s="14"/>
    </row>
    <row r="994" spans="1:12" ht="15.75" x14ac:dyDescent="0.25">
      <c r="A994" s="32">
        <v>71193</v>
      </c>
      <c r="B994" s="14">
        <f>113.6464 * CHOOSE(CONTROL!$C$9, $D$9, 100%, $F$9) + CHOOSE(CONTROL!$C$27, 0.0021, 0)</f>
        <v>113.6485</v>
      </c>
      <c r="C994" s="14">
        <f>113.2142 * CHOOSE(CONTROL!$C$9, $D$9, 100%, $F$9) + CHOOSE(CONTROL!$C$27, 0.0021, 0)</f>
        <v>113.2163</v>
      </c>
      <c r="D994" s="14">
        <f>113.2142 * CHOOSE(CONTROL!$C$9, $D$9, 100%, $F$9) + CHOOSE(CONTROL!$C$27, 0.0021, 0)</f>
        <v>113.2163</v>
      </c>
      <c r="E994" s="14">
        <f>113.0775 * CHOOSE(CONTROL!$C$9, $D$9, 100%, $F$9) + CHOOSE(CONTROL!$C$27, 0.0021, 0)</f>
        <v>113.0796</v>
      </c>
      <c r="F994" s="14">
        <f>113.0775 * CHOOSE(CONTROL!$C$9, $D$9, 100%, $F$9) + CHOOSE(CONTROL!$C$27, 0.0021, 0)</f>
        <v>113.0796</v>
      </c>
      <c r="G994" s="14">
        <f>113.3489 * CHOOSE(CONTROL!$C$9, $D$9, 100%, $F$9) + CHOOSE(CONTROL!$C$27, 0.0021, 0)</f>
        <v>113.351</v>
      </c>
      <c r="H994" s="14">
        <f>113.2142 * CHOOSE(CONTROL!$C$9, $D$9, 100%, $F$9) + CHOOSE(CONTROL!$C$27, 0.0021, 0)</f>
        <v>113.2163</v>
      </c>
      <c r="I994" s="14">
        <f>113.2142 * CHOOSE(CONTROL!$C$9, $D$9, 100%, $F$9) + CHOOSE(CONTROL!$C$27, 0.0021, 0)</f>
        <v>113.2163</v>
      </c>
      <c r="J994" s="14">
        <f>113.2142 * CHOOSE(CONTROL!$C$9, $D$9, 100%, $F$9) + CHOOSE(CONTROL!$C$27, 0.0021, 0)</f>
        <v>113.2163</v>
      </c>
      <c r="K994" s="14">
        <f>113.2142 * CHOOSE(CONTROL!$C$9, $D$9, 100%, $F$9) + CHOOSE(CONTROL!$C$27, 0.0021, 0)</f>
        <v>113.2163</v>
      </c>
      <c r="L994" s="14"/>
    </row>
    <row r="995" spans="1:12" ht="15.75" x14ac:dyDescent="0.25">
      <c r="A995" s="32">
        <v>71224</v>
      </c>
      <c r="B995" s="14">
        <f>110.342 * CHOOSE(CONTROL!$C$9, $D$9, 100%, $F$9) + CHOOSE(CONTROL!$C$27, 0.0021, 0)</f>
        <v>110.3441</v>
      </c>
      <c r="C995" s="14">
        <f>109.9097 * CHOOSE(CONTROL!$C$9, $D$9, 100%, $F$9) + CHOOSE(CONTROL!$C$27, 0.0021, 0)</f>
        <v>109.9118</v>
      </c>
      <c r="D995" s="14">
        <f>109.9097 * CHOOSE(CONTROL!$C$9, $D$9, 100%, $F$9) + CHOOSE(CONTROL!$C$27, 0.0021, 0)</f>
        <v>109.9118</v>
      </c>
      <c r="E995" s="14">
        <f>109.7731 * CHOOSE(CONTROL!$C$9, $D$9, 100%, $F$9) + CHOOSE(CONTROL!$C$27, 0.0021, 0)</f>
        <v>109.7752</v>
      </c>
      <c r="F995" s="14">
        <f>109.7731 * CHOOSE(CONTROL!$C$9, $D$9, 100%, $F$9) + CHOOSE(CONTROL!$C$27, 0.0021, 0)</f>
        <v>109.7752</v>
      </c>
      <c r="G995" s="14">
        <f>110.0444 * CHOOSE(CONTROL!$C$9, $D$9, 100%, $F$9) + CHOOSE(CONTROL!$C$27, 0.0021, 0)</f>
        <v>110.04649999999999</v>
      </c>
      <c r="H995" s="14">
        <f>109.9097 * CHOOSE(CONTROL!$C$9, $D$9, 100%, $F$9) + CHOOSE(CONTROL!$C$27, 0.0021, 0)</f>
        <v>109.9118</v>
      </c>
      <c r="I995" s="14">
        <f>109.9097 * CHOOSE(CONTROL!$C$9, $D$9, 100%, $F$9) + CHOOSE(CONTROL!$C$27, 0.0021, 0)</f>
        <v>109.9118</v>
      </c>
      <c r="J995" s="14">
        <f>109.9097 * CHOOSE(CONTROL!$C$9, $D$9, 100%, $F$9) + CHOOSE(CONTROL!$C$27, 0.0021, 0)</f>
        <v>109.9118</v>
      </c>
      <c r="K995" s="14">
        <f>109.9097 * CHOOSE(CONTROL!$C$9, $D$9, 100%, $F$9) + CHOOSE(CONTROL!$C$27, 0.0021, 0)</f>
        <v>109.9118</v>
      </c>
      <c r="L995" s="14"/>
    </row>
    <row r="996" spans="1:12" ht="15.75" x14ac:dyDescent="0.25">
      <c r="A996" s="32">
        <v>71255</v>
      </c>
      <c r="B996" s="14">
        <f>109.6986 * CHOOSE(CONTROL!$C$9, $D$9, 100%, $F$9) + CHOOSE(CONTROL!$C$27, 0.0021, 0)</f>
        <v>109.7007</v>
      </c>
      <c r="C996" s="14">
        <f>109.2664 * CHOOSE(CONTROL!$C$9, $D$9, 100%, $F$9) + CHOOSE(CONTROL!$C$27, 0.0021, 0)</f>
        <v>109.2685</v>
      </c>
      <c r="D996" s="14">
        <f>109.2664 * CHOOSE(CONTROL!$C$9, $D$9, 100%, $F$9) + CHOOSE(CONTROL!$C$27, 0.0021, 0)</f>
        <v>109.2685</v>
      </c>
      <c r="E996" s="14">
        <f>109.1297 * CHOOSE(CONTROL!$C$9, $D$9, 100%, $F$9) + CHOOSE(CONTROL!$C$27, 0.0021, 0)</f>
        <v>109.1318</v>
      </c>
      <c r="F996" s="14">
        <f>109.1297 * CHOOSE(CONTROL!$C$9, $D$9, 100%, $F$9) + CHOOSE(CONTROL!$C$27, 0.0021, 0)</f>
        <v>109.1318</v>
      </c>
      <c r="G996" s="14">
        <f>109.4011 * CHOOSE(CONTROL!$C$9, $D$9, 100%, $F$9) + CHOOSE(CONTROL!$C$27, 0.0021, 0)</f>
        <v>109.4032</v>
      </c>
      <c r="H996" s="14">
        <f>109.2664 * CHOOSE(CONTROL!$C$9, $D$9, 100%, $F$9) + CHOOSE(CONTROL!$C$27, 0.0021, 0)</f>
        <v>109.2685</v>
      </c>
      <c r="I996" s="14">
        <f>109.2664 * CHOOSE(CONTROL!$C$9, $D$9, 100%, $F$9) + CHOOSE(CONTROL!$C$27, 0.0021, 0)</f>
        <v>109.2685</v>
      </c>
      <c r="J996" s="14">
        <f>109.2664 * CHOOSE(CONTROL!$C$9, $D$9, 100%, $F$9) + CHOOSE(CONTROL!$C$27, 0.0021, 0)</f>
        <v>109.2685</v>
      </c>
      <c r="K996" s="14">
        <f>109.2664 * CHOOSE(CONTROL!$C$9, $D$9, 100%, $F$9) + CHOOSE(CONTROL!$C$27, 0.0021, 0)</f>
        <v>109.2685</v>
      </c>
      <c r="L996" s="14"/>
    </row>
    <row r="997" spans="1:12" ht="15.75" x14ac:dyDescent="0.25">
      <c r="A997" s="32">
        <v>71283</v>
      </c>
      <c r="B997" s="14">
        <f>109.4001 * CHOOSE(CONTROL!$C$9, $D$9, 100%, $F$9) + CHOOSE(CONTROL!$C$27, 0.0021, 0)</f>
        <v>109.40219999999999</v>
      </c>
      <c r="C997" s="14">
        <f>108.9678 * CHOOSE(CONTROL!$C$9, $D$9, 100%, $F$9) + CHOOSE(CONTROL!$C$27, 0.0021, 0)</f>
        <v>108.9699</v>
      </c>
      <c r="D997" s="14">
        <f>108.9678 * CHOOSE(CONTROL!$C$9, $D$9, 100%, $F$9) + CHOOSE(CONTROL!$C$27, 0.0021, 0)</f>
        <v>108.9699</v>
      </c>
      <c r="E997" s="14">
        <f>108.8312 * CHOOSE(CONTROL!$C$9, $D$9, 100%, $F$9) + CHOOSE(CONTROL!$C$27, 0.0021, 0)</f>
        <v>108.83329999999999</v>
      </c>
      <c r="F997" s="14">
        <f>108.8312 * CHOOSE(CONTROL!$C$9, $D$9, 100%, $F$9) + CHOOSE(CONTROL!$C$27, 0.0021, 0)</f>
        <v>108.83329999999999</v>
      </c>
      <c r="G997" s="14">
        <f>109.1025 * CHOOSE(CONTROL!$C$9, $D$9, 100%, $F$9) + CHOOSE(CONTROL!$C$27, 0.0021, 0)</f>
        <v>109.1046</v>
      </c>
      <c r="H997" s="14">
        <f>108.9678 * CHOOSE(CONTROL!$C$9, $D$9, 100%, $F$9) + CHOOSE(CONTROL!$C$27, 0.0021, 0)</f>
        <v>108.9699</v>
      </c>
      <c r="I997" s="14">
        <f>108.9678 * CHOOSE(CONTROL!$C$9, $D$9, 100%, $F$9) + CHOOSE(CONTROL!$C$27, 0.0021, 0)</f>
        <v>108.9699</v>
      </c>
      <c r="J997" s="14">
        <f>108.9678 * CHOOSE(CONTROL!$C$9, $D$9, 100%, $F$9) + CHOOSE(CONTROL!$C$27, 0.0021, 0)</f>
        <v>108.9699</v>
      </c>
      <c r="K997" s="14">
        <f>108.9678 * CHOOSE(CONTROL!$C$9, $D$9, 100%, $F$9) + CHOOSE(CONTROL!$C$27, 0.0021, 0)</f>
        <v>108.9699</v>
      </c>
      <c r="L997" s="14"/>
    </row>
    <row r="998" spans="1:12" ht="15.75" x14ac:dyDescent="0.25">
      <c r="A998" s="32">
        <v>71314</v>
      </c>
      <c r="B998" s="14">
        <f>115.0453 * CHOOSE(CONTROL!$C$9, $D$9, 100%, $F$9) + CHOOSE(CONTROL!$C$27, 0.0021, 0)</f>
        <v>115.0474</v>
      </c>
      <c r="C998" s="14">
        <f>114.613 * CHOOSE(CONTROL!$C$9, $D$9, 100%, $F$9) + CHOOSE(CONTROL!$C$27, 0.0021, 0)</f>
        <v>114.6151</v>
      </c>
      <c r="D998" s="14">
        <f>114.613 * CHOOSE(CONTROL!$C$9, $D$9, 100%, $F$9) + CHOOSE(CONTROL!$C$27, 0.0021, 0)</f>
        <v>114.6151</v>
      </c>
      <c r="E998" s="14">
        <f>114.4764 * CHOOSE(CONTROL!$C$9, $D$9, 100%, $F$9) + CHOOSE(CONTROL!$C$27, 0.0021, 0)</f>
        <v>114.4785</v>
      </c>
      <c r="F998" s="14">
        <f>114.4764 * CHOOSE(CONTROL!$C$9, $D$9, 100%, $F$9) + CHOOSE(CONTROL!$C$27, 0.0021, 0)</f>
        <v>114.4785</v>
      </c>
      <c r="G998" s="14">
        <f>114.7477 * CHOOSE(CONTROL!$C$9, $D$9, 100%, $F$9) + CHOOSE(CONTROL!$C$27, 0.0021, 0)</f>
        <v>114.74979999999999</v>
      </c>
      <c r="H998" s="14">
        <f>114.613 * CHOOSE(CONTROL!$C$9, $D$9, 100%, $F$9) + CHOOSE(CONTROL!$C$27, 0.0021, 0)</f>
        <v>114.6151</v>
      </c>
      <c r="I998" s="14">
        <f>114.613 * CHOOSE(CONTROL!$C$9, $D$9, 100%, $F$9) + CHOOSE(CONTROL!$C$27, 0.0021, 0)</f>
        <v>114.6151</v>
      </c>
      <c r="J998" s="14">
        <f>114.613 * CHOOSE(CONTROL!$C$9, $D$9, 100%, $F$9) + CHOOSE(CONTROL!$C$27, 0.0021, 0)</f>
        <v>114.6151</v>
      </c>
      <c r="K998" s="14">
        <f>114.613 * CHOOSE(CONTROL!$C$9, $D$9, 100%, $F$9) + CHOOSE(CONTROL!$C$27, 0.0021, 0)</f>
        <v>114.6151</v>
      </c>
      <c r="L998" s="14"/>
    </row>
    <row r="999" spans="1:12" ht="15.75" x14ac:dyDescent="0.25">
      <c r="A999" s="32">
        <v>71344</v>
      </c>
      <c r="B999" s="14">
        <f>122.3657 * CHOOSE(CONTROL!$C$9, $D$9, 100%, $F$9) + CHOOSE(CONTROL!$C$27, 0.0021, 0)</f>
        <v>122.3678</v>
      </c>
      <c r="C999" s="14">
        <f>121.9335 * CHOOSE(CONTROL!$C$9, $D$9, 100%, $F$9) + CHOOSE(CONTROL!$C$27, 0.0021, 0)</f>
        <v>121.93559999999999</v>
      </c>
      <c r="D999" s="14">
        <f>121.9335 * CHOOSE(CONTROL!$C$9, $D$9, 100%, $F$9) + CHOOSE(CONTROL!$C$27, 0.0021, 0)</f>
        <v>121.93559999999999</v>
      </c>
      <c r="E999" s="14">
        <f>121.7968 * CHOOSE(CONTROL!$C$9, $D$9, 100%, $F$9) + CHOOSE(CONTROL!$C$27, 0.0021, 0)</f>
        <v>121.7989</v>
      </c>
      <c r="F999" s="14">
        <f>121.7968 * CHOOSE(CONTROL!$C$9, $D$9, 100%, $F$9) + CHOOSE(CONTROL!$C$27, 0.0021, 0)</f>
        <v>121.7989</v>
      </c>
      <c r="G999" s="14">
        <f>122.0682 * CHOOSE(CONTROL!$C$9, $D$9, 100%, $F$9) + CHOOSE(CONTROL!$C$27, 0.0021, 0)</f>
        <v>122.0703</v>
      </c>
      <c r="H999" s="14">
        <f>121.9335 * CHOOSE(CONTROL!$C$9, $D$9, 100%, $F$9) + CHOOSE(CONTROL!$C$27, 0.0021, 0)</f>
        <v>121.93559999999999</v>
      </c>
      <c r="I999" s="14">
        <f>121.9335 * CHOOSE(CONTROL!$C$9, $D$9, 100%, $F$9) + CHOOSE(CONTROL!$C$27, 0.0021, 0)</f>
        <v>121.93559999999999</v>
      </c>
      <c r="J999" s="14">
        <f>121.9335 * CHOOSE(CONTROL!$C$9, $D$9, 100%, $F$9) + CHOOSE(CONTROL!$C$27, 0.0021, 0)</f>
        <v>121.93559999999999</v>
      </c>
      <c r="K999" s="14">
        <f>121.9335 * CHOOSE(CONTROL!$C$9, $D$9, 100%, $F$9) + CHOOSE(CONTROL!$C$27, 0.0021, 0)</f>
        <v>121.93559999999999</v>
      </c>
      <c r="L999" s="14"/>
    </row>
    <row r="1000" spans="1:12" ht="15.75" x14ac:dyDescent="0.25">
      <c r="A1000" s="32">
        <v>71375</v>
      </c>
      <c r="B1000" s="14">
        <f>126.3952 * CHOOSE(CONTROL!$C$9, $D$9, 100%, $F$9) + CHOOSE(CONTROL!$C$27, 0.0021, 0)</f>
        <v>126.3973</v>
      </c>
      <c r="C1000" s="14">
        <f>125.9629 * CHOOSE(CONTROL!$C$9, $D$9, 100%, $F$9) + CHOOSE(CONTROL!$C$27, 0.0021, 0)</f>
        <v>125.965</v>
      </c>
      <c r="D1000" s="14">
        <f>125.9629 * CHOOSE(CONTROL!$C$9, $D$9, 100%, $F$9) + CHOOSE(CONTROL!$C$27, 0.0021, 0)</f>
        <v>125.965</v>
      </c>
      <c r="E1000" s="14">
        <f>125.8263 * CHOOSE(CONTROL!$C$9, $D$9, 100%, $F$9) + CHOOSE(CONTROL!$C$27, 0.0021, 0)</f>
        <v>125.8284</v>
      </c>
      <c r="F1000" s="14">
        <f>125.8263 * CHOOSE(CONTROL!$C$9, $D$9, 100%, $F$9) + CHOOSE(CONTROL!$C$27, 0.0021, 0)</f>
        <v>125.8284</v>
      </c>
      <c r="G1000" s="14">
        <f>126.0976 * CHOOSE(CONTROL!$C$9, $D$9, 100%, $F$9) + CHOOSE(CONTROL!$C$27, 0.0021, 0)</f>
        <v>126.0997</v>
      </c>
      <c r="H1000" s="14">
        <f>125.9629 * CHOOSE(CONTROL!$C$9, $D$9, 100%, $F$9) + CHOOSE(CONTROL!$C$27, 0.0021, 0)</f>
        <v>125.965</v>
      </c>
      <c r="I1000" s="14">
        <f>125.9629 * CHOOSE(CONTROL!$C$9, $D$9, 100%, $F$9) + CHOOSE(CONTROL!$C$27, 0.0021, 0)</f>
        <v>125.965</v>
      </c>
      <c r="J1000" s="14">
        <f>125.9629 * CHOOSE(CONTROL!$C$9, $D$9, 100%, $F$9) + CHOOSE(CONTROL!$C$27, 0.0021, 0)</f>
        <v>125.965</v>
      </c>
      <c r="K1000" s="14">
        <f>125.9629 * CHOOSE(CONTROL!$C$9, $D$9, 100%, $F$9) + CHOOSE(CONTROL!$C$27, 0.0021, 0)</f>
        <v>125.965</v>
      </c>
      <c r="L1000" s="14"/>
    </row>
    <row r="1001" spans="1:12" ht="15.75" x14ac:dyDescent="0.25">
      <c r="A1001" s="32">
        <v>71405</v>
      </c>
      <c r="B1001" s="14">
        <f>128.1834 * CHOOSE(CONTROL!$C$9, $D$9, 100%, $F$9) + CHOOSE(CONTROL!$C$27, 0.0021, 0)</f>
        <v>128.18550000000002</v>
      </c>
      <c r="C1001" s="14">
        <f>127.7511 * CHOOSE(CONTROL!$C$9, $D$9, 100%, $F$9) + CHOOSE(CONTROL!$C$27, 0.0021, 0)</f>
        <v>127.75319999999999</v>
      </c>
      <c r="D1001" s="14">
        <f>127.7511 * CHOOSE(CONTROL!$C$9, $D$9, 100%, $F$9) + CHOOSE(CONTROL!$C$27, 0.0021, 0)</f>
        <v>127.75319999999999</v>
      </c>
      <c r="E1001" s="14">
        <f>127.6145 * CHOOSE(CONTROL!$C$9, $D$9, 100%, $F$9) + CHOOSE(CONTROL!$C$27, 0.0021, 0)</f>
        <v>127.61660000000001</v>
      </c>
      <c r="F1001" s="14">
        <f>127.6145 * CHOOSE(CONTROL!$C$9, $D$9, 100%, $F$9) + CHOOSE(CONTROL!$C$27, 0.0021, 0)</f>
        <v>127.61660000000001</v>
      </c>
      <c r="G1001" s="14">
        <f>127.8858 * CHOOSE(CONTROL!$C$9, $D$9, 100%, $F$9) + CHOOSE(CONTROL!$C$27, 0.0021, 0)</f>
        <v>127.8879</v>
      </c>
      <c r="H1001" s="14">
        <f>127.7511 * CHOOSE(CONTROL!$C$9, $D$9, 100%, $F$9) + CHOOSE(CONTROL!$C$27, 0.0021, 0)</f>
        <v>127.75319999999999</v>
      </c>
      <c r="I1001" s="14">
        <f>127.7511 * CHOOSE(CONTROL!$C$9, $D$9, 100%, $F$9) + CHOOSE(CONTROL!$C$27, 0.0021, 0)</f>
        <v>127.75319999999999</v>
      </c>
      <c r="J1001" s="14">
        <f>127.7511 * CHOOSE(CONTROL!$C$9, $D$9, 100%, $F$9) + CHOOSE(CONTROL!$C$27, 0.0021, 0)</f>
        <v>127.75319999999999</v>
      </c>
      <c r="K1001" s="14">
        <f>127.7511 * CHOOSE(CONTROL!$C$9, $D$9, 100%, $F$9) + CHOOSE(CONTROL!$C$27, 0.0021, 0)</f>
        <v>127.75319999999999</v>
      </c>
      <c r="L1001" s="14"/>
    </row>
    <row r="1002" spans="1:12" ht="15.75" x14ac:dyDescent="0.25">
      <c r="A1002" s="32">
        <v>71436</v>
      </c>
      <c r="B1002" s="14">
        <f>127.5946 * CHOOSE(CONTROL!$C$9, $D$9, 100%, $F$9) + CHOOSE(CONTROL!$C$27, 0.0021, 0)</f>
        <v>127.5967</v>
      </c>
      <c r="C1002" s="14">
        <f>127.1624 * CHOOSE(CONTROL!$C$9, $D$9, 100%, $F$9) + CHOOSE(CONTROL!$C$27, 0.0021, 0)</f>
        <v>127.1645</v>
      </c>
      <c r="D1002" s="14">
        <f>127.1624 * CHOOSE(CONTROL!$C$9, $D$9, 100%, $F$9) + CHOOSE(CONTROL!$C$27, 0.0021, 0)</f>
        <v>127.1645</v>
      </c>
      <c r="E1002" s="14">
        <f>127.0257 * CHOOSE(CONTROL!$C$9, $D$9, 100%, $F$9) + CHOOSE(CONTROL!$C$27, 0.0021, 0)</f>
        <v>127.0278</v>
      </c>
      <c r="F1002" s="14">
        <f>127.0257 * CHOOSE(CONTROL!$C$9, $D$9, 100%, $F$9) + CHOOSE(CONTROL!$C$27, 0.0021, 0)</f>
        <v>127.0278</v>
      </c>
      <c r="G1002" s="14">
        <f>127.2971 * CHOOSE(CONTROL!$C$9, $D$9, 100%, $F$9) + CHOOSE(CONTROL!$C$27, 0.0021, 0)</f>
        <v>127.2992</v>
      </c>
      <c r="H1002" s="14">
        <f>127.1624 * CHOOSE(CONTROL!$C$9, $D$9, 100%, $F$9) + CHOOSE(CONTROL!$C$27, 0.0021, 0)</f>
        <v>127.1645</v>
      </c>
      <c r="I1002" s="14">
        <f>127.1624 * CHOOSE(CONTROL!$C$9, $D$9, 100%, $F$9) + CHOOSE(CONTROL!$C$27, 0.0021, 0)</f>
        <v>127.1645</v>
      </c>
      <c r="J1002" s="14">
        <f>127.1624 * CHOOSE(CONTROL!$C$9, $D$9, 100%, $F$9) + CHOOSE(CONTROL!$C$27, 0.0021, 0)</f>
        <v>127.1645</v>
      </c>
      <c r="K1002" s="14">
        <f>127.1624 * CHOOSE(CONTROL!$C$9, $D$9, 100%, $F$9) + CHOOSE(CONTROL!$C$27, 0.0021, 0)</f>
        <v>127.1645</v>
      </c>
      <c r="L1002" s="14"/>
    </row>
    <row r="1003" spans="1:12" ht="15.75" x14ac:dyDescent="0.25">
      <c r="A1003" s="32">
        <v>71467</v>
      </c>
      <c r="B1003" s="14">
        <f>124.6776 * CHOOSE(CONTROL!$C$9, $D$9, 100%, $F$9) + CHOOSE(CONTROL!$C$27, 0.0021, 0)</f>
        <v>124.6797</v>
      </c>
      <c r="C1003" s="14">
        <f>124.2454 * CHOOSE(CONTROL!$C$9, $D$9, 100%, $F$9) + CHOOSE(CONTROL!$C$27, 0.0021, 0)</f>
        <v>124.2475</v>
      </c>
      <c r="D1003" s="14">
        <f>124.2454 * CHOOSE(CONTROL!$C$9, $D$9, 100%, $F$9) + CHOOSE(CONTROL!$C$27, 0.0021, 0)</f>
        <v>124.2475</v>
      </c>
      <c r="E1003" s="14">
        <f>124.1087 * CHOOSE(CONTROL!$C$9, $D$9, 100%, $F$9) + CHOOSE(CONTROL!$C$27, 0.0021, 0)</f>
        <v>124.1108</v>
      </c>
      <c r="F1003" s="14">
        <f>124.1087 * CHOOSE(CONTROL!$C$9, $D$9, 100%, $F$9) + CHOOSE(CONTROL!$C$27, 0.0021, 0)</f>
        <v>124.1108</v>
      </c>
      <c r="G1003" s="14">
        <f>124.3801 * CHOOSE(CONTROL!$C$9, $D$9, 100%, $F$9) + CHOOSE(CONTROL!$C$27, 0.0021, 0)</f>
        <v>124.3822</v>
      </c>
      <c r="H1003" s="14">
        <f>124.2454 * CHOOSE(CONTROL!$C$9, $D$9, 100%, $F$9) + CHOOSE(CONTROL!$C$27, 0.0021, 0)</f>
        <v>124.2475</v>
      </c>
      <c r="I1003" s="14">
        <f>124.2454 * CHOOSE(CONTROL!$C$9, $D$9, 100%, $F$9) + CHOOSE(CONTROL!$C$27, 0.0021, 0)</f>
        <v>124.2475</v>
      </c>
      <c r="J1003" s="14">
        <f>124.2454 * CHOOSE(CONTROL!$C$9, $D$9, 100%, $F$9) + CHOOSE(CONTROL!$C$27, 0.0021, 0)</f>
        <v>124.2475</v>
      </c>
      <c r="K1003" s="14">
        <f>124.2454 * CHOOSE(CONTROL!$C$9, $D$9, 100%, $F$9) + CHOOSE(CONTROL!$C$27, 0.0021, 0)</f>
        <v>124.2475</v>
      </c>
      <c r="L1003" s="14"/>
    </row>
    <row r="1004" spans="1:12" ht="15.75" x14ac:dyDescent="0.25">
      <c r="A1004" s="32">
        <v>71497</v>
      </c>
      <c r="B1004" s="14">
        <f>120.6097 * CHOOSE(CONTROL!$C$9, $D$9, 100%, $F$9) + CHOOSE(CONTROL!$C$27, 0.0021, 0)</f>
        <v>120.6118</v>
      </c>
      <c r="C1004" s="14">
        <f>120.1775 * CHOOSE(CONTROL!$C$9, $D$9, 100%, $F$9) + CHOOSE(CONTROL!$C$27, 0.0021, 0)</f>
        <v>120.17959999999999</v>
      </c>
      <c r="D1004" s="14">
        <f>120.1775 * CHOOSE(CONTROL!$C$9, $D$9, 100%, $F$9) + CHOOSE(CONTROL!$C$27, 0.0021, 0)</f>
        <v>120.17959999999999</v>
      </c>
      <c r="E1004" s="14">
        <f>120.0408 * CHOOSE(CONTROL!$C$9, $D$9, 100%, $F$9) + CHOOSE(CONTROL!$C$27, 0.0021, 0)</f>
        <v>120.0429</v>
      </c>
      <c r="F1004" s="14">
        <f>120.0408 * CHOOSE(CONTROL!$C$9, $D$9, 100%, $F$9) + CHOOSE(CONTROL!$C$27, 0.0021, 0)</f>
        <v>120.0429</v>
      </c>
      <c r="G1004" s="14">
        <f>120.3122 * CHOOSE(CONTROL!$C$9, $D$9, 100%, $F$9) + CHOOSE(CONTROL!$C$27, 0.0021, 0)</f>
        <v>120.3143</v>
      </c>
      <c r="H1004" s="14">
        <f>120.1775 * CHOOSE(CONTROL!$C$9, $D$9, 100%, $F$9) + CHOOSE(CONTROL!$C$27, 0.0021, 0)</f>
        <v>120.17959999999999</v>
      </c>
      <c r="I1004" s="14">
        <f>120.1775 * CHOOSE(CONTROL!$C$9, $D$9, 100%, $F$9) + CHOOSE(CONTROL!$C$27, 0.0021, 0)</f>
        <v>120.17959999999999</v>
      </c>
      <c r="J1004" s="14">
        <f>120.1775 * CHOOSE(CONTROL!$C$9, $D$9, 100%, $F$9) + CHOOSE(CONTROL!$C$27, 0.0021, 0)</f>
        <v>120.17959999999999</v>
      </c>
      <c r="K1004" s="14">
        <f>120.1775 * CHOOSE(CONTROL!$C$9, $D$9, 100%, $F$9) + CHOOSE(CONTROL!$C$27, 0.0021, 0)</f>
        <v>120.17959999999999</v>
      </c>
      <c r="L1004" s="14"/>
    </row>
    <row r="1005" spans="1:12" ht="15.75" x14ac:dyDescent="0.25">
      <c r="A1005" s="32">
        <v>71528</v>
      </c>
      <c r="B1005" s="14">
        <f>116.5182 * CHOOSE(CONTROL!$C$9, $D$9, 100%, $F$9) + CHOOSE(CONTROL!$C$27, 0.0021, 0)</f>
        <v>116.52029999999999</v>
      </c>
      <c r="C1005" s="14">
        <f>116.086 * CHOOSE(CONTROL!$C$9, $D$9, 100%, $F$9) + CHOOSE(CONTROL!$C$27, 0.0021, 0)</f>
        <v>116.0881</v>
      </c>
      <c r="D1005" s="14">
        <f>116.086 * CHOOSE(CONTROL!$C$9, $D$9, 100%, $F$9) + CHOOSE(CONTROL!$C$27, 0.0021, 0)</f>
        <v>116.0881</v>
      </c>
      <c r="E1005" s="14">
        <f>115.9493 * CHOOSE(CONTROL!$C$9, $D$9, 100%, $F$9) + CHOOSE(CONTROL!$C$27, 0.0021, 0)</f>
        <v>115.95139999999999</v>
      </c>
      <c r="F1005" s="14">
        <f>115.9493 * CHOOSE(CONTROL!$C$9, $D$9, 100%, $F$9) + CHOOSE(CONTROL!$C$27, 0.0021, 0)</f>
        <v>115.95139999999999</v>
      </c>
      <c r="G1005" s="14">
        <f>116.2207 * CHOOSE(CONTROL!$C$9, $D$9, 100%, $F$9) + CHOOSE(CONTROL!$C$27, 0.0021, 0)</f>
        <v>116.22279999999999</v>
      </c>
      <c r="H1005" s="14">
        <f>116.086 * CHOOSE(CONTROL!$C$9, $D$9, 100%, $F$9) + CHOOSE(CONTROL!$C$27, 0.0021, 0)</f>
        <v>116.0881</v>
      </c>
      <c r="I1005" s="14">
        <f>116.086 * CHOOSE(CONTROL!$C$9, $D$9, 100%, $F$9) + CHOOSE(CONTROL!$C$27, 0.0021, 0)</f>
        <v>116.0881</v>
      </c>
      <c r="J1005" s="14">
        <f>116.086 * CHOOSE(CONTROL!$C$9, $D$9, 100%, $F$9) + CHOOSE(CONTROL!$C$27, 0.0021, 0)</f>
        <v>116.0881</v>
      </c>
      <c r="K1005" s="14">
        <f>116.086 * CHOOSE(CONTROL!$C$9, $D$9, 100%, $F$9) + CHOOSE(CONTROL!$C$27, 0.0021, 0)</f>
        <v>116.0881</v>
      </c>
      <c r="L1005" s="14"/>
    </row>
    <row r="1006" spans="1:12" ht="15.75" x14ac:dyDescent="0.25">
      <c r="A1006" s="32">
        <v>71558</v>
      </c>
      <c r="B1006" s="14">
        <f>115.7043 * CHOOSE(CONTROL!$C$9, $D$9, 100%, $F$9) + CHOOSE(CONTROL!$C$27, 0.0021, 0)</f>
        <v>115.7064</v>
      </c>
      <c r="C1006" s="14">
        <f>115.2721 * CHOOSE(CONTROL!$C$9, $D$9, 100%, $F$9) + CHOOSE(CONTROL!$C$27, 0.0021, 0)</f>
        <v>115.27419999999999</v>
      </c>
      <c r="D1006" s="14">
        <f>115.2721 * CHOOSE(CONTROL!$C$9, $D$9, 100%, $F$9) + CHOOSE(CONTROL!$C$27, 0.0021, 0)</f>
        <v>115.27419999999999</v>
      </c>
      <c r="E1006" s="14">
        <f>115.1354 * CHOOSE(CONTROL!$C$9, $D$9, 100%, $F$9) + CHOOSE(CONTROL!$C$27, 0.0021, 0)</f>
        <v>115.1375</v>
      </c>
      <c r="F1006" s="14">
        <f>115.1354 * CHOOSE(CONTROL!$C$9, $D$9, 100%, $F$9) + CHOOSE(CONTROL!$C$27, 0.0021, 0)</f>
        <v>115.1375</v>
      </c>
      <c r="G1006" s="14">
        <f>115.4068 * CHOOSE(CONTROL!$C$9, $D$9, 100%, $F$9) + CHOOSE(CONTROL!$C$27, 0.0021, 0)</f>
        <v>115.4089</v>
      </c>
      <c r="H1006" s="14">
        <f>115.2721 * CHOOSE(CONTROL!$C$9, $D$9, 100%, $F$9) + CHOOSE(CONTROL!$C$27, 0.0021, 0)</f>
        <v>115.27419999999999</v>
      </c>
      <c r="I1006" s="14">
        <f>115.2721 * CHOOSE(CONTROL!$C$9, $D$9, 100%, $F$9) + CHOOSE(CONTROL!$C$27, 0.0021, 0)</f>
        <v>115.27419999999999</v>
      </c>
      <c r="J1006" s="14">
        <f>115.2721 * CHOOSE(CONTROL!$C$9, $D$9, 100%, $F$9) + CHOOSE(CONTROL!$C$27, 0.0021, 0)</f>
        <v>115.27419999999999</v>
      </c>
      <c r="K1006" s="14">
        <f>115.2721 * CHOOSE(CONTROL!$C$9, $D$9, 100%, $F$9) + CHOOSE(CONTROL!$C$27, 0.0021, 0)</f>
        <v>115.27419999999999</v>
      </c>
      <c r="L1006" s="14"/>
    </row>
    <row r="1007" spans="1:12" ht="15.75" x14ac:dyDescent="0.25">
      <c r="A1007" s="32">
        <v>71589</v>
      </c>
      <c r="B1007" s="14">
        <f>112.3388 * CHOOSE(CONTROL!$C$9, $D$9, 100%, $F$9) + CHOOSE(CONTROL!$C$27, 0.0021, 0)</f>
        <v>112.3409</v>
      </c>
      <c r="C1007" s="14">
        <f>111.9066 * CHOOSE(CONTROL!$C$9, $D$9, 100%, $F$9) + CHOOSE(CONTROL!$C$27, 0.0021, 0)</f>
        <v>111.9087</v>
      </c>
      <c r="D1007" s="14">
        <f>111.9066 * CHOOSE(CONTROL!$C$9, $D$9, 100%, $F$9) + CHOOSE(CONTROL!$C$27, 0.0021, 0)</f>
        <v>111.9087</v>
      </c>
      <c r="E1007" s="14">
        <f>111.7699 * CHOOSE(CONTROL!$C$9, $D$9, 100%, $F$9) + CHOOSE(CONTROL!$C$27, 0.0021, 0)</f>
        <v>111.77200000000001</v>
      </c>
      <c r="F1007" s="14">
        <f>111.7699 * CHOOSE(CONTROL!$C$9, $D$9, 100%, $F$9) + CHOOSE(CONTROL!$C$27, 0.0021, 0)</f>
        <v>111.77200000000001</v>
      </c>
      <c r="G1007" s="14">
        <f>112.0413 * CHOOSE(CONTROL!$C$9, $D$9, 100%, $F$9) + CHOOSE(CONTROL!$C$27, 0.0021, 0)</f>
        <v>112.04340000000001</v>
      </c>
      <c r="H1007" s="14">
        <f>111.9066 * CHOOSE(CONTROL!$C$9, $D$9, 100%, $F$9) + CHOOSE(CONTROL!$C$27, 0.0021, 0)</f>
        <v>111.9087</v>
      </c>
      <c r="I1007" s="14">
        <f>111.9066 * CHOOSE(CONTROL!$C$9, $D$9, 100%, $F$9) + CHOOSE(CONTROL!$C$27, 0.0021, 0)</f>
        <v>111.9087</v>
      </c>
      <c r="J1007" s="14">
        <f>111.9066 * CHOOSE(CONTROL!$C$9, $D$9, 100%, $F$9) + CHOOSE(CONTROL!$C$27, 0.0021, 0)</f>
        <v>111.9087</v>
      </c>
      <c r="K1007" s="14">
        <f>111.9066 * CHOOSE(CONTROL!$C$9, $D$9, 100%, $F$9) + CHOOSE(CONTROL!$C$27, 0.0021, 0)</f>
        <v>111.9087</v>
      </c>
      <c r="L1007" s="14"/>
    </row>
    <row r="1008" spans="1:12" ht="15.75" x14ac:dyDescent="0.25">
      <c r="A1008" s="32">
        <v>71620</v>
      </c>
      <c r="B1008" s="14">
        <f>111.6836 * CHOOSE(CONTROL!$C$9, $D$9, 100%, $F$9) + CHOOSE(CONTROL!$C$27, 0.0021, 0)</f>
        <v>111.6857</v>
      </c>
      <c r="C1008" s="14">
        <f>111.2513 * CHOOSE(CONTROL!$C$9, $D$9, 100%, $F$9) + CHOOSE(CONTROL!$C$27, 0.0021, 0)</f>
        <v>111.2534</v>
      </c>
      <c r="D1008" s="14">
        <f>111.2513 * CHOOSE(CONTROL!$C$9, $D$9, 100%, $F$9) + CHOOSE(CONTROL!$C$27, 0.0021, 0)</f>
        <v>111.2534</v>
      </c>
      <c r="E1008" s="14">
        <f>111.1147 * CHOOSE(CONTROL!$C$9, $D$9, 100%, $F$9) + CHOOSE(CONTROL!$C$27, 0.0021, 0)</f>
        <v>111.1168</v>
      </c>
      <c r="F1008" s="14">
        <f>111.1147 * CHOOSE(CONTROL!$C$9, $D$9, 100%, $F$9) + CHOOSE(CONTROL!$C$27, 0.0021, 0)</f>
        <v>111.1168</v>
      </c>
      <c r="G1008" s="14">
        <f>111.386 * CHOOSE(CONTROL!$C$9, $D$9, 100%, $F$9) + CHOOSE(CONTROL!$C$27, 0.0021, 0)</f>
        <v>111.38809999999999</v>
      </c>
      <c r="H1008" s="14">
        <f>111.2513 * CHOOSE(CONTROL!$C$9, $D$9, 100%, $F$9) + CHOOSE(CONTROL!$C$27, 0.0021, 0)</f>
        <v>111.2534</v>
      </c>
      <c r="I1008" s="14">
        <f>111.2513 * CHOOSE(CONTROL!$C$9, $D$9, 100%, $F$9) + CHOOSE(CONTROL!$C$27, 0.0021, 0)</f>
        <v>111.2534</v>
      </c>
      <c r="J1008" s="14">
        <f>111.2513 * CHOOSE(CONTROL!$C$9, $D$9, 100%, $F$9) + CHOOSE(CONTROL!$C$27, 0.0021, 0)</f>
        <v>111.2534</v>
      </c>
      <c r="K1008" s="14">
        <f>111.2513 * CHOOSE(CONTROL!$C$9, $D$9, 100%, $F$9) + CHOOSE(CONTROL!$C$27, 0.0021, 0)</f>
        <v>111.2534</v>
      </c>
      <c r="L1008" s="14"/>
    </row>
    <row r="1009" spans="1:12" ht="15.75" x14ac:dyDescent="0.25">
      <c r="A1009" s="32">
        <v>71649</v>
      </c>
      <c r="B1009" s="14">
        <f>111.3795 * CHOOSE(CONTROL!$C$9, $D$9, 100%, $F$9) + CHOOSE(CONTROL!$C$27, 0.0021, 0)</f>
        <v>111.38159999999999</v>
      </c>
      <c r="C1009" s="14">
        <f>110.9473 * CHOOSE(CONTROL!$C$9, $D$9, 100%, $F$9) + CHOOSE(CONTROL!$C$27, 0.0021, 0)</f>
        <v>110.9494</v>
      </c>
      <c r="D1009" s="14">
        <f>110.9473 * CHOOSE(CONTROL!$C$9, $D$9, 100%, $F$9) + CHOOSE(CONTROL!$C$27, 0.0021, 0)</f>
        <v>110.9494</v>
      </c>
      <c r="E1009" s="14">
        <f>110.8106 * CHOOSE(CONTROL!$C$9, $D$9, 100%, $F$9) + CHOOSE(CONTROL!$C$27, 0.0021, 0)</f>
        <v>110.81269999999999</v>
      </c>
      <c r="F1009" s="14">
        <f>110.8106 * CHOOSE(CONTROL!$C$9, $D$9, 100%, $F$9) + CHOOSE(CONTROL!$C$27, 0.0021, 0)</f>
        <v>110.81269999999999</v>
      </c>
      <c r="G1009" s="14">
        <f>111.082 * CHOOSE(CONTROL!$C$9, $D$9, 100%, $F$9) + CHOOSE(CONTROL!$C$27, 0.0021, 0)</f>
        <v>111.08409999999999</v>
      </c>
      <c r="H1009" s="14">
        <f>110.9473 * CHOOSE(CONTROL!$C$9, $D$9, 100%, $F$9) + CHOOSE(CONTROL!$C$27, 0.0021, 0)</f>
        <v>110.9494</v>
      </c>
      <c r="I1009" s="14">
        <f>110.9473 * CHOOSE(CONTROL!$C$9, $D$9, 100%, $F$9) + CHOOSE(CONTROL!$C$27, 0.0021, 0)</f>
        <v>110.9494</v>
      </c>
      <c r="J1009" s="14">
        <f>110.9473 * CHOOSE(CONTROL!$C$9, $D$9, 100%, $F$9) + CHOOSE(CONTROL!$C$27, 0.0021, 0)</f>
        <v>110.9494</v>
      </c>
      <c r="K1009" s="14">
        <f>110.9473 * CHOOSE(CONTROL!$C$9, $D$9, 100%, $F$9) + CHOOSE(CONTROL!$C$27, 0.0021, 0)</f>
        <v>110.9494</v>
      </c>
      <c r="L1009" s="14"/>
    </row>
    <row r="1010" spans="1:12" ht="15.75" x14ac:dyDescent="0.25">
      <c r="A1010" s="32">
        <v>71680</v>
      </c>
      <c r="B1010" s="14">
        <f>117.129 * CHOOSE(CONTROL!$C$9, $D$9, 100%, $F$9) + CHOOSE(CONTROL!$C$27, 0.0021, 0)</f>
        <v>117.1311</v>
      </c>
      <c r="C1010" s="14">
        <f>116.6968 * CHOOSE(CONTROL!$C$9, $D$9, 100%, $F$9) + CHOOSE(CONTROL!$C$27, 0.0021, 0)</f>
        <v>116.69889999999999</v>
      </c>
      <c r="D1010" s="14">
        <f>116.6968 * CHOOSE(CONTROL!$C$9, $D$9, 100%, $F$9) + CHOOSE(CONTROL!$C$27, 0.0021, 0)</f>
        <v>116.69889999999999</v>
      </c>
      <c r="E1010" s="14">
        <f>116.5601 * CHOOSE(CONTROL!$C$9, $D$9, 100%, $F$9) + CHOOSE(CONTROL!$C$27, 0.0021, 0)</f>
        <v>116.5622</v>
      </c>
      <c r="F1010" s="14">
        <f>116.5601 * CHOOSE(CONTROL!$C$9, $D$9, 100%, $F$9) + CHOOSE(CONTROL!$C$27, 0.0021, 0)</f>
        <v>116.5622</v>
      </c>
      <c r="G1010" s="14">
        <f>116.8315 * CHOOSE(CONTROL!$C$9, $D$9, 100%, $F$9) + CHOOSE(CONTROL!$C$27, 0.0021, 0)</f>
        <v>116.8336</v>
      </c>
      <c r="H1010" s="14">
        <f>116.6968 * CHOOSE(CONTROL!$C$9, $D$9, 100%, $F$9) + CHOOSE(CONTROL!$C$27, 0.0021, 0)</f>
        <v>116.69889999999999</v>
      </c>
      <c r="I1010" s="14">
        <f>116.6968 * CHOOSE(CONTROL!$C$9, $D$9, 100%, $F$9) + CHOOSE(CONTROL!$C$27, 0.0021, 0)</f>
        <v>116.69889999999999</v>
      </c>
      <c r="J1010" s="14">
        <f>116.6968 * CHOOSE(CONTROL!$C$9, $D$9, 100%, $F$9) + CHOOSE(CONTROL!$C$27, 0.0021, 0)</f>
        <v>116.69889999999999</v>
      </c>
      <c r="K1010" s="14">
        <f>116.6968 * CHOOSE(CONTROL!$C$9, $D$9, 100%, $F$9) + CHOOSE(CONTROL!$C$27, 0.0021, 0)</f>
        <v>116.69889999999999</v>
      </c>
      <c r="L1010" s="14"/>
    </row>
    <row r="1011" spans="1:12" ht="15.75" x14ac:dyDescent="0.25">
      <c r="A1011" s="32">
        <v>71710</v>
      </c>
      <c r="B1011" s="14">
        <f>124.5848 * CHOOSE(CONTROL!$C$9, $D$9, 100%, $F$9) + CHOOSE(CONTROL!$C$27, 0.0021, 0)</f>
        <v>124.5869</v>
      </c>
      <c r="C1011" s="14">
        <f>124.1525 * CHOOSE(CONTROL!$C$9, $D$9, 100%, $F$9) + CHOOSE(CONTROL!$C$27, 0.0021, 0)</f>
        <v>124.1546</v>
      </c>
      <c r="D1011" s="14">
        <f>124.1525 * CHOOSE(CONTROL!$C$9, $D$9, 100%, $F$9) + CHOOSE(CONTROL!$C$27, 0.0021, 0)</f>
        <v>124.1546</v>
      </c>
      <c r="E1011" s="14">
        <f>124.0159 * CHOOSE(CONTROL!$C$9, $D$9, 100%, $F$9) + CHOOSE(CONTROL!$C$27, 0.0021, 0)</f>
        <v>124.018</v>
      </c>
      <c r="F1011" s="14">
        <f>124.0159 * CHOOSE(CONTROL!$C$9, $D$9, 100%, $F$9) + CHOOSE(CONTROL!$C$27, 0.0021, 0)</f>
        <v>124.018</v>
      </c>
      <c r="G1011" s="14">
        <f>124.2873 * CHOOSE(CONTROL!$C$9, $D$9, 100%, $F$9) + CHOOSE(CONTROL!$C$27, 0.0021, 0)</f>
        <v>124.2894</v>
      </c>
      <c r="H1011" s="14">
        <f>124.1525 * CHOOSE(CONTROL!$C$9, $D$9, 100%, $F$9) + CHOOSE(CONTROL!$C$27, 0.0021, 0)</f>
        <v>124.1546</v>
      </c>
      <c r="I1011" s="14">
        <f>124.1525 * CHOOSE(CONTROL!$C$9, $D$9, 100%, $F$9) + CHOOSE(CONTROL!$C$27, 0.0021, 0)</f>
        <v>124.1546</v>
      </c>
      <c r="J1011" s="14">
        <f>124.1525 * CHOOSE(CONTROL!$C$9, $D$9, 100%, $F$9) + CHOOSE(CONTROL!$C$27, 0.0021, 0)</f>
        <v>124.1546</v>
      </c>
      <c r="K1011" s="14">
        <f>124.1525 * CHOOSE(CONTROL!$C$9, $D$9, 100%, $F$9) + CHOOSE(CONTROL!$C$27, 0.0021, 0)</f>
        <v>124.1546</v>
      </c>
      <c r="L1011" s="14"/>
    </row>
    <row r="1012" spans="1:12" ht="15.75" x14ac:dyDescent="0.25">
      <c r="A1012" s="32">
        <v>71741</v>
      </c>
      <c r="B1012" s="14">
        <f>128.6887 * CHOOSE(CONTROL!$C$9, $D$9, 100%, $F$9) + CHOOSE(CONTROL!$C$27, 0.0021, 0)</f>
        <v>128.69080000000002</v>
      </c>
      <c r="C1012" s="14">
        <f>128.2564 * CHOOSE(CONTROL!$C$9, $D$9, 100%, $F$9) + CHOOSE(CONTROL!$C$27, 0.0021, 0)</f>
        <v>128.25850000000003</v>
      </c>
      <c r="D1012" s="14">
        <f>128.2564 * CHOOSE(CONTROL!$C$9, $D$9, 100%, $F$9) + CHOOSE(CONTROL!$C$27, 0.0021, 0)</f>
        <v>128.25850000000003</v>
      </c>
      <c r="E1012" s="14">
        <f>128.1198 * CHOOSE(CONTROL!$C$9, $D$9, 100%, $F$9) + CHOOSE(CONTROL!$C$27, 0.0021, 0)</f>
        <v>128.12190000000001</v>
      </c>
      <c r="F1012" s="14">
        <f>128.1198 * CHOOSE(CONTROL!$C$9, $D$9, 100%, $F$9) + CHOOSE(CONTROL!$C$27, 0.0021, 0)</f>
        <v>128.12190000000001</v>
      </c>
      <c r="G1012" s="14">
        <f>128.3912 * CHOOSE(CONTROL!$C$9, $D$9, 100%, $F$9) + CHOOSE(CONTROL!$C$27, 0.0021, 0)</f>
        <v>128.39330000000001</v>
      </c>
      <c r="H1012" s="14">
        <f>128.2564 * CHOOSE(CONTROL!$C$9, $D$9, 100%, $F$9) + CHOOSE(CONTROL!$C$27, 0.0021, 0)</f>
        <v>128.25850000000003</v>
      </c>
      <c r="I1012" s="14">
        <f>128.2564 * CHOOSE(CONTROL!$C$9, $D$9, 100%, $F$9) + CHOOSE(CONTROL!$C$27, 0.0021, 0)</f>
        <v>128.25850000000003</v>
      </c>
      <c r="J1012" s="14">
        <f>128.2564 * CHOOSE(CONTROL!$C$9, $D$9, 100%, $F$9) + CHOOSE(CONTROL!$C$27, 0.0021, 0)</f>
        <v>128.25850000000003</v>
      </c>
      <c r="K1012" s="14">
        <f>128.2564 * CHOOSE(CONTROL!$C$9, $D$9, 100%, $F$9) + CHOOSE(CONTROL!$C$27, 0.0021, 0)</f>
        <v>128.25850000000003</v>
      </c>
      <c r="L1012" s="14"/>
    </row>
    <row r="1013" spans="1:12" ht="15.75" x14ac:dyDescent="0.25">
      <c r="A1013" s="32">
        <v>71771</v>
      </c>
      <c r="B1013" s="14">
        <f>130.5099 * CHOOSE(CONTROL!$C$9, $D$9, 100%, $F$9) + CHOOSE(CONTROL!$C$27, 0.0021, 0)</f>
        <v>130.512</v>
      </c>
      <c r="C1013" s="14">
        <f>130.0777 * CHOOSE(CONTROL!$C$9, $D$9, 100%, $F$9) + CHOOSE(CONTROL!$C$27, 0.0021, 0)</f>
        <v>130.07980000000001</v>
      </c>
      <c r="D1013" s="14">
        <f>130.0777 * CHOOSE(CONTROL!$C$9, $D$9, 100%, $F$9) + CHOOSE(CONTROL!$C$27, 0.0021, 0)</f>
        <v>130.07980000000001</v>
      </c>
      <c r="E1013" s="14">
        <f>129.941 * CHOOSE(CONTROL!$C$9, $D$9, 100%, $F$9) + CHOOSE(CONTROL!$C$27, 0.0021, 0)</f>
        <v>129.94310000000002</v>
      </c>
      <c r="F1013" s="14">
        <f>129.941 * CHOOSE(CONTROL!$C$9, $D$9, 100%, $F$9) + CHOOSE(CONTROL!$C$27, 0.0021, 0)</f>
        <v>129.94310000000002</v>
      </c>
      <c r="G1013" s="14">
        <f>130.2124 * CHOOSE(CONTROL!$C$9, $D$9, 100%, $F$9) + CHOOSE(CONTROL!$C$27, 0.0021, 0)</f>
        <v>130.21450000000002</v>
      </c>
      <c r="H1013" s="14">
        <f>130.0777 * CHOOSE(CONTROL!$C$9, $D$9, 100%, $F$9) + CHOOSE(CONTROL!$C$27, 0.0021, 0)</f>
        <v>130.07980000000001</v>
      </c>
      <c r="I1013" s="14">
        <f>130.0777 * CHOOSE(CONTROL!$C$9, $D$9, 100%, $F$9) + CHOOSE(CONTROL!$C$27, 0.0021, 0)</f>
        <v>130.07980000000001</v>
      </c>
      <c r="J1013" s="14">
        <f>130.0777 * CHOOSE(CONTROL!$C$9, $D$9, 100%, $F$9) + CHOOSE(CONTROL!$C$27, 0.0021, 0)</f>
        <v>130.07980000000001</v>
      </c>
      <c r="K1013" s="14">
        <f>130.0777 * CHOOSE(CONTROL!$C$9, $D$9, 100%, $F$9) + CHOOSE(CONTROL!$C$27, 0.0021, 0)</f>
        <v>130.07980000000001</v>
      </c>
      <c r="L1013" s="14"/>
    </row>
    <row r="1014" spans="1:12" ht="15.75" x14ac:dyDescent="0.25">
      <c r="A1014" s="32">
        <v>71802</v>
      </c>
      <c r="B1014" s="14">
        <f>129.9103 * CHOOSE(CONTROL!$C$9, $D$9, 100%, $F$9) + CHOOSE(CONTROL!$C$27, 0.0021, 0)</f>
        <v>129.91240000000002</v>
      </c>
      <c r="C1014" s="14">
        <f>129.478 * CHOOSE(CONTROL!$C$9, $D$9, 100%, $F$9) + CHOOSE(CONTROL!$C$27, 0.0021, 0)</f>
        <v>129.48010000000002</v>
      </c>
      <c r="D1014" s="14">
        <f>129.478 * CHOOSE(CONTROL!$C$9, $D$9, 100%, $F$9) + CHOOSE(CONTROL!$C$27, 0.0021, 0)</f>
        <v>129.48010000000002</v>
      </c>
      <c r="E1014" s="14">
        <f>129.3414 * CHOOSE(CONTROL!$C$9, $D$9, 100%, $F$9) + CHOOSE(CONTROL!$C$27, 0.0021, 0)</f>
        <v>129.34350000000001</v>
      </c>
      <c r="F1014" s="14">
        <f>129.3414 * CHOOSE(CONTROL!$C$9, $D$9, 100%, $F$9) + CHOOSE(CONTROL!$C$27, 0.0021, 0)</f>
        <v>129.34350000000001</v>
      </c>
      <c r="G1014" s="14">
        <f>129.6128 * CHOOSE(CONTROL!$C$9, $D$9, 100%, $F$9) + CHOOSE(CONTROL!$C$27, 0.0021, 0)</f>
        <v>129.61490000000001</v>
      </c>
      <c r="H1014" s="14">
        <f>129.478 * CHOOSE(CONTROL!$C$9, $D$9, 100%, $F$9) + CHOOSE(CONTROL!$C$27, 0.0021, 0)</f>
        <v>129.48010000000002</v>
      </c>
      <c r="I1014" s="14">
        <f>129.478 * CHOOSE(CONTROL!$C$9, $D$9, 100%, $F$9) + CHOOSE(CONTROL!$C$27, 0.0021, 0)</f>
        <v>129.48010000000002</v>
      </c>
      <c r="J1014" s="14">
        <f>129.478 * CHOOSE(CONTROL!$C$9, $D$9, 100%, $F$9) + CHOOSE(CONTROL!$C$27, 0.0021, 0)</f>
        <v>129.48010000000002</v>
      </c>
      <c r="K1014" s="14">
        <f>129.478 * CHOOSE(CONTROL!$C$9, $D$9, 100%, $F$9) + CHOOSE(CONTROL!$C$27, 0.0021, 0)</f>
        <v>129.48010000000002</v>
      </c>
      <c r="L1014" s="14"/>
    </row>
    <row r="1015" spans="1:12" ht="15.75" x14ac:dyDescent="0.25">
      <c r="A1015" s="32">
        <v>71833</v>
      </c>
      <c r="B1015" s="14">
        <f>126.9394 * CHOOSE(CONTROL!$C$9, $D$9, 100%, $F$9) + CHOOSE(CONTROL!$C$27, 0.0021, 0)</f>
        <v>126.9415</v>
      </c>
      <c r="C1015" s="14">
        <f>126.5071 * CHOOSE(CONTROL!$C$9, $D$9, 100%, $F$9) + CHOOSE(CONTROL!$C$27, 0.0021, 0)</f>
        <v>126.50919999999999</v>
      </c>
      <c r="D1015" s="14">
        <f>126.5071 * CHOOSE(CONTROL!$C$9, $D$9, 100%, $F$9) + CHOOSE(CONTROL!$C$27, 0.0021, 0)</f>
        <v>126.50919999999999</v>
      </c>
      <c r="E1015" s="14">
        <f>126.3705 * CHOOSE(CONTROL!$C$9, $D$9, 100%, $F$9) + CHOOSE(CONTROL!$C$27, 0.0021, 0)</f>
        <v>126.37260000000001</v>
      </c>
      <c r="F1015" s="14">
        <f>126.3705 * CHOOSE(CONTROL!$C$9, $D$9, 100%, $F$9) + CHOOSE(CONTROL!$C$27, 0.0021, 0)</f>
        <v>126.37260000000001</v>
      </c>
      <c r="G1015" s="14">
        <f>126.6419 * CHOOSE(CONTROL!$C$9, $D$9, 100%, $F$9) + CHOOSE(CONTROL!$C$27, 0.0021, 0)</f>
        <v>126.64400000000001</v>
      </c>
      <c r="H1015" s="14">
        <f>126.5071 * CHOOSE(CONTROL!$C$9, $D$9, 100%, $F$9) + CHOOSE(CONTROL!$C$27, 0.0021, 0)</f>
        <v>126.50919999999999</v>
      </c>
      <c r="I1015" s="14">
        <f>126.5071 * CHOOSE(CONTROL!$C$9, $D$9, 100%, $F$9) + CHOOSE(CONTROL!$C$27, 0.0021, 0)</f>
        <v>126.50919999999999</v>
      </c>
      <c r="J1015" s="14">
        <f>126.5071 * CHOOSE(CONTROL!$C$9, $D$9, 100%, $F$9) + CHOOSE(CONTROL!$C$27, 0.0021, 0)</f>
        <v>126.50919999999999</v>
      </c>
      <c r="K1015" s="14">
        <f>126.5071 * CHOOSE(CONTROL!$C$9, $D$9, 100%, $F$9) + CHOOSE(CONTROL!$C$27, 0.0021, 0)</f>
        <v>126.50919999999999</v>
      </c>
      <c r="L1015" s="14"/>
    </row>
    <row r="1016" spans="1:12" ht="15.75" x14ac:dyDescent="0.25">
      <c r="A1016" s="32">
        <v>71863</v>
      </c>
      <c r="B1016" s="14">
        <f>122.7963 * CHOOSE(CONTROL!$C$9, $D$9, 100%, $F$9) + CHOOSE(CONTROL!$C$27, 0.0021, 0)</f>
        <v>122.7984</v>
      </c>
      <c r="C1016" s="14">
        <f>122.3641 * CHOOSE(CONTROL!$C$9, $D$9, 100%, $F$9) + CHOOSE(CONTROL!$C$27, 0.0021, 0)</f>
        <v>122.36619999999999</v>
      </c>
      <c r="D1016" s="14">
        <f>122.3641 * CHOOSE(CONTROL!$C$9, $D$9, 100%, $F$9) + CHOOSE(CONTROL!$C$27, 0.0021, 0)</f>
        <v>122.36619999999999</v>
      </c>
      <c r="E1016" s="14">
        <f>122.2274 * CHOOSE(CONTROL!$C$9, $D$9, 100%, $F$9) + CHOOSE(CONTROL!$C$27, 0.0021, 0)</f>
        <v>122.2295</v>
      </c>
      <c r="F1016" s="14">
        <f>122.2274 * CHOOSE(CONTROL!$C$9, $D$9, 100%, $F$9) + CHOOSE(CONTROL!$C$27, 0.0021, 0)</f>
        <v>122.2295</v>
      </c>
      <c r="G1016" s="14">
        <f>122.4988 * CHOOSE(CONTROL!$C$9, $D$9, 100%, $F$9) + CHOOSE(CONTROL!$C$27, 0.0021, 0)</f>
        <v>122.5009</v>
      </c>
      <c r="H1016" s="14">
        <f>122.3641 * CHOOSE(CONTROL!$C$9, $D$9, 100%, $F$9) + CHOOSE(CONTROL!$C$27, 0.0021, 0)</f>
        <v>122.36619999999999</v>
      </c>
      <c r="I1016" s="14">
        <f>122.3641 * CHOOSE(CONTROL!$C$9, $D$9, 100%, $F$9) + CHOOSE(CONTROL!$C$27, 0.0021, 0)</f>
        <v>122.36619999999999</v>
      </c>
      <c r="J1016" s="14">
        <f>122.3641 * CHOOSE(CONTROL!$C$9, $D$9, 100%, $F$9) + CHOOSE(CONTROL!$C$27, 0.0021, 0)</f>
        <v>122.36619999999999</v>
      </c>
      <c r="K1016" s="14">
        <f>122.3641 * CHOOSE(CONTROL!$C$9, $D$9, 100%, $F$9) + CHOOSE(CONTROL!$C$27, 0.0021, 0)</f>
        <v>122.36619999999999</v>
      </c>
      <c r="L1016" s="14"/>
    </row>
    <row r="1017" spans="1:12" ht="15.75" x14ac:dyDescent="0.25">
      <c r="A1017" s="32">
        <v>71894</v>
      </c>
      <c r="B1017" s="14">
        <f>118.6292 * CHOOSE(CONTROL!$C$9, $D$9, 100%, $F$9) + CHOOSE(CONTROL!$C$27, 0.0021, 0)</f>
        <v>118.6313</v>
      </c>
      <c r="C1017" s="14">
        <f>118.1969 * CHOOSE(CONTROL!$C$9, $D$9, 100%, $F$9) + CHOOSE(CONTROL!$C$27, 0.0021, 0)</f>
        <v>118.199</v>
      </c>
      <c r="D1017" s="14">
        <f>118.1969 * CHOOSE(CONTROL!$C$9, $D$9, 100%, $F$9) + CHOOSE(CONTROL!$C$27, 0.0021, 0)</f>
        <v>118.199</v>
      </c>
      <c r="E1017" s="14">
        <f>118.0603 * CHOOSE(CONTROL!$C$9, $D$9, 100%, $F$9) + CHOOSE(CONTROL!$C$27, 0.0021, 0)</f>
        <v>118.0624</v>
      </c>
      <c r="F1017" s="14">
        <f>118.0603 * CHOOSE(CONTROL!$C$9, $D$9, 100%, $F$9) + CHOOSE(CONTROL!$C$27, 0.0021, 0)</f>
        <v>118.0624</v>
      </c>
      <c r="G1017" s="14">
        <f>118.3317 * CHOOSE(CONTROL!$C$9, $D$9, 100%, $F$9) + CHOOSE(CONTROL!$C$27, 0.0021, 0)</f>
        <v>118.3338</v>
      </c>
      <c r="H1017" s="14">
        <f>118.1969 * CHOOSE(CONTROL!$C$9, $D$9, 100%, $F$9) + CHOOSE(CONTROL!$C$27, 0.0021, 0)</f>
        <v>118.199</v>
      </c>
      <c r="I1017" s="14">
        <f>118.1969 * CHOOSE(CONTROL!$C$9, $D$9, 100%, $F$9) + CHOOSE(CONTROL!$C$27, 0.0021, 0)</f>
        <v>118.199</v>
      </c>
      <c r="J1017" s="14">
        <f>118.1969 * CHOOSE(CONTROL!$C$9, $D$9, 100%, $F$9) + CHOOSE(CONTROL!$C$27, 0.0021, 0)</f>
        <v>118.199</v>
      </c>
      <c r="K1017" s="14">
        <f>118.1969 * CHOOSE(CONTROL!$C$9, $D$9, 100%, $F$9) + CHOOSE(CONTROL!$C$27, 0.0021, 0)</f>
        <v>118.199</v>
      </c>
      <c r="L1017" s="14"/>
    </row>
    <row r="1018" spans="1:12" ht="15.75" x14ac:dyDescent="0.25">
      <c r="A1018" s="32">
        <v>71924</v>
      </c>
      <c r="B1018" s="14">
        <f>117.8003 * CHOOSE(CONTROL!$C$9, $D$9, 100%, $F$9) + CHOOSE(CONTROL!$C$27, 0.0021, 0)</f>
        <v>117.80239999999999</v>
      </c>
      <c r="C1018" s="14">
        <f>117.368 * CHOOSE(CONTROL!$C$9, $D$9, 100%, $F$9) + CHOOSE(CONTROL!$C$27, 0.0021, 0)</f>
        <v>117.37009999999999</v>
      </c>
      <c r="D1018" s="14">
        <f>117.368 * CHOOSE(CONTROL!$C$9, $D$9, 100%, $F$9) + CHOOSE(CONTROL!$C$27, 0.0021, 0)</f>
        <v>117.37009999999999</v>
      </c>
      <c r="E1018" s="14">
        <f>117.2313 * CHOOSE(CONTROL!$C$9, $D$9, 100%, $F$9) + CHOOSE(CONTROL!$C$27, 0.0021, 0)</f>
        <v>117.2334</v>
      </c>
      <c r="F1018" s="14">
        <f>117.2313 * CHOOSE(CONTROL!$C$9, $D$9, 100%, $F$9) + CHOOSE(CONTROL!$C$27, 0.0021, 0)</f>
        <v>117.2334</v>
      </c>
      <c r="G1018" s="14">
        <f>117.5027 * CHOOSE(CONTROL!$C$9, $D$9, 100%, $F$9) + CHOOSE(CONTROL!$C$27, 0.0021, 0)</f>
        <v>117.5048</v>
      </c>
      <c r="H1018" s="14">
        <f>117.368 * CHOOSE(CONTROL!$C$9, $D$9, 100%, $F$9) + CHOOSE(CONTROL!$C$27, 0.0021, 0)</f>
        <v>117.37009999999999</v>
      </c>
      <c r="I1018" s="14">
        <f>117.368 * CHOOSE(CONTROL!$C$9, $D$9, 100%, $F$9) + CHOOSE(CONTROL!$C$27, 0.0021, 0)</f>
        <v>117.37009999999999</v>
      </c>
      <c r="J1018" s="14">
        <f>117.368 * CHOOSE(CONTROL!$C$9, $D$9, 100%, $F$9) + CHOOSE(CONTROL!$C$27, 0.0021, 0)</f>
        <v>117.37009999999999</v>
      </c>
      <c r="K1018" s="14">
        <f>117.368 * CHOOSE(CONTROL!$C$9, $D$9, 100%, $F$9) + CHOOSE(CONTROL!$C$27, 0.0021, 0)</f>
        <v>117.37009999999999</v>
      </c>
      <c r="L1018" s="14"/>
    </row>
    <row r="1019" spans="1:12" ht="15.75" x14ac:dyDescent="0.25">
      <c r="A1019" s="32">
        <v>71955</v>
      </c>
      <c r="B1019" s="14">
        <f>114.3725 * CHOOSE(CONTROL!$C$9, $D$9, 100%, $F$9) + CHOOSE(CONTROL!$C$27, 0.0021, 0)</f>
        <v>114.3746</v>
      </c>
      <c r="C1019" s="14">
        <f>113.9403 * CHOOSE(CONTROL!$C$9, $D$9, 100%, $F$9) + CHOOSE(CONTROL!$C$27, 0.0021, 0)</f>
        <v>113.94239999999999</v>
      </c>
      <c r="D1019" s="14">
        <f>113.9403 * CHOOSE(CONTROL!$C$9, $D$9, 100%, $F$9) + CHOOSE(CONTROL!$C$27, 0.0021, 0)</f>
        <v>113.94239999999999</v>
      </c>
      <c r="E1019" s="14">
        <f>113.8036 * CHOOSE(CONTROL!$C$9, $D$9, 100%, $F$9) + CHOOSE(CONTROL!$C$27, 0.0021, 0)</f>
        <v>113.8057</v>
      </c>
      <c r="F1019" s="14">
        <f>113.8036 * CHOOSE(CONTROL!$C$9, $D$9, 100%, $F$9) + CHOOSE(CONTROL!$C$27, 0.0021, 0)</f>
        <v>113.8057</v>
      </c>
      <c r="G1019" s="14">
        <f>114.075 * CHOOSE(CONTROL!$C$9, $D$9, 100%, $F$9) + CHOOSE(CONTROL!$C$27, 0.0021, 0)</f>
        <v>114.0771</v>
      </c>
      <c r="H1019" s="14">
        <f>113.9403 * CHOOSE(CONTROL!$C$9, $D$9, 100%, $F$9) + CHOOSE(CONTROL!$C$27, 0.0021, 0)</f>
        <v>113.94239999999999</v>
      </c>
      <c r="I1019" s="14">
        <f>113.9403 * CHOOSE(CONTROL!$C$9, $D$9, 100%, $F$9) + CHOOSE(CONTROL!$C$27, 0.0021, 0)</f>
        <v>113.94239999999999</v>
      </c>
      <c r="J1019" s="14">
        <f>113.9403 * CHOOSE(CONTROL!$C$9, $D$9, 100%, $F$9) + CHOOSE(CONTROL!$C$27, 0.0021, 0)</f>
        <v>113.94239999999999</v>
      </c>
      <c r="K1019" s="14">
        <f>113.9403 * CHOOSE(CONTROL!$C$9, $D$9, 100%, $F$9) + CHOOSE(CONTROL!$C$27, 0.0021, 0)</f>
        <v>113.94239999999999</v>
      </c>
      <c r="L1019" s="14"/>
    </row>
    <row r="1020" spans="1:12" ht="15.75" x14ac:dyDescent="0.25">
      <c r="A1020" s="32">
        <v>71986</v>
      </c>
      <c r="B1020" s="14">
        <f>113.7052 * CHOOSE(CONTROL!$C$9, $D$9, 100%, $F$9) + CHOOSE(CONTROL!$C$27, 0.0021, 0)</f>
        <v>113.7073</v>
      </c>
      <c r="C1020" s="14">
        <f>113.273 * CHOOSE(CONTROL!$C$9, $D$9, 100%, $F$9) + CHOOSE(CONTROL!$C$27, 0.0021, 0)</f>
        <v>113.27509999999999</v>
      </c>
      <c r="D1020" s="14">
        <f>113.273 * CHOOSE(CONTROL!$C$9, $D$9, 100%, $F$9) + CHOOSE(CONTROL!$C$27, 0.0021, 0)</f>
        <v>113.27509999999999</v>
      </c>
      <c r="E1020" s="14">
        <f>113.1363 * CHOOSE(CONTROL!$C$9, $D$9, 100%, $F$9) + CHOOSE(CONTROL!$C$27, 0.0021, 0)</f>
        <v>113.1384</v>
      </c>
      <c r="F1020" s="14">
        <f>113.1363 * CHOOSE(CONTROL!$C$9, $D$9, 100%, $F$9) + CHOOSE(CONTROL!$C$27, 0.0021, 0)</f>
        <v>113.1384</v>
      </c>
      <c r="G1020" s="14">
        <f>113.4077 * CHOOSE(CONTROL!$C$9, $D$9, 100%, $F$9) + CHOOSE(CONTROL!$C$27, 0.0021, 0)</f>
        <v>113.4098</v>
      </c>
      <c r="H1020" s="14">
        <f>113.273 * CHOOSE(CONTROL!$C$9, $D$9, 100%, $F$9) + CHOOSE(CONTROL!$C$27, 0.0021, 0)</f>
        <v>113.27509999999999</v>
      </c>
      <c r="I1020" s="14">
        <f>113.273 * CHOOSE(CONTROL!$C$9, $D$9, 100%, $F$9) + CHOOSE(CONTROL!$C$27, 0.0021, 0)</f>
        <v>113.27509999999999</v>
      </c>
      <c r="J1020" s="14">
        <f>113.273 * CHOOSE(CONTROL!$C$9, $D$9, 100%, $F$9) + CHOOSE(CONTROL!$C$27, 0.0021, 0)</f>
        <v>113.27509999999999</v>
      </c>
      <c r="K1020" s="14">
        <f>113.273 * CHOOSE(CONTROL!$C$9, $D$9, 100%, $F$9) + CHOOSE(CONTROL!$C$27, 0.0021, 0)</f>
        <v>113.27509999999999</v>
      </c>
      <c r="L1020" s="14"/>
    </row>
    <row r="1021" spans="1:12" ht="15.75" x14ac:dyDescent="0.25">
      <c r="A1021" s="32">
        <v>72014</v>
      </c>
      <c r="B1021" s="14">
        <f>113.3955 * CHOOSE(CONTROL!$C$9, $D$9, 100%, $F$9) + CHOOSE(CONTROL!$C$27, 0.0021, 0)</f>
        <v>113.3976</v>
      </c>
      <c r="C1021" s="14">
        <f>112.9633 * CHOOSE(CONTROL!$C$9, $D$9, 100%, $F$9) + CHOOSE(CONTROL!$C$27, 0.0021, 0)</f>
        <v>112.9654</v>
      </c>
      <c r="D1021" s="14">
        <f>112.9633 * CHOOSE(CONTROL!$C$9, $D$9, 100%, $F$9) + CHOOSE(CONTROL!$C$27, 0.0021, 0)</f>
        <v>112.9654</v>
      </c>
      <c r="E1021" s="14">
        <f>112.8266 * CHOOSE(CONTROL!$C$9, $D$9, 100%, $F$9) + CHOOSE(CONTROL!$C$27, 0.0021, 0)</f>
        <v>112.8287</v>
      </c>
      <c r="F1021" s="14">
        <f>112.8266 * CHOOSE(CONTROL!$C$9, $D$9, 100%, $F$9) + CHOOSE(CONTROL!$C$27, 0.0021, 0)</f>
        <v>112.8287</v>
      </c>
      <c r="G1021" s="14">
        <f>113.098 * CHOOSE(CONTROL!$C$9, $D$9, 100%, $F$9) + CHOOSE(CONTROL!$C$27, 0.0021, 0)</f>
        <v>113.1001</v>
      </c>
      <c r="H1021" s="14">
        <f>112.9633 * CHOOSE(CONTROL!$C$9, $D$9, 100%, $F$9) + CHOOSE(CONTROL!$C$27, 0.0021, 0)</f>
        <v>112.9654</v>
      </c>
      <c r="I1021" s="14">
        <f>112.9633 * CHOOSE(CONTROL!$C$9, $D$9, 100%, $F$9) + CHOOSE(CONTROL!$C$27, 0.0021, 0)</f>
        <v>112.9654</v>
      </c>
      <c r="J1021" s="14">
        <f>112.9633 * CHOOSE(CONTROL!$C$9, $D$9, 100%, $F$9) + CHOOSE(CONTROL!$C$27, 0.0021, 0)</f>
        <v>112.9654</v>
      </c>
      <c r="K1021" s="14">
        <f>112.9633 * CHOOSE(CONTROL!$C$9, $D$9, 100%, $F$9) + CHOOSE(CONTROL!$C$27, 0.0021, 0)</f>
        <v>112.9654</v>
      </c>
      <c r="L1021" s="14"/>
    </row>
    <row r="1022" spans="1:12" ht="15.75" x14ac:dyDescent="0.25">
      <c r="A1022" s="32">
        <v>72045</v>
      </c>
      <c r="B1022" s="14">
        <f>119.2513 * CHOOSE(CONTROL!$C$9, $D$9, 100%, $F$9) + CHOOSE(CONTROL!$C$27, 0.0021, 0)</f>
        <v>119.2534</v>
      </c>
      <c r="C1022" s="14">
        <f>118.8191 * CHOOSE(CONTROL!$C$9, $D$9, 100%, $F$9) + CHOOSE(CONTROL!$C$27, 0.0021, 0)</f>
        <v>118.8212</v>
      </c>
      <c r="D1022" s="14">
        <f>118.8191 * CHOOSE(CONTROL!$C$9, $D$9, 100%, $F$9) + CHOOSE(CONTROL!$C$27, 0.0021, 0)</f>
        <v>118.8212</v>
      </c>
      <c r="E1022" s="14">
        <f>118.6824 * CHOOSE(CONTROL!$C$9, $D$9, 100%, $F$9) + CHOOSE(CONTROL!$C$27, 0.0021, 0)</f>
        <v>118.6845</v>
      </c>
      <c r="F1022" s="14">
        <f>118.6824 * CHOOSE(CONTROL!$C$9, $D$9, 100%, $F$9) + CHOOSE(CONTROL!$C$27, 0.0021, 0)</f>
        <v>118.6845</v>
      </c>
      <c r="G1022" s="14">
        <f>118.9538 * CHOOSE(CONTROL!$C$9, $D$9, 100%, $F$9) + CHOOSE(CONTROL!$C$27, 0.0021, 0)</f>
        <v>118.9559</v>
      </c>
      <c r="H1022" s="14">
        <f>118.8191 * CHOOSE(CONTROL!$C$9, $D$9, 100%, $F$9) + CHOOSE(CONTROL!$C$27, 0.0021, 0)</f>
        <v>118.8212</v>
      </c>
      <c r="I1022" s="14">
        <f>118.8191 * CHOOSE(CONTROL!$C$9, $D$9, 100%, $F$9) + CHOOSE(CONTROL!$C$27, 0.0021, 0)</f>
        <v>118.8212</v>
      </c>
      <c r="J1022" s="14">
        <f>118.8191 * CHOOSE(CONTROL!$C$9, $D$9, 100%, $F$9) + CHOOSE(CONTROL!$C$27, 0.0021, 0)</f>
        <v>118.8212</v>
      </c>
      <c r="K1022" s="14">
        <f>118.8191 * CHOOSE(CONTROL!$C$9, $D$9, 100%, $F$9) + CHOOSE(CONTROL!$C$27, 0.0021, 0)</f>
        <v>118.8212</v>
      </c>
      <c r="L1022" s="14"/>
    </row>
    <row r="1023" spans="1:12" ht="15.75" x14ac:dyDescent="0.25">
      <c r="A1023" s="32">
        <v>72075</v>
      </c>
      <c r="B1023" s="14">
        <f>126.8448 * CHOOSE(CONTROL!$C$9, $D$9, 100%, $F$9) + CHOOSE(CONTROL!$C$27, 0.0021, 0)</f>
        <v>126.84690000000001</v>
      </c>
      <c r="C1023" s="14">
        <f>126.4126 * CHOOSE(CONTROL!$C$9, $D$9, 100%, $F$9) + CHOOSE(CONTROL!$C$27, 0.0021, 0)</f>
        <v>126.4147</v>
      </c>
      <c r="D1023" s="14">
        <f>126.4126 * CHOOSE(CONTROL!$C$9, $D$9, 100%, $F$9) + CHOOSE(CONTROL!$C$27, 0.0021, 0)</f>
        <v>126.4147</v>
      </c>
      <c r="E1023" s="14">
        <f>126.2759 * CHOOSE(CONTROL!$C$9, $D$9, 100%, $F$9) + CHOOSE(CONTROL!$C$27, 0.0021, 0)</f>
        <v>126.27799999999999</v>
      </c>
      <c r="F1023" s="14">
        <f>126.2759 * CHOOSE(CONTROL!$C$9, $D$9, 100%, $F$9) + CHOOSE(CONTROL!$C$27, 0.0021, 0)</f>
        <v>126.27799999999999</v>
      </c>
      <c r="G1023" s="14">
        <f>126.5473 * CHOOSE(CONTROL!$C$9, $D$9, 100%, $F$9) + CHOOSE(CONTROL!$C$27, 0.0021, 0)</f>
        <v>126.54940000000001</v>
      </c>
      <c r="H1023" s="14">
        <f>126.4126 * CHOOSE(CONTROL!$C$9, $D$9, 100%, $F$9) + CHOOSE(CONTROL!$C$27, 0.0021, 0)</f>
        <v>126.4147</v>
      </c>
      <c r="I1023" s="14">
        <f>126.4126 * CHOOSE(CONTROL!$C$9, $D$9, 100%, $F$9) + CHOOSE(CONTROL!$C$27, 0.0021, 0)</f>
        <v>126.4147</v>
      </c>
      <c r="J1023" s="14">
        <f>126.4126 * CHOOSE(CONTROL!$C$9, $D$9, 100%, $F$9) + CHOOSE(CONTROL!$C$27, 0.0021, 0)</f>
        <v>126.4147</v>
      </c>
      <c r="K1023" s="14">
        <f>126.4126 * CHOOSE(CONTROL!$C$9, $D$9, 100%, $F$9) + CHOOSE(CONTROL!$C$27, 0.0021, 0)</f>
        <v>126.4147</v>
      </c>
      <c r="L1023" s="14"/>
    </row>
    <row r="1024" spans="1:12" ht="15.75" x14ac:dyDescent="0.25">
      <c r="A1024" s="32">
        <v>72106</v>
      </c>
      <c r="B1024" s="14">
        <f>131.0246 * CHOOSE(CONTROL!$C$9, $D$9, 100%, $F$9) + CHOOSE(CONTROL!$C$27, 0.0021, 0)</f>
        <v>131.02670000000001</v>
      </c>
      <c r="C1024" s="14">
        <f>130.5923 * CHOOSE(CONTROL!$C$9, $D$9, 100%, $F$9) + CHOOSE(CONTROL!$C$27, 0.0021, 0)</f>
        <v>130.59440000000001</v>
      </c>
      <c r="D1024" s="14">
        <f>130.5923 * CHOOSE(CONTROL!$C$9, $D$9, 100%, $F$9) + CHOOSE(CONTROL!$C$27, 0.0021, 0)</f>
        <v>130.59440000000001</v>
      </c>
      <c r="E1024" s="14">
        <f>130.4557 * CHOOSE(CONTROL!$C$9, $D$9, 100%, $F$9) + CHOOSE(CONTROL!$C$27, 0.0021, 0)</f>
        <v>130.45780000000002</v>
      </c>
      <c r="F1024" s="14">
        <f>130.4557 * CHOOSE(CONTROL!$C$9, $D$9, 100%, $F$9) + CHOOSE(CONTROL!$C$27, 0.0021, 0)</f>
        <v>130.45780000000002</v>
      </c>
      <c r="G1024" s="14">
        <f>130.7271 * CHOOSE(CONTROL!$C$9, $D$9, 100%, $F$9) + CHOOSE(CONTROL!$C$27, 0.0021, 0)</f>
        <v>130.72920000000002</v>
      </c>
      <c r="H1024" s="14">
        <f>130.5923 * CHOOSE(CONTROL!$C$9, $D$9, 100%, $F$9) + CHOOSE(CONTROL!$C$27, 0.0021, 0)</f>
        <v>130.59440000000001</v>
      </c>
      <c r="I1024" s="14">
        <f>130.5923 * CHOOSE(CONTROL!$C$9, $D$9, 100%, $F$9) + CHOOSE(CONTROL!$C$27, 0.0021, 0)</f>
        <v>130.59440000000001</v>
      </c>
      <c r="J1024" s="14">
        <f>130.5923 * CHOOSE(CONTROL!$C$9, $D$9, 100%, $F$9) + CHOOSE(CONTROL!$C$27, 0.0021, 0)</f>
        <v>130.59440000000001</v>
      </c>
      <c r="K1024" s="14">
        <f>130.5923 * CHOOSE(CONTROL!$C$9, $D$9, 100%, $F$9) + CHOOSE(CONTROL!$C$27, 0.0021, 0)</f>
        <v>130.59440000000001</v>
      </c>
      <c r="L1024" s="14"/>
    </row>
    <row r="1025" spans="1:12" ht="15.75" x14ac:dyDescent="0.25">
      <c r="A1025" s="32">
        <v>72136</v>
      </c>
      <c r="B1025" s="14">
        <f>132.8795 * CHOOSE(CONTROL!$C$9, $D$9, 100%, $F$9) + CHOOSE(CONTROL!$C$27, 0.0021, 0)</f>
        <v>132.88160000000002</v>
      </c>
      <c r="C1025" s="14">
        <f>132.4472 * CHOOSE(CONTROL!$C$9, $D$9, 100%, $F$9) + CHOOSE(CONTROL!$C$27, 0.0021, 0)</f>
        <v>132.44930000000002</v>
      </c>
      <c r="D1025" s="14">
        <f>132.4472 * CHOOSE(CONTROL!$C$9, $D$9, 100%, $F$9) + CHOOSE(CONTROL!$C$27, 0.0021, 0)</f>
        <v>132.44930000000002</v>
      </c>
      <c r="E1025" s="14">
        <f>132.3106 * CHOOSE(CONTROL!$C$9, $D$9, 100%, $F$9) + CHOOSE(CONTROL!$C$27, 0.0021, 0)</f>
        <v>132.31270000000001</v>
      </c>
      <c r="F1025" s="14">
        <f>132.3106 * CHOOSE(CONTROL!$C$9, $D$9, 100%, $F$9) + CHOOSE(CONTROL!$C$27, 0.0021, 0)</f>
        <v>132.31270000000001</v>
      </c>
      <c r="G1025" s="14">
        <f>132.5819 * CHOOSE(CONTROL!$C$9, $D$9, 100%, $F$9) + CHOOSE(CONTROL!$C$27, 0.0021, 0)</f>
        <v>132.584</v>
      </c>
      <c r="H1025" s="14">
        <f>132.4472 * CHOOSE(CONTROL!$C$9, $D$9, 100%, $F$9) + CHOOSE(CONTROL!$C$27, 0.0021, 0)</f>
        <v>132.44930000000002</v>
      </c>
      <c r="I1025" s="14">
        <f>132.4472 * CHOOSE(CONTROL!$C$9, $D$9, 100%, $F$9) + CHOOSE(CONTROL!$C$27, 0.0021, 0)</f>
        <v>132.44930000000002</v>
      </c>
      <c r="J1025" s="14">
        <f>132.4472 * CHOOSE(CONTROL!$C$9, $D$9, 100%, $F$9) + CHOOSE(CONTROL!$C$27, 0.0021, 0)</f>
        <v>132.44930000000002</v>
      </c>
      <c r="K1025" s="14">
        <f>132.4472 * CHOOSE(CONTROL!$C$9, $D$9, 100%, $F$9) + CHOOSE(CONTROL!$C$27, 0.0021, 0)</f>
        <v>132.44930000000002</v>
      </c>
      <c r="L1025" s="14"/>
    </row>
    <row r="1026" spans="1:12" ht="15.75" x14ac:dyDescent="0.25">
      <c r="A1026" s="32">
        <v>72167</v>
      </c>
      <c r="B1026" s="14">
        <f>132.2688 * CHOOSE(CONTROL!$C$9, $D$9, 100%, $F$9) + CHOOSE(CONTROL!$C$27, 0.0021, 0)</f>
        <v>132.27090000000001</v>
      </c>
      <c r="C1026" s="14">
        <f>131.8365 * CHOOSE(CONTROL!$C$9, $D$9, 100%, $F$9) + CHOOSE(CONTROL!$C$27, 0.0021, 0)</f>
        <v>131.83860000000001</v>
      </c>
      <c r="D1026" s="14">
        <f>131.8365 * CHOOSE(CONTROL!$C$9, $D$9, 100%, $F$9) + CHOOSE(CONTROL!$C$27, 0.0021, 0)</f>
        <v>131.83860000000001</v>
      </c>
      <c r="E1026" s="14">
        <f>131.6999 * CHOOSE(CONTROL!$C$9, $D$9, 100%, $F$9) + CHOOSE(CONTROL!$C$27, 0.0021, 0)</f>
        <v>131.70200000000003</v>
      </c>
      <c r="F1026" s="14">
        <f>131.6999 * CHOOSE(CONTROL!$C$9, $D$9, 100%, $F$9) + CHOOSE(CONTROL!$C$27, 0.0021, 0)</f>
        <v>131.70200000000003</v>
      </c>
      <c r="G1026" s="14">
        <f>131.9712 * CHOOSE(CONTROL!$C$9, $D$9, 100%, $F$9) + CHOOSE(CONTROL!$C$27, 0.0021, 0)</f>
        <v>131.97330000000002</v>
      </c>
      <c r="H1026" s="14">
        <f>131.8365 * CHOOSE(CONTROL!$C$9, $D$9, 100%, $F$9) + CHOOSE(CONTROL!$C$27, 0.0021, 0)</f>
        <v>131.83860000000001</v>
      </c>
      <c r="I1026" s="14">
        <f>131.8365 * CHOOSE(CONTROL!$C$9, $D$9, 100%, $F$9) + CHOOSE(CONTROL!$C$27, 0.0021, 0)</f>
        <v>131.83860000000001</v>
      </c>
      <c r="J1026" s="14">
        <f>131.8365 * CHOOSE(CONTROL!$C$9, $D$9, 100%, $F$9) + CHOOSE(CONTROL!$C$27, 0.0021, 0)</f>
        <v>131.83860000000001</v>
      </c>
      <c r="K1026" s="14">
        <f>131.8365 * CHOOSE(CONTROL!$C$9, $D$9, 100%, $F$9) + CHOOSE(CONTROL!$C$27, 0.0021, 0)</f>
        <v>131.83860000000001</v>
      </c>
      <c r="L1026" s="14"/>
    </row>
    <row r="1027" spans="1:12" ht="15.75" x14ac:dyDescent="0.25">
      <c r="A1027" s="32">
        <v>72198</v>
      </c>
      <c r="B1027" s="14">
        <f>129.243 * CHOOSE(CONTROL!$C$9, $D$9, 100%, $F$9) + CHOOSE(CONTROL!$C$27, 0.0021, 0)</f>
        <v>129.24510000000001</v>
      </c>
      <c r="C1027" s="14">
        <f>128.8107 * CHOOSE(CONTROL!$C$9, $D$9, 100%, $F$9) + CHOOSE(CONTROL!$C$27, 0.0021, 0)</f>
        <v>128.81280000000001</v>
      </c>
      <c r="D1027" s="14">
        <f>128.8107 * CHOOSE(CONTROL!$C$9, $D$9, 100%, $F$9) + CHOOSE(CONTROL!$C$27, 0.0021, 0)</f>
        <v>128.81280000000001</v>
      </c>
      <c r="E1027" s="14">
        <f>128.6741 * CHOOSE(CONTROL!$C$9, $D$9, 100%, $F$9) + CHOOSE(CONTROL!$C$27, 0.0021, 0)</f>
        <v>128.67620000000002</v>
      </c>
      <c r="F1027" s="14">
        <f>128.6741 * CHOOSE(CONTROL!$C$9, $D$9, 100%, $F$9) + CHOOSE(CONTROL!$C$27, 0.0021, 0)</f>
        <v>128.67620000000002</v>
      </c>
      <c r="G1027" s="14">
        <f>128.9454 * CHOOSE(CONTROL!$C$9, $D$9, 100%, $F$9) + CHOOSE(CONTROL!$C$27, 0.0021, 0)</f>
        <v>128.94750000000002</v>
      </c>
      <c r="H1027" s="14">
        <f>128.8107 * CHOOSE(CONTROL!$C$9, $D$9, 100%, $F$9) + CHOOSE(CONTROL!$C$27, 0.0021, 0)</f>
        <v>128.81280000000001</v>
      </c>
      <c r="I1027" s="14">
        <f>128.8107 * CHOOSE(CONTROL!$C$9, $D$9, 100%, $F$9) + CHOOSE(CONTROL!$C$27, 0.0021, 0)</f>
        <v>128.81280000000001</v>
      </c>
      <c r="J1027" s="14">
        <f>128.8107 * CHOOSE(CONTROL!$C$9, $D$9, 100%, $F$9) + CHOOSE(CONTROL!$C$27, 0.0021, 0)</f>
        <v>128.81280000000001</v>
      </c>
      <c r="K1027" s="14">
        <f>128.8107 * CHOOSE(CONTROL!$C$9, $D$9, 100%, $F$9) + CHOOSE(CONTROL!$C$27, 0.0021, 0)</f>
        <v>128.81280000000001</v>
      </c>
      <c r="L1027" s="14"/>
    </row>
    <row r="1028" spans="1:12" ht="15.75" x14ac:dyDescent="0.25">
      <c r="A1028" s="32">
        <v>72228</v>
      </c>
      <c r="B1028" s="14">
        <f>125.0233 * CHOOSE(CONTROL!$C$9, $D$9, 100%, $F$9) + CHOOSE(CONTROL!$C$27, 0.0021, 0)</f>
        <v>125.0254</v>
      </c>
      <c r="C1028" s="14">
        <f>124.5911 * CHOOSE(CONTROL!$C$9, $D$9, 100%, $F$9) + CHOOSE(CONTROL!$C$27, 0.0021, 0)</f>
        <v>124.5932</v>
      </c>
      <c r="D1028" s="14">
        <f>124.5911 * CHOOSE(CONTROL!$C$9, $D$9, 100%, $F$9) + CHOOSE(CONTROL!$C$27, 0.0021, 0)</f>
        <v>124.5932</v>
      </c>
      <c r="E1028" s="14">
        <f>124.4544 * CHOOSE(CONTROL!$C$9, $D$9, 100%, $F$9) + CHOOSE(CONTROL!$C$27, 0.0021, 0)</f>
        <v>124.45650000000001</v>
      </c>
      <c r="F1028" s="14">
        <f>124.4544 * CHOOSE(CONTROL!$C$9, $D$9, 100%, $F$9) + CHOOSE(CONTROL!$C$27, 0.0021, 0)</f>
        <v>124.45650000000001</v>
      </c>
      <c r="G1028" s="14">
        <f>124.7258 * CHOOSE(CONTROL!$C$9, $D$9, 100%, $F$9) + CHOOSE(CONTROL!$C$27, 0.0021, 0)</f>
        <v>124.72790000000001</v>
      </c>
      <c r="H1028" s="14">
        <f>124.5911 * CHOOSE(CONTROL!$C$9, $D$9, 100%, $F$9) + CHOOSE(CONTROL!$C$27, 0.0021, 0)</f>
        <v>124.5932</v>
      </c>
      <c r="I1028" s="14">
        <f>124.5911 * CHOOSE(CONTROL!$C$9, $D$9, 100%, $F$9) + CHOOSE(CONTROL!$C$27, 0.0021, 0)</f>
        <v>124.5932</v>
      </c>
      <c r="J1028" s="14">
        <f>124.5911 * CHOOSE(CONTROL!$C$9, $D$9, 100%, $F$9) + CHOOSE(CONTROL!$C$27, 0.0021, 0)</f>
        <v>124.5932</v>
      </c>
      <c r="K1028" s="14">
        <f>124.5911 * CHOOSE(CONTROL!$C$9, $D$9, 100%, $F$9) + CHOOSE(CONTROL!$C$27, 0.0021, 0)</f>
        <v>124.5932</v>
      </c>
      <c r="L1028" s="14"/>
    </row>
    <row r="1029" spans="1:12" ht="15.75" x14ac:dyDescent="0.25">
      <c r="A1029" s="32">
        <v>72259</v>
      </c>
      <c r="B1029" s="14">
        <f>120.7792 * CHOOSE(CONTROL!$C$9, $D$9, 100%, $F$9) + CHOOSE(CONTROL!$C$27, 0.0021, 0)</f>
        <v>120.7813</v>
      </c>
      <c r="C1029" s="14">
        <f>120.3469 * CHOOSE(CONTROL!$C$9, $D$9, 100%, $F$9) + CHOOSE(CONTROL!$C$27, 0.0021, 0)</f>
        <v>120.349</v>
      </c>
      <c r="D1029" s="14">
        <f>120.3469 * CHOOSE(CONTROL!$C$9, $D$9, 100%, $F$9) + CHOOSE(CONTROL!$C$27, 0.0021, 0)</f>
        <v>120.349</v>
      </c>
      <c r="E1029" s="14">
        <f>120.2103 * CHOOSE(CONTROL!$C$9, $D$9, 100%, $F$9) + CHOOSE(CONTROL!$C$27, 0.0021, 0)</f>
        <v>120.2124</v>
      </c>
      <c r="F1029" s="14">
        <f>120.2103 * CHOOSE(CONTROL!$C$9, $D$9, 100%, $F$9) + CHOOSE(CONTROL!$C$27, 0.0021, 0)</f>
        <v>120.2124</v>
      </c>
      <c r="G1029" s="14">
        <f>120.4816 * CHOOSE(CONTROL!$C$9, $D$9, 100%, $F$9) + CHOOSE(CONTROL!$C$27, 0.0021, 0)</f>
        <v>120.4837</v>
      </c>
      <c r="H1029" s="14">
        <f>120.3469 * CHOOSE(CONTROL!$C$9, $D$9, 100%, $F$9) + CHOOSE(CONTROL!$C$27, 0.0021, 0)</f>
        <v>120.349</v>
      </c>
      <c r="I1029" s="14">
        <f>120.3469 * CHOOSE(CONTROL!$C$9, $D$9, 100%, $F$9) + CHOOSE(CONTROL!$C$27, 0.0021, 0)</f>
        <v>120.349</v>
      </c>
      <c r="J1029" s="14">
        <f>120.3469 * CHOOSE(CONTROL!$C$9, $D$9, 100%, $F$9) + CHOOSE(CONTROL!$C$27, 0.0021, 0)</f>
        <v>120.349</v>
      </c>
      <c r="K1029" s="14">
        <f>120.3469 * CHOOSE(CONTROL!$C$9, $D$9, 100%, $F$9) + CHOOSE(CONTROL!$C$27, 0.0021, 0)</f>
        <v>120.349</v>
      </c>
      <c r="L1029" s="14"/>
    </row>
    <row r="1030" spans="1:12" ht="15.75" x14ac:dyDescent="0.25">
      <c r="A1030" s="32">
        <v>72289</v>
      </c>
      <c r="B1030" s="14">
        <f>119.9349 * CHOOSE(CONTROL!$C$9, $D$9, 100%, $F$9) + CHOOSE(CONTROL!$C$27, 0.0021, 0)</f>
        <v>119.937</v>
      </c>
      <c r="C1030" s="14">
        <f>119.5027 * CHOOSE(CONTROL!$C$9, $D$9, 100%, $F$9) + CHOOSE(CONTROL!$C$27, 0.0021, 0)</f>
        <v>119.5048</v>
      </c>
      <c r="D1030" s="14">
        <f>119.5027 * CHOOSE(CONTROL!$C$9, $D$9, 100%, $F$9) + CHOOSE(CONTROL!$C$27, 0.0021, 0)</f>
        <v>119.5048</v>
      </c>
      <c r="E1030" s="14">
        <f>119.366 * CHOOSE(CONTROL!$C$9, $D$9, 100%, $F$9) + CHOOSE(CONTROL!$C$27, 0.0021, 0)</f>
        <v>119.3681</v>
      </c>
      <c r="F1030" s="14">
        <f>119.366 * CHOOSE(CONTROL!$C$9, $D$9, 100%, $F$9) + CHOOSE(CONTROL!$C$27, 0.0021, 0)</f>
        <v>119.3681</v>
      </c>
      <c r="G1030" s="14">
        <f>119.6374 * CHOOSE(CONTROL!$C$9, $D$9, 100%, $F$9) + CHOOSE(CONTROL!$C$27, 0.0021, 0)</f>
        <v>119.6395</v>
      </c>
      <c r="H1030" s="14">
        <f>119.5027 * CHOOSE(CONTROL!$C$9, $D$9, 100%, $F$9) + CHOOSE(CONTROL!$C$27, 0.0021, 0)</f>
        <v>119.5048</v>
      </c>
      <c r="I1030" s="14">
        <f>119.5027 * CHOOSE(CONTROL!$C$9, $D$9, 100%, $F$9) + CHOOSE(CONTROL!$C$27, 0.0021, 0)</f>
        <v>119.5048</v>
      </c>
      <c r="J1030" s="14">
        <f>119.5027 * CHOOSE(CONTROL!$C$9, $D$9, 100%, $F$9) + CHOOSE(CONTROL!$C$27, 0.0021, 0)</f>
        <v>119.5048</v>
      </c>
      <c r="K1030" s="14">
        <f>119.5027 * CHOOSE(CONTROL!$C$9, $D$9, 100%, $F$9) + CHOOSE(CONTROL!$C$27, 0.0021, 0)</f>
        <v>119.5048</v>
      </c>
      <c r="L1030" s="14"/>
    </row>
    <row r="1031" spans="1:12" ht="15.75" x14ac:dyDescent="0.25">
      <c r="A1031" s="32">
        <v>72320</v>
      </c>
      <c r="B1031" s="14">
        <f>116.4439 * CHOOSE(CONTROL!$C$9, $D$9, 100%, $F$9) + CHOOSE(CONTROL!$C$27, 0.0021, 0)</f>
        <v>116.446</v>
      </c>
      <c r="C1031" s="14">
        <f>116.0116 * CHOOSE(CONTROL!$C$9, $D$9, 100%, $F$9) + CHOOSE(CONTROL!$C$27, 0.0021, 0)</f>
        <v>116.0137</v>
      </c>
      <c r="D1031" s="14">
        <f>116.0116 * CHOOSE(CONTROL!$C$9, $D$9, 100%, $F$9) + CHOOSE(CONTROL!$C$27, 0.0021, 0)</f>
        <v>116.0137</v>
      </c>
      <c r="E1031" s="14">
        <f>115.875 * CHOOSE(CONTROL!$C$9, $D$9, 100%, $F$9) + CHOOSE(CONTROL!$C$27, 0.0021, 0)</f>
        <v>115.8771</v>
      </c>
      <c r="F1031" s="14">
        <f>115.875 * CHOOSE(CONTROL!$C$9, $D$9, 100%, $F$9) + CHOOSE(CONTROL!$C$27, 0.0021, 0)</f>
        <v>115.8771</v>
      </c>
      <c r="G1031" s="14">
        <f>116.1463 * CHOOSE(CONTROL!$C$9, $D$9, 100%, $F$9) + CHOOSE(CONTROL!$C$27, 0.0021, 0)</f>
        <v>116.1484</v>
      </c>
      <c r="H1031" s="14">
        <f>116.0116 * CHOOSE(CONTROL!$C$9, $D$9, 100%, $F$9) + CHOOSE(CONTROL!$C$27, 0.0021, 0)</f>
        <v>116.0137</v>
      </c>
      <c r="I1031" s="14">
        <f>116.0116 * CHOOSE(CONTROL!$C$9, $D$9, 100%, $F$9) + CHOOSE(CONTROL!$C$27, 0.0021, 0)</f>
        <v>116.0137</v>
      </c>
      <c r="J1031" s="14">
        <f>116.0116 * CHOOSE(CONTROL!$C$9, $D$9, 100%, $F$9) + CHOOSE(CONTROL!$C$27, 0.0021, 0)</f>
        <v>116.0137</v>
      </c>
      <c r="K1031" s="14">
        <f>116.0116 * CHOOSE(CONTROL!$C$9, $D$9, 100%, $F$9) + CHOOSE(CONTROL!$C$27, 0.0021, 0)</f>
        <v>116.0137</v>
      </c>
      <c r="L1031" s="14"/>
    </row>
    <row r="1032" spans="1:12" ht="15.75" x14ac:dyDescent="0.25">
      <c r="A1032" s="32">
        <v>72351</v>
      </c>
      <c r="B1032" s="14">
        <f>115.7642 * CHOOSE(CONTROL!$C$9, $D$9, 100%, $F$9) + CHOOSE(CONTROL!$C$27, 0.0021, 0)</f>
        <v>115.7663</v>
      </c>
      <c r="C1032" s="14">
        <f>115.332 * CHOOSE(CONTROL!$C$9, $D$9, 100%, $F$9) + CHOOSE(CONTROL!$C$27, 0.0021, 0)</f>
        <v>115.33409999999999</v>
      </c>
      <c r="D1032" s="14">
        <f>115.332 * CHOOSE(CONTROL!$C$9, $D$9, 100%, $F$9) + CHOOSE(CONTROL!$C$27, 0.0021, 0)</f>
        <v>115.33409999999999</v>
      </c>
      <c r="E1032" s="14">
        <f>115.1953 * CHOOSE(CONTROL!$C$9, $D$9, 100%, $F$9) + CHOOSE(CONTROL!$C$27, 0.0021, 0)</f>
        <v>115.1974</v>
      </c>
      <c r="F1032" s="14">
        <f>115.1953 * CHOOSE(CONTROL!$C$9, $D$9, 100%, $F$9) + CHOOSE(CONTROL!$C$27, 0.0021, 0)</f>
        <v>115.1974</v>
      </c>
      <c r="G1032" s="14">
        <f>115.4667 * CHOOSE(CONTROL!$C$9, $D$9, 100%, $F$9) + CHOOSE(CONTROL!$C$27, 0.0021, 0)</f>
        <v>115.4688</v>
      </c>
      <c r="H1032" s="14">
        <f>115.332 * CHOOSE(CONTROL!$C$9, $D$9, 100%, $F$9) + CHOOSE(CONTROL!$C$27, 0.0021, 0)</f>
        <v>115.33409999999999</v>
      </c>
      <c r="I1032" s="14">
        <f>115.332 * CHOOSE(CONTROL!$C$9, $D$9, 100%, $F$9) + CHOOSE(CONTROL!$C$27, 0.0021, 0)</f>
        <v>115.33409999999999</v>
      </c>
      <c r="J1032" s="14">
        <f>115.332 * CHOOSE(CONTROL!$C$9, $D$9, 100%, $F$9) + CHOOSE(CONTROL!$C$27, 0.0021, 0)</f>
        <v>115.33409999999999</v>
      </c>
      <c r="K1032" s="14">
        <f>115.332 * CHOOSE(CONTROL!$C$9, $D$9, 100%, $F$9) + CHOOSE(CONTROL!$C$27, 0.0021, 0)</f>
        <v>115.33409999999999</v>
      </c>
      <c r="L1032" s="14"/>
    </row>
    <row r="1033" spans="1:12" ht="15.75" x14ac:dyDescent="0.25">
      <c r="A1033" s="32">
        <v>72379</v>
      </c>
      <c r="B1033" s="14">
        <f>115.4488 * CHOOSE(CONTROL!$C$9, $D$9, 100%, $F$9) + CHOOSE(CONTROL!$C$27, 0.0021, 0)</f>
        <v>115.4509</v>
      </c>
      <c r="C1033" s="14">
        <f>115.0165 * CHOOSE(CONTROL!$C$9, $D$9, 100%, $F$9) + CHOOSE(CONTROL!$C$27, 0.0021, 0)</f>
        <v>115.01859999999999</v>
      </c>
      <c r="D1033" s="14">
        <f>115.0165 * CHOOSE(CONTROL!$C$9, $D$9, 100%, $F$9) + CHOOSE(CONTROL!$C$27, 0.0021, 0)</f>
        <v>115.01859999999999</v>
      </c>
      <c r="E1033" s="14">
        <f>114.8799 * CHOOSE(CONTROL!$C$9, $D$9, 100%, $F$9) + CHOOSE(CONTROL!$C$27, 0.0021, 0)</f>
        <v>114.88200000000001</v>
      </c>
      <c r="F1033" s="14">
        <f>114.8799 * CHOOSE(CONTROL!$C$9, $D$9, 100%, $F$9) + CHOOSE(CONTROL!$C$27, 0.0021, 0)</f>
        <v>114.88200000000001</v>
      </c>
      <c r="G1033" s="14">
        <f>115.1513 * CHOOSE(CONTROL!$C$9, $D$9, 100%, $F$9) + CHOOSE(CONTROL!$C$27, 0.0021, 0)</f>
        <v>115.1534</v>
      </c>
      <c r="H1033" s="14">
        <f>115.0165 * CHOOSE(CONTROL!$C$9, $D$9, 100%, $F$9) + CHOOSE(CONTROL!$C$27, 0.0021, 0)</f>
        <v>115.01859999999999</v>
      </c>
      <c r="I1033" s="14">
        <f>115.0165 * CHOOSE(CONTROL!$C$9, $D$9, 100%, $F$9) + CHOOSE(CONTROL!$C$27, 0.0021, 0)</f>
        <v>115.01859999999999</v>
      </c>
      <c r="J1033" s="14">
        <f>115.0165 * CHOOSE(CONTROL!$C$9, $D$9, 100%, $F$9) + CHOOSE(CONTROL!$C$27, 0.0021, 0)</f>
        <v>115.01859999999999</v>
      </c>
      <c r="K1033" s="14">
        <f>115.0165 * CHOOSE(CONTROL!$C$9, $D$9, 100%, $F$9) + CHOOSE(CONTROL!$C$27, 0.0021, 0)</f>
        <v>115.01859999999999</v>
      </c>
      <c r="L1033" s="14"/>
    </row>
    <row r="1034" spans="1:12" ht="15.75" x14ac:dyDescent="0.25">
      <c r="A1034" s="32">
        <v>72410</v>
      </c>
      <c r="B1034" s="14">
        <f>121.4128 * CHOOSE(CONTROL!$C$9, $D$9, 100%, $F$9) + CHOOSE(CONTROL!$C$27, 0.0021, 0)</f>
        <v>121.4149</v>
      </c>
      <c r="C1034" s="14">
        <f>120.9805 * CHOOSE(CONTROL!$C$9, $D$9, 100%, $F$9) + CHOOSE(CONTROL!$C$27, 0.0021, 0)</f>
        <v>120.98260000000001</v>
      </c>
      <c r="D1034" s="14">
        <f>120.9805 * CHOOSE(CONTROL!$C$9, $D$9, 100%, $F$9) + CHOOSE(CONTROL!$C$27, 0.0021, 0)</f>
        <v>120.98260000000001</v>
      </c>
      <c r="E1034" s="14">
        <f>120.8439 * CHOOSE(CONTROL!$C$9, $D$9, 100%, $F$9) + CHOOSE(CONTROL!$C$27, 0.0021, 0)</f>
        <v>120.846</v>
      </c>
      <c r="F1034" s="14">
        <f>120.8439 * CHOOSE(CONTROL!$C$9, $D$9, 100%, $F$9) + CHOOSE(CONTROL!$C$27, 0.0021, 0)</f>
        <v>120.846</v>
      </c>
      <c r="G1034" s="14">
        <f>121.1153 * CHOOSE(CONTROL!$C$9, $D$9, 100%, $F$9) + CHOOSE(CONTROL!$C$27, 0.0021, 0)</f>
        <v>121.1174</v>
      </c>
      <c r="H1034" s="14">
        <f>120.9805 * CHOOSE(CONTROL!$C$9, $D$9, 100%, $F$9) + CHOOSE(CONTROL!$C$27, 0.0021, 0)</f>
        <v>120.98260000000001</v>
      </c>
      <c r="I1034" s="14">
        <f>120.9805 * CHOOSE(CONTROL!$C$9, $D$9, 100%, $F$9) + CHOOSE(CONTROL!$C$27, 0.0021, 0)</f>
        <v>120.98260000000001</v>
      </c>
      <c r="J1034" s="14">
        <f>120.9805 * CHOOSE(CONTROL!$C$9, $D$9, 100%, $F$9) + CHOOSE(CONTROL!$C$27, 0.0021, 0)</f>
        <v>120.98260000000001</v>
      </c>
      <c r="K1034" s="14">
        <f>120.9805 * CHOOSE(CONTROL!$C$9, $D$9, 100%, $F$9) + CHOOSE(CONTROL!$C$27, 0.0021, 0)</f>
        <v>120.98260000000001</v>
      </c>
      <c r="L1034" s="14"/>
    </row>
    <row r="1035" spans="1:12" ht="15.75" x14ac:dyDescent="0.25">
      <c r="A1035" s="32">
        <v>72440</v>
      </c>
      <c r="B1035" s="14">
        <f>129.1467 * CHOOSE(CONTROL!$C$9, $D$9, 100%, $F$9) + CHOOSE(CONTROL!$C$27, 0.0021, 0)</f>
        <v>129.14880000000002</v>
      </c>
      <c r="C1035" s="14">
        <f>128.7144 * CHOOSE(CONTROL!$C$9, $D$9, 100%, $F$9) + CHOOSE(CONTROL!$C$27, 0.0021, 0)</f>
        <v>128.71650000000002</v>
      </c>
      <c r="D1035" s="14">
        <f>128.7144 * CHOOSE(CONTROL!$C$9, $D$9, 100%, $F$9) + CHOOSE(CONTROL!$C$27, 0.0021, 0)</f>
        <v>128.71650000000002</v>
      </c>
      <c r="E1035" s="14">
        <f>128.5778 * CHOOSE(CONTROL!$C$9, $D$9, 100%, $F$9) + CHOOSE(CONTROL!$C$27, 0.0021, 0)</f>
        <v>128.57990000000001</v>
      </c>
      <c r="F1035" s="14">
        <f>128.5778 * CHOOSE(CONTROL!$C$9, $D$9, 100%, $F$9) + CHOOSE(CONTROL!$C$27, 0.0021, 0)</f>
        <v>128.57990000000001</v>
      </c>
      <c r="G1035" s="14">
        <f>128.8491 * CHOOSE(CONTROL!$C$9, $D$9, 100%, $F$9) + CHOOSE(CONTROL!$C$27, 0.0021, 0)</f>
        <v>128.85120000000001</v>
      </c>
      <c r="H1035" s="14">
        <f>128.7144 * CHOOSE(CONTROL!$C$9, $D$9, 100%, $F$9) + CHOOSE(CONTROL!$C$27, 0.0021, 0)</f>
        <v>128.71650000000002</v>
      </c>
      <c r="I1035" s="14">
        <f>128.7144 * CHOOSE(CONTROL!$C$9, $D$9, 100%, $F$9) + CHOOSE(CONTROL!$C$27, 0.0021, 0)</f>
        <v>128.71650000000002</v>
      </c>
      <c r="J1035" s="14">
        <f>128.7144 * CHOOSE(CONTROL!$C$9, $D$9, 100%, $F$9) + CHOOSE(CONTROL!$C$27, 0.0021, 0)</f>
        <v>128.71650000000002</v>
      </c>
      <c r="K1035" s="14">
        <f>128.7144 * CHOOSE(CONTROL!$C$9, $D$9, 100%, $F$9) + CHOOSE(CONTROL!$C$27, 0.0021, 0)</f>
        <v>128.71650000000002</v>
      </c>
      <c r="L1035" s="14"/>
    </row>
    <row r="1036" spans="1:12" ht="15.75" x14ac:dyDescent="0.25">
      <c r="A1036" s="32">
        <v>72471</v>
      </c>
      <c r="B1036" s="14">
        <f>133.4036 * CHOOSE(CONTROL!$C$9, $D$9, 100%, $F$9) + CHOOSE(CONTROL!$C$27, 0.0021, 0)</f>
        <v>133.40570000000002</v>
      </c>
      <c r="C1036" s="14">
        <f>132.9714 * CHOOSE(CONTROL!$C$9, $D$9, 100%, $F$9) + CHOOSE(CONTROL!$C$27, 0.0021, 0)</f>
        <v>132.9735</v>
      </c>
      <c r="D1036" s="14">
        <f>132.9714 * CHOOSE(CONTROL!$C$9, $D$9, 100%, $F$9) + CHOOSE(CONTROL!$C$27, 0.0021, 0)</f>
        <v>132.9735</v>
      </c>
      <c r="E1036" s="14">
        <f>132.8347 * CHOOSE(CONTROL!$C$9, $D$9, 100%, $F$9) + CHOOSE(CONTROL!$C$27, 0.0021, 0)</f>
        <v>132.83680000000001</v>
      </c>
      <c r="F1036" s="14">
        <f>132.8347 * CHOOSE(CONTROL!$C$9, $D$9, 100%, $F$9) + CHOOSE(CONTROL!$C$27, 0.0021, 0)</f>
        <v>132.83680000000001</v>
      </c>
      <c r="G1036" s="14">
        <f>133.1061 * CHOOSE(CONTROL!$C$9, $D$9, 100%, $F$9) + CHOOSE(CONTROL!$C$27, 0.0021, 0)</f>
        <v>133.10820000000001</v>
      </c>
      <c r="H1036" s="14">
        <f>132.9714 * CHOOSE(CONTROL!$C$9, $D$9, 100%, $F$9) + CHOOSE(CONTROL!$C$27, 0.0021, 0)</f>
        <v>132.9735</v>
      </c>
      <c r="I1036" s="14">
        <f>132.9714 * CHOOSE(CONTROL!$C$9, $D$9, 100%, $F$9) + CHOOSE(CONTROL!$C$27, 0.0021, 0)</f>
        <v>132.9735</v>
      </c>
      <c r="J1036" s="14">
        <f>132.9714 * CHOOSE(CONTROL!$C$9, $D$9, 100%, $F$9) + CHOOSE(CONTROL!$C$27, 0.0021, 0)</f>
        <v>132.9735</v>
      </c>
      <c r="K1036" s="14">
        <f>132.9714 * CHOOSE(CONTROL!$C$9, $D$9, 100%, $F$9) + CHOOSE(CONTROL!$C$27, 0.0021, 0)</f>
        <v>132.9735</v>
      </c>
      <c r="L1036" s="14"/>
    </row>
    <row r="1037" spans="1:12" ht="15.75" x14ac:dyDescent="0.25">
      <c r="A1037" s="32">
        <v>72501</v>
      </c>
      <c r="B1037" s="14">
        <f>135.2928 * CHOOSE(CONTROL!$C$9, $D$9, 100%, $F$9) + CHOOSE(CONTROL!$C$27, 0.0021, 0)</f>
        <v>135.29490000000001</v>
      </c>
      <c r="C1037" s="14">
        <f>134.8606 * CHOOSE(CONTROL!$C$9, $D$9, 100%, $F$9) + CHOOSE(CONTROL!$C$27, 0.0021, 0)</f>
        <v>134.86270000000002</v>
      </c>
      <c r="D1037" s="14">
        <f>134.8606 * CHOOSE(CONTROL!$C$9, $D$9, 100%, $F$9) + CHOOSE(CONTROL!$C$27, 0.0021, 0)</f>
        <v>134.86270000000002</v>
      </c>
      <c r="E1037" s="14">
        <f>134.7239 * CHOOSE(CONTROL!$C$9, $D$9, 100%, $F$9) + CHOOSE(CONTROL!$C$27, 0.0021, 0)</f>
        <v>134.726</v>
      </c>
      <c r="F1037" s="14">
        <f>134.7239 * CHOOSE(CONTROL!$C$9, $D$9, 100%, $F$9) + CHOOSE(CONTROL!$C$27, 0.0021, 0)</f>
        <v>134.726</v>
      </c>
      <c r="G1037" s="14">
        <f>134.9953 * CHOOSE(CONTROL!$C$9, $D$9, 100%, $F$9) + CHOOSE(CONTROL!$C$27, 0.0021, 0)</f>
        <v>134.9974</v>
      </c>
      <c r="H1037" s="14">
        <f>134.8606 * CHOOSE(CONTROL!$C$9, $D$9, 100%, $F$9) + CHOOSE(CONTROL!$C$27, 0.0021, 0)</f>
        <v>134.86270000000002</v>
      </c>
      <c r="I1037" s="14">
        <f>134.8606 * CHOOSE(CONTROL!$C$9, $D$9, 100%, $F$9) + CHOOSE(CONTROL!$C$27, 0.0021, 0)</f>
        <v>134.86270000000002</v>
      </c>
      <c r="J1037" s="14">
        <f>134.8606 * CHOOSE(CONTROL!$C$9, $D$9, 100%, $F$9) + CHOOSE(CONTROL!$C$27, 0.0021, 0)</f>
        <v>134.86270000000002</v>
      </c>
      <c r="K1037" s="14">
        <f>134.8606 * CHOOSE(CONTROL!$C$9, $D$9, 100%, $F$9) + CHOOSE(CONTROL!$C$27, 0.0021, 0)</f>
        <v>134.86270000000002</v>
      </c>
      <c r="L1037" s="14"/>
    </row>
    <row r="1038" spans="1:12" ht="15.75" x14ac:dyDescent="0.25">
      <c r="A1038" s="32">
        <v>72532</v>
      </c>
      <c r="B1038" s="14">
        <f>134.6708 * CHOOSE(CONTROL!$C$9, $D$9, 100%, $F$9) + CHOOSE(CONTROL!$C$27, 0.0021, 0)</f>
        <v>134.67290000000003</v>
      </c>
      <c r="C1038" s="14">
        <f>134.2386 * CHOOSE(CONTROL!$C$9, $D$9, 100%, $F$9) + CHOOSE(CONTROL!$C$27, 0.0021, 0)</f>
        <v>134.2407</v>
      </c>
      <c r="D1038" s="14">
        <f>134.2386 * CHOOSE(CONTROL!$C$9, $D$9, 100%, $F$9) + CHOOSE(CONTROL!$C$27, 0.0021, 0)</f>
        <v>134.2407</v>
      </c>
      <c r="E1038" s="14">
        <f>134.1019 * CHOOSE(CONTROL!$C$9, $D$9, 100%, $F$9) + CHOOSE(CONTROL!$C$27, 0.0021, 0)</f>
        <v>134.10400000000001</v>
      </c>
      <c r="F1038" s="14">
        <f>134.1019 * CHOOSE(CONTROL!$C$9, $D$9, 100%, $F$9) + CHOOSE(CONTROL!$C$27, 0.0021, 0)</f>
        <v>134.10400000000001</v>
      </c>
      <c r="G1038" s="14">
        <f>134.3733 * CHOOSE(CONTROL!$C$9, $D$9, 100%, $F$9) + CHOOSE(CONTROL!$C$27, 0.0021, 0)</f>
        <v>134.37540000000001</v>
      </c>
      <c r="H1038" s="14">
        <f>134.2386 * CHOOSE(CONTROL!$C$9, $D$9, 100%, $F$9) + CHOOSE(CONTROL!$C$27, 0.0021, 0)</f>
        <v>134.2407</v>
      </c>
      <c r="I1038" s="14">
        <f>134.2386 * CHOOSE(CONTROL!$C$9, $D$9, 100%, $F$9) + CHOOSE(CONTROL!$C$27, 0.0021, 0)</f>
        <v>134.2407</v>
      </c>
      <c r="J1038" s="14">
        <f>134.2386 * CHOOSE(CONTROL!$C$9, $D$9, 100%, $F$9) + CHOOSE(CONTROL!$C$27, 0.0021, 0)</f>
        <v>134.2407</v>
      </c>
      <c r="K1038" s="14">
        <f>134.2386 * CHOOSE(CONTROL!$C$9, $D$9, 100%, $F$9) + CHOOSE(CONTROL!$C$27, 0.0021, 0)</f>
        <v>134.2407</v>
      </c>
      <c r="L1038" s="14"/>
    </row>
    <row r="1039" spans="1:12" ht="15.75" x14ac:dyDescent="0.25">
      <c r="A1039" s="32">
        <v>72563</v>
      </c>
      <c r="B1039" s="14">
        <f>131.5891 * CHOOSE(CONTROL!$C$9, $D$9, 100%, $F$9) + CHOOSE(CONTROL!$C$27, 0.0021, 0)</f>
        <v>131.59120000000001</v>
      </c>
      <c r="C1039" s="14">
        <f>131.1569 * CHOOSE(CONTROL!$C$9, $D$9, 100%, $F$9) + CHOOSE(CONTROL!$C$27, 0.0021, 0)</f>
        <v>131.15900000000002</v>
      </c>
      <c r="D1039" s="14">
        <f>131.1569 * CHOOSE(CONTROL!$C$9, $D$9, 100%, $F$9) + CHOOSE(CONTROL!$C$27, 0.0021, 0)</f>
        <v>131.15900000000002</v>
      </c>
      <c r="E1039" s="14">
        <f>131.0202 * CHOOSE(CONTROL!$C$9, $D$9, 100%, $F$9) + CHOOSE(CONTROL!$C$27, 0.0021, 0)</f>
        <v>131.0223</v>
      </c>
      <c r="F1039" s="14">
        <f>131.0202 * CHOOSE(CONTROL!$C$9, $D$9, 100%, $F$9) + CHOOSE(CONTROL!$C$27, 0.0021, 0)</f>
        <v>131.0223</v>
      </c>
      <c r="G1039" s="14">
        <f>131.2916 * CHOOSE(CONTROL!$C$9, $D$9, 100%, $F$9) + CHOOSE(CONTROL!$C$27, 0.0021, 0)</f>
        <v>131.2937</v>
      </c>
      <c r="H1039" s="14">
        <f>131.1569 * CHOOSE(CONTROL!$C$9, $D$9, 100%, $F$9) + CHOOSE(CONTROL!$C$27, 0.0021, 0)</f>
        <v>131.15900000000002</v>
      </c>
      <c r="I1039" s="14">
        <f>131.1569 * CHOOSE(CONTROL!$C$9, $D$9, 100%, $F$9) + CHOOSE(CONTROL!$C$27, 0.0021, 0)</f>
        <v>131.15900000000002</v>
      </c>
      <c r="J1039" s="14">
        <f>131.1569 * CHOOSE(CONTROL!$C$9, $D$9, 100%, $F$9) + CHOOSE(CONTROL!$C$27, 0.0021, 0)</f>
        <v>131.15900000000002</v>
      </c>
      <c r="K1039" s="14">
        <f>131.1569 * CHOOSE(CONTROL!$C$9, $D$9, 100%, $F$9) + CHOOSE(CONTROL!$C$27, 0.0021, 0)</f>
        <v>131.15900000000002</v>
      </c>
      <c r="L1039" s="14"/>
    </row>
    <row r="1040" spans="1:12" ht="15.75" x14ac:dyDescent="0.25">
      <c r="A1040" s="32">
        <v>72593</v>
      </c>
      <c r="B1040" s="14">
        <f>127.2915 * CHOOSE(CONTROL!$C$9, $D$9, 100%, $F$9) + CHOOSE(CONTROL!$C$27, 0.0021, 0)</f>
        <v>127.2936</v>
      </c>
      <c r="C1040" s="14">
        <f>126.8593 * CHOOSE(CONTROL!$C$9, $D$9, 100%, $F$9) + CHOOSE(CONTROL!$C$27, 0.0021, 0)</f>
        <v>126.8614</v>
      </c>
      <c r="D1040" s="14">
        <f>126.8593 * CHOOSE(CONTROL!$C$9, $D$9, 100%, $F$9) + CHOOSE(CONTROL!$C$27, 0.0021, 0)</f>
        <v>126.8614</v>
      </c>
      <c r="E1040" s="14">
        <f>126.7226 * CHOOSE(CONTROL!$C$9, $D$9, 100%, $F$9) + CHOOSE(CONTROL!$C$27, 0.0021, 0)</f>
        <v>126.7247</v>
      </c>
      <c r="F1040" s="14">
        <f>126.7226 * CHOOSE(CONTROL!$C$9, $D$9, 100%, $F$9) + CHOOSE(CONTROL!$C$27, 0.0021, 0)</f>
        <v>126.7247</v>
      </c>
      <c r="G1040" s="14">
        <f>126.994 * CHOOSE(CONTROL!$C$9, $D$9, 100%, $F$9) + CHOOSE(CONTROL!$C$27, 0.0021, 0)</f>
        <v>126.9961</v>
      </c>
      <c r="H1040" s="14">
        <f>126.8593 * CHOOSE(CONTROL!$C$9, $D$9, 100%, $F$9) + CHOOSE(CONTROL!$C$27, 0.0021, 0)</f>
        <v>126.8614</v>
      </c>
      <c r="I1040" s="14">
        <f>126.8593 * CHOOSE(CONTROL!$C$9, $D$9, 100%, $F$9) + CHOOSE(CONTROL!$C$27, 0.0021, 0)</f>
        <v>126.8614</v>
      </c>
      <c r="J1040" s="14">
        <f>126.8593 * CHOOSE(CONTROL!$C$9, $D$9, 100%, $F$9) + CHOOSE(CONTROL!$C$27, 0.0021, 0)</f>
        <v>126.8614</v>
      </c>
      <c r="K1040" s="14">
        <f>126.8593 * CHOOSE(CONTROL!$C$9, $D$9, 100%, $F$9) + CHOOSE(CONTROL!$C$27, 0.0021, 0)</f>
        <v>126.8614</v>
      </c>
      <c r="L1040" s="14"/>
    </row>
    <row r="1041" spans="1:12" ht="15.75" x14ac:dyDescent="0.25">
      <c r="A1041" s="32">
        <v>72624</v>
      </c>
      <c r="B1041" s="14">
        <f>122.9689 * CHOOSE(CONTROL!$C$9, $D$9, 100%, $F$9) + CHOOSE(CONTROL!$C$27, 0.0021, 0)</f>
        <v>122.971</v>
      </c>
      <c r="C1041" s="14">
        <f>122.5367 * CHOOSE(CONTROL!$C$9, $D$9, 100%, $F$9) + CHOOSE(CONTROL!$C$27, 0.0021, 0)</f>
        <v>122.53879999999999</v>
      </c>
      <c r="D1041" s="14">
        <f>122.5367 * CHOOSE(CONTROL!$C$9, $D$9, 100%, $F$9) + CHOOSE(CONTROL!$C$27, 0.0021, 0)</f>
        <v>122.53879999999999</v>
      </c>
      <c r="E1041" s="14">
        <f>122.4 * CHOOSE(CONTROL!$C$9, $D$9, 100%, $F$9) + CHOOSE(CONTROL!$C$27, 0.0021, 0)</f>
        <v>122.4021</v>
      </c>
      <c r="F1041" s="14">
        <f>122.4 * CHOOSE(CONTROL!$C$9, $D$9, 100%, $F$9) + CHOOSE(CONTROL!$C$27, 0.0021, 0)</f>
        <v>122.4021</v>
      </c>
      <c r="G1041" s="14">
        <f>122.6714 * CHOOSE(CONTROL!$C$9, $D$9, 100%, $F$9) + CHOOSE(CONTROL!$C$27, 0.0021, 0)</f>
        <v>122.6735</v>
      </c>
      <c r="H1041" s="14">
        <f>122.5367 * CHOOSE(CONTROL!$C$9, $D$9, 100%, $F$9) + CHOOSE(CONTROL!$C$27, 0.0021, 0)</f>
        <v>122.53879999999999</v>
      </c>
      <c r="I1041" s="14">
        <f>122.5367 * CHOOSE(CONTROL!$C$9, $D$9, 100%, $F$9) + CHOOSE(CONTROL!$C$27, 0.0021, 0)</f>
        <v>122.53879999999999</v>
      </c>
      <c r="J1041" s="14">
        <f>122.5367 * CHOOSE(CONTROL!$C$9, $D$9, 100%, $F$9) + CHOOSE(CONTROL!$C$27, 0.0021, 0)</f>
        <v>122.53879999999999</v>
      </c>
      <c r="K1041" s="14">
        <f>122.5367 * CHOOSE(CONTROL!$C$9, $D$9, 100%, $F$9) + CHOOSE(CONTROL!$C$27, 0.0021, 0)</f>
        <v>122.53879999999999</v>
      </c>
      <c r="L1041" s="14"/>
    </row>
    <row r="1042" spans="1:12" ht="15.75" x14ac:dyDescent="0.25">
      <c r="A1042" s="32">
        <v>72654</v>
      </c>
      <c r="B1042" s="14">
        <f>122.1091 * CHOOSE(CONTROL!$C$9, $D$9, 100%, $F$9) + CHOOSE(CONTROL!$C$27, 0.0021, 0)</f>
        <v>122.1112</v>
      </c>
      <c r="C1042" s="14">
        <f>121.6768 * CHOOSE(CONTROL!$C$9, $D$9, 100%, $F$9) + CHOOSE(CONTROL!$C$27, 0.0021, 0)</f>
        <v>121.6789</v>
      </c>
      <c r="D1042" s="14">
        <f>121.6768 * CHOOSE(CONTROL!$C$9, $D$9, 100%, $F$9) + CHOOSE(CONTROL!$C$27, 0.0021, 0)</f>
        <v>121.6789</v>
      </c>
      <c r="E1042" s="14">
        <f>121.5401 * CHOOSE(CONTROL!$C$9, $D$9, 100%, $F$9) + CHOOSE(CONTROL!$C$27, 0.0021, 0)</f>
        <v>121.54219999999999</v>
      </c>
      <c r="F1042" s="14">
        <f>121.5401 * CHOOSE(CONTROL!$C$9, $D$9, 100%, $F$9) + CHOOSE(CONTROL!$C$27, 0.0021, 0)</f>
        <v>121.54219999999999</v>
      </c>
      <c r="G1042" s="14">
        <f>121.8115 * CHOOSE(CONTROL!$C$9, $D$9, 100%, $F$9) + CHOOSE(CONTROL!$C$27, 0.0021, 0)</f>
        <v>121.81359999999999</v>
      </c>
      <c r="H1042" s="14">
        <f>121.6768 * CHOOSE(CONTROL!$C$9, $D$9, 100%, $F$9) + CHOOSE(CONTROL!$C$27, 0.0021, 0)</f>
        <v>121.6789</v>
      </c>
      <c r="I1042" s="14">
        <f>121.6768 * CHOOSE(CONTROL!$C$9, $D$9, 100%, $F$9) + CHOOSE(CONTROL!$C$27, 0.0021, 0)</f>
        <v>121.6789</v>
      </c>
      <c r="J1042" s="14">
        <f>121.6768 * CHOOSE(CONTROL!$C$9, $D$9, 100%, $F$9) + CHOOSE(CONTROL!$C$27, 0.0021, 0)</f>
        <v>121.6789</v>
      </c>
      <c r="K1042" s="14">
        <f>121.6768 * CHOOSE(CONTROL!$C$9, $D$9, 100%, $F$9) + CHOOSE(CONTROL!$C$27, 0.0021, 0)</f>
        <v>121.6789</v>
      </c>
      <c r="L1042" s="14"/>
    </row>
    <row r="1043" spans="1:12" ht="15.75" x14ac:dyDescent="0.25">
      <c r="A1043" s="32">
        <v>72685</v>
      </c>
      <c r="B1043" s="14">
        <f>118.5535 * CHOOSE(CONTROL!$C$9, $D$9, 100%, $F$9) + CHOOSE(CONTROL!$C$27, 0.0021, 0)</f>
        <v>118.5556</v>
      </c>
      <c r="C1043" s="14">
        <f>118.1212 * CHOOSE(CONTROL!$C$9, $D$9, 100%, $F$9) + CHOOSE(CONTROL!$C$27, 0.0021, 0)</f>
        <v>118.1233</v>
      </c>
      <c r="D1043" s="14">
        <f>118.1212 * CHOOSE(CONTROL!$C$9, $D$9, 100%, $F$9) + CHOOSE(CONTROL!$C$27, 0.0021, 0)</f>
        <v>118.1233</v>
      </c>
      <c r="E1043" s="14">
        <f>117.9846 * CHOOSE(CONTROL!$C$9, $D$9, 100%, $F$9) + CHOOSE(CONTROL!$C$27, 0.0021, 0)</f>
        <v>117.9867</v>
      </c>
      <c r="F1043" s="14">
        <f>117.9846 * CHOOSE(CONTROL!$C$9, $D$9, 100%, $F$9) + CHOOSE(CONTROL!$C$27, 0.0021, 0)</f>
        <v>117.9867</v>
      </c>
      <c r="G1043" s="14">
        <f>118.256 * CHOOSE(CONTROL!$C$9, $D$9, 100%, $F$9) + CHOOSE(CONTROL!$C$27, 0.0021, 0)</f>
        <v>118.2581</v>
      </c>
      <c r="H1043" s="14">
        <f>118.1212 * CHOOSE(CONTROL!$C$9, $D$9, 100%, $F$9) + CHOOSE(CONTROL!$C$27, 0.0021, 0)</f>
        <v>118.1233</v>
      </c>
      <c r="I1043" s="14">
        <f>118.1212 * CHOOSE(CONTROL!$C$9, $D$9, 100%, $F$9) + CHOOSE(CONTROL!$C$27, 0.0021, 0)</f>
        <v>118.1233</v>
      </c>
      <c r="J1043" s="14">
        <f>118.1212 * CHOOSE(CONTROL!$C$9, $D$9, 100%, $F$9) + CHOOSE(CONTROL!$C$27, 0.0021, 0)</f>
        <v>118.1233</v>
      </c>
      <c r="K1043" s="14">
        <f>118.1212 * CHOOSE(CONTROL!$C$9, $D$9, 100%, $F$9) + CHOOSE(CONTROL!$C$27, 0.0021, 0)</f>
        <v>118.1233</v>
      </c>
      <c r="L1043" s="14"/>
    </row>
    <row r="1044" spans="1:12" ht="15.75" x14ac:dyDescent="0.25">
      <c r="A1044" s="32">
        <v>72716</v>
      </c>
      <c r="B1044" s="14">
        <f>117.8612 * CHOOSE(CONTROL!$C$9, $D$9, 100%, $F$9) + CHOOSE(CONTROL!$C$27, 0.0021, 0)</f>
        <v>117.8633</v>
      </c>
      <c r="C1044" s="14">
        <f>117.429 * CHOOSE(CONTROL!$C$9, $D$9, 100%, $F$9) + CHOOSE(CONTROL!$C$27, 0.0021, 0)</f>
        <v>117.4311</v>
      </c>
      <c r="D1044" s="14">
        <f>117.429 * CHOOSE(CONTROL!$C$9, $D$9, 100%, $F$9) + CHOOSE(CONTROL!$C$27, 0.0021, 0)</f>
        <v>117.4311</v>
      </c>
      <c r="E1044" s="14">
        <f>117.2923 * CHOOSE(CONTROL!$C$9, $D$9, 100%, $F$9) + CHOOSE(CONTROL!$C$27, 0.0021, 0)</f>
        <v>117.2944</v>
      </c>
      <c r="F1044" s="14">
        <f>117.2923 * CHOOSE(CONTROL!$C$9, $D$9, 100%, $F$9) + CHOOSE(CONTROL!$C$27, 0.0021, 0)</f>
        <v>117.2944</v>
      </c>
      <c r="G1044" s="14">
        <f>117.5637 * CHOOSE(CONTROL!$C$9, $D$9, 100%, $F$9) + CHOOSE(CONTROL!$C$27, 0.0021, 0)</f>
        <v>117.5658</v>
      </c>
      <c r="H1044" s="14">
        <f>117.429 * CHOOSE(CONTROL!$C$9, $D$9, 100%, $F$9) + CHOOSE(CONTROL!$C$27, 0.0021, 0)</f>
        <v>117.4311</v>
      </c>
      <c r="I1044" s="14">
        <f>117.429 * CHOOSE(CONTROL!$C$9, $D$9, 100%, $F$9) + CHOOSE(CONTROL!$C$27, 0.0021, 0)</f>
        <v>117.4311</v>
      </c>
      <c r="J1044" s="14">
        <f>117.429 * CHOOSE(CONTROL!$C$9, $D$9, 100%, $F$9) + CHOOSE(CONTROL!$C$27, 0.0021, 0)</f>
        <v>117.4311</v>
      </c>
      <c r="K1044" s="14">
        <f>117.429 * CHOOSE(CONTROL!$C$9, $D$9, 100%, $F$9) + CHOOSE(CONTROL!$C$27, 0.0021, 0)</f>
        <v>117.4311</v>
      </c>
      <c r="L1044" s="14"/>
    </row>
    <row r="1045" spans="1:12" ht="15.75" x14ac:dyDescent="0.25">
      <c r="A1045" s="32">
        <v>72744</v>
      </c>
      <c r="B1045" s="14">
        <f>117.54 * CHOOSE(CONTROL!$C$9, $D$9, 100%, $F$9) + CHOOSE(CONTROL!$C$27, 0.0021, 0)</f>
        <v>117.5421</v>
      </c>
      <c r="C1045" s="14">
        <f>117.1078 * CHOOSE(CONTROL!$C$9, $D$9, 100%, $F$9) + CHOOSE(CONTROL!$C$27, 0.0021, 0)</f>
        <v>117.1099</v>
      </c>
      <c r="D1045" s="14">
        <f>117.1078 * CHOOSE(CONTROL!$C$9, $D$9, 100%, $F$9) + CHOOSE(CONTROL!$C$27, 0.0021, 0)</f>
        <v>117.1099</v>
      </c>
      <c r="E1045" s="14">
        <f>116.9711 * CHOOSE(CONTROL!$C$9, $D$9, 100%, $F$9) + CHOOSE(CONTROL!$C$27, 0.0021, 0)</f>
        <v>116.97320000000001</v>
      </c>
      <c r="F1045" s="14">
        <f>116.9711 * CHOOSE(CONTROL!$C$9, $D$9, 100%, $F$9) + CHOOSE(CONTROL!$C$27, 0.0021, 0)</f>
        <v>116.97320000000001</v>
      </c>
      <c r="G1045" s="14">
        <f>117.2425 * CHOOSE(CONTROL!$C$9, $D$9, 100%, $F$9) + CHOOSE(CONTROL!$C$27, 0.0021, 0)</f>
        <v>117.24460000000001</v>
      </c>
      <c r="H1045" s="14">
        <f>117.1078 * CHOOSE(CONTROL!$C$9, $D$9, 100%, $F$9) + CHOOSE(CONTROL!$C$27, 0.0021, 0)</f>
        <v>117.1099</v>
      </c>
      <c r="I1045" s="14">
        <f>117.1078 * CHOOSE(CONTROL!$C$9, $D$9, 100%, $F$9) + CHOOSE(CONTROL!$C$27, 0.0021, 0)</f>
        <v>117.1099</v>
      </c>
      <c r="J1045" s="14">
        <f>117.1078 * CHOOSE(CONTROL!$C$9, $D$9, 100%, $F$9) + CHOOSE(CONTROL!$C$27, 0.0021, 0)</f>
        <v>117.1099</v>
      </c>
      <c r="K1045" s="14">
        <f>117.1078 * CHOOSE(CONTROL!$C$9, $D$9, 100%, $F$9) + CHOOSE(CONTROL!$C$27, 0.0021, 0)</f>
        <v>117.1099</v>
      </c>
      <c r="L1045" s="14"/>
    </row>
    <row r="1046" spans="1:12" ht="15.75" x14ac:dyDescent="0.25">
      <c r="A1046" s="32">
        <v>72775</v>
      </c>
      <c r="B1046" s="14">
        <f>123.6142 * CHOOSE(CONTROL!$C$9, $D$9, 100%, $F$9) + CHOOSE(CONTROL!$C$27, 0.0021, 0)</f>
        <v>123.6163</v>
      </c>
      <c r="C1046" s="14">
        <f>123.182 * CHOOSE(CONTROL!$C$9, $D$9, 100%, $F$9) + CHOOSE(CONTROL!$C$27, 0.0021, 0)</f>
        <v>123.1841</v>
      </c>
      <c r="D1046" s="14">
        <f>123.182 * CHOOSE(CONTROL!$C$9, $D$9, 100%, $F$9) + CHOOSE(CONTROL!$C$27, 0.0021, 0)</f>
        <v>123.1841</v>
      </c>
      <c r="E1046" s="14">
        <f>123.0453 * CHOOSE(CONTROL!$C$9, $D$9, 100%, $F$9) + CHOOSE(CONTROL!$C$27, 0.0021, 0)</f>
        <v>123.0474</v>
      </c>
      <c r="F1046" s="14">
        <f>123.0453 * CHOOSE(CONTROL!$C$9, $D$9, 100%, $F$9) + CHOOSE(CONTROL!$C$27, 0.0021, 0)</f>
        <v>123.0474</v>
      </c>
      <c r="G1046" s="14">
        <f>123.3167 * CHOOSE(CONTROL!$C$9, $D$9, 100%, $F$9) + CHOOSE(CONTROL!$C$27, 0.0021, 0)</f>
        <v>123.3188</v>
      </c>
      <c r="H1046" s="14">
        <f>123.182 * CHOOSE(CONTROL!$C$9, $D$9, 100%, $F$9) + CHOOSE(CONTROL!$C$27, 0.0021, 0)</f>
        <v>123.1841</v>
      </c>
      <c r="I1046" s="14">
        <f>123.182 * CHOOSE(CONTROL!$C$9, $D$9, 100%, $F$9) + CHOOSE(CONTROL!$C$27, 0.0021, 0)</f>
        <v>123.1841</v>
      </c>
      <c r="J1046" s="14">
        <f>123.182 * CHOOSE(CONTROL!$C$9, $D$9, 100%, $F$9) + CHOOSE(CONTROL!$C$27, 0.0021, 0)</f>
        <v>123.1841</v>
      </c>
      <c r="K1046" s="14">
        <f>123.182 * CHOOSE(CONTROL!$C$9, $D$9, 100%, $F$9) + CHOOSE(CONTROL!$C$27, 0.0021, 0)</f>
        <v>123.1841</v>
      </c>
      <c r="L1046" s="14"/>
    </row>
    <row r="1047" spans="1:12" ht="15.75" x14ac:dyDescent="0.25">
      <c r="A1047" s="32">
        <v>72805</v>
      </c>
      <c r="B1047" s="14">
        <f>131.491 * CHOOSE(CONTROL!$C$9, $D$9, 100%, $F$9) + CHOOSE(CONTROL!$C$27, 0.0021, 0)</f>
        <v>131.49310000000003</v>
      </c>
      <c r="C1047" s="14">
        <f>131.0588 * CHOOSE(CONTROL!$C$9, $D$9, 100%, $F$9) + CHOOSE(CONTROL!$C$27, 0.0021, 0)</f>
        <v>131.0609</v>
      </c>
      <c r="D1047" s="14">
        <f>131.0588 * CHOOSE(CONTROL!$C$9, $D$9, 100%, $F$9) + CHOOSE(CONTROL!$C$27, 0.0021, 0)</f>
        <v>131.0609</v>
      </c>
      <c r="E1047" s="14">
        <f>130.9221 * CHOOSE(CONTROL!$C$9, $D$9, 100%, $F$9) + CHOOSE(CONTROL!$C$27, 0.0021, 0)</f>
        <v>130.92420000000001</v>
      </c>
      <c r="F1047" s="14">
        <f>130.9221 * CHOOSE(CONTROL!$C$9, $D$9, 100%, $F$9) + CHOOSE(CONTROL!$C$27, 0.0021, 0)</f>
        <v>130.92420000000001</v>
      </c>
      <c r="G1047" s="14">
        <f>131.1935 * CHOOSE(CONTROL!$C$9, $D$9, 100%, $F$9) + CHOOSE(CONTROL!$C$27, 0.0021, 0)</f>
        <v>131.19560000000001</v>
      </c>
      <c r="H1047" s="14">
        <f>131.0588 * CHOOSE(CONTROL!$C$9, $D$9, 100%, $F$9) + CHOOSE(CONTROL!$C$27, 0.0021, 0)</f>
        <v>131.0609</v>
      </c>
      <c r="I1047" s="14">
        <f>131.0588 * CHOOSE(CONTROL!$C$9, $D$9, 100%, $F$9) + CHOOSE(CONTROL!$C$27, 0.0021, 0)</f>
        <v>131.0609</v>
      </c>
      <c r="J1047" s="14">
        <f>131.0588 * CHOOSE(CONTROL!$C$9, $D$9, 100%, $F$9) + CHOOSE(CONTROL!$C$27, 0.0021, 0)</f>
        <v>131.0609</v>
      </c>
      <c r="K1047" s="14">
        <f>131.0588 * CHOOSE(CONTROL!$C$9, $D$9, 100%, $F$9) + CHOOSE(CONTROL!$C$27, 0.0021, 0)</f>
        <v>131.0609</v>
      </c>
      <c r="L1047" s="14"/>
    </row>
    <row r="1048" spans="1:12" ht="15.75" x14ac:dyDescent="0.25">
      <c r="A1048" s="32">
        <v>72836</v>
      </c>
      <c r="B1048" s="14">
        <f>135.8267 * CHOOSE(CONTROL!$C$9, $D$9, 100%, $F$9) + CHOOSE(CONTROL!$C$27, 0.0021, 0)</f>
        <v>135.8288</v>
      </c>
      <c r="C1048" s="14">
        <f>135.3944 * CHOOSE(CONTROL!$C$9, $D$9, 100%, $F$9) + CHOOSE(CONTROL!$C$27, 0.0021, 0)</f>
        <v>135.3965</v>
      </c>
      <c r="D1048" s="14">
        <f>135.3944 * CHOOSE(CONTROL!$C$9, $D$9, 100%, $F$9) + CHOOSE(CONTROL!$C$27, 0.0021, 0)</f>
        <v>135.3965</v>
      </c>
      <c r="E1048" s="14">
        <f>135.2578 * CHOOSE(CONTROL!$C$9, $D$9, 100%, $F$9) + CHOOSE(CONTROL!$C$27, 0.0021, 0)</f>
        <v>135.25990000000002</v>
      </c>
      <c r="F1048" s="14">
        <f>135.2578 * CHOOSE(CONTROL!$C$9, $D$9, 100%, $F$9) + CHOOSE(CONTROL!$C$27, 0.0021, 0)</f>
        <v>135.25990000000002</v>
      </c>
      <c r="G1048" s="14">
        <f>135.5292 * CHOOSE(CONTROL!$C$9, $D$9, 100%, $F$9) + CHOOSE(CONTROL!$C$27, 0.0021, 0)</f>
        <v>135.53130000000002</v>
      </c>
      <c r="H1048" s="14">
        <f>135.3944 * CHOOSE(CONTROL!$C$9, $D$9, 100%, $F$9) + CHOOSE(CONTROL!$C$27, 0.0021, 0)</f>
        <v>135.3965</v>
      </c>
      <c r="I1048" s="14">
        <f>135.3944 * CHOOSE(CONTROL!$C$9, $D$9, 100%, $F$9) + CHOOSE(CONTROL!$C$27, 0.0021, 0)</f>
        <v>135.3965</v>
      </c>
      <c r="J1048" s="14">
        <f>135.3944 * CHOOSE(CONTROL!$C$9, $D$9, 100%, $F$9) + CHOOSE(CONTROL!$C$27, 0.0021, 0)</f>
        <v>135.3965</v>
      </c>
      <c r="K1048" s="14">
        <f>135.3944 * CHOOSE(CONTROL!$C$9, $D$9, 100%, $F$9) + CHOOSE(CONTROL!$C$27, 0.0021, 0)</f>
        <v>135.3965</v>
      </c>
      <c r="L1048" s="14"/>
    </row>
    <row r="1049" spans="1:12" ht="15.75" x14ac:dyDescent="0.25">
      <c r="A1049" s="32">
        <v>72866</v>
      </c>
      <c r="B1049" s="14">
        <f>137.7508 * CHOOSE(CONTROL!$C$9, $D$9, 100%, $F$9) + CHOOSE(CONTROL!$C$27, 0.0021, 0)</f>
        <v>137.75290000000001</v>
      </c>
      <c r="C1049" s="14">
        <f>137.3185 * CHOOSE(CONTROL!$C$9, $D$9, 100%, $F$9) + CHOOSE(CONTROL!$C$27, 0.0021, 0)</f>
        <v>137.32060000000001</v>
      </c>
      <c r="D1049" s="14">
        <f>137.3185 * CHOOSE(CONTROL!$C$9, $D$9, 100%, $F$9) + CHOOSE(CONTROL!$C$27, 0.0021, 0)</f>
        <v>137.32060000000001</v>
      </c>
      <c r="E1049" s="14">
        <f>137.1819 * CHOOSE(CONTROL!$C$9, $D$9, 100%, $F$9) + CHOOSE(CONTROL!$C$27, 0.0021, 0)</f>
        <v>137.18400000000003</v>
      </c>
      <c r="F1049" s="14">
        <f>137.1819 * CHOOSE(CONTROL!$C$9, $D$9, 100%, $F$9) + CHOOSE(CONTROL!$C$27, 0.0021, 0)</f>
        <v>137.18400000000003</v>
      </c>
      <c r="G1049" s="14">
        <f>137.4532 * CHOOSE(CONTROL!$C$9, $D$9, 100%, $F$9) + CHOOSE(CONTROL!$C$27, 0.0021, 0)</f>
        <v>137.45530000000002</v>
      </c>
      <c r="H1049" s="14">
        <f>137.3185 * CHOOSE(CONTROL!$C$9, $D$9, 100%, $F$9) + CHOOSE(CONTROL!$C$27, 0.0021, 0)</f>
        <v>137.32060000000001</v>
      </c>
      <c r="I1049" s="14">
        <f>137.3185 * CHOOSE(CONTROL!$C$9, $D$9, 100%, $F$9) + CHOOSE(CONTROL!$C$27, 0.0021, 0)</f>
        <v>137.32060000000001</v>
      </c>
      <c r="J1049" s="14">
        <f>137.3185 * CHOOSE(CONTROL!$C$9, $D$9, 100%, $F$9) + CHOOSE(CONTROL!$C$27, 0.0021, 0)</f>
        <v>137.32060000000001</v>
      </c>
      <c r="K1049" s="14">
        <f>137.3185 * CHOOSE(CONTROL!$C$9, $D$9, 100%, $F$9) + CHOOSE(CONTROL!$C$27, 0.0021, 0)</f>
        <v>137.32060000000001</v>
      </c>
      <c r="L1049" s="14"/>
    </row>
    <row r="1050" spans="1:12" ht="15.75" x14ac:dyDescent="0.25">
      <c r="A1050" s="32">
        <v>72897</v>
      </c>
      <c r="B1050" s="14">
        <f>137.1173 * CHOOSE(CONTROL!$C$9, $D$9, 100%, $F$9) + CHOOSE(CONTROL!$C$27, 0.0021, 0)</f>
        <v>137.11940000000001</v>
      </c>
      <c r="C1050" s="14">
        <f>136.685 * CHOOSE(CONTROL!$C$9, $D$9, 100%, $F$9) + CHOOSE(CONTROL!$C$27, 0.0021, 0)</f>
        <v>136.68710000000002</v>
      </c>
      <c r="D1050" s="14">
        <f>136.685 * CHOOSE(CONTROL!$C$9, $D$9, 100%, $F$9) + CHOOSE(CONTROL!$C$27, 0.0021, 0)</f>
        <v>136.68710000000002</v>
      </c>
      <c r="E1050" s="14">
        <f>136.5484 * CHOOSE(CONTROL!$C$9, $D$9, 100%, $F$9) + CHOOSE(CONTROL!$C$27, 0.0021, 0)</f>
        <v>136.5505</v>
      </c>
      <c r="F1050" s="14">
        <f>136.5484 * CHOOSE(CONTROL!$C$9, $D$9, 100%, $F$9) + CHOOSE(CONTROL!$C$27, 0.0021, 0)</f>
        <v>136.5505</v>
      </c>
      <c r="G1050" s="14">
        <f>136.8197 * CHOOSE(CONTROL!$C$9, $D$9, 100%, $F$9) + CHOOSE(CONTROL!$C$27, 0.0021, 0)</f>
        <v>136.82180000000002</v>
      </c>
      <c r="H1050" s="14">
        <f>136.685 * CHOOSE(CONTROL!$C$9, $D$9, 100%, $F$9) + CHOOSE(CONTROL!$C$27, 0.0021, 0)</f>
        <v>136.68710000000002</v>
      </c>
      <c r="I1050" s="14">
        <f>136.685 * CHOOSE(CONTROL!$C$9, $D$9, 100%, $F$9) + CHOOSE(CONTROL!$C$27, 0.0021, 0)</f>
        <v>136.68710000000002</v>
      </c>
      <c r="J1050" s="14">
        <f>136.685 * CHOOSE(CONTROL!$C$9, $D$9, 100%, $F$9) + CHOOSE(CONTROL!$C$27, 0.0021, 0)</f>
        <v>136.68710000000002</v>
      </c>
      <c r="K1050" s="14">
        <f>136.685 * CHOOSE(CONTROL!$C$9, $D$9, 100%, $F$9) + CHOOSE(CONTROL!$C$27, 0.0021, 0)</f>
        <v>136.68710000000002</v>
      </c>
      <c r="L1050" s="14"/>
    </row>
    <row r="1051" spans="1:12" ht="15.75" x14ac:dyDescent="0.25">
      <c r="A1051" s="32">
        <v>72928</v>
      </c>
      <c r="B1051" s="14">
        <f>133.9786 * CHOOSE(CONTROL!$C$9, $D$9, 100%, $F$9) + CHOOSE(CONTROL!$C$27, 0.0021, 0)</f>
        <v>133.98070000000001</v>
      </c>
      <c r="C1051" s="14">
        <f>133.5464 * CHOOSE(CONTROL!$C$9, $D$9, 100%, $F$9) + CHOOSE(CONTROL!$C$27, 0.0021, 0)</f>
        <v>133.54850000000002</v>
      </c>
      <c r="D1051" s="14">
        <f>133.5464 * CHOOSE(CONTROL!$C$9, $D$9, 100%, $F$9) + CHOOSE(CONTROL!$C$27, 0.0021, 0)</f>
        <v>133.54850000000002</v>
      </c>
      <c r="E1051" s="14">
        <f>133.4097 * CHOOSE(CONTROL!$C$9, $D$9, 100%, $F$9) + CHOOSE(CONTROL!$C$27, 0.0021, 0)</f>
        <v>133.4118</v>
      </c>
      <c r="F1051" s="14">
        <f>133.4097 * CHOOSE(CONTROL!$C$9, $D$9, 100%, $F$9) + CHOOSE(CONTROL!$C$27, 0.0021, 0)</f>
        <v>133.4118</v>
      </c>
      <c r="G1051" s="14">
        <f>133.6811 * CHOOSE(CONTROL!$C$9, $D$9, 100%, $F$9) + CHOOSE(CONTROL!$C$27, 0.0021, 0)</f>
        <v>133.6832</v>
      </c>
      <c r="H1051" s="14">
        <f>133.5464 * CHOOSE(CONTROL!$C$9, $D$9, 100%, $F$9) + CHOOSE(CONTROL!$C$27, 0.0021, 0)</f>
        <v>133.54850000000002</v>
      </c>
      <c r="I1051" s="14">
        <f>133.5464 * CHOOSE(CONTROL!$C$9, $D$9, 100%, $F$9) + CHOOSE(CONTROL!$C$27, 0.0021, 0)</f>
        <v>133.54850000000002</v>
      </c>
      <c r="J1051" s="14">
        <f>133.5464 * CHOOSE(CONTROL!$C$9, $D$9, 100%, $F$9) + CHOOSE(CONTROL!$C$27, 0.0021, 0)</f>
        <v>133.54850000000002</v>
      </c>
      <c r="K1051" s="14">
        <f>133.5464 * CHOOSE(CONTROL!$C$9, $D$9, 100%, $F$9) + CHOOSE(CONTROL!$C$27, 0.0021, 0)</f>
        <v>133.54850000000002</v>
      </c>
      <c r="L1051" s="14"/>
    </row>
    <row r="1052" spans="1:12" ht="15.75" x14ac:dyDescent="0.25">
      <c r="A1052" s="32">
        <v>72958</v>
      </c>
      <c r="B1052" s="14">
        <f>129.6016 * CHOOSE(CONTROL!$C$9, $D$9, 100%, $F$9) + CHOOSE(CONTROL!$C$27, 0.0021, 0)</f>
        <v>129.6037</v>
      </c>
      <c r="C1052" s="14">
        <f>129.1693 * CHOOSE(CONTROL!$C$9, $D$9, 100%, $F$9) + CHOOSE(CONTROL!$C$27, 0.0021, 0)</f>
        <v>129.17140000000001</v>
      </c>
      <c r="D1052" s="14">
        <f>129.1693 * CHOOSE(CONTROL!$C$9, $D$9, 100%, $F$9) + CHOOSE(CONTROL!$C$27, 0.0021, 0)</f>
        <v>129.17140000000001</v>
      </c>
      <c r="E1052" s="14">
        <f>129.0327 * CHOOSE(CONTROL!$C$9, $D$9, 100%, $F$9) + CHOOSE(CONTROL!$C$27, 0.0021, 0)</f>
        <v>129.03480000000002</v>
      </c>
      <c r="F1052" s="14">
        <f>129.0327 * CHOOSE(CONTROL!$C$9, $D$9, 100%, $F$9) + CHOOSE(CONTROL!$C$27, 0.0021, 0)</f>
        <v>129.03480000000002</v>
      </c>
      <c r="G1052" s="14">
        <f>129.304 * CHOOSE(CONTROL!$C$9, $D$9, 100%, $F$9) + CHOOSE(CONTROL!$C$27, 0.0021, 0)</f>
        <v>129.30610000000001</v>
      </c>
      <c r="H1052" s="14">
        <f>129.1693 * CHOOSE(CONTROL!$C$9, $D$9, 100%, $F$9) + CHOOSE(CONTROL!$C$27, 0.0021, 0)</f>
        <v>129.17140000000001</v>
      </c>
      <c r="I1052" s="14">
        <f>129.1693 * CHOOSE(CONTROL!$C$9, $D$9, 100%, $F$9) + CHOOSE(CONTROL!$C$27, 0.0021, 0)</f>
        <v>129.17140000000001</v>
      </c>
      <c r="J1052" s="14">
        <f>129.1693 * CHOOSE(CONTROL!$C$9, $D$9, 100%, $F$9) + CHOOSE(CONTROL!$C$27, 0.0021, 0)</f>
        <v>129.17140000000001</v>
      </c>
      <c r="K1052" s="14">
        <f>129.1693 * CHOOSE(CONTROL!$C$9, $D$9, 100%, $F$9) + CHOOSE(CONTROL!$C$27, 0.0021, 0)</f>
        <v>129.17140000000001</v>
      </c>
      <c r="L1052" s="14"/>
    </row>
    <row r="1053" spans="1:12" ht="15.75" x14ac:dyDescent="0.25">
      <c r="A1053" s="32">
        <v>72989</v>
      </c>
      <c r="B1053" s="14">
        <f>125.1991 * CHOOSE(CONTROL!$C$9, $D$9, 100%, $F$9) + CHOOSE(CONTROL!$C$27, 0.0021, 0)</f>
        <v>125.2012</v>
      </c>
      <c r="C1053" s="14">
        <f>124.7668 * CHOOSE(CONTROL!$C$9, $D$9, 100%, $F$9) + CHOOSE(CONTROL!$C$27, 0.0021, 0)</f>
        <v>124.7689</v>
      </c>
      <c r="D1053" s="14">
        <f>124.7668 * CHOOSE(CONTROL!$C$9, $D$9, 100%, $F$9) + CHOOSE(CONTROL!$C$27, 0.0021, 0)</f>
        <v>124.7689</v>
      </c>
      <c r="E1053" s="14">
        <f>124.6302 * CHOOSE(CONTROL!$C$9, $D$9, 100%, $F$9) + CHOOSE(CONTROL!$C$27, 0.0021, 0)</f>
        <v>124.6323</v>
      </c>
      <c r="F1053" s="14">
        <f>124.6302 * CHOOSE(CONTROL!$C$9, $D$9, 100%, $F$9) + CHOOSE(CONTROL!$C$27, 0.0021, 0)</f>
        <v>124.6323</v>
      </c>
      <c r="G1053" s="14">
        <f>124.9016 * CHOOSE(CONTROL!$C$9, $D$9, 100%, $F$9) + CHOOSE(CONTROL!$C$27, 0.0021, 0)</f>
        <v>124.9037</v>
      </c>
      <c r="H1053" s="14">
        <f>124.7668 * CHOOSE(CONTROL!$C$9, $D$9, 100%, $F$9) + CHOOSE(CONTROL!$C$27, 0.0021, 0)</f>
        <v>124.7689</v>
      </c>
      <c r="I1053" s="14">
        <f>124.7668 * CHOOSE(CONTROL!$C$9, $D$9, 100%, $F$9) + CHOOSE(CONTROL!$C$27, 0.0021, 0)</f>
        <v>124.7689</v>
      </c>
      <c r="J1053" s="14">
        <f>124.7668 * CHOOSE(CONTROL!$C$9, $D$9, 100%, $F$9) + CHOOSE(CONTROL!$C$27, 0.0021, 0)</f>
        <v>124.7689</v>
      </c>
      <c r="K1053" s="14">
        <f>124.7668 * CHOOSE(CONTROL!$C$9, $D$9, 100%, $F$9) + CHOOSE(CONTROL!$C$27, 0.0021, 0)</f>
        <v>124.7689</v>
      </c>
      <c r="L1053" s="14"/>
    </row>
    <row r="1054" spans="1:12" ht="15.75" x14ac:dyDescent="0.25">
      <c r="A1054" s="32">
        <v>73019</v>
      </c>
      <c r="B1054" s="14">
        <f>124.3234 * CHOOSE(CONTROL!$C$9, $D$9, 100%, $F$9) + CHOOSE(CONTROL!$C$27, 0.0021, 0)</f>
        <v>124.32550000000001</v>
      </c>
      <c r="C1054" s="14">
        <f>123.8911 * CHOOSE(CONTROL!$C$9, $D$9, 100%, $F$9) + CHOOSE(CONTROL!$C$27, 0.0021, 0)</f>
        <v>123.89319999999999</v>
      </c>
      <c r="D1054" s="14">
        <f>123.8911 * CHOOSE(CONTROL!$C$9, $D$9, 100%, $F$9) + CHOOSE(CONTROL!$C$27, 0.0021, 0)</f>
        <v>123.89319999999999</v>
      </c>
      <c r="E1054" s="14">
        <f>123.7544 * CHOOSE(CONTROL!$C$9, $D$9, 100%, $F$9) + CHOOSE(CONTROL!$C$27, 0.0021, 0)</f>
        <v>123.7565</v>
      </c>
      <c r="F1054" s="14">
        <f>123.7544 * CHOOSE(CONTROL!$C$9, $D$9, 100%, $F$9) + CHOOSE(CONTROL!$C$27, 0.0021, 0)</f>
        <v>123.7565</v>
      </c>
      <c r="G1054" s="14">
        <f>124.0258 * CHOOSE(CONTROL!$C$9, $D$9, 100%, $F$9) + CHOOSE(CONTROL!$C$27, 0.0021, 0)</f>
        <v>124.0279</v>
      </c>
      <c r="H1054" s="14">
        <f>123.8911 * CHOOSE(CONTROL!$C$9, $D$9, 100%, $F$9) + CHOOSE(CONTROL!$C$27, 0.0021, 0)</f>
        <v>123.89319999999999</v>
      </c>
      <c r="I1054" s="14">
        <f>123.8911 * CHOOSE(CONTROL!$C$9, $D$9, 100%, $F$9) + CHOOSE(CONTROL!$C$27, 0.0021, 0)</f>
        <v>123.89319999999999</v>
      </c>
      <c r="J1054" s="14">
        <f>123.8911 * CHOOSE(CONTROL!$C$9, $D$9, 100%, $F$9) + CHOOSE(CONTROL!$C$27, 0.0021, 0)</f>
        <v>123.89319999999999</v>
      </c>
      <c r="K1054" s="14">
        <f>123.8911 * CHOOSE(CONTROL!$C$9, $D$9, 100%, $F$9) + CHOOSE(CONTROL!$C$27, 0.0021, 0)</f>
        <v>123.89319999999999</v>
      </c>
      <c r="L1054" s="14"/>
    </row>
    <row r="1055" spans="1:12" ht="15.75" x14ac:dyDescent="0.25">
      <c r="A1055" s="32">
        <v>73050</v>
      </c>
      <c r="B1055" s="14">
        <f>120.7021 * CHOOSE(CONTROL!$C$9, $D$9, 100%, $F$9) + CHOOSE(CONTROL!$C$27, 0.0021, 0)</f>
        <v>120.7042</v>
      </c>
      <c r="C1055" s="14">
        <f>120.2698 * CHOOSE(CONTROL!$C$9, $D$9, 100%, $F$9) + CHOOSE(CONTROL!$C$27, 0.0021, 0)</f>
        <v>120.2719</v>
      </c>
      <c r="D1055" s="14">
        <f>120.2698 * CHOOSE(CONTROL!$C$9, $D$9, 100%, $F$9) + CHOOSE(CONTROL!$C$27, 0.0021, 0)</f>
        <v>120.2719</v>
      </c>
      <c r="E1055" s="14">
        <f>120.1332 * CHOOSE(CONTROL!$C$9, $D$9, 100%, $F$9) + CHOOSE(CONTROL!$C$27, 0.0021, 0)</f>
        <v>120.1353</v>
      </c>
      <c r="F1055" s="14">
        <f>120.1332 * CHOOSE(CONTROL!$C$9, $D$9, 100%, $F$9) + CHOOSE(CONTROL!$C$27, 0.0021, 0)</f>
        <v>120.1353</v>
      </c>
      <c r="G1055" s="14">
        <f>120.4045 * CHOOSE(CONTROL!$C$9, $D$9, 100%, $F$9) + CHOOSE(CONTROL!$C$27, 0.0021, 0)</f>
        <v>120.4066</v>
      </c>
      <c r="H1055" s="14">
        <f>120.2698 * CHOOSE(CONTROL!$C$9, $D$9, 100%, $F$9) + CHOOSE(CONTROL!$C$27, 0.0021, 0)</f>
        <v>120.2719</v>
      </c>
      <c r="I1055" s="14">
        <f>120.2698 * CHOOSE(CONTROL!$C$9, $D$9, 100%, $F$9) + CHOOSE(CONTROL!$C$27, 0.0021, 0)</f>
        <v>120.2719</v>
      </c>
      <c r="J1055" s="14">
        <f>120.2698 * CHOOSE(CONTROL!$C$9, $D$9, 100%, $F$9) + CHOOSE(CONTROL!$C$27, 0.0021, 0)</f>
        <v>120.2719</v>
      </c>
      <c r="K1055" s="14">
        <f>120.2698 * CHOOSE(CONTROL!$C$9, $D$9, 100%, $F$9) + CHOOSE(CONTROL!$C$27, 0.0021, 0)</f>
        <v>120.2719</v>
      </c>
      <c r="L1055" s="14"/>
    </row>
    <row r="1056" spans="1:12" ht="15.75" x14ac:dyDescent="0.25">
      <c r="A1056" s="32">
        <v>73081</v>
      </c>
      <c r="B1056" s="14">
        <f>119.997 * CHOOSE(CONTROL!$C$9, $D$9, 100%, $F$9) + CHOOSE(CONTROL!$C$27, 0.0021, 0)</f>
        <v>119.9991</v>
      </c>
      <c r="C1056" s="14">
        <f>119.5648 * CHOOSE(CONTROL!$C$9, $D$9, 100%, $F$9) + CHOOSE(CONTROL!$C$27, 0.0021, 0)</f>
        <v>119.5669</v>
      </c>
      <c r="D1056" s="14">
        <f>119.5648 * CHOOSE(CONTROL!$C$9, $D$9, 100%, $F$9) + CHOOSE(CONTROL!$C$27, 0.0021, 0)</f>
        <v>119.5669</v>
      </c>
      <c r="E1056" s="14">
        <f>119.4281 * CHOOSE(CONTROL!$C$9, $D$9, 100%, $F$9) + CHOOSE(CONTROL!$C$27, 0.0021, 0)</f>
        <v>119.4302</v>
      </c>
      <c r="F1056" s="14">
        <f>119.4281 * CHOOSE(CONTROL!$C$9, $D$9, 100%, $F$9) + CHOOSE(CONTROL!$C$27, 0.0021, 0)</f>
        <v>119.4302</v>
      </c>
      <c r="G1056" s="14">
        <f>119.6995 * CHOOSE(CONTROL!$C$9, $D$9, 100%, $F$9) + CHOOSE(CONTROL!$C$27, 0.0021, 0)</f>
        <v>119.7016</v>
      </c>
      <c r="H1056" s="14">
        <f>119.5648 * CHOOSE(CONTROL!$C$9, $D$9, 100%, $F$9) + CHOOSE(CONTROL!$C$27, 0.0021, 0)</f>
        <v>119.5669</v>
      </c>
      <c r="I1056" s="14">
        <f>119.5648 * CHOOSE(CONTROL!$C$9, $D$9, 100%, $F$9) + CHOOSE(CONTROL!$C$27, 0.0021, 0)</f>
        <v>119.5669</v>
      </c>
      <c r="J1056" s="14">
        <f>119.5648 * CHOOSE(CONTROL!$C$9, $D$9, 100%, $F$9) + CHOOSE(CONTROL!$C$27, 0.0021, 0)</f>
        <v>119.5669</v>
      </c>
      <c r="K1056" s="14">
        <f>119.5648 * CHOOSE(CONTROL!$C$9, $D$9, 100%, $F$9) + CHOOSE(CONTROL!$C$27, 0.0021, 0)</f>
        <v>119.5669</v>
      </c>
      <c r="L1056" s="14"/>
    </row>
    <row r="1057" spans="1:12" ht="15.75" x14ac:dyDescent="0.25">
      <c r="A1057" s="32">
        <v>73109</v>
      </c>
      <c r="B1057" s="14">
        <f>119.6699 * CHOOSE(CONTROL!$C$9, $D$9, 100%, $F$9) + CHOOSE(CONTROL!$C$27, 0.0021, 0)</f>
        <v>119.672</v>
      </c>
      <c r="C1057" s="14">
        <f>119.2376 * CHOOSE(CONTROL!$C$9, $D$9, 100%, $F$9) + CHOOSE(CONTROL!$C$27, 0.0021, 0)</f>
        <v>119.2397</v>
      </c>
      <c r="D1057" s="14">
        <f>119.2376 * CHOOSE(CONTROL!$C$9, $D$9, 100%, $F$9) + CHOOSE(CONTROL!$C$27, 0.0021, 0)</f>
        <v>119.2397</v>
      </c>
      <c r="E1057" s="14">
        <f>119.101 * CHOOSE(CONTROL!$C$9, $D$9, 100%, $F$9) + CHOOSE(CONTROL!$C$27, 0.0021, 0)</f>
        <v>119.1031</v>
      </c>
      <c r="F1057" s="14">
        <f>119.101 * CHOOSE(CONTROL!$C$9, $D$9, 100%, $F$9) + CHOOSE(CONTROL!$C$27, 0.0021, 0)</f>
        <v>119.1031</v>
      </c>
      <c r="G1057" s="14">
        <f>119.3723 * CHOOSE(CONTROL!$C$9, $D$9, 100%, $F$9) + CHOOSE(CONTROL!$C$27, 0.0021, 0)</f>
        <v>119.37439999999999</v>
      </c>
      <c r="H1057" s="14">
        <f>119.2376 * CHOOSE(CONTROL!$C$9, $D$9, 100%, $F$9) + CHOOSE(CONTROL!$C$27, 0.0021, 0)</f>
        <v>119.2397</v>
      </c>
      <c r="I1057" s="14">
        <f>119.2376 * CHOOSE(CONTROL!$C$9, $D$9, 100%, $F$9) + CHOOSE(CONTROL!$C$27, 0.0021, 0)</f>
        <v>119.2397</v>
      </c>
      <c r="J1057" s="14">
        <f>119.2376 * CHOOSE(CONTROL!$C$9, $D$9, 100%, $F$9) + CHOOSE(CONTROL!$C$27, 0.0021, 0)</f>
        <v>119.2397</v>
      </c>
      <c r="K1057" s="14">
        <f>119.2376 * CHOOSE(CONTROL!$C$9, $D$9, 100%, $F$9) + CHOOSE(CONTROL!$C$27, 0.0021, 0)</f>
        <v>119.2397</v>
      </c>
      <c r="L1057" s="14"/>
    </row>
    <row r="1058" spans="1:12" ht="15.75" x14ac:dyDescent="0.25">
      <c r="A1058" s="32">
        <v>73140</v>
      </c>
      <c r="B1058" s="14">
        <f>125.8563 * CHOOSE(CONTROL!$C$9, $D$9, 100%, $F$9) + CHOOSE(CONTROL!$C$27, 0.0021, 0)</f>
        <v>125.8584</v>
      </c>
      <c r="C1058" s="14">
        <f>125.4241 * CHOOSE(CONTROL!$C$9, $D$9, 100%, $F$9) + CHOOSE(CONTROL!$C$27, 0.0021, 0)</f>
        <v>125.42619999999999</v>
      </c>
      <c r="D1058" s="14">
        <f>125.4241 * CHOOSE(CONTROL!$C$9, $D$9, 100%, $F$9) + CHOOSE(CONTROL!$C$27, 0.0021, 0)</f>
        <v>125.42619999999999</v>
      </c>
      <c r="E1058" s="14">
        <f>125.2874 * CHOOSE(CONTROL!$C$9, $D$9, 100%, $F$9) + CHOOSE(CONTROL!$C$27, 0.0021, 0)</f>
        <v>125.2895</v>
      </c>
      <c r="F1058" s="14">
        <f>125.2874 * CHOOSE(CONTROL!$C$9, $D$9, 100%, $F$9) + CHOOSE(CONTROL!$C$27, 0.0021, 0)</f>
        <v>125.2895</v>
      </c>
      <c r="G1058" s="14">
        <f>125.5588 * CHOOSE(CONTROL!$C$9, $D$9, 100%, $F$9) + CHOOSE(CONTROL!$C$27, 0.0021, 0)</f>
        <v>125.5609</v>
      </c>
      <c r="H1058" s="14">
        <f>125.4241 * CHOOSE(CONTROL!$C$9, $D$9, 100%, $F$9) + CHOOSE(CONTROL!$C$27, 0.0021, 0)</f>
        <v>125.42619999999999</v>
      </c>
      <c r="I1058" s="14">
        <f>125.4241 * CHOOSE(CONTROL!$C$9, $D$9, 100%, $F$9) + CHOOSE(CONTROL!$C$27, 0.0021, 0)</f>
        <v>125.42619999999999</v>
      </c>
      <c r="J1058" s="14">
        <f>125.4241 * CHOOSE(CONTROL!$C$9, $D$9, 100%, $F$9) + CHOOSE(CONTROL!$C$27, 0.0021, 0)</f>
        <v>125.42619999999999</v>
      </c>
      <c r="K1058" s="14">
        <f>125.4241 * CHOOSE(CONTROL!$C$9, $D$9, 100%, $F$9) + CHOOSE(CONTROL!$C$27, 0.0021, 0)</f>
        <v>125.42619999999999</v>
      </c>
      <c r="L1058" s="14"/>
    </row>
    <row r="1059" spans="1:12" ht="15.75" x14ac:dyDescent="0.25">
      <c r="A1059" s="32">
        <v>73170</v>
      </c>
      <c r="B1059" s="14">
        <f>133.8787 * CHOOSE(CONTROL!$C$9, $D$9, 100%, $F$9) + CHOOSE(CONTROL!$C$27, 0.0021, 0)</f>
        <v>133.88080000000002</v>
      </c>
      <c r="C1059" s="14">
        <f>133.4465 * CHOOSE(CONTROL!$C$9, $D$9, 100%, $F$9) + CHOOSE(CONTROL!$C$27, 0.0021, 0)</f>
        <v>133.4486</v>
      </c>
      <c r="D1059" s="14">
        <f>133.4465 * CHOOSE(CONTROL!$C$9, $D$9, 100%, $F$9) + CHOOSE(CONTROL!$C$27, 0.0021, 0)</f>
        <v>133.4486</v>
      </c>
      <c r="E1059" s="14">
        <f>133.3098 * CHOOSE(CONTROL!$C$9, $D$9, 100%, $F$9) + CHOOSE(CONTROL!$C$27, 0.0021, 0)</f>
        <v>133.31190000000001</v>
      </c>
      <c r="F1059" s="14">
        <f>133.3098 * CHOOSE(CONTROL!$C$9, $D$9, 100%, $F$9) + CHOOSE(CONTROL!$C$27, 0.0021, 0)</f>
        <v>133.31190000000001</v>
      </c>
      <c r="G1059" s="14">
        <f>133.5812 * CHOOSE(CONTROL!$C$9, $D$9, 100%, $F$9) + CHOOSE(CONTROL!$C$27, 0.0021, 0)</f>
        <v>133.58330000000001</v>
      </c>
      <c r="H1059" s="14">
        <f>133.4465 * CHOOSE(CONTROL!$C$9, $D$9, 100%, $F$9) + CHOOSE(CONTROL!$C$27, 0.0021, 0)</f>
        <v>133.4486</v>
      </c>
      <c r="I1059" s="14">
        <f>133.4465 * CHOOSE(CONTROL!$C$9, $D$9, 100%, $F$9) + CHOOSE(CONTROL!$C$27, 0.0021, 0)</f>
        <v>133.4486</v>
      </c>
      <c r="J1059" s="14">
        <f>133.4465 * CHOOSE(CONTROL!$C$9, $D$9, 100%, $F$9) + CHOOSE(CONTROL!$C$27, 0.0021, 0)</f>
        <v>133.4486</v>
      </c>
      <c r="K1059" s="14">
        <f>133.4465 * CHOOSE(CONTROL!$C$9, $D$9, 100%, $F$9) + CHOOSE(CONTROL!$C$27, 0.0021, 0)</f>
        <v>133.4486</v>
      </c>
      <c r="L1059" s="14"/>
    </row>
    <row r="1060" spans="1:12" ht="15.75" x14ac:dyDescent="0.25">
      <c r="A1060" s="32">
        <v>73201</v>
      </c>
      <c r="B1060" s="14">
        <f>138.2945 * CHOOSE(CONTROL!$C$9, $D$9, 100%, $F$9) + CHOOSE(CONTROL!$C$27, 0.0021, 0)</f>
        <v>138.29660000000001</v>
      </c>
      <c r="C1060" s="14">
        <f>137.8623 * CHOOSE(CONTROL!$C$9, $D$9, 100%, $F$9) + CHOOSE(CONTROL!$C$27, 0.0021, 0)</f>
        <v>137.86440000000002</v>
      </c>
      <c r="D1060" s="14">
        <f>137.8623 * CHOOSE(CONTROL!$C$9, $D$9, 100%, $F$9) + CHOOSE(CONTROL!$C$27, 0.0021, 0)</f>
        <v>137.86440000000002</v>
      </c>
      <c r="E1060" s="14">
        <f>137.7256 * CHOOSE(CONTROL!$C$9, $D$9, 100%, $F$9) + CHOOSE(CONTROL!$C$27, 0.0021, 0)</f>
        <v>137.7277</v>
      </c>
      <c r="F1060" s="14">
        <f>137.7256 * CHOOSE(CONTROL!$C$9, $D$9, 100%, $F$9) + CHOOSE(CONTROL!$C$27, 0.0021, 0)</f>
        <v>137.7277</v>
      </c>
      <c r="G1060" s="14">
        <f>137.997 * CHOOSE(CONTROL!$C$9, $D$9, 100%, $F$9) + CHOOSE(CONTROL!$C$27, 0.0021, 0)</f>
        <v>137.99910000000003</v>
      </c>
      <c r="H1060" s="14">
        <f>137.8623 * CHOOSE(CONTROL!$C$9, $D$9, 100%, $F$9) + CHOOSE(CONTROL!$C$27, 0.0021, 0)</f>
        <v>137.86440000000002</v>
      </c>
      <c r="I1060" s="14">
        <f>137.8623 * CHOOSE(CONTROL!$C$9, $D$9, 100%, $F$9) + CHOOSE(CONTROL!$C$27, 0.0021, 0)</f>
        <v>137.86440000000002</v>
      </c>
      <c r="J1060" s="14">
        <f>137.8623 * CHOOSE(CONTROL!$C$9, $D$9, 100%, $F$9) + CHOOSE(CONTROL!$C$27, 0.0021, 0)</f>
        <v>137.86440000000002</v>
      </c>
      <c r="K1060" s="14">
        <f>137.8623 * CHOOSE(CONTROL!$C$9, $D$9, 100%, $F$9) + CHOOSE(CONTROL!$C$27, 0.0021, 0)</f>
        <v>137.86440000000002</v>
      </c>
      <c r="L1060" s="14"/>
    </row>
    <row r="1061" spans="1:12" ht="15.75" x14ac:dyDescent="0.25">
      <c r="A1061" s="32">
        <v>73231</v>
      </c>
      <c r="B1061" s="14">
        <f>140.2541 * CHOOSE(CONTROL!$C$9, $D$9, 100%, $F$9) + CHOOSE(CONTROL!$C$27, 0.0021, 0)</f>
        <v>140.25620000000001</v>
      </c>
      <c r="C1061" s="14">
        <f>139.8219 * CHOOSE(CONTROL!$C$9, $D$9, 100%, $F$9) + CHOOSE(CONTROL!$C$27, 0.0021, 0)</f>
        <v>139.82400000000001</v>
      </c>
      <c r="D1061" s="14">
        <f>139.8219 * CHOOSE(CONTROL!$C$9, $D$9, 100%, $F$9) + CHOOSE(CONTROL!$C$27, 0.0021, 0)</f>
        <v>139.82400000000001</v>
      </c>
      <c r="E1061" s="14">
        <f>139.6852 * CHOOSE(CONTROL!$C$9, $D$9, 100%, $F$9) + CHOOSE(CONTROL!$C$27, 0.0021, 0)</f>
        <v>139.68730000000002</v>
      </c>
      <c r="F1061" s="14">
        <f>139.6852 * CHOOSE(CONTROL!$C$9, $D$9, 100%, $F$9) + CHOOSE(CONTROL!$C$27, 0.0021, 0)</f>
        <v>139.68730000000002</v>
      </c>
      <c r="G1061" s="14">
        <f>139.9566 * CHOOSE(CONTROL!$C$9, $D$9, 100%, $F$9) + CHOOSE(CONTROL!$C$27, 0.0021, 0)</f>
        <v>139.95870000000002</v>
      </c>
      <c r="H1061" s="14">
        <f>139.8219 * CHOOSE(CONTROL!$C$9, $D$9, 100%, $F$9) + CHOOSE(CONTROL!$C$27, 0.0021, 0)</f>
        <v>139.82400000000001</v>
      </c>
      <c r="I1061" s="14">
        <f>139.8219 * CHOOSE(CONTROL!$C$9, $D$9, 100%, $F$9) + CHOOSE(CONTROL!$C$27, 0.0021, 0)</f>
        <v>139.82400000000001</v>
      </c>
      <c r="J1061" s="14">
        <f>139.8219 * CHOOSE(CONTROL!$C$9, $D$9, 100%, $F$9) + CHOOSE(CONTROL!$C$27, 0.0021, 0)</f>
        <v>139.82400000000001</v>
      </c>
      <c r="K1061" s="14">
        <f>139.8219 * CHOOSE(CONTROL!$C$9, $D$9, 100%, $F$9) + CHOOSE(CONTROL!$C$27, 0.0021, 0)</f>
        <v>139.82400000000001</v>
      </c>
      <c r="L1061" s="14"/>
    </row>
    <row r="1062" spans="1:12" ht="15.75" x14ac:dyDescent="0.25">
      <c r="A1062" s="32">
        <v>73262</v>
      </c>
      <c r="B1062" s="14">
        <f>139.6089 * CHOOSE(CONTROL!$C$9, $D$9, 100%, $F$9) + CHOOSE(CONTROL!$C$27, 0.0021, 0)</f>
        <v>139.61100000000002</v>
      </c>
      <c r="C1062" s="14">
        <f>139.1767 * CHOOSE(CONTROL!$C$9, $D$9, 100%, $F$9) + CHOOSE(CONTROL!$C$27, 0.0021, 0)</f>
        <v>139.17880000000002</v>
      </c>
      <c r="D1062" s="14">
        <f>139.1767 * CHOOSE(CONTROL!$C$9, $D$9, 100%, $F$9) + CHOOSE(CONTROL!$C$27, 0.0021, 0)</f>
        <v>139.17880000000002</v>
      </c>
      <c r="E1062" s="14">
        <f>139.04 * CHOOSE(CONTROL!$C$9, $D$9, 100%, $F$9) + CHOOSE(CONTROL!$C$27, 0.0021, 0)</f>
        <v>139.0421</v>
      </c>
      <c r="F1062" s="14">
        <f>139.04 * CHOOSE(CONTROL!$C$9, $D$9, 100%, $F$9) + CHOOSE(CONTROL!$C$27, 0.0021, 0)</f>
        <v>139.0421</v>
      </c>
      <c r="G1062" s="14">
        <f>139.3114 * CHOOSE(CONTROL!$C$9, $D$9, 100%, $F$9) + CHOOSE(CONTROL!$C$27, 0.0021, 0)</f>
        <v>139.3135</v>
      </c>
      <c r="H1062" s="14">
        <f>139.1767 * CHOOSE(CONTROL!$C$9, $D$9, 100%, $F$9) + CHOOSE(CONTROL!$C$27, 0.0021, 0)</f>
        <v>139.17880000000002</v>
      </c>
      <c r="I1062" s="14">
        <f>139.1767 * CHOOSE(CONTROL!$C$9, $D$9, 100%, $F$9) + CHOOSE(CONTROL!$C$27, 0.0021, 0)</f>
        <v>139.17880000000002</v>
      </c>
      <c r="J1062" s="14">
        <f>139.1767 * CHOOSE(CONTROL!$C$9, $D$9, 100%, $F$9) + CHOOSE(CONTROL!$C$27, 0.0021, 0)</f>
        <v>139.17880000000002</v>
      </c>
      <c r="K1062" s="14">
        <f>139.1767 * CHOOSE(CONTROL!$C$9, $D$9, 100%, $F$9) + CHOOSE(CONTROL!$C$27, 0.0021, 0)</f>
        <v>139.17880000000002</v>
      </c>
      <c r="L1062" s="14"/>
    </row>
    <row r="1063" spans="1:12" ht="15.75" x14ac:dyDescent="0.25">
      <c r="A1063" s="32">
        <v>73293</v>
      </c>
      <c r="B1063" s="14">
        <f>136.4123 * CHOOSE(CONTROL!$C$9, $D$9, 100%, $F$9) + CHOOSE(CONTROL!$C$27, 0.0021, 0)</f>
        <v>136.4144</v>
      </c>
      <c r="C1063" s="14">
        <f>135.98 * CHOOSE(CONTROL!$C$9, $D$9, 100%, $F$9) + CHOOSE(CONTROL!$C$27, 0.0021, 0)</f>
        <v>135.9821</v>
      </c>
      <c r="D1063" s="14">
        <f>135.98 * CHOOSE(CONTROL!$C$9, $D$9, 100%, $F$9) + CHOOSE(CONTROL!$C$27, 0.0021, 0)</f>
        <v>135.9821</v>
      </c>
      <c r="E1063" s="14">
        <f>135.8434 * CHOOSE(CONTROL!$C$9, $D$9, 100%, $F$9) + CHOOSE(CONTROL!$C$27, 0.0021, 0)</f>
        <v>135.84550000000002</v>
      </c>
      <c r="F1063" s="14">
        <f>135.8434 * CHOOSE(CONTROL!$C$9, $D$9, 100%, $F$9) + CHOOSE(CONTROL!$C$27, 0.0021, 0)</f>
        <v>135.84550000000002</v>
      </c>
      <c r="G1063" s="14">
        <f>136.1147 * CHOOSE(CONTROL!$C$9, $D$9, 100%, $F$9) + CHOOSE(CONTROL!$C$27, 0.0021, 0)</f>
        <v>136.11680000000001</v>
      </c>
      <c r="H1063" s="14">
        <f>135.98 * CHOOSE(CONTROL!$C$9, $D$9, 100%, $F$9) + CHOOSE(CONTROL!$C$27, 0.0021, 0)</f>
        <v>135.9821</v>
      </c>
      <c r="I1063" s="14">
        <f>135.98 * CHOOSE(CONTROL!$C$9, $D$9, 100%, $F$9) + CHOOSE(CONTROL!$C$27, 0.0021, 0)</f>
        <v>135.9821</v>
      </c>
      <c r="J1063" s="14">
        <f>135.98 * CHOOSE(CONTROL!$C$9, $D$9, 100%, $F$9) + CHOOSE(CONTROL!$C$27, 0.0021, 0)</f>
        <v>135.9821</v>
      </c>
      <c r="K1063" s="14">
        <f>135.98 * CHOOSE(CONTROL!$C$9, $D$9, 100%, $F$9) + CHOOSE(CONTROL!$C$27, 0.0021, 0)</f>
        <v>135.9821</v>
      </c>
      <c r="L1063" s="14"/>
    </row>
    <row r="1064" spans="1:12" ht="15.75" x14ac:dyDescent="0.25">
      <c r="A1064" s="32">
        <v>73323</v>
      </c>
      <c r="B1064" s="14">
        <f>131.9543 * CHOOSE(CONTROL!$C$9, $D$9, 100%, $F$9) + CHOOSE(CONTROL!$C$27, 0.0021, 0)</f>
        <v>131.9564</v>
      </c>
      <c r="C1064" s="14">
        <f>131.5221 * CHOOSE(CONTROL!$C$9, $D$9, 100%, $F$9) + CHOOSE(CONTROL!$C$27, 0.0021, 0)</f>
        <v>131.52420000000001</v>
      </c>
      <c r="D1064" s="14">
        <f>131.5221 * CHOOSE(CONTROL!$C$9, $D$9, 100%, $F$9) + CHOOSE(CONTROL!$C$27, 0.0021, 0)</f>
        <v>131.52420000000001</v>
      </c>
      <c r="E1064" s="14">
        <f>131.3854 * CHOOSE(CONTROL!$C$9, $D$9, 100%, $F$9) + CHOOSE(CONTROL!$C$27, 0.0021, 0)</f>
        <v>131.38750000000002</v>
      </c>
      <c r="F1064" s="14">
        <f>131.3854 * CHOOSE(CONTROL!$C$9, $D$9, 100%, $F$9) + CHOOSE(CONTROL!$C$27, 0.0021, 0)</f>
        <v>131.38750000000002</v>
      </c>
      <c r="G1064" s="14">
        <f>131.6568 * CHOOSE(CONTROL!$C$9, $D$9, 100%, $F$9) + CHOOSE(CONTROL!$C$27, 0.0021, 0)</f>
        <v>131.65890000000002</v>
      </c>
      <c r="H1064" s="14">
        <f>131.5221 * CHOOSE(CONTROL!$C$9, $D$9, 100%, $F$9) + CHOOSE(CONTROL!$C$27, 0.0021, 0)</f>
        <v>131.52420000000001</v>
      </c>
      <c r="I1064" s="14">
        <f>131.5221 * CHOOSE(CONTROL!$C$9, $D$9, 100%, $F$9) + CHOOSE(CONTROL!$C$27, 0.0021, 0)</f>
        <v>131.52420000000001</v>
      </c>
      <c r="J1064" s="14">
        <f>131.5221 * CHOOSE(CONTROL!$C$9, $D$9, 100%, $F$9) + CHOOSE(CONTROL!$C$27, 0.0021, 0)</f>
        <v>131.52420000000001</v>
      </c>
      <c r="K1064" s="14">
        <f>131.5221 * CHOOSE(CONTROL!$C$9, $D$9, 100%, $F$9) + CHOOSE(CONTROL!$C$27, 0.0021, 0)</f>
        <v>131.52420000000001</v>
      </c>
      <c r="L1064" s="14"/>
    </row>
    <row r="1065" spans="1:12" ht="15.75" x14ac:dyDescent="0.25">
      <c r="A1065" s="32">
        <v>73354</v>
      </c>
      <c r="B1065" s="14">
        <f>127.4705 * CHOOSE(CONTROL!$C$9, $D$9, 100%, $F$9) + CHOOSE(CONTROL!$C$27, 0.0021, 0)</f>
        <v>127.4726</v>
      </c>
      <c r="C1065" s="14">
        <f>127.0383 * CHOOSE(CONTROL!$C$9, $D$9, 100%, $F$9) + CHOOSE(CONTROL!$C$27, 0.0021, 0)</f>
        <v>127.04040000000001</v>
      </c>
      <c r="D1065" s="14">
        <f>127.0383 * CHOOSE(CONTROL!$C$9, $D$9, 100%, $F$9) + CHOOSE(CONTROL!$C$27, 0.0021, 0)</f>
        <v>127.04040000000001</v>
      </c>
      <c r="E1065" s="14">
        <f>126.9016 * CHOOSE(CONTROL!$C$9, $D$9, 100%, $F$9) + CHOOSE(CONTROL!$C$27, 0.0021, 0)</f>
        <v>126.9037</v>
      </c>
      <c r="F1065" s="14">
        <f>126.9016 * CHOOSE(CONTROL!$C$9, $D$9, 100%, $F$9) + CHOOSE(CONTROL!$C$27, 0.0021, 0)</f>
        <v>126.9037</v>
      </c>
      <c r="G1065" s="14">
        <f>127.173 * CHOOSE(CONTROL!$C$9, $D$9, 100%, $F$9) + CHOOSE(CONTROL!$C$27, 0.0021, 0)</f>
        <v>127.1751</v>
      </c>
      <c r="H1065" s="14">
        <f>127.0383 * CHOOSE(CONTROL!$C$9, $D$9, 100%, $F$9) + CHOOSE(CONTROL!$C$27, 0.0021, 0)</f>
        <v>127.04040000000001</v>
      </c>
      <c r="I1065" s="14">
        <f>127.0383 * CHOOSE(CONTROL!$C$9, $D$9, 100%, $F$9) + CHOOSE(CONTROL!$C$27, 0.0021, 0)</f>
        <v>127.04040000000001</v>
      </c>
      <c r="J1065" s="14">
        <f>127.0383 * CHOOSE(CONTROL!$C$9, $D$9, 100%, $F$9) + CHOOSE(CONTROL!$C$27, 0.0021, 0)</f>
        <v>127.04040000000001</v>
      </c>
      <c r="K1065" s="14">
        <f>127.0383 * CHOOSE(CONTROL!$C$9, $D$9, 100%, $F$9) + CHOOSE(CONTROL!$C$27, 0.0021, 0)</f>
        <v>127.04040000000001</v>
      </c>
      <c r="L1065" s="14"/>
    </row>
    <row r="1066" spans="1:12" ht="15.75" x14ac:dyDescent="0.25">
      <c r="A1066" s="32">
        <v>73384</v>
      </c>
      <c r="B1066" s="14">
        <f>126.5786 * CHOOSE(CONTROL!$C$9, $D$9, 100%, $F$9) + CHOOSE(CONTROL!$C$27, 0.0021, 0)</f>
        <v>126.58069999999999</v>
      </c>
      <c r="C1066" s="14">
        <f>126.1463 * CHOOSE(CONTROL!$C$9, $D$9, 100%, $F$9) + CHOOSE(CONTROL!$C$27, 0.0021, 0)</f>
        <v>126.1484</v>
      </c>
      <c r="D1066" s="14">
        <f>126.1463 * CHOOSE(CONTROL!$C$9, $D$9, 100%, $F$9) + CHOOSE(CONTROL!$C$27, 0.0021, 0)</f>
        <v>126.1484</v>
      </c>
      <c r="E1066" s="14">
        <f>126.0097 * CHOOSE(CONTROL!$C$9, $D$9, 100%, $F$9) + CHOOSE(CONTROL!$C$27, 0.0021, 0)</f>
        <v>126.01179999999999</v>
      </c>
      <c r="F1066" s="14">
        <f>126.0097 * CHOOSE(CONTROL!$C$9, $D$9, 100%, $F$9) + CHOOSE(CONTROL!$C$27, 0.0021, 0)</f>
        <v>126.01179999999999</v>
      </c>
      <c r="G1066" s="14">
        <f>126.281 * CHOOSE(CONTROL!$C$9, $D$9, 100%, $F$9) + CHOOSE(CONTROL!$C$27, 0.0021, 0)</f>
        <v>126.2831</v>
      </c>
      <c r="H1066" s="14">
        <f>126.1463 * CHOOSE(CONTROL!$C$9, $D$9, 100%, $F$9) + CHOOSE(CONTROL!$C$27, 0.0021, 0)</f>
        <v>126.1484</v>
      </c>
      <c r="I1066" s="14">
        <f>126.1463 * CHOOSE(CONTROL!$C$9, $D$9, 100%, $F$9) + CHOOSE(CONTROL!$C$27, 0.0021, 0)</f>
        <v>126.1484</v>
      </c>
      <c r="J1066" s="14">
        <f>126.1463 * CHOOSE(CONTROL!$C$9, $D$9, 100%, $F$9) + CHOOSE(CONTROL!$C$27, 0.0021, 0)</f>
        <v>126.1484</v>
      </c>
      <c r="K1066" s="14">
        <f>126.1463 * CHOOSE(CONTROL!$C$9, $D$9, 100%, $F$9) + CHOOSE(CONTROL!$C$27, 0.0021, 0)</f>
        <v>126.1484</v>
      </c>
      <c r="L1066" s="14"/>
    </row>
    <row r="1067" spans="1:12" ht="15.75" x14ac:dyDescent="0.25">
      <c r="A1067" s="32">
        <v>73415</v>
      </c>
      <c r="B1067" s="14">
        <f>122.8904 * CHOOSE(CONTROL!$C$9, $D$9, 100%, $F$9) + CHOOSE(CONTROL!$C$27, 0.0021, 0)</f>
        <v>122.8925</v>
      </c>
      <c r="C1067" s="14">
        <f>122.4581 * CHOOSE(CONTROL!$C$9, $D$9, 100%, $F$9) + CHOOSE(CONTROL!$C$27, 0.0021, 0)</f>
        <v>122.4602</v>
      </c>
      <c r="D1067" s="14">
        <f>122.4581 * CHOOSE(CONTROL!$C$9, $D$9, 100%, $F$9) + CHOOSE(CONTROL!$C$27, 0.0021, 0)</f>
        <v>122.4602</v>
      </c>
      <c r="E1067" s="14">
        <f>122.3215 * CHOOSE(CONTROL!$C$9, $D$9, 100%, $F$9) + CHOOSE(CONTROL!$C$27, 0.0021, 0)</f>
        <v>122.3236</v>
      </c>
      <c r="F1067" s="14">
        <f>122.3215 * CHOOSE(CONTROL!$C$9, $D$9, 100%, $F$9) + CHOOSE(CONTROL!$C$27, 0.0021, 0)</f>
        <v>122.3236</v>
      </c>
      <c r="G1067" s="14">
        <f>122.5928 * CHOOSE(CONTROL!$C$9, $D$9, 100%, $F$9) + CHOOSE(CONTROL!$C$27, 0.0021, 0)</f>
        <v>122.5949</v>
      </c>
      <c r="H1067" s="14">
        <f>122.4581 * CHOOSE(CONTROL!$C$9, $D$9, 100%, $F$9) + CHOOSE(CONTROL!$C$27, 0.0021, 0)</f>
        <v>122.4602</v>
      </c>
      <c r="I1067" s="14">
        <f>122.4581 * CHOOSE(CONTROL!$C$9, $D$9, 100%, $F$9) + CHOOSE(CONTROL!$C$27, 0.0021, 0)</f>
        <v>122.4602</v>
      </c>
      <c r="J1067" s="14">
        <f>122.4581 * CHOOSE(CONTROL!$C$9, $D$9, 100%, $F$9) + CHOOSE(CONTROL!$C$27, 0.0021, 0)</f>
        <v>122.4602</v>
      </c>
      <c r="K1067" s="14">
        <f>122.4581 * CHOOSE(CONTROL!$C$9, $D$9, 100%, $F$9) + CHOOSE(CONTROL!$C$27, 0.0021, 0)</f>
        <v>122.4602</v>
      </c>
      <c r="L1067" s="14"/>
    </row>
    <row r="1068" spans="1:12" ht="15" x14ac:dyDescent="0.2">
      <c r="A1068" s="12"/>
      <c r="B1068" s="14"/>
      <c r="C1068" s="14"/>
      <c r="D1068" s="14"/>
      <c r="E1068" s="14"/>
      <c r="F1068" s="14"/>
      <c r="G1068" s="14"/>
      <c r="H1068" s="14"/>
      <c r="I1068" s="14"/>
      <c r="L1068" s="14"/>
    </row>
    <row r="1069" spans="1:12" ht="15" x14ac:dyDescent="0.2">
      <c r="A1069" s="10">
        <v>2013</v>
      </c>
      <c r="B1069" s="14">
        <f>AVERAGE(B12:B23)</f>
        <v>24.396707206422111</v>
      </c>
      <c r="C1069" s="14">
        <f>AVERAGE(C12:C23)</f>
        <v>23.964458206993854</v>
      </c>
      <c r="D1069" s="14"/>
      <c r="E1069" s="14">
        <f t="shared" ref="E1069:K1069" si="0">AVERAGE(E12:E23)</f>
        <v>23.827797043471847</v>
      </c>
      <c r="F1069" s="14">
        <f t="shared" si="0"/>
        <v>23.827797043471847</v>
      </c>
      <c r="G1069" s="14">
        <f t="shared" si="0"/>
        <v>24.099163867371217</v>
      </c>
      <c r="H1069" s="14">
        <f t="shared" si="0"/>
        <v>23.964458206993854</v>
      </c>
      <c r="I1069" s="14">
        <f t="shared" si="0"/>
        <v>23.964458206993854</v>
      </c>
      <c r="J1069" s="14">
        <f t="shared" si="0"/>
        <v>23.604247929692537</v>
      </c>
      <c r="K1069" s="14">
        <f t="shared" si="0"/>
        <v>23.964458206993854</v>
      </c>
      <c r="L1069" s="14"/>
    </row>
    <row r="1070" spans="1:12" ht="15" x14ac:dyDescent="0.2">
      <c r="A1070" s="10">
        <v>2014</v>
      </c>
      <c r="B1070" s="14">
        <f>AVERAGE(B24:B35)</f>
        <v>23.761208333333329</v>
      </c>
      <c r="C1070" s="14">
        <f>AVERAGE(C24:C35)</f>
        <v>23.328975</v>
      </c>
      <c r="D1070" s="14"/>
      <c r="E1070" s="14">
        <f t="shared" ref="E1070:K1070" si="1">AVERAGE(E24:E35)</f>
        <v>23.192308333333333</v>
      </c>
      <c r="F1070" s="14">
        <f t="shared" si="1"/>
        <v>23.192308333333333</v>
      </c>
      <c r="G1070" s="14">
        <f t="shared" si="1"/>
        <v>23.463691666666666</v>
      </c>
      <c r="H1070" s="14">
        <f t="shared" si="1"/>
        <v>23.328975</v>
      </c>
      <c r="I1070" s="14">
        <f t="shared" si="1"/>
        <v>23.328975</v>
      </c>
      <c r="J1070" s="14">
        <f t="shared" si="1"/>
        <v>22.968766666666667</v>
      </c>
      <c r="K1070" s="14">
        <f t="shared" si="1"/>
        <v>23.328975</v>
      </c>
      <c r="L1070" s="14"/>
    </row>
    <row r="1071" spans="1:12" ht="15" x14ac:dyDescent="0.2">
      <c r="A1071" s="10">
        <v>2015</v>
      </c>
      <c r="B1071" s="14">
        <f>AVERAGE(B36:B47)</f>
        <v>22.990124999999995</v>
      </c>
      <c r="C1071" s="14">
        <f>AVERAGE(C36:C47)</f>
        <v>22.557891666666663</v>
      </c>
      <c r="D1071" s="14"/>
      <c r="E1071" s="14">
        <f t="shared" ref="E1071:K1071" si="2">AVERAGE(E36:E47)</f>
        <v>22.421225000000003</v>
      </c>
      <c r="F1071" s="14">
        <f t="shared" si="2"/>
        <v>22.421225000000003</v>
      </c>
      <c r="G1071" s="14">
        <f t="shared" si="2"/>
        <v>22.692616666666666</v>
      </c>
      <c r="H1071" s="14">
        <f t="shared" si="2"/>
        <v>22.557891666666663</v>
      </c>
      <c r="I1071" s="14">
        <f t="shared" si="2"/>
        <v>22.557891666666663</v>
      </c>
      <c r="J1071" s="14">
        <f t="shared" si="2"/>
        <v>22.557891666666663</v>
      </c>
      <c r="K1071" s="14">
        <f t="shared" si="2"/>
        <v>22.557891666666663</v>
      </c>
      <c r="L1071" s="14"/>
    </row>
    <row r="1072" spans="1:12" ht="15" x14ac:dyDescent="0.2">
      <c r="A1072" s="10">
        <v>2016</v>
      </c>
      <c r="B1072" s="14">
        <f>AVERAGE(B48:B59)</f>
        <v>23.444833333333335</v>
      </c>
      <c r="C1072" s="14">
        <f>AVERAGE(C48:C59)</f>
        <v>23.012574999999998</v>
      </c>
      <c r="D1072" s="14"/>
      <c r="E1072" s="14">
        <f t="shared" ref="E1072:K1072" si="3">AVERAGE(E48:E59)</f>
        <v>22.875933333333332</v>
      </c>
      <c r="F1072" s="14">
        <f t="shared" si="3"/>
        <v>22.875933333333332</v>
      </c>
      <c r="G1072" s="14">
        <f t="shared" si="3"/>
        <v>23.147300000000001</v>
      </c>
      <c r="H1072" s="14">
        <f t="shared" si="3"/>
        <v>23.012574999999998</v>
      </c>
      <c r="I1072" s="14">
        <f t="shared" si="3"/>
        <v>23.012574999999998</v>
      </c>
      <c r="J1072" s="14">
        <f t="shared" si="3"/>
        <v>23.012574999999998</v>
      </c>
      <c r="K1072" s="14">
        <f t="shared" si="3"/>
        <v>23.012574999999998</v>
      </c>
      <c r="L1072" s="14"/>
    </row>
    <row r="1073" spans="1:12" ht="15" x14ac:dyDescent="0.2">
      <c r="A1073" s="10">
        <v>2017</v>
      </c>
      <c r="B1073" s="14">
        <f>AVERAGE(B60:B71)</f>
        <v>23.957683333333332</v>
      </c>
      <c r="C1073" s="14">
        <f>AVERAGE(C60:C71)</f>
        <v>23.525424999999998</v>
      </c>
      <c r="D1073" s="14"/>
      <c r="E1073" s="14">
        <f t="shared" ref="E1073:K1073" si="4">AVERAGE(E60:E71)</f>
        <v>23.388774999999995</v>
      </c>
      <c r="F1073" s="14">
        <f t="shared" si="4"/>
        <v>23.388774999999995</v>
      </c>
      <c r="G1073" s="14">
        <f t="shared" si="4"/>
        <v>23.660149999999998</v>
      </c>
      <c r="H1073" s="14">
        <f t="shared" si="4"/>
        <v>23.525424999999998</v>
      </c>
      <c r="I1073" s="14">
        <f t="shared" si="4"/>
        <v>23.525424999999998</v>
      </c>
      <c r="J1073" s="14">
        <f t="shared" si="4"/>
        <v>23.525424999999998</v>
      </c>
      <c r="K1073" s="14">
        <f t="shared" si="4"/>
        <v>23.525424999999998</v>
      </c>
      <c r="L1073" s="14"/>
    </row>
    <row r="1074" spans="1:12" ht="15" x14ac:dyDescent="0.2">
      <c r="A1074" s="10">
        <v>2018</v>
      </c>
      <c r="B1074" s="14">
        <f>AVERAGE(B72:B83)</f>
        <v>25.297425</v>
      </c>
      <c r="C1074" s="14">
        <f>AVERAGE(C72:C83)</f>
        <v>24.865174999999997</v>
      </c>
      <c r="D1074" s="14"/>
      <c r="E1074" s="14">
        <f t="shared" ref="E1074:K1074" si="5">AVERAGE(E72:E83)</f>
        <v>24.728516666666668</v>
      </c>
      <c r="F1074" s="14">
        <f t="shared" si="5"/>
        <v>24.728516666666668</v>
      </c>
      <c r="G1074" s="14">
        <f t="shared" si="5"/>
        <v>24.999883333333333</v>
      </c>
      <c r="H1074" s="14">
        <f t="shared" si="5"/>
        <v>24.865174999999997</v>
      </c>
      <c r="I1074" s="14">
        <f t="shared" si="5"/>
        <v>24.865174999999997</v>
      </c>
      <c r="J1074" s="14">
        <f t="shared" si="5"/>
        <v>24.865174999999997</v>
      </c>
      <c r="K1074" s="14">
        <f t="shared" si="5"/>
        <v>24.865174999999997</v>
      </c>
      <c r="L1074" s="14"/>
    </row>
    <row r="1075" spans="1:12" ht="15" x14ac:dyDescent="0.2">
      <c r="A1075" s="10">
        <v>2019</v>
      </c>
      <c r="B1075" s="14">
        <f>AVERAGE(B84:B95)</f>
        <v>25.93620833333333</v>
      </c>
      <c r="C1075" s="14">
        <f>AVERAGE(C84:C95)</f>
        <v>25.503941666666663</v>
      </c>
      <c r="D1075" s="14"/>
      <c r="E1075" s="14">
        <f t="shared" ref="E1075:K1075" si="6">AVERAGE(E84:E95)</f>
        <v>25.36730833333333</v>
      </c>
      <c r="F1075" s="14">
        <f t="shared" si="6"/>
        <v>25.36730833333333</v>
      </c>
      <c r="G1075" s="14">
        <f t="shared" si="6"/>
        <v>25.6387</v>
      </c>
      <c r="H1075" s="14">
        <f t="shared" si="6"/>
        <v>25.503941666666663</v>
      </c>
      <c r="I1075" s="14">
        <f t="shared" si="6"/>
        <v>25.503941666666663</v>
      </c>
      <c r="J1075" s="14">
        <f t="shared" si="6"/>
        <v>25.503941666666663</v>
      </c>
      <c r="K1075" s="14">
        <f t="shared" si="6"/>
        <v>25.503941666666663</v>
      </c>
      <c r="L1075" s="14"/>
    </row>
    <row r="1076" spans="1:12" ht="15" x14ac:dyDescent="0.2">
      <c r="A1076" s="10">
        <v>2020</v>
      </c>
      <c r="B1076" s="14">
        <f>AVERAGE(B96:B107)</f>
        <v>26.725766666666662</v>
      </c>
      <c r="C1076" s="14">
        <f>AVERAGE(C96:C107)</f>
        <v>26.293541666666666</v>
      </c>
      <c r="D1076" s="14"/>
      <c r="E1076" s="14">
        <f t="shared" ref="E1076:K1076" si="7">AVERAGE(E96:E107)</f>
        <v>26.156866666666662</v>
      </c>
      <c r="F1076" s="14">
        <f t="shared" si="7"/>
        <v>26.156866666666662</v>
      </c>
      <c r="G1076" s="14">
        <f t="shared" si="7"/>
        <v>26.428249999999995</v>
      </c>
      <c r="H1076" s="14">
        <f t="shared" si="7"/>
        <v>26.293541666666666</v>
      </c>
      <c r="I1076" s="14">
        <f t="shared" si="7"/>
        <v>26.293541666666666</v>
      </c>
      <c r="J1076" s="14">
        <f t="shared" si="7"/>
        <v>26.293541666666666</v>
      </c>
      <c r="K1076" s="14">
        <f t="shared" si="7"/>
        <v>26.293541666666666</v>
      </c>
      <c r="L1076" s="14"/>
    </row>
    <row r="1077" spans="1:12" ht="15" x14ac:dyDescent="0.2">
      <c r="A1077" s="10">
        <v>2021</v>
      </c>
      <c r="B1077" s="14">
        <f>AVERAGE(B108:B119)</f>
        <v>28.087624999999999</v>
      </c>
      <c r="C1077" s="14">
        <f>AVERAGE(C108:C119)</f>
        <v>27.655391666666663</v>
      </c>
      <c r="D1077" s="14"/>
      <c r="E1077" s="14">
        <f t="shared" ref="E1077:K1077" si="8">AVERAGE(E108:E119)</f>
        <v>27.518716666666666</v>
      </c>
      <c r="F1077" s="14">
        <f t="shared" si="8"/>
        <v>27.518716666666666</v>
      </c>
      <c r="G1077" s="14">
        <f t="shared" si="8"/>
        <v>27.790091666666665</v>
      </c>
      <c r="H1077" s="14">
        <f t="shared" si="8"/>
        <v>27.655391666666663</v>
      </c>
      <c r="I1077" s="14">
        <f t="shared" si="8"/>
        <v>27.655391666666663</v>
      </c>
      <c r="J1077" s="14">
        <f t="shared" si="8"/>
        <v>27.655391666666663</v>
      </c>
      <c r="K1077" s="14">
        <f t="shared" si="8"/>
        <v>27.655391666666663</v>
      </c>
      <c r="L1077" s="14"/>
    </row>
    <row r="1078" spans="1:12" ht="15" x14ac:dyDescent="0.2">
      <c r="A1078" s="10">
        <v>2022</v>
      </c>
      <c r="B1078" s="14">
        <f>AVERAGE(B120:B131)</f>
        <v>29.552125</v>
      </c>
      <c r="C1078" s="14">
        <f>AVERAGE(C120:C131)</f>
        <v>29.119891666666671</v>
      </c>
      <c r="D1078" s="14"/>
      <c r="E1078" s="14">
        <f t="shared" ref="E1078:K1078" si="9">AVERAGE(E120:E131)</f>
        <v>28.983208333333334</v>
      </c>
      <c r="F1078" s="14">
        <f t="shared" si="9"/>
        <v>28.983208333333334</v>
      </c>
      <c r="G1078" s="14">
        <f t="shared" si="9"/>
        <v>29.254599999999993</v>
      </c>
      <c r="H1078" s="14">
        <f t="shared" si="9"/>
        <v>29.119891666666671</v>
      </c>
      <c r="I1078" s="14">
        <f t="shared" si="9"/>
        <v>29.119891666666671</v>
      </c>
      <c r="J1078" s="14">
        <f t="shared" si="9"/>
        <v>29.119891666666671</v>
      </c>
      <c r="K1078" s="14">
        <f t="shared" si="9"/>
        <v>29.119891666666671</v>
      </c>
      <c r="L1078" s="14"/>
    </row>
    <row r="1079" spans="1:12" ht="15" x14ac:dyDescent="0.2">
      <c r="A1079" s="10">
        <v>2023</v>
      </c>
      <c r="B1079" s="14">
        <f>AVERAGE(B132:B143)</f>
        <v>30.982941666666665</v>
      </c>
      <c r="C1079" s="14">
        <f>AVERAGE(C132:C143)</f>
        <v>30.550699999999996</v>
      </c>
      <c r="D1079" s="14"/>
      <c r="E1079" s="14">
        <f t="shared" ref="E1079:K1079" si="10">AVERAGE(E132:E143)</f>
        <v>30.414041666666659</v>
      </c>
      <c r="F1079" s="14">
        <f t="shared" si="10"/>
        <v>30.414041666666659</v>
      </c>
      <c r="G1079" s="14">
        <f t="shared" si="10"/>
        <v>30.685416666666669</v>
      </c>
      <c r="H1079" s="14">
        <f t="shared" si="10"/>
        <v>30.550699999999996</v>
      </c>
      <c r="I1079" s="14">
        <f t="shared" si="10"/>
        <v>30.550699999999996</v>
      </c>
      <c r="J1079" s="14">
        <f t="shared" si="10"/>
        <v>30.550699999999996</v>
      </c>
      <c r="K1079" s="14">
        <f t="shared" si="10"/>
        <v>30.550699999999996</v>
      </c>
      <c r="L1079" s="14"/>
    </row>
    <row r="1080" spans="1:12" ht="15" x14ac:dyDescent="0.2">
      <c r="A1080" s="10">
        <v>2024</v>
      </c>
      <c r="B1080" s="14">
        <f>AVERAGE(B144:B155)</f>
        <v>32.392183333333335</v>
      </c>
      <c r="C1080" s="14">
        <f>AVERAGE(C144:C155)</f>
        <v>31.959941666666666</v>
      </c>
      <c r="D1080" s="14"/>
      <c r="E1080" s="14">
        <f t="shared" ref="E1080:K1080" si="11">AVERAGE(E144:E155)</f>
        <v>31.823274999999995</v>
      </c>
      <c r="F1080" s="14">
        <f t="shared" si="11"/>
        <v>31.823274999999995</v>
      </c>
      <c r="G1080" s="14">
        <f t="shared" si="11"/>
        <v>32.094650000000001</v>
      </c>
      <c r="H1080" s="14">
        <f t="shared" si="11"/>
        <v>31.959941666666666</v>
      </c>
      <c r="I1080" s="14">
        <f t="shared" si="11"/>
        <v>31.959941666666666</v>
      </c>
      <c r="J1080" s="14">
        <f t="shared" si="11"/>
        <v>31.959941666666666</v>
      </c>
      <c r="K1080" s="14">
        <f t="shared" si="11"/>
        <v>31.959941666666666</v>
      </c>
      <c r="L1080" s="14"/>
    </row>
    <row r="1081" spans="1:12" ht="15" x14ac:dyDescent="0.2">
      <c r="A1081" s="10">
        <v>2025</v>
      </c>
      <c r="B1081" s="14">
        <f>AVERAGE(B156:B167)</f>
        <v>33.765225000000001</v>
      </c>
      <c r="C1081" s="14">
        <f>AVERAGE(C156:C167)</f>
        <v>33.332966666666657</v>
      </c>
      <c r="D1081" s="14"/>
      <c r="E1081" s="14">
        <f t="shared" ref="E1081:K1081" si="12">AVERAGE(E156:E167)</f>
        <v>33.196325000000002</v>
      </c>
      <c r="F1081" s="14">
        <f t="shared" si="12"/>
        <v>33.196325000000002</v>
      </c>
      <c r="G1081" s="14">
        <f t="shared" si="12"/>
        <v>33.467708333333327</v>
      </c>
      <c r="H1081" s="14">
        <f t="shared" si="12"/>
        <v>33.332966666666657</v>
      </c>
      <c r="I1081" s="14">
        <f t="shared" si="12"/>
        <v>33.332966666666657</v>
      </c>
      <c r="J1081" s="14">
        <f t="shared" si="12"/>
        <v>33.332966666666657</v>
      </c>
      <c r="K1081" s="14">
        <f t="shared" si="12"/>
        <v>33.332966666666657</v>
      </c>
      <c r="L1081" s="14"/>
    </row>
    <row r="1082" spans="1:12" ht="15" x14ac:dyDescent="0.2">
      <c r="A1082" s="10">
        <v>2026</v>
      </c>
      <c r="B1082" s="14">
        <f>AVERAGE(B168:B179)</f>
        <v>34.594466666666669</v>
      </c>
      <c r="C1082" s="14">
        <f>AVERAGE(C168:C179)</f>
        <v>34.162208333333332</v>
      </c>
      <c r="D1082" s="14"/>
      <c r="E1082" s="14">
        <f t="shared" ref="E1082:K1082" si="13">AVERAGE(E168:E179)</f>
        <v>34.025541666666662</v>
      </c>
      <c r="F1082" s="14">
        <f t="shared" si="13"/>
        <v>34.025541666666662</v>
      </c>
      <c r="G1082" s="14">
        <f t="shared" si="13"/>
        <v>34.296924999999995</v>
      </c>
      <c r="H1082" s="14">
        <f t="shared" si="13"/>
        <v>34.162208333333332</v>
      </c>
      <c r="I1082" s="14">
        <f t="shared" si="13"/>
        <v>34.162208333333332</v>
      </c>
      <c r="J1082" s="14">
        <f t="shared" si="13"/>
        <v>34.162208333333332</v>
      </c>
      <c r="K1082" s="14">
        <f t="shared" si="13"/>
        <v>34.162208333333332</v>
      </c>
      <c r="L1082" s="14"/>
    </row>
    <row r="1083" spans="1:12" ht="15" x14ac:dyDescent="0.2">
      <c r="A1083" s="10">
        <v>2027</v>
      </c>
      <c r="B1083" s="14">
        <f>AVERAGE(B180:B191)</f>
        <v>35.40541666666666</v>
      </c>
      <c r="C1083" s="14">
        <f>AVERAGE(C180:C191)</f>
        <v>34.973158333333338</v>
      </c>
      <c r="D1083" s="14"/>
      <c r="E1083" s="14">
        <f t="shared" ref="E1083:K1083" si="14">AVERAGE(E180:E191)</f>
        <v>34.836516666666668</v>
      </c>
      <c r="F1083" s="14">
        <f t="shared" si="14"/>
        <v>34.836516666666668</v>
      </c>
      <c r="G1083" s="14">
        <f t="shared" si="14"/>
        <v>35.107900000000001</v>
      </c>
      <c r="H1083" s="14">
        <f t="shared" si="14"/>
        <v>34.973158333333338</v>
      </c>
      <c r="I1083" s="14">
        <f t="shared" si="14"/>
        <v>34.973158333333338</v>
      </c>
      <c r="J1083" s="14">
        <f t="shared" si="14"/>
        <v>34.973158333333338</v>
      </c>
      <c r="K1083" s="14">
        <f t="shared" si="14"/>
        <v>34.973158333333338</v>
      </c>
      <c r="L1083" s="14"/>
    </row>
    <row r="1084" spans="1:12" ht="15" x14ac:dyDescent="0.2">
      <c r="A1084" s="10">
        <v>2028</v>
      </c>
      <c r="B1084" s="14">
        <f>AVERAGE(B192:B203)</f>
        <v>36.170525000000005</v>
      </c>
      <c r="C1084" s="14">
        <f>AVERAGE(C192:C203)</f>
        <v>35.738283333333328</v>
      </c>
      <c r="D1084" s="14"/>
      <c r="E1084" s="14">
        <f t="shared" ref="E1084:K1084" si="15">AVERAGE(E192:E203)</f>
        <v>35.601616666666672</v>
      </c>
      <c r="F1084" s="14">
        <f t="shared" si="15"/>
        <v>35.601616666666672</v>
      </c>
      <c r="G1084" s="14">
        <f t="shared" si="15"/>
        <v>35.873008333333331</v>
      </c>
      <c r="H1084" s="14">
        <f t="shared" si="15"/>
        <v>35.738283333333328</v>
      </c>
      <c r="I1084" s="14">
        <f t="shared" si="15"/>
        <v>35.738283333333328</v>
      </c>
      <c r="J1084" s="14">
        <f t="shared" si="15"/>
        <v>35.738283333333328</v>
      </c>
      <c r="K1084" s="14">
        <f t="shared" si="15"/>
        <v>35.738283333333328</v>
      </c>
      <c r="L1084" s="14"/>
    </row>
    <row r="1085" spans="1:12" ht="15" x14ac:dyDescent="0.2">
      <c r="A1085" s="10">
        <v>2029</v>
      </c>
      <c r="B1085" s="14">
        <f>AVERAGE(B204:B215)</f>
        <v>36.972141666666658</v>
      </c>
      <c r="C1085" s="14">
        <f>AVERAGE(C204:C215)</f>
        <v>36.539908333333337</v>
      </c>
      <c r="D1085" s="14"/>
      <c r="E1085" s="14">
        <f t="shared" ref="E1085:K1085" si="16">AVERAGE(E204:E215)</f>
        <v>36.403224999999992</v>
      </c>
      <c r="F1085" s="14">
        <f t="shared" si="16"/>
        <v>36.403224999999992</v>
      </c>
      <c r="G1085" s="14">
        <f t="shared" si="16"/>
        <v>36.674616666666665</v>
      </c>
      <c r="H1085" s="14">
        <f t="shared" si="16"/>
        <v>36.539908333333337</v>
      </c>
      <c r="I1085" s="14">
        <f t="shared" si="16"/>
        <v>36.539908333333337</v>
      </c>
      <c r="J1085" s="14">
        <f t="shared" si="16"/>
        <v>36.539908333333337</v>
      </c>
      <c r="K1085" s="14">
        <f t="shared" si="16"/>
        <v>36.539908333333337</v>
      </c>
      <c r="L1085" s="14"/>
    </row>
    <row r="1086" spans="1:12" ht="15" x14ac:dyDescent="0.2">
      <c r="A1086" s="10">
        <v>2030</v>
      </c>
      <c r="B1086" s="14">
        <f>AVERAGE(B216:B227)</f>
        <v>37.678658333333338</v>
      </c>
      <c r="C1086" s="14">
        <f>AVERAGE(C216:C227)</f>
        <v>37.246408333333335</v>
      </c>
      <c r="D1086" s="14"/>
      <c r="E1086" s="14">
        <f t="shared" ref="E1086:K1086" si="17">AVERAGE(E216:E227)</f>
        <v>37.109758333333325</v>
      </c>
      <c r="F1086" s="14">
        <f t="shared" si="17"/>
        <v>37.109758333333325</v>
      </c>
      <c r="G1086" s="14">
        <f t="shared" si="17"/>
        <v>37.381116666666664</v>
      </c>
      <c r="H1086" s="14">
        <f t="shared" si="17"/>
        <v>37.246408333333335</v>
      </c>
      <c r="I1086" s="14">
        <f t="shared" si="17"/>
        <v>37.246408333333335</v>
      </c>
      <c r="J1086" s="14">
        <f t="shared" si="17"/>
        <v>37.246408333333335</v>
      </c>
      <c r="K1086" s="14">
        <f t="shared" si="17"/>
        <v>37.246408333333335</v>
      </c>
      <c r="L1086" s="14"/>
    </row>
    <row r="1087" spans="1:12" ht="15" x14ac:dyDescent="0.2">
      <c r="A1087" s="10">
        <v>2031</v>
      </c>
      <c r="B1087" s="14">
        <f>AVERAGE(B228:B239)</f>
        <v>38.45901666666667</v>
      </c>
      <c r="C1087" s="14">
        <f>AVERAGE(C228:C239)</f>
        <v>38.026783333333334</v>
      </c>
      <c r="D1087" s="14"/>
      <c r="E1087" s="14">
        <f t="shared" ref="E1087:K1087" si="18">AVERAGE(E228:E239)</f>
        <v>37.89010833333333</v>
      </c>
      <c r="F1087" s="14">
        <f t="shared" si="18"/>
        <v>37.89010833333333</v>
      </c>
      <c r="G1087" s="14">
        <f t="shared" si="18"/>
        <v>38.16149166666667</v>
      </c>
      <c r="H1087" s="14">
        <f t="shared" si="18"/>
        <v>38.026783333333334</v>
      </c>
      <c r="I1087" s="14">
        <f t="shared" si="18"/>
        <v>38.026783333333334</v>
      </c>
      <c r="J1087" s="14">
        <f t="shared" si="18"/>
        <v>38.026783333333334</v>
      </c>
      <c r="K1087" s="14">
        <f t="shared" si="18"/>
        <v>38.026783333333334</v>
      </c>
      <c r="L1087" s="14"/>
    </row>
    <row r="1088" spans="1:12" ht="15" x14ac:dyDescent="0.2">
      <c r="A1088" s="10">
        <v>2032</v>
      </c>
      <c r="B1088" s="14">
        <f>AVERAGE(B240:B251)</f>
        <v>39.127375000000001</v>
      </c>
      <c r="C1088" s="14">
        <f>AVERAGE(C240:C251)</f>
        <v>38.695116666666664</v>
      </c>
      <c r="D1088" s="14"/>
      <c r="E1088" s="14">
        <f t="shared" ref="E1088:K1088" si="19">AVERAGE(E240:E251)</f>
        <v>38.558466666666668</v>
      </c>
      <c r="F1088" s="14">
        <f t="shared" si="19"/>
        <v>38.558466666666668</v>
      </c>
      <c r="G1088" s="14">
        <f t="shared" si="19"/>
        <v>38.829849999999993</v>
      </c>
      <c r="H1088" s="14">
        <f t="shared" si="19"/>
        <v>38.695116666666664</v>
      </c>
      <c r="I1088" s="14">
        <f t="shared" si="19"/>
        <v>38.695116666666664</v>
      </c>
      <c r="J1088" s="14">
        <f t="shared" si="19"/>
        <v>38.695116666666664</v>
      </c>
      <c r="K1088" s="14">
        <f t="shared" si="19"/>
        <v>38.695116666666664</v>
      </c>
      <c r="L1088" s="14"/>
    </row>
    <row r="1089" spans="1:12" ht="15" x14ac:dyDescent="0.2">
      <c r="A1089" s="10">
        <v>2033</v>
      </c>
      <c r="B1089" s="14">
        <f>AVERAGE(B252:B263)</f>
        <v>39.808050000000001</v>
      </c>
      <c r="C1089" s="14">
        <f>AVERAGE(C252:C263)</f>
        <v>39.375833333333325</v>
      </c>
      <c r="D1089" s="14"/>
      <c r="E1089" s="14">
        <f t="shared" ref="E1089:K1089" si="20">AVERAGE(E252:E263)</f>
        <v>39.239149999999995</v>
      </c>
      <c r="F1089" s="14">
        <f t="shared" si="20"/>
        <v>39.239149999999995</v>
      </c>
      <c r="G1089" s="14">
        <f t="shared" si="20"/>
        <v>39.510533333333335</v>
      </c>
      <c r="H1089" s="14">
        <f t="shared" si="20"/>
        <v>39.375833333333325</v>
      </c>
      <c r="I1089" s="14">
        <f t="shared" si="20"/>
        <v>39.375833333333325</v>
      </c>
      <c r="J1089" s="14">
        <f t="shared" si="20"/>
        <v>39.375833333333325</v>
      </c>
      <c r="K1089" s="14">
        <f t="shared" si="20"/>
        <v>39.375833333333325</v>
      </c>
      <c r="L1089" s="14"/>
    </row>
    <row r="1090" spans="1:12" ht="15" x14ac:dyDescent="0.2">
      <c r="A1090" s="10">
        <v>2034</v>
      </c>
      <c r="B1090" s="14">
        <f>AVERAGE(B264:B275)</f>
        <v>40.501366666666662</v>
      </c>
      <c r="C1090" s="14">
        <f>AVERAGE(C264:C275)</f>
        <v>40.069108333333325</v>
      </c>
      <c r="D1090" s="14"/>
      <c r="E1090" s="14">
        <f t="shared" ref="E1090:K1090" si="21">AVERAGE(E264:E275)</f>
        <v>39.932450000000003</v>
      </c>
      <c r="F1090" s="14">
        <f t="shared" si="21"/>
        <v>39.932450000000003</v>
      </c>
      <c r="G1090" s="14">
        <f t="shared" si="21"/>
        <v>40.203808333333335</v>
      </c>
      <c r="H1090" s="14">
        <f t="shared" si="21"/>
        <v>40.069108333333325</v>
      </c>
      <c r="I1090" s="14">
        <f t="shared" si="21"/>
        <v>40.069108333333325</v>
      </c>
      <c r="J1090" s="14">
        <f t="shared" si="21"/>
        <v>40.069108333333325</v>
      </c>
      <c r="K1090" s="14">
        <f t="shared" si="21"/>
        <v>40.069108333333325</v>
      </c>
      <c r="L1090" s="14"/>
    </row>
    <row r="1091" spans="1:12" ht="15" x14ac:dyDescent="0.2">
      <c r="A1091" s="10">
        <v>2035</v>
      </c>
      <c r="B1091" s="14">
        <f>AVERAGE(B276:B287)</f>
        <v>41.207424999999994</v>
      </c>
      <c r="C1091" s="14">
        <f>AVERAGE(C276:C287)</f>
        <v>40.775199999999998</v>
      </c>
      <c r="D1091" s="14"/>
      <c r="E1091" s="14">
        <f t="shared" ref="E1091:K1091" si="22">AVERAGE(E276:E287)</f>
        <v>40.638525000000001</v>
      </c>
      <c r="F1091" s="14">
        <f t="shared" si="22"/>
        <v>40.638525000000001</v>
      </c>
      <c r="G1091" s="14">
        <f t="shared" si="22"/>
        <v>40.909916666666668</v>
      </c>
      <c r="H1091" s="14">
        <f t="shared" si="22"/>
        <v>40.775199999999998</v>
      </c>
      <c r="I1091" s="14">
        <f t="shared" si="22"/>
        <v>40.775199999999998</v>
      </c>
      <c r="J1091" s="14">
        <f t="shared" si="22"/>
        <v>40.775199999999998</v>
      </c>
      <c r="K1091" s="14">
        <f t="shared" si="22"/>
        <v>40.775199999999998</v>
      </c>
      <c r="L1091" s="14"/>
    </row>
    <row r="1092" spans="1:12" ht="15" x14ac:dyDescent="0.2">
      <c r="A1092" s="10">
        <v>2036</v>
      </c>
      <c r="B1092" s="14">
        <f>AVERAGE(B288:B299)</f>
        <v>41.926591666666667</v>
      </c>
      <c r="C1092" s="14">
        <f>AVERAGE(C288:C299)</f>
        <v>41.49433333333333</v>
      </c>
      <c r="D1092" s="14"/>
      <c r="E1092" s="14">
        <f t="shared" ref="E1092:K1092" si="23">AVERAGE(E288:E299)</f>
        <v>41.357691666666668</v>
      </c>
      <c r="F1092" s="14">
        <f t="shared" si="23"/>
        <v>41.357691666666668</v>
      </c>
      <c r="G1092" s="14">
        <f t="shared" si="23"/>
        <v>41.629066666666667</v>
      </c>
      <c r="H1092" s="14">
        <f t="shared" si="23"/>
        <v>41.49433333333333</v>
      </c>
      <c r="I1092" s="14">
        <f t="shared" si="23"/>
        <v>41.49433333333333</v>
      </c>
      <c r="J1092" s="14">
        <f t="shared" si="23"/>
        <v>41.49433333333333</v>
      </c>
      <c r="K1092" s="14">
        <f t="shared" si="23"/>
        <v>41.49433333333333</v>
      </c>
      <c r="L1092" s="14"/>
    </row>
    <row r="1093" spans="1:12" ht="15" x14ac:dyDescent="0.2">
      <c r="A1093" s="10">
        <v>2037</v>
      </c>
      <c r="B1093" s="14">
        <f>AVERAGE(B300:B311)</f>
        <v>42.658999999999999</v>
      </c>
      <c r="C1093" s="14">
        <f>AVERAGE(C300:C311)</f>
        <v>42.226775000000004</v>
      </c>
      <c r="D1093" s="14"/>
      <c r="E1093" s="14">
        <f t="shared" ref="E1093:K1093" si="24">AVERAGE(E300:E311)</f>
        <v>42.0901</v>
      </c>
      <c r="F1093" s="14">
        <f t="shared" si="24"/>
        <v>42.0901</v>
      </c>
      <c r="G1093" s="14">
        <f t="shared" si="24"/>
        <v>42.361483333333332</v>
      </c>
      <c r="H1093" s="14">
        <f t="shared" si="24"/>
        <v>42.226775000000004</v>
      </c>
      <c r="I1093" s="14">
        <f t="shared" si="24"/>
        <v>42.226775000000004</v>
      </c>
      <c r="J1093" s="14">
        <f t="shared" si="24"/>
        <v>42.226775000000004</v>
      </c>
      <c r="K1093" s="14">
        <f t="shared" si="24"/>
        <v>42.226775000000004</v>
      </c>
      <c r="L1093" s="14"/>
    </row>
    <row r="1094" spans="1:12" ht="15" x14ac:dyDescent="0.2">
      <c r="A1094" s="10">
        <f t="shared" ref="A1094:A1125" si="25">A1093+1</f>
        <v>2038</v>
      </c>
      <c r="B1094" s="14">
        <f>AVERAGE(B312:B323)</f>
        <v>43.404983333333327</v>
      </c>
      <c r="C1094" s="14">
        <f>AVERAGE(C312:C323)</f>
        <v>42.972725000000004</v>
      </c>
      <c r="D1094" s="14"/>
      <c r="E1094" s="14">
        <f t="shared" ref="E1094:K1094" si="26">AVERAGE(E312:E323)</f>
        <v>42.836083333333328</v>
      </c>
      <c r="F1094" s="14">
        <f t="shared" si="26"/>
        <v>42.836083333333328</v>
      </c>
      <c r="G1094" s="14">
        <f t="shared" si="26"/>
        <v>43.10745</v>
      </c>
      <c r="H1094" s="14">
        <f t="shared" si="26"/>
        <v>42.972725000000004</v>
      </c>
      <c r="I1094" s="14">
        <f t="shared" si="26"/>
        <v>42.972725000000004</v>
      </c>
      <c r="J1094" s="14">
        <f t="shared" si="26"/>
        <v>42.972725000000004</v>
      </c>
      <c r="K1094" s="14">
        <f t="shared" si="26"/>
        <v>42.972725000000004</v>
      </c>
      <c r="L1094" s="14"/>
    </row>
    <row r="1095" spans="1:12" ht="15" x14ac:dyDescent="0.2">
      <c r="A1095" s="10">
        <f t="shared" si="25"/>
        <v>2039</v>
      </c>
      <c r="B1095" s="14">
        <f>AVERAGE(B324:B335)</f>
        <v>44.164741666666657</v>
      </c>
      <c r="C1095" s="14">
        <f>AVERAGE(C324:C335)</f>
        <v>43.732475000000001</v>
      </c>
      <c r="D1095" s="14"/>
      <c r="E1095" s="14">
        <f t="shared" ref="E1095:K1095" si="27">AVERAGE(E324:E335)</f>
        <v>43.595841666666672</v>
      </c>
      <c r="F1095" s="14">
        <f t="shared" si="27"/>
        <v>43.595841666666672</v>
      </c>
      <c r="G1095" s="14">
        <f t="shared" si="27"/>
        <v>43.867216666666657</v>
      </c>
      <c r="H1095" s="14">
        <f t="shared" si="27"/>
        <v>43.732475000000001</v>
      </c>
      <c r="I1095" s="14">
        <f t="shared" si="27"/>
        <v>43.732475000000001</v>
      </c>
      <c r="J1095" s="14">
        <f t="shared" si="27"/>
        <v>43.732475000000001</v>
      </c>
      <c r="K1095" s="14">
        <f t="shared" si="27"/>
        <v>43.732475000000001</v>
      </c>
      <c r="L1095" s="14"/>
    </row>
    <row r="1096" spans="1:12" ht="15" x14ac:dyDescent="0.2">
      <c r="A1096" s="10">
        <f t="shared" si="25"/>
        <v>2040</v>
      </c>
      <c r="B1096" s="14">
        <f>AVERAGE(B336:B347)</f>
        <v>44.938541666666673</v>
      </c>
      <c r="C1096" s="14">
        <f>AVERAGE(C336:C347)</f>
        <v>44.506283333333336</v>
      </c>
      <c r="D1096" s="14"/>
      <c r="E1096" s="14">
        <f t="shared" ref="E1096:K1096" si="28">AVERAGE(E336:E347)</f>
        <v>44.369641666666666</v>
      </c>
      <c r="F1096" s="14">
        <f t="shared" si="28"/>
        <v>44.369641666666666</v>
      </c>
      <c r="G1096" s="14">
        <f t="shared" si="28"/>
        <v>44.640991666666658</v>
      </c>
      <c r="H1096" s="14">
        <f t="shared" si="28"/>
        <v>44.506283333333336</v>
      </c>
      <c r="I1096" s="14">
        <f t="shared" si="28"/>
        <v>44.506283333333336</v>
      </c>
      <c r="J1096" s="14">
        <f t="shared" si="28"/>
        <v>44.506283333333336</v>
      </c>
      <c r="K1096" s="14">
        <f t="shared" si="28"/>
        <v>44.506283333333336</v>
      </c>
      <c r="L1096" s="14"/>
    </row>
    <row r="1097" spans="1:12" ht="15" x14ac:dyDescent="0.2">
      <c r="A1097" s="10">
        <f t="shared" si="25"/>
        <v>2041</v>
      </c>
      <c r="B1097" s="14">
        <f>AVERAGE(B348:B359)</f>
        <v>45.726625000000006</v>
      </c>
      <c r="C1097" s="14">
        <f>AVERAGE(C348:C359)</f>
        <v>45.294366666666669</v>
      </c>
      <c r="D1097" s="14"/>
      <c r="E1097" s="14">
        <f t="shared" ref="E1097:K1097" si="29">AVERAGE(E348:E359)</f>
        <v>45.157724999999999</v>
      </c>
      <c r="F1097" s="14">
        <f t="shared" si="29"/>
        <v>45.157724999999999</v>
      </c>
      <c r="G1097" s="14">
        <f t="shared" si="29"/>
        <v>45.429091666666665</v>
      </c>
      <c r="H1097" s="14">
        <f t="shared" si="29"/>
        <v>45.294366666666669</v>
      </c>
      <c r="I1097" s="14">
        <f t="shared" si="29"/>
        <v>45.294366666666669</v>
      </c>
      <c r="J1097" s="14">
        <f t="shared" si="29"/>
        <v>45.294366666666669</v>
      </c>
      <c r="K1097" s="14">
        <f t="shared" si="29"/>
        <v>45.294366666666669</v>
      </c>
      <c r="L1097" s="14"/>
    </row>
    <row r="1098" spans="1:12" ht="15" x14ac:dyDescent="0.2">
      <c r="A1098" s="10">
        <f t="shared" si="25"/>
        <v>2042</v>
      </c>
      <c r="B1098" s="14">
        <f>AVERAGE(B360:B371)</f>
        <v>46.529274999999991</v>
      </c>
      <c r="C1098" s="14">
        <f>AVERAGE(C360:C371)</f>
        <v>46.097033333333336</v>
      </c>
      <c r="D1098" s="14"/>
      <c r="E1098" s="14">
        <f t="shared" ref="E1098:K1098" si="30">AVERAGE(E360:E371)</f>
        <v>45.960375000000006</v>
      </c>
      <c r="F1098" s="14">
        <f t="shared" si="30"/>
        <v>45.960375000000006</v>
      </c>
      <c r="G1098" s="14">
        <f t="shared" si="30"/>
        <v>46.231766666666665</v>
      </c>
      <c r="H1098" s="14">
        <f t="shared" si="30"/>
        <v>46.097033333333336</v>
      </c>
      <c r="I1098" s="14">
        <f t="shared" si="30"/>
        <v>46.097033333333336</v>
      </c>
      <c r="J1098" s="14">
        <f t="shared" si="30"/>
        <v>46.097033333333336</v>
      </c>
      <c r="K1098" s="14">
        <f t="shared" si="30"/>
        <v>46.097033333333336</v>
      </c>
      <c r="L1098" s="14"/>
    </row>
    <row r="1099" spans="1:12" ht="15" x14ac:dyDescent="0.2">
      <c r="A1099" s="10">
        <f t="shared" si="25"/>
        <v>2043</v>
      </c>
      <c r="B1099" s="14">
        <f>AVERAGE(B372:B383)</f>
        <v>47.346775000000008</v>
      </c>
      <c r="C1099" s="14">
        <f>AVERAGE(C372:C383)</f>
        <v>46.914516666666657</v>
      </c>
      <c r="D1099" s="14"/>
      <c r="E1099" s="14">
        <f t="shared" ref="E1099:K1099" si="31">AVERAGE(E372:E383)</f>
        <v>46.777874999999995</v>
      </c>
      <c r="F1099" s="14">
        <f t="shared" si="31"/>
        <v>46.777874999999995</v>
      </c>
      <c r="G1099" s="14">
        <f t="shared" si="31"/>
        <v>47.049233333333341</v>
      </c>
      <c r="H1099" s="14">
        <f t="shared" si="31"/>
        <v>46.914516666666657</v>
      </c>
      <c r="I1099" s="14">
        <f t="shared" si="31"/>
        <v>46.914516666666657</v>
      </c>
      <c r="J1099" s="14">
        <f t="shared" si="31"/>
        <v>46.914516666666657</v>
      </c>
      <c r="K1099" s="14">
        <f t="shared" si="31"/>
        <v>46.914516666666657</v>
      </c>
      <c r="L1099" s="14"/>
    </row>
    <row r="1100" spans="1:12" ht="15" x14ac:dyDescent="0.2">
      <c r="A1100" s="10">
        <f t="shared" si="25"/>
        <v>2044</v>
      </c>
      <c r="B1100" s="14">
        <f>AVERAGE(B384:B395)</f>
        <v>48.179375</v>
      </c>
      <c r="C1100" s="14">
        <f>AVERAGE(C384:C395)</f>
        <v>47.747149999999998</v>
      </c>
      <c r="D1100" s="14"/>
      <c r="E1100" s="14">
        <f t="shared" ref="E1100:K1100" si="32">AVERAGE(E384:E395)</f>
        <v>47.610474999999987</v>
      </c>
      <c r="F1100" s="14">
        <f t="shared" si="32"/>
        <v>47.610474999999987</v>
      </c>
      <c r="G1100" s="14">
        <f t="shared" si="32"/>
        <v>47.881849999999993</v>
      </c>
      <c r="H1100" s="14">
        <f t="shared" si="32"/>
        <v>47.747149999999998</v>
      </c>
      <c r="I1100" s="14">
        <f t="shared" si="32"/>
        <v>47.747149999999998</v>
      </c>
      <c r="J1100" s="14">
        <f t="shared" si="32"/>
        <v>47.747149999999998</v>
      </c>
      <c r="K1100" s="14">
        <f t="shared" si="32"/>
        <v>47.747149999999998</v>
      </c>
      <c r="L1100" s="14"/>
    </row>
    <row r="1101" spans="1:12" ht="15" x14ac:dyDescent="0.2">
      <c r="A1101" s="10">
        <f t="shared" si="25"/>
        <v>2045</v>
      </c>
      <c r="B1101" s="14">
        <f>AVERAGE(B396:B407)</f>
        <v>49.027358333333332</v>
      </c>
      <c r="C1101" s="14">
        <f>AVERAGE(C396:C407)</f>
        <v>48.595116666666662</v>
      </c>
      <c r="D1101" s="14"/>
      <c r="E1101" s="14">
        <f t="shared" ref="E1101:K1101" si="33">AVERAGE(E396:E407)</f>
        <v>48.45845833333334</v>
      </c>
      <c r="F1101" s="14">
        <f t="shared" si="33"/>
        <v>48.45845833333334</v>
      </c>
      <c r="G1101" s="14">
        <f t="shared" si="33"/>
        <v>48.729833333333325</v>
      </c>
      <c r="H1101" s="14">
        <f t="shared" si="33"/>
        <v>48.595116666666662</v>
      </c>
      <c r="I1101" s="14">
        <f t="shared" si="33"/>
        <v>48.595116666666662</v>
      </c>
      <c r="J1101" s="14">
        <f t="shared" si="33"/>
        <v>48.595116666666662</v>
      </c>
      <c r="K1101" s="14">
        <f t="shared" si="33"/>
        <v>48.595116666666662</v>
      </c>
      <c r="L1101" s="14"/>
    </row>
    <row r="1102" spans="1:12" ht="15" x14ac:dyDescent="0.2">
      <c r="A1102" s="10">
        <f t="shared" si="25"/>
        <v>2046</v>
      </c>
      <c r="B1102" s="14">
        <f>AVERAGE(B408:B419)</f>
        <v>49.891033333333326</v>
      </c>
      <c r="C1102" s="14">
        <f>AVERAGE(C408:C419)</f>
        <v>49.458783333333322</v>
      </c>
      <c r="D1102" s="14"/>
      <c r="E1102" s="14">
        <f t="shared" ref="E1102:K1102" si="34">AVERAGE(E408:E419)</f>
        <v>49.322116666666659</v>
      </c>
      <c r="F1102" s="14">
        <f t="shared" si="34"/>
        <v>49.322116666666659</v>
      </c>
      <c r="G1102" s="14">
        <f t="shared" si="34"/>
        <v>49.593491666666665</v>
      </c>
      <c r="H1102" s="14">
        <f t="shared" si="34"/>
        <v>49.458783333333322</v>
      </c>
      <c r="I1102" s="14">
        <f t="shared" si="34"/>
        <v>49.458783333333322</v>
      </c>
      <c r="J1102" s="14">
        <f t="shared" si="34"/>
        <v>49.458783333333322</v>
      </c>
      <c r="K1102" s="14">
        <f t="shared" si="34"/>
        <v>49.458783333333322</v>
      </c>
      <c r="L1102" s="14"/>
    </row>
    <row r="1103" spans="1:12" ht="15" x14ac:dyDescent="0.2">
      <c r="A1103" s="10">
        <f t="shared" si="25"/>
        <v>2047</v>
      </c>
      <c r="B1103" s="14">
        <f>AVERAGE(B420:B431)</f>
        <v>50.770649999999996</v>
      </c>
      <c r="C1103" s="14">
        <f>AVERAGE(C420:C431)</f>
        <v>50.3384</v>
      </c>
      <c r="D1103" s="14"/>
      <c r="E1103" s="14">
        <f t="shared" ref="E1103:K1103" si="35">AVERAGE(E420:E431)</f>
        <v>50.20174166666667</v>
      </c>
      <c r="F1103" s="14">
        <f t="shared" si="35"/>
        <v>50.20174166666667</v>
      </c>
      <c r="G1103" s="14">
        <f t="shared" si="35"/>
        <v>50.473108333333329</v>
      </c>
      <c r="H1103" s="14">
        <f t="shared" si="35"/>
        <v>50.3384</v>
      </c>
      <c r="I1103" s="14">
        <f t="shared" si="35"/>
        <v>50.3384</v>
      </c>
      <c r="J1103" s="14">
        <f t="shared" si="35"/>
        <v>50.3384</v>
      </c>
      <c r="K1103" s="14">
        <f t="shared" si="35"/>
        <v>50.3384</v>
      </c>
      <c r="L1103" s="14"/>
    </row>
    <row r="1104" spans="1:12" ht="15" x14ac:dyDescent="0.2">
      <c r="A1104" s="10">
        <f t="shared" si="25"/>
        <v>2048</v>
      </c>
      <c r="B1104" s="14">
        <f>AVERAGE(B432:B443)</f>
        <v>51.666516666666666</v>
      </c>
      <c r="C1104" s="14">
        <f>AVERAGE(C432:C443)</f>
        <v>51.234266666666677</v>
      </c>
      <c r="D1104" s="14"/>
      <c r="E1104" s="14">
        <f t="shared" ref="E1104:K1104" si="36">AVERAGE(E432:E443)</f>
        <v>51.097616666666674</v>
      </c>
      <c r="F1104" s="14">
        <f t="shared" si="36"/>
        <v>51.097616666666674</v>
      </c>
      <c r="G1104" s="14">
        <f t="shared" si="36"/>
        <v>51.368974999999999</v>
      </c>
      <c r="H1104" s="14">
        <f t="shared" si="36"/>
        <v>51.234266666666677</v>
      </c>
      <c r="I1104" s="14">
        <f t="shared" si="36"/>
        <v>51.234266666666677</v>
      </c>
      <c r="J1104" s="14">
        <f t="shared" si="36"/>
        <v>51.234266666666677</v>
      </c>
      <c r="K1104" s="14">
        <f t="shared" si="36"/>
        <v>51.234266666666677</v>
      </c>
      <c r="L1104" s="14"/>
    </row>
    <row r="1105" spans="1:12" ht="15" x14ac:dyDescent="0.2">
      <c r="A1105" s="10">
        <f t="shared" si="25"/>
        <v>2049</v>
      </c>
      <c r="B1105" s="14">
        <f>AVERAGE(B444:B455)</f>
        <v>52.57895833333334</v>
      </c>
      <c r="C1105" s="14">
        <f>AVERAGE(C444:C455)</f>
        <v>52.146716666666663</v>
      </c>
      <c r="D1105" s="14"/>
      <c r="E1105" s="14">
        <f t="shared" ref="E1105:K1105" si="37">AVERAGE(E444:E455)</f>
        <v>52.01005</v>
      </c>
      <c r="F1105" s="14">
        <f t="shared" si="37"/>
        <v>52.01005</v>
      </c>
      <c r="G1105" s="14">
        <f t="shared" si="37"/>
        <v>52.281433333333332</v>
      </c>
      <c r="H1105" s="14">
        <f t="shared" si="37"/>
        <v>52.146716666666663</v>
      </c>
      <c r="I1105" s="14">
        <f t="shared" si="37"/>
        <v>52.146716666666663</v>
      </c>
      <c r="J1105" s="14">
        <f t="shared" si="37"/>
        <v>52.146716666666663</v>
      </c>
      <c r="K1105" s="14">
        <f t="shared" si="37"/>
        <v>52.146716666666663</v>
      </c>
      <c r="L1105" s="14"/>
    </row>
    <row r="1106" spans="1:12" ht="15" x14ac:dyDescent="0.2">
      <c r="A1106" s="10">
        <f t="shared" si="25"/>
        <v>2050</v>
      </c>
      <c r="B1106" s="14">
        <f>AVERAGE(B456:B467)</f>
        <v>53.50824166666667</v>
      </c>
      <c r="C1106" s="14">
        <f>AVERAGE(C456:C467)</f>
        <v>53.076016666666668</v>
      </c>
      <c r="D1106" s="14"/>
      <c r="E1106" s="14">
        <f t="shared" ref="E1106:K1106" si="38">AVERAGE(E456:E467)</f>
        <v>52.93933333333333</v>
      </c>
      <c r="F1106" s="14">
        <f t="shared" si="38"/>
        <v>52.93933333333333</v>
      </c>
      <c r="G1106" s="14">
        <f t="shared" si="38"/>
        <v>53.210724999999996</v>
      </c>
      <c r="H1106" s="14">
        <f t="shared" si="38"/>
        <v>53.076016666666668</v>
      </c>
      <c r="I1106" s="14">
        <f t="shared" si="38"/>
        <v>53.076016666666668</v>
      </c>
      <c r="J1106" s="14">
        <f t="shared" si="38"/>
        <v>53.076016666666668</v>
      </c>
      <c r="K1106" s="14">
        <f t="shared" si="38"/>
        <v>53.076016666666668</v>
      </c>
      <c r="L1106" s="14"/>
    </row>
    <row r="1107" spans="1:12" ht="15" x14ac:dyDescent="0.2">
      <c r="A1107" s="10">
        <f t="shared" si="25"/>
        <v>2051</v>
      </c>
      <c r="B1107" s="14">
        <f>AVERAGE(B468:B479)</f>
        <v>54.454716666666663</v>
      </c>
      <c r="C1107" s="14">
        <f>AVERAGE(C468:C479)</f>
        <v>54.022475000000007</v>
      </c>
      <c r="D1107" s="14"/>
      <c r="E1107" s="14">
        <f t="shared" ref="E1107:K1107" si="39">AVERAGE(E468:E479)</f>
        <v>53.885808333333337</v>
      </c>
      <c r="F1107" s="14">
        <f t="shared" si="39"/>
        <v>53.885808333333337</v>
      </c>
      <c r="G1107" s="14">
        <f t="shared" si="39"/>
        <v>54.15719166666667</v>
      </c>
      <c r="H1107" s="14">
        <f t="shared" si="39"/>
        <v>54.022475000000007</v>
      </c>
      <c r="I1107" s="14">
        <f t="shared" si="39"/>
        <v>54.022475000000007</v>
      </c>
      <c r="J1107" s="14">
        <f t="shared" si="39"/>
        <v>54.022475000000007</v>
      </c>
      <c r="K1107" s="14">
        <f t="shared" si="39"/>
        <v>54.022475000000007</v>
      </c>
      <c r="L1107" s="14"/>
    </row>
    <row r="1108" spans="1:12" ht="15" x14ac:dyDescent="0.2">
      <c r="A1108" s="10">
        <f t="shared" si="25"/>
        <v>2052</v>
      </c>
      <c r="B1108" s="14">
        <f>AVERAGE(B480:B491)</f>
        <v>55.418683333333327</v>
      </c>
      <c r="C1108" s="14">
        <f>AVERAGE(C480:C491)</f>
        <v>54.986441666666671</v>
      </c>
      <c r="D1108" s="14"/>
      <c r="E1108" s="14">
        <f t="shared" ref="E1108:K1108" si="40">AVERAGE(E480:E491)</f>
        <v>54.849783333333335</v>
      </c>
      <c r="F1108" s="14">
        <f t="shared" si="40"/>
        <v>54.849783333333335</v>
      </c>
      <c r="G1108" s="14">
        <f t="shared" si="40"/>
        <v>55.12115</v>
      </c>
      <c r="H1108" s="14">
        <f t="shared" si="40"/>
        <v>54.986441666666671</v>
      </c>
      <c r="I1108" s="14">
        <f t="shared" si="40"/>
        <v>54.986441666666671</v>
      </c>
      <c r="J1108" s="14">
        <f t="shared" si="40"/>
        <v>54.986441666666671</v>
      </c>
      <c r="K1108" s="14">
        <f t="shared" si="40"/>
        <v>54.986441666666671</v>
      </c>
      <c r="L1108" s="14"/>
    </row>
    <row r="1109" spans="1:12" ht="15" x14ac:dyDescent="0.2">
      <c r="A1109" s="10">
        <f t="shared" si="25"/>
        <v>2053</v>
      </c>
      <c r="B1109" s="14">
        <f>AVERAGE(B492:B503)</f>
        <v>56.40045833333334</v>
      </c>
      <c r="C1109" s="14">
        <f>AVERAGE(C492:C503)</f>
        <v>55.96821666666667</v>
      </c>
      <c r="D1109" s="14"/>
      <c r="E1109" s="14">
        <f t="shared" ref="E1109:K1109" si="41">AVERAGE(E492:E503)</f>
        <v>55.83155</v>
      </c>
      <c r="F1109" s="14">
        <f t="shared" si="41"/>
        <v>55.83155</v>
      </c>
      <c r="G1109" s="14">
        <f t="shared" si="41"/>
        <v>56.102924999999999</v>
      </c>
      <c r="H1109" s="14">
        <f t="shared" si="41"/>
        <v>55.96821666666667</v>
      </c>
      <c r="I1109" s="14">
        <f t="shared" si="41"/>
        <v>55.96821666666667</v>
      </c>
      <c r="J1109" s="14">
        <f t="shared" si="41"/>
        <v>55.96821666666667</v>
      </c>
      <c r="K1109" s="14">
        <f t="shared" si="41"/>
        <v>55.96821666666667</v>
      </c>
      <c r="L1109" s="14"/>
    </row>
    <row r="1110" spans="1:12" ht="15" x14ac:dyDescent="0.2">
      <c r="A1110" s="10">
        <f t="shared" si="25"/>
        <v>2054</v>
      </c>
      <c r="B1110" s="14">
        <f>AVERAGE(B504:B515)</f>
        <v>57.400383333333338</v>
      </c>
      <c r="C1110" s="14">
        <f>AVERAGE(C504:C515)</f>
        <v>56.968133333333334</v>
      </c>
      <c r="D1110" s="14"/>
      <c r="E1110" s="14">
        <f t="shared" ref="E1110:K1110" si="42">AVERAGE(E504:E515)</f>
        <v>56.831483333333324</v>
      </c>
      <c r="F1110" s="14">
        <f t="shared" si="42"/>
        <v>56.831483333333324</v>
      </c>
      <c r="G1110" s="14">
        <f t="shared" si="42"/>
        <v>57.102841666666656</v>
      </c>
      <c r="H1110" s="14">
        <f t="shared" si="42"/>
        <v>56.968133333333334</v>
      </c>
      <c r="I1110" s="14">
        <f t="shared" si="42"/>
        <v>56.968133333333334</v>
      </c>
      <c r="J1110" s="14">
        <f t="shared" si="42"/>
        <v>56.968133333333334</v>
      </c>
      <c r="K1110" s="14">
        <f t="shared" si="42"/>
        <v>56.968133333333334</v>
      </c>
      <c r="L1110" s="14"/>
    </row>
    <row r="1111" spans="1:12" ht="15" x14ac:dyDescent="0.2">
      <c r="A1111" s="10">
        <f t="shared" si="25"/>
        <v>2055</v>
      </c>
      <c r="B1111" s="14">
        <f>AVERAGE(B516:B527)</f>
        <v>58.418775000000004</v>
      </c>
      <c r="C1111" s="14">
        <f>AVERAGE(C516:C527)</f>
        <v>57.986541666666675</v>
      </c>
      <c r="D1111" s="14"/>
      <c r="E1111" s="14">
        <f t="shared" ref="E1111:K1111" si="43">AVERAGE(E516:E527)</f>
        <v>57.849866666666664</v>
      </c>
      <c r="F1111" s="14">
        <f t="shared" si="43"/>
        <v>57.849866666666664</v>
      </c>
      <c r="G1111" s="14">
        <f t="shared" si="43"/>
        <v>58.121241666666663</v>
      </c>
      <c r="H1111" s="14">
        <f t="shared" si="43"/>
        <v>57.986541666666675</v>
      </c>
      <c r="I1111" s="14">
        <f t="shared" si="43"/>
        <v>57.986541666666675</v>
      </c>
      <c r="J1111" s="14">
        <f t="shared" si="43"/>
        <v>57.986541666666675</v>
      </c>
      <c r="K1111" s="14">
        <f t="shared" si="43"/>
        <v>57.986541666666675</v>
      </c>
      <c r="L1111" s="14"/>
    </row>
    <row r="1112" spans="1:12" ht="15" x14ac:dyDescent="0.2">
      <c r="A1112" s="10">
        <f t="shared" si="25"/>
        <v>2056</v>
      </c>
      <c r="B1112" s="14">
        <f>AVERAGE(B528:B539)</f>
        <v>59.455999999999996</v>
      </c>
      <c r="C1112" s="14">
        <f>AVERAGE(C528:C539)</f>
        <v>59.023741666666659</v>
      </c>
      <c r="D1112" s="14"/>
      <c r="E1112" s="14">
        <f t="shared" ref="E1112:K1112" si="44">AVERAGE(E528:E539)</f>
        <v>58.887100000000004</v>
      </c>
      <c r="F1112" s="14">
        <f t="shared" si="44"/>
        <v>58.887100000000004</v>
      </c>
      <c r="G1112" s="14">
        <f t="shared" si="44"/>
        <v>59.158474999999989</v>
      </c>
      <c r="H1112" s="14">
        <f t="shared" si="44"/>
        <v>59.023741666666659</v>
      </c>
      <c r="I1112" s="14">
        <f t="shared" si="44"/>
        <v>59.023741666666659</v>
      </c>
      <c r="J1112" s="14">
        <f t="shared" si="44"/>
        <v>59.023741666666659</v>
      </c>
      <c r="K1112" s="14">
        <f t="shared" si="44"/>
        <v>59.023741666666659</v>
      </c>
      <c r="L1112" s="14"/>
    </row>
    <row r="1113" spans="1:12" ht="15" x14ac:dyDescent="0.2">
      <c r="A1113" s="10">
        <f t="shared" si="25"/>
        <v>2057</v>
      </c>
      <c r="B1113" s="14">
        <f>AVERAGE(B540:B551)</f>
        <v>60.512366666666658</v>
      </c>
      <c r="C1113" s="14">
        <f>AVERAGE(C540:C551)</f>
        <v>60.080149999999996</v>
      </c>
      <c r="D1113" s="14"/>
      <c r="E1113" s="14">
        <f t="shared" ref="E1113:K1113" si="45">AVERAGE(E540:E551)</f>
        <v>59.943466666666666</v>
      </c>
      <c r="F1113" s="14">
        <f t="shared" si="45"/>
        <v>59.943466666666666</v>
      </c>
      <c r="G1113" s="14">
        <f t="shared" si="45"/>
        <v>60.214866666666659</v>
      </c>
      <c r="H1113" s="14">
        <f t="shared" si="45"/>
        <v>60.080149999999996</v>
      </c>
      <c r="I1113" s="14">
        <f t="shared" si="45"/>
        <v>60.080149999999996</v>
      </c>
      <c r="J1113" s="14">
        <f t="shared" si="45"/>
        <v>60.080149999999996</v>
      </c>
      <c r="K1113" s="14">
        <f t="shared" si="45"/>
        <v>60.080149999999996</v>
      </c>
      <c r="L1113" s="14"/>
    </row>
    <row r="1114" spans="1:12" ht="15" x14ac:dyDescent="0.2">
      <c r="A1114" s="10">
        <f t="shared" si="25"/>
        <v>2058</v>
      </c>
      <c r="B1114" s="14">
        <f>AVERAGE(B552:B563)</f>
        <v>61.588300000000004</v>
      </c>
      <c r="C1114" s="14">
        <f>AVERAGE(C552:C563)</f>
        <v>61.156041666666674</v>
      </c>
      <c r="D1114" s="14"/>
      <c r="E1114" s="14">
        <f t="shared" ref="E1114:K1114" si="46">AVERAGE(E552:E563)</f>
        <v>61.01938333333333</v>
      </c>
      <c r="F1114" s="14">
        <f t="shared" si="46"/>
        <v>61.01938333333333</v>
      </c>
      <c r="G1114" s="14">
        <f t="shared" si="46"/>
        <v>61.290758333333336</v>
      </c>
      <c r="H1114" s="14">
        <f t="shared" si="46"/>
        <v>61.156041666666674</v>
      </c>
      <c r="I1114" s="14">
        <f t="shared" si="46"/>
        <v>61.156041666666674</v>
      </c>
      <c r="J1114" s="14">
        <f t="shared" si="46"/>
        <v>61.156041666666674</v>
      </c>
      <c r="K1114" s="14">
        <f t="shared" si="46"/>
        <v>61.156041666666674</v>
      </c>
      <c r="L1114" s="14"/>
    </row>
    <row r="1115" spans="1:12" ht="15" x14ac:dyDescent="0.2">
      <c r="A1115" s="10">
        <f t="shared" si="25"/>
        <v>2059</v>
      </c>
      <c r="B1115" s="14">
        <f>AVERAGE(B564:B575)</f>
        <v>62.684074999999986</v>
      </c>
      <c r="C1115" s="14">
        <f>AVERAGE(C564:C575)</f>
        <v>62.251849999999997</v>
      </c>
      <c r="D1115" s="14"/>
      <c r="E1115" s="14">
        <f t="shared" ref="E1115:K1115" si="47">AVERAGE(E564:E575)</f>
        <v>62.115174999999994</v>
      </c>
      <c r="F1115" s="14">
        <f t="shared" si="47"/>
        <v>62.115174999999994</v>
      </c>
      <c r="G1115" s="14">
        <f t="shared" si="47"/>
        <v>62.386566666666674</v>
      </c>
      <c r="H1115" s="14">
        <f t="shared" si="47"/>
        <v>62.251849999999997</v>
      </c>
      <c r="I1115" s="14">
        <f t="shared" si="47"/>
        <v>62.251849999999997</v>
      </c>
      <c r="J1115" s="14">
        <f t="shared" si="47"/>
        <v>62.251849999999997</v>
      </c>
      <c r="K1115" s="14">
        <f t="shared" si="47"/>
        <v>62.251849999999997</v>
      </c>
      <c r="L1115" s="14"/>
    </row>
    <row r="1116" spans="1:12" ht="15" x14ac:dyDescent="0.2">
      <c r="A1116" s="10">
        <f t="shared" si="25"/>
        <v>2060</v>
      </c>
      <c r="B1116" s="14">
        <f>AVERAGE(B576:B587)</f>
        <v>63.800125000000001</v>
      </c>
      <c r="C1116" s="14">
        <f>AVERAGE(C576:C587)</f>
        <v>63.367891666666672</v>
      </c>
      <c r="D1116" s="14"/>
      <c r="E1116" s="14">
        <f t="shared" ref="E1116:K1116" si="48">AVERAGE(E576:E587)</f>
        <v>63.231224999999995</v>
      </c>
      <c r="F1116" s="14">
        <f t="shared" si="48"/>
        <v>63.231224999999995</v>
      </c>
      <c r="G1116" s="14">
        <f t="shared" si="48"/>
        <v>63.502600000000001</v>
      </c>
      <c r="H1116" s="14">
        <f t="shared" si="48"/>
        <v>63.367891666666672</v>
      </c>
      <c r="I1116" s="14">
        <f t="shared" si="48"/>
        <v>63.367891666666672</v>
      </c>
      <c r="J1116" s="14">
        <f t="shared" si="48"/>
        <v>63.367891666666672</v>
      </c>
      <c r="K1116" s="14">
        <f t="shared" si="48"/>
        <v>63.367891666666672</v>
      </c>
      <c r="L1116" s="14"/>
    </row>
    <row r="1117" spans="1:12" ht="15" x14ac:dyDescent="0.2">
      <c r="A1117" s="10">
        <f t="shared" si="25"/>
        <v>2061</v>
      </c>
      <c r="B1117" s="14">
        <f>AVERAGE(B588:B599)</f>
        <v>64.936783333333338</v>
      </c>
      <c r="C1117" s="14">
        <f>AVERAGE(C588:C599)</f>
        <v>64.504566666666662</v>
      </c>
      <c r="D1117" s="14"/>
      <c r="E1117" s="14">
        <f t="shared" ref="E1117:K1117" si="49">AVERAGE(E588:E599)</f>
        <v>64.367883333333339</v>
      </c>
      <c r="F1117" s="14">
        <f t="shared" si="49"/>
        <v>64.367883333333339</v>
      </c>
      <c r="G1117" s="14">
        <f t="shared" si="49"/>
        <v>64.639274999999984</v>
      </c>
      <c r="H1117" s="14">
        <f t="shared" si="49"/>
        <v>64.504566666666662</v>
      </c>
      <c r="I1117" s="14">
        <f t="shared" si="49"/>
        <v>64.504566666666662</v>
      </c>
      <c r="J1117" s="14">
        <f t="shared" si="49"/>
        <v>64.504566666666662</v>
      </c>
      <c r="K1117" s="14">
        <f t="shared" si="49"/>
        <v>64.504566666666662</v>
      </c>
      <c r="L1117" s="14"/>
    </row>
    <row r="1118" spans="1:12" ht="15" x14ac:dyDescent="0.2">
      <c r="A1118" s="10">
        <f t="shared" si="25"/>
        <v>2062</v>
      </c>
      <c r="B1118" s="14">
        <f t="shared" ref="B1118:C1137" ca="1" si="50">AVERAGE(OFFSET(B$600,($A1118-$A$1118)*12,0,12,1))</f>
        <v>66.094483333333343</v>
      </c>
      <c r="C1118" s="14">
        <f t="shared" ca="1" si="50"/>
        <v>65.662233333333333</v>
      </c>
      <c r="D1118" s="14"/>
      <c r="E1118" s="14">
        <f t="shared" ref="E1118:K1127" ca="1" si="51">AVERAGE(OFFSET(E$600,($A1118-$A$1118)*12,0,12,1))</f>
        <v>65.52558333333333</v>
      </c>
      <c r="F1118" s="14">
        <f t="shared" ca="1" si="51"/>
        <v>65.52558333333333</v>
      </c>
      <c r="G1118" s="14">
        <f t="shared" ca="1" si="51"/>
        <v>65.796958333333336</v>
      </c>
      <c r="H1118" s="14">
        <f t="shared" ca="1" si="51"/>
        <v>65.662233333333333</v>
      </c>
      <c r="I1118" s="14">
        <f t="shared" ca="1" si="51"/>
        <v>65.662233333333333</v>
      </c>
      <c r="J1118" s="14">
        <f t="shared" ca="1" si="51"/>
        <v>65.662233333333333</v>
      </c>
      <c r="K1118" s="14">
        <f t="shared" ca="1" si="51"/>
        <v>65.662233333333333</v>
      </c>
    </row>
    <row r="1119" spans="1:12" ht="15" x14ac:dyDescent="0.2">
      <c r="A1119" s="10">
        <f t="shared" si="25"/>
        <v>2063</v>
      </c>
      <c r="B1119" s="14">
        <f t="shared" ca="1" si="50"/>
        <v>67.273558333333341</v>
      </c>
      <c r="C1119" s="14">
        <f t="shared" ca="1" si="50"/>
        <v>66.841308333333316</v>
      </c>
      <c r="D1119" s="14"/>
      <c r="E1119" s="14">
        <f t="shared" ca="1" si="51"/>
        <v>66.704658333333342</v>
      </c>
      <c r="F1119" s="14">
        <f t="shared" ca="1" si="51"/>
        <v>66.704658333333342</v>
      </c>
      <c r="G1119" s="14">
        <f t="shared" ca="1" si="51"/>
        <v>66.976016666666666</v>
      </c>
      <c r="H1119" s="14">
        <f t="shared" ca="1" si="51"/>
        <v>66.841308333333316</v>
      </c>
      <c r="I1119" s="14">
        <f t="shared" ca="1" si="51"/>
        <v>66.841308333333316</v>
      </c>
      <c r="J1119" s="14">
        <f t="shared" ca="1" si="51"/>
        <v>66.841308333333316</v>
      </c>
      <c r="K1119" s="14">
        <f t="shared" ca="1" si="51"/>
        <v>66.841308333333316</v>
      </c>
    </row>
    <row r="1120" spans="1:12" ht="15" x14ac:dyDescent="0.2">
      <c r="A1120" s="10">
        <f t="shared" si="25"/>
        <v>2064</v>
      </c>
      <c r="B1120" s="14">
        <f t="shared" ca="1" si="50"/>
        <v>68.474424999999997</v>
      </c>
      <c r="C1120" s="14">
        <f t="shared" ca="1" si="50"/>
        <v>68.042166666666674</v>
      </c>
      <c r="D1120" s="14"/>
      <c r="E1120" s="14">
        <f t="shared" ca="1" si="51"/>
        <v>67.905524999999997</v>
      </c>
      <c r="F1120" s="14">
        <f t="shared" ca="1" si="51"/>
        <v>67.905524999999997</v>
      </c>
      <c r="G1120" s="14">
        <f t="shared" ca="1" si="51"/>
        <v>68.176883333333336</v>
      </c>
      <c r="H1120" s="14">
        <f t="shared" ca="1" si="51"/>
        <v>68.042166666666674</v>
      </c>
      <c r="I1120" s="14">
        <f t="shared" ca="1" si="51"/>
        <v>68.042166666666674</v>
      </c>
      <c r="J1120" s="14">
        <f t="shared" ca="1" si="51"/>
        <v>68.042166666666674</v>
      </c>
      <c r="K1120" s="14">
        <f t="shared" ca="1" si="51"/>
        <v>68.042166666666674</v>
      </c>
    </row>
    <row r="1121" spans="1:11" ht="15" x14ac:dyDescent="0.2">
      <c r="A1121" s="10">
        <f t="shared" si="25"/>
        <v>2065</v>
      </c>
      <c r="B1121" s="14">
        <f t="shared" ca="1" si="50"/>
        <v>69.697474999999997</v>
      </c>
      <c r="C1121" s="14">
        <f t="shared" ca="1" si="50"/>
        <v>69.265225000000001</v>
      </c>
      <c r="D1121" s="14"/>
      <c r="E1121" s="14">
        <f t="shared" ca="1" si="51"/>
        <v>69.128566666666657</v>
      </c>
      <c r="F1121" s="14">
        <f t="shared" ca="1" si="51"/>
        <v>69.128566666666657</v>
      </c>
      <c r="G1121" s="14">
        <f t="shared" ca="1" si="51"/>
        <v>69.399941666666649</v>
      </c>
      <c r="H1121" s="14">
        <f t="shared" ca="1" si="51"/>
        <v>69.265225000000001</v>
      </c>
      <c r="I1121" s="14">
        <f t="shared" ca="1" si="51"/>
        <v>69.265225000000001</v>
      </c>
      <c r="J1121" s="14">
        <f t="shared" ca="1" si="51"/>
        <v>69.265225000000001</v>
      </c>
      <c r="K1121" s="14">
        <f t="shared" ca="1" si="51"/>
        <v>69.265225000000001</v>
      </c>
    </row>
    <row r="1122" spans="1:11" ht="15" x14ac:dyDescent="0.2">
      <c r="A1122" s="10">
        <f t="shared" si="25"/>
        <v>2066</v>
      </c>
      <c r="B1122" s="14">
        <f t="shared" ca="1" si="50"/>
        <v>70.943150000000003</v>
      </c>
      <c r="C1122" s="14">
        <f t="shared" ca="1" si="50"/>
        <v>70.510883333333325</v>
      </c>
      <c r="D1122" s="14"/>
      <c r="E1122" s="14">
        <f t="shared" ca="1" si="51"/>
        <v>70.37422500000001</v>
      </c>
      <c r="F1122" s="14">
        <f t="shared" ca="1" si="51"/>
        <v>70.37422500000001</v>
      </c>
      <c r="G1122" s="14">
        <f t="shared" ca="1" si="51"/>
        <v>70.645608333333328</v>
      </c>
      <c r="H1122" s="14">
        <f t="shared" ca="1" si="51"/>
        <v>70.510883333333325</v>
      </c>
      <c r="I1122" s="14">
        <f t="shared" ca="1" si="51"/>
        <v>70.510883333333325</v>
      </c>
      <c r="J1122" s="14">
        <f t="shared" ca="1" si="51"/>
        <v>70.510883333333325</v>
      </c>
      <c r="K1122" s="14">
        <f t="shared" ca="1" si="51"/>
        <v>70.510883333333325</v>
      </c>
    </row>
    <row r="1123" spans="1:11" ht="15" x14ac:dyDescent="0.2">
      <c r="A1123" s="10">
        <f t="shared" si="25"/>
        <v>2067</v>
      </c>
      <c r="B1123" s="14">
        <f t="shared" ca="1" si="50"/>
        <v>72.211816666666664</v>
      </c>
      <c r="C1123" s="14">
        <f t="shared" ca="1" si="50"/>
        <v>71.779558333333327</v>
      </c>
      <c r="D1123" s="14"/>
      <c r="E1123" s="14">
        <f t="shared" ca="1" si="51"/>
        <v>71.642900000000012</v>
      </c>
      <c r="F1123" s="14">
        <f t="shared" ca="1" si="51"/>
        <v>71.642900000000012</v>
      </c>
      <c r="G1123" s="14">
        <f t="shared" ca="1" si="51"/>
        <v>71.91428333333333</v>
      </c>
      <c r="H1123" s="14">
        <f t="shared" ca="1" si="51"/>
        <v>71.779558333333327</v>
      </c>
      <c r="I1123" s="14">
        <f t="shared" ca="1" si="51"/>
        <v>71.779558333333327</v>
      </c>
      <c r="J1123" s="14">
        <f t="shared" ca="1" si="51"/>
        <v>71.779558333333327</v>
      </c>
      <c r="K1123" s="14">
        <f t="shared" ca="1" si="51"/>
        <v>71.779558333333327</v>
      </c>
    </row>
    <row r="1124" spans="1:11" ht="15" x14ac:dyDescent="0.2">
      <c r="A1124" s="10">
        <f t="shared" si="25"/>
        <v>2068</v>
      </c>
      <c r="B1124" s="14">
        <f t="shared" ca="1" si="50"/>
        <v>73.503916666666655</v>
      </c>
      <c r="C1124" s="14">
        <f t="shared" ca="1" si="50"/>
        <v>73.071700000000007</v>
      </c>
      <c r="D1124" s="14"/>
      <c r="E1124" s="14">
        <f t="shared" ca="1" si="51"/>
        <v>72.935016666666669</v>
      </c>
      <c r="F1124" s="14">
        <f t="shared" ca="1" si="51"/>
        <v>72.935016666666669</v>
      </c>
      <c r="G1124" s="14">
        <f t="shared" ca="1" si="51"/>
        <v>73.206408333333343</v>
      </c>
      <c r="H1124" s="14">
        <f t="shared" ca="1" si="51"/>
        <v>73.071700000000007</v>
      </c>
      <c r="I1124" s="14">
        <f t="shared" ca="1" si="51"/>
        <v>73.071700000000007</v>
      </c>
      <c r="J1124" s="14">
        <f t="shared" ca="1" si="51"/>
        <v>73.071700000000007</v>
      </c>
      <c r="K1124" s="14">
        <f t="shared" ca="1" si="51"/>
        <v>73.071700000000007</v>
      </c>
    </row>
    <row r="1125" spans="1:11" ht="15" x14ac:dyDescent="0.2">
      <c r="A1125" s="10">
        <f t="shared" si="25"/>
        <v>2069</v>
      </c>
      <c r="B1125" s="14">
        <f t="shared" ca="1" si="50"/>
        <v>74.819949999999992</v>
      </c>
      <c r="C1125" s="14">
        <f t="shared" ca="1" si="50"/>
        <v>74.387691666666669</v>
      </c>
      <c r="D1125" s="14"/>
      <c r="E1125" s="14">
        <f t="shared" ca="1" si="51"/>
        <v>74.251033333333325</v>
      </c>
      <c r="F1125" s="14">
        <f t="shared" ca="1" si="51"/>
        <v>74.251033333333325</v>
      </c>
      <c r="G1125" s="14">
        <f t="shared" ca="1" si="51"/>
        <v>74.522400000000005</v>
      </c>
      <c r="H1125" s="14">
        <f t="shared" ca="1" si="51"/>
        <v>74.387691666666669</v>
      </c>
      <c r="I1125" s="14">
        <f t="shared" ca="1" si="51"/>
        <v>74.387691666666669</v>
      </c>
      <c r="J1125" s="14">
        <f t="shared" ca="1" si="51"/>
        <v>74.387691666666669</v>
      </c>
      <c r="K1125" s="14">
        <f t="shared" ca="1" si="51"/>
        <v>74.387691666666669</v>
      </c>
    </row>
    <row r="1126" spans="1:11" ht="15" x14ac:dyDescent="0.2">
      <c r="A1126" s="10">
        <f t="shared" ref="A1126:A1156" si="52">A1125+1</f>
        <v>2070</v>
      </c>
      <c r="B1126" s="14">
        <f t="shared" ca="1" si="50"/>
        <v>76.160274999999999</v>
      </c>
      <c r="C1126" s="14">
        <f t="shared" ca="1" si="50"/>
        <v>75.728016666666676</v>
      </c>
      <c r="D1126" s="14"/>
      <c r="E1126" s="14">
        <f t="shared" ca="1" si="51"/>
        <v>75.591366666666673</v>
      </c>
      <c r="F1126" s="14">
        <f t="shared" ca="1" si="51"/>
        <v>75.591366666666673</v>
      </c>
      <c r="G1126" s="14">
        <f t="shared" ca="1" si="51"/>
        <v>75.862741666666651</v>
      </c>
      <c r="H1126" s="14">
        <f t="shared" ca="1" si="51"/>
        <v>75.728016666666676</v>
      </c>
      <c r="I1126" s="14">
        <f t="shared" ca="1" si="51"/>
        <v>75.728016666666676</v>
      </c>
      <c r="J1126" s="14">
        <f t="shared" ca="1" si="51"/>
        <v>75.728016666666676</v>
      </c>
      <c r="K1126" s="14">
        <f t="shared" ca="1" si="51"/>
        <v>75.728016666666676</v>
      </c>
    </row>
    <row r="1127" spans="1:11" ht="15" x14ac:dyDescent="0.2">
      <c r="A1127" s="10">
        <f t="shared" si="52"/>
        <v>2071</v>
      </c>
      <c r="B1127" s="14">
        <f t="shared" ca="1" si="50"/>
        <v>77.52536666666667</v>
      </c>
      <c r="C1127" s="14">
        <f t="shared" ca="1" si="50"/>
        <v>77.093099999999978</v>
      </c>
      <c r="D1127" s="14"/>
      <c r="E1127" s="14">
        <f t="shared" ca="1" si="51"/>
        <v>76.956466666666671</v>
      </c>
      <c r="F1127" s="14">
        <f t="shared" ca="1" si="51"/>
        <v>76.956466666666671</v>
      </c>
      <c r="G1127" s="14">
        <f t="shared" ca="1" si="51"/>
        <v>77.227833333333322</v>
      </c>
      <c r="H1127" s="14">
        <f t="shared" ca="1" si="51"/>
        <v>77.093099999999978</v>
      </c>
      <c r="I1127" s="14">
        <f t="shared" ca="1" si="51"/>
        <v>77.093099999999978</v>
      </c>
      <c r="J1127" s="14">
        <f t="shared" ca="1" si="51"/>
        <v>77.093099999999978</v>
      </c>
      <c r="K1127" s="14">
        <f t="shared" ca="1" si="51"/>
        <v>77.093099999999978</v>
      </c>
    </row>
    <row r="1128" spans="1:11" ht="15" x14ac:dyDescent="0.2">
      <c r="A1128" s="10">
        <f t="shared" si="52"/>
        <v>2072</v>
      </c>
      <c r="B1128" s="14">
        <f t="shared" ca="1" si="50"/>
        <v>78.91568333333332</v>
      </c>
      <c r="C1128" s="14">
        <f t="shared" ca="1" si="50"/>
        <v>78.483433333333338</v>
      </c>
      <c r="D1128" s="14"/>
      <c r="E1128" s="14">
        <f t="shared" ref="E1128:K1137" ca="1" si="53">AVERAGE(OFFSET(E$600,($A1128-$A$1118)*12,0,12,1))</f>
        <v>78.346775000000008</v>
      </c>
      <c r="F1128" s="14">
        <f t="shared" ca="1" si="53"/>
        <v>78.346775000000008</v>
      </c>
      <c r="G1128" s="14">
        <f t="shared" ca="1" si="53"/>
        <v>78.618141666666659</v>
      </c>
      <c r="H1128" s="14">
        <f t="shared" ca="1" si="53"/>
        <v>78.483433333333338</v>
      </c>
      <c r="I1128" s="14">
        <f t="shared" ca="1" si="53"/>
        <v>78.483433333333338</v>
      </c>
      <c r="J1128" s="14">
        <f t="shared" ca="1" si="53"/>
        <v>78.483433333333338</v>
      </c>
      <c r="K1128" s="14">
        <f t="shared" ca="1" si="53"/>
        <v>78.483433333333338</v>
      </c>
    </row>
    <row r="1129" spans="1:11" ht="15" x14ac:dyDescent="0.2">
      <c r="A1129" s="10">
        <f t="shared" si="52"/>
        <v>2073</v>
      </c>
      <c r="B1129" s="14">
        <f t="shared" ca="1" si="50"/>
        <v>80.331699999999998</v>
      </c>
      <c r="C1129" s="14">
        <f t="shared" ca="1" si="50"/>
        <v>79.899450000000002</v>
      </c>
      <c r="D1129" s="14"/>
      <c r="E1129" s="14">
        <f t="shared" ca="1" si="53"/>
        <v>79.762783333333331</v>
      </c>
      <c r="F1129" s="14">
        <f t="shared" ca="1" si="53"/>
        <v>79.762783333333331</v>
      </c>
      <c r="G1129" s="14">
        <f t="shared" ca="1" si="53"/>
        <v>80.034158333333323</v>
      </c>
      <c r="H1129" s="14">
        <f t="shared" ca="1" si="53"/>
        <v>79.899450000000002</v>
      </c>
      <c r="I1129" s="14">
        <f t="shared" ca="1" si="53"/>
        <v>79.899450000000002</v>
      </c>
      <c r="J1129" s="14">
        <f t="shared" ca="1" si="53"/>
        <v>79.899450000000002</v>
      </c>
      <c r="K1129" s="14">
        <f t="shared" ca="1" si="53"/>
        <v>79.899450000000002</v>
      </c>
    </row>
    <row r="1130" spans="1:11" ht="15" x14ac:dyDescent="0.2">
      <c r="A1130" s="10">
        <f t="shared" si="52"/>
        <v>2074</v>
      </c>
      <c r="B1130" s="14">
        <f t="shared" ca="1" si="50"/>
        <v>81.77388333333333</v>
      </c>
      <c r="C1130" s="14">
        <f t="shared" ca="1" si="50"/>
        <v>81.341641666666661</v>
      </c>
      <c r="D1130" s="14"/>
      <c r="E1130" s="14">
        <f t="shared" ca="1" si="53"/>
        <v>81.204975000000005</v>
      </c>
      <c r="F1130" s="14">
        <f t="shared" ca="1" si="53"/>
        <v>81.204975000000005</v>
      </c>
      <c r="G1130" s="14">
        <f t="shared" ca="1" si="53"/>
        <v>81.476366666666678</v>
      </c>
      <c r="H1130" s="14">
        <f t="shared" ca="1" si="53"/>
        <v>81.341641666666661</v>
      </c>
      <c r="I1130" s="14">
        <f t="shared" ca="1" si="53"/>
        <v>81.341641666666661</v>
      </c>
      <c r="J1130" s="14">
        <f t="shared" ca="1" si="53"/>
        <v>81.341641666666661</v>
      </c>
      <c r="K1130" s="14">
        <f t="shared" ca="1" si="53"/>
        <v>81.341641666666661</v>
      </c>
    </row>
    <row r="1131" spans="1:11" ht="15" x14ac:dyDescent="0.2">
      <c r="A1131" s="10">
        <f t="shared" si="52"/>
        <v>2075</v>
      </c>
      <c r="B1131" s="14">
        <f t="shared" ca="1" si="50"/>
        <v>83.242733333333334</v>
      </c>
      <c r="C1131" s="14">
        <f t="shared" ca="1" si="50"/>
        <v>82.810491666666664</v>
      </c>
      <c r="D1131" s="14"/>
      <c r="E1131" s="14">
        <f t="shared" ca="1" si="53"/>
        <v>82.673825000000008</v>
      </c>
      <c r="F1131" s="14">
        <f t="shared" ca="1" si="53"/>
        <v>82.673825000000008</v>
      </c>
      <c r="G1131" s="14">
        <f t="shared" ca="1" si="53"/>
        <v>82.945191666666673</v>
      </c>
      <c r="H1131" s="14">
        <f t="shared" ca="1" si="53"/>
        <v>82.810491666666664</v>
      </c>
      <c r="I1131" s="14">
        <f t="shared" ca="1" si="53"/>
        <v>82.810491666666664</v>
      </c>
      <c r="J1131" s="14">
        <f t="shared" ca="1" si="53"/>
        <v>82.810491666666664</v>
      </c>
      <c r="K1131" s="14">
        <f t="shared" ca="1" si="53"/>
        <v>82.810491666666664</v>
      </c>
    </row>
    <row r="1132" spans="1:11" ht="15" x14ac:dyDescent="0.2">
      <c r="A1132" s="10">
        <f t="shared" si="52"/>
        <v>2076</v>
      </c>
      <c r="B1132" s="14">
        <f t="shared" ca="1" si="50"/>
        <v>84.738725000000002</v>
      </c>
      <c r="C1132" s="14">
        <f t="shared" ca="1" si="50"/>
        <v>84.30646666666668</v>
      </c>
      <c r="D1132" s="14"/>
      <c r="E1132" s="14">
        <f t="shared" ca="1" si="53"/>
        <v>84.169799999999995</v>
      </c>
      <c r="F1132" s="14">
        <f t="shared" ca="1" si="53"/>
        <v>84.169799999999995</v>
      </c>
      <c r="G1132" s="14">
        <f t="shared" ca="1" si="53"/>
        <v>84.441183333333342</v>
      </c>
      <c r="H1132" s="14">
        <f t="shared" ca="1" si="53"/>
        <v>84.30646666666668</v>
      </c>
      <c r="I1132" s="14">
        <f t="shared" ca="1" si="53"/>
        <v>84.30646666666668</v>
      </c>
      <c r="J1132" s="14">
        <f t="shared" ca="1" si="53"/>
        <v>84.30646666666668</v>
      </c>
      <c r="K1132" s="14">
        <f t="shared" ca="1" si="53"/>
        <v>84.30646666666668</v>
      </c>
    </row>
    <row r="1133" spans="1:11" ht="15" x14ac:dyDescent="0.2">
      <c r="A1133" s="10">
        <f t="shared" si="52"/>
        <v>2077</v>
      </c>
      <c r="B1133" s="14">
        <f t="shared" ca="1" si="50"/>
        <v>86.262350000000012</v>
      </c>
      <c r="C1133" s="14">
        <f t="shared" ca="1" si="50"/>
        <v>85.830100000000016</v>
      </c>
      <c r="D1133" s="14"/>
      <c r="E1133" s="14">
        <f t="shared" ca="1" si="53"/>
        <v>85.693425000000005</v>
      </c>
      <c r="F1133" s="14">
        <f t="shared" ca="1" si="53"/>
        <v>85.693425000000005</v>
      </c>
      <c r="G1133" s="14">
        <f t="shared" ca="1" si="53"/>
        <v>85.964816666666664</v>
      </c>
      <c r="H1133" s="14">
        <f t="shared" ca="1" si="53"/>
        <v>85.830100000000016</v>
      </c>
      <c r="I1133" s="14">
        <f t="shared" ca="1" si="53"/>
        <v>85.830100000000016</v>
      </c>
      <c r="J1133" s="14">
        <f t="shared" ca="1" si="53"/>
        <v>85.830100000000016</v>
      </c>
      <c r="K1133" s="14">
        <f t="shared" ca="1" si="53"/>
        <v>85.830100000000016</v>
      </c>
    </row>
    <row r="1134" spans="1:11" ht="15" x14ac:dyDescent="0.2">
      <c r="A1134" s="10">
        <f t="shared" si="52"/>
        <v>2078</v>
      </c>
      <c r="B1134" s="14">
        <f t="shared" ca="1" si="50"/>
        <v>87.814133333333317</v>
      </c>
      <c r="C1134" s="14">
        <f t="shared" ca="1" si="50"/>
        <v>87.381891666666661</v>
      </c>
      <c r="D1134" s="14"/>
      <c r="E1134" s="14">
        <f t="shared" ca="1" si="53"/>
        <v>87.245224999999991</v>
      </c>
      <c r="F1134" s="14">
        <f t="shared" ca="1" si="53"/>
        <v>87.245224999999991</v>
      </c>
      <c r="G1134" s="14">
        <f t="shared" ca="1" si="53"/>
        <v>87.516616666666664</v>
      </c>
      <c r="H1134" s="14">
        <f t="shared" ca="1" si="53"/>
        <v>87.381891666666661</v>
      </c>
      <c r="I1134" s="14">
        <f t="shared" ca="1" si="53"/>
        <v>87.381891666666661</v>
      </c>
      <c r="J1134" s="14">
        <f t="shared" ca="1" si="53"/>
        <v>87.381891666666661</v>
      </c>
      <c r="K1134" s="14">
        <f t="shared" ca="1" si="53"/>
        <v>87.381891666666661</v>
      </c>
    </row>
    <row r="1135" spans="1:11" ht="15" x14ac:dyDescent="0.2">
      <c r="A1135" s="10">
        <f t="shared" si="52"/>
        <v>2079</v>
      </c>
      <c r="B1135" s="14">
        <f t="shared" ca="1" si="50"/>
        <v>89.394616666666664</v>
      </c>
      <c r="C1135" s="14">
        <f t="shared" ca="1" si="50"/>
        <v>88.96234166666666</v>
      </c>
      <c r="D1135" s="14"/>
      <c r="E1135" s="14">
        <f t="shared" ca="1" si="53"/>
        <v>88.825708333333338</v>
      </c>
      <c r="F1135" s="14">
        <f t="shared" ca="1" si="53"/>
        <v>88.825708333333338</v>
      </c>
      <c r="G1135" s="14">
        <f t="shared" ca="1" si="53"/>
        <v>89.097075000000004</v>
      </c>
      <c r="H1135" s="14">
        <f t="shared" ca="1" si="53"/>
        <v>88.96234166666666</v>
      </c>
      <c r="I1135" s="14">
        <f t="shared" ca="1" si="53"/>
        <v>88.96234166666666</v>
      </c>
      <c r="J1135" s="14">
        <f t="shared" ca="1" si="53"/>
        <v>88.96234166666666</v>
      </c>
      <c r="K1135" s="14">
        <f t="shared" ca="1" si="53"/>
        <v>88.96234166666666</v>
      </c>
    </row>
    <row r="1136" spans="1:11" ht="15" x14ac:dyDescent="0.2">
      <c r="A1136" s="10">
        <f t="shared" si="52"/>
        <v>2080</v>
      </c>
      <c r="B1136" s="14">
        <f t="shared" ca="1" si="50"/>
        <v>91.004291666666674</v>
      </c>
      <c r="C1136" s="14">
        <f t="shared" ca="1" si="50"/>
        <v>90.572033333333323</v>
      </c>
      <c r="D1136" s="14"/>
      <c r="E1136" s="14">
        <f t="shared" ca="1" si="53"/>
        <v>90.435383333333334</v>
      </c>
      <c r="F1136" s="14">
        <f t="shared" ca="1" si="53"/>
        <v>90.435383333333334</v>
      </c>
      <c r="G1136" s="14">
        <f t="shared" ca="1" si="53"/>
        <v>90.706741666666673</v>
      </c>
      <c r="H1136" s="14">
        <f t="shared" ca="1" si="53"/>
        <v>90.572033333333323</v>
      </c>
      <c r="I1136" s="14">
        <f t="shared" ca="1" si="53"/>
        <v>90.572033333333323</v>
      </c>
      <c r="J1136" s="14">
        <f t="shared" ca="1" si="53"/>
        <v>90.572033333333323</v>
      </c>
      <c r="K1136" s="14">
        <f t="shared" ca="1" si="53"/>
        <v>90.572033333333323</v>
      </c>
    </row>
    <row r="1137" spans="1:11" ht="15" x14ac:dyDescent="0.2">
      <c r="A1137" s="10">
        <f t="shared" si="52"/>
        <v>2081</v>
      </c>
      <c r="B1137" s="14">
        <f t="shared" ca="1" si="50"/>
        <v>92.643691666666669</v>
      </c>
      <c r="C1137" s="14">
        <f t="shared" ca="1" si="50"/>
        <v>92.211466666666681</v>
      </c>
      <c r="D1137" s="14"/>
      <c r="E1137" s="14">
        <f t="shared" ca="1" si="53"/>
        <v>92.07479166666667</v>
      </c>
      <c r="F1137" s="14">
        <f t="shared" ca="1" si="53"/>
        <v>92.07479166666667</v>
      </c>
      <c r="G1137" s="14">
        <f t="shared" ca="1" si="53"/>
        <v>92.346174999999974</v>
      </c>
      <c r="H1137" s="14">
        <f t="shared" ca="1" si="53"/>
        <v>92.211466666666681</v>
      </c>
      <c r="I1137" s="14">
        <f t="shared" ca="1" si="53"/>
        <v>92.211466666666681</v>
      </c>
      <c r="J1137" s="14">
        <f t="shared" ca="1" si="53"/>
        <v>92.211466666666681</v>
      </c>
      <c r="K1137" s="14">
        <f t="shared" ca="1" si="53"/>
        <v>92.211466666666681</v>
      </c>
    </row>
    <row r="1138" spans="1:11" ht="15" x14ac:dyDescent="0.2">
      <c r="A1138" s="10">
        <f t="shared" si="52"/>
        <v>2082</v>
      </c>
      <c r="B1138" s="14">
        <f t="shared" ref="B1138:C1156" ca="1" si="54">AVERAGE(OFFSET(B$600,($A1138-$A$1118)*12,0,12,1))</f>
        <v>94.313441666666662</v>
      </c>
      <c r="C1138" s="14">
        <f t="shared" ca="1" si="54"/>
        <v>93.881166666666672</v>
      </c>
      <c r="D1138" s="14"/>
      <c r="E1138" s="14">
        <f t="shared" ref="E1138:K1147" ca="1" si="55">AVERAGE(OFFSET(E$600,($A1138-$A$1118)*12,0,12,1))</f>
        <v>93.744524999999996</v>
      </c>
      <c r="F1138" s="14">
        <f t="shared" ca="1" si="55"/>
        <v>93.744524999999996</v>
      </c>
      <c r="G1138" s="14">
        <f t="shared" ca="1" si="55"/>
        <v>94.015874999999994</v>
      </c>
      <c r="H1138" s="14">
        <f t="shared" ca="1" si="55"/>
        <v>93.881166666666672</v>
      </c>
      <c r="I1138" s="14">
        <f t="shared" ca="1" si="55"/>
        <v>93.881166666666672</v>
      </c>
      <c r="J1138" s="14">
        <f t="shared" ca="1" si="55"/>
        <v>93.881166666666672</v>
      </c>
      <c r="K1138" s="14">
        <f t="shared" ca="1" si="55"/>
        <v>93.881166666666672</v>
      </c>
    </row>
    <row r="1139" spans="1:11" ht="15" x14ac:dyDescent="0.2">
      <c r="A1139" s="10">
        <f t="shared" si="52"/>
        <v>2083</v>
      </c>
      <c r="B1139" s="14">
        <f t="shared" ca="1" si="54"/>
        <v>96.014000000000024</v>
      </c>
      <c r="C1139" s="14">
        <f t="shared" ca="1" si="54"/>
        <v>95.581766666666667</v>
      </c>
      <c r="D1139" s="14"/>
      <c r="E1139" s="14">
        <f t="shared" ca="1" si="55"/>
        <v>95.445083333333301</v>
      </c>
      <c r="F1139" s="14">
        <f t="shared" ca="1" si="55"/>
        <v>95.445083333333301</v>
      </c>
      <c r="G1139" s="14">
        <f t="shared" ca="1" si="55"/>
        <v>95.716475000000017</v>
      </c>
      <c r="H1139" s="14">
        <f t="shared" ca="1" si="55"/>
        <v>95.581766666666667</v>
      </c>
      <c r="I1139" s="14">
        <f t="shared" ca="1" si="55"/>
        <v>95.581766666666667</v>
      </c>
      <c r="J1139" s="14">
        <f t="shared" ca="1" si="55"/>
        <v>95.581766666666667</v>
      </c>
      <c r="K1139" s="14">
        <f t="shared" ca="1" si="55"/>
        <v>95.581766666666667</v>
      </c>
    </row>
    <row r="1140" spans="1:11" ht="15" x14ac:dyDescent="0.2">
      <c r="A1140" s="10">
        <f t="shared" si="52"/>
        <v>2084</v>
      </c>
      <c r="B1140" s="14">
        <f t="shared" ca="1" si="54"/>
        <v>97.746024999999989</v>
      </c>
      <c r="C1140" s="14">
        <f t="shared" ca="1" si="54"/>
        <v>97.313741666666672</v>
      </c>
      <c r="D1140" s="14"/>
      <c r="E1140" s="14">
        <f t="shared" ca="1" si="55"/>
        <v>97.17712499999999</v>
      </c>
      <c r="F1140" s="14">
        <f t="shared" ca="1" si="55"/>
        <v>97.17712499999999</v>
      </c>
      <c r="G1140" s="14">
        <f t="shared" ca="1" si="55"/>
        <v>97.448508333333336</v>
      </c>
      <c r="H1140" s="14">
        <f t="shared" ca="1" si="55"/>
        <v>97.313741666666672</v>
      </c>
      <c r="I1140" s="14">
        <f t="shared" ca="1" si="55"/>
        <v>97.313741666666672</v>
      </c>
      <c r="J1140" s="14">
        <f t="shared" ca="1" si="55"/>
        <v>97.313741666666672</v>
      </c>
      <c r="K1140" s="14">
        <f t="shared" ca="1" si="55"/>
        <v>97.313741666666672</v>
      </c>
    </row>
    <row r="1141" spans="1:11" ht="15" x14ac:dyDescent="0.2">
      <c r="A1141" s="10">
        <f t="shared" si="52"/>
        <v>2085</v>
      </c>
      <c r="B1141" s="14">
        <f t="shared" ca="1" si="54"/>
        <v>99.510024999999999</v>
      </c>
      <c r="C1141" s="14">
        <f t="shared" ca="1" si="54"/>
        <v>99.077775000000031</v>
      </c>
      <c r="D1141" s="14"/>
      <c r="E1141" s="14">
        <f t="shared" ca="1" si="55"/>
        <v>98.941125</v>
      </c>
      <c r="F1141" s="14">
        <f t="shared" ca="1" si="55"/>
        <v>98.941125</v>
      </c>
      <c r="G1141" s="14">
        <f t="shared" ca="1" si="55"/>
        <v>99.212508333333332</v>
      </c>
      <c r="H1141" s="14">
        <f t="shared" ca="1" si="55"/>
        <v>99.077775000000031</v>
      </c>
      <c r="I1141" s="14">
        <f t="shared" ca="1" si="55"/>
        <v>99.077775000000031</v>
      </c>
      <c r="J1141" s="14">
        <f t="shared" ca="1" si="55"/>
        <v>99.077775000000031</v>
      </c>
      <c r="K1141" s="14">
        <f t="shared" ca="1" si="55"/>
        <v>99.077775000000031</v>
      </c>
    </row>
    <row r="1142" spans="1:11" ht="15" x14ac:dyDescent="0.2">
      <c r="A1142" s="10">
        <f t="shared" si="52"/>
        <v>2086</v>
      </c>
      <c r="B1142" s="14">
        <f t="shared" ca="1" si="54"/>
        <v>101.30664999999999</v>
      </c>
      <c r="C1142" s="14">
        <f t="shared" ca="1" si="54"/>
        <v>100.87440833333331</v>
      </c>
      <c r="D1142" s="14"/>
      <c r="E1142" s="14">
        <f t="shared" ca="1" si="55"/>
        <v>100.73774166666664</v>
      </c>
      <c r="F1142" s="14">
        <f t="shared" ca="1" si="55"/>
        <v>100.73774166666664</v>
      </c>
      <c r="G1142" s="14">
        <f t="shared" ca="1" si="55"/>
        <v>101.00913333333334</v>
      </c>
      <c r="H1142" s="14">
        <f t="shared" ca="1" si="55"/>
        <v>100.87440833333331</v>
      </c>
      <c r="I1142" s="14">
        <f t="shared" ca="1" si="55"/>
        <v>100.87440833333331</v>
      </c>
      <c r="J1142" s="14">
        <f t="shared" ca="1" si="55"/>
        <v>100.87440833333331</v>
      </c>
      <c r="K1142" s="14">
        <f t="shared" ca="1" si="55"/>
        <v>100.87440833333331</v>
      </c>
    </row>
    <row r="1143" spans="1:11" ht="15" x14ac:dyDescent="0.2">
      <c r="A1143" s="10">
        <f t="shared" si="52"/>
        <v>2087</v>
      </c>
      <c r="B1143" s="14">
        <f t="shared" ca="1" si="54"/>
        <v>103.13645000000002</v>
      </c>
      <c r="C1143" s="14">
        <f t="shared" ca="1" si="54"/>
        <v>102.70422499999999</v>
      </c>
      <c r="D1143" s="14"/>
      <c r="E1143" s="14">
        <f t="shared" ca="1" si="55"/>
        <v>102.56754999999998</v>
      </c>
      <c r="F1143" s="14">
        <f t="shared" ca="1" si="55"/>
        <v>102.56754999999998</v>
      </c>
      <c r="G1143" s="14">
        <f t="shared" ca="1" si="55"/>
        <v>102.83894166666666</v>
      </c>
      <c r="H1143" s="14">
        <f t="shared" ca="1" si="55"/>
        <v>102.70422499999999</v>
      </c>
      <c r="I1143" s="14">
        <f t="shared" ca="1" si="55"/>
        <v>102.70422499999999</v>
      </c>
      <c r="J1143" s="14">
        <f t="shared" ca="1" si="55"/>
        <v>102.70422499999999</v>
      </c>
      <c r="K1143" s="14">
        <f t="shared" ca="1" si="55"/>
        <v>102.70422499999999</v>
      </c>
    </row>
    <row r="1144" spans="1:11" ht="15" x14ac:dyDescent="0.2">
      <c r="A1144" s="10">
        <f t="shared" si="52"/>
        <v>2088</v>
      </c>
      <c r="B1144" s="14">
        <f t="shared" ca="1" si="54"/>
        <v>105.00010833333333</v>
      </c>
      <c r="C1144" s="14">
        <f t="shared" ca="1" si="54"/>
        <v>104.56786666666669</v>
      </c>
      <c r="D1144" s="14"/>
      <c r="E1144" s="14">
        <f t="shared" ca="1" si="55"/>
        <v>104.43118333333332</v>
      </c>
      <c r="F1144" s="14">
        <f t="shared" ca="1" si="55"/>
        <v>104.43118333333332</v>
      </c>
      <c r="G1144" s="14">
        <f t="shared" ca="1" si="55"/>
        <v>104.70257499999998</v>
      </c>
      <c r="H1144" s="14">
        <f t="shared" ca="1" si="55"/>
        <v>104.56786666666669</v>
      </c>
      <c r="I1144" s="14">
        <f t="shared" ca="1" si="55"/>
        <v>104.56786666666669</v>
      </c>
      <c r="J1144" s="14">
        <f t="shared" ca="1" si="55"/>
        <v>104.56786666666669</v>
      </c>
      <c r="K1144" s="14">
        <f t="shared" ca="1" si="55"/>
        <v>104.56786666666669</v>
      </c>
    </row>
    <row r="1145" spans="1:11" ht="15" x14ac:dyDescent="0.2">
      <c r="A1145" s="10">
        <f t="shared" si="52"/>
        <v>2089</v>
      </c>
      <c r="B1145" s="14">
        <f t="shared" ca="1" si="54"/>
        <v>106.89816666666665</v>
      </c>
      <c r="C1145" s="14">
        <f t="shared" ca="1" si="54"/>
        <v>106.46594166666667</v>
      </c>
      <c r="D1145" s="14"/>
      <c r="E1145" s="14">
        <f t="shared" ca="1" si="55"/>
        <v>106.32926666666667</v>
      </c>
      <c r="F1145" s="14">
        <f t="shared" ca="1" si="55"/>
        <v>106.32926666666667</v>
      </c>
      <c r="G1145" s="14">
        <f t="shared" ca="1" si="55"/>
        <v>106.60064999999999</v>
      </c>
      <c r="H1145" s="14">
        <f t="shared" ca="1" si="55"/>
        <v>106.46594166666667</v>
      </c>
      <c r="I1145" s="14">
        <f t="shared" ca="1" si="55"/>
        <v>106.46594166666667</v>
      </c>
      <c r="J1145" s="14">
        <f t="shared" ca="1" si="55"/>
        <v>106.46594166666667</v>
      </c>
      <c r="K1145" s="14">
        <f t="shared" ca="1" si="55"/>
        <v>106.46594166666667</v>
      </c>
    </row>
    <row r="1146" spans="1:11" ht="15" x14ac:dyDescent="0.2">
      <c r="A1146" s="10">
        <f t="shared" si="52"/>
        <v>2090</v>
      </c>
      <c r="B1146" s="14">
        <f t="shared" ca="1" si="54"/>
        <v>108.83134166666667</v>
      </c>
      <c r="C1146" s="14">
        <f t="shared" ca="1" si="54"/>
        <v>108.39908333333334</v>
      </c>
      <c r="D1146" s="14"/>
      <c r="E1146" s="14">
        <f t="shared" ca="1" si="55"/>
        <v>108.26243333333336</v>
      </c>
      <c r="F1146" s="14">
        <f t="shared" ca="1" si="55"/>
        <v>108.26243333333336</v>
      </c>
      <c r="G1146" s="14">
        <f t="shared" ca="1" si="55"/>
        <v>108.5338</v>
      </c>
      <c r="H1146" s="14">
        <f t="shared" ca="1" si="55"/>
        <v>108.39908333333334</v>
      </c>
      <c r="I1146" s="14">
        <f t="shared" ca="1" si="55"/>
        <v>108.39908333333334</v>
      </c>
      <c r="J1146" s="14">
        <f t="shared" ca="1" si="55"/>
        <v>108.39908333333334</v>
      </c>
      <c r="K1146" s="14">
        <f t="shared" ca="1" si="55"/>
        <v>108.39908333333334</v>
      </c>
    </row>
    <row r="1147" spans="1:11" ht="15" x14ac:dyDescent="0.2">
      <c r="A1147" s="10">
        <f t="shared" si="52"/>
        <v>2091</v>
      </c>
      <c r="B1147" s="14">
        <f t="shared" ca="1" si="54"/>
        <v>110.80020833333333</v>
      </c>
      <c r="C1147" s="14">
        <f t="shared" ca="1" si="54"/>
        <v>110.36797499999999</v>
      </c>
      <c r="D1147" s="14"/>
      <c r="E1147" s="14">
        <f t="shared" ca="1" si="55"/>
        <v>110.23130833333333</v>
      </c>
      <c r="F1147" s="14">
        <f t="shared" ca="1" si="55"/>
        <v>110.23130833333333</v>
      </c>
      <c r="G1147" s="14">
        <f t="shared" ca="1" si="55"/>
        <v>110.50268333333334</v>
      </c>
      <c r="H1147" s="14">
        <f t="shared" ca="1" si="55"/>
        <v>110.36797499999999</v>
      </c>
      <c r="I1147" s="14">
        <f t="shared" ca="1" si="55"/>
        <v>110.36797499999999</v>
      </c>
      <c r="J1147" s="14">
        <f t="shared" ca="1" si="55"/>
        <v>110.36797499999999</v>
      </c>
      <c r="K1147" s="14">
        <f t="shared" ca="1" si="55"/>
        <v>110.36797499999999</v>
      </c>
    </row>
    <row r="1148" spans="1:11" ht="15" x14ac:dyDescent="0.2">
      <c r="A1148" s="10">
        <f t="shared" si="52"/>
        <v>2092</v>
      </c>
      <c r="B1148" s="14">
        <f t="shared" ca="1" si="54"/>
        <v>112.80547500000002</v>
      </c>
      <c r="C1148" s="14">
        <f t="shared" ca="1" si="54"/>
        <v>112.37323333333335</v>
      </c>
      <c r="D1148" s="14"/>
      <c r="E1148" s="14">
        <f t="shared" ref="E1148:K1156" ca="1" si="56">AVERAGE(OFFSET(E$600,($A1148-$A$1118)*12,0,12,1))</f>
        <v>112.23656666666666</v>
      </c>
      <c r="F1148" s="14">
        <f t="shared" ca="1" si="56"/>
        <v>112.23656666666666</v>
      </c>
      <c r="G1148" s="14">
        <f t="shared" ca="1" si="56"/>
        <v>112.50796666666666</v>
      </c>
      <c r="H1148" s="14">
        <f t="shared" ca="1" si="56"/>
        <v>112.37323333333335</v>
      </c>
      <c r="I1148" s="14">
        <f t="shared" ca="1" si="56"/>
        <v>112.37323333333335</v>
      </c>
      <c r="J1148" s="14">
        <f t="shared" ca="1" si="56"/>
        <v>112.37323333333335</v>
      </c>
      <c r="K1148" s="14">
        <f t="shared" ca="1" si="56"/>
        <v>112.37323333333335</v>
      </c>
    </row>
    <row r="1149" spans="1:11" ht="15" x14ac:dyDescent="0.2">
      <c r="A1149" s="10">
        <f t="shared" si="52"/>
        <v>2093</v>
      </c>
      <c r="B1149" s="14">
        <f t="shared" ca="1" si="54"/>
        <v>114.84780833333332</v>
      </c>
      <c r="C1149" s="14">
        <f t="shared" ca="1" si="54"/>
        <v>114.41557499999999</v>
      </c>
      <c r="D1149" s="14"/>
      <c r="E1149" s="14">
        <f t="shared" ca="1" si="56"/>
        <v>114.27889999999998</v>
      </c>
      <c r="F1149" s="14">
        <f t="shared" ca="1" si="56"/>
        <v>114.27889999999998</v>
      </c>
      <c r="G1149" s="14">
        <f t="shared" ca="1" si="56"/>
        <v>114.550275</v>
      </c>
      <c r="H1149" s="14">
        <f t="shared" ca="1" si="56"/>
        <v>114.41557499999999</v>
      </c>
      <c r="I1149" s="14">
        <f t="shared" ca="1" si="56"/>
        <v>114.41557499999999</v>
      </c>
      <c r="J1149" s="14">
        <f t="shared" ca="1" si="56"/>
        <v>114.41557499999999</v>
      </c>
      <c r="K1149" s="14">
        <f t="shared" ca="1" si="56"/>
        <v>114.41557499999999</v>
      </c>
    </row>
    <row r="1150" spans="1:11" ht="15" x14ac:dyDescent="0.2">
      <c r="A1150" s="10">
        <f t="shared" si="52"/>
        <v>2094</v>
      </c>
      <c r="B1150" s="14">
        <f t="shared" ca="1" si="54"/>
        <v>116.92788333333333</v>
      </c>
      <c r="C1150" s="14">
        <f t="shared" ca="1" si="54"/>
        <v>116.49564166666669</v>
      </c>
      <c r="D1150" s="14"/>
      <c r="E1150" s="14">
        <f t="shared" ca="1" si="56"/>
        <v>116.35898333333334</v>
      </c>
      <c r="F1150" s="14">
        <f t="shared" ca="1" si="56"/>
        <v>116.35898333333334</v>
      </c>
      <c r="G1150" s="14">
        <f t="shared" ca="1" si="56"/>
        <v>116.63034999999998</v>
      </c>
      <c r="H1150" s="14">
        <f t="shared" ca="1" si="56"/>
        <v>116.49564166666669</v>
      </c>
      <c r="I1150" s="14">
        <f t="shared" ca="1" si="56"/>
        <v>116.49564166666669</v>
      </c>
      <c r="J1150" s="14">
        <f t="shared" ca="1" si="56"/>
        <v>116.49564166666669</v>
      </c>
      <c r="K1150" s="14">
        <f t="shared" ca="1" si="56"/>
        <v>116.49564166666669</v>
      </c>
    </row>
    <row r="1151" spans="1:11" ht="15" x14ac:dyDescent="0.2">
      <c r="A1151" s="10">
        <f t="shared" si="52"/>
        <v>2095</v>
      </c>
      <c r="B1151" s="14">
        <f t="shared" ca="1" si="54"/>
        <v>119.04639166666665</v>
      </c>
      <c r="C1151" s="14">
        <f t="shared" ca="1" si="54"/>
        <v>118.61415833333332</v>
      </c>
      <c r="D1151" s="14"/>
      <c r="E1151" s="14">
        <f t="shared" ca="1" si="56"/>
        <v>118.47749166666665</v>
      </c>
      <c r="F1151" s="14">
        <f t="shared" ca="1" si="56"/>
        <v>118.47749166666665</v>
      </c>
      <c r="G1151" s="14">
        <f t="shared" ca="1" si="56"/>
        <v>118.74885833333333</v>
      </c>
      <c r="H1151" s="14">
        <f t="shared" ca="1" si="56"/>
        <v>118.61415833333332</v>
      </c>
      <c r="I1151" s="14">
        <f t="shared" ca="1" si="56"/>
        <v>118.61415833333332</v>
      </c>
      <c r="J1151" s="14">
        <f t="shared" ca="1" si="56"/>
        <v>118.61415833333332</v>
      </c>
      <c r="K1151" s="14">
        <f t="shared" ca="1" si="56"/>
        <v>118.61415833333332</v>
      </c>
    </row>
    <row r="1152" spans="1:11" ht="15" x14ac:dyDescent="0.2">
      <c r="A1152" s="10">
        <f t="shared" si="52"/>
        <v>2096</v>
      </c>
      <c r="B1152" s="14">
        <f t="shared" ca="1" si="54"/>
        <v>121.20405833333335</v>
      </c>
      <c r="C1152" s="14">
        <f t="shared" ca="1" si="54"/>
        <v>120.7718</v>
      </c>
      <c r="D1152" s="14"/>
      <c r="E1152" s="14">
        <f t="shared" ca="1" si="56"/>
        <v>120.63515</v>
      </c>
      <c r="F1152" s="14">
        <f t="shared" ca="1" si="56"/>
        <v>120.63515</v>
      </c>
      <c r="G1152" s="14">
        <f t="shared" ca="1" si="56"/>
        <v>120.90654166666667</v>
      </c>
      <c r="H1152" s="14">
        <f t="shared" ca="1" si="56"/>
        <v>120.7718</v>
      </c>
      <c r="I1152" s="14">
        <f t="shared" ca="1" si="56"/>
        <v>120.7718</v>
      </c>
      <c r="J1152" s="14">
        <f t="shared" ca="1" si="56"/>
        <v>120.7718</v>
      </c>
      <c r="K1152" s="14">
        <f t="shared" ca="1" si="56"/>
        <v>120.7718</v>
      </c>
    </row>
    <row r="1153" spans="1:11" ht="15" x14ac:dyDescent="0.2">
      <c r="A1153" s="10">
        <f t="shared" si="52"/>
        <v>2097</v>
      </c>
      <c r="B1153" s="14">
        <f t="shared" ca="1" si="54"/>
        <v>123.40159999999999</v>
      </c>
      <c r="C1153" s="14">
        <f t="shared" ca="1" si="54"/>
        <v>122.96934999999998</v>
      </c>
      <c r="D1153" s="14"/>
      <c r="E1153" s="14">
        <f t="shared" ca="1" si="56"/>
        <v>122.83269999999997</v>
      </c>
      <c r="F1153" s="14">
        <f t="shared" ca="1" si="56"/>
        <v>122.83269999999997</v>
      </c>
      <c r="G1153" s="14">
        <f t="shared" ca="1" si="56"/>
        <v>123.10405833333334</v>
      </c>
      <c r="H1153" s="14">
        <f t="shared" ca="1" si="56"/>
        <v>122.96934999999998</v>
      </c>
      <c r="I1153" s="14">
        <f t="shared" ca="1" si="56"/>
        <v>122.96934999999998</v>
      </c>
      <c r="J1153" s="14">
        <f t="shared" ca="1" si="56"/>
        <v>122.96934999999998</v>
      </c>
      <c r="K1153" s="14">
        <f t="shared" ca="1" si="56"/>
        <v>122.96934999999998</v>
      </c>
    </row>
    <row r="1154" spans="1:11" ht="15" x14ac:dyDescent="0.2">
      <c r="A1154" s="10">
        <f t="shared" si="52"/>
        <v>2098</v>
      </c>
      <c r="B1154" s="14">
        <f t="shared" ca="1" si="54"/>
        <v>125.63974999999999</v>
      </c>
      <c r="C1154" s="14">
        <f t="shared" ca="1" si="54"/>
        <v>125.20750833333335</v>
      </c>
      <c r="D1154" s="14"/>
      <c r="E1154" s="14">
        <f t="shared" ca="1" si="56"/>
        <v>125.07084166666668</v>
      </c>
      <c r="F1154" s="14">
        <f t="shared" ca="1" si="56"/>
        <v>125.07084166666668</v>
      </c>
      <c r="G1154" s="14">
        <f t="shared" ca="1" si="56"/>
        <v>125.34223333333335</v>
      </c>
      <c r="H1154" s="14">
        <f t="shared" ca="1" si="56"/>
        <v>125.20750833333335</v>
      </c>
      <c r="I1154" s="14">
        <f t="shared" ca="1" si="56"/>
        <v>125.20750833333335</v>
      </c>
      <c r="J1154" s="14">
        <f t="shared" ca="1" si="56"/>
        <v>125.20750833333335</v>
      </c>
      <c r="K1154" s="14">
        <f t="shared" ca="1" si="56"/>
        <v>125.20750833333335</v>
      </c>
    </row>
    <row r="1155" spans="1:11" ht="15" x14ac:dyDescent="0.2">
      <c r="A1155" s="10">
        <f t="shared" si="52"/>
        <v>2099</v>
      </c>
      <c r="B1155" s="14">
        <f t="shared" ca="1" si="54"/>
        <v>127.91926666666667</v>
      </c>
      <c r="C1155" s="14">
        <f t="shared" ca="1" si="54"/>
        <v>127.48700833333334</v>
      </c>
      <c r="D1155" s="14"/>
      <c r="E1155" s="14">
        <f t="shared" ca="1" si="56"/>
        <v>127.35035833333335</v>
      </c>
      <c r="F1155" s="14">
        <f t="shared" ca="1" si="56"/>
        <v>127.35035833333335</v>
      </c>
      <c r="G1155" s="14">
        <f t="shared" ca="1" si="56"/>
        <v>127.62172500000003</v>
      </c>
      <c r="H1155" s="14">
        <f t="shared" ca="1" si="56"/>
        <v>127.48700833333334</v>
      </c>
      <c r="I1155" s="14">
        <f t="shared" ca="1" si="56"/>
        <v>127.48700833333334</v>
      </c>
      <c r="J1155" s="14">
        <f t="shared" ca="1" si="56"/>
        <v>127.48700833333334</v>
      </c>
      <c r="K1155" s="14">
        <f t="shared" ca="1" si="56"/>
        <v>127.48700833333334</v>
      </c>
    </row>
    <row r="1156" spans="1:11" ht="15" x14ac:dyDescent="0.2">
      <c r="A1156" s="10">
        <f t="shared" si="52"/>
        <v>2100</v>
      </c>
      <c r="B1156" s="14">
        <f t="shared" ca="1" si="54"/>
        <v>130.24089166666667</v>
      </c>
      <c r="C1156" s="14">
        <f t="shared" ca="1" si="54"/>
        <v>129.80865833333334</v>
      </c>
      <c r="D1156" s="14"/>
      <c r="E1156" s="14">
        <f t="shared" ca="1" si="56"/>
        <v>129.67199166666668</v>
      </c>
      <c r="F1156" s="14">
        <f t="shared" ca="1" si="56"/>
        <v>129.67199166666668</v>
      </c>
      <c r="G1156" s="14">
        <f t="shared" ca="1" si="56"/>
        <v>129.94335833333332</v>
      </c>
      <c r="H1156" s="14">
        <f t="shared" ca="1" si="56"/>
        <v>129.80865833333334</v>
      </c>
      <c r="I1156" s="14">
        <f t="shared" ca="1" si="56"/>
        <v>129.80865833333334</v>
      </c>
      <c r="J1156" s="14">
        <f t="shared" ca="1" si="56"/>
        <v>129.80865833333334</v>
      </c>
      <c r="K1156" s="14">
        <f t="shared" ca="1" si="56"/>
        <v>129.80865833333334</v>
      </c>
    </row>
    <row r="1157" spans="1:11" x14ac:dyDescent="0.2">
      <c r="A1157" s="8"/>
    </row>
    <row r="1158" spans="1:11" x14ac:dyDescent="0.2">
      <c r="A1158" s="8"/>
    </row>
    <row r="1159" spans="1:11" x14ac:dyDescent="0.2">
      <c r="A1159" s="8"/>
    </row>
    <row r="1160" spans="1:11" x14ac:dyDescent="0.2">
      <c r="A1160" s="8"/>
    </row>
    <row r="1161" spans="1:11" x14ac:dyDescent="0.2">
      <c r="A1161" s="8"/>
    </row>
    <row r="1162" spans="1:11" x14ac:dyDescent="0.2">
      <c r="A1162" s="8"/>
    </row>
    <row r="1163" spans="1:11" x14ac:dyDescent="0.2">
      <c r="A1163" s="8"/>
    </row>
    <row r="1164" spans="1:11" x14ac:dyDescent="0.2">
      <c r="A1164" s="8"/>
    </row>
    <row r="1165" spans="1:11" x14ac:dyDescent="0.2">
      <c r="A1165" s="8"/>
    </row>
    <row r="1166" spans="1:11" x14ac:dyDescent="0.2">
      <c r="A1166" s="8"/>
    </row>
    <row r="1167" spans="1:11" x14ac:dyDescent="0.2">
      <c r="A1167" s="8"/>
    </row>
    <row r="1168" spans="1:11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</sheetData>
  <pageMargins left="0.25" right="0.25" top="0.5" bottom="0.5" header="0.25" footer="0.25"/>
  <pageSetup paperSize="5" scale="7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6</xdr:col>
                    <xdr:colOff>104775</xdr:colOff>
                    <xdr:row>7</xdr:row>
                    <xdr:rowOff>85725</xdr:rowOff>
                  </from>
                  <to>
                    <xdr:col>7</xdr:col>
                    <xdr:colOff>104775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7</xdr:col>
                    <xdr:colOff>295275</xdr:colOff>
                    <xdr:row>7</xdr:row>
                    <xdr:rowOff>114300</xdr:rowOff>
                  </from>
                  <to>
                    <xdr:col>8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K1176"/>
  <sheetViews>
    <sheetView zoomScale="75" zoomScaleNormal="75" workbookViewId="0">
      <pane xSplit="1" ySplit="11" topLeftCell="B12" activePane="bottomRight" state="frozen"/>
      <selection activeCell="B1" sqref="B1"/>
      <selection pane="topRight" activeCell="B1" sqref="B1"/>
      <selection pane="bottomLeft" activeCell="B1" sqref="B1"/>
      <selection pane="bottomRight" activeCell="B12" sqref="B12"/>
    </sheetView>
  </sheetViews>
  <sheetFormatPr defaultColWidth="7.109375" defaultRowHeight="12.75" x14ac:dyDescent="0.2"/>
  <cols>
    <col min="1" max="1" width="18.44140625" style="31" customWidth="1"/>
    <col min="2" max="3" width="14.5546875" style="31" customWidth="1"/>
    <col min="4" max="4" width="16.88671875" style="31" customWidth="1"/>
    <col min="5" max="5" width="14.5546875" style="31" customWidth="1"/>
    <col min="6" max="6" width="16.77734375" style="31" customWidth="1"/>
    <col min="7" max="9" width="14.5546875" style="31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 x14ac:dyDescent="0.25">
      <c r="A1" s="100" t="s">
        <v>90</v>
      </c>
    </row>
    <row r="2" spans="1:10" ht="15.75" x14ac:dyDescent="0.25">
      <c r="A2" s="100" t="s">
        <v>91</v>
      </c>
    </row>
    <row r="3" spans="1:10" ht="15.75" x14ac:dyDescent="0.25">
      <c r="A3" s="100" t="s">
        <v>92</v>
      </c>
    </row>
    <row r="4" spans="1:10" ht="15.75" x14ac:dyDescent="0.25">
      <c r="A4" s="100" t="s">
        <v>93</v>
      </c>
    </row>
    <row r="5" spans="1:10" ht="15.75" x14ac:dyDescent="0.25">
      <c r="A5" s="100" t="s">
        <v>95</v>
      </c>
    </row>
    <row r="6" spans="1:10" ht="15.75" x14ac:dyDescent="0.25">
      <c r="A6" s="100" t="s">
        <v>98</v>
      </c>
    </row>
    <row r="8" spans="1:10" ht="15.75" x14ac:dyDescent="0.25">
      <c r="A8" s="46" t="s">
        <v>27</v>
      </c>
      <c r="B8" s="47"/>
      <c r="C8" s="42"/>
    </row>
    <row r="9" spans="1:10" ht="15.75" x14ac:dyDescent="0.25">
      <c r="A9" s="46"/>
      <c r="B9" s="42"/>
      <c r="C9" s="42"/>
      <c r="D9" s="41" t="s">
        <v>25</v>
      </c>
      <c r="E9" s="40">
        <f>1-0.278</f>
        <v>0.72199999999999998</v>
      </c>
      <c r="F9" s="41" t="s">
        <v>24</v>
      </c>
      <c r="G9" s="40">
        <v>1.278</v>
      </c>
    </row>
    <row r="10" spans="1:10" s="36" customFormat="1" ht="34.9" customHeight="1" x14ac:dyDescent="0.25">
      <c r="B10" s="39" t="s">
        <v>47</v>
      </c>
      <c r="C10" s="37" t="s">
        <v>46</v>
      </c>
      <c r="D10" s="39" t="s">
        <v>45</v>
      </c>
      <c r="E10" s="37" t="s">
        <v>44</v>
      </c>
      <c r="F10" s="39" t="s">
        <v>43</v>
      </c>
      <c r="G10" s="37" t="s">
        <v>42</v>
      </c>
      <c r="H10" s="37" t="s">
        <v>41</v>
      </c>
      <c r="I10" s="39" t="s">
        <v>40</v>
      </c>
      <c r="J10" s="37" t="s">
        <v>39</v>
      </c>
    </row>
    <row r="11" spans="1:10" s="36" customFormat="1" ht="13.15" customHeight="1" x14ac:dyDescent="0.25">
      <c r="A11" s="38" t="s">
        <v>15</v>
      </c>
      <c r="B11" s="38" t="s">
        <v>14</v>
      </c>
      <c r="C11" s="38" t="s">
        <v>14</v>
      </c>
      <c r="D11" s="38" t="s">
        <v>14</v>
      </c>
      <c r="E11" s="38" t="s">
        <v>14</v>
      </c>
      <c r="F11" s="38" t="s">
        <v>14</v>
      </c>
      <c r="G11" s="38" t="s">
        <v>14</v>
      </c>
      <c r="H11" s="38" t="s">
        <v>14</v>
      </c>
      <c r="I11" s="38" t="s">
        <v>14</v>
      </c>
      <c r="J11" s="38" t="s">
        <v>38</v>
      </c>
    </row>
    <row r="12" spans="1:10" ht="15" x14ac:dyDescent="0.2">
      <c r="A12" s="13">
        <v>41275</v>
      </c>
      <c r="B12" s="14">
        <v>17.5608163872467</v>
      </c>
      <c r="C12" s="14">
        <v>16.672788775099502</v>
      </c>
      <c r="D12" s="14">
        <v>16.664976275099502</v>
      </c>
      <c r="E12" s="14">
        <v>16.664976275099502</v>
      </c>
      <c r="F12" s="14">
        <v>16.6118512750995</v>
      </c>
      <c r="G12" s="14">
        <v>16.6712262750995</v>
      </c>
      <c r="H12" s="14">
        <v>16.6712262750995</v>
      </c>
      <c r="I12" s="14">
        <v>16.672788775099502</v>
      </c>
      <c r="J12" s="44">
        <f>89.51</f>
        <v>89.51</v>
      </c>
    </row>
    <row r="13" spans="1:10" ht="15" x14ac:dyDescent="0.2">
      <c r="A13" s="13">
        <v>41306</v>
      </c>
      <c r="B13" s="14">
        <v>18.139507285282502</v>
      </c>
      <c r="C13" s="14">
        <v>17.084489196554799</v>
      </c>
      <c r="D13" s="14">
        <v>17.076676696554799</v>
      </c>
      <c r="E13" s="14">
        <v>17.076676696554799</v>
      </c>
      <c r="F13" s="14">
        <v>17.023551696554801</v>
      </c>
      <c r="G13" s="14">
        <v>17.0829266965548</v>
      </c>
      <c r="H13" s="14">
        <v>17.0829266965548</v>
      </c>
      <c r="I13" s="14">
        <v>17.084489196554799</v>
      </c>
      <c r="J13" s="44">
        <f>96.24</f>
        <v>96.24</v>
      </c>
    </row>
    <row r="14" spans="1:10" ht="15" x14ac:dyDescent="0.2">
      <c r="A14" s="13">
        <v>41334</v>
      </c>
      <c r="B14" s="14">
        <v>16.456719986895401</v>
      </c>
      <c r="C14" s="14">
        <v>15.771603971900401</v>
      </c>
      <c r="D14" s="14">
        <v>15.763791471900401</v>
      </c>
      <c r="E14" s="14">
        <v>15.763791471900401</v>
      </c>
      <c r="F14" s="14">
        <v>16.456719986895401</v>
      </c>
      <c r="G14" s="14">
        <v>15.770041471900401</v>
      </c>
      <c r="H14" s="14">
        <v>15.770041471900401</v>
      </c>
      <c r="I14" s="14">
        <v>15.771603971900401</v>
      </c>
      <c r="J14" s="44">
        <f>94.46</f>
        <v>94.46</v>
      </c>
    </row>
    <row r="15" spans="1:10" ht="15" x14ac:dyDescent="0.2">
      <c r="A15" s="13">
        <v>41365</v>
      </c>
      <c r="B15" s="14">
        <v>16.7434135352825</v>
      </c>
      <c r="C15" s="14">
        <v>16.0950918751263</v>
      </c>
      <c r="D15" s="14">
        <v>16.0872793751263</v>
      </c>
      <c r="E15" s="14">
        <v>16.0872793751263</v>
      </c>
      <c r="F15" s="45">
        <v>16.7434135352825</v>
      </c>
      <c r="G15" s="14">
        <v>16.093529375126302</v>
      </c>
      <c r="H15" s="14">
        <v>16.093529375126302</v>
      </c>
      <c r="I15" s="14">
        <v>16.0950918751263</v>
      </c>
      <c r="J15" s="44">
        <f>92.96</f>
        <v>92.96</v>
      </c>
    </row>
    <row r="16" spans="1:10" ht="15" x14ac:dyDescent="0.2">
      <c r="A16" s="13">
        <v>41395</v>
      </c>
      <c r="B16" s="14">
        <f>16.9688 * CHOOSE(CONTROL!$C$15, $E$9, 100%, $G$9) + CHOOSE(CONTROL!$C$38, 0.0353, 0)</f>
        <v>17.004100000000001</v>
      </c>
      <c r="C16" s="14">
        <f>16.1875 * CHOOSE(CONTROL!$C$15, $E$9, 100%, $G$9) + CHOOSE(CONTROL!$C$38, 0.0354, 0)</f>
        <v>16.222899999999999</v>
      </c>
      <c r="D16" s="14">
        <f>16.1797 * CHOOSE(CONTROL!$C$15, $E$9, 100%, $G$9) + CHOOSE(CONTROL!$C$38, 0.0354, 0)</f>
        <v>16.2151</v>
      </c>
      <c r="E16" s="14">
        <f>16.1797 * CHOOSE(CONTROL!$C$15, $E$9, 100%, $G$9) + CHOOSE(CONTROL!$C$38, 0.0354, 0)</f>
        <v>16.2151</v>
      </c>
      <c r="F16" s="45">
        <f>16.9688 * CHOOSE(CONTROL!$C$15, $E$9, 100%, $G$9) + CHOOSE(CONTROL!$C$38, 0.0353, 0)</f>
        <v>17.004100000000001</v>
      </c>
      <c r="G16" s="14">
        <f>16.1859 * CHOOSE(CONTROL!$C$15, $E$9, 100%, $G$9) + CHOOSE(CONTROL!$C$38, 0.0354, 0)</f>
        <v>16.221299999999999</v>
      </c>
      <c r="H16" s="14">
        <f>16.1859 * CHOOSE(CONTROL!$C$15, $E$9, 100%, $G$9) + CHOOSE(CONTROL!$C$38, 0.0354, 0)</f>
        <v>16.221299999999999</v>
      </c>
      <c r="I16" s="14">
        <f>16.1875 * CHOOSE(CONTROL!$C$15, $E$9, 100%, $G$9) + CHOOSE(CONTROL!$C$38, 0.0354, 0)</f>
        <v>16.222899999999999</v>
      </c>
      <c r="J16" s="44">
        <f>97.07</f>
        <v>97.07</v>
      </c>
    </row>
    <row r="17" spans="1:10" ht="15" x14ac:dyDescent="0.2">
      <c r="A17" s="13">
        <v>41426</v>
      </c>
      <c r="B17" s="14">
        <f>16.9844 * CHOOSE(CONTROL!$C$15, $E$9, 100%, $G$9) + CHOOSE(CONTROL!$C$38, 0.0353, 0)</f>
        <v>17.0197</v>
      </c>
      <c r="C17" s="14">
        <f>16.2031 * CHOOSE(CONTROL!$C$15, $E$9, 100%, $G$9) + CHOOSE(CONTROL!$C$38, 0.0354, 0)</f>
        <v>16.238499999999998</v>
      </c>
      <c r="D17" s="14">
        <f>16.1953 * CHOOSE(CONTROL!$C$15, $E$9, 100%, $G$9) + CHOOSE(CONTROL!$C$38, 0.0354, 0)</f>
        <v>16.230699999999999</v>
      </c>
      <c r="E17" s="14">
        <f>16.1953 * CHOOSE(CONTROL!$C$15, $E$9, 100%, $G$9) + CHOOSE(CONTROL!$C$38, 0.0354, 0)</f>
        <v>16.230699999999999</v>
      </c>
      <c r="F17" s="45">
        <f>16.9844 * CHOOSE(CONTROL!$C$15, $E$9, 100%, $G$9) + CHOOSE(CONTROL!$C$38, 0.0353, 0)</f>
        <v>17.0197</v>
      </c>
      <c r="G17" s="14">
        <f>16.2016 * CHOOSE(CONTROL!$C$15, $E$9, 100%, $G$9) + CHOOSE(CONTROL!$C$38, 0.0354, 0)</f>
        <v>16.236999999999998</v>
      </c>
      <c r="H17" s="14">
        <f>16.2016 * CHOOSE(CONTROL!$C$15, $E$9, 100%, $G$9) + CHOOSE(CONTROL!$C$38, 0.0354, 0)</f>
        <v>16.236999999999998</v>
      </c>
      <c r="I17" s="14">
        <f>16.2031 * CHOOSE(CONTROL!$C$15, $E$9, 100%, $G$9) + CHOOSE(CONTROL!$C$38, 0.0354, 0)</f>
        <v>16.238499999999998</v>
      </c>
      <c r="J17" s="44">
        <f>97.38</f>
        <v>97.38</v>
      </c>
    </row>
    <row r="18" spans="1:10" ht="15" x14ac:dyDescent="0.2">
      <c r="A18" s="13">
        <v>41456</v>
      </c>
      <c r="B18" s="14">
        <f>16.9844 * CHOOSE(CONTROL!$C$15, $E$9, 100%, $G$9) + CHOOSE(CONTROL!$C$38, 0.0353, 0)</f>
        <v>17.0197</v>
      </c>
      <c r="C18" s="14">
        <f>16.1875 * CHOOSE(CONTROL!$C$15, $E$9, 100%, $G$9) + CHOOSE(CONTROL!$C$38, 0.0354, 0)</f>
        <v>16.222899999999999</v>
      </c>
      <c r="D18" s="14">
        <f>16.1797 * CHOOSE(CONTROL!$C$15, $E$9, 100%, $G$9) + CHOOSE(CONTROL!$C$38, 0.0354, 0)</f>
        <v>16.2151</v>
      </c>
      <c r="E18" s="14">
        <f>16.1797 * CHOOSE(CONTROL!$C$15, $E$9, 100%, $G$9) + CHOOSE(CONTROL!$C$38, 0.0354, 0)</f>
        <v>16.2151</v>
      </c>
      <c r="F18" s="45">
        <f>16.9844 * CHOOSE(CONTROL!$C$15, $E$9, 100%, $G$9) + CHOOSE(CONTROL!$C$38, 0.0353, 0)</f>
        <v>17.0197</v>
      </c>
      <c r="G18" s="14">
        <f>16.1859 * CHOOSE(CONTROL!$C$15, $E$9, 100%, $G$9) + CHOOSE(CONTROL!$C$38, 0.0354, 0)</f>
        <v>16.221299999999999</v>
      </c>
      <c r="H18" s="14">
        <f>16.1859 * CHOOSE(CONTROL!$C$15, $E$9, 100%, $G$9) + CHOOSE(CONTROL!$C$38, 0.0354, 0)</f>
        <v>16.221299999999999</v>
      </c>
      <c r="I18" s="14">
        <f>16.1875 * CHOOSE(CONTROL!$C$15, $E$9, 100%, $G$9) + CHOOSE(CONTROL!$C$38, 0.0354, 0)</f>
        <v>16.222899999999999</v>
      </c>
      <c r="J18" s="44">
        <f>97.6</f>
        <v>97.6</v>
      </c>
    </row>
    <row r="19" spans="1:10" ht="15" x14ac:dyDescent="0.2">
      <c r="A19" s="13">
        <v>41487</v>
      </c>
      <c r="B19" s="14">
        <f>16.9844 * CHOOSE(CONTROL!$C$15, $E$9, 100%, $G$9) + CHOOSE(CONTROL!$C$38, 0.0353, 0)</f>
        <v>17.0197</v>
      </c>
      <c r="C19" s="14">
        <f>16.1875 * CHOOSE(CONTROL!$C$15, $E$9, 100%, $G$9) + CHOOSE(CONTROL!$C$38, 0.0354, 0)</f>
        <v>16.222899999999999</v>
      </c>
      <c r="D19" s="14">
        <f>16.1797 * CHOOSE(CONTROL!$C$15, $E$9, 100%, $G$9) + CHOOSE(CONTROL!$C$38, 0.0354, 0)</f>
        <v>16.2151</v>
      </c>
      <c r="E19" s="14">
        <f>16.1797 * CHOOSE(CONTROL!$C$15, $E$9, 100%, $G$9) + CHOOSE(CONTROL!$C$38, 0.0354, 0)</f>
        <v>16.2151</v>
      </c>
      <c r="F19" s="45">
        <f>16.9844 * CHOOSE(CONTROL!$C$15, $E$9, 100%, $G$9) + CHOOSE(CONTROL!$C$38, 0.0353, 0)</f>
        <v>17.0197</v>
      </c>
      <c r="G19" s="14">
        <f>16.1859 * CHOOSE(CONTROL!$C$15, $E$9, 100%, $G$9) + CHOOSE(CONTROL!$C$38, 0.0354, 0)</f>
        <v>16.221299999999999</v>
      </c>
      <c r="H19" s="14">
        <f>16.1859 * CHOOSE(CONTROL!$C$15, $E$9, 100%, $G$9) + CHOOSE(CONTROL!$C$38, 0.0354, 0)</f>
        <v>16.221299999999999</v>
      </c>
      <c r="I19" s="14">
        <f>16.1875 * CHOOSE(CONTROL!$C$15, $E$9, 100%, $G$9) + CHOOSE(CONTROL!$C$38, 0.0354, 0)</f>
        <v>16.222899999999999</v>
      </c>
      <c r="J19" s="44">
        <f>97.61</f>
        <v>97.61</v>
      </c>
    </row>
    <row r="20" spans="1:10" ht="15" x14ac:dyDescent="0.2">
      <c r="A20" s="13">
        <v>41518</v>
      </c>
      <c r="B20" s="14">
        <f>16.9844 * CHOOSE(CONTROL!$C$15, $E$9, 100%, $G$9) + CHOOSE(CONTROL!$C$38, 0.0353, 0)</f>
        <v>17.0197</v>
      </c>
      <c r="C20" s="14">
        <f>16.1875 * CHOOSE(CONTROL!$C$15, $E$9, 100%, $G$9) + CHOOSE(CONTROL!$C$38, 0.0354, 0)</f>
        <v>16.222899999999999</v>
      </c>
      <c r="D20" s="14">
        <f>16.1797 * CHOOSE(CONTROL!$C$15, $E$9, 100%, $G$9) + CHOOSE(CONTROL!$C$38, 0.0354, 0)</f>
        <v>16.2151</v>
      </c>
      <c r="E20" s="14">
        <f>16.1797 * CHOOSE(CONTROL!$C$15, $E$9, 100%, $G$9) + CHOOSE(CONTROL!$C$38, 0.0354, 0)</f>
        <v>16.2151</v>
      </c>
      <c r="F20" s="45">
        <f>16.9844 * CHOOSE(CONTROL!$C$15, $E$9, 100%, $G$9) + CHOOSE(CONTROL!$C$38, 0.0353, 0)</f>
        <v>17.0197</v>
      </c>
      <c r="G20" s="14">
        <f>16.1859 * CHOOSE(CONTROL!$C$15, $E$9, 100%, $G$9) + CHOOSE(CONTROL!$C$38, 0.0354, 0)</f>
        <v>16.221299999999999</v>
      </c>
      <c r="H20" s="14">
        <f>16.1859 * CHOOSE(CONTROL!$C$15, $E$9, 100%, $G$9) + CHOOSE(CONTROL!$C$38, 0.0354, 0)</f>
        <v>16.221299999999999</v>
      </c>
      <c r="I20" s="14">
        <f>16.1875 * CHOOSE(CONTROL!$C$15, $E$9, 100%, $G$9) + CHOOSE(CONTROL!$C$38, 0.0354, 0)</f>
        <v>16.222899999999999</v>
      </c>
      <c r="J20" s="44">
        <f>97.41</f>
        <v>97.41</v>
      </c>
    </row>
    <row r="21" spans="1:10" ht="15" x14ac:dyDescent="0.2">
      <c r="A21" s="13">
        <v>41548</v>
      </c>
      <c r="B21" s="14">
        <f>16.8828 * CHOOSE(CONTROL!$C$15, $E$9, 100%, $G$9) + CHOOSE(CONTROL!$C$38, 0.034, 0)</f>
        <v>16.916799999999999</v>
      </c>
      <c r="C21" s="14">
        <f>16.0234 * CHOOSE(CONTROL!$C$15, $E$9, 100%, $G$9) + CHOOSE(CONTROL!$C$38, 0.0342, 0)</f>
        <v>16.057599999999997</v>
      </c>
      <c r="D21" s="14">
        <f>16.0156 * CHOOSE(CONTROL!$C$15, $E$9, 100%, $G$9) + CHOOSE(CONTROL!$C$38, 0.0342, 0)</f>
        <v>16.049799999999998</v>
      </c>
      <c r="E21" s="14">
        <f>16.0156 * CHOOSE(CONTROL!$C$15, $E$9, 100%, $G$9) + CHOOSE(CONTROL!$C$38, 0.0342, 0)</f>
        <v>16.049799999999998</v>
      </c>
      <c r="F21" s="45">
        <f>16.8828 * CHOOSE(CONTROL!$C$15, $E$9, 100%, $G$9) + CHOOSE(CONTROL!$C$38, 0.034, 0)</f>
        <v>16.916799999999999</v>
      </c>
      <c r="G21" s="14">
        <f>16.0219 * CHOOSE(CONTROL!$C$15, $E$9, 100%, $G$9) + CHOOSE(CONTROL!$C$38, 0.0342, 0)</f>
        <v>16.056099999999997</v>
      </c>
      <c r="H21" s="14">
        <f>16.0219 * CHOOSE(CONTROL!$C$15, $E$9, 100%, $G$9) + CHOOSE(CONTROL!$C$38, 0.0342, 0)</f>
        <v>16.056099999999997</v>
      </c>
      <c r="I21" s="14">
        <f>16.0234 * CHOOSE(CONTROL!$C$15, $E$9, 100%, $G$9) + CHOOSE(CONTROL!$C$38, 0.0342, 0)</f>
        <v>16.057599999999997</v>
      </c>
      <c r="J21" s="44">
        <f>97.04</f>
        <v>97.04</v>
      </c>
    </row>
    <row r="22" spans="1:10" ht="15" x14ac:dyDescent="0.2">
      <c r="A22" s="13">
        <v>41579</v>
      </c>
      <c r="B22" s="14">
        <f>16.8828 * CHOOSE(CONTROL!$C$15, $E$9, 100%, $G$9) + CHOOSE(CONTROL!$C$38, 0.034, 0)</f>
        <v>16.916799999999999</v>
      </c>
      <c r="C22" s="14">
        <f>16.0234 * CHOOSE(CONTROL!$C$15, $E$9, 100%, $G$9) + CHOOSE(CONTROL!$C$38, 0.0342, 0)</f>
        <v>16.057599999999997</v>
      </c>
      <c r="D22" s="14">
        <f>16.0156 * CHOOSE(CONTROL!$C$15, $E$9, 100%, $G$9) + CHOOSE(CONTROL!$C$38, 0.0342, 0)</f>
        <v>16.049799999999998</v>
      </c>
      <c r="E22" s="14">
        <f>16.0156 * CHOOSE(CONTROL!$C$15, $E$9, 100%, $G$9) + CHOOSE(CONTROL!$C$38, 0.0342, 0)</f>
        <v>16.049799999999998</v>
      </c>
      <c r="F22" s="45">
        <f>16.8828 * CHOOSE(CONTROL!$C$15, $E$9, 100%, $G$9) + CHOOSE(CONTROL!$C$38, 0.034, 0)</f>
        <v>16.916799999999999</v>
      </c>
      <c r="G22" s="14">
        <f>16.0219 * CHOOSE(CONTROL!$C$15, $E$9, 100%, $G$9) + CHOOSE(CONTROL!$C$38, 0.0342, 0)</f>
        <v>16.056099999999997</v>
      </c>
      <c r="H22" s="14">
        <f>16.0219 * CHOOSE(CONTROL!$C$15, $E$9, 100%, $G$9) + CHOOSE(CONTROL!$C$38, 0.0342, 0)</f>
        <v>16.056099999999997</v>
      </c>
      <c r="I22" s="14">
        <f>16.0234 * CHOOSE(CONTROL!$C$15, $E$9, 100%, $G$9) + CHOOSE(CONTROL!$C$38, 0.0342, 0)</f>
        <v>16.057599999999997</v>
      </c>
      <c r="J22" s="44">
        <f>96.6</f>
        <v>96.6</v>
      </c>
    </row>
    <row r="23" spans="1:10" ht="15" x14ac:dyDescent="0.2">
      <c r="A23" s="13">
        <v>41609</v>
      </c>
      <c r="B23" s="14">
        <f>16.8828 * CHOOSE(CONTROL!$C$15, $E$9, 100%, $G$9) + CHOOSE(CONTROL!$C$38, 0.034, 0)</f>
        <v>16.916799999999999</v>
      </c>
      <c r="C23" s="14">
        <f>16.0234 * CHOOSE(CONTROL!$C$15, $E$9, 100%, $G$9) + CHOOSE(CONTROL!$C$38, 0.0342, 0)</f>
        <v>16.057599999999997</v>
      </c>
      <c r="D23" s="14">
        <f>16.0156 * CHOOSE(CONTROL!$C$15, $E$9, 100%, $G$9) + CHOOSE(CONTROL!$C$38, 0.0342, 0)</f>
        <v>16.049799999999998</v>
      </c>
      <c r="E23" s="14">
        <f>16.0156 * CHOOSE(CONTROL!$C$15, $E$9, 100%, $G$9) + CHOOSE(CONTROL!$C$38, 0.0342, 0)</f>
        <v>16.049799999999998</v>
      </c>
      <c r="F23" s="45">
        <f>16.8828 * CHOOSE(CONTROL!$C$15, $E$9, 100%, $G$9) + CHOOSE(CONTROL!$C$38, 0.034, 0)</f>
        <v>16.916799999999999</v>
      </c>
      <c r="G23" s="14">
        <f>16.0219 * CHOOSE(CONTROL!$C$15, $E$9, 100%, $G$9) + CHOOSE(CONTROL!$C$38, 0.0342, 0)</f>
        <v>16.056099999999997</v>
      </c>
      <c r="H23" s="14">
        <f>16.0219 * CHOOSE(CONTROL!$C$15, $E$9, 100%, $G$9) + CHOOSE(CONTROL!$C$38, 0.0342, 0)</f>
        <v>16.056099999999997</v>
      </c>
      <c r="I23" s="14">
        <f>16.0234 * CHOOSE(CONTROL!$C$15, $E$9, 100%, $G$9) + CHOOSE(CONTROL!$C$38, 0.0342, 0)</f>
        <v>16.057599999999997</v>
      </c>
      <c r="J23" s="44">
        <f>96.15</f>
        <v>96.15</v>
      </c>
    </row>
    <row r="24" spans="1:10" ht="15" x14ac:dyDescent="0.2">
      <c r="A24" s="13">
        <v>41640</v>
      </c>
      <c r="B24" s="14">
        <f>16.6719 * CHOOSE(CONTROL!$C$15, $E$9, 100%, $G$9) + CHOOSE(CONTROL!$C$38, 0.034, 0)</f>
        <v>16.7059</v>
      </c>
      <c r="C24" s="14">
        <f>15.9453 * CHOOSE(CONTROL!$C$15, $E$9, 100%, $G$9) + CHOOSE(CONTROL!$C$38, 0.0342, 0)</f>
        <v>15.9795</v>
      </c>
      <c r="D24" s="14">
        <f>15.9375 * CHOOSE(CONTROL!$C$15, $E$9, 100%, $G$9) + CHOOSE(CONTROL!$C$38, 0.0342, 0)</f>
        <v>15.9717</v>
      </c>
      <c r="E24" s="14">
        <f>15.9375 * CHOOSE(CONTROL!$C$15, $E$9, 100%, $G$9) + CHOOSE(CONTROL!$C$38, 0.0342, 0)</f>
        <v>15.9717</v>
      </c>
      <c r="F24" s="45">
        <f>16.6719 * CHOOSE(CONTROL!$C$15, $E$9, 100%, $G$9) + CHOOSE(CONTROL!$C$38, 0.034, 0)</f>
        <v>16.7059</v>
      </c>
      <c r="G24" s="14">
        <f>15.9437 * CHOOSE(CONTROL!$C$15, $E$9, 100%, $G$9) + CHOOSE(CONTROL!$C$38, 0.0342, 0)</f>
        <v>15.9779</v>
      </c>
      <c r="H24" s="14">
        <f>15.9437 * CHOOSE(CONTROL!$C$15, $E$9, 100%, $G$9) + CHOOSE(CONTROL!$C$38, 0.0342, 0)</f>
        <v>15.9779</v>
      </c>
      <c r="I24" s="14">
        <f>15.9453 * CHOOSE(CONTROL!$C$15, $E$9, 100%, $G$9) + CHOOSE(CONTROL!$C$38, 0.0342, 0)</f>
        <v>15.9795</v>
      </c>
      <c r="J24" s="44">
        <f>95.68</f>
        <v>95.68</v>
      </c>
    </row>
    <row r="25" spans="1:10" ht="15" x14ac:dyDescent="0.2">
      <c r="A25" s="13">
        <v>41671</v>
      </c>
      <c r="B25" s="14">
        <f>16.6719 * CHOOSE(CONTROL!$C$15, $E$9, 100%, $G$9) + CHOOSE(CONTROL!$C$38, 0.034, 0)</f>
        <v>16.7059</v>
      </c>
      <c r="C25" s="14">
        <f>15.9453 * CHOOSE(CONTROL!$C$15, $E$9, 100%, $G$9) + CHOOSE(CONTROL!$C$38, 0.0342, 0)</f>
        <v>15.9795</v>
      </c>
      <c r="D25" s="14">
        <f>15.9375 * CHOOSE(CONTROL!$C$15, $E$9, 100%, $G$9) + CHOOSE(CONTROL!$C$38, 0.0342, 0)</f>
        <v>15.9717</v>
      </c>
      <c r="E25" s="14">
        <f>15.9375 * CHOOSE(CONTROL!$C$15, $E$9, 100%, $G$9) + CHOOSE(CONTROL!$C$38, 0.0342, 0)</f>
        <v>15.9717</v>
      </c>
      <c r="F25" s="45">
        <f>16.6719 * CHOOSE(CONTROL!$C$15, $E$9, 100%, $G$9) + CHOOSE(CONTROL!$C$38, 0.034, 0)</f>
        <v>16.7059</v>
      </c>
      <c r="G25" s="14">
        <f>15.9437 * CHOOSE(CONTROL!$C$15, $E$9, 100%, $G$9) + CHOOSE(CONTROL!$C$38, 0.0342, 0)</f>
        <v>15.9779</v>
      </c>
      <c r="H25" s="14">
        <f>15.9437 * CHOOSE(CONTROL!$C$15, $E$9, 100%, $G$9) + CHOOSE(CONTROL!$C$38, 0.0342, 0)</f>
        <v>15.9779</v>
      </c>
      <c r="I25" s="14">
        <f>15.9453 * CHOOSE(CONTROL!$C$15, $E$9, 100%, $G$9) + CHOOSE(CONTROL!$C$38, 0.0342, 0)</f>
        <v>15.9795</v>
      </c>
      <c r="J25" s="44">
        <f>95.26</f>
        <v>95.26</v>
      </c>
    </row>
    <row r="26" spans="1:10" ht="15" x14ac:dyDescent="0.2">
      <c r="A26" s="13">
        <v>41699</v>
      </c>
      <c r="B26" s="14">
        <f>16.6719 * CHOOSE(CONTROL!$C$15, $E$9, 100%, $G$9) + CHOOSE(CONTROL!$C$38, 0.034, 0)</f>
        <v>16.7059</v>
      </c>
      <c r="C26" s="14">
        <f>15.9453 * CHOOSE(CONTROL!$C$15, $E$9, 100%, $G$9) + CHOOSE(CONTROL!$C$38, 0.0342, 0)</f>
        <v>15.9795</v>
      </c>
      <c r="D26" s="14">
        <f>15.9375 * CHOOSE(CONTROL!$C$15, $E$9, 100%, $G$9) + CHOOSE(CONTROL!$C$38, 0.0342, 0)</f>
        <v>15.9717</v>
      </c>
      <c r="E26" s="14">
        <f>15.9375 * CHOOSE(CONTROL!$C$15, $E$9, 100%, $G$9) + CHOOSE(CONTROL!$C$38, 0.0342, 0)</f>
        <v>15.9717</v>
      </c>
      <c r="F26" s="45">
        <f>16.6719 * CHOOSE(CONTROL!$C$15, $E$9, 100%, $G$9) + CHOOSE(CONTROL!$C$38, 0.034, 0)</f>
        <v>16.7059</v>
      </c>
      <c r="G26" s="14">
        <f>15.9437 * CHOOSE(CONTROL!$C$15, $E$9, 100%, $G$9) + CHOOSE(CONTROL!$C$38, 0.0342, 0)</f>
        <v>15.9779</v>
      </c>
      <c r="H26" s="14">
        <f>15.9437 * CHOOSE(CONTROL!$C$15, $E$9, 100%, $G$9) + CHOOSE(CONTROL!$C$38, 0.0342, 0)</f>
        <v>15.9779</v>
      </c>
      <c r="I26" s="14">
        <f>15.9453 * CHOOSE(CONTROL!$C$15, $E$9, 100%, $G$9) + CHOOSE(CONTROL!$C$38, 0.0342, 0)</f>
        <v>15.9795</v>
      </c>
      <c r="J26" s="44">
        <f>94.86</f>
        <v>94.86</v>
      </c>
    </row>
    <row r="27" spans="1:10" ht="15" x14ac:dyDescent="0.2">
      <c r="A27" s="13">
        <v>41730</v>
      </c>
      <c r="B27" s="14">
        <f>16.6719 * CHOOSE(CONTROL!$C$15, $E$9, 100%, $G$9) + CHOOSE(CONTROL!$C$38, 0.034, 0)</f>
        <v>16.7059</v>
      </c>
      <c r="C27" s="14">
        <f>15.6641 * CHOOSE(CONTROL!$C$15, $E$9, 100%, $G$9) + CHOOSE(CONTROL!$C$38, 0.0342, 0)</f>
        <v>15.6983</v>
      </c>
      <c r="D27" s="14">
        <f>15.6562 * CHOOSE(CONTROL!$C$15, $E$9, 100%, $G$9) + CHOOSE(CONTROL!$C$38, 0.0342, 0)</f>
        <v>15.6904</v>
      </c>
      <c r="E27" s="14">
        <f>15.6562 * CHOOSE(CONTROL!$C$15, $E$9, 100%, $G$9) + CHOOSE(CONTROL!$C$38, 0.0342, 0)</f>
        <v>15.6904</v>
      </c>
      <c r="F27" s="45">
        <f>16.6719 * CHOOSE(CONTROL!$C$15, $E$9, 100%, $G$9) + CHOOSE(CONTROL!$C$38, 0.034, 0)</f>
        <v>16.7059</v>
      </c>
      <c r="G27" s="14">
        <f>15.6625 * CHOOSE(CONTROL!$C$15, $E$9, 100%, $G$9) + CHOOSE(CONTROL!$C$38, 0.0342, 0)</f>
        <v>15.6967</v>
      </c>
      <c r="H27" s="14">
        <f>15.6625 * CHOOSE(CONTROL!$C$15, $E$9, 100%, $G$9) + CHOOSE(CONTROL!$C$38, 0.0342, 0)</f>
        <v>15.6967</v>
      </c>
      <c r="I27" s="14">
        <f>15.6641 * CHOOSE(CONTROL!$C$15, $E$9, 100%, $G$9) + CHOOSE(CONTROL!$C$38, 0.0342, 0)</f>
        <v>15.6983</v>
      </c>
      <c r="J27" s="44">
        <f>94.45</f>
        <v>94.45</v>
      </c>
    </row>
    <row r="28" spans="1:10" ht="15" x14ac:dyDescent="0.2">
      <c r="A28" s="13">
        <v>41760</v>
      </c>
      <c r="B28" s="14">
        <f>16.6719 * CHOOSE(CONTROL!$C$15, $E$9, 100%, $G$9) + CHOOSE(CONTROL!$C$38, 0.0353, 0)</f>
        <v>16.7072</v>
      </c>
      <c r="C28" s="14">
        <f>15.6641 * CHOOSE(CONTROL!$C$15, $E$9, 100%, $G$9) + CHOOSE(CONTROL!$C$38, 0.0354, 0)</f>
        <v>15.699499999999999</v>
      </c>
      <c r="D28" s="14">
        <f>15.6562 * CHOOSE(CONTROL!$C$15, $E$9, 100%, $G$9) + CHOOSE(CONTROL!$C$38, 0.0354, 0)</f>
        <v>15.691599999999999</v>
      </c>
      <c r="E28" s="14">
        <f>15.6562 * CHOOSE(CONTROL!$C$15, $E$9, 100%, $G$9) + CHOOSE(CONTROL!$C$38, 0.0354, 0)</f>
        <v>15.691599999999999</v>
      </c>
      <c r="F28" s="45">
        <f>16.6719 * CHOOSE(CONTROL!$C$15, $E$9, 100%, $G$9) + CHOOSE(CONTROL!$C$38, 0.0353, 0)</f>
        <v>16.7072</v>
      </c>
      <c r="G28" s="14">
        <f>15.6625 * CHOOSE(CONTROL!$C$15, $E$9, 100%, $G$9) + CHOOSE(CONTROL!$C$38, 0.0354, 0)</f>
        <v>15.697899999999999</v>
      </c>
      <c r="H28" s="14">
        <f>15.6625 * CHOOSE(CONTROL!$C$15, $E$9, 100%, $G$9) + CHOOSE(CONTROL!$C$38, 0.0354, 0)</f>
        <v>15.697899999999999</v>
      </c>
      <c r="I28" s="14">
        <f>15.6641 * CHOOSE(CONTROL!$C$15, $E$9, 100%, $G$9) + CHOOSE(CONTROL!$C$38, 0.0354, 0)</f>
        <v>15.699499999999999</v>
      </c>
      <c r="J28" s="44">
        <f>94.06</f>
        <v>94.06</v>
      </c>
    </row>
    <row r="29" spans="1:10" ht="15" x14ac:dyDescent="0.2">
      <c r="A29" s="13">
        <v>41791</v>
      </c>
      <c r="B29" s="14">
        <f>16.6719 * CHOOSE(CONTROL!$C$15, $E$9, 100%, $G$9) + CHOOSE(CONTROL!$C$38, 0.0353, 0)</f>
        <v>16.7072</v>
      </c>
      <c r="C29" s="14">
        <f>15.6641 * CHOOSE(CONTROL!$C$15, $E$9, 100%, $G$9) + CHOOSE(CONTROL!$C$38, 0.0354, 0)</f>
        <v>15.699499999999999</v>
      </c>
      <c r="D29" s="14">
        <f>15.6562 * CHOOSE(CONTROL!$C$15, $E$9, 100%, $G$9) + CHOOSE(CONTROL!$C$38, 0.0354, 0)</f>
        <v>15.691599999999999</v>
      </c>
      <c r="E29" s="14">
        <f>15.6562 * CHOOSE(CONTROL!$C$15, $E$9, 100%, $G$9) + CHOOSE(CONTROL!$C$38, 0.0354, 0)</f>
        <v>15.691599999999999</v>
      </c>
      <c r="F29" s="45">
        <f>16.6719 * CHOOSE(CONTROL!$C$15, $E$9, 100%, $G$9) + CHOOSE(CONTROL!$C$38, 0.0353, 0)</f>
        <v>16.7072</v>
      </c>
      <c r="G29" s="14">
        <f>15.6625 * CHOOSE(CONTROL!$C$15, $E$9, 100%, $G$9) + CHOOSE(CONTROL!$C$38, 0.0354, 0)</f>
        <v>15.697899999999999</v>
      </c>
      <c r="H29" s="14">
        <f>15.6625 * CHOOSE(CONTROL!$C$15, $E$9, 100%, $G$9) + CHOOSE(CONTROL!$C$38, 0.0354, 0)</f>
        <v>15.697899999999999</v>
      </c>
      <c r="I29" s="14">
        <f>15.6641 * CHOOSE(CONTROL!$C$15, $E$9, 100%, $G$9) + CHOOSE(CONTROL!$C$38, 0.0354, 0)</f>
        <v>15.699499999999999</v>
      </c>
      <c r="J29" s="44">
        <f>93.72</f>
        <v>93.72</v>
      </c>
    </row>
    <row r="30" spans="1:10" ht="15" x14ac:dyDescent="0.2">
      <c r="A30" s="13">
        <v>41821</v>
      </c>
      <c r="B30" s="14">
        <f>16.6719 * CHOOSE(CONTROL!$C$15, $E$9, 100%, $G$9) + CHOOSE(CONTROL!$C$38, 0.0353, 0)</f>
        <v>16.7072</v>
      </c>
      <c r="C30" s="14">
        <f>15.6641 * CHOOSE(CONTROL!$C$15, $E$9, 100%, $G$9) + CHOOSE(CONTROL!$C$38, 0.0354, 0)</f>
        <v>15.699499999999999</v>
      </c>
      <c r="D30" s="14">
        <f>15.6562 * CHOOSE(CONTROL!$C$15, $E$9, 100%, $G$9) + CHOOSE(CONTROL!$C$38, 0.0354, 0)</f>
        <v>15.691599999999999</v>
      </c>
      <c r="E30" s="14">
        <f>15.6562 * CHOOSE(CONTROL!$C$15, $E$9, 100%, $G$9) + CHOOSE(CONTROL!$C$38, 0.0354, 0)</f>
        <v>15.691599999999999</v>
      </c>
      <c r="F30" s="45">
        <f>16.6719 * CHOOSE(CONTROL!$C$15, $E$9, 100%, $G$9) + CHOOSE(CONTROL!$C$38, 0.0353, 0)</f>
        <v>16.7072</v>
      </c>
      <c r="G30" s="14">
        <f>15.6625 * CHOOSE(CONTROL!$C$15, $E$9, 100%, $G$9) + CHOOSE(CONTROL!$C$38, 0.0354, 0)</f>
        <v>15.697899999999999</v>
      </c>
      <c r="H30" s="14">
        <f>15.6625 * CHOOSE(CONTROL!$C$15, $E$9, 100%, $G$9) + CHOOSE(CONTROL!$C$38, 0.0354, 0)</f>
        <v>15.697899999999999</v>
      </c>
      <c r="I30" s="14">
        <f>15.6641 * CHOOSE(CONTROL!$C$15, $E$9, 100%, $G$9) + CHOOSE(CONTROL!$C$38, 0.0354, 0)</f>
        <v>15.699499999999999</v>
      </c>
      <c r="J30" s="44">
        <f>93.35</f>
        <v>93.35</v>
      </c>
    </row>
    <row r="31" spans="1:10" ht="15" x14ac:dyDescent="0.2">
      <c r="A31" s="13">
        <v>41852</v>
      </c>
      <c r="B31" s="14">
        <f>16.6719 * CHOOSE(CONTROL!$C$15, $E$9, 100%, $G$9) + CHOOSE(CONTROL!$C$38, 0.0353, 0)</f>
        <v>16.7072</v>
      </c>
      <c r="C31" s="14">
        <f>15.6641 * CHOOSE(CONTROL!$C$15, $E$9, 100%, $G$9) + CHOOSE(CONTROL!$C$38, 0.0354, 0)</f>
        <v>15.699499999999999</v>
      </c>
      <c r="D31" s="14">
        <f>15.6562 * CHOOSE(CONTROL!$C$15, $E$9, 100%, $G$9) + CHOOSE(CONTROL!$C$38, 0.0354, 0)</f>
        <v>15.691599999999999</v>
      </c>
      <c r="E31" s="14">
        <f>15.6562 * CHOOSE(CONTROL!$C$15, $E$9, 100%, $G$9) + CHOOSE(CONTROL!$C$38, 0.0354, 0)</f>
        <v>15.691599999999999</v>
      </c>
      <c r="F31" s="45">
        <f>16.6719 * CHOOSE(CONTROL!$C$15, $E$9, 100%, $G$9) + CHOOSE(CONTROL!$C$38, 0.0353, 0)</f>
        <v>16.7072</v>
      </c>
      <c r="G31" s="14">
        <f>15.6625 * CHOOSE(CONTROL!$C$15, $E$9, 100%, $G$9) + CHOOSE(CONTROL!$C$38, 0.0354, 0)</f>
        <v>15.697899999999999</v>
      </c>
      <c r="H31" s="14">
        <f>15.6625 * CHOOSE(CONTROL!$C$15, $E$9, 100%, $G$9) + CHOOSE(CONTROL!$C$38, 0.0354, 0)</f>
        <v>15.697899999999999</v>
      </c>
      <c r="I31" s="14">
        <f>15.6641 * CHOOSE(CONTROL!$C$15, $E$9, 100%, $G$9) + CHOOSE(CONTROL!$C$38, 0.0354, 0)</f>
        <v>15.699499999999999</v>
      </c>
      <c r="J31" s="44">
        <f>93</f>
        <v>93</v>
      </c>
    </row>
    <row r="32" spans="1:10" ht="15" x14ac:dyDescent="0.2">
      <c r="A32" s="13">
        <v>41883</v>
      </c>
      <c r="B32" s="14">
        <f>16.6719 * CHOOSE(CONTROL!$C$15, $E$9, 100%, $G$9) + CHOOSE(CONTROL!$C$38, 0.0353, 0)</f>
        <v>16.7072</v>
      </c>
      <c r="C32" s="14">
        <f>15.6641 * CHOOSE(CONTROL!$C$15, $E$9, 100%, $G$9) + CHOOSE(CONTROL!$C$38, 0.0354, 0)</f>
        <v>15.699499999999999</v>
      </c>
      <c r="D32" s="14">
        <f>15.6562 * CHOOSE(CONTROL!$C$15, $E$9, 100%, $G$9) + CHOOSE(CONTROL!$C$38, 0.0354, 0)</f>
        <v>15.691599999999999</v>
      </c>
      <c r="E32" s="14">
        <f>15.6562 * CHOOSE(CONTROL!$C$15, $E$9, 100%, $G$9) + CHOOSE(CONTROL!$C$38, 0.0354, 0)</f>
        <v>15.691599999999999</v>
      </c>
      <c r="F32" s="45">
        <f>16.6719 * CHOOSE(CONTROL!$C$15, $E$9, 100%, $G$9) + CHOOSE(CONTROL!$C$38, 0.0353, 0)</f>
        <v>16.7072</v>
      </c>
      <c r="G32" s="14">
        <f>15.6625 * CHOOSE(CONTROL!$C$15, $E$9, 100%, $G$9) + CHOOSE(CONTROL!$C$38, 0.0354, 0)</f>
        <v>15.697899999999999</v>
      </c>
      <c r="H32" s="14">
        <f>15.6625 * CHOOSE(CONTROL!$C$15, $E$9, 100%, $G$9) + CHOOSE(CONTROL!$C$38, 0.0354, 0)</f>
        <v>15.697899999999999</v>
      </c>
      <c r="I32" s="14">
        <f>15.6641 * CHOOSE(CONTROL!$C$15, $E$9, 100%, $G$9) + CHOOSE(CONTROL!$C$38, 0.0354, 0)</f>
        <v>15.699499999999999</v>
      </c>
      <c r="J32" s="44">
        <f>92.68</f>
        <v>92.68</v>
      </c>
    </row>
    <row r="33" spans="1:10" ht="15" x14ac:dyDescent="0.2">
      <c r="A33" s="13">
        <v>41913</v>
      </c>
      <c r="B33" s="14">
        <f>16.6719 * CHOOSE(CONTROL!$C$15, $E$9, 100%, $G$9) + CHOOSE(CONTROL!$C$38, 0.034, 0)</f>
        <v>16.7059</v>
      </c>
      <c r="C33" s="14">
        <f>15.6641 * CHOOSE(CONTROL!$C$15, $E$9, 100%, $G$9) + CHOOSE(CONTROL!$C$38, 0.0342, 0)</f>
        <v>15.6983</v>
      </c>
      <c r="D33" s="14">
        <f>15.6562 * CHOOSE(CONTROL!$C$15, $E$9, 100%, $G$9) + CHOOSE(CONTROL!$C$38, 0.0342, 0)</f>
        <v>15.6904</v>
      </c>
      <c r="E33" s="14">
        <f>15.6562 * CHOOSE(CONTROL!$C$15, $E$9, 100%, $G$9) + CHOOSE(CONTROL!$C$38, 0.0342, 0)</f>
        <v>15.6904</v>
      </c>
      <c r="F33" s="45">
        <f>16.6719 * CHOOSE(CONTROL!$C$15, $E$9, 100%, $G$9) + CHOOSE(CONTROL!$C$38, 0.034, 0)</f>
        <v>16.7059</v>
      </c>
      <c r="G33" s="14">
        <f>15.6625 * CHOOSE(CONTROL!$C$15, $E$9, 100%, $G$9) + CHOOSE(CONTROL!$C$38, 0.0342, 0)</f>
        <v>15.6967</v>
      </c>
      <c r="H33" s="14">
        <f>15.6625 * CHOOSE(CONTROL!$C$15, $E$9, 100%, $G$9) + CHOOSE(CONTROL!$C$38, 0.0342, 0)</f>
        <v>15.6967</v>
      </c>
      <c r="I33" s="14">
        <f>15.6641 * CHOOSE(CONTROL!$C$15, $E$9, 100%, $G$9) + CHOOSE(CONTROL!$C$38, 0.0342, 0)</f>
        <v>15.6983</v>
      </c>
      <c r="J33" s="44">
        <f>92.41</f>
        <v>92.41</v>
      </c>
    </row>
    <row r="34" spans="1:10" ht="15" x14ac:dyDescent="0.2">
      <c r="A34" s="13">
        <v>41944</v>
      </c>
      <c r="B34" s="14">
        <f>16.6719 * CHOOSE(CONTROL!$C$15, $E$9, 100%, $G$9) + CHOOSE(CONTROL!$C$38, 0.034, 0)</f>
        <v>16.7059</v>
      </c>
      <c r="C34" s="14">
        <f>15.6641 * CHOOSE(CONTROL!$C$15, $E$9, 100%, $G$9) + CHOOSE(CONTROL!$C$38, 0.0342, 0)</f>
        <v>15.6983</v>
      </c>
      <c r="D34" s="14">
        <f>15.6562 * CHOOSE(CONTROL!$C$15, $E$9, 100%, $G$9) + CHOOSE(CONTROL!$C$38, 0.0342, 0)</f>
        <v>15.6904</v>
      </c>
      <c r="E34" s="14">
        <f>15.6562 * CHOOSE(CONTROL!$C$15, $E$9, 100%, $G$9) + CHOOSE(CONTROL!$C$38, 0.0342, 0)</f>
        <v>15.6904</v>
      </c>
      <c r="F34" s="45">
        <f>16.6719 * CHOOSE(CONTROL!$C$15, $E$9, 100%, $G$9) + CHOOSE(CONTROL!$C$38, 0.034, 0)</f>
        <v>16.7059</v>
      </c>
      <c r="G34" s="14">
        <f>15.6625 * CHOOSE(CONTROL!$C$15, $E$9, 100%, $G$9) + CHOOSE(CONTROL!$C$38, 0.0342, 0)</f>
        <v>15.6967</v>
      </c>
      <c r="H34" s="14">
        <f>15.6625 * CHOOSE(CONTROL!$C$15, $E$9, 100%, $G$9) + CHOOSE(CONTROL!$C$38, 0.0342, 0)</f>
        <v>15.6967</v>
      </c>
      <c r="I34" s="14">
        <f>15.6641 * CHOOSE(CONTROL!$C$15, $E$9, 100%, $G$9) + CHOOSE(CONTROL!$C$38, 0.0342, 0)</f>
        <v>15.6983</v>
      </c>
      <c r="J34" s="44">
        <f>92.17</f>
        <v>92.17</v>
      </c>
    </row>
    <row r="35" spans="1:10" ht="15" x14ac:dyDescent="0.2">
      <c r="A35" s="13">
        <v>41974</v>
      </c>
      <c r="B35" s="14">
        <f>16.6719 * CHOOSE(CONTROL!$C$15, $E$9, 100%, $G$9) + CHOOSE(CONTROL!$C$38, 0.034, 0)</f>
        <v>16.7059</v>
      </c>
      <c r="C35" s="14">
        <f>15.6641 * CHOOSE(CONTROL!$C$15, $E$9, 100%, $G$9) + CHOOSE(CONTROL!$C$38, 0.0342, 0)</f>
        <v>15.6983</v>
      </c>
      <c r="D35" s="14">
        <f>15.6562 * CHOOSE(CONTROL!$C$15, $E$9, 100%, $G$9) + CHOOSE(CONTROL!$C$38, 0.0342, 0)</f>
        <v>15.6904</v>
      </c>
      <c r="E35" s="14">
        <f>15.6562 * CHOOSE(CONTROL!$C$15, $E$9, 100%, $G$9) + CHOOSE(CONTROL!$C$38, 0.0342, 0)</f>
        <v>15.6904</v>
      </c>
      <c r="F35" s="45">
        <f>16.6719 * CHOOSE(CONTROL!$C$15, $E$9, 100%, $G$9) + CHOOSE(CONTROL!$C$38, 0.034, 0)</f>
        <v>16.7059</v>
      </c>
      <c r="G35" s="14">
        <f>15.6625 * CHOOSE(CONTROL!$C$15, $E$9, 100%, $G$9) + CHOOSE(CONTROL!$C$38, 0.0342, 0)</f>
        <v>15.6967</v>
      </c>
      <c r="H35" s="14">
        <f>15.6625 * CHOOSE(CONTROL!$C$15, $E$9, 100%, $G$9) + CHOOSE(CONTROL!$C$38, 0.0342, 0)</f>
        <v>15.6967</v>
      </c>
      <c r="I35" s="14">
        <f>15.6641 * CHOOSE(CONTROL!$C$15, $E$9, 100%, $G$9) + CHOOSE(CONTROL!$C$38, 0.0342, 0)</f>
        <v>15.6983</v>
      </c>
      <c r="J35" s="44">
        <f>91.96</f>
        <v>91.96</v>
      </c>
    </row>
    <row r="36" spans="1:10" ht="15" x14ac:dyDescent="0.2">
      <c r="A36" s="13">
        <v>42005</v>
      </c>
      <c r="B36" s="14">
        <f>16.1036 * CHOOSE(CONTROL!$C$15, $E$9, 100%, $G$9) + CHOOSE(CONTROL!$C$38, 0.034, 0)</f>
        <v>16.137599999999999</v>
      </c>
      <c r="C36" s="14">
        <f>15.0547 * CHOOSE(CONTROL!$C$15, $E$9, 100%, $G$9) + CHOOSE(CONTROL!$C$38, 0.0342, 0)</f>
        <v>15.088900000000001</v>
      </c>
      <c r="D36" s="14">
        <f>15.0469 * CHOOSE(CONTROL!$C$15, $E$9, 100%, $G$9) + CHOOSE(CONTROL!$C$38, 0.0342, 0)</f>
        <v>15.081100000000001</v>
      </c>
      <c r="E36" s="14">
        <f>15.0469 * CHOOSE(CONTROL!$C$15, $E$9, 100%, $G$9) + CHOOSE(CONTROL!$C$38, 0.0342, 0)</f>
        <v>15.081100000000001</v>
      </c>
      <c r="F36" s="45">
        <f>16.1036 * CHOOSE(CONTROL!$C$15, $E$9, 100%, $G$9) + CHOOSE(CONTROL!$C$38, 0.034, 0)</f>
        <v>16.137599999999999</v>
      </c>
      <c r="G36" s="14">
        <f>15.0531 * CHOOSE(CONTROL!$C$15, $E$9, 100%, $G$9) + CHOOSE(CONTROL!$C$38, 0.0342, 0)</f>
        <v>15.087300000000001</v>
      </c>
      <c r="H36" s="14">
        <f>15.0531 * CHOOSE(CONTROL!$C$15, $E$9, 100%, $G$9) + CHOOSE(CONTROL!$C$38, 0.0342, 0)</f>
        <v>15.087300000000001</v>
      </c>
      <c r="I36" s="14">
        <f>15.0547 * CHOOSE(CONTROL!$C$15, $E$9, 100%, $G$9) + CHOOSE(CONTROL!$C$38, 0.0342, 0)</f>
        <v>15.088900000000001</v>
      </c>
      <c r="J36" s="44">
        <f>91.61</f>
        <v>91.61</v>
      </c>
    </row>
    <row r="37" spans="1:10" ht="15" x14ac:dyDescent="0.2">
      <c r="A37" s="13">
        <v>42036</v>
      </c>
      <c r="B37" s="14">
        <f>16.1036 * CHOOSE(CONTROL!$C$15, $E$9, 100%, $G$9) + CHOOSE(CONTROL!$C$38, 0.034, 0)</f>
        <v>16.137599999999999</v>
      </c>
      <c r="C37" s="14">
        <f>15.0547 * CHOOSE(CONTROL!$C$15, $E$9, 100%, $G$9) + CHOOSE(CONTROL!$C$38, 0.0342, 0)</f>
        <v>15.088900000000001</v>
      </c>
      <c r="D37" s="14">
        <f>15.0469 * CHOOSE(CONTROL!$C$15, $E$9, 100%, $G$9) + CHOOSE(CONTROL!$C$38, 0.0342, 0)</f>
        <v>15.081100000000001</v>
      </c>
      <c r="E37" s="14">
        <f>15.0469 * CHOOSE(CONTROL!$C$15, $E$9, 100%, $G$9) + CHOOSE(CONTROL!$C$38, 0.0342, 0)</f>
        <v>15.081100000000001</v>
      </c>
      <c r="F37" s="45">
        <f>16.1036 * CHOOSE(CONTROL!$C$15, $E$9, 100%, $G$9) + CHOOSE(CONTROL!$C$38, 0.034, 0)</f>
        <v>16.137599999999999</v>
      </c>
      <c r="G37" s="14">
        <f>15.0531 * CHOOSE(CONTROL!$C$15, $E$9, 100%, $G$9) + CHOOSE(CONTROL!$C$38, 0.0342, 0)</f>
        <v>15.087300000000001</v>
      </c>
      <c r="H37" s="14">
        <f>15.0531 * CHOOSE(CONTROL!$C$15, $E$9, 100%, $G$9) + CHOOSE(CONTROL!$C$38, 0.0342, 0)</f>
        <v>15.087300000000001</v>
      </c>
      <c r="I37" s="14">
        <f>15.0547 * CHOOSE(CONTROL!$C$15, $E$9, 100%, $G$9) + CHOOSE(CONTROL!$C$38, 0.0342, 0)</f>
        <v>15.088900000000001</v>
      </c>
      <c r="J37" s="44">
        <f>91.27</f>
        <v>91.27</v>
      </c>
    </row>
    <row r="38" spans="1:10" ht="15" x14ac:dyDescent="0.2">
      <c r="A38" s="13">
        <v>42064</v>
      </c>
      <c r="B38" s="14">
        <f>16.1036 * CHOOSE(CONTROL!$C$15, $E$9, 100%, $G$9) + CHOOSE(CONTROL!$C$38, 0.034, 0)</f>
        <v>16.137599999999999</v>
      </c>
      <c r="C38" s="14">
        <f>15.0547 * CHOOSE(CONTROL!$C$15, $E$9, 100%, $G$9) + CHOOSE(CONTROL!$C$38, 0.0342, 0)</f>
        <v>15.088900000000001</v>
      </c>
      <c r="D38" s="14">
        <f>15.0469 * CHOOSE(CONTROL!$C$15, $E$9, 100%, $G$9) + CHOOSE(CONTROL!$C$38, 0.0342, 0)</f>
        <v>15.081100000000001</v>
      </c>
      <c r="E38" s="14">
        <f>15.0469 * CHOOSE(CONTROL!$C$15, $E$9, 100%, $G$9) + CHOOSE(CONTROL!$C$38, 0.0342, 0)</f>
        <v>15.081100000000001</v>
      </c>
      <c r="F38" s="45">
        <f>16.1036 * CHOOSE(CONTROL!$C$15, $E$9, 100%, $G$9) + CHOOSE(CONTROL!$C$38, 0.034, 0)</f>
        <v>16.137599999999999</v>
      </c>
      <c r="G38" s="14">
        <f>15.0531 * CHOOSE(CONTROL!$C$15, $E$9, 100%, $G$9) + CHOOSE(CONTROL!$C$38, 0.0342, 0)</f>
        <v>15.087300000000001</v>
      </c>
      <c r="H38" s="14">
        <f>15.0531 * CHOOSE(CONTROL!$C$15, $E$9, 100%, $G$9) + CHOOSE(CONTROL!$C$38, 0.0342, 0)</f>
        <v>15.087300000000001</v>
      </c>
      <c r="I38" s="14">
        <f>15.0547 * CHOOSE(CONTROL!$C$15, $E$9, 100%, $G$9) + CHOOSE(CONTROL!$C$38, 0.0342, 0)</f>
        <v>15.088900000000001</v>
      </c>
      <c r="J38" s="44">
        <f>90.95</f>
        <v>90.95</v>
      </c>
    </row>
    <row r="39" spans="1:10" ht="15" x14ac:dyDescent="0.2">
      <c r="A39" s="13">
        <v>42095</v>
      </c>
      <c r="B39" s="14">
        <f>16.1036 * CHOOSE(CONTROL!$C$15, $E$9, 100%, $G$9) + CHOOSE(CONTROL!$C$38, 0.034, 0)</f>
        <v>16.137599999999999</v>
      </c>
      <c r="C39" s="14">
        <f>15.0547 * CHOOSE(CONTROL!$C$15, $E$9, 100%, $G$9) + CHOOSE(CONTROL!$C$38, 0.0342, 0)</f>
        <v>15.088900000000001</v>
      </c>
      <c r="D39" s="14">
        <f>15.0469 * CHOOSE(CONTROL!$C$15, $E$9, 100%, $G$9) + CHOOSE(CONTROL!$C$38, 0.0342, 0)</f>
        <v>15.081100000000001</v>
      </c>
      <c r="E39" s="14">
        <f>15.0469 * CHOOSE(CONTROL!$C$15, $E$9, 100%, $G$9) + CHOOSE(CONTROL!$C$38, 0.0342, 0)</f>
        <v>15.081100000000001</v>
      </c>
      <c r="F39" s="45">
        <f>16.1036 * CHOOSE(CONTROL!$C$15, $E$9, 100%, $G$9) + CHOOSE(CONTROL!$C$38, 0.034, 0)</f>
        <v>16.137599999999999</v>
      </c>
      <c r="G39" s="14">
        <f>15.0531 * CHOOSE(CONTROL!$C$15, $E$9, 100%, $G$9) + CHOOSE(CONTROL!$C$38, 0.0342, 0)</f>
        <v>15.087300000000001</v>
      </c>
      <c r="H39" s="14">
        <f>15.0531 * CHOOSE(CONTROL!$C$15, $E$9, 100%, $G$9) + CHOOSE(CONTROL!$C$38, 0.0342, 0)</f>
        <v>15.087300000000001</v>
      </c>
      <c r="I39" s="14">
        <f>15.0547 * CHOOSE(CONTROL!$C$15, $E$9, 100%, $G$9) + CHOOSE(CONTROL!$C$38, 0.0342, 0)</f>
        <v>15.088900000000001</v>
      </c>
      <c r="J39" s="44">
        <f>90.64</f>
        <v>90.64</v>
      </c>
    </row>
    <row r="40" spans="1:10" ht="15" x14ac:dyDescent="0.2">
      <c r="A40" s="13">
        <v>42125</v>
      </c>
      <c r="B40" s="14">
        <f>16.1036 * CHOOSE(CONTROL!$C$15, $E$9, 100%, $G$9) + CHOOSE(CONTROL!$C$38, 0.0353, 0)</f>
        <v>16.1389</v>
      </c>
      <c r="C40" s="14">
        <f>15.0547 * CHOOSE(CONTROL!$C$15, $E$9, 100%, $G$9) + CHOOSE(CONTROL!$C$38, 0.0354, 0)</f>
        <v>15.0901</v>
      </c>
      <c r="D40" s="14">
        <f>15.0469 * CHOOSE(CONTROL!$C$15, $E$9, 100%, $G$9) + CHOOSE(CONTROL!$C$38, 0.0354, 0)</f>
        <v>15.0823</v>
      </c>
      <c r="E40" s="14">
        <f>15.0469 * CHOOSE(CONTROL!$C$15, $E$9, 100%, $G$9) + CHOOSE(CONTROL!$C$38, 0.0354, 0)</f>
        <v>15.0823</v>
      </c>
      <c r="F40" s="45">
        <f>16.1036 * CHOOSE(CONTROL!$C$15, $E$9, 100%, $G$9) + CHOOSE(CONTROL!$C$38, 0.0353, 0)</f>
        <v>16.1389</v>
      </c>
      <c r="G40" s="14">
        <f>15.0531 * CHOOSE(CONTROL!$C$15, $E$9, 100%, $G$9) + CHOOSE(CONTROL!$C$38, 0.0354, 0)</f>
        <v>15.0885</v>
      </c>
      <c r="H40" s="14">
        <f>15.0531 * CHOOSE(CONTROL!$C$15, $E$9, 100%, $G$9) + CHOOSE(CONTROL!$C$38, 0.0354, 0)</f>
        <v>15.0885</v>
      </c>
      <c r="I40" s="14">
        <f>15.0547 * CHOOSE(CONTROL!$C$15, $E$9, 100%, $G$9) + CHOOSE(CONTROL!$C$38, 0.0354, 0)</f>
        <v>15.0901</v>
      </c>
      <c r="J40" s="44">
        <f>90.35</f>
        <v>90.35</v>
      </c>
    </row>
    <row r="41" spans="1:10" ht="15" x14ac:dyDescent="0.2">
      <c r="A41" s="13">
        <v>42156</v>
      </c>
      <c r="B41" s="14">
        <f>16.1036 * CHOOSE(CONTROL!$C$15, $E$9, 100%, $G$9) + CHOOSE(CONTROL!$C$38, 0.0353, 0)</f>
        <v>16.1389</v>
      </c>
      <c r="C41" s="14">
        <f>15.0547 * CHOOSE(CONTROL!$C$15, $E$9, 100%, $G$9) + CHOOSE(CONTROL!$C$38, 0.0354, 0)</f>
        <v>15.0901</v>
      </c>
      <c r="D41" s="14">
        <f>15.0469 * CHOOSE(CONTROL!$C$15, $E$9, 100%, $G$9) + CHOOSE(CONTROL!$C$38, 0.0354, 0)</f>
        <v>15.0823</v>
      </c>
      <c r="E41" s="14">
        <f>15.0469 * CHOOSE(CONTROL!$C$15, $E$9, 100%, $G$9) + CHOOSE(CONTROL!$C$38, 0.0354, 0)</f>
        <v>15.0823</v>
      </c>
      <c r="F41" s="45">
        <f>16.1036 * CHOOSE(CONTROL!$C$15, $E$9, 100%, $G$9) + CHOOSE(CONTROL!$C$38, 0.0353, 0)</f>
        <v>16.1389</v>
      </c>
      <c r="G41" s="14">
        <f>15.0531 * CHOOSE(CONTROL!$C$15, $E$9, 100%, $G$9) + CHOOSE(CONTROL!$C$38, 0.0354, 0)</f>
        <v>15.0885</v>
      </c>
      <c r="H41" s="14">
        <f>15.0531 * CHOOSE(CONTROL!$C$15, $E$9, 100%, $G$9) + CHOOSE(CONTROL!$C$38, 0.0354, 0)</f>
        <v>15.0885</v>
      </c>
      <c r="I41" s="14">
        <f>15.0547 * CHOOSE(CONTROL!$C$15, $E$9, 100%, $G$9) + CHOOSE(CONTROL!$C$38, 0.0354, 0)</f>
        <v>15.0901</v>
      </c>
      <c r="J41" s="44">
        <f>90.07</f>
        <v>90.07</v>
      </c>
    </row>
    <row r="42" spans="1:10" ht="15" x14ac:dyDescent="0.2">
      <c r="A42" s="13">
        <v>42186</v>
      </c>
      <c r="B42" s="14">
        <f>16.1036 * CHOOSE(CONTROL!$C$15, $E$9, 100%, $G$9) + CHOOSE(CONTROL!$C$38, 0.0353, 0)</f>
        <v>16.1389</v>
      </c>
      <c r="C42" s="14">
        <f>15.0547 * CHOOSE(CONTROL!$C$15, $E$9, 100%, $G$9) + CHOOSE(CONTROL!$C$38, 0.0354, 0)</f>
        <v>15.0901</v>
      </c>
      <c r="D42" s="14">
        <f>15.0469 * CHOOSE(CONTROL!$C$15, $E$9, 100%, $G$9) + CHOOSE(CONTROL!$C$38, 0.0354, 0)</f>
        <v>15.0823</v>
      </c>
      <c r="E42" s="14">
        <f>15.0469 * CHOOSE(CONTROL!$C$15, $E$9, 100%, $G$9) + CHOOSE(CONTROL!$C$38, 0.0354, 0)</f>
        <v>15.0823</v>
      </c>
      <c r="F42" s="45">
        <f>16.1036 * CHOOSE(CONTROL!$C$15, $E$9, 100%, $G$9) + CHOOSE(CONTROL!$C$38, 0.0353, 0)</f>
        <v>16.1389</v>
      </c>
      <c r="G42" s="14">
        <f>15.0531 * CHOOSE(CONTROL!$C$15, $E$9, 100%, $G$9) + CHOOSE(CONTROL!$C$38, 0.0354, 0)</f>
        <v>15.0885</v>
      </c>
      <c r="H42" s="14">
        <f>15.0531 * CHOOSE(CONTROL!$C$15, $E$9, 100%, $G$9) + CHOOSE(CONTROL!$C$38, 0.0354, 0)</f>
        <v>15.0885</v>
      </c>
      <c r="I42" s="14">
        <f>15.0547 * CHOOSE(CONTROL!$C$15, $E$9, 100%, $G$9) + CHOOSE(CONTROL!$C$38, 0.0354, 0)</f>
        <v>15.0901</v>
      </c>
      <c r="J42" s="44">
        <f>89.76</f>
        <v>89.76</v>
      </c>
    </row>
    <row r="43" spans="1:10" ht="15" x14ac:dyDescent="0.2">
      <c r="A43" s="13">
        <v>42217</v>
      </c>
      <c r="B43" s="14">
        <f>16.1036 * CHOOSE(CONTROL!$C$15, $E$9, 100%, $G$9) + CHOOSE(CONTROL!$C$38, 0.0353, 0)</f>
        <v>16.1389</v>
      </c>
      <c r="C43" s="14">
        <f>15.0547 * CHOOSE(CONTROL!$C$15, $E$9, 100%, $G$9) + CHOOSE(CONTROL!$C$38, 0.0354, 0)</f>
        <v>15.0901</v>
      </c>
      <c r="D43" s="14">
        <f>15.0469 * CHOOSE(CONTROL!$C$15, $E$9, 100%, $G$9) + CHOOSE(CONTROL!$C$38, 0.0354, 0)</f>
        <v>15.0823</v>
      </c>
      <c r="E43" s="14">
        <f>15.0469 * CHOOSE(CONTROL!$C$15, $E$9, 100%, $G$9) + CHOOSE(CONTROL!$C$38, 0.0354, 0)</f>
        <v>15.0823</v>
      </c>
      <c r="F43" s="45">
        <f>16.1036 * CHOOSE(CONTROL!$C$15, $E$9, 100%, $G$9) + CHOOSE(CONTROL!$C$38, 0.0353, 0)</f>
        <v>16.1389</v>
      </c>
      <c r="G43" s="14">
        <f>15.0531 * CHOOSE(CONTROL!$C$15, $E$9, 100%, $G$9) + CHOOSE(CONTROL!$C$38, 0.0354, 0)</f>
        <v>15.0885</v>
      </c>
      <c r="H43" s="14">
        <f>15.0531 * CHOOSE(CONTROL!$C$15, $E$9, 100%, $G$9) + CHOOSE(CONTROL!$C$38, 0.0354, 0)</f>
        <v>15.0885</v>
      </c>
      <c r="I43" s="14">
        <f>15.0547 * CHOOSE(CONTROL!$C$15, $E$9, 100%, $G$9) + CHOOSE(CONTROL!$C$38, 0.0354, 0)</f>
        <v>15.0901</v>
      </c>
      <c r="J43" s="44">
        <f>89.49</f>
        <v>89.49</v>
      </c>
    </row>
    <row r="44" spans="1:10" ht="15" x14ac:dyDescent="0.2">
      <c r="A44" s="13">
        <v>42248</v>
      </c>
      <c r="B44" s="14">
        <f>16.1036 * CHOOSE(CONTROL!$C$15, $E$9, 100%, $G$9) + CHOOSE(CONTROL!$C$38, 0.0353, 0)</f>
        <v>16.1389</v>
      </c>
      <c r="C44" s="14">
        <f>15.0547 * CHOOSE(CONTROL!$C$15, $E$9, 100%, $G$9) + CHOOSE(CONTROL!$C$38, 0.0354, 0)</f>
        <v>15.0901</v>
      </c>
      <c r="D44" s="14">
        <f>15.0469 * CHOOSE(CONTROL!$C$15, $E$9, 100%, $G$9) + CHOOSE(CONTROL!$C$38, 0.0354, 0)</f>
        <v>15.0823</v>
      </c>
      <c r="E44" s="14">
        <f>15.0469 * CHOOSE(CONTROL!$C$15, $E$9, 100%, $G$9) + CHOOSE(CONTROL!$C$38, 0.0354, 0)</f>
        <v>15.0823</v>
      </c>
      <c r="F44" s="45">
        <f>16.1036 * CHOOSE(CONTROL!$C$15, $E$9, 100%, $G$9) + CHOOSE(CONTROL!$C$38, 0.0353, 0)</f>
        <v>16.1389</v>
      </c>
      <c r="G44" s="14">
        <f>15.0531 * CHOOSE(CONTROL!$C$15, $E$9, 100%, $G$9) + CHOOSE(CONTROL!$C$38, 0.0354, 0)</f>
        <v>15.0885</v>
      </c>
      <c r="H44" s="14">
        <f>15.0531 * CHOOSE(CONTROL!$C$15, $E$9, 100%, $G$9) + CHOOSE(CONTROL!$C$38, 0.0354, 0)</f>
        <v>15.0885</v>
      </c>
      <c r="I44" s="14">
        <f>15.0547 * CHOOSE(CONTROL!$C$15, $E$9, 100%, $G$9) + CHOOSE(CONTROL!$C$38, 0.0354, 0)</f>
        <v>15.0901</v>
      </c>
      <c r="J44" s="44">
        <f>89.24</f>
        <v>89.24</v>
      </c>
    </row>
    <row r="45" spans="1:10" ht="15" x14ac:dyDescent="0.2">
      <c r="A45" s="13">
        <v>42278</v>
      </c>
      <c r="B45" s="14">
        <f>16.1036 * CHOOSE(CONTROL!$C$15, $E$9, 100%, $G$9) + CHOOSE(CONTROL!$C$38, 0.034, 0)</f>
        <v>16.137599999999999</v>
      </c>
      <c r="C45" s="14">
        <f>15.0547 * CHOOSE(CONTROL!$C$15, $E$9, 100%, $G$9) + CHOOSE(CONTROL!$C$38, 0.0342, 0)</f>
        <v>15.088900000000001</v>
      </c>
      <c r="D45" s="14">
        <f>15.0469 * CHOOSE(CONTROL!$C$15, $E$9, 100%, $G$9) + CHOOSE(CONTROL!$C$38, 0.0342, 0)</f>
        <v>15.081100000000001</v>
      </c>
      <c r="E45" s="14">
        <f>15.0469 * CHOOSE(CONTROL!$C$15, $E$9, 100%, $G$9) + CHOOSE(CONTROL!$C$38, 0.0342, 0)</f>
        <v>15.081100000000001</v>
      </c>
      <c r="F45" s="45">
        <f>16.1036 * CHOOSE(CONTROL!$C$15, $E$9, 100%, $G$9) + CHOOSE(CONTROL!$C$38, 0.034, 0)</f>
        <v>16.137599999999999</v>
      </c>
      <c r="G45" s="14">
        <f>15.0531 * CHOOSE(CONTROL!$C$15, $E$9, 100%, $G$9) + CHOOSE(CONTROL!$C$38, 0.0342, 0)</f>
        <v>15.087300000000001</v>
      </c>
      <c r="H45" s="14">
        <f>15.0531 * CHOOSE(CONTROL!$C$15, $E$9, 100%, $G$9) + CHOOSE(CONTROL!$C$38, 0.0342, 0)</f>
        <v>15.087300000000001</v>
      </c>
      <c r="I45" s="14">
        <f>15.0547 * CHOOSE(CONTROL!$C$15, $E$9, 100%, $G$9) + CHOOSE(CONTROL!$C$38, 0.0342, 0)</f>
        <v>15.088900000000001</v>
      </c>
      <c r="J45" s="44">
        <f>89.02</f>
        <v>89.02</v>
      </c>
    </row>
    <row r="46" spans="1:10" ht="15" x14ac:dyDescent="0.2">
      <c r="A46" s="13">
        <v>42309</v>
      </c>
      <c r="B46" s="14">
        <f>16.1036 * CHOOSE(CONTROL!$C$15, $E$9, 100%, $G$9) + CHOOSE(CONTROL!$C$38, 0.034, 0)</f>
        <v>16.137599999999999</v>
      </c>
      <c r="C46" s="14">
        <f>15.0547 * CHOOSE(CONTROL!$C$15, $E$9, 100%, $G$9) + CHOOSE(CONTROL!$C$38, 0.0342, 0)</f>
        <v>15.088900000000001</v>
      </c>
      <c r="D46" s="14">
        <f>15.0469 * CHOOSE(CONTROL!$C$15, $E$9, 100%, $G$9) + CHOOSE(CONTROL!$C$38, 0.0342, 0)</f>
        <v>15.081100000000001</v>
      </c>
      <c r="E46" s="14">
        <f>15.0469 * CHOOSE(CONTROL!$C$15, $E$9, 100%, $G$9) + CHOOSE(CONTROL!$C$38, 0.0342, 0)</f>
        <v>15.081100000000001</v>
      </c>
      <c r="F46" s="45">
        <f>16.1036 * CHOOSE(CONTROL!$C$15, $E$9, 100%, $G$9) + CHOOSE(CONTROL!$C$38, 0.034, 0)</f>
        <v>16.137599999999999</v>
      </c>
      <c r="G46" s="14">
        <f>15.0531 * CHOOSE(CONTROL!$C$15, $E$9, 100%, $G$9) + CHOOSE(CONTROL!$C$38, 0.0342, 0)</f>
        <v>15.087300000000001</v>
      </c>
      <c r="H46" s="14">
        <f>15.0531 * CHOOSE(CONTROL!$C$15, $E$9, 100%, $G$9) + CHOOSE(CONTROL!$C$38, 0.0342, 0)</f>
        <v>15.087300000000001</v>
      </c>
      <c r="I46" s="14">
        <f>15.0547 * CHOOSE(CONTROL!$C$15, $E$9, 100%, $G$9) + CHOOSE(CONTROL!$C$38, 0.0342, 0)</f>
        <v>15.088900000000001</v>
      </c>
      <c r="J46" s="44">
        <f>88.85</f>
        <v>88.85</v>
      </c>
    </row>
    <row r="47" spans="1:10" ht="15" x14ac:dyDescent="0.2">
      <c r="A47" s="13">
        <v>42339</v>
      </c>
      <c r="B47" s="14">
        <f>16.1036 * CHOOSE(CONTROL!$C$15, $E$9, 100%, $G$9) + CHOOSE(CONTROL!$C$38, 0.034, 0)</f>
        <v>16.137599999999999</v>
      </c>
      <c r="C47" s="14">
        <f>15.0547 * CHOOSE(CONTROL!$C$15, $E$9, 100%, $G$9) + CHOOSE(CONTROL!$C$38, 0.0342, 0)</f>
        <v>15.088900000000001</v>
      </c>
      <c r="D47" s="14">
        <f>15.0469 * CHOOSE(CONTROL!$C$15, $E$9, 100%, $G$9) + CHOOSE(CONTROL!$C$38, 0.0342, 0)</f>
        <v>15.081100000000001</v>
      </c>
      <c r="E47" s="14">
        <f>15.0469 * CHOOSE(CONTROL!$C$15, $E$9, 100%, $G$9) + CHOOSE(CONTROL!$C$38, 0.0342, 0)</f>
        <v>15.081100000000001</v>
      </c>
      <c r="F47" s="45">
        <f>16.1036 * CHOOSE(CONTROL!$C$15, $E$9, 100%, $G$9) + CHOOSE(CONTROL!$C$38, 0.034, 0)</f>
        <v>16.137599999999999</v>
      </c>
      <c r="G47" s="14">
        <f>15.0531 * CHOOSE(CONTROL!$C$15, $E$9, 100%, $G$9) + CHOOSE(CONTROL!$C$38, 0.0342, 0)</f>
        <v>15.087300000000001</v>
      </c>
      <c r="H47" s="14">
        <f>15.0531 * CHOOSE(CONTROL!$C$15, $E$9, 100%, $G$9) + CHOOSE(CONTROL!$C$38, 0.0342, 0)</f>
        <v>15.087300000000001</v>
      </c>
      <c r="I47" s="14">
        <f>15.0547 * CHOOSE(CONTROL!$C$15, $E$9, 100%, $G$9) + CHOOSE(CONTROL!$C$38, 0.0342, 0)</f>
        <v>15.088900000000001</v>
      </c>
      <c r="J47" s="44">
        <f>88.71</f>
        <v>88.71</v>
      </c>
    </row>
    <row r="48" spans="1:10" ht="15" x14ac:dyDescent="0.2">
      <c r="A48" s="13">
        <v>42370</v>
      </c>
      <c r="B48" s="14">
        <f>17.0444 * CHOOSE(CONTROL!$C$15, $E$9, 100%, $G$9) + CHOOSE(CONTROL!$C$38, 0.034, 0)</f>
        <v>17.078399999999998</v>
      </c>
      <c r="C48" s="14">
        <f>16.2901 * CHOOSE(CONTROL!$C$15, $E$9, 100%, $G$9) + CHOOSE(CONTROL!$C$38, 0.0342, 0)</f>
        <v>16.324299999999997</v>
      </c>
      <c r="D48" s="14">
        <f>16.2823 * CHOOSE(CONTROL!$C$15, $E$9, 100%, $G$9) + CHOOSE(CONTROL!$C$38, 0.0342, 0)</f>
        <v>16.316499999999998</v>
      </c>
      <c r="E48" s="14">
        <f>16.2823 * CHOOSE(CONTROL!$C$15, $E$9, 100%, $G$9) + CHOOSE(CONTROL!$C$38, 0.0342, 0)</f>
        <v>16.316499999999998</v>
      </c>
      <c r="F48" s="45">
        <f>17.0444 * CHOOSE(CONTROL!$C$15, $E$9, 100%, $G$9) + CHOOSE(CONTROL!$C$38, 0.034, 0)</f>
        <v>17.078399999999998</v>
      </c>
      <c r="G48" s="14">
        <f>16.2886 * CHOOSE(CONTROL!$C$15, $E$9, 100%, $G$9) + CHOOSE(CONTROL!$C$38, 0.0342, 0)</f>
        <v>16.322799999999997</v>
      </c>
      <c r="H48" s="14">
        <f>16.2886 * CHOOSE(CONTROL!$C$15, $E$9, 100%, $G$9) + CHOOSE(CONTROL!$C$38, 0.0342, 0)</f>
        <v>16.322799999999997</v>
      </c>
      <c r="I48" s="14">
        <f>16.2901 * CHOOSE(CONTROL!$C$15, $E$9, 100%, $G$9) + CHOOSE(CONTROL!$C$38, 0.0342, 0)</f>
        <v>16.324299999999997</v>
      </c>
      <c r="J48" s="44">
        <f>87.9037</f>
        <v>87.903700000000001</v>
      </c>
    </row>
    <row r="49" spans="1:10" ht="15" x14ac:dyDescent="0.2">
      <c r="A49" s="13">
        <v>42401</v>
      </c>
      <c r="B49" s="14">
        <f>17.3194 * CHOOSE(CONTROL!$C$15, $E$9, 100%, $G$9) + CHOOSE(CONTROL!$C$38, 0.034, 0)</f>
        <v>17.353400000000001</v>
      </c>
      <c r="C49" s="14">
        <f>16.5639 * CHOOSE(CONTROL!$C$15, $E$9, 100%, $G$9) + CHOOSE(CONTROL!$C$38, 0.0342, 0)</f>
        <v>16.598099999999999</v>
      </c>
      <c r="D49" s="14">
        <f>16.5561 * CHOOSE(CONTROL!$C$15, $E$9, 100%, $G$9) + CHOOSE(CONTROL!$C$38, 0.0342, 0)</f>
        <v>16.590299999999999</v>
      </c>
      <c r="E49" s="14">
        <f>16.5561 * CHOOSE(CONTROL!$C$15, $E$9, 100%, $G$9) + CHOOSE(CONTROL!$C$38, 0.0342, 0)</f>
        <v>16.590299999999999</v>
      </c>
      <c r="F49" s="45">
        <f>17.3194 * CHOOSE(CONTROL!$C$15, $E$9, 100%, $G$9) + CHOOSE(CONTROL!$C$38, 0.034, 0)</f>
        <v>17.353400000000001</v>
      </c>
      <c r="G49" s="14">
        <f>16.5624 * CHOOSE(CONTROL!$C$15, $E$9, 100%, $G$9) + CHOOSE(CONTROL!$C$38, 0.0342, 0)</f>
        <v>16.596599999999999</v>
      </c>
      <c r="H49" s="14">
        <f>16.5624 * CHOOSE(CONTROL!$C$15, $E$9, 100%, $G$9) + CHOOSE(CONTROL!$C$38, 0.0342, 0)</f>
        <v>16.596599999999999</v>
      </c>
      <c r="I49" s="14">
        <f>16.5639 * CHOOSE(CONTROL!$C$15, $E$9, 100%, $G$9) + CHOOSE(CONTROL!$C$38, 0.0342, 0)</f>
        <v>16.598099999999999</v>
      </c>
      <c r="J49" s="44">
        <f>87.8399</f>
        <v>87.8399</v>
      </c>
    </row>
    <row r="50" spans="1:10" ht="15" x14ac:dyDescent="0.2">
      <c r="A50" s="13">
        <v>42430</v>
      </c>
      <c r="B50" s="14">
        <f>16.7943 * CHOOSE(CONTROL!$C$15, $E$9, 100%, $G$9) + CHOOSE(CONTROL!$C$38, 0.034, 0)</f>
        <v>16.828299999999999</v>
      </c>
      <c r="C50" s="14">
        <f>16.0376 * CHOOSE(CONTROL!$C$15, $E$9, 100%, $G$9) + CHOOSE(CONTROL!$C$38, 0.0342, 0)</f>
        <v>16.0718</v>
      </c>
      <c r="D50" s="14">
        <f>16.0298 * CHOOSE(CONTROL!$C$15, $E$9, 100%, $G$9) + CHOOSE(CONTROL!$C$38, 0.0342, 0)</f>
        <v>16.064</v>
      </c>
      <c r="E50" s="14">
        <f>16.0298 * CHOOSE(CONTROL!$C$15, $E$9, 100%, $G$9) + CHOOSE(CONTROL!$C$38, 0.0342, 0)</f>
        <v>16.064</v>
      </c>
      <c r="F50" s="45">
        <f>16.7943 * CHOOSE(CONTROL!$C$15, $E$9, 100%, $G$9) + CHOOSE(CONTROL!$C$38, 0.034, 0)</f>
        <v>16.828299999999999</v>
      </c>
      <c r="G50" s="14">
        <f>16.0361 * CHOOSE(CONTROL!$C$15, $E$9, 100%, $G$9) + CHOOSE(CONTROL!$C$38, 0.0342, 0)</f>
        <v>16.0703</v>
      </c>
      <c r="H50" s="14">
        <f>16.0361 * CHOOSE(CONTROL!$C$15, $E$9, 100%, $G$9) + CHOOSE(CONTROL!$C$38, 0.0342, 0)</f>
        <v>16.0703</v>
      </c>
      <c r="I50" s="14">
        <f>16.0376 * CHOOSE(CONTROL!$C$15, $E$9, 100%, $G$9) + CHOOSE(CONTROL!$C$38, 0.0342, 0)</f>
        <v>16.0718</v>
      </c>
      <c r="J50" s="44">
        <f>92.66</f>
        <v>92.66</v>
      </c>
    </row>
    <row r="51" spans="1:10" ht="15" x14ac:dyDescent="0.2">
      <c r="A51" s="13">
        <v>42461</v>
      </c>
      <c r="B51" s="14">
        <f>16.2844 * CHOOSE(CONTROL!$C$15, $E$9, 100%, $G$9) + CHOOSE(CONTROL!$C$38, 0.034, 0)</f>
        <v>16.3184</v>
      </c>
      <c r="C51" s="14">
        <f>15.5265 * CHOOSE(CONTROL!$C$15, $E$9, 100%, $G$9) + CHOOSE(CONTROL!$C$38, 0.0342, 0)</f>
        <v>15.560700000000001</v>
      </c>
      <c r="D51" s="14">
        <f>15.5187 * CHOOSE(CONTROL!$C$15, $E$9, 100%, $G$9) + CHOOSE(CONTROL!$C$38, 0.0342, 0)</f>
        <v>15.552900000000001</v>
      </c>
      <c r="E51" s="14">
        <f>15.5187 * CHOOSE(CONTROL!$C$15, $E$9, 100%, $G$9) + CHOOSE(CONTROL!$C$38, 0.0342, 0)</f>
        <v>15.552900000000001</v>
      </c>
      <c r="F51" s="45">
        <f>16.2844 * CHOOSE(CONTROL!$C$15, $E$9, 100%, $G$9) + CHOOSE(CONTROL!$C$38, 0.034, 0)</f>
        <v>16.3184</v>
      </c>
      <c r="G51" s="14">
        <f>15.5249 * CHOOSE(CONTROL!$C$15, $E$9, 100%, $G$9) + CHOOSE(CONTROL!$C$38, 0.0342, 0)</f>
        <v>15.559100000000001</v>
      </c>
      <c r="H51" s="14">
        <f>15.5249 * CHOOSE(CONTROL!$C$15, $E$9, 100%, $G$9) + CHOOSE(CONTROL!$C$38, 0.0342, 0)</f>
        <v>15.559100000000001</v>
      </c>
      <c r="I51" s="14">
        <f>15.5265 * CHOOSE(CONTROL!$C$15, $E$9, 100%, $G$9) + CHOOSE(CONTROL!$C$38, 0.0342, 0)</f>
        <v>15.560700000000001</v>
      </c>
      <c r="J51" s="44">
        <f>98.8792</f>
        <v>98.879199999999997</v>
      </c>
    </row>
    <row r="52" spans="1:10" ht="15" x14ac:dyDescent="0.2">
      <c r="A52" s="13">
        <v>42491</v>
      </c>
      <c r="B52" s="14">
        <f>15.7494 * CHOOSE(CONTROL!$C$15, $E$9, 100%, $G$9) + CHOOSE(CONTROL!$C$38, 0.0353, 0)</f>
        <v>15.784699999999999</v>
      </c>
      <c r="C52" s="14">
        <f>14.9902 * CHOOSE(CONTROL!$C$15, $E$9, 100%, $G$9) + CHOOSE(CONTROL!$C$38, 0.0354, 0)</f>
        <v>15.025599999999999</v>
      </c>
      <c r="D52" s="14">
        <f>14.9824 * CHOOSE(CONTROL!$C$15, $E$9, 100%, $G$9) + CHOOSE(CONTROL!$C$38, 0.0354, 0)</f>
        <v>15.017799999999999</v>
      </c>
      <c r="E52" s="14">
        <f>14.9824 * CHOOSE(CONTROL!$C$15, $E$9, 100%, $G$9) + CHOOSE(CONTROL!$C$38, 0.0354, 0)</f>
        <v>15.017799999999999</v>
      </c>
      <c r="F52" s="45">
        <f>15.7494 * CHOOSE(CONTROL!$C$15, $E$9, 100%, $G$9) + CHOOSE(CONTROL!$C$38, 0.0353, 0)</f>
        <v>15.784699999999999</v>
      </c>
      <c r="G52" s="14">
        <f>14.9886 * CHOOSE(CONTROL!$C$15, $E$9, 100%, $G$9) + CHOOSE(CONTROL!$C$38, 0.0354, 0)</f>
        <v>15.023999999999999</v>
      </c>
      <c r="H52" s="14">
        <f>14.9886 * CHOOSE(CONTROL!$C$15, $E$9, 100%, $G$9) + CHOOSE(CONTROL!$C$38, 0.0354, 0)</f>
        <v>15.023999999999999</v>
      </c>
      <c r="I52" s="14">
        <f>14.9902 * CHOOSE(CONTROL!$C$15, $E$9, 100%, $G$9) + CHOOSE(CONTROL!$C$38, 0.0354, 0)</f>
        <v>15.025599999999999</v>
      </c>
      <c r="J52" s="44">
        <f>102.4079</f>
        <v>102.4079</v>
      </c>
    </row>
    <row r="53" spans="1:10" ht="15" x14ac:dyDescent="0.2">
      <c r="A53" s="13">
        <v>42522</v>
      </c>
      <c r="B53" s="14">
        <f>15.3819 * CHOOSE(CONTROL!$C$15, $E$9, 100%, $G$9) + CHOOSE(CONTROL!$C$38, 0.0353, 0)</f>
        <v>15.417199999999999</v>
      </c>
      <c r="C53" s="14">
        <f>14.6215 * CHOOSE(CONTROL!$C$15, $E$9, 100%, $G$9) + CHOOSE(CONTROL!$C$38, 0.0354, 0)</f>
        <v>14.656899999999998</v>
      </c>
      <c r="D53" s="14">
        <f>14.6137 * CHOOSE(CONTROL!$C$15, $E$9, 100%, $G$9) + CHOOSE(CONTROL!$C$38, 0.0354, 0)</f>
        <v>14.649099999999999</v>
      </c>
      <c r="E53" s="14">
        <f>14.6137 * CHOOSE(CONTROL!$C$15, $E$9, 100%, $G$9) + CHOOSE(CONTROL!$C$38, 0.0354, 0)</f>
        <v>14.649099999999999</v>
      </c>
      <c r="F53" s="45">
        <f>15.3819 * CHOOSE(CONTROL!$C$15, $E$9, 100%, $G$9) + CHOOSE(CONTROL!$C$38, 0.0353, 0)</f>
        <v>15.417199999999999</v>
      </c>
      <c r="G53" s="14">
        <f>14.62 * CHOOSE(CONTROL!$C$15, $E$9, 100%, $G$9) + CHOOSE(CONTROL!$C$38, 0.0354, 0)</f>
        <v>14.655399999999998</v>
      </c>
      <c r="H53" s="14">
        <f>14.62 * CHOOSE(CONTROL!$C$15, $E$9, 100%, $G$9) + CHOOSE(CONTROL!$C$38, 0.0354, 0)</f>
        <v>14.655399999999998</v>
      </c>
      <c r="I53" s="14">
        <f>14.6215 * CHOOSE(CONTROL!$C$15, $E$9, 100%, $G$9) + CHOOSE(CONTROL!$C$38, 0.0354, 0)</f>
        <v>14.656899999999998</v>
      </c>
      <c r="J53" s="44">
        <f>104.0975</f>
        <v>104.0975</v>
      </c>
    </row>
    <row r="54" spans="1:10" ht="15" x14ac:dyDescent="0.2">
      <c r="A54" s="13">
        <v>42552</v>
      </c>
      <c r="B54" s="14">
        <f>15.1844 * CHOOSE(CONTROL!$C$15, $E$9, 100%, $G$9) + CHOOSE(CONTROL!$C$38, 0.0353, 0)</f>
        <v>15.2197</v>
      </c>
      <c r="C54" s="14">
        <f>14.4228 * CHOOSE(CONTROL!$C$15, $E$9, 100%, $G$9) + CHOOSE(CONTROL!$C$38, 0.0354, 0)</f>
        <v>14.4582</v>
      </c>
      <c r="D54" s="14">
        <f>14.4149 * CHOOSE(CONTROL!$C$15, $E$9, 100%, $G$9) + CHOOSE(CONTROL!$C$38, 0.0354, 0)</f>
        <v>14.450299999999999</v>
      </c>
      <c r="E54" s="14">
        <f>14.4149 * CHOOSE(CONTROL!$C$15, $E$9, 100%, $G$9) + CHOOSE(CONTROL!$C$38, 0.0354, 0)</f>
        <v>14.450299999999999</v>
      </c>
      <c r="F54" s="45">
        <f>15.1844 * CHOOSE(CONTROL!$C$15, $E$9, 100%, $G$9) + CHOOSE(CONTROL!$C$38, 0.0353, 0)</f>
        <v>15.2197</v>
      </c>
      <c r="G54" s="14">
        <f>14.4212 * CHOOSE(CONTROL!$C$15, $E$9, 100%, $G$9) + CHOOSE(CONTROL!$C$38, 0.0354, 0)</f>
        <v>14.4566</v>
      </c>
      <c r="H54" s="14">
        <f>14.4212 * CHOOSE(CONTROL!$C$15, $E$9, 100%, $G$9) + CHOOSE(CONTROL!$C$38, 0.0354, 0)</f>
        <v>14.4566</v>
      </c>
      <c r="I54" s="14">
        <f>14.4228 * CHOOSE(CONTROL!$C$15, $E$9, 100%, $G$9) + CHOOSE(CONTROL!$C$38, 0.0354, 0)</f>
        <v>14.4582</v>
      </c>
      <c r="J54" s="44">
        <f>103.8241</f>
        <v>103.8241</v>
      </c>
    </row>
    <row r="55" spans="1:10" ht="15" x14ac:dyDescent="0.2">
      <c r="A55" s="13">
        <v>42583</v>
      </c>
      <c r="B55" s="14">
        <f>15.3272 * CHOOSE(CONTROL!$C$15, $E$9, 100%, $G$9) + CHOOSE(CONTROL!$C$38, 0.0353, 0)</f>
        <v>15.362499999999999</v>
      </c>
      <c r="C55" s="14">
        <f>14.5642 * CHOOSE(CONTROL!$C$15, $E$9, 100%, $G$9) + CHOOSE(CONTROL!$C$38, 0.0354, 0)</f>
        <v>14.599599999999999</v>
      </c>
      <c r="D55" s="14">
        <f>14.5564 * CHOOSE(CONTROL!$C$15, $E$9, 100%, $G$9) + CHOOSE(CONTROL!$C$38, 0.0354, 0)</f>
        <v>14.591799999999999</v>
      </c>
      <c r="E55" s="14">
        <f>14.5564 * CHOOSE(CONTROL!$C$15, $E$9, 100%, $G$9) + CHOOSE(CONTROL!$C$38, 0.0354, 0)</f>
        <v>14.591799999999999</v>
      </c>
      <c r="F55" s="45">
        <f>15.3272 * CHOOSE(CONTROL!$C$15, $E$9, 100%, $G$9) + CHOOSE(CONTROL!$C$38, 0.0353, 0)</f>
        <v>15.362499999999999</v>
      </c>
      <c r="G55" s="14">
        <f>14.5627 * CHOOSE(CONTROL!$C$15, $E$9, 100%, $G$9) + CHOOSE(CONTROL!$C$38, 0.0354, 0)</f>
        <v>14.598099999999999</v>
      </c>
      <c r="H55" s="14">
        <f>14.5627 * CHOOSE(CONTROL!$C$15, $E$9, 100%, $G$9) + CHOOSE(CONTROL!$C$38, 0.0354, 0)</f>
        <v>14.598099999999999</v>
      </c>
      <c r="I55" s="14">
        <f>14.5642 * CHOOSE(CONTROL!$C$15, $E$9, 100%, $G$9) + CHOOSE(CONTROL!$C$38, 0.0354, 0)</f>
        <v>14.599599999999999</v>
      </c>
      <c r="J55" s="44">
        <f>101.616</f>
        <v>101.616</v>
      </c>
    </row>
    <row r="56" spans="1:10" ht="15" x14ac:dyDescent="0.2">
      <c r="A56" s="13">
        <v>42614</v>
      </c>
      <c r="B56" s="14">
        <f>15.6643 * CHOOSE(CONTROL!$C$15, $E$9, 100%, $G$9) + CHOOSE(CONTROL!$C$38, 0.0353, 0)</f>
        <v>15.6996</v>
      </c>
      <c r="C56" s="14">
        <f>14.9001 * CHOOSE(CONTROL!$C$15, $E$9, 100%, $G$9) + CHOOSE(CONTROL!$C$38, 0.0354, 0)</f>
        <v>14.935499999999999</v>
      </c>
      <c r="D56" s="14">
        <f>14.8923 * CHOOSE(CONTROL!$C$15, $E$9, 100%, $G$9) + CHOOSE(CONTROL!$C$38, 0.0354, 0)</f>
        <v>14.9277</v>
      </c>
      <c r="E56" s="14">
        <f>14.8923 * CHOOSE(CONTROL!$C$15, $E$9, 100%, $G$9) + CHOOSE(CONTROL!$C$38, 0.0354, 0)</f>
        <v>14.9277</v>
      </c>
      <c r="F56" s="45">
        <f>15.6643 * CHOOSE(CONTROL!$C$15, $E$9, 100%, $G$9) + CHOOSE(CONTROL!$C$38, 0.0353, 0)</f>
        <v>15.6996</v>
      </c>
      <c r="G56" s="14">
        <f>14.8985 * CHOOSE(CONTROL!$C$15, $E$9, 100%, $G$9) + CHOOSE(CONTROL!$C$38, 0.0354, 0)</f>
        <v>14.9339</v>
      </c>
      <c r="H56" s="14">
        <f>14.8985 * CHOOSE(CONTROL!$C$15, $E$9, 100%, $G$9) + CHOOSE(CONTROL!$C$38, 0.0354, 0)</f>
        <v>14.9339</v>
      </c>
      <c r="I56" s="14">
        <f>14.9001 * CHOOSE(CONTROL!$C$15, $E$9, 100%, $G$9) + CHOOSE(CONTROL!$C$38, 0.0354, 0)</f>
        <v>14.935499999999999</v>
      </c>
      <c r="J56" s="44">
        <f>98.4408</f>
        <v>98.440799999999996</v>
      </c>
    </row>
    <row r="57" spans="1:10" ht="15" x14ac:dyDescent="0.2">
      <c r="A57" s="13">
        <v>42644</v>
      </c>
      <c r="B57" s="14">
        <f>15.9527 * CHOOSE(CONTROL!$C$15, $E$9, 100%, $G$9) + CHOOSE(CONTROL!$C$38, 0.034, 0)</f>
        <v>15.986700000000001</v>
      </c>
      <c r="C57" s="14">
        <f>15.1873 * CHOOSE(CONTROL!$C$15, $E$9, 100%, $G$9) + CHOOSE(CONTROL!$C$38, 0.0342, 0)</f>
        <v>15.221500000000001</v>
      </c>
      <c r="D57" s="14">
        <f>15.1795 * CHOOSE(CONTROL!$C$15, $E$9, 100%, $G$9) + CHOOSE(CONTROL!$C$38, 0.0342, 0)</f>
        <v>15.213700000000001</v>
      </c>
      <c r="E57" s="14">
        <f>15.1795 * CHOOSE(CONTROL!$C$15, $E$9, 100%, $G$9) + CHOOSE(CONTROL!$C$38, 0.0342, 0)</f>
        <v>15.213700000000001</v>
      </c>
      <c r="F57" s="45">
        <f>15.9527 * CHOOSE(CONTROL!$C$15, $E$9, 100%, $G$9) + CHOOSE(CONTROL!$C$38, 0.034, 0)</f>
        <v>15.986700000000001</v>
      </c>
      <c r="G57" s="14">
        <f>15.1857 * CHOOSE(CONTROL!$C$15, $E$9, 100%, $G$9) + CHOOSE(CONTROL!$C$38, 0.0342, 0)</f>
        <v>15.219900000000001</v>
      </c>
      <c r="H57" s="14">
        <f>15.1857 * CHOOSE(CONTROL!$C$15, $E$9, 100%, $G$9) + CHOOSE(CONTROL!$C$38, 0.0342, 0)</f>
        <v>15.219900000000001</v>
      </c>
      <c r="I57" s="14">
        <f>15.1873 * CHOOSE(CONTROL!$C$15, $E$9, 100%, $G$9) + CHOOSE(CONTROL!$C$38, 0.0342, 0)</f>
        <v>15.221500000000001</v>
      </c>
      <c r="J57" s="44">
        <f>95.2324</f>
        <v>95.232399999999998</v>
      </c>
    </row>
    <row r="58" spans="1:10" ht="15" x14ac:dyDescent="0.2">
      <c r="A58" s="13">
        <v>42675</v>
      </c>
      <c r="B58" s="14">
        <f>16.1996 * CHOOSE(CONTROL!$C$15, $E$9, 100%, $G$9) + CHOOSE(CONTROL!$C$38, 0.034, 0)</f>
        <v>16.233599999999999</v>
      </c>
      <c r="C58" s="14">
        <f>15.4329 * CHOOSE(CONTROL!$C$15, $E$9, 100%, $G$9) + CHOOSE(CONTROL!$C$38, 0.0342, 0)</f>
        <v>15.4671</v>
      </c>
      <c r="D58" s="14">
        <f>15.4251 * CHOOSE(CONTROL!$C$15, $E$9, 100%, $G$9) + CHOOSE(CONTROL!$C$38, 0.0342, 0)</f>
        <v>15.459300000000001</v>
      </c>
      <c r="E58" s="14">
        <f>15.4251 * CHOOSE(CONTROL!$C$15, $E$9, 100%, $G$9) + CHOOSE(CONTROL!$C$38, 0.0342, 0)</f>
        <v>15.459300000000001</v>
      </c>
      <c r="F58" s="45">
        <f>16.1996 * CHOOSE(CONTROL!$C$15, $E$9, 100%, $G$9) + CHOOSE(CONTROL!$C$38, 0.034, 0)</f>
        <v>16.233599999999999</v>
      </c>
      <c r="G58" s="14">
        <f>15.4314 * CHOOSE(CONTROL!$C$15, $E$9, 100%, $G$9) + CHOOSE(CONTROL!$C$38, 0.0342, 0)</f>
        <v>15.4656</v>
      </c>
      <c r="H58" s="14">
        <f>15.4314 * CHOOSE(CONTROL!$C$15, $E$9, 100%, $G$9) + CHOOSE(CONTROL!$C$38, 0.0342, 0)</f>
        <v>15.4656</v>
      </c>
      <c r="I58" s="14">
        <f>15.4329 * CHOOSE(CONTROL!$C$15, $E$9, 100%, $G$9) + CHOOSE(CONTROL!$C$38, 0.0342, 0)</f>
        <v>15.4671</v>
      </c>
      <c r="J58" s="44">
        <f>94.7486</f>
        <v>94.748599999999996</v>
      </c>
    </row>
    <row r="59" spans="1:10" ht="15" x14ac:dyDescent="0.2">
      <c r="A59" s="13">
        <v>42705</v>
      </c>
      <c r="B59" s="14">
        <f>16.8964 * CHOOSE(CONTROL!$C$15, $E$9, 100%, $G$9) + CHOOSE(CONTROL!$C$38, 0.034, 0)</f>
        <v>16.930399999999999</v>
      </c>
      <c r="C59" s="14">
        <f>16.1285 * CHOOSE(CONTROL!$C$15, $E$9, 100%, $G$9) + CHOOSE(CONTROL!$C$38, 0.0342, 0)</f>
        <v>16.162699999999997</v>
      </c>
      <c r="D59" s="14">
        <f>16.1207 * CHOOSE(CONTROL!$C$15, $E$9, 100%, $G$9) + CHOOSE(CONTROL!$C$38, 0.0342, 0)</f>
        <v>16.154899999999998</v>
      </c>
      <c r="E59" s="14">
        <f>16.1207 * CHOOSE(CONTROL!$C$15, $E$9, 100%, $G$9) + CHOOSE(CONTROL!$C$38, 0.0342, 0)</f>
        <v>16.154899999999998</v>
      </c>
      <c r="F59" s="45">
        <f>16.8964 * CHOOSE(CONTROL!$C$15, $E$9, 100%, $G$9) + CHOOSE(CONTROL!$C$38, 0.034, 0)</f>
        <v>16.930399999999999</v>
      </c>
      <c r="G59" s="14">
        <f>16.127 * CHOOSE(CONTROL!$C$15, $E$9, 100%, $G$9) + CHOOSE(CONTROL!$C$38, 0.0342, 0)</f>
        <v>16.161199999999997</v>
      </c>
      <c r="H59" s="14">
        <f>16.127 * CHOOSE(CONTROL!$C$15, $E$9, 100%, $G$9) + CHOOSE(CONTROL!$C$38, 0.0342, 0)</f>
        <v>16.161199999999997</v>
      </c>
      <c r="I59" s="14">
        <f>16.1285 * CHOOSE(CONTROL!$C$15, $E$9, 100%, $G$9) + CHOOSE(CONTROL!$C$38, 0.0342, 0)</f>
        <v>16.162699999999997</v>
      </c>
      <c r="J59" s="44">
        <f>92.1263</f>
        <v>92.126300000000001</v>
      </c>
    </row>
    <row r="60" spans="1:10" ht="15" x14ac:dyDescent="0.2">
      <c r="A60" s="13">
        <v>42736</v>
      </c>
      <c r="B60" s="14">
        <f>17.0873 * CHOOSE(CONTROL!$C$15, $E$9, 100%, $G$9) + CHOOSE(CONTROL!$C$38, 0.034, 0)</f>
        <v>17.121299999999998</v>
      </c>
      <c r="C60" s="14">
        <f>16.3327 * CHOOSE(CONTROL!$C$15, $E$9, 100%, $G$9) + CHOOSE(CONTROL!$C$38, 0.0342, 0)</f>
        <v>16.366899999999998</v>
      </c>
      <c r="D60" s="14">
        <f>16.3249 * CHOOSE(CONTROL!$C$15, $E$9, 100%, $G$9) + CHOOSE(CONTROL!$C$38, 0.0342, 0)</f>
        <v>16.359099999999998</v>
      </c>
      <c r="E60" s="14">
        <f>16.3249 * CHOOSE(CONTROL!$C$15, $E$9, 100%, $G$9) + CHOOSE(CONTROL!$C$38, 0.0342, 0)</f>
        <v>16.359099999999998</v>
      </c>
      <c r="F60" s="45">
        <f>17.0873 * CHOOSE(CONTROL!$C$15, $E$9, 100%, $G$9) + CHOOSE(CONTROL!$C$38, 0.034, 0)</f>
        <v>17.121299999999998</v>
      </c>
      <c r="G60" s="14">
        <f>16.3311 * CHOOSE(CONTROL!$C$15, $E$9, 100%, $G$9) + CHOOSE(CONTROL!$C$38, 0.0342, 0)</f>
        <v>16.365299999999998</v>
      </c>
      <c r="H60" s="14">
        <f>16.3311 * CHOOSE(CONTROL!$C$15, $E$9, 100%, $G$9) + CHOOSE(CONTROL!$C$38, 0.0342, 0)</f>
        <v>16.365299999999998</v>
      </c>
      <c r="I60" s="14">
        <f>16.3327 * CHOOSE(CONTROL!$C$15, $E$9, 100%, $G$9) + CHOOSE(CONTROL!$C$38, 0.0342, 0)</f>
        <v>16.366899999999998</v>
      </c>
      <c r="J60" s="44">
        <f>88.2095</f>
        <v>88.209500000000006</v>
      </c>
    </row>
    <row r="61" spans="1:10" ht="15" x14ac:dyDescent="0.2">
      <c r="A61" s="13">
        <v>42767</v>
      </c>
      <c r="B61" s="14">
        <f>17.3685 * CHOOSE(CONTROL!$C$15, $E$9, 100%, $G$9) + CHOOSE(CONTROL!$C$38, 0.034, 0)</f>
        <v>17.4025</v>
      </c>
      <c r="C61" s="14">
        <f>16.6126 * CHOOSE(CONTROL!$C$15, $E$9, 100%, $G$9) + CHOOSE(CONTROL!$C$38, 0.0342, 0)</f>
        <v>16.646799999999999</v>
      </c>
      <c r="D61" s="14">
        <f>16.6048 * CHOOSE(CONTROL!$C$15, $E$9, 100%, $G$9) + CHOOSE(CONTROL!$C$38, 0.0342, 0)</f>
        <v>16.638999999999999</v>
      </c>
      <c r="E61" s="14">
        <f>16.6048 * CHOOSE(CONTROL!$C$15, $E$9, 100%, $G$9) + CHOOSE(CONTROL!$C$38, 0.0342, 0)</f>
        <v>16.638999999999999</v>
      </c>
      <c r="F61" s="45">
        <f>17.3685 * CHOOSE(CONTROL!$C$15, $E$9, 100%, $G$9) + CHOOSE(CONTROL!$C$38, 0.034, 0)</f>
        <v>17.4025</v>
      </c>
      <c r="G61" s="14">
        <f>16.611 * CHOOSE(CONTROL!$C$15, $E$9, 100%, $G$9) + CHOOSE(CONTROL!$C$38, 0.0342, 0)</f>
        <v>16.645199999999999</v>
      </c>
      <c r="H61" s="14">
        <f>16.611 * CHOOSE(CONTROL!$C$15, $E$9, 100%, $G$9) + CHOOSE(CONTROL!$C$38, 0.0342, 0)</f>
        <v>16.645199999999999</v>
      </c>
      <c r="I61" s="14">
        <f>16.6126 * CHOOSE(CONTROL!$C$15, $E$9, 100%, $G$9) + CHOOSE(CONTROL!$C$38, 0.0342, 0)</f>
        <v>16.646799999999999</v>
      </c>
      <c r="J61" s="44">
        <f>88.1455</f>
        <v>88.145499999999998</v>
      </c>
    </row>
    <row r="62" spans="1:10" ht="15" x14ac:dyDescent="0.2">
      <c r="A62" s="13">
        <v>42795</v>
      </c>
      <c r="B62" s="14">
        <f>16.8295 * CHOOSE(CONTROL!$C$15, $E$9, 100%, $G$9) + CHOOSE(CONTROL!$C$38, 0.034, 0)</f>
        <v>16.863499999999998</v>
      </c>
      <c r="C62" s="14">
        <f>16.0724 * CHOOSE(CONTROL!$C$15, $E$9, 100%, $G$9) + CHOOSE(CONTROL!$C$38, 0.0342, 0)</f>
        <v>16.106599999999997</v>
      </c>
      <c r="D62" s="14">
        <f>16.0646 * CHOOSE(CONTROL!$C$15, $E$9, 100%, $G$9) + CHOOSE(CONTROL!$C$38, 0.0342, 0)</f>
        <v>16.098799999999997</v>
      </c>
      <c r="E62" s="14">
        <f>16.0646 * CHOOSE(CONTROL!$C$15, $E$9, 100%, $G$9) + CHOOSE(CONTROL!$C$38, 0.0342, 0)</f>
        <v>16.098799999999997</v>
      </c>
      <c r="F62" s="45">
        <f>16.8295 * CHOOSE(CONTROL!$C$15, $E$9, 100%, $G$9) + CHOOSE(CONTROL!$C$38, 0.034, 0)</f>
        <v>16.863499999999998</v>
      </c>
      <c r="G62" s="14">
        <f>16.0709 * CHOOSE(CONTROL!$C$15, $E$9, 100%, $G$9) + CHOOSE(CONTROL!$C$38, 0.0342, 0)</f>
        <v>16.1051</v>
      </c>
      <c r="H62" s="14">
        <f>16.0709 * CHOOSE(CONTROL!$C$15, $E$9, 100%, $G$9) + CHOOSE(CONTROL!$C$38, 0.0342, 0)</f>
        <v>16.1051</v>
      </c>
      <c r="I62" s="14">
        <f>16.0724 * CHOOSE(CONTROL!$C$15, $E$9, 100%, $G$9) + CHOOSE(CONTROL!$C$38, 0.0342, 0)</f>
        <v>16.106599999999997</v>
      </c>
      <c r="J62" s="44">
        <f>92.9824</f>
        <v>92.982399999999998</v>
      </c>
    </row>
    <row r="63" spans="1:10" ht="15" x14ac:dyDescent="0.2">
      <c r="A63" s="13">
        <v>42826</v>
      </c>
      <c r="B63" s="14">
        <f>16.3061 * CHOOSE(CONTROL!$C$15, $E$9, 100%, $G$9) + CHOOSE(CONTROL!$C$38, 0.034, 0)</f>
        <v>16.3401</v>
      </c>
      <c r="C63" s="14">
        <f>15.5478 * CHOOSE(CONTROL!$C$15, $E$9, 100%, $G$9) + CHOOSE(CONTROL!$C$38, 0.0342, 0)</f>
        <v>15.582000000000001</v>
      </c>
      <c r="D63" s="14">
        <f>15.54 * CHOOSE(CONTROL!$C$15, $E$9, 100%, $G$9) + CHOOSE(CONTROL!$C$38, 0.0342, 0)</f>
        <v>15.574199999999999</v>
      </c>
      <c r="E63" s="14">
        <f>15.54 * CHOOSE(CONTROL!$C$15, $E$9, 100%, $G$9) + CHOOSE(CONTROL!$C$38, 0.0342, 0)</f>
        <v>15.574199999999999</v>
      </c>
      <c r="F63" s="45">
        <f>16.3061 * CHOOSE(CONTROL!$C$15, $E$9, 100%, $G$9) + CHOOSE(CONTROL!$C$38, 0.034, 0)</f>
        <v>16.3401</v>
      </c>
      <c r="G63" s="14">
        <f>15.5462 * CHOOSE(CONTROL!$C$15, $E$9, 100%, $G$9) + CHOOSE(CONTROL!$C$38, 0.0342, 0)</f>
        <v>15.580400000000001</v>
      </c>
      <c r="H63" s="14">
        <f>15.5462 * CHOOSE(CONTROL!$C$15, $E$9, 100%, $G$9) + CHOOSE(CONTROL!$C$38, 0.0342, 0)</f>
        <v>15.580400000000001</v>
      </c>
      <c r="I63" s="14">
        <f>15.5478 * CHOOSE(CONTROL!$C$15, $E$9, 100%, $G$9) + CHOOSE(CONTROL!$C$38, 0.0342, 0)</f>
        <v>15.582000000000001</v>
      </c>
      <c r="J63" s="44">
        <f>99.2232</f>
        <v>99.223200000000006</v>
      </c>
    </row>
    <row r="64" spans="1:10" ht="15" x14ac:dyDescent="0.2">
      <c r="A64" s="13">
        <v>42856</v>
      </c>
      <c r="B64" s="14">
        <f>15.7569 * CHOOSE(CONTROL!$C$15, $E$9, 100%, $G$9) + CHOOSE(CONTROL!$C$38, 0.0353, 0)</f>
        <v>15.792199999999999</v>
      </c>
      <c r="C64" s="14">
        <f>14.9973 * CHOOSE(CONTROL!$C$15, $E$9, 100%, $G$9) + CHOOSE(CONTROL!$C$38, 0.0354, 0)</f>
        <v>15.032699999999998</v>
      </c>
      <c r="D64" s="14">
        <f>14.9895 * CHOOSE(CONTROL!$C$15, $E$9, 100%, $G$9) + CHOOSE(CONTROL!$C$38, 0.0354, 0)</f>
        <v>15.024899999999999</v>
      </c>
      <c r="E64" s="14">
        <f>14.9895 * CHOOSE(CONTROL!$C$15, $E$9, 100%, $G$9) + CHOOSE(CONTROL!$C$38, 0.0354, 0)</f>
        <v>15.024899999999999</v>
      </c>
      <c r="F64" s="45">
        <f>15.7569 * CHOOSE(CONTROL!$C$15, $E$9, 100%, $G$9) + CHOOSE(CONTROL!$C$38, 0.0353, 0)</f>
        <v>15.792199999999999</v>
      </c>
      <c r="G64" s="14">
        <f>14.9957 * CHOOSE(CONTROL!$C$15, $E$9, 100%, $G$9) + CHOOSE(CONTROL!$C$38, 0.0354, 0)</f>
        <v>15.031099999999999</v>
      </c>
      <c r="H64" s="14">
        <f>14.9957 * CHOOSE(CONTROL!$C$15, $E$9, 100%, $G$9) + CHOOSE(CONTROL!$C$38, 0.0354, 0)</f>
        <v>15.031099999999999</v>
      </c>
      <c r="I64" s="14">
        <f>14.9973 * CHOOSE(CONTROL!$C$15, $E$9, 100%, $G$9) + CHOOSE(CONTROL!$C$38, 0.0354, 0)</f>
        <v>15.032699999999998</v>
      </c>
      <c r="J64" s="44">
        <f>102.7642</f>
        <v>102.7642</v>
      </c>
    </row>
    <row r="65" spans="1:10" ht="15" x14ac:dyDescent="0.2">
      <c r="A65" s="13">
        <v>42887</v>
      </c>
      <c r="B65" s="14">
        <f>15.3795 * CHOOSE(CONTROL!$C$15, $E$9, 100%, $G$9) + CHOOSE(CONTROL!$C$38, 0.0353, 0)</f>
        <v>15.4148</v>
      </c>
      <c r="C65" s="14">
        <f>14.6187 * CHOOSE(CONTROL!$C$15, $E$9, 100%, $G$9) + CHOOSE(CONTROL!$C$38, 0.0354, 0)</f>
        <v>14.6541</v>
      </c>
      <c r="D65" s="14">
        <f>14.6109 * CHOOSE(CONTROL!$C$15, $E$9, 100%, $G$9) + CHOOSE(CONTROL!$C$38, 0.0354, 0)</f>
        <v>14.6463</v>
      </c>
      <c r="E65" s="14">
        <f>14.6109 * CHOOSE(CONTROL!$C$15, $E$9, 100%, $G$9) + CHOOSE(CONTROL!$C$38, 0.0354, 0)</f>
        <v>14.6463</v>
      </c>
      <c r="F65" s="45">
        <f>15.3795 * CHOOSE(CONTROL!$C$15, $E$9, 100%, $G$9) + CHOOSE(CONTROL!$C$38, 0.0353, 0)</f>
        <v>15.4148</v>
      </c>
      <c r="G65" s="14">
        <f>14.6171 * CHOOSE(CONTROL!$C$15, $E$9, 100%, $G$9) + CHOOSE(CONTROL!$C$38, 0.0354, 0)</f>
        <v>14.6525</v>
      </c>
      <c r="H65" s="14">
        <f>14.6171 * CHOOSE(CONTROL!$C$15, $E$9, 100%, $G$9) + CHOOSE(CONTROL!$C$38, 0.0354, 0)</f>
        <v>14.6525</v>
      </c>
      <c r="I65" s="14">
        <f>14.6187 * CHOOSE(CONTROL!$C$15, $E$9, 100%, $G$9) + CHOOSE(CONTROL!$C$38, 0.0354, 0)</f>
        <v>14.6541</v>
      </c>
      <c r="J65" s="44">
        <f>104.4597</f>
        <v>104.4597</v>
      </c>
    </row>
    <row r="66" spans="1:10" ht="15" x14ac:dyDescent="0.2">
      <c r="A66" s="13">
        <v>42917</v>
      </c>
      <c r="B66" s="14">
        <f>15.1763 * CHOOSE(CONTROL!$C$15, $E$9, 100%, $G$9) + CHOOSE(CONTROL!$C$38, 0.0353, 0)</f>
        <v>15.211599999999999</v>
      </c>
      <c r="C66" s="14">
        <f>14.4143 * CHOOSE(CONTROL!$C$15, $E$9, 100%, $G$9) + CHOOSE(CONTROL!$C$38, 0.0354, 0)</f>
        <v>14.4497</v>
      </c>
      <c r="D66" s="14">
        <f>14.4064 * CHOOSE(CONTROL!$C$15, $E$9, 100%, $G$9) + CHOOSE(CONTROL!$C$38, 0.0354, 0)</f>
        <v>14.441799999999999</v>
      </c>
      <c r="E66" s="14">
        <f>14.4064 * CHOOSE(CONTROL!$C$15, $E$9, 100%, $G$9) + CHOOSE(CONTROL!$C$38, 0.0354, 0)</f>
        <v>14.441799999999999</v>
      </c>
      <c r="F66" s="45">
        <f>15.1763 * CHOOSE(CONTROL!$C$15, $E$9, 100%, $G$9) + CHOOSE(CONTROL!$C$38, 0.0353, 0)</f>
        <v>15.211599999999999</v>
      </c>
      <c r="G66" s="14">
        <f>14.4127 * CHOOSE(CONTROL!$C$15, $E$9, 100%, $G$9) + CHOOSE(CONTROL!$C$38, 0.0354, 0)</f>
        <v>14.448099999999998</v>
      </c>
      <c r="H66" s="14">
        <f>14.4127 * CHOOSE(CONTROL!$C$15, $E$9, 100%, $G$9) + CHOOSE(CONTROL!$C$38, 0.0354, 0)</f>
        <v>14.448099999999998</v>
      </c>
      <c r="I66" s="14">
        <f>14.4143 * CHOOSE(CONTROL!$C$15, $E$9, 100%, $G$9) + CHOOSE(CONTROL!$C$38, 0.0354, 0)</f>
        <v>14.4497</v>
      </c>
      <c r="J66" s="44">
        <f>104.1853</f>
        <v>104.1853</v>
      </c>
    </row>
    <row r="67" spans="1:10" ht="15" x14ac:dyDescent="0.2">
      <c r="A67" s="13">
        <v>42948</v>
      </c>
      <c r="B67" s="14">
        <f>15.3218 * CHOOSE(CONTROL!$C$15, $E$9, 100%, $G$9) + CHOOSE(CONTROL!$C$38, 0.0353, 0)</f>
        <v>15.357099999999999</v>
      </c>
      <c r="C67" s="14">
        <f>14.5585 * CHOOSE(CONTROL!$C$15, $E$9, 100%, $G$9) + CHOOSE(CONTROL!$C$38, 0.0354, 0)</f>
        <v>14.5939</v>
      </c>
      <c r="D67" s="14">
        <f>14.5507 * CHOOSE(CONTROL!$C$15, $E$9, 100%, $G$9) + CHOOSE(CONTROL!$C$38, 0.0354, 0)</f>
        <v>14.5861</v>
      </c>
      <c r="E67" s="14">
        <f>14.5507 * CHOOSE(CONTROL!$C$15, $E$9, 100%, $G$9) + CHOOSE(CONTROL!$C$38, 0.0354, 0)</f>
        <v>14.5861</v>
      </c>
      <c r="F67" s="45">
        <f>15.3218 * CHOOSE(CONTROL!$C$15, $E$9, 100%, $G$9) + CHOOSE(CONTROL!$C$38, 0.0353, 0)</f>
        <v>15.357099999999999</v>
      </c>
      <c r="G67" s="14">
        <f>14.557 * CHOOSE(CONTROL!$C$15, $E$9, 100%, $G$9) + CHOOSE(CONTROL!$C$38, 0.0354, 0)</f>
        <v>14.5924</v>
      </c>
      <c r="H67" s="14">
        <f>14.557 * CHOOSE(CONTROL!$C$15, $E$9, 100%, $G$9) + CHOOSE(CONTROL!$C$38, 0.0354, 0)</f>
        <v>14.5924</v>
      </c>
      <c r="I67" s="14">
        <f>14.5585 * CHOOSE(CONTROL!$C$15, $E$9, 100%, $G$9) + CHOOSE(CONTROL!$C$38, 0.0354, 0)</f>
        <v>14.5939</v>
      </c>
      <c r="J67" s="44">
        <f>101.9695</f>
        <v>101.9695</v>
      </c>
    </row>
    <row r="68" spans="1:10" ht="15" x14ac:dyDescent="0.2">
      <c r="A68" s="13">
        <v>42979</v>
      </c>
      <c r="B68" s="14">
        <f>15.6666 * CHOOSE(CONTROL!$C$15, $E$9, 100%, $G$9) + CHOOSE(CONTROL!$C$38, 0.0353, 0)</f>
        <v>15.7019</v>
      </c>
      <c r="C68" s="14">
        <f>14.902 * CHOOSE(CONTROL!$C$15, $E$9, 100%, $G$9) + CHOOSE(CONTROL!$C$38, 0.0354, 0)</f>
        <v>14.937399999999998</v>
      </c>
      <c r="D68" s="14">
        <f>14.8942 * CHOOSE(CONTROL!$C$15, $E$9, 100%, $G$9) + CHOOSE(CONTROL!$C$38, 0.0354, 0)</f>
        <v>14.929599999999999</v>
      </c>
      <c r="E68" s="14">
        <f>14.8942 * CHOOSE(CONTROL!$C$15, $E$9, 100%, $G$9) + CHOOSE(CONTROL!$C$38, 0.0354, 0)</f>
        <v>14.929599999999999</v>
      </c>
      <c r="F68" s="45">
        <f>15.6666 * CHOOSE(CONTROL!$C$15, $E$9, 100%, $G$9) + CHOOSE(CONTROL!$C$38, 0.0353, 0)</f>
        <v>15.7019</v>
      </c>
      <c r="G68" s="14">
        <f>14.9005 * CHOOSE(CONTROL!$C$15, $E$9, 100%, $G$9) + CHOOSE(CONTROL!$C$38, 0.0354, 0)</f>
        <v>14.935899999999998</v>
      </c>
      <c r="H68" s="14">
        <f>14.9005 * CHOOSE(CONTROL!$C$15, $E$9, 100%, $G$9) + CHOOSE(CONTROL!$C$38, 0.0354, 0)</f>
        <v>14.935899999999998</v>
      </c>
      <c r="I68" s="14">
        <f>14.902 * CHOOSE(CONTROL!$C$15, $E$9, 100%, $G$9) + CHOOSE(CONTROL!$C$38, 0.0354, 0)</f>
        <v>14.937399999999998</v>
      </c>
      <c r="J68" s="44">
        <f>98.7833</f>
        <v>98.783299999999997</v>
      </c>
    </row>
    <row r="69" spans="1:10" ht="15" x14ac:dyDescent="0.2">
      <c r="A69" s="13">
        <v>43009</v>
      </c>
      <c r="B69" s="14">
        <f>15.9615 * CHOOSE(CONTROL!$C$15, $E$9, 100%, $G$9) + CHOOSE(CONTROL!$C$38, 0.034, 0)</f>
        <v>15.9955</v>
      </c>
      <c r="C69" s="14">
        <f>15.1957 * CHOOSE(CONTROL!$C$15, $E$9, 100%, $G$9) + CHOOSE(CONTROL!$C$38, 0.0342, 0)</f>
        <v>15.229900000000001</v>
      </c>
      <c r="D69" s="14">
        <f>15.1879 * CHOOSE(CONTROL!$C$15, $E$9, 100%, $G$9) + CHOOSE(CONTROL!$C$38, 0.0342, 0)</f>
        <v>15.222100000000001</v>
      </c>
      <c r="E69" s="14">
        <f>15.1879 * CHOOSE(CONTROL!$C$15, $E$9, 100%, $G$9) + CHOOSE(CONTROL!$C$38, 0.0342, 0)</f>
        <v>15.222100000000001</v>
      </c>
      <c r="F69" s="45">
        <f>15.9615 * CHOOSE(CONTROL!$C$15, $E$9, 100%, $G$9) + CHOOSE(CONTROL!$C$38, 0.034, 0)</f>
        <v>15.9955</v>
      </c>
      <c r="G69" s="14">
        <f>15.1941 * CHOOSE(CONTROL!$C$15, $E$9, 100%, $G$9) + CHOOSE(CONTROL!$C$38, 0.0342, 0)</f>
        <v>15.228300000000001</v>
      </c>
      <c r="H69" s="14">
        <f>15.1941 * CHOOSE(CONTROL!$C$15, $E$9, 100%, $G$9) + CHOOSE(CONTROL!$C$38, 0.0342, 0)</f>
        <v>15.228300000000001</v>
      </c>
      <c r="I69" s="14">
        <f>15.1957 * CHOOSE(CONTROL!$C$15, $E$9, 100%, $G$9) + CHOOSE(CONTROL!$C$38, 0.0342, 0)</f>
        <v>15.229900000000001</v>
      </c>
      <c r="J69" s="44">
        <f>95.5637</f>
        <v>95.563699999999997</v>
      </c>
    </row>
    <row r="70" spans="1:10" ht="15" x14ac:dyDescent="0.2">
      <c r="A70" s="13">
        <v>43040</v>
      </c>
      <c r="B70" s="14">
        <f>16.2138 * CHOOSE(CONTROL!$C$15, $E$9, 100%, $G$9) + CHOOSE(CONTROL!$C$38, 0.034, 0)</f>
        <v>16.247799999999998</v>
      </c>
      <c r="C70" s="14">
        <f>15.4467 * CHOOSE(CONTROL!$C$15, $E$9, 100%, $G$9) + CHOOSE(CONTROL!$C$38, 0.0342, 0)</f>
        <v>15.4809</v>
      </c>
      <c r="D70" s="14">
        <f>15.4389 * CHOOSE(CONTROL!$C$15, $E$9, 100%, $G$9) + CHOOSE(CONTROL!$C$38, 0.0342, 0)</f>
        <v>15.473100000000001</v>
      </c>
      <c r="E70" s="14">
        <f>15.4389 * CHOOSE(CONTROL!$C$15, $E$9, 100%, $G$9) + CHOOSE(CONTROL!$C$38, 0.0342, 0)</f>
        <v>15.473100000000001</v>
      </c>
      <c r="F70" s="45">
        <f>16.2138 * CHOOSE(CONTROL!$C$15, $E$9, 100%, $G$9) + CHOOSE(CONTROL!$C$38, 0.034, 0)</f>
        <v>16.247799999999998</v>
      </c>
      <c r="G70" s="14">
        <f>15.4451 * CHOOSE(CONTROL!$C$15, $E$9, 100%, $G$9) + CHOOSE(CONTROL!$C$38, 0.0342, 0)</f>
        <v>15.4793</v>
      </c>
      <c r="H70" s="14">
        <f>15.4451 * CHOOSE(CONTROL!$C$15, $E$9, 100%, $G$9) + CHOOSE(CONTROL!$C$38, 0.0342, 0)</f>
        <v>15.4793</v>
      </c>
      <c r="I70" s="14">
        <f>15.4467 * CHOOSE(CONTROL!$C$15, $E$9, 100%, $G$9) + CHOOSE(CONTROL!$C$38, 0.0342, 0)</f>
        <v>15.4809</v>
      </c>
      <c r="J70" s="44">
        <f>95.0782</f>
        <v>95.078199999999995</v>
      </c>
    </row>
    <row r="71" spans="1:10" ht="15" x14ac:dyDescent="0.2">
      <c r="A71" s="13">
        <v>43070</v>
      </c>
      <c r="B71" s="14">
        <f>16.9273 * CHOOSE(CONTROL!$C$15, $E$9, 100%, $G$9) + CHOOSE(CONTROL!$C$38, 0.034, 0)</f>
        <v>16.961299999999998</v>
      </c>
      <c r="C71" s="14">
        <f>16.1589 * CHOOSE(CONTROL!$C$15, $E$9, 100%, $G$9) + CHOOSE(CONTROL!$C$38, 0.0342, 0)</f>
        <v>16.193099999999998</v>
      </c>
      <c r="D71" s="14">
        <f>16.1511 * CHOOSE(CONTROL!$C$15, $E$9, 100%, $G$9) + CHOOSE(CONTROL!$C$38, 0.0342, 0)</f>
        <v>16.185299999999998</v>
      </c>
      <c r="E71" s="14">
        <f>16.1511 * CHOOSE(CONTROL!$C$15, $E$9, 100%, $G$9) + CHOOSE(CONTROL!$C$38, 0.0342, 0)</f>
        <v>16.185299999999998</v>
      </c>
      <c r="F71" s="45">
        <f>16.9273 * CHOOSE(CONTROL!$C$15, $E$9, 100%, $G$9) + CHOOSE(CONTROL!$C$38, 0.034, 0)</f>
        <v>16.961299999999998</v>
      </c>
      <c r="G71" s="14">
        <f>16.1574 * CHOOSE(CONTROL!$C$15, $E$9, 100%, $G$9) + CHOOSE(CONTROL!$C$38, 0.0342, 0)</f>
        <v>16.191599999999998</v>
      </c>
      <c r="H71" s="14">
        <f>16.1574 * CHOOSE(CONTROL!$C$15, $E$9, 100%, $G$9) + CHOOSE(CONTROL!$C$38, 0.0342, 0)</f>
        <v>16.191599999999998</v>
      </c>
      <c r="I71" s="14">
        <f>16.1589 * CHOOSE(CONTROL!$C$15, $E$9, 100%, $G$9) + CHOOSE(CONTROL!$C$38, 0.0342, 0)</f>
        <v>16.193099999999998</v>
      </c>
      <c r="J71" s="44">
        <f>92.4468</f>
        <v>92.446799999999996</v>
      </c>
    </row>
    <row r="72" spans="1:10" ht="15" x14ac:dyDescent="0.2">
      <c r="A72" s="13">
        <v>43101</v>
      </c>
      <c r="B72" s="14">
        <f>18.2277 * CHOOSE(CONTROL!$C$15, $E$9, 100%, $G$9) + CHOOSE(CONTROL!$C$38, 0.034, 0)</f>
        <v>18.261699999999998</v>
      </c>
      <c r="C72" s="14">
        <f>17.7557 * CHOOSE(CONTROL!$C$15, $E$9, 100%, $G$9) + CHOOSE(CONTROL!$C$38, 0.0342, 0)</f>
        <v>17.789899999999999</v>
      </c>
      <c r="D72" s="14">
        <f>17.7479 * CHOOSE(CONTROL!$C$15, $E$9, 100%, $G$9) + CHOOSE(CONTROL!$C$38, 0.0342, 0)</f>
        <v>17.7821</v>
      </c>
      <c r="E72" s="14">
        <f>17.7479 * CHOOSE(CONTROL!$C$15, $E$9, 100%, $G$9) + CHOOSE(CONTROL!$C$38, 0.0342, 0)</f>
        <v>17.7821</v>
      </c>
      <c r="F72" s="45">
        <f>18.2277 * CHOOSE(CONTROL!$C$15, $E$9, 100%, $G$9) + CHOOSE(CONTROL!$C$38, 0.034, 0)</f>
        <v>18.261699999999998</v>
      </c>
      <c r="G72" s="14">
        <f>17.7542 * CHOOSE(CONTROL!$C$15, $E$9, 100%, $G$9) + CHOOSE(CONTROL!$C$38, 0.0342, 0)</f>
        <v>17.788399999999999</v>
      </c>
      <c r="H72" s="14">
        <f>17.7542 * CHOOSE(CONTROL!$C$15, $E$9, 100%, $G$9) + CHOOSE(CONTROL!$C$38, 0.0342, 0)</f>
        <v>17.788399999999999</v>
      </c>
      <c r="I72" s="14">
        <f>17.7557 * CHOOSE(CONTROL!$C$15, $E$9, 100%, $G$9) + CHOOSE(CONTROL!$C$38, 0.0342, 0)</f>
        <v>17.789899999999999</v>
      </c>
      <c r="J72" s="44">
        <f>100.9401</f>
        <v>100.9401</v>
      </c>
    </row>
    <row r="73" spans="1:10" ht="15" x14ac:dyDescent="0.2">
      <c r="A73" s="13">
        <v>43132</v>
      </c>
      <c r="B73" s="14">
        <f>18.5174 * CHOOSE(CONTROL!$C$15, $E$9, 100%, $G$9) + CHOOSE(CONTROL!$C$38, 0.034, 0)</f>
        <v>18.551399999999997</v>
      </c>
      <c r="C73" s="14">
        <f>18.0447 * CHOOSE(CONTROL!$C$15, $E$9, 100%, $G$9) + CHOOSE(CONTROL!$C$38, 0.0342, 0)</f>
        <v>18.078899999999997</v>
      </c>
      <c r="D73" s="14">
        <f>18.0369 * CHOOSE(CONTROL!$C$15, $E$9, 100%, $G$9) + CHOOSE(CONTROL!$C$38, 0.0342, 0)</f>
        <v>18.071099999999998</v>
      </c>
      <c r="E73" s="14">
        <f>18.0369 * CHOOSE(CONTROL!$C$15, $E$9, 100%, $G$9) + CHOOSE(CONTROL!$C$38, 0.0342, 0)</f>
        <v>18.071099999999998</v>
      </c>
      <c r="F73" s="45">
        <f>18.5174 * CHOOSE(CONTROL!$C$15, $E$9, 100%, $G$9) + CHOOSE(CONTROL!$C$38, 0.034, 0)</f>
        <v>18.551399999999997</v>
      </c>
      <c r="G73" s="14">
        <f>18.0432 * CHOOSE(CONTROL!$C$15, $E$9, 100%, $G$9) + CHOOSE(CONTROL!$C$38, 0.0342, 0)</f>
        <v>18.077399999999997</v>
      </c>
      <c r="H73" s="14">
        <f>18.0432 * CHOOSE(CONTROL!$C$15, $E$9, 100%, $G$9) + CHOOSE(CONTROL!$C$38, 0.0342, 0)</f>
        <v>18.077399999999997</v>
      </c>
      <c r="I73" s="14">
        <f>18.0447 * CHOOSE(CONTROL!$C$15, $E$9, 100%, $G$9) + CHOOSE(CONTROL!$C$38, 0.0342, 0)</f>
        <v>18.078899999999997</v>
      </c>
      <c r="J73" s="44">
        <f>100.8669</f>
        <v>100.8669</v>
      </c>
    </row>
    <row r="74" spans="1:10" ht="15" x14ac:dyDescent="0.2">
      <c r="A74" s="13">
        <v>43160</v>
      </c>
      <c r="B74" s="14">
        <f>17.9665 * CHOOSE(CONTROL!$C$15, $E$9, 100%, $G$9) + CHOOSE(CONTROL!$C$38, 0.034, 0)</f>
        <v>18.000499999999999</v>
      </c>
      <c r="C74" s="14">
        <f>17.4932 * CHOOSE(CONTROL!$C$15, $E$9, 100%, $G$9) + CHOOSE(CONTROL!$C$38, 0.0342, 0)</f>
        <v>17.5274</v>
      </c>
      <c r="D74" s="14">
        <f>17.4854 * CHOOSE(CONTROL!$C$15, $E$9, 100%, $G$9) + CHOOSE(CONTROL!$C$38, 0.0342, 0)</f>
        <v>17.519599999999997</v>
      </c>
      <c r="E74" s="14">
        <f>17.4854 * CHOOSE(CONTROL!$C$15, $E$9, 100%, $G$9) + CHOOSE(CONTROL!$C$38, 0.0342, 0)</f>
        <v>17.519599999999997</v>
      </c>
      <c r="F74" s="45">
        <f>17.9665 * CHOOSE(CONTROL!$C$15, $E$9, 100%, $G$9) + CHOOSE(CONTROL!$C$38, 0.034, 0)</f>
        <v>18.000499999999999</v>
      </c>
      <c r="G74" s="14">
        <f>17.4916 * CHOOSE(CONTROL!$C$15, $E$9, 100%, $G$9) + CHOOSE(CONTROL!$C$38, 0.0342, 0)</f>
        <v>17.525799999999997</v>
      </c>
      <c r="H74" s="14">
        <f>17.4916 * CHOOSE(CONTROL!$C$15, $E$9, 100%, $G$9) + CHOOSE(CONTROL!$C$38, 0.0342, 0)</f>
        <v>17.525799999999997</v>
      </c>
      <c r="I74" s="14">
        <f>17.4932 * CHOOSE(CONTROL!$C$15, $E$9, 100%, $G$9) + CHOOSE(CONTROL!$C$38, 0.0342, 0)</f>
        <v>17.5274</v>
      </c>
      <c r="J74" s="44">
        <f>106.4019</f>
        <v>106.4019</v>
      </c>
    </row>
    <row r="75" spans="1:10" ht="15" x14ac:dyDescent="0.2">
      <c r="A75" s="13">
        <v>43191</v>
      </c>
      <c r="B75" s="14">
        <f>17.4315 * CHOOSE(CONTROL!$C$15, $E$9, 100%, $G$9) + CHOOSE(CONTROL!$C$38, 0.034, 0)</f>
        <v>17.465499999999999</v>
      </c>
      <c r="C75" s="14">
        <f>16.9575 * CHOOSE(CONTROL!$C$15, $E$9, 100%, $G$9) + CHOOSE(CONTROL!$C$38, 0.0342, 0)</f>
        <v>16.991699999999998</v>
      </c>
      <c r="D75" s="14">
        <f>16.9497 * CHOOSE(CONTROL!$C$15, $E$9, 100%, $G$9) + CHOOSE(CONTROL!$C$38, 0.0342, 0)</f>
        <v>16.983899999999998</v>
      </c>
      <c r="E75" s="14">
        <f>16.9497 * CHOOSE(CONTROL!$C$15, $E$9, 100%, $G$9) + CHOOSE(CONTROL!$C$38, 0.0342, 0)</f>
        <v>16.983899999999998</v>
      </c>
      <c r="F75" s="45">
        <f>17.4315 * CHOOSE(CONTROL!$C$15, $E$9, 100%, $G$9) + CHOOSE(CONTROL!$C$38, 0.034, 0)</f>
        <v>17.465499999999999</v>
      </c>
      <c r="G75" s="14">
        <f>16.956 * CHOOSE(CONTROL!$C$15, $E$9, 100%, $G$9) + CHOOSE(CONTROL!$C$38, 0.0342, 0)</f>
        <v>16.990199999999998</v>
      </c>
      <c r="H75" s="14">
        <f>16.956 * CHOOSE(CONTROL!$C$15, $E$9, 100%, $G$9) + CHOOSE(CONTROL!$C$38, 0.0342, 0)</f>
        <v>16.990199999999998</v>
      </c>
      <c r="I75" s="14">
        <f>16.9575 * CHOOSE(CONTROL!$C$15, $E$9, 100%, $G$9) + CHOOSE(CONTROL!$C$38, 0.0342, 0)</f>
        <v>16.991699999999998</v>
      </c>
      <c r="J75" s="44">
        <f>113.5434</f>
        <v>113.54340000000001</v>
      </c>
    </row>
    <row r="76" spans="1:10" ht="15" x14ac:dyDescent="0.2">
      <c r="A76" s="13">
        <v>43221</v>
      </c>
      <c r="B76" s="14">
        <f>16.8701 * CHOOSE(CONTROL!$C$15, $E$9, 100%, $G$9) + CHOOSE(CONTROL!$C$38, 0.0353, 0)</f>
        <v>16.9054</v>
      </c>
      <c r="C76" s="14">
        <f>16.3954 * CHOOSE(CONTROL!$C$15, $E$9, 100%, $G$9) + CHOOSE(CONTROL!$C$38, 0.0354, 0)</f>
        <v>16.430799999999998</v>
      </c>
      <c r="D76" s="14">
        <f>16.3876 * CHOOSE(CONTROL!$C$15, $E$9, 100%, $G$9) + CHOOSE(CONTROL!$C$38, 0.0354, 0)</f>
        <v>16.422999999999998</v>
      </c>
      <c r="E76" s="14">
        <f>16.3876 * CHOOSE(CONTROL!$C$15, $E$9, 100%, $G$9) + CHOOSE(CONTROL!$C$38, 0.0354, 0)</f>
        <v>16.422999999999998</v>
      </c>
      <c r="F76" s="45">
        <f>16.8701 * CHOOSE(CONTROL!$C$15, $E$9, 100%, $G$9) + CHOOSE(CONTROL!$C$38, 0.0353, 0)</f>
        <v>16.9054</v>
      </c>
      <c r="G76" s="14">
        <f>16.3939 * CHOOSE(CONTROL!$C$15, $E$9, 100%, $G$9) + CHOOSE(CONTROL!$C$38, 0.0354, 0)</f>
        <v>16.429299999999998</v>
      </c>
      <c r="H76" s="14">
        <f>16.3939 * CHOOSE(CONTROL!$C$15, $E$9, 100%, $G$9) + CHOOSE(CONTROL!$C$38, 0.0354, 0)</f>
        <v>16.429299999999998</v>
      </c>
      <c r="I76" s="14">
        <f>16.3954 * CHOOSE(CONTROL!$C$15, $E$9, 100%, $G$9) + CHOOSE(CONTROL!$C$38, 0.0354, 0)</f>
        <v>16.430799999999998</v>
      </c>
      <c r="J76" s="44">
        <f>117.5955</f>
        <v>117.5955</v>
      </c>
    </row>
    <row r="77" spans="1:10" ht="15" x14ac:dyDescent="0.2">
      <c r="A77" s="13">
        <v>43252</v>
      </c>
      <c r="B77" s="14">
        <f>16.4848 * CHOOSE(CONTROL!$C$15, $E$9, 100%, $G$9) + CHOOSE(CONTROL!$C$38, 0.0353, 0)</f>
        <v>16.520099999999999</v>
      </c>
      <c r="C77" s="14">
        <f>16.0095 * CHOOSE(CONTROL!$C$15, $E$9, 100%, $G$9) + CHOOSE(CONTROL!$C$38, 0.0354, 0)</f>
        <v>16.044899999999998</v>
      </c>
      <c r="D77" s="14">
        <f>16.0017 * CHOOSE(CONTROL!$C$15, $E$9, 100%, $G$9) + CHOOSE(CONTROL!$C$38, 0.0354, 0)</f>
        <v>16.037099999999999</v>
      </c>
      <c r="E77" s="14">
        <f>16.0017 * CHOOSE(CONTROL!$C$15, $E$9, 100%, $G$9) + CHOOSE(CONTROL!$C$38, 0.0354, 0)</f>
        <v>16.037099999999999</v>
      </c>
      <c r="F77" s="45">
        <f>16.4848 * CHOOSE(CONTROL!$C$15, $E$9, 100%, $G$9) + CHOOSE(CONTROL!$C$38, 0.0353, 0)</f>
        <v>16.520099999999999</v>
      </c>
      <c r="G77" s="14">
        <f>16.008 * CHOOSE(CONTROL!$C$15, $E$9, 100%, $G$9) + CHOOSE(CONTROL!$C$38, 0.0354, 0)</f>
        <v>16.043399999999998</v>
      </c>
      <c r="H77" s="14">
        <f>16.008 * CHOOSE(CONTROL!$C$15, $E$9, 100%, $G$9) + CHOOSE(CONTROL!$C$38, 0.0354, 0)</f>
        <v>16.043399999999998</v>
      </c>
      <c r="I77" s="14">
        <f>16.0095 * CHOOSE(CONTROL!$C$15, $E$9, 100%, $G$9) + CHOOSE(CONTROL!$C$38, 0.0354, 0)</f>
        <v>16.044899999999998</v>
      </c>
      <c r="J77" s="44">
        <f>119.5356</f>
        <v>119.5356</v>
      </c>
    </row>
    <row r="78" spans="1:10" ht="15" x14ac:dyDescent="0.2">
      <c r="A78" s="13">
        <v>43282</v>
      </c>
      <c r="B78" s="14">
        <f>16.278 * CHOOSE(CONTROL!$C$15, $E$9, 100%, $G$9) + CHOOSE(CONTROL!$C$38, 0.0353, 0)</f>
        <v>16.313299999999998</v>
      </c>
      <c r="C78" s="14">
        <f>15.8021 * CHOOSE(CONTROL!$C$15, $E$9, 100%, $G$9) + CHOOSE(CONTROL!$C$38, 0.0354, 0)</f>
        <v>15.837499999999999</v>
      </c>
      <c r="D78" s="14">
        <f>15.7943 * CHOOSE(CONTROL!$C$15, $E$9, 100%, $G$9) + CHOOSE(CONTROL!$C$38, 0.0354, 0)</f>
        <v>15.829699999999999</v>
      </c>
      <c r="E78" s="14">
        <f>15.7943 * CHOOSE(CONTROL!$C$15, $E$9, 100%, $G$9) + CHOOSE(CONTROL!$C$38, 0.0354, 0)</f>
        <v>15.829699999999999</v>
      </c>
      <c r="F78" s="45">
        <f>16.278 * CHOOSE(CONTROL!$C$15, $E$9, 100%, $G$9) + CHOOSE(CONTROL!$C$38, 0.0353, 0)</f>
        <v>16.313299999999998</v>
      </c>
      <c r="G78" s="14">
        <f>15.8005 * CHOOSE(CONTROL!$C$15, $E$9, 100%, $G$9) + CHOOSE(CONTROL!$C$38, 0.0354, 0)</f>
        <v>15.835899999999999</v>
      </c>
      <c r="H78" s="14">
        <f>15.8005 * CHOOSE(CONTROL!$C$15, $E$9, 100%, $G$9) + CHOOSE(CONTROL!$C$38, 0.0354, 0)</f>
        <v>15.835899999999999</v>
      </c>
      <c r="I78" s="14">
        <f>15.8021 * CHOOSE(CONTROL!$C$15, $E$9, 100%, $G$9) + CHOOSE(CONTROL!$C$38, 0.0354, 0)</f>
        <v>15.837499999999999</v>
      </c>
      <c r="J78" s="44">
        <f>119.2216</f>
        <v>119.2216</v>
      </c>
    </row>
    <row r="79" spans="1:10" ht="15" x14ac:dyDescent="0.2">
      <c r="A79" s="13">
        <v>43313</v>
      </c>
      <c r="B79" s="14">
        <f>16.4287 * CHOOSE(CONTROL!$C$15, $E$9, 100%, $G$9) + CHOOSE(CONTROL!$C$38, 0.0353, 0)</f>
        <v>16.463999999999999</v>
      </c>
      <c r="C79" s="14">
        <f>15.9521 * CHOOSE(CONTROL!$C$15, $E$9, 100%, $G$9) + CHOOSE(CONTROL!$C$38, 0.0354, 0)</f>
        <v>15.987499999999999</v>
      </c>
      <c r="D79" s="14">
        <f>15.9443 * CHOOSE(CONTROL!$C$15, $E$9, 100%, $G$9) + CHOOSE(CONTROL!$C$38, 0.0354, 0)</f>
        <v>15.979699999999999</v>
      </c>
      <c r="E79" s="14">
        <f>15.9443 * CHOOSE(CONTROL!$C$15, $E$9, 100%, $G$9) + CHOOSE(CONTROL!$C$38, 0.0354, 0)</f>
        <v>15.979699999999999</v>
      </c>
      <c r="F79" s="45">
        <f>16.4287 * CHOOSE(CONTROL!$C$15, $E$9, 100%, $G$9) + CHOOSE(CONTROL!$C$38, 0.0353, 0)</f>
        <v>16.463999999999999</v>
      </c>
      <c r="G79" s="14">
        <f>15.9505 * CHOOSE(CONTROL!$C$15, $E$9, 100%, $G$9) + CHOOSE(CONTROL!$C$38, 0.0354, 0)</f>
        <v>15.985899999999999</v>
      </c>
      <c r="H79" s="14">
        <f>15.9505 * CHOOSE(CONTROL!$C$15, $E$9, 100%, $G$9) + CHOOSE(CONTROL!$C$38, 0.0354, 0)</f>
        <v>15.985899999999999</v>
      </c>
      <c r="I79" s="14">
        <f>15.9521 * CHOOSE(CONTROL!$C$15, $E$9, 100%, $G$9) + CHOOSE(CONTROL!$C$38, 0.0354, 0)</f>
        <v>15.987499999999999</v>
      </c>
      <c r="J79" s="44">
        <f>116.6861</f>
        <v>116.6861</v>
      </c>
    </row>
    <row r="80" spans="1:10" ht="15" x14ac:dyDescent="0.2">
      <c r="A80" s="13">
        <v>43344</v>
      </c>
      <c r="B80" s="14">
        <f>16.7836 * CHOOSE(CONTROL!$C$15, $E$9, 100%, $G$9) + CHOOSE(CONTROL!$C$38, 0.0353, 0)</f>
        <v>16.818899999999999</v>
      </c>
      <c r="C80" s="14">
        <f>16.3063 * CHOOSE(CONTROL!$C$15, $E$9, 100%, $G$9) + CHOOSE(CONTROL!$C$38, 0.0354, 0)</f>
        <v>16.341699999999999</v>
      </c>
      <c r="D80" s="14">
        <f>16.2985 * CHOOSE(CONTROL!$C$15, $E$9, 100%, $G$9) + CHOOSE(CONTROL!$C$38, 0.0354, 0)</f>
        <v>16.3339</v>
      </c>
      <c r="E80" s="14">
        <f>16.2985 * CHOOSE(CONTROL!$C$15, $E$9, 100%, $G$9) + CHOOSE(CONTROL!$C$38, 0.0354, 0)</f>
        <v>16.3339</v>
      </c>
      <c r="F80" s="45">
        <f>16.7836 * CHOOSE(CONTROL!$C$15, $E$9, 100%, $G$9) + CHOOSE(CONTROL!$C$38, 0.0353, 0)</f>
        <v>16.818899999999999</v>
      </c>
      <c r="G80" s="14">
        <f>16.3048 * CHOOSE(CONTROL!$C$15, $E$9, 100%, $G$9) + CHOOSE(CONTROL!$C$38, 0.0354, 0)</f>
        <v>16.340199999999999</v>
      </c>
      <c r="H80" s="14">
        <f>16.3048 * CHOOSE(CONTROL!$C$15, $E$9, 100%, $G$9) + CHOOSE(CONTROL!$C$38, 0.0354, 0)</f>
        <v>16.340199999999999</v>
      </c>
      <c r="I80" s="14">
        <f>16.3063 * CHOOSE(CONTROL!$C$15, $E$9, 100%, $G$9) + CHOOSE(CONTROL!$C$38, 0.0354, 0)</f>
        <v>16.341699999999999</v>
      </c>
      <c r="J80" s="44">
        <f>113.04</f>
        <v>113.04</v>
      </c>
    </row>
    <row r="81" spans="1:10" ht="15" x14ac:dyDescent="0.2">
      <c r="A81" s="13">
        <v>43374</v>
      </c>
      <c r="B81" s="14">
        <f>17.0874 * CHOOSE(CONTROL!$C$15, $E$9, 100%, $G$9) + CHOOSE(CONTROL!$C$38, 0.034, 0)</f>
        <v>17.121399999999998</v>
      </c>
      <c r="C81" s="14">
        <f>16.6095 * CHOOSE(CONTROL!$C$15, $E$9, 100%, $G$9) + CHOOSE(CONTROL!$C$38, 0.0342, 0)</f>
        <v>16.643699999999999</v>
      </c>
      <c r="D81" s="14">
        <f>16.6017 * CHOOSE(CONTROL!$C$15, $E$9, 100%, $G$9) + CHOOSE(CONTROL!$C$38, 0.0342, 0)</f>
        <v>16.635899999999999</v>
      </c>
      <c r="E81" s="14">
        <f>16.6017 * CHOOSE(CONTROL!$C$15, $E$9, 100%, $G$9) + CHOOSE(CONTROL!$C$38, 0.0342, 0)</f>
        <v>16.635899999999999</v>
      </c>
      <c r="F81" s="45">
        <f>17.0874 * CHOOSE(CONTROL!$C$15, $E$9, 100%, $G$9) + CHOOSE(CONTROL!$C$38, 0.034, 0)</f>
        <v>17.121399999999998</v>
      </c>
      <c r="G81" s="14">
        <f>16.6079 * CHOOSE(CONTROL!$C$15, $E$9, 100%, $G$9) + CHOOSE(CONTROL!$C$38, 0.0342, 0)</f>
        <v>16.642099999999999</v>
      </c>
      <c r="H81" s="14">
        <f>16.6079 * CHOOSE(CONTROL!$C$15, $E$9, 100%, $G$9) + CHOOSE(CONTROL!$C$38, 0.0342, 0)</f>
        <v>16.642099999999999</v>
      </c>
      <c r="I81" s="14">
        <f>16.6095 * CHOOSE(CONTROL!$C$15, $E$9, 100%, $G$9) + CHOOSE(CONTROL!$C$38, 0.0342, 0)</f>
        <v>16.643699999999999</v>
      </c>
      <c r="J81" s="44">
        <f>109.3557</f>
        <v>109.3557</v>
      </c>
    </row>
    <row r="82" spans="1:10" ht="15" x14ac:dyDescent="0.2">
      <c r="A82" s="13">
        <v>43405</v>
      </c>
      <c r="B82" s="14">
        <f>17.3475 * CHOOSE(CONTROL!$C$15, $E$9, 100%, $G$9) + CHOOSE(CONTROL!$C$38, 0.034, 0)</f>
        <v>17.381499999999999</v>
      </c>
      <c r="C82" s="14">
        <f>16.8689 * CHOOSE(CONTROL!$C$15, $E$9, 100%, $G$9) + CHOOSE(CONTROL!$C$38, 0.0342, 0)</f>
        <v>16.903099999999998</v>
      </c>
      <c r="D82" s="14">
        <f>16.8611 * CHOOSE(CONTROL!$C$15, $E$9, 100%, $G$9) + CHOOSE(CONTROL!$C$38, 0.0342, 0)</f>
        <v>16.895299999999999</v>
      </c>
      <c r="E82" s="14">
        <f>16.8611 * CHOOSE(CONTROL!$C$15, $E$9, 100%, $G$9) + CHOOSE(CONTROL!$C$38, 0.0342, 0)</f>
        <v>16.895299999999999</v>
      </c>
      <c r="F82" s="45">
        <f>17.3475 * CHOOSE(CONTROL!$C$15, $E$9, 100%, $G$9) + CHOOSE(CONTROL!$C$38, 0.034, 0)</f>
        <v>17.381499999999999</v>
      </c>
      <c r="G82" s="14">
        <f>16.8674 * CHOOSE(CONTROL!$C$15, $E$9, 100%, $G$9) + CHOOSE(CONTROL!$C$38, 0.0342, 0)</f>
        <v>16.901599999999998</v>
      </c>
      <c r="H82" s="14">
        <f>16.8674 * CHOOSE(CONTROL!$C$15, $E$9, 100%, $G$9) + CHOOSE(CONTROL!$C$38, 0.0342, 0)</f>
        <v>16.901599999999998</v>
      </c>
      <c r="I82" s="14">
        <f>16.8689 * CHOOSE(CONTROL!$C$15, $E$9, 100%, $G$9) + CHOOSE(CONTROL!$C$38, 0.0342, 0)</f>
        <v>16.903099999999998</v>
      </c>
      <c r="J82" s="44">
        <f>108.8002</f>
        <v>108.8002</v>
      </c>
    </row>
    <row r="83" spans="1:10" ht="15" x14ac:dyDescent="0.2">
      <c r="A83" s="13">
        <v>43435</v>
      </c>
      <c r="B83" s="14">
        <f>18.0804 * CHOOSE(CONTROL!$C$15, $E$9, 100%, $G$9) + CHOOSE(CONTROL!$C$38, 0.034, 0)</f>
        <v>18.1144</v>
      </c>
      <c r="C83" s="14">
        <f>17.6011 * CHOOSE(CONTROL!$C$15, $E$9, 100%, $G$9) + CHOOSE(CONTROL!$C$38, 0.0342, 0)</f>
        <v>17.635299999999997</v>
      </c>
      <c r="D83" s="14">
        <f>17.5933 * CHOOSE(CONTROL!$C$15, $E$9, 100%, $G$9) + CHOOSE(CONTROL!$C$38, 0.0342, 0)</f>
        <v>17.627499999999998</v>
      </c>
      <c r="E83" s="14">
        <f>17.5933 * CHOOSE(CONTROL!$C$15, $E$9, 100%, $G$9) + CHOOSE(CONTROL!$C$38, 0.0342, 0)</f>
        <v>17.627499999999998</v>
      </c>
      <c r="F83" s="45">
        <f>18.0804 * CHOOSE(CONTROL!$C$15, $E$9, 100%, $G$9) + CHOOSE(CONTROL!$C$38, 0.034, 0)</f>
        <v>18.1144</v>
      </c>
      <c r="G83" s="14">
        <f>17.5996 * CHOOSE(CONTROL!$C$15, $E$9, 100%, $G$9) + CHOOSE(CONTROL!$C$38, 0.0342, 0)</f>
        <v>17.633799999999997</v>
      </c>
      <c r="H83" s="14">
        <f>17.5996 * CHOOSE(CONTROL!$C$15, $E$9, 100%, $G$9) + CHOOSE(CONTROL!$C$38, 0.0342, 0)</f>
        <v>17.633799999999997</v>
      </c>
      <c r="I83" s="14">
        <f>17.6011 * CHOOSE(CONTROL!$C$15, $E$9, 100%, $G$9) + CHOOSE(CONTROL!$C$38, 0.0342, 0)</f>
        <v>17.635299999999997</v>
      </c>
      <c r="J83" s="44">
        <f>105.789</f>
        <v>105.789</v>
      </c>
    </row>
    <row r="84" spans="1:10" ht="15" x14ac:dyDescent="0.2">
      <c r="A84" s="13">
        <v>43466</v>
      </c>
      <c r="B84" s="14">
        <f>18.7068 * CHOOSE(CONTROL!$C$15, $E$9, 100%, $G$9) + CHOOSE(CONTROL!$C$38, 0.034, 0)</f>
        <v>18.7408</v>
      </c>
      <c r="C84" s="14">
        <f>18.2023 * CHOOSE(CONTROL!$C$15, $E$9, 100%, $G$9) + CHOOSE(CONTROL!$C$38, 0.0342, 0)</f>
        <v>18.236499999999999</v>
      </c>
      <c r="D84" s="14">
        <f>18.1945 * CHOOSE(CONTROL!$C$15, $E$9, 100%, $G$9) + CHOOSE(CONTROL!$C$38, 0.0342, 0)</f>
        <v>18.2287</v>
      </c>
      <c r="E84" s="14">
        <f>18.1945 * CHOOSE(CONTROL!$C$15, $E$9, 100%, $G$9) + CHOOSE(CONTROL!$C$38, 0.0342, 0)</f>
        <v>18.2287</v>
      </c>
      <c r="F84" s="45">
        <f>18.7068 * CHOOSE(CONTROL!$C$15, $E$9, 100%, $G$9) + CHOOSE(CONTROL!$C$38, 0.034, 0)</f>
        <v>18.7408</v>
      </c>
      <c r="G84" s="14">
        <f>18.2008 * CHOOSE(CONTROL!$C$15, $E$9, 100%, $G$9) + CHOOSE(CONTROL!$C$38, 0.0342, 0)</f>
        <v>18.234999999999999</v>
      </c>
      <c r="H84" s="14">
        <f>18.2008 * CHOOSE(CONTROL!$C$15, $E$9, 100%, $G$9) + CHOOSE(CONTROL!$C$38, 0.0342, 0)</f>
        <v>18.234999999999999</v>
      </c>
      <c r="I84" s="14">
        <f>18.2023 * CHOOSE(CONTROL!$C$15, $E$9, 100%, $G$9) + CHOOSE(CONTROL!$C$38, 0.0342, 0)</f>
        <v>18.236499999999999</v>
      </c>
      <c r="J84" s="44">
        <f>103.269</f>
        <v>103.26900000000001</v>
      </c>
    </row>
    <row r="85" spans="1:10" ht="15" x14ac:dyDescent="0.2">
      <c r="A85" s="13">
        <v>43497</v>
      </c>
      <c r="B85" s="14">
        <f>19.0038 * CHOOSE(CONTROL!$C$15, $E$9, 100%, $G$9) + CHOOSE(CONTROL!$C$38, 0.034, 0)</f>
        <v>19.037799999999997</v>
      </c>
      <c r="C85" s="14">
        <f>18.4986 * CHOOSE(CONTROL!$C$15, $E$9, 100%, $G$9) + CHOOSE(CONTROL!$C$38, 0.0342, 0)</f>
        <v>18.532799999999998</v>
      </c>
      <c r="D85" s="14">
        <f>18.4908 * CHOOSE(CONTROL!$C$15, $E$9, 100%, $G$9) + CHOOSE(CONTROL!$C$38, 0.0342, 0)</f>
        <v>18.524999999999999</v>
      </c>
      <c r="E85" s="14">
        <f>18.4908 * CHOOSE(CONTROL!$C$15, $E$9, 100%, $G$9) + CHOOSE(CONTROL!$C$38, 0.0342, 0)</f>
        <v>18.524999999999999</v>
      </c>
      <c r="F85" s="45">
        <f>19.0038 * CHOOSE(CONTROL!$C$15, $E$9, 100%, $G$9) + CHOOSE(CONTROL!$C$38, 0.034, 0)</f>
        <v>19.037799999999997</v>
      </c>
      <c r="G85" s="14">
        <f>18.497 * CHOOSE(CONTROL!$C$15, $E$9, 100%, $G$9) + CHOOSE(CONTROL!$C$38, 0.0342, 0)</f>
        <v>18.531199999999998</v>
      </c>
      <c r="H85" s="14">
        <f>18.497 * CHOOSE(CONTROL!$C$15, $E$9, 100%, $G$9) + CHOOSE(CONTROL!$C$38, 0.0342, 0)</f>
        <v>18.531199999999998</v>
      </c>
      <c r="I85" s="14">
        <f>18.4986 * CHOOSE(CONTROL!$C$15, $E$9, 100%, $G$9) + CHOOSE(CONTROL!$C$38, 0.0342, 0)</f>
        <v>18.532799999999998</v>
      </c>
      <c r="J85" s="44">
        <f>103.194</f>
        <v>103.194</v>
      </c>
    </row>
    <row r="86" spans="1:10" ht="15" x14ac:dyDescent="0.2">
      <c r="A86" s="13">
        <v>43525</v>
      </c>
      <c r="B86" s="14">
        <f>18.4392 * CHOOSE(CONTROL!$C$15, $E$9, 100%, $G$9) + CHOOSE(CONTROL!$C$38, 0.034, 0)</f>
        <v>18.473199999999999</v>
      </c>
      <c r="C86" s="14">
        <f>17.9333 * CHOOSE(CONTROL!$C$15, $E$9, 100%, $G$9) + CHOOSE(CONTROL!$C$38, 0.0342, 0)</f>
        <v>17.967499999999998</v>
      </c>
      <c r="D86" s="14">
        <f>17.9255 * CHOOSE(CONTROL!$C$15, $E$9, 100%, $G$9) + CHOOSE(CONTROL!$C$38, 0.0342, 0)</f>
        <v>17.959699999999998</v>
      </c>
      <c r="E86" s="14">
        <f>17.9255 * CHOOSE(CONTROL!$C$15, $E$9, 100%, $G$9) + CHOOSE(CONTROL!$C$38, 0.0342, 0)</f>
        <v>17.959699999999998</v>
      </c>
      <c r="F86" s="45">
        <f>18.4392 * CHOOSE(CONTROL!$C$15, $E$9, 100%, $G$9) + CHOOSE(CONTROL!$C$38, 0.034, 0)</f>
        <v>18.473199999999999</v>
      </c>
      <c r="G86" s="14">
        <f>17.9317 * CHOOSE(CONTROL!$C$15, $E$9, 100%, $G$9) + CHOOSE(CONTROL!$C$38, 0.0342, 0)</f>
        <v>17.965899999999998</v>
      </c>
      <c r="H86" s="14">
        <f>17.9317 * CHOOSE(CONTROL!$C$15, $E$9, 100%, $G$9) + CHOOSE(CONTROL!$C$38, 0.0342, 0)</f>
        <v>17.965899999999998</v>
      </c>
      <c r="I86" s="14">
        <f>17.9333 * CHOOSE(CONTROL!$C$15, $E$9, 100%, $G$9) + CHOOSE(CONTROL!$C$38, 0.0342, 0)</f>
        <v>17.967499999999998</v>
      </c>
      <c r="J86" s="44">
        <f>108.8567</f>
        <v>108.8567</v>
      </c>
    </row>
    <row r="87" spans="1:10" ht="15" x14ac:dyDescent="0.2">
      <c r="A87" s="13">
        <v>43556</v>
      </c>
      <c r="B87" s="14">
        <f>17.8909 * CHOOSE(CONTROL!$C$15, $E$9, 100%, $G$9) + CHOOSE(CONTROL!$C$38, 0.034, 0)</f>
        <v>17.924899999999997</v>
      </c>
      <c r="C87" s="14">
        <f>17.3843 * CHOOSE(CONTROL!$C$15, $E$9, 100%, $G$9) + CHOOSE(CONTROL!$C$38, 0.0342, 0)</f>
        <v>17.418499999999998</v>
      </c>
      <c r="D87" s="14">
        <f>17.3765 * CHOOSE(CONTROL!$C$15, $E$9, 100%, $G$9) + CHOOSE(CONTROL!$C$38, 0.0342, 0)</f>
        <v>17.410699999999999</v>
      </c>
      <c r="E87" s="14">
        <f>17.3765 * CHOOSE(CONTROL!$C$15, $E$9, 100%, $G$9) + CHOOSE(CONTROL!$C$38, 0.0342, 0)</f>
        <v>17.410699999999999</v>
      </c>
      <c r="F87" s="45">
        <f>17.8909 * CHOOSE(CONTROL!$C$15, $E$9, 100%, $G$9) + CHOOSE(CONTROL!$C$38, 0.034, 0)</f>
        <v>17.924899999999997</v>
      </c>
      <c r="G87" s="14">
        <f>17.3827 * CHOOSE(CONTROL!$C$15, $E$9, 100%, $G$9) + CHOOSE(CONTROL!$C$38, 0.0342, 0)</f>
        <v>17.416899999999998</v>
      </c>
      <c r="H87" s="14">
        <f>17.3827 * CHOOSE(CONTROL!$C$15, $E$9, 100%, $G$9) + CHOOSE(CONTROL!$C$38, 0.0342, 0)</f>
        <v>17.416899999999998</v>
      </c>
      <c r="I87" s="14">
        <f>17.3843 * CHOOSE(CONTROL!$C$15, $E$9, 100%, $G$9) + CHOOSE(CONTROL!$C$38, 0.0342, 0)</f>
        <v>17.418499999999998</v>
      </c>
      <c r="J87" s="44">
        <f>116.163</f>
        <v>116.163</v>
      </c>
    </row>
    <row r="88" spans="1:10" ht="15" x14ac:dyDescent="0.2">
      <c r="A88" s="13">
        <v>43586</v>
      </c>
      <c r="B88" s="14">
        <f>17.3155 * CHOOSE(CONTROL!$C$15, $E$9, 100%, $G$9) + CHOOSE(CONTROL!$C$38, 0.0353, 0)</f>
        <v>17.3508</v>
      </c>
      <c r="C88" s="14">
        <f>16.8082 * CHOOSE(CONTROL!$C$15, $E$9, 100%, $G$9) + CHOOSE(CONTROL!$C$38, 0.0354, 0)</f>
        <v>16.843599999999999</v>
      </c>
      <c r="D88" s="14">
        <f>16.8004 * CHOOSE(CONTROL!$C$15, $E$9, 100%, $G$9) + CHOOSE(CONTROL!$C$38, 0.0354, 0)</f>
        <v>16.835799999999999</v>
      </c>
      <c r="E88" s="14">
        <f>16.8004 * CHOOSE(CONTROL!$C$15, $E$9, 100%, $G$9) + CHOOSE(CONTROL!$C$38, 0.0354, 0)</f>
        <v>16.835799999999999</v>
      </c>
      <c r="F88" s="45">
        <f>17.3155 * CHOOSE(CONTROL!$C$15, $E$9, 100%, $G$9) + CHOOSE(CONTROL!$C$38, 0.0353, 0)</f>
        <v>17.3508</v>
      </c>
      <c r="G88" s="14">
        <f>16.8066 * CHOOSE(CONTROL!$C$15, $E$9, 100%, $G$9) + CHOOSE(CONTROL!$C$38, 0.0354, 0)</f>
        <v>16.841999999999999</v>
      </c>
      <c r="H88" s="14">
        <f>16.8066 * CHOOSE(CONTROL!$C$15, $E$9, 100%, $G$9) + CHOOSE(CONTROL!$C$38, 0.0354, 0)</f>
        <v>16.841999999999999</v>
      </c>
      <c r="I88" s="14">
        <f>16.8082 * CHOOSE(CONTROL!$C$15, $E$9, 100%, $G$9) + CHOOSE(CONTROL!$C$38, 0.0354, 0)</f>
        <v>16.843599999999999</v>
      </c>
      <c r="J88" s="44">
        <f>120.3085</f>
        <v>120.3085</v>
      </c>
    </row>
    <row r="89" spans="1:10" ht="15" x14ac:dyDescent="0.2">
      <c r="A89" s="13">
        <v>43617</v>
      </c>
      <c r="B89" s="14">
        <f>16.9207 * CHOOSE(CONTROL!$C$15, $E$9, 100%, $G$9) + CHOOSE(CONTROL!$C$38, 0.0353, 0)</f>
        <v>16.956</v>
      </c>
      <c r="C89" s="14">
        <f>16.4126 * CHOOSE(CONTROL!$C$15, $E$9, 100%, $G$9) + CHOOSE(CONTROL!$C$38, 0.0354, 0)</f>
        <v>16.448</v>
      </c>
      <c r="D89" s="14">
        <f>16.4048 * CHOOSE(CONTROL!$C$15, $E$9, 100%, $G$9) + CHOOSE(CONTROL!$C$38, 0.0354, 0)</f>
        <v>16.440200000000001</v>
      </c>
      <c r="E89" s="14">
        <f>16.4048 * CHOOSE(CONTROL!$C$15, $E$9, 100%, $G$9) + CHOOSE(CONTROL!$C$38, 0.0354, 0)</f>
        <v>16.440200000000001</v>
      </c>
      <c r="F89" s="45">
        <f>16.9207 * CHOOSE(CONTROL!$C$15, $E$9, 100%, $G$9) + CHOOSE(CONTROL!$C$38, 0.0353, 0)</f>
        <v>16.956</v>
      </c>
      <c r="G89" s="14">
        <f>16.4111 * CHOOSE(CONTROL!$C$15, $E$9, 100%, $G$9) + CHOOSE(CONTROL!$C$38, 0.0354, 0)</f>
        <v>16.4465</v>
      </c>
      <c r="H89" s="14">
        <f>16.4111 * CHOOSE(CONTROL!$C$15, $E$9, 100%, $G$9) + CHOOSE(CONTROL!$C$38, 0.0354, 0)</f>
        <v>16.4465</v>
      </c>
      <c r="I89" s="14">
        <f>16.4126 * CHOOSE(CONTROL!$C$15, $E$9, 100%, $G$9) + CHOOSE(CONTROL!$C$38, 0.0354, 0)</f>
        <v>16.448</v>
      </c>
      <c r="J89" s="44">
        <f>122.2934</f>
        <v>122.29340000000001</v>
      </c>
    </row>
    <row r="90" spans="1:10" ht="15" x14ac:dyDescent="0.2">
      <c r="A90" s="13">
        <v>43647</v>
      </c>
      <c r="B90" s="14">
        <f>16.7088 * CHOOSE(CONTROL!$C$15, $E$9, 100%, $G$9) + CHOOSE(CONTROL!$C$38, 0.0353, 0)</f>
        <v>16.7441</v>
      </c>
      <c r="C90" s="14">
        <f>16.2 * CHOOSE(CONTROL!$C$15, $E$9, 100%, $G$9) + CHOOSE(CONTROL!$C$38, 0.0354, 0)</f>
        <v>16.235399999999998</v>
      </c>
      <c r="D90" s="14">
        <f>16.1922 * CHOOSE(CONTROL!$C$15, $E$9, 100%, $G$9) + CHOOSE(CONTROL!$C$38, 0.0354, 0)</f>
        <v>16.227599999999999</v>
      </c>
      <c r="E90" s="14">
        <f>16.1922 * CHOOSE(CONTROL!$C$15, $E$9, 100%, $G$9) + CHOOSE(CONTROL!$C$38, 0.0354, 0)</f>
        <v>16.227599999999999</v>
      </c>
      <c r="F90" s="45">
        <f>16.7088 * CHOOSE(CONTROL!$C$15, $E$9, 100%, $G$9) + CHOOSE(CONTROL!$C$38, 0.0353, 0)</f>
        <v>16.7441</v>
      </c>
      <c r="G90" s="14">
        <f>16.1985 * CHOOSE(CONTROL!$C$15, $E$9, 100%, $G$9) + CHOOSE(CONTROL!$C$38, 0.0354, 0)</f>
        <v>16.233899999999998</v>
      </c>
      <c r="H90" s="14">
        <f>16.1985 * CHOOSE(CONTROL!$C$15, $E$9, 100%, $G$9) + CHOOSE(CONTROL!$C$38, 0.0354, 0)</f>
        <v>16.233899999999998</v>
      </c>
      <c r="I90" s="14">
        <f>16.2 * CHOOSE(CONTROL!$C$15, $E$9, 100%, $G$9) + CHOOSE(CONTROL!$C$38, 0.0354, 0)</f>
        <v>16.235399999999998</v>
      </c>
      <c r="J90" s="44">
        <f>121.9722</f>
        <v>121.9722</v>
      </c>
    </row>
    <row r="91" spans="1:10" ht="15" x14ac:dyDescent="0.2">
      <c r="A91" s="13">
        <v>43678</v>
      </c>
      <c r="B91" s="14">
        <f>16.8633 * CHOOSE(CONTROL!$C$15, $E$9, 100%, $G$9) + CHOOSE(CONTROL!$C$38, 0.0353, 0)</f>
        <v>16.898599999999998</v>
      </c>
      <c r="C91" s="14">
        <f>16.3538 * CHOOSE(CONTROL!$C$15, $E$9, 100%, $G$9) + CHOOSE(CONTROL!$C$38, 0.0354, 0)</f>
        <v>16.389199999999999</v>
      </c>
      <c r="D91" s="14">
        <f>16.346 * CHOOSE(CONTROL!$C$15, $E$9, 100%, $G$9) + CHOOSE(CONTROL!$C$38, 0.0354, 0)</f>
        <v>16.381399999999999</v>
      </c>
      <c r="E91" s="14">
        <f>16.346 * CHOOSE(CONTROL!$C$15, $E$9, 100%, $G$9) + CHOOSE(CONTROL!$C$38, 0.0354, 0)</f>
        <v>16.381399999999999</v>
      </c>
      <c r="F91" s="45">
        <f>16.8633 * CHOOSE(CONTROL!$C$15, $E$9, 100%, $G$9) + CHOOSE(CONTROL!$C$38, 0.0353, 0)</f>
        <v>16.898599999999998</v>
      </c>
      <c r="G91" s="14">
        <f>16.3523 * CHOOSE(CONTROL!$C$15, $E$9, 100%, $G$9) + CHOOSE(CONTROL!$C$38, 0.0354, 0)</f>
        <v>16.387699999999999</v>
      </c>
      <c r="H91" s="14">
        <f>16.3523 * CHOOSE(CONTROL!$C$15, $E$9, 100%, $G$9) + CHOOSE(CONTROL!$C$38, 0.0354, 0)</f>
        <v>16.387699999999999</v>
      </c>
      <c r="I91" s="14">
        <f>16.3538 * CHOOSE(CONTROL!$C$15, $E$9, 100%, $G$9) + CHOOSE(CONTROL!$C$38, 0.0354, 0)</f>
        <v>16.389199999999999</v>
      </c>
      <c r="J91" s="44">
        <f>119.3781</f>
        <v>119.3781</v>
      </c>
    </row>
    <row r="92" spans="1:10" ht="15" x14ac:dyDescent="0.2">
      <c r="A92" s="13">
        <v>43709</v>
      </c>
      <c r="B92" s="14">
        <f>17.2272 * CHOOSE(CONTROL!$C$15, $E$9, 100%, $G$9) + CHOOSE(CONTROL!$C$38, 0.0353, 0)</f>
        <v>17.262499999999999</v>
      </c>
      <c r="C92" s="14">
        <f>16.7169 * CHOOSE(CONTROL!$C$15, $E$9, 100%, $G$9) + CHOOSE(CONTROL!$C$38, 0.0354, 0)</f>
        <v>16.752299999999998</v>
      </c>
      <c r="D92" s="14">
        <f>16.7091 * CHOOSE(CONTROL!$C$15, $E$9, 100%, $G$9) + CHOOSE(CONTROL!$C$38, 0.0354, 0)</f>
        <v>16.744499999999999</v>
      </c>
      <c r="E92" s="14">
        <f>16.7091 * CHOOSE(CONTROL!$C$15, $E$9, 100%, $G$9) + CHOOSE(CONTROL!$C$38, 0.0354, 0)</f>
        <v>16.744499999999999</v>
      </c>
      <c r="F92" s="45">
        <f>17.2272 * CHOOSE(CONTROL!$C$15, $E$9, 100%, $G$9) + CHOOSE(CONTROL!$C$38, 0.0353, 0)</f>
        <v>17.262499999999999</v>
      </c>
      <c r="G92" s="14">
        <f>16.7154 * CHOOSE(CONTROL!$C$15, $E$9, 100%, $G$9) + CHOOSE(CONTROL!$C$38, 0.0354, 0)</f>
        <v>16.750799999999998</v>
      </c>
      <c r="H92" s="14">
        <f>16.7154 * CHOOSE(CONTROL!$C$15, $E$9, 100%, $G$9) + CHOOSE(CONTROL!$C$38, 0.0354, 0)</f>
        <v>16.750799999999998</v>
      </c>
      <c r="I92" s="14">
        <f>16.7169 * CHOOSE(CONTROL!$C$15, $E$9, 100%, $G$9) + CHOOSE(CONTROL!$C$38, 0.0354, 0)</f>
        <v>16.752299999999998</v>
      </c>
      <c r="J92" s="44">
        <f>115.648</f>
        <v>115.648</v>
      </c>
    </row>
    <row r="93" spans="1:10" ht="15" x14ac:dyDescent="0.2">
      <c r="A93" s="13">
        <v>43739</v>
      </c>
      <c r="B93" s="14">
        <f>17.5387 * CHOOSE(CONTROL!$C$15, $E$9, 100%, $G$9) + CHOOSE(CONTROL!$C$38, 0.034, 0)</f>
        <v>17.572699999999998</v>
      </c>
      <c r="C93" s="14">
        <f>17.0277 * CHOOSE(CONTROL!$C$15, $E$9, 100%, $G$9) + CHOOSE(CONTROL!$C$38, 0.0342, 0)</f>
        <v>17.061899999999998</v>
      </c>
      <c r="D93" s="14">
        <f>17.0199 * CHOOSE(CONTROL!$C$15, $E$9, 100%, $G$9) + CHOOSE(CONTROL!$C$38, 0.0342, 0)</f>
        <v>17.054099999999998</v>
      </c>
      <c r="E93" s="14">
        <f>17.0199 * CHOOSE(CONTROL!$C$15, $E$9, 100%, $G$9) + CHOOSE(CONTROL!$C$38, 0.0342, 0)</f>
        <v>17.054099999999998</v>
      </c>
      <c r="F93" s="45">
        <f>17.5387 * CHOOSE(CONTROL!$C$15, $E$9, 100%, $G$9) + CHOOSE(CONTROL!$C$38, 0.034, 0)</f>
        <v>17.572699999999998</v>
      </c>
      <c r="G93" s="14">
        <f>17.0261 * CHOOSE(CONTROL!$C$15, $E$9, 100%, $G$9) + CHOOSE(CONTROL!$C$38, 0.0342, 0)</f>
        <v>17.060299999999998</v>
      </c>
      <c r="H93" s="14">
        <f>17.0261 * CHOOSE(CONTROL!$C$15, $E$9, 100%, $G$9) + CHOOSE(CONTROL!$C$38, 0.0342, 0)</f>
        <v>17.060299999999998</v>
      </c>
      <c r="I93" s="14">
        <f>17.0277 * CHOOSE(CONTROL!$C$15, $E$9, 100%, $G$9) + CHOOSE(CONTROL!$C$38, 0.0342, 0)</f>
        <v>17.061899999999998</v>
      </c>
      <c r="J93" s="44">
        <f>111.8787</f>
        <v>111.87869999999999</v>
      </c>
    </row>
    <row r="94" spans="1:10" ht="15" x14ac:dyDescent="0.2">
      <c r="A94" s="13">
        <v>43770</v>
      </c>
      <c r="B94" s="14">
        <f>17.8054 * CHOOSE(CONTROL!$C$15, $E$9, 100%, $G$9) + CHOOSE(CONTROL!$C$38, 0.034, 0)</f>
        <v>17.839399999999998</v>
      </c>
      <c r="C94" s="14">
        <f>17.2937 * CHOOSE(CONTROL!$C$15, $E$9, 100%, $G$9) + CHOOSE(CONTROL!$C$38, 0.0342, 0)</f>
        <v>17.3279</v>
      </c>
      <c r="D94" s="14">
        <f>17.2859 * CHOOSE(CONTROL!$C$15, $E$9, 100%, $G$9) + CHOOSE(CONTROL!$C$38, 0.0342, 0)</f>
        <v>17.3201</v>
      </c>
      <c r="E94" s="14">
        <f>17.2859 * CHOOSE(CONTROL!$C$15, $E$9, 100%, $G$9) + CHOOSE(CONTROL!$C$38, 0.0342, 0)</f>
        <v>17.3201</v>
      </c>
      <c r="F94" s="45">
        <f>17.8054 * CHOOSE(CONTROL!$C$15, $E$9, 100%, $G$9) + CHOOSE(CONTROL!$C$38, 0.034, 0)</f>
        <v>17.839399999999998</v>
      </c>
      <c r="G94" s="14">
        <f>17.2921 * CHOOSE(CONTROL!$C$15, $E$9, 100%, $G$9) + CHOOSE(CONTROL!$C$38, 0.0342, 0)</f>
        <v>17.3263</v>
      </c>
      <c r="H94" s="14">
        <f>17.2921 * CHOOSE(CONTROL!$C$15, $E$9, 100%, $G$9) + CHOOSE(CONTROL!$C$38, 0.0342, 0)</f>
        <v>17.3263</v>
      </c>
      <c r="I94" s="14">
        <f>17.2937 * CHOOSE(CONTROL!$C$15, $E$9, 100%, $G$9) + CHOOSE(CONTROL!$C$38, 0.0342, 0)</f>
        <v>17.3279</v>
      </c>
      <c r="J94" s="44">
        <f>111.3104</f>
        <v>111.3104</v>
      </c>
    </row>
    <row r="95" spans="1:10" ht="15" x14ac:dyDescent="0.2">
      <c r="A95" s="13">
        <v>43800</v>
      </c>
      <c r="B95" s="14">
        <f>18.5566 * CHOOSE(CONTROL!$C$15, $E$9, 100%, $G$9) + CHOOSE(CONTROL!$C$38, 0.034, 0)</f>
        <v>18.590599999999998</v>
      </c>
      <c r="C95" s="14">
        <f>18.0442 * CHOOSE(CONTROL!$C$15, $E$9, 100%, $G$9) + CHOOSE(CONTROL!$C$38, 0.0342, 0)</f>
        <v>18.078399999999998</v>
      </c>
      <c r="D95" s="14">
        <f>18.0364 * CHOOSE(CONTROL!$C$15, $E$9, 100%, $G$9) + CHOOSE(CONTROL!$C$38, 0.0342, 0)</f>
        <v>18.070599999999999</v>
      </c>
      <c r="E95" s="14">
        <f>18.0364 * CHOOSE(CONTROL!$C$15, $E$9, 100%, $G$9) + CHOOSE(CONTROL!$C$38, 0.0342, 0)</f>
        <v>18.070599999999999</v>
      </c>
      <c r="F95" s="45">
        <f>18.5566 * CHOOSE(CONTROL!$C$15, $E$9, 100%, $G$9) + CHOOSE(CONTROL!$C$38, 0.034, 0)</f>
        <v>18.590599999999998</v>
      </c>
      <c r="G95" s="14">
        <f>18.0426 * CHOOSE(CONTROL!$C$15, $E$9, 100%, $G$9) + CHOOSE(CONTROL!$C$38, 0.0342, 0)</f>
        <v>18.076799999999999</v>
      </c>
      <c r="H95" s="14">
        <f>18.0426 * CHOOSE(CONTROL!$C$15, $E$9, 100%, $G$9) + CHOOSE(CONTROL!$C$38, 0.0342, 0)</f>
        <v>18.076799999999999</v>
      </c>
      <c r="I95" s="14">
        <f>18.0442 * CHOOSE(CONTROL!$C$15, $E$9, 100%, $G$9) + CHOOSE(CONTROL!$C$38, 0.0342, 0)</f>
        <v>18.078399999999998</v>
      </c>
      <c r="J95" s="44">
        <f>108.2297</f>
        <v>108.22969999999999</v>
      </c>
    </row>
    <row r="96" spans="1:10" ht="15" x14ac:dyDescent="0.2">
      <c r="A96" s="13">
        <v>43831</v>
      </c>
      <c r="B96" s="14">
        <f>19.3044 * CHOOSE(CONTROL!$C$15, $E$9, 100%, $G$9) + CHOOSE(CONTROL!$C$38, 0.034, 0)</f>
        <v>19.3384</v>
      </c>
      <c r="C96" s="14">
        <f>18.6484 * CHOOSE(CONTROL!$C$15, $E$9, 100%, $G$9) + CHOOSE(CONTROL!$C$38, 0.0342, 0)</f>
        <v>18.682599999999997</v>
      </c>
      <c r="D96" s="14">
        <f>18.6405 * CHOOSE(CONTROL!$C$15, $E$9, 100%, $G$9) + CHOOSE(CONTROL!$C$38, 0.0342, 0)</f>
        <v>18.674699999999998</v>
      </c>
      <c r="E96" s="14">
        <f>18.6405 * CHOOSE(CONTROL!$C$15, $E$9, 100%, $G$9) + CHOOSE(CONTROL!$C$38, 0.0342, 0)</f>
        <v>18.674699999999998</v>
      </c>
      <c r="F96" s="45">
        <f>19.3044 * CHOOSE(CONTROL!$C$15, $E$9, 100%, $G$9) + CHOOSE(CONTROL!$C$38, 0.034, 0)</f>
        <v>19.3384</v>
      </c>
      <c r="G96" s="14">
        <f>18.6468 * CHOOSE(CONTROL!$C$15, $E$9, 100%, $G$9) + CHOOSE(CONTROL!$C$38, 0.0342, 0)</f>
        <v>18.680999999999997</v>
      </c>
      <c r="H96" s="14">
        <f>18.6468 * CHOOSE(CONTROL!$C$15, $E$9, 100%, $G$9) + CHOOSE(CONTROL!$C$38, 0.0342, 0)</f>
        <v>18.680999999999997</v>
      </c>
      <c r="I96" s="14">
        <f>18.6484 * CHOOSE(CONTROL!$C$15, $E$9, 100%, $G$9) + CHOOSE(CONTROL!$C$38, 0.0342, 0)</f>
        <v>18.682599999999997</v>
      </c>
      <c r="J96" s="44">
        <f>105.5959</f>
        <v>105.5959</v>
      </c>
    </row>
    <row r="97" spans="1:10" ht="15" x14ac:dyDescent="0.2">
      <c r="A97" s="13">
        <v>43862</v>
      </c>
      <c r="B97" s="14">
        <f>19.6091 * CHOOSE(CONTROL!$C$15, $E$9, 100%, $G$9) + CHOOSE(CONTROL!$C$38, 0.034, 0)</f>
        <v>19.6431</v>
      </c>
      <c r="C97" s="14">
        <f>18.952 * CHOOSE(CONTROL!$C$15, $E$9, 100%, $G$9) + CHOOSE(CONTROL!$C$38, 0.0342, 0)</f>
        <v>18.9862</v>
      </c>
      <c r="D97" s="14">
        <f>18.9442 * CHOOSE(CONTROL!$C$15, $E$9, 100%, $G$9) + CHOOSE(CONTROL!$C$38, 0.0342, 0)</f>
        <v>18.978399999999997</v>
      </c>
      <c r="E97" s="14">
        <f>18.9442 * CHOOSE(CONTROL!$C$15, $E$9, 100%, $G$9) + CHOOSE(CONTROL!$C$38, 0.0342, 0)</f>
        <v>18.978399999999997</v>
      </c>
      <c r="F97" s="45">
        <f>19.6091 * CHOOSE(CONTROL!$C$15, $E$9, 100%, $G$9) + CHOOSE(CONTROL!$C$38, 0.034, 0)</f>
        <v>19.6431</v>
      </c>
      <c r="G97" s="14">
        <f>18.9505 * CHOOSE(CONTROL!$C$15, $E$9, 100%, $G$9) + CHOOSE(CONTROL!$C$38, 0.0342, 0)</f>
        <v>18.9847</v>
      </c>
      <c r="H97" s="14">
        <f>18.9505 * CHOOSE(CONTROL!$C$15, $E$9, 100%, $G$9) + CHOOSE(CONTROL!$C$38, 0.0342, 0)</f>
        <v>18.9847</v>
      </c>
      <c r="I97" s="14">
        <f>18.952 * CHOOSE(CONTROL!$C$15, $E$9, 100%, $G$9) + CHOOSE(CONTROL!$C$38, 0.0342, 0)</f>
        <v>18.9862</v>
      </c>
      <c r="J97" s="44">
        <f>105.5193</f>
        <v>105.5193</v>
      </c>
    </row>
    <row r="98" spans="1:10" ht="15" x14ac:dyDescent="0.2">
      <c r="A98" s="13">
        <v>43891</v>
      </c>
      <c r="B98" s="14">
        <f>19.0307 * CHOOSE(CONTROL!$C$15, $E$9, 100%, $G$9) + CHOOSE(CONTROL!$C$38, 0.034, 0)</f>
        <v>19.064699999999998</v>
      </c>
      <c r="C98" s="14">
        <f>18.3726 * CHOOSE(CONTROL!$C$15, $E$9, 100%, $G$9) + CHOOSE(CONTROL!$C$38, 0.0342, 0)</f>
        <v>18.406799999999997</v>
      </c>
      <c r="D98" s="14">
        <f>18.3648 * CHOOSE(CONTROL!$C$15, $E$9, 100%, $G$9) + CHOOSE(CONTROL!$C$38, 0.0342, 0)</f>
        <v>18.398999999999997</v>
      </c>
      <c r="E98" s="14">
        <f>18.3648 * CHOOSE(CONTROL!$C$15, $E$9, 100%, $G$9) + CHOOSE(CONTROL!$C$38, 0.0342, 0)</f>
        <v>18.398999999999997</v>
      </c>
      <c r="F98" s="45">
        <f>19.0307 * CHOOSE(CONTROL!$C$15, $E$9, 100%, $G$9) + CHOOSE(CONTROL!$C$38, 0.034, 0)</f>
        <v>19.064699999999998</v>
      </c>
      <c r="G98" s="14">
        <f>18.371 * CHOOSE(CONTROL!$C$15, $E$9, 100%, $G$9) + CHOOSE(CONTROL!$C$38, 0.0342, 0)</f>
        <v>18.405199999999997</v>
      </c>
      <c r="H98" s="14">
        <f>18.371 * CHOOSE(CONTROL!$C$15, $E$9, 100%, $G$9) + CHOOSE(CONTROL!$C$38, 0.0342, 0)</f>
        <v>18.405199999999997</v>
      </c>
      <c r="I98" s="14">
        <f>18.3726 * CHOOSE(CONTROL!$C$15, $E$9, 100%, $G$9) + CHOOSE(CONTROL!$C$38, 0.0342, 0)</f>
        <v>18.406799999999997</v>
      </c>
      <c r="J98" s="44">
        <f>111.3096</f>
        <v>111.3096</v>
      </c>
    </row>
    <row r="99" spans="1:10" ht="15" x14ac:dyDescent="0.2">
      <c r="A99" s="13">
        <v>43922</v>
      </c>
      <c r="B99" s="14">
        <f>18.469 * CHOOSE(CONTROL!$C$15, $E$9, 100%, $G$9) + CHOOSE(CONTROL!$C$38, 0.034, 0)</f>
        <v>18.503</v>
      </c>
      <c r="C99" s="14">
        <f>17.8099 * CHOOSE(CONTROL!$C$15, $E$9, 100%, $G$9) + CHOOSE(CONTROL!$C$38, 0.0342, 0)</f>
        <v>17.844099999999997</v>
      </c>
      <c r="D99" s="14">
        <f>17.8021 * CHOOSE(CONTROL!$C$15, $E$9, 100%, $G$9) + CHOOSE(CONTROL!$C$38, 0.0342, 0)</f>
        <v>17.836299999999998</v>
      </c>
      <c r="E99" s="14">
        <f>17.8021 * CHOOSE(CONTROL!$C$15, $E$9, 100%, $G$9) + CHOOSE(CONTROL!$C$38, 0.0342, 0)</f>
        <v>17.836299999999998</v>
      </c>
      <c r="F99" s="45">
        <f>18.469 * CHOOSE(CONTROL!$C$15, $E$9, 100%, $G$9) + CHOOSE(CONTROL!$C$38, 0.034, 0)</f>
        <v>18.503</v>
      </c>
      <c r="G99" s="14">
        <f>17.8083 * CHOOSE(CONTROL!$C$15, $E$9, 100%, $G$9) + CHOOSE(CONTROL!$C$38, 0.0342, 0)</f>
        <v>17.842499999999998</v>
      </c>
      <c r="H99" s="14">
        <f>17.8083 * CHOOSE(CONTROL!$C$15, $E$9, 100%, $G$9) + CHOOSE(CONTROL!$C$38, 0.0342, 0)</f>
        <v>17.842499999999998</v>
      </c>
      <c r="I99" s="14">
        <f>17.8099 * CHOOSE(CONTROL!$C$15, $E$9, 100%, $G$9) + CHOOSE(CONTROL!$C$38, 0.0342, 0)</f>
        <v>17.844099999999997</v>
      </c>
      <c r="J99" s="44">
        <f>118.7805</f>
        <v>118.7805</v>
      </c>
    </row>
    <row r="100" spans="1:10" ht="15" x14ac:dyDescent="0.2">
      <c r="A100" s="13">
        <v>43952</v>
      </c>
      <c r="B100" s="14">
        <f>17.8795 * CHOOSE(CONTROL!$C$15, $E$9, 100%, $G$9) + CHOOSE(CONTROL!$C$38, 0.0353, 0)</f>
        <v>17.9148</v>
      </c>
      <c r="C100" s="14">
        <f>17.2194 * CHOOSE(CONTROL!$C$15, $E$9, 100%, $G$9) + CHOOSE(CONTROL!$C$38, 0.0354, 0)</f>
        <v>17.254799999999999</v>
      </c>
      <c r="D100" s="14">
        <f>17.2115 * CHOOSE(CONTROL!$C$15, $E$9, 100%, $G$9) + CHOOSE(CONTROL!$C$38, 0.0354, 0)</f>
        <v>17.2469</v>
      </c>
      <c r="E100" s="14">
        <f>17.2115 * CHOOSE(CONTROL!$C$15, $E$9, 100%, $G$9) + CHOOSE(CONTROL!$C$38, 0.0354, 0)</f>
        <v>17.2469</v>
      </c>
      <c r="F100" s="45">
        <f>17.8795 * CHOOSE(CONTROL!$C$15, $E$9, 100%, $G$9) + CHOOSE(CONTROL!$C$38, 0.0353, 0)</f>
        <v>17.9148</v>
      </c>
      <c r="G100" s="14">
        <f>17.2178 * CHOOSE(CONTROL!$C$15, $E$9, 100%, $G$9) + CHOOSE(CONTROL!$C$38, 0.0354, 0)</f>
        <v>17.2532</v>
      </c>
      <c r="H100" s="14">
        <f>17.2178 * CHOOSE(CONTROL!$C$15, $E$9, 100%, $G$9) + CHOOSE(CONTROL!$C$38, 0.0354, 0)</f>
        <v>17.2532</v>
      </c>
      <c r="I100" s="14">
        <f>17.2194 * CHOOSE(CONTROL!$C$15, $E$9, 100%, $G$9) + CHOOSE(CONTROL!$C$38, 0.0354, 0)</f>
        <v>17.254799999999999</v>
      </c>
      <c r="J100" s="44">
        <f>123.0194</f>
        <v>123.0194</v>
      </c>
    </row>
    <row r="101" spans="1:10" ht="15" x14ac:dyDescent="0.2">
      <c r="A101" s="13">
        <v>43983</v>
      </c>
      <c r="B101" s="14">
        <f>17.4751 * CHOOSE(CONTROL!$C$15, $E$9, 100%, $G$9) + CHOOSE(CONTROL!$C$38, 0.0353, 0)</f>
        <v>17.510400000000001</v>
      </c>
      <c r="C101" s="14">
        <f>16.8139 * CHOOSE(CONTROL!$C$15, $E$9, 100%, $G$9) + CHOOSE(CONTROL!$C$38, 0.0354, 0)</f>
        <v>16.849299999999999</v>
      </c>
      <c r="D101" s="14">
        <f>16.8061 * CHOOSE(CONTROL!$C$15, $E$9, 100%, $G$9) + CHOOSE(CONTROL!$C$38, 0.0354, 0)</f>
        <v>16.8415</v>
      </c>
      <c r="E101" s="14">
        <f>16.8061 * CHOOSE(CONTROL!$C$15, $E$9, 100%, $G$9) + CHOOSE(CONTROL!$C$38, 0.0354, 0)</f>
        <v>16.8415</v>
      </c>
      <c r="F101" s="45">
        <f>17.4751 * CHOOSE(CONTROL!$C$15, $E$9, 100%, $G$9) + CHOOSE(CONTROL!$C$38, 0.0353, 0)</f>
        <v>17.510400000000001</v>
      </c>
      <c r="G101" s="14">
        <f>16.8124 * CHOOSE(CONTROL!$C$15, $E$9, 100%, $G$9) + CHOOSE(CONTROL!$C$38, 0.0354, 0)</f>
        <v>16.847799999999999</v>
      </c>
      <c r="H101" s="14">
        <f>16.8124 * CHOOSE(CONTROL!$C$15, $E$9, 100%, $G$9) + CHOOSE(CONTROL!$C$38, 0.0354, 0)</f>
        <v>16.847799999999999</v>
      </c>
      <c r="I101" s="14">
        <f>16.8139 * CHOOSE(CONTROL!$C$15, $E$9, 100%, $G$9) + CHOOSE(CONTROL!$C$38, 0.0354, 0)</f>
        <v>16.849299999999999</v>
      </c>
      <c r="J101" s="44">
        <f>125.049</f>
        <v>125.04900000000001</v>
      </c>
    </row>
    <row r="102" spans="1:10" ht="15" x14ac:dyDescent="0.2">
      <c r="A102" s="13">
        <v>44013</v>
      </c>
      <c r="B102" s="14">
        <f>17.2583 * CHOOSE(CONTROL!$C$15, $E$9, 100%, $G$9) + CHOOSE(CONTROL!$C$38, 0.0353, 0)</f>
        <v>17.293599999999998</v>
      </c>
      <c r="C102" s="14">
        <f>16.596 * CHOOSE(CONTROL!$C$15, $E$9, 100%, $G$9) + CHOOSE(CONTROL!$C$38, 0.0354, 0)</f>
        <v>16.631399999999999</v>
      </c>
      <c r="D102" s="14">
        <f>16.5882 * CHOOSE(CONTROL!$C$15, $E$9, 100%, $G$9) + CHOOSE(CONTROL!$C$38, 0.0354, 0)</f>
        <v>16.6236</v>
      </c>
      <c r="E102" s="14">
        <f>16.5882 * CHOOSE(CONTROL!$C$15, $E$9, 100%, $G$9) + CHOOSE(CONTROL!$C$38, 0.0354, 0)</f>
        <v>16.6236</v>
      </c>
      <c r="F102" s="45">
        <f>17.2583 * CHOOSE(CONTROL!$C$15, $E$9, 100%, $G$9) + CHOOSE(CONTROL!$C$38, 0.0353, 0)</f>
        <v>17.293599999999998</v>
      </c>
      <c r="G102" s="14">
        <f>16.5945 * CHOOSE(CONTROL!$C$15, $E$9, 100%, $G$9) + CHOOSE(CONTROL!$C$38, 0.0354, 0)</f>
        <v>16.629899999999999</v>
      </c>
      <c r="H102" s="14">
        <f>16.5945 * CHOOSE(CONTROL!$C$15, $E$9, 100%, $G$9) + CHOOSE(CONTROL!$C$38, 0.0354, 0)</f>
        <v>16.629899999999999</v>
      </c>
      <c r="I102" s="14">
        <f>16.596 * CHOOSE(CONTROL!$C$15, $E$9, 100%, $G$9) + CHOOSE(CONTROL!$C$38, 0.0354, 0)</f>
        <v>16.631399999999999</v>
      </c>
      <c r="J102" s="44">
        <f>124.7206</f>
        <v>124.7206</v>
      </c>
    </row>
    <row r="103" spans="1:10" ht="15" x14ac:dyDescent="0.2">
      <c r="A103" s="13">
        <v>44044</v>
      </c>
      <c r="B103" s="14">
        <f>17.417 * CHOOSE(CONTROL!$C$15, $E$9, 100%, $G$9) + CHOOSE(CONTROL!$C$38, 0.0353, 0)</f>
        <v>17.452300000000001</v>
      </c>
      <c r="C103" s="14">
        <f>16.7537 * CHOOSE(CONTROL!$C$15, $E$9, 100%, $G$9) + CHOOSE(CONTROL!$C$38, 0.0354, 0)</f>
        <v>16.789099999999998</v>
      </c>
      <c r="D103" s="14">
        <f>16.7459 * CHOOSE(CONTROL!$C$15, $E$9, 100%, $G$9) + CHOOSE(CONTROL!$C$38, 0.0354, 0)</f>
        <v>16.781299999999998</v>
      </c>
      <c r="E103" s="14">
        <f>16.7459 * CHOOSE(CONTROL!$C$15, $E$9, 100%, $G$9) + CHOOSE(CONTROL!$C$38, 0.0354, 0)</f>
        <v>16.781299999999998</v>
      </c>
      <c r="F103" s="45">
        <f>17.417 * CHOOSE(CONTROL!$C$15, $E$9, 100%, $G$9) + CHOOSE(CONTROL!$C$38, 0.0353, 0)</f>
        <v>17.452300000000001</v>
      </c>
      <c r="G103" s="14">
        <f>16.7521 * CHOOSE(CONTROL!$C$15, $E$9, 100%, $G$9) + CHOOSE(CONTROL!$C$38, 0.0354, 0)</f>
        <v>16.787499999999998</v>
      </c>
      <c r="H103" s="14">
        <f>16.7521 * CHOOSE(CONTROL!$C$15, $E$9, 100%, $G$9) + CHOOSE(CONTROL!$C$38, 0.0354, 0)</f>
        <v>16.787499999999998</v>
      </c>
      <c r="I103" s="14">
        <f>16.7537 * CHOOSE(CONTROL!$C$15, $E$9, 100%, $G$9) + CHOOSE(CONTROL!$C$38, 0.0354, 0)</f>
        <v>16.789099999999998</v>
      </c>
      <c r="J103" s="44">
        <f>122.0681</f>
        <v>122.0681</v>
      </c>
    </row>
    <row r="104" spans="1:10" ht="15" x14ac:dyDescent="0.2">
      <c r="A104" s="13">
        <v>44075</v>
      </c>
      <c r="B104" s="14">
        <f>17.7902 * CHOOSE(CONTROL!$C$15, $E$9, 100%, $G$9) + CHOOSE(CONTROL!$C$38, 0.0353, 0)</f>
        <v>17.825499999999998</v>
      </c>
      <c r="C104" s="14">
        <f>17.1259 * CHOOSE(CONTROL!$C$15, $E$9, 100%, $G$9) + CHOOSE(CONTROL!$C$38, 0.0354, 0)</f>
        <v>17.161300000000001</v>
      </c>
      <c r="D104" s="14">
        <f>17.1181 * CHOOSE(CONTROL!$C$15, $E$9, 100%, $G$9) + CHOOSE(CONTROL!$C$38, 0.0354, 0)</f>
        <v>17.153499999999998</v>
      </c>
      <c r="E104" s="14">
        <f>17.1181 * CHOOSE(CONTROL!$C$15, $E$9, 100%, $G$9) + CHOOSE(CONTROL!$C$38, 0.0354, 0)</f>
        <v>17.153499999999998</v>
      </c>
      <c r="F104" s="45">
        <f>17.7902 * CHOOSE(CONTROL!$C$15, $E$9, 100%, $G$9) + CHOOSE(CONTROL!$C$38, 0.0353, 0)</f>
        <v>17.825499999999998</v>
      </c>
      <c r="G104" s="14">
        <f>17.1243 * CHOOSE(CONTROL!$C$15, $E$9, 100%, $G$9) + CHOOSE(CONTROL!$C$38, 0.0354, 0)</f>
        <v>17.159700000000001</v>
      </c>
      <c r="H104" s="14">
        <f>17.1243 * CHOOSE(CONTROL!$C$15, $E$9, 100%, $G$9) + CHOOSE(CONTROL!$C$38, 0.0354, 0)</f>
        <v>17.159700000000001</v>
      </c>
      <c r="I104" s="14">
        <f>17.1259 * CHOOSE(CONTROL!$C$15, $E$9, 100%, $G$9) + CHOOSE(CONTROL!$C$38, 0.0354, 0)</f>
        <v>17.161300000000001</v>
      </c>
      <c r="J104" s="44">
        <f>118.2538</f>
        <v>118.2538</v>
      </c>
    </row>
    <row r="105" spans="1:10" ht="15" x14ac:dyDescent="0.2">
      <c r="A105" s="13">
        <v>44105</v>
      </c>
      <c r="B105" s="14">
        <f>18.1098 * CHOOSE(CONTROL!$C$15, $E$9, 100%, $G$9) + CHOOSE(CONTROL!$C$38, 0.034, 0)</f>
        <v>18.143799999999999</v>
      </c>
      <c r="C105" s="14">
        <f>17.4444 * CHOOSE(CONTROL!$C$15, $E$9, 100%, $G$9) + CHOOSE(CONTROL!$C$38, 0.0342, 0)</f>
        <v>17.4786</v>
      </c>
      <c r="D105" s="14">
        <f>17.4366 * CHOOSE(CONTROL!$C$15, $E$9, 100%, $G$9) + CHOOSE(CONTROL!$C$38, 0.0342, 0)</f>
        <v>17.470799999999997</v>
      </c>
      <c r="E105" s="14">
        <f>17.4366 * CHOOSE(CONTROL!$C$15, $E$9, 100%, $G$9) + CHOOSE(CONTROL!$C$38, 0.0342, 0)</f>
        <v>17.470799999999997</v>
      </c>
      <c r="F105" s="45">
        <f>18.1098 * CHOOSE(CONTROL!$C$15, $E$9, 100%, $G$9) + CHOOSE(CONTROL!$C$38, 0.034, 0)</f>
        <v>18.143799999999999</v>
      </c>
      <c r="G105" s="14">
        <f>17.4429 * CHOOSE(CONTROL!$C$15, $E$9, 100%, $G$9) + CHOOSE(CONTROL!$C$38, 0.0342, 0)</f>
        <v>17.4771</v>
      </c>
      <c r="H105" s="14">
        <f>17.4429 * CHOOSE(CONTROL!$C$15, $E$9, 100%, $G$9) + CHOOSE(CONTROL!$C$38, 0.0342, 0)</f>
        <v>17.4771</v>
      </c>
      <c r="I105" s="14">
        <f>17.4444 * CHOOSE(CONTROL!$C$15, $E$9, 100%, $G$9) + CHOOSE(CONTROL!$C$38, 0.0342, 0)</f>
        <v>17.4786</v>
      </c>
      <c r="J105" s="44">
        <f>114.3996</f>
        <v>114.39960000000001</v>
      </c>
    </row>
    <row r="106" spans="1:10" ht="15" x14ac:dyDescent="0.2">
      <c r="A106" s="13">
        <v>44136</v>
      </c>
      <c r="B106" s="14">
        <f>18.3835 * CHOOSE(CONTROL!$C$15, $E$9, 100%, $G$9) + CHOOSE(CONTROL!$C$38, 0.034, 0)</f>
        <v>18.4175</v>
      </c>
      <c r="C106" s="14">
        <f>17.717 * CHOOSE(CONTROL!$C$15, $E$9, 100%, $G$9) + CHOOSE(CONTROL!$C$38, 0.0342, 0)</f>
        <v>17.751199999999997</v>
      </c>
      <c r="D106" s="14">
        <f>17.7092 * CHOOSE(CONTROL!$C$15, $E$9, 100%, $G$9) + CHOOSE(CONTROL!$C$38, 0.0342, 0)</f>
        <v>17.743399999999998</v>
      </c>
      <c r="E106" s="14">
        <f>17.7092 * CHOOSE(CONTROL!$C$15, $E$9, 100%, $G$9) + CHOOSE(CONTROL!$C$38, 0.0342, 0)</f>
        <v>17.743399999999998</v>
      </c>
      <c r="F106" s="45">
        <f>18.3835 * CHOOSE(CONTROL!$C$15, $E$9, 100%, $G$9) + CHOOSE(CONTROL!$C$38, 0.034, 0)</f>
        <v>18.4175</v>
      </c>
      <c r="G106" s="14">
        <f>17.7155 * CHOOSE(CONTROL!$C$15, $E$9, 100%, $G$9) + CHOOSE(CONTROL!$C$38, 0.0342, 0)</f>
        <v>17.749699999999997</v>
      </c>
      <c r="H106" s="14">
        <f>17.7155 * CHOOSE(CONTROL!$C$15, $E$9, 100%, $G$9) + CHOOSE(CONTROL!$C$38, 0.0342, 0)</f>
        <v>17.749699999999997</v>
      </c>
      <c r="I106" s="14">
        <f>17.717 * CHOOSE(CONTROL!$C$15, $E$9, 100%, $G$9) + CHOOSE(CONTROL!$C$38, 0.0342, 0)</f>
        <v>17.751199999999997</v>
      </c>
      <c r="J106" s="44">
        <f>113.8185</f>
        <v>113.8185</v>
      </c>
    </row>
    <row r="107" spans="1:10" ht="15" x14ac:dyDescent="0.2">
      <c r="A107" s="13">
        <v>44166</v>
      </c>
      <c r="B107" s="14">
        <f>19.1538 * CHOOSE(CONTROL!$C$15, $E$9, 100%, $G$9) + CHOOSE(CONTROL!$C$38, 0.034, 0)</f>
        <v>19.187799999999999</v>
      </c>
      <c r="C107" s="14">
        <f>18.4863 * CHOOSE(CONTROL!$C$15, $E$9, 100%, $G$9) + CHOOSE(CONTROL!$C$38, 0.0342, 0)</f>
        <v>18.520499999999998</v>
      </c>
      <c r="D107" s="14">
        <f>18.4785 * CHOOSE(CONTROL!$C$15, $E$9, 100%, $G$9) + CHOOSE(CONTROL!$C$38, 0.0342, 0)</f>
        <v>18.512699999999999</v>
      </c>
      <c r="E107" s="14">
        <f>18.4785 * CHOOSE(CONTROL!$C$15, $E$9, 100%, $G$9) + CHOOSE(CONTROL!$C$38, 0.0342, 0)</f>
        <v>18.512699999999999</v>
      </c>
      <c r="F107" s="45">
        <f>19.1538 * CHOOSE(CONTROL!$C$15, $E$9, 100%, $G$9) + CHOOSE(CONTROL!$C$38, 0.034, 0)</f>
        <v>19.187799999999999</v>
      </c>
      <c r="G107" s="14">
        <f>18.4848 * CHOOSE(CONTROL!$C$15, $E$9, 100%, $G$9) + CHOOSE(CONTROL!$C$38, 0.0342, 0)</f>
        <v>18.518999999999998</v>
      </c>
      <c r="H107" s="14">
        <f>18.4848 * CHOOSE(CONTROL!$C$15, $E$9, 100%, $G$9) + CHOOSE(CONTROL!$C$38, 0.0342, 0)</f>
        <v>18.518999999999998</v>
      </c>
      <c r="I107" s="14">
        <f>18.4863 * CHOOSE(CONTROL!$C$15, $E$9, 100%, $G$9) + CHOOSE(CONTROL!$C$38, 0.0342, 0)</f>
        <v>18.520499999999998</v>
      </c>
      <c r="J107" s="44">
        <f>110.6684</f>
        <v>110.66840000000001</v>
      </c>
    </row>
    <row r="108" spans="1:10" ht="15" x14ac:dyDescent="0.2">
      <c r="A108" s="13">
        <v>44197</v>
      </c>
      <c r="B108" s="14">
        <f>20.3954 * CHOOSE(CONTROL!$C$15, $E$9, 100%, $G$9) + CHOOSE(CONTROL!$C$38, 0.034, 0)</f>
        <v>20.429399999999998</v>
      </c>
      <c r="C108" s="14">
        <f>19.4419 * CHOOSE(CONTROL!$C$15, $E$9, 100%, $G$9) + CHOOSE(CONTROL!$C$38, 0.0342, 0)</f>
        <v>19.476099999999999</v>
      </c>
      <c r="D108" s="14">
        <f>19.4341 * CHOOSE(CONTROL!$C$15, $E$9, 100%, $G$9) + CHOOSE(CONTROL!$C$38, 0.0342, 0)</f>
        <v>19.468299999999999</v>
      </c>
      <c r="E108" s="14">
        <f>19.4341 * CHOOSE(CONTROL!$C$15, $E$9, 100%, $G$9) + CHOOSE(CONTROL!$C$38, 0.0342, 0)</f>
        <v>19.468299999999999</v>
      </c>
      <c r="F108" s="45">
        <f>20.3954 * CHOOSE(CONTROL!$C$15, $E$9, 100%, $G$9) + CHOOSE(CONTROL!$C$38, 0.034, 0)</f>
        <v>20.429399999999998</v>
      </c>
      <c r="G108" s="14">
        <f>19.4404 * CHOOSE(CONTROL!$C$15, $E$9, 100%, $G$9) + CHOOSE(CONTROL!$C$38, 0.0342, 0)</f>
        <v>19.474599999999999</v>
      </c>
      <c r="H108" s="14">
        <f>19.4404 * CHOOSE(CONTROL!$C$15, $E$9, 100%, $G$9) + CHOOSE(CONTROL!$C$38, 0.0342, 0)</f>
        <v>19.474599999999999</v>
      </c>
      <c r="I108" s="14">
        <f>19.4419 * CHOOSE(CONTROL!$C$15, $E$9, 100%, $G$9) + CHOOSE(CONTROL!$C$38, 0.0342, 0)</f>
        <v>19.476099999999999</v>
      </c>
      <c r="J108" s="44">
        <f>110.9959</f>
        <v>110.99590000000001</v>
      </c>
    </row>
    <row r="109" spans="1:10" ht="15" x14ac:dyDescent="0.2">
      <c r="A109" s="13">
        <v>44228</v>
      </c>
      <c r="B109" s="14">
        <f>20.709 * CHOOSE(CONTROL!$C$15, $E$9, 100%, $G$9) + CHOOSE(CONTROL!$C$38, 0.034, 0)</f>
        <v>20.742999999999999</v>
      </c>
      <c r="C109" s="14">
        <f>19.7539 * CHOOSE(CONTROL!$C$15, $E$9, 100%, $G$9) + CHOOSE(CONTROL!$C$38, 0.0342, 0)</f>
        <v>19.7881</v>
      </c>
      <c r="D109" s="14">
        <f>19.7461 * CHOOSE(CONTROL!$C$15, $E$9, 100%, $G$9) + CHOOSE(CONTROL!$C$38, 0.0342, 0)</f>
        <v>19.780299999999997</v>
      </c>
      <c r="E109" s="14">
        <f>19.7461 * CHOOSE(CONTROL!$C$15, $E$9, 100%, $G$9) + CHOOSE(CONTROL!$C$38, 0.0342, 0)</f>
        <v>19.780299999999997</v>
      </c>
      <c r="F109" s="45">
        <f>20.709 * CHOOSE(CONTROL!$C$15, $E$9, 100%, $G$9) + CHOOSE(CONTROL!$C$38, 0.034, 0)</f>
        <v>20.742999999999999</v>
      </c>
      <c r="G109" s="14">
        <f>19.7523 * CHOOSE(CONTROL!$C$15, $E$9, 100%, $G$9) + CHOOSE(CONTROL!$C$38, 0.0342, 0)</f>
        <v>19.7865</v>
      </c>
      <c r="H109" s="14">
        <f>19.7523 * CHOOSE(CONTROL!$C$15, $E$9, 100%, $G$9) + CHOOSE(CONTROL!$C$38, 0.0342, 0)</f>
        <v>19.7865</v>
      </c>
      <c r="I109" s="14">
        <f>19.7539 * CHOOSE(CONTROL!$C$15, $E$9, 100%, $G$9) + CHOOSE(CONTROL!$C$38, 0.0342, 0)</f>
        <v>19.7881</v>
      </c>
      <c r="J109" s="44">
        <f>110.9153</f>
        <v>110.9153</v>
      </c>
    </row>
    <row r="110" spans="1:10" ht="15" x14ac:dyDescent="0.2">
      <c r="A110" s="13">
        <v>44256</v>
      </c>
      <c r="B110" s="14">
        <f>20.1174 * CHOOSE(CONTROL!$C$15, $E$9, 100%, $G$9) + CHOOSE(CONTROL!$C$38, 0.034, 0)</f>
        <v>20.151399999999999</v>
      </c>
      <c r="C110" s="14">
        <f>19.1607 * CHOOSE(CONTROL!$C$15, $E$9, 100%, $G$9) + CHOOSE(CONTROL!$C$38, 0.0342, 0)</f>
        <v>19.194899999999997</v>
      </c>
      <c r="D110" s="14">
        <f>19.1528 * CHOOSE(CONTROL!$C$15, $E$9, 100%, $G$9) + CHOOSE(CONTROL!$C$38, 0.0342, 0)</f>
        <v>19.186999999999998</v>
      </c>
      <c r="E110" s="14">
        <f>19.1528 * CHOOSE(CONTROL!$C$15, $E$9, 100%, $G$9) + CHOOSE(CONTROL!$C$38, 0.0342, 0)</f>
        <v>19.186999999999998</v>
      </c>
      <c r="F110" s="45">
        <f>20.1174 * CHOOSE(CONTROL!$C$15, $E$9, 100%, $G$9) + CHOOSE(CONTROL!$C$38, 0.034, 0)</f>
        <v>20.151399999999999</v>
      </c>
      <c r="G110" s="14">
        <f>19.1591 * CHOOSE(CONTROL!$C$15, $E$9, 100%, $G$9) + CHOOSE(CONTROL!$C$38, 0.0342, 0)</f>
        <v>19.193299999999997</v>
      </c>
      <c r="H110" s="14">
        <f>19.1591 * CHOOSE(CONTROL!$C$15, $E$9, 100%, $G$9) + CHOOSE(CONTROL!$C$38, 0.0342, 0)</f>
        <v>19.193299999999997</v>
      </c>
      <c r="I110" s="14">
        <f>19.1607 * CHOOSE(CONTROL!$C$15, $E$9, 100%, $G$9) + CHOOSE(CONTROL!$C$38, 0.0342, 0)</f>
        <v>19.194899999999997</v>
      </c>
      <c r="J110" s="44">
        <f>117.0017</f>
        <v>117.0017</v>
      </c>
    </row>
    <row r="111" spans="1:10" ht="15" x14ac:dyDescent="0.2">
      <c r="A111" s="13">
        <v>44287</v>
      </c>
      <c r="B111" s="14">
        <f>19.5429 * CHOOSE(CONTROL!$C$15, $E$9, 100%, $G$9) + CHOOSE(CONTROL!$C$38, 0.034, 0)</f>
        <v>19.576899999999998</v>
      </c>
      <c r="C111" s="14">
        <f>18.5846 * CHOOSE(CONTROL!$C$15, $E$9, 100%, $G$9) + CHOOSE(CONTROL!$C$38, 0.0342, 0)</f>
        <v>18.618799999999997</v>
      </c>
      <c r="D111" s="14">
        <f>18.5768 * CHOOSE(CONTROL!$C$15, $E$9, 100%, $G$9) + CHOOSE(CONTROL!$C$38, 0.0342, 0)</f>
        <v>18.610999999999997</v>
      </c>
      <c r="E111" s="14">
        <f>18.5768 * CHOOSE(CONTROL!$C$15, $E$9, 100%, $G$9) + CHOOSE(CONTROL!$C$38, 0.0342, 0)</f>
        <v>18.610999999999997</v>
      </c>
      <c r="F111" s="45">
        <f>19.5429 * CHOOSE(CONTROL!$C$15, $E$9, 100%, $G$9) + CHOOSE(CONTROL!$C$38, 0.034, 0)</f>
        <v>19.576899999999998</v>
      </c>
      <c r="G111" s="14">
        <f>18.583 * CHOOSE(CONTROL!$C$15, $E$9, 100%, $G$9) + CHOOSE(CONTROL!$C$38, 0.0342, 0)</f>
        <v>18.617199999999997</v>
      </c>
      <c r="H111" s="14">
        <f>18.583 * CHOOSE(CONTROL!$C$15, $E$9, 100%, $G$9) + CHOOSE(CONTROL!$C$38, 0.0342, 0)</f>
        <v>18.617199999999997</v>
      </c>
      <c r="I111" s="14">
        <f>18.5846 * CHOOSE(CONTROL!$C$15, $E$9, 100%, $G$9) + CHOOSE(CONTROL!$C$38, 0.0342, 0)</f>
        <v>18.618799999999997</v>
      </c>
      <c r="J111" s="44">
        <f>124.8547</f>
        <v>124.85469999999999</v>
      </c>
    </row>
    <row r="112" spans="1:10" ht="15" x14ac:dyDescent="0.2">
      <c r="A112" s="13">
        <v>44317</v>
      </c>
      <c r="B112" s="14">
        <f>18.94 * CHOOSE(CONTROL!$C$15, $E$9, 100%, $G$9) + CHOOSE(CONTROL!$C$38, 0.0353, 0)</f>
        <v>18.975300000000001</v>
      </c>
      <c r="C112" s="14">
        <f>17.98 * CHOOSE(CONTROL!$C$15, $E$9, 100%, $G$9) + CHOOSE(CONTROL!$C$38, 0.0354, 0)</f>
        <v>18.0154</v>
      </c>
      <c r="D112" s="14">
        <f>17.9722 * CHOOSE(CONTROL!$C$15, $E$9, 100%, $G$9) + CHOOSE(CONTROL!$C$38, 0.0354, 0)</f>
        <v>18.0076</v>
      </c>
      <c r="E112" s="14">
        <f>17.9722 * CHOOSE(CONTROL!$C$15, $E$9, 100%, $G$9) + CHOOSE(CONTROL!$C$38, 0.0354, 0)</f>
        <v>18.0076</v>
      </c>
      <c r="F112" s="45">
        <f>18.94 * CHOOSE(CONTROL!$C$15, $E$9, 100%, $G$9) + CHOOSE(CONTROL!$C$38, 0.0353, 0)</f>
        <v>18.975300000000001</v>
      </c>
      <c r="G112" s="14">
        <f>17.9784 * CHOOSE(CONTROL!$C$15, $E$9, 100%, $G$9) + CHOOSE(CONTROL!$C$38, 0.0354, 0)</f>
        <v>18.0138</v>
      </c>
      <c r="H112" s="14">
        <f>17.9784 * CHOOSE(CONTROL!$C$15, $E$9, 100%, $G$9) + CHOOSE(CONTROL!$C$38, 0.0354, 0)</f>
        <v>18.0138</v>
      </c>
      <c r="I112" s="14">
        <f>17.98 * CHOOSE(CONTROL!$C$15, $E$9, 100%, $G$9) + CHOOSE(CONTROL!$C$38, 0.0354, 0)</f>
        <v>18.0154</v>
      </c>
      <c r="J112" s="44">
        <f>129.3104</f>
        <v>129.31039999999999</v>
      </c>
    </row>
    <row r="113" spans="1:10" ht="15" x14ac:dyDescent="0.2">
      <c r="A113" s="13">
        <v>44348</v>
      </c>
      <c r="B113" s="14">
        <f>18.5268 * CHOOSE(CONTROL!$C$15, $E$9, 100%, $G$9) + CHOOSE(CONTROL!$C$38, 0.0353, 0)</f>
        <v>18.562100000000001</v>
      </c>
      <c r="C113" s="14">
        <f>17.5651 * CHOOSE(CONTROL!$C$15, $E$9, 100%, $G$9) + CHOOSE(CONTROL!$C$38, 0.0354, 0)</f>
        <v>17.6005</v>
      </c>
      <c r="D113" s="14">
        <f>17.5573 * CHOOSE(CONTROL!$C$15, $E$9, 100%, $G$9) + CHOOSE(CONTROL!$C$38, 0.0354, 0)</f>
        <v>17.592700000000001</v>
      </c>
      <c r="E113" s="14">
        <f>17.5573 * CHOOSE(CONTROL!$C$15, $E$9, 100%, $G$9) + CHOOSE(CONTROL!$C$38, 0.0354, 0)</f>
        <v>17.592700000000001</v>
      </c>
      <c r="F113" s="45">
        <f>18.5268 * CHOOSE(CONTROL!$C$15, $E$9, 100%, $G$9) + CHOOSE(CONTROL!$C$38, 0.0353, 0)</f>
        <v>18.562100000000001</v>
      </c>
      <c r="G113" s="14">
        <f>17.5636 * CHOOSE(CONTROL!$C$15, $E$9, 100%, $G$9) + CHOOSE(CONTROL!$C$38, 0.0354, 0)</f>
        <v>17.599</v>
      </c>
      <c r="H113" s="14">
        <f>17.5636 * CHOOSE(CONTROL!$C$15, $E$9, 100%, $G$9) + CHOOSE(CONTROL!$C$38, 0.0354, 0)</f>
        <v>17.599</v>
      </c>
      <c r="I113" s="14">
        <f>17.5651 * CHOOSE(CONTROL!$C$15, $E$9, 100%, $G$9) + CHOOSE(CONTROL!$C$38, 0.0354, 0)</f>
        <v>17.6005</v>
      </c>
      <c r="J113" s="44">
        <f>131.4438</f>
        <v>131.44380000000001</v>
      </c>
    </row>
    <row r="114" spans="1:10" ht="15" x14ac:dyDescent="0.2">
      <c r="A114" s="13">
        <v>44378</v>
      </c>
      <c r="B114" s="14">
        <f>18.3058 * CHOOSE(CONTROL!$C$15, $E$9, 100%, $G$9) + CHOOSE(CONTROL!$C$38, 0.0353, 0)</f>
        <v>18.341100000000001</v>
      </c>
      <c r="C114" s="14">
        <f>17.3425 * CHOOSE(CONTROL!$C$15, $E$9, 100%, $G$9) + CHOOSE(CONTROL!$C$38, 0.0354, 0)</f>
        <v>17.3779</v>
      </c>
      <c r="D114" s="14">
        <f>17.3347 * CHOOSE(CONTROL!$C$15, $E$9, 100%, $G$9) + CHOOSE(CONTROL!$C$38, 0.0354, 0)</f>
        <v>17.370100000000001</v>
      </c>
      <c r="E114" s="14">
        <f>17.3347 * CHOOSE(CONTROL!$C$15, $E$9, 100%, $G$9) + CHOOSE(CONTROL!$C$38, 0.0354, 0)</f>
        <v>17.370100000000001</v>
      </c>
      <c r="F114" s="45">
        <f>18.3058 * CHOOSE(CONTROL!$C$15, $E$9, 100%, $G$9) + CHOOSE(CONTROL!$C$38, 0.0353, 0)</f>
        <v>18.341100000000001</v>
      </c>
      <c r="G114" s="14">
        <f>17.3409 * CHOOSE(CONTROL!$C$15, $E$9, 100%, $G$9) + CHOOSE(CONTROL!$C$38, 0.0354, 0)</f>
        <v>17.376300000000001</v>
      </c>
      <c r="H114" s="14">
        <f>17.3409 * CHOOSE(CONTROL!$C$15, $E$9, 100%, $G$9) + CHOOSE(CONTROL!$C$38, 0.0354, 0)</f>
        <v>17.376300000000001</v>
      </c>
      <c r="I114" s="14">
        <f>17.3425 * CHOOSE(CONTROL!$C$15, $E$9, 100%, $G$9) + CHOOSE(CONTROL!$C$38, 0.0354, 0)</f>
        <v>17.3779</v>
      </c>
      <c r="J114" s="44">
        <f>131.0985</f>
        <v>131.0985</v>
      </c>
    </row>
    <row r="115" spans="1:10" ht="15" x14ac:dyDescent="0.2">
      <c r="A115" s="13">
        <v>44409</v>
      </c>
      <c r="B115" s="14">
        <f>18.4698 * CHOOSE(CONTROL!$C$15, $E$9, 100%, $G$9) + CHOOSE(CONTROL!$C$38, 0.0353, 0)</f>
        <v>18.505099999999999</v>
      </c>
      <c r="C115" s="14">
        <f>17.5048 * CHOOSE(CONTROL!$C$15, $E$9, 100%, $G$9) + CHOOSE(CONTROL!$C$38, 0.0354, 0)</f>
        <v>17.540199999999999</v>
      </c>
      <c r="D115" s="14">
        <f>17.497 * CHOOSE(CONTROL!$C$15, $E$9, 100%, $G$9) + CHOOSE(CONTROL!$C$38, 0.0354, 0)</f>
        <v>17.532399999999999</v>
      </c>
      <c r="E115" s="14">
        <f>17.497 * CHOOSE(CONTROL!$C$15, $E$9, 100%, $G$9) + CHOOSE(CONTROL!$C$38, 0.0354, 0)</f>
        <v>17.532399999999999</v>
      </c>
      <c r="F115" s="45">
        <f>18.4698 * CHOOSE(CONTROL!$C$15, $E$9, 100%, $G$9) + CHOOSE(CONTROL!$C$38, 0.0353, 0)</f>
        <v>18.505099999999999</v>
      </c>
      <c r="G115" s="14">
        <f>17.5032 * CHOOSE(CONTROL!$C$15, $E$9, 100%, $G$9) + CHOOSE(CONTROL!$C$38, 0.0354, 0)</f>
        <v>17.538599999999999</v>
      </c>
      <c r="H115" s="14">
        <f>17.5032 * CHOOSE(CONTROL!$C$15, $E$9, 100%, $G$9) + CHOOSE(CONTROL!$C$38, 0.0354, 0)</f>
        <v>17.538599999999999</v>
      </c>
      <c r="I115" s="14">
        <f>17.5048 * CHOOSE(CONTROL!$C$15, $E$9, 100%, $G$9) + CHOOSE(CONTROL!$C$38, 0.0354, 0)</f>
        <v>17.540199999999999</v>
      </c>
      <c r="J115" s="44">
        <f>128.3104</f>
        <v>128.31039999999999</v>
      </c>
    </row>
    <row r="116" spans="1:10" ht="15" x14ac:dyDescent="0.2">
      <c r="A116" s="13">
        <v>44440</v>
      </c>
      <c r="B116" s="14">
        <f>18.8537 * CHOOSE(CONTROL!$C$15, $E$9, 100%, $G$9) + CHOOSE(CONTROL!$C$38, 0.0353, 0)</f>
        <v>18.888999999999999</v>
      </c>
      <c r="C116" s="14">
        <f>17.887 * CHOOSE(CONTROL!$C$15, $E$9, 100%, $G$9) + CHOOSE(CONTROL!$C$38, 0.0354, 0)</f>
        <v>17.9224</v>
      </c>
      <c r="D116" s="14">
        <f>17.8792 * CHOOSE(CONTROL!$C$15, $E$9, 100%, $G$9) + CHOOSE(CONTROL!$C$38, 0.0354, 0)</f>
        <v>17.9146</v>
      </c>
      <c r="E116" s="14">
        <f>17.8792 * CHOOSE(CONTROL!$C$15, $E$9, 100%, $G$9) + CHOOSE(CONTROL!$C$38, 0.0354, 0)</f>
        <v>17.9146</v>
      </c>
      <c r="F116" s="45">
        <f>18.8537 * CHOOSE(CONTROL!$C$15, $E$9, 100%, $G$9) + CHOOSE(CONTROL!$C$38, 0.0353, 0)</f>
        <v>18.888999999999999</v>
      </c>
      <c r="G116" s="14">
        <f>17.8854 * CHOOSE(CONTROL!$C$15, $E$9, 100%, $G$9) + CHOOSE(CONTROL!$C$38, 0.0354, 0)</f>
        <v>17.9208</v>
      </c>
      <c r="H116" s="14">
        <f>17.8854 * CHOOSE(CONTROL!$C$15, $E$9, 100%, $G$9) + CHOOSE(CONTROL!$C$38, 0.0354, 0)</f>
        <v>17.9208</v>
      </c>
      <c r="I116" s="14">
        <f>17.887 * CHOOSE(CONTROL!$C$15, $E$9, 100%, $G$9) + CHOOSE(CONTROL!$C$38, 0.0354, 0)</f>
        <v>17.9224</v>
      </c>
      <c r="J116" s="44">
        <f>124.3011</f>
        <v>124.30110000000001</v>
      </c>
    </row>
    <row r="117" spans="1:10" ht="15" x14ac:dyDescent="0.2">
      <c r="A117" s="13">
        <v>44470</v>
      </c>
      <c r="B117" s="14">
        <f>19.1825 * CHOOSE(CONTROL!$C$15, $E$9, 100%, $G$9) + CHOOSE(CONTROL!$C$38, 0.034, 0)</f>
        <v>19.2165</v>
      </c>
      <c r="C117" s="14">
        <f>18.2142 * CHOOSE(CONTROL!$C$15, $E$9, 100%, $G$9) + CHOOSE(CONTROL!$C$38, 0.0342, 0)</f>
        <v>18.2484</v>
      </c>
      <c r="D117" s="14">
        <f>18.2064 * CHOOSE(CONTROL!$C$15, $E$9, 100%, $G$9) + CHOOSE(CONTROL!$C$38, 0.0342, 0)</f>
        <v>18.240599999999997</v>
      </c>
      <c r="E117" s="14">
        <f>18.2064 * CHOOSE(CONTROL!$C$15, $E$9, 100%, $G$9) + CHOOSE(CONTROL!$C$38, 0.0342, 0)</f>
        <v>18.240599999999997</v>
      </c>
      <c r="F117" s="45">
        <f>19.1825 * CHOOSE(CONTROL!$C$15, $E$9, 100%, $G$9) + CHOOSE(CONTROL!$C$38, 0.034, 0)</f>
        <v>19.2165</v>
      </c>
      <c r="G117" s="14">
        <f>18.2126 * CHOOSE(CONTROL!$C$15, $E$9, 100%, $G$9) + CHOOSE(CONTROL!$C$38, 0.0342, 0)</f>
        <v>18.246799999999997</v>
      </c>
      <c r="H117" s="14">
        <f>18.2126 * CHOOSE(CONTROL!$C$15, $E$9, 100%, $G$9) + CHOOSE(CONTROL!$C$38, 0.0342, 0)</f>
        <v>18.246799999999997</v>
      </c>
      <c r="I117" s="14">
        <f>18.2142 * CHOOSE(CONTROL!$C$15, $E$9, 100%, $G$9) + CHOOSE(CONTROL!$C$38, 0.0342, 0)</f>
        <v>18.2484</v>
      </c>
      <c r="J117" s="44">
        <f>120.2498</f>
        <v>120.24979999999999</v>
      </c>
    </row>
    <row r="118" spans="1:10" ht="15" x14ac:dyDescent="0.2">
      <c r="A118" s="13">
        <v>44501</v>
      </c>
      <c r="B118" s="14">
        <f>19.4644 * CHOOSE(CONTROL!$C$15, $E$9, 100%, $G$9) + CHOOSE(CONTROL!$C$38, 0.034, 0)</f>
        <v>19.4984</v>
      </c>
      <c r="C118" s="14">
        <f>18.4944 * CHOOSE(CONTROL!$C$15, $E$9, 100%, $G$9) + CHOOSE(CONTROL!$C$38, 0.0342, 0)</f>
        <v>18.528599999999997</v>
      </c>
      <c r="D118" s="14">
        <f>18.4865 * CHOOSE(CONTROL!$C$15, $E$9, 100%, $G$9) + CHOOSE(CONTROL!$C$38, 0.0342, 0)</f>
        <v>18.520699999999998</v>
      </c>
      <c r="E118" s="14">
        <f>18.4865 * CHOOSE(CONTROL!$C$15, $E$9, 100%, $G$9) + CHOOSE(CONTROL!$C$38, 0.0342, 0)</f>
        <v>18.520699999999998</v>
      </c>
      <c r="F118" s="45">
        <f>19.4644 * CHOOSE(CONTROL!$C$15, $E$9, 100%, $G$9) + CHOOSE(CONTROL!$C$38, 0.034, 0)</f>
        <v>19.4984</v>
      </c>
      <c r="G118" s="14">
        <f>18.4928 * CHOOSE(CONTROL!$C$15, $E$9, 100%, $G$9) + CHOOSE(CONTROL!$C$38, 0.0342, 0)</f>
        <v>18.526999999999997</v>
      </c>
      <c r="H118" s="14">
        <f>18.4928 * CHOOSE(CONTROL!$C$15, $E$9, 100%, $G$9) + CHOOSE(CONTROL!$C$38, 0.0342, 0)</f>
        <v>18.526999999999997</v>
      </c>
      <c r="I118" s="14">
        <f>18.4944 * CHOOSE(CONTROL!$C$15, $E$9, 100%, $G$9) + CHOOSE(CONTROL!$C$38, 0.0342, 0)</f>
        <v>18.528599999999997</v>
      </c>
      <c r="J118" s="44">
        <f>119.6389</f>
        <v>119.63890000000001</v>
      </c>
    </row>
    <row r="119" spans="1:10" ht="15" x14ac:dyDescent="0.2">
      <c r="A119" s="13">
        <v>44531</v>
      </c>
      <c r="B119" s="14">
        <f>20.2553 * CHOOSE(CONTROL!$C$15, $E$9, 100%, $G$9) + CHOOSE(CONTROL!$C$38, 0.034, 0)</f>
        <v>20.289299999999997</v>
      </c>
      <c r="C119" s="14">
        <f>19.2836 * CHOOSE(CONTROL!$C$15, $E$9, 100%, $G$9) + CHOOSE(CONTROL!$C$38, 0.0342, 0)</f>
        <v>19.317799999999998</v>
      </c>
      <c r="D119" s="14">
        <f>19.2758 * CHOOSE(CONTROL!$C$15, $E$9, 100%, $G$9) + CHOOSE(CONTROL!$C$38, 0.0342, 0)</f>
        <v>19.309999999999999</v>
      </c>
      <c r="E119" s="14">
        <f>19.2758 * CHOOSE(CONTROL!$C$15, $E$9, 100%, $G$9) + CHOOSE(CONTROL!$C$38, 0.0342, 0)</f>
        <v>19.309999999999999</v>
      </c>
      <c r="F119" s="45">
        <f>20.2553 * CHOOSE(CONTROL!$C$15, $E$9, 100%, $G$9) + CHOOSE(CONTROL!$C$38, 0.034, 0)</f>
        <v>20.289299999999997</v>
      </c>
      <c r="G119" s="14">
        <f>19.282 * CHOOSE(CONTROL!$C$15, $E$9, 100%, $G$9) + CHOOSE(CONTROL!$C$38, 0.0342, 0)</f>
        <v>19.316199999999998</v>
      </c>
      <c r="H119" s="14">
        <f>19.282 * CHOOSE(CONTROL!$C$15, $E$9, 100%, $G$9) + CHOOSE(CONTROL!$C$38, 0.0342, 0)</f>
        <v>19.316199999999998</v>
      </c>
      <c r="I119" s="14">
        <f>19.2836 * CHOOSE(CONTROL!$C$15, $E$9, 100%, $G$9) + CHOOSE(CONTROL!$C$38, 0.0342, 0)</f>
        <v>19.317799999999998</v>
      </c>
      <c r="J119" s="44">
        <f>116.3278</f>
        <v>116.3278</v>
      </c>
    </row>
    <row r="120" spans="1:10" ht="15" x14ac:dyDescent="0.2">
      <c r="A120" s="13">
        <v>44562</v>
      </c>
      <c r="B120" s="14">
        <f>21.2567 * CHOOSE(CONTROL!$C$15, $E$9, 100%, $G$9) + CHOOSE(CONTROL!$C$38, 0.034, 0)</f>
        <v>21.290699999999998</v>
      </c>
      <c r="C120" s="14">
        <f>20.2993 * CHOOSE(CONTROL!$C$15, $E$9, 100%, $G$9) + CHOOSE(CONTROL!$C$38, 0.0342, 0)</f>
        <v>20.333499999999997</v>
      </c>
      <c r="D120" s="14">
        <f>20.2915 * CHOOSE(CONTROL!$C$15, $E$9, 100%, $G$9) + CHOOSE(CONTROL!$C$38, 0.0342, 0)</f>
        <v>20.325699999999998</v>
      </c>
      <c r="E120" s="14">
        <f>20.2915 * CHOOSE(CONTROL!$C$15, $E$9, 100%, $G$9) + CHOOSE(CONTROL!$C$38, 0.0342, 0)</f>
        <v>20.325699999999998</v>
      </c>
      <c r="F120" s="45">
        <f>21.2567 * CHOOSE(CONTROL!$C$15, $E$9, 100%, $G$9) + CHOOSE(CONTROL!$C$38, 0.034, 0)</f>
        <v>21.290699999999998</v>
      </c>
      <c r="G120" s="14">
        <f>20.2978 * CHOOSE(CONTROL!$C$15, $E$9, 100%, $G$9) + CHOOSE(CONTROL!$C$38, 0.0342, 0)</f>
        <v>20.331999999999997</v>
      </c>
      <c r="H120" s="14">
        <f>20.2978 * CHOOSE(CONTROL!$C$15, $E$9, 100%, $G$9) + CHOOSE(CONTROL!$C$38, 0.0342, 0)</f>
        <v>20.331999999999997</v>
      </c>
      <c r="I120" s="14">
        <f>20.2993 * CHOOSE(CONTROL!$C$15, $E$9, 100%, $G$9) + CHOOSE(CONTROL!$C$38, 0.0342, 0)</f>
        <v>20.333499999999997</v>
      </c>
      <c r="J120" s="44">
        <f>116.6657</f>
        <v>116.6657</v>
      </c>
    </row>
    <row r="121" spans="1:10" ht="15" x14ac:dyDescent="0.2">
      <c r="A121" s="13">
        <v>44593</v>
      </c>
      <c r="B121" s="14">
        <f>21.5789 * CHOOSE(CONTROL!$C$15, $E$9, 100%, $G$9) + CHOOSE(CONTROL!$C$38, 0.034, 0)</f>
        <v>21.6129</v>
      </c>
      <c r="C121" s="14">
        <f>20.6199 * CHOOSE(CONTROL!$C$15, $E$9, 100%, $G$9) + CHOOSE(CONTROL!$C$38, 0.0342, 0)</f>
        <v>20.6541</v>
      </c>
      <c r="D121" s="14">
        <f>20.6121 * CHOOSE(CONTROL!$C$15, $E$9, 100%, $G$9) + CHOOSE(CONTROL!$C$38, 0.0342, 0)</f>
        <v>20.6463</v>
      </c>
      <c r="E121" s="14">
        <f>20.6121 * CHOOSE(CONTROL!$C$15, $E$9, 100%, $G$9) + CHOOSE(CONTROL!$C$38, 0.0342, 0)</f>
        <v>20.6463</v>
      </c>
      <c r="F121" s="45">
        <f>21.5789 * CHOOSE(CONTROL!$C$15, $E$9, 100%, $G$9) + CHOOSE(CONTROL!$C$38, 0.034, 0)</f>
        <v>21.6129</v>
      </c>
      <c r="G121" s="14">
        <f>20.6183 * CHOOSE(CONTROL!$C$15, $E$9, 100%, $G$9) + CHOOSE(CONTROL!$C$38, 0.0342, 0)</f>
        <v>20.6525</v>
      </c>
      <c r="H121" s="14">
        <f>20.6183 * CHOOSE(CONTROL!$C$15, $E$9, 100%, $G$9) + CHOOSE(CONTROL!$C$38, 0.0342, 0)</f>
        <v>20.6525</v>
      </c>
      <c r="I121" s="14">
        <f>20.6199 * CHOOSE(CONTROL!$C$15, $E$9, 100%, $G$9) + CHOOSE(CONTROL!$C$38, 0.0342, 0)</f>
        <v>20.6541</v>
      </c>
      <c r="J121" s="44">
        <f>116.5811</f>
        <v>116.58110000000001</v>
      </c>
    </row>
    <row r="122" spans="1:10" ht="15" x14ac:dyDescent="0.2">
      <c r="A122" s="13">
        <v>44621</v>
      </c>
      <c r="B122" s="14">
        <f>20.9733 * CHOOSE(CONTROL!$C$15, $E$9, 100%, $G$9) + CHOOSE(CONTROL!$C$38, 0.034, 0)</f>
        <v>21.007299999999997</v>
      </c>
      <c r="C122" s="14">
        <f>20.0126 * CHOOSE(CONTROL!$C$15, $E$9, 100%, $G$9) + CHOOSE(CONTROL!$C$38, 0.0342, 0)</f>
        <v>20.046799999999998</v>
      </c>
      <c r="D122" s="14">
        <f>20.0048 * CHOOSE(CONTROL!$C$15, $E$9, 100%, $G$9) + CHOOSE(CONTROL!$C$38, 0.0342, 0)</f>
        <v>20.038999999999998</v>
      </c>
      <c r="E122" s="14">
        <f>20.0048 * CHOOSE(CONTROL!$C$15, $E$9, 100%, $G$9) + CHOOSE(CONTROL!$C$38, 0.0342, 0)</f>
        <v>20.038999999999998</v>
      </c>
      <c r="F122" s="45">
        <f>20.9733 * CHOOSE(CONTROL!$C$15, $E$9, 100%, $G$9) + CHOOSE(CONTROL!$C$38, 0.034, 0)</f>
        <v>21.007299999999997</v>
      </c>
      <c r="G122" s="14">
        <f>20.011 * CHOOSE(CONTROL!$C$15, $E$9, 100%, $G$9) + CHOOSE(CONTROL!$C$38, 0.0342, 0)</f>
        <v>20.045199999999998</v>
      </c>
      <c r="H122" s="14">
        <f>20.011 * CHOOSE(CONTROL!$C$15, $E$9, 100%, $G$9) + CHOOSE(CONTROL!$C$38, 0.0342, 0)</f>
        <v>20.045199999999998</v>
      </c>
      <c r="I122" s="14">
        <f>20.0126 * CHOOSE(CONTROL!$C$15, $E$9, 100%, $G$9) + CHOOSE(CONTROL!$C$38, 0.0342, 0)</f>
        <v>20.046799999999998</v>
      </c>
      <c r="J122" s="44">
        <f>122.9784</f>
        <v>122.97839999999999</v>
      </c>
    </row>
    <row r="123" spans="1:10" ht="15" x14ac:dyDescent="0.2">
      <c r="A123" s="13">
        <v>44652</v>
      </c>
      <c r="B123" s="14">
        <f>20.3852 * CHOOSE(CONTROL!$C$15, $E$9, 100%, $G$9) + CHOOSE(CONTROL!$C$38, 0.034, 0)</f>
        <v>20.4192</v>
      </c>
      <c r="C123" s="14">
        <f>19.4229 * CHOOSE(CONTROL!$C$15, $E$9, 100%, $G$9) + CHOOSE(CONTROL!$C$38, 0.0342, 0)</f>
        <v>19.457099999999997</v>
      </c>
      <c r="D123" s="14">
        <f>19.4151 * CHOOSE(CONTROL!$C$15, $E$9, 100%, $G$9) + CHOOSE(CONTROL!$C$38, 0.0342, 0)</f>
        <v>19.449299999999997</v>
      </c>
      <c r="E123" s="14">
        <f>19.4151 * CHOOSE(CONTROL!$C$15, $E$9, 100%, $G$9) + CHOOSE(CONTROL!$C$38, 0.0342, 0)</f>
        <v>19.449299999999997</v>
      </c>
      <c r="F123" s="45">
        <f>20.3852 * CHOOSE(CONTROL!$C$15, $E$9, 100%, $G$9) + CHOOSE(CONTROL!$C$38, 0.034, 0)</f>
        <v>20.4192</v>
      </c>
      <c r="G123" s="14">
        <f>19.4213 * CHOOSE(CONTROL!$C$15, $E$9, 100%, $G$9) + CHOOSE(CONTROL!$C$38, 0.0342, 0)</f>
        <v>19.455499999999997</v>
      </c>
      <c r="H123" s="14">
        <f>19.4213 * CHOOSE(CONTROL!$C$15, $E$9, 100%, $G$9) + CHOOSE(CONTROL!$C$38, 0.0342, 0)</f>
        <v>19.455499999999997</v>
      </c>
      <c r="I123" s="14">
        <f>19.4229 * CHOOSE(CONTROL!$C$15, $E$9, 100%, $G$9) + CHOOSE(CONTROL!$C$38, 0.0342, 0)</f>
        <v>19.457099999999997</v>
      </c>
      <c r="J123" s="44">
        <f>131.2325</f>
        <v>131.23249999999999</v>
      </c>
    </row>
    <row r="124" spans="1:10" ht="15" x14ac:dyDescent="0.2">
      <c r="A124" s="13">
        <v>44682</v>
      </c>
      <c r="B124" s="14">
        <f>19.768 * CHOOSE(CONTROL!$C$15, $E$9, 100%, $G$9) + CHOOSE(CONTROL!$C$38, 0.0353, 0)</f>
        <v>19.8033</v>
      </c>
      <c r="C124" s="14">
        <f>18.804 * CHOOSE(CONTROL!$C$15, $E$9, 100%, $G$9) + CHOOSE(CONTROL!$C$38, 0.0354, 0)</f>
        <v>18.839399999999998</v>
      </c>
      <c r="D124" s="14">
        <f>18.7962 * CHOOSE(CONTROL!$C$15, $E$9, 100%, $G$9) + CHOOSE(CONTROL!$C$38, 0.0354, 0)</f>
        <v>18.831599999999998</v>
      </c>
      <c r="E124" s="14">
        <f>18.7962 * CHOOSE(CONTROL!$C$15, $E$9, 100%, $G$9) + CHOOSE(CONTROL!$C$38, 0.0354, 0)</f>
        <v>18.831599999999998</v>
      </c>
      <c r="F124" s="45">
        <f>19.768 * CHOOSE(CONTROL!$C$15, $E$9, 100%, $G$9) + CHOOSE(CONTROL!$C$38, 0.0353, 0)</f>
        <v>19.8033</v>
      </c>
      <c r="G124" s="14">
        <f>18.8024 * CHOOSE(CONTROL!$C$15, $E$9, 100%, $G$9) + CHOOSE(CONTROL!$C$38, 0.0354, 0)</f>
        <v>18.837799999999998</v>
      </c>
      <c r="H124" s="14">
        <f>18.8024 * CHOOSE(CONTROL!$C$15, $E$9, 100%, $G$9) + CHOOSE(CONTROL!$C$38, 0.0354, 0)</f>
        <v>18.837799999999998</v>
      </c>
      <c r="I124" s="14">
        <f>18.804 * CHOOSE(CONTROL!$C$15, $E$9, 100%, $G$9) + CHOOSE(CONTROL!$C$38, 0.0354, 0)</f>
        <v>18.839399999999998</v>
      </c>
      <c r="J124" s="44">
        <f>135.9158</f>
        <v>135.91579999999999</v>
      </c>
    </row>
    <row r="125" spans="1:10" ht="15" x14ac:dyDescent="0.2">
      <c r="A125" s="13">
        <v>44713</v>
      </c>
      <c r="B125" s="14">
        <f>19.3452 * CHOOSE(CONTROL!$C$15, $E$9, 100%, $G$9) + CHOOSE(CONTROL!$C$38, 0.0353, 0)</f>
        <v>19.380499999999998</v>
      </c>
      <c r="C125" s="14">
        <f>18.3796 * CHOOSE(CONTROL!$C$15, $E$9, 100%, $G$9) + CHOOSE(CONTROL!$C$38, 0.0354, 0)</f>
        <v>18.414999999999999</v>
      </c>
      <c r="D125" s="14">
        <f>18.3718 * CHOOSE(CONTROL!$C$15, $E$9, 100%, $G$9) + CHOOSE(CONTROL!$C$38, 0.0354, 0)</f>
        <v>18.4072</v>
      </c>
      <c r="E125" s="14">
        <f>18.3718 * CHOOSE(CONTROL!$C$15, $E$9, 100%, $G$9) + CHOOSE(CONTROL!$C$38, 0.0354, 0)</f>
        <v>18.4072</v>
      </c>
      <c r="F125" s="45">
        <f>19.3452 * CHOOSE(CONTROL!$C$15, $E$9, 100%, $G$9) + CHOOSE(CONTROL!$C$38, 0.0353, 0)</f>
        <v>19.380499999999998</v>
      </c>
      <c r="G125" s="14">
        <f>18.378 * CHOOSE(CONTROL!$C$15, $E$9, 100%, $G$9) + CHOOSE(CONTROL!$C$38, 0.0354, 0)</f>
        <v>18.413399999999999</v>
      </c>
      <c r="H125" s="14">
        <f>18.378 * CHOOSE(CONTROL!$C$15, $E$9, 100%, $G$9) + CHOOSE(CONTROL!$C$38, 0.0354, 0)</f>
        <v>18.413399999999999</v>
      </c>
      <c r="I125" s="14">
        <f>18.3796 * CHOOSE(CONTROL!$C$15, $E$9, 100%, $G$9) + CHOOSE(CONTROL!$C$38, 0.0354, 0)</f>
        <v>18.414999999999999</v>
      </c>
      <c r="J125" s="44">
        <f>138.1582</f>
        <v>138.15819999999999</v>
      </c>
    </row>
    <row r="126" spans="1:10" ht="15" x14ac:dyDescent="0.2">
      <c r="A126" s="13">
        <v>44743</v>
      </c>
      <c r="B126" s="14">
        <f>19.1195 * CHOOSE(CONTROL!$C$15, $E$9, 100%, $G$9) + CHOOSE(CONTROL!$C$38, 0.0353, 0)</f>
        <v>19.154799999999998</v>
      </c>
      <c r="C126" s="14">
        <f>18.1522 * CHOOSE(CONTROL!$C$15, $E$9, 100%, $G$9) + CHOOSE(CONTROL!$C$38, 0.0354, 0)</f>
        <v>18.1876</v>
      </c>
      <c r="D126" s="14">
        <f>18.1443 * CHOOSE(CONTROL!$C$15, $E$9, 100%, $G$9) + CHOOSE(CONTROL!$C$38, 0.0354, 0)</f>
        <v>18.1797</v>
      </c>
      <c r="E126" s="14">
        <f>18.1443 * CHOOSE(CONTROL!$C$15, $E$9, 100%, $G$9) + CHOOSE(CONTROL!$C$38, 0.0354, 0)</f>
        <v>18.1797</v>
      </c>
      <c r="F126" s="45">
        <f>19.1195 * CHOOSE(CONTROL!$C$15, $E$9, 100%, $G$9) + CHOOSE(CONTROL!$C$38, 0.0353, 0)</f>
        <v>19.154799999999998</v>
      </c>
      <c r="G126" s="14">
        <f>18.1506 * CHOOSE(CONTROL!$C$15, $E$9, 100%, $G$9) + CHOOSE(CONTROL!$C$38, 0.0354, 0)</f>
        <v>18.186</v>
      </c>
      <c r="H126" s="14">
        <f>18.1506 * CHOOSE(CONTROL!$C$15, $E$9, 100%, $G$9) + CHOOSE(CONTROL!$C$38, 0.0354, 0)</f>
        <v>18.186</v>
      </c>
      <c r="I126" s="14">
        <f>18.1522 * CHOOSE(CONTROL!$C$15, $E$9, 100%, $G$9) + CHOOSE(CONTROL!$C$38, 0.0354, 0)</f>
        <v>18.1876</v>
      </c>
      <c r="J126" s="44">
        <f>137.7953</f>
        <v>137.7953</v>
      </c>
    </row>
    <row r="127" spans="1:10" ht="15" x14ac:dyDescent="0.2">
      <c r="A127" s="13">
        <v>44774</v>
      </c>
      <c r="B127" s="14">
        <f>19.2883 * CHOOSE(CONTROL!$C$15, $E$9, 100%, $G$9) + CHOOSE(CONTROL!$C$38, 0.0353, 0)</f>
        <v>19.323599999999999</v>
      </c>
      <c r="C127" s="14">
        <f>18.3193 * CHOOSE(CONTROL!$C$15, $E$9, 100%, $G$9) + CHOOSE(CONTROL!$C$38, 0.0354, 0)</f>
        <v>18.354699999999998</v>
      </c>
      <c r="D127" s="14">
        <f>18.3115 * CHOOSE(CONTROL!$C$15, $E$9, 100%, $G$9) + CHOOSE(CONTROL!$C$38, 0.0354, 0)</f>
        <v>18.346899999999998</v>
      </c>
      <c r="E127" s="14">
        <f>18.3115 * CHOOSE(CONTROL!$C$15, $E$9, 100%, $G$9) + CHOOSE(CONTROL!$C$38, 0.0354, 0)</f>
        <v>18.346899999999998</v>
      </c>
      <c r="F127" s="45">
        <f>19.2883 * CHOOSE(CONTROL!$C$15, $E$9, 100%, $G$9) + CHOOSE(CONTROL!$C$38, 0.0353, 0)</f>
        <v>19.323599999999999</v>
      </c>
      <c r="G127" s="14">
        <f>18.3178 * CHOOSE(CONTROL!$C$15, $E$9, 100%, $G$9) + CHOOSE(CONTROL!$C$38, 0.0354, 0)</f>
        <v>18.353199999999998</v>
      </c>
      <c r="H127" s="14">
        <f>18.3178 * CHOOSE(CONTROL!$C$15, $E$9, 100%, $G$9) + CHOOSE(CONTROL!$C$38, 0.0354, 0)</f>
        <v>18.353199999999998</v>
      </c>
      <c r="I127" s="14">
        <f>18.3193 * CHOOSE(CONTROL!$C$15, $E$9, 100%, $G$9) + CHOOSE(CONTROL!$C$38, 0.0354, 0)</f>
        <v>18.354699999999998</v>
      </c>
      <c r="J127" s="44">
        <f>134.8647</f>
        <v>134.8647</v>
      </c>
    </row>
    <row r="128" spans="1:10" ht="15" x14ac:dyDescent="0.2">
      <c r="A128" s="13">
        <v>44805</v>
      </c>
      <c r="B128" s="14">
        <f>19.6825 * CHOOSE(CONTROL!$C$15, $E$9, 100%, $G$9) + CHOOSE(CONTROL!$C$38, 0.0353, 0)</f>
        <v>19.7178</v>
      </c>
      <c r="C128" s="14">
        <f>18.7119 * CHOOSE(CONTROL!$C$15, $E$9, 100%, $G$9) + CHOOSE(CONTROL!$C$38, 0.0354, 0)</f>
        <v>18.747299999999999</v>
      </c>
      <c r="D128" s="14">
        <f>18.7041 * CHOOSE(CONTROL!$C$15, $E$9, 100%, $G$9) + CHOOSE(CONTROL!$C$38, 0.0354, 0)</f>
        <v>18.7395</v>
      </c>
      <c r="E128" s="14">
        <f>18.7041 * CHOOSE(CONTROL!$C$15, $E$9, 100%, $G$9) + CHOOSE(CONTROL!$C$38, 0.0354, 0)</f>
        <v>18.7395</v>
      </c>
      <c r="F128" s="45">
        <f>19.6825 * CHOOSE(CONTROL!$C$15, $E$9, 100%, $G$9) + CHOOSE(CONTROL!$C$38, 0.0353, 0)</f>
        <v>19.7178</v>
      </c>
      <c r="G128" s="14">
        <f>18.7103 * CHOOSE(CONTROL!$C$15, $E$9, 100%, $G$9) + CHOOSE(CONTROL!$C$38, 0.0354, 0)</f>
        <v>18.745699999999999</v>
      </c>
      <c r="H128" s="14">
        <f>18.7103 * CHOOSE(CONTROL!$C$15, $E$9, 100%, $G$9) + CHOOSE(CONTROL!$C$38, 0.0354, 0)</f>
        <v>18.745699999999999</v>
      </c>
      <c r="I128" s="14">
        <f>18.7119 * CHOOSE(CONTROL!$C$15, $E$9, 100%, $G$9) + CHOOSE(CONTROL!$C$38, 0.0354, 0)</f>
        <v>18.747299999999999</v>
      </c>
      <c r="J128" s="44">
        <f>130.6506</f>
        <v>130.6506</v>
      </c>
    </row>
    <row r="129" spans="1:10" ht="15" x14ac:dyDescent="0.2">
      <c r="A129" s="13">
        <v>44835</v>
      </c>
      <c r="B129" s="14">
        <f>20.0204 * CHOOSE(CONTROL!$C$15, $E$9, 100%, $G$9) + CHOOSE(CONTROL!$C$38, 0.034, 0)</f>
        <v>20.054399999999998</v>
      </c>
      <c r="C129" s="14">
        <f>19.0481 * CHOOSE(CONTROL!$C$15, $E$9, 100%, $G$9) + CHOOSE(CONTROL!$C$38, 0.0342, 0)</f>
        <v>19.0823</v>
      </c>
      <c r="D129" s="14">
        <f>19.0403 * CHOOSE(CONTROL!$C$15, $E$9, 100%, $G$9) + CHOOSE(CONTROL!$C$38, 0.0342, 0)</f>
        <v>19.074499999999997</v>
      </c>
      <c r="E129" s="14">
        <f>19.0403 * CHOOSE(CONTROL!$C$15, $E$9, 100%, $G$9) + CHOOSE(CONTROL!$C$38, 0.0342, 0)</f>
        <v>19.074499999999997</v>
      </c>
      <c r="F129" s="45">
        <f>20.0204 * CHOOSE(CONTROL!$C$15, $E$9, 100%, $G$9) + CHOOSE(CONTROL!$C$38, 0.034, 0)</f>
        <v>20.054399999999998</v>
      </c>
      <c r="G129" s="14">
        <f>19.0465 * CHOOSE(CONTROL!$C$15, $E$9, 100%, $G$9) + CHOOSE(CONTROL!$C$38, 0.0342, 0)</f>
        <v>19.0807</v>
      </c>
      <c r="H129" s="14">
        <f>19.0465 * CHOOSE(CONTROL!$C$15, $E$9, 100%, $G$9) + CHOOSE(CONTROL!$C$38, 0.0342, 0)</f>
        <v>19.0807</v>
      </c>
      <c r="I129" s="14">
        <f>19.0481 * CHOOSE(CONTROL!$C$15, $E$9, 100%, $G$9) + CHOOSE(CONTROL!$C$38, 0.0342, 0)</f>
        <v>19.0823</v>
      </c>
      <c r="J129" s="44">
        <f>126.3924</f>
        <v>126.39239999999999</v>
      </c>
    </row>
    <row r="130" spans="1:10" ht="15" x14ac:dyDescent="0.2">
      <c r="A130" s="13">
        <v>44866</v>
      </c>
      <c r="B130" s="14">
        <f>20.31 * CHOOSE(CONTROL!$C$15, $E$9, 100%, $G$9) + CHOOSE(CONTROL!$C$38, 0.034, 0)</f>
        <v>20.343999999999998</v>
      </c>
      <c r="C130" s="14">
        <f>19.336 * CHOOSE(CONTROL!$C$15, $E$9, 100%, $G$9) + CHOOSE(CONTROL!$C$38, 0.0342, 0)</f>
        <v>19.370199999999997</v>
      </c>
      <c r="D130" s="14">
        <f>19.3282 * CHOOSE(CONTROL!$C$15, $E$9, 100%, $G$9) + CHOOSE(CONTROL!$C$38, 0.0342, 0)</f>
        <v>19.362399999999997</v>
      </c>
      <c r="E130" s="14">
        <f>19.3282 * CHOOSE(CONTROL!$C$15, $E$9, 100%, $G$9) + CHOOSE(CONTROL!$C$38, 0.0342, 0)</f>
        <v>19.362399999999997</v>
      </c>
      <c r="F130" s="45">
        <f>20.31 * CHOOSE(CONTROL!$C$15, $E$9, 100%, $G$9) + CHOOSE(CONTROL!$C$38, 0.034, 0)</f>
        <v>20.343999999999998</v>
      </c>
      <c r="G130" s="14">
        <f>19.3345 * CHOOSE(CONTROL!$C$15, $E$9, 100%, $G$9) + CHOOSE(CONTROL!$C$38, 0.0342, 0)</f>
        <v>19.368699999999997</v>
      </c>
      <c r="H130" s="14">
        <f>19.3345 * CHOOSE(CONTROL!$C$15, $E$9, 100%, $G$9) + CHOOSE(CONTROL!$C$38, 0.0342, 0)</f>
        <v>19.368699999999997</v>
      </c>
      <c r="I130" s="14">
        <f>19.336 * CHOOSE(CONTROL!$C$15, $E$9, 100%, $G$9) + CHOOSE(CONTROL!$C$38, 0.0342, 0)</f>
        <v>19.370199999999997</v>
      </c>
      <c r="J130" s="44">
        <f>125.7503</f>
        <v>125.7503</v>
      </c>
    </row>
    <row r="131" spans="1:10" ht="15" x14ac:dyDescent="0.2">
      <c r="A131" s="13">
        <v>44896</v>
      </c>
      <c r="B131" s="14">
        <f>21.1215 * CHOOSE(CONTROL!$C$15, $E$9, 100%, $G$9) + CHOOSE(CONTROL!$C$38, 0.034, 0)</f>
        <v>21.1555</v>
      </c>
      <c r="C131" s="14">
        <f>20.1458 * CHOOSE(CONTROL!$C$15, $E$9, 100%, $G$9) + CHOOSE(CONTROL!$C$38, 0.0342, 0)</f>
        <v>20.18</v>
      </c>
      <c r="D131" s="14">
        <f>20.138 * CHOOSE(CONTROL!$C$15, $E$9, 100%, $G$9) + CHOOSE(CONTROL!$C$38, 0.0342, 0)</f>
        <v>20.1722</v>
      </c>
      <c r="E131" s="14">
        <f>20.138 * CHOOSE(CONTROL!$C$15, $E$9, 100%, $G$9) + CHOOSE(CONTROL!$C$38, 0.0342, 0)</f>
        <v>20.1722</v>
      </c>
      <c r="F131" s="45">
        <f>21.1215 * CHOOSE(CONTROL!$C$15, $E$9, 100%, $G$9) + CHOOSE(CONTROL!$C$38, 0.034, 0)</f>
        <v>21.1555</v>
      </c>
      <c r="G131" s="14">
        <f>20.1442 * CHOOSE(CONTROL!$C$15, $E$9, 100%, $G$9) + CHOOSE(CONTROL!$C$38, 0.0342, 0)</f>
        <v>20.1784</v>
      </c>
      <c r="H131" s="14">
        <f>20.1442 * CHOOSE(CONTROL!$C$15, $E$9, 100%, $G$9) + CHOOSE(CONTROL!$C$38, 0.0342, 0)</f>
        <v>20.1784</v>
      </c>
      <c r="I131" s="14">
        <f>20.1458 * CHOOSE(CONTROL!$C$15, $E$9, 100%, $G$9) + CHOOSE(CONTROL!$C$38, 0.0342, 0)</f>
        <v>20.18</v>
      </c>
      <c r="J131" s="44">
        <f>122.27</f>
        <v>122.27</v>
      </c>
    </row>
    <row r="132" spans="1:10" ht="15" x14ac:dyDescent="0.2">
      <c r="A132" s="13">
        <v>44927</v>
      </c>
      <c r="B132" s="14">
        <f>22.3759 * CHOOSE(CONTROL!$C$15, $E$9, 100%, $G$9) + CHOOSE(CONTROL!$C$38, 0.034, 0)</f>
        <v>22.4099</v>
      </c>
      <c r="C132" s="14">
        <f>21.2536 * CHOOSE(CONTROL!$C$15, $E$9, 100%, $G$9) + CHOOSE(CONTROL!$C$38, 0.0342, 0)</f>
        <v>21.287799999999997</v>
      </c>
      <c r="D132" s="14">
        <f>21.2458 * CHOOSE(CONTROL!$C$15, $E$9, 100%, $G$9) + CHOOSE(CONTROL!$C$38, 0.0342, 0)</f>
        <v>21.279999999999998</v>
      </c>
      <c r="E132" s="14">
        <f>21.2458 * CHOOSE(CONTROL!$C$15, $E$9, 100%, $G$9) + CHOOSE(CONTROL!$C$38, 0.0342, 0)</f>
        <v>21.279999999999998</v>
      </c>
      <c r="F132" s="45">
        <f>22.3759 * CHOOSE(CONTROL!$C$15, $E$9, 100%, $G$9) + CHOOSE(CONTROL!$C$38, 0.034, 0)</f>
        <v>22.4099</v>
      </c>
      <c r="G132" s="14">
        <f>21.2521 * CHOOSE(CONTROL!$C$15, $E$9, 100%, $G$9) + CHOOSE(CONTROL!$C$38, 0.0342, 0)</f>
        <v>21.286299999999997</v>
      </c>
      <c r="H132" s="14">
        <f>21.2521 * CHOOSE(CONTROL!$C$15, $E$9, 100%, $G$9) + CHOOSE(CONTROL!$C$38, 0.0342, 0)</f>
        <v>21.286299999999997</v>
      </c>
      <c r="I132" s="14">
        <f>21.2536 * CHOOSE(CONTROL!$C$15, $E$9, 100%, $G$9) + CHOOSE(CONTROL!$C$38, 0.0342, 0)</f>
        <v>21.287799999999997</v>
      </c>
      <c r="J132" s="44">
        <f>122.6189</f>
        <v>122.6189</v>
      </c>
    </row>
    <row r="133" spans="1:10" ht="15" x14ac:dyDescent="0.2">
      <c r="A133" s="13">
        <v>44958</v>
      </c>
      <c r="B133" s="14">
        <f>22.7074 * CHOOSE(CONTROL!$C$15, $E$9, 100%, $G$9) + CHOOSE(CONTROL!$C$38, 0.034, 0)</f>
        <v>22.741399999999999</v>
      </c>
      <c r="C133" s="14">
        <f>21.5831 * CHOOSE(CONTROL!$C$15, $E$9, 100%, $G$9) + CHOOSE(CONTROL!$C$38, 0.0342, 0)</f>
        <v>21.6173</v>
      </c>
      <c r="D133" s="14">
        <f>21.5753 * CHOOSE(CONTROL!$C$15, $E$9, 100%, $G$9) + CHOOSE(CONTROL!$C$38, 0.0342, 0)</f>
        <v>21.609499999999997</v>
      </c>
      <c r="E133" s="14">
        <f>21.5753 * CHOOSE(CONTROL!$C$15, $E$9, 100%, $G$9) + CHOOSE(CONTROL!$C$38, 0.0342, 0)</f>
        <v>21.609499999999997</v>
      </c>
      <c r="F133" s="45">
        <f>22.7074 * CHOOSE(CONTROL!$C$15, $E$9, 100%, $G$9) + CHOOSE(CONTROL!$C$38, 0.034, 0)</f>
        <v>22.741399999999999</v>
      </c>
      <c r="G133" s="14">
        <f>21.5816 * CHOOSE(CONTROL!$C$15, $E$9, 100%, $G$9) + CHOOSE(CONTROL!$C$38, 0.0342, 0)</f>
        <v>21.6158</v>
      </c>
      <c r="H133" s="14">
        <f>21.5816 * CHOOSE(CONTROL!$C$15, $E$9, 100%, $G$9) + CHOOSE(CONTROL!$C$38, 0.0342, 0)</f>
        <v>21.6158</v>
      </c>
      <c r="I133" s="14">
        <f>21.5831 * CHOOSE(CONTROL!$C$15, $E$9, 100%, $G$9) + CHOOSE(CONTROL!$C$38, 0.0342, 0)</f>
        <v>21.6173</v>
      </c>
      <c r="J133" s="44">
        <f>122.53</f>
        <v>122.53</v>
      </c>
    </row>
    <row r="134" spans="1:10" ht="15" x14ac:dyDescent="0.2">
      <c r="A134" s="13">
        <v>44986</v>
      </c>
      <c r="B134" s="14">
        <f>22.0879 * CHOOSE(CONTROL!$C$15, $E$9, 100%, $G$9) + CHOOSE(CONTROL!$C$38, 0.034, 0)</f>
        <v>22.1219</v>
      </c>
      <c r="C134" s="14">
        <f>20.9616 * CHOOSE(CONTROL!$C$15, $E$9, 100%, $G$9) + CHOOSE(CONTROL!$C$38, 0.0342, 0)</f>
        <v>20.995799999999999</v>
      </c>
      <c r="D134" s="14">
        <f>20.9538 * CHOOSE(CONTROL!$C$15, $E$9, 100%, $G$9) + CHOOSE(CONTROL!$C$38, 0.0342, 0)</f>
        <v>20.988</v>
      </c>
      <c r="E134" s="14">
        <f>20.9538 * CHOOSE(CONTROL!$C$15, $E$9, 100%, $G$9) + CHOOSE(CONTROL!$C$38, 0.0342, 0)</f>
        <v>20.988</v>
      </c>
      <c r="F134" s="45">
        <f>22.0879 * CHOOSE(CONTROL!$C$15, $E$9, 100%, $G$9) + CHOOSE(CONTROL!$C$38, 0.034, 0)</f>
        <v>22.1219</v>
      </c>
      <c r="G134" s="14">
        <f>20.9601 * CHOOSE(CONTROL!$C$15, $E$9, 100%, $G$9) + CHOOSE(CONTROL!$C$38, 0.0342, 0)</f>
        <v>20.994299999999999</v>
      </c>
      <c r="H134" s="14">
        <f>20.9601 * CHOOSE(CONTROL!$C$15, $E$9, 100%, $G$9) + CHOOSE(CONTROL!$C$38, 0.0342, 0)</f>
        <v>20.994299999999999</v>
      </c>
      <c r="I134" s="14">
        <f>20.9616 * CHOOSE(CONTROL!$C$15, $E$9, 100%, $G$9) + CHOOSE(CONTROL!$C$38, 0.0342, 0)</f>
        <v>20.995799999999999</v>
      </c>
      <c r="J134" s="44">
        <f>129.2537</f>
        <v>129.25370000000001</v>
      </c>
    </row>
    <row r="135" spans="1:10" ht="15" x14ac:dyDescent="0.2">
      <c r="A135" s="13">
        <v>45017</v>
      </c>
      <c r="B135" s="14">
        <f>21.4864 * CHOOSE(CONTROL!$C$15, $E$9, 100%, $G$9) + CHOOSE(CONTROL!$C$38, 0.034, 0)</f>
        <v>21.520399999999999</v>
      </c>
      <c r="C135" s="14">
        <f>20.3581 * CHOOSE(CONTROL!$C$15, $E$9, 100%, $G$9) + CHOOSE(CONTROL!$C$38, 0.0342, 0)</f>
        <v>20.392299999999999</v>
      </c>
      <c r="D135" s="14">
        <f>20.3503 * CHOOSE(CONTROL!$C$15, $E$9, 100%, $G$9) + CHOOSE(CONTROL!$C$38, 0.0342, 0)</f>
        <v>20.384499999999999</v>
      </c>
      <c r="E135" s="14">
        <f>20.3503 * CHOOSE(CONTROL!$C$15, $E$9, 100%, $G$9) + CHOOSE(CONTROL!$C$38, 0.0342, 0)</f>
        <v>20.384499999999999</v>
      </c>
      <c r="F135" s="45">
        <f>21.4864 * CHOOSE(CONTROL!$C$15, $E$9, 100%, $G$9) + CHOOSE(CONTROL!$C$38, 0.034, 0)</f>
        <v>21.520399999999999</v>
      </c>
      <c r="G135" s="14">
        <f>20.3566 * CHOOSE(CONTROL!$C$15, $E$9, 100%, $G$9) + CHOOSE(CONTROL!$C$38, 0.0342, 0)</f>
        <v>20.390799999999999</v>
      </c>
      <c r="H135" s="14">
        <f>20.3566 * CHOOSE(CONTROL!$C$15, $E$9, 100%, $G$9) + CHOOSE(CONTROL!$C$38, 0.0342, 0)</f>
        <v>20.390799999999999</v>
      </c>
      <c r="I135" s="14">
        <f>20.3581 * CHOOSE(CONTROL!$C$15, $E$9, 100%, $G$9) + CHOOSE(CONTROL!$C$38, 0.0342, 0)</f>
        <v>20.392299999999999</v>
      </c>
      <c r="J135" s="44">
        <f>137.929</f>
        <v>137.929</v>
      </c>
    </row>
    <row r="136" spans="1:10" ht="15" x14ac:dyDescent="0.2">
      <c r="A136" s="13">
        <v>45047</v>
      </c>
      <c r="B136" s="14">
        <f>20.855 * CHOOSE(CONTROL!$C$15, $E$9, 100%, $G$9) + CHOOSE(CONTROL!$C$38, 0.0353, 0)</f>
        <v>20.8903</v>
      </c>
      <c r="C136" s="14">
        <f>19.7247 * CHOOSE(CONTROL!$C$15, $E$9, 100%, $G$9) + CHOOSE(CONTROL!$C$38, 0.0354, 0)</f>
        <v>19.760099999999998</v>
      </c>
      <c r="D136" s="14">
        <f>19.7169 * CHOOSE(CONTROL!$C$15, $E$9, 100%, $G$9) + CHOOSE(CONTROL!$C$38, 0.0354, 0)</f>
        <v>19.752299999999998</v>
      </c>
      <c r="E136" s="14">
        <f>19.7169 * CHOOSE(CONTROL!$C$15, $E$9, 100%, $G$9) + CHOOSE(CONTROL!$C$38, 0.0354, 0)</f>
        <v>19.752299999999998</v>
      </c>
      <c r="F136" s="45">
        <f>20.855 * CHOOSE(CONTROL!$C$15, $E$9, 100%, $G$9) + CHOOSE(CONTROL!$C$38, 0.0353, 0)</f>
        <v>20.8903</v>
      </c>
      <c r="G136" s="14">
        <f>19.7232 * CHOOSE(CONTROL!$C$15, $E$9, 100%, $G$9) + CHOOSE(CONTROL!$C$38, 0.0354, 0)</f>
        <v>19.758599999999998</v>
      </c>
      <c r="H136" s="14">
        <f>19.7232 * CHOOSE(CONTROL!$C$15, $E$9, 100%, $G$9) + CHOOSE(CONTROL!$C$38, 0.0354, 0)</f>
        <v>19.758599999999998</v>
      </c>
      <c r="I136" s="14">
        <f>19.7247 * CHOOSE(CONTROL!$C$15, $E$9, 100%, $G$9) + CHOOSE(CONTROL!$C$38, 0.0354, 0)</f>
        <v>19.760099999999998</v>
      </c>
      <c r="J136" s="44">
        <f>142.8513</f>
        <v>142.85130000000001</v>
      </c>
    </row>
    <row r="137" spans="1:10" ht="15" x14ac:dyDescent="0.2">
      <c r="A137" s="13">
        <v>45078</v>
      </c>
      <c r="B137" s="14">
        <f>20.4229 * CHOOSE(CONTROL!$C$15, $E$9, 100%, $G$9) + CHOOSE(CONTROL!$C$38, 0.0353, 0)</f>
        <v>20.458199999999998</v>
      </c>
      <c r="C137" s="14">
        <f>19.2906 * CHOOSE(CONTROL!$C$15, $E$9, 100%, $G$9) + CHOOSE(CONTROL!$C$38, 0.0354, 0)</f>
        <v>19.326000000000001</v>
      </c>
      <c r="D137" s="14">
        <f>19.2828 * CHOOSE(CONTROL!$C$15, $E$9, 100%, $G$9) + CHOOSE(CONTROL!$C$38, 0.0354, 0)</f>
        <v>19.318200000000001</v>
      </c>
      <c r="E137" s="14">
        <f>19.2828 * CHOOSE(CONTROL!$C$15, $E$9, 100%, $G$9) + CHOOSE(CONTROL!$C$38, 0.0354, 0)</f>
        <v>19.318200000000001</v>
      </c>
      <c r="F137" s="45">
        <f>20.4229 * CHOOSE(CONTROL!$C$15, $E$9, 100%, $G$9) + CHOOSE(CONTROL!$C$38, 0.0353, 0)</f>
        <v>20.458199999999998</v>
      </c>
      <c r="G137" s="14">
        <f>19.2891 * CHOOSE(CONTROL!$C$15, $E$9, 100%, $G$9) + CHOOSE(CONTROL!$C$38, 0.0354, 0)</f>
        <v>19.3245</v>
      </c>
      <c r="H137" s="14">
        <f>19.2891 * CHOOSE(CONTROL!$C$15, $E$9, 100%, $G$9) + CHOOSE(CONTROL!$C$38, 0.0354, 0)</f>
        <v>19.3245</v>
      </c>
      <c r="I137" s="14">
        <f>19.2906 * CHOOSE(CONTROL!$C$15, $E$9, 100%, $G$9) + CHOOSE(CONTROL!$C$38, 0.0354, 0)</f>
        <v>19.326000000000001</v>
      </c>
      <c r="J137" s="44">
        <f>145.2081</f>
        <v>145.2081</v>
      </c>
    </row>
    <row r="138" spans="1:10" ht="15" x14ac:dyDescent="0.2">
      <c r="A138" s="13">
        <v>45108</v>
      </c>
      <c r="B138" s="14">
        <f>20.1928 * CHOOSE(CONTROL!$C$15, $E$9, 100%, $G$9) + CHOOSE(CONTROL!$C$38, 0.0353, 0)</f>
        <v>20.228099999999998</v>
      </c>
      <c r="C138" s="14">
        <f>19.0585 * CHOOSE(CONTROL!$C$15, $E$9, 100%, $G$9) + CHOOSE(CONTROL!$C$38, 0.0354, 0)</f>
        <v>19.093899999999998</v>
      </c>
      <c r="D138" s="14">
        <f>19.0507 * CHOOSE(CONTROL!$C$15, $E$9, 100%, $G$9) + CHOOSE(CONTROL!$C$38, 0.0354, 0)</f>
        <v>19.086099999999998</v>
      </c>
      <c r="E138" s="14">
        <f>19.0507 * CHOOSE(CONTROL!$C$15, $E$9, 100%, $G$9) + CHOOSE(CONTROL!$C$38, 0.0354, 0)</f>
        <v>19.086099999999998</v>
      </c>
      <c r="F138" s="45">
        <f>20.1928 * CHOOSE(CONTROL!$C$15, $E$9, 100%, $G$9) + CHOOSE(CONTROL!$C$38, 0.0353, 0)</f>
        <v>20.228099999999998</v>
      </c>
      <c r="G138" s="14">
        <f>19.0569 * CHOOSE(CONTROL!$C$15, $E$9, 100%, $G$9) + CHOOSE(CONTROL!$C$38, 0.0354, 0)</f>
        <v>19.092299999999998</v>
      </c>
      <c r="H138" s="14">
        <f>19.0569 * CHOOSE(CONTROL!$C$15, $E$9, 100%, $G$9) + CHOOSE(CONTROL!$C$38, 0.0354, 0)</f>
        <v>19.092299999999998</v>
      </c>
      <c r="I138" s="14">
        <f>19.0585 * CHOOSE(CONTROL!$C$15, $E$9, 100%, $G$9) + CHOOSE(CONTROL!$C$38, 0.0354, 0)</f>
        <v>19.093899999999998</v>
      </c>
      <c r="J138" s="44">
        <f>144.8267</f>
        <v>144.82669999999999</v>
      </c>
    </row>
    <row r="139" spans="1:10" ht="15" x14ac:dyDescent="0.2">
      <c r="A139" s="13">
        <v>45139</v>
      </c>
      <c r="B139" s="14">
        <f>20.3671 * CHOOSE(CONTROL!$C$15, $E$9, 100%, $G$9) + CHOOSE(CONTROL!$C$38, 0.0353, 0)</f>
        <v>20.4024</v>
      </c>
      <c r="C139" s="14">
        <f>19.2308 * CHOOSE(CONTROL!$C$15, $E$9, 100%, $G$9) + CHOOSE(CONTROL!$C$38, 0.0354, 0)</f>
        <v>19.266199999999998</v>
      </c>
      <c r="D139" s="14">
        <f>19.223 * CHOOSE(CONTROL!$C$15, $E$9, 100%, $G$9) + CHOOSE(CONTROL!$C$38, 0.0354, 0)</f>
        <v>19.258399999999998</v>
      </c>
      <c r="E139" s="14">
        <f>19.223 * CHOOSE(CONTROL!$C$15, $E$9, 100%, $G$9) + CHOOSE(CONTROL!$C$38, 0.0354, 0)</f>
        <v>19.258399999999998</v>
      </c>
      <c r="F139" s="45">
        <f>20.3671 * CHOOSE(CONTROL!$C$15, $E$9, 100%, $G$9) + CHOOSE(CONTROL!$C$38, 0.0353, 0)</f>
        <v>20.4024</v>
      </c>
      <c r="G139" s="14">
        <f>19.2292 * CHOOSE(CONTROL!$C$15, $E$9, 100%, $G$9) + CHOOSE(CONTROL!$C$38, 0.0354, 0)</f>
        <v>19.264599999999998</v>
      </c>
      <c r="H139" s="14">
        <f>19.2292 * CHOOSE(CONTROL!$C$15, $E$9, 100%, $G$9) + CHOOSE(CONTROL!$C$38, 0.0354, 0)</f>
        <v>19.264599999999998</v>
      </c>
      <c r="I139" s="14">
        <f>19.2308 * CHOOSE(CONTROL!$C$15, $E$9, 100%, $G$9) + CHOOSE(CONTROL!$C$38, 0.0354, 0)</f>
        <v>19.266199999999998</v>
      </c>
      <c r="J139" s="44">
        <f>141.7466</f>
        <v>141.7466</v>
      </c>
    </row>
    <row r="140" spans="1:10" ht="15" x14ac:dyDescent="0.2">
      <c r="A140" s="13">
        <v>45170</v>
      </c>
      <c r="B140" s="14">
        <f>20.7724 * CHOOSE(CONTROL!$C$15, $E$9, 100%, $G$9) + CHOOSE(CONTROL!$C$38, 0.0353, 0)</f>
        <v>20.807700000000001</v>
      </c>
      <c r="C140" s="14">
        <f>19.6341 * CHOOSE(CONTROL!$C$15, $E$9, 100%, $G$9) + CHOOSE(CONTROL!$C$38, 0.0354, 0)</f>
        <v>19.669499999999999</v>
      </c>
      <c r="D140" s="14">
        <f>19.6263 * CHOOSE(CONTROL!$C$15, $E$9, 100%, $G$9) + CHOOSE(CONTROL!$C$38, 0.0354, 0)</f>
        <v>19.6617</v>
      </c>
      <c r="E140" s="14">
        <f>19.6263 * CHOOSE(CONTROL!$C$15, $E$9, 100%, $G$9) + CHOOSE(CONTROL!$C$38, 0.0354, 0)</f>
        <v>19.6617</v>
      </c>
      <c r="F140" s="45">
        <f>20.7724 * CHOOSE(CONTROL!$C$15, $E$9, 100%, $G$9) + CHOOSE(CONTROL!$C$38, 0.0353, 0)</f>
        <v>20.807700000000001</v>
      </c>
      <c r="G140" s="14">
        <f>19.6326 * CHOOSE(CONTROL!$C$15, $E$9, 100%, $G$9) + CHOOSE(CONTROL!$C$38, 0.0354, 0)</f>
        <v>19.667999999999999</v>
      </c>
      <c r="H140" s="14">
        <f>19.6326 * CHOOSE(CONTROL!$C$15, $E$9, 100%, $G$9) + CHOOSE(CONTROL!$C$38, 0.0354, 0)</f>
        <v>19.667999999999999</v>
      </c>
      <c r="I140" s="14">
        <f>19.6341 * CHOOSE(CONTROL!$C$15, $E$9, 100%, $G$9) + CHOOSE(CONTROL!$C$38, 0.0354, 0)</f>
        <v>19.669499999999999</v>
      </c>
      <c r="J140" s="44">
        <f>137.3174</f>
        <v>137.31739999999999</v>
      </c>
    </row>
    <row r="141" spans="1:10" ht="15" x14ac:dyDescent="0.2">
      <c r="A141" s="13">
        <v>45200</v>
      </c>
      <c r="B141" s="14">
        <f>21.12 * CHOOSE(CONTROL!$C$15, $E$9, 100%, $G$9) + CHOOSE(CONTROL!$C$38, 0.034, 0)</f>
        <v>21.154</v>
      </c>
      <c r="C141" s="14">
        <f>19.9797 * CHOOSE(CONTROL!$C$15, $E$9, 100%, $G$9) + CHOOSE(CONTROL!$C$38, 0.0342, 0)</f>
        <v>20.0139</v>
      </c>
      <c r="D141" s="14">
        <f>19.9719 * CHOOSE(CONTROL!$C$15, $E$9, 100%, $G$9) + CHOOSE(CONTROL!$C$38, 0.0342, 0)</f>
        <v>20.0061</v>
      </c>
      <c r="E141" s="14">
        <f>19.9719 * CHOOSE(CONTROL!$C$15, $E$9, 100%, $G$9) + CHOOSE(CONTROL!$C$38, 0.0342, 0)</f>
        <v>20.0061</v>
      </c>
      <c r="F141" s="45">
        <f>21.12 * CHOOSE(CONTROL!$C$15, $E$9, 100%, $G$9) + CHOOSE(CONTROL!$C$38, 0.034, 0)</f>
        <v>21.154</v>
      </c>
      <c r="G141" s="14">
        <f>19.9781 * CHOOSE(CONTROL!$C$15, $E$9, 100%, $G$9) + CHOOSE(CONTROL!$C$38, 0.0342, 0)</f>
        <v>20.0123</v>
      </c>
      <c r="H141" s="14">
        <f>19.9781 * CHOOSE(CONTROL!$C$15, $E$9, 100%, $G$9) + CHOOSE(CONTROL!$C$38, 0.0342, 0)</f>
        <v>20.0123</v>
      </c>
      <c r="I141" s="14">
        <f>19.9797 * CHOOSE(CONTROL!$C$15, $E$9, 100%, $G$9) + CHOOSE(CONTROL!$C$38, 0.0342, 0)</f>
        <v>20.0139</v>
      </c>
      <c r="J141" s="44">
        <f>132.8419</f>
        <v>132.84190000000001</v>
      </c>
    </row>
    <row r="142" spans="1:10" ht="15" x14ac:dyDescent="0.2">
      <c r="A142" s="13">
        <v>45231</v>
      </c>
      <c r="B142" s="14">
        <f>21.4181 * CHOOSE(CONTROL!$C$15, $E$9, 100%, $G$9) + CHOOSE(CONTROL!$C$38, 0.034, 0)</f>
        <v>21.452099999999998</v>
      </c>
      <c r="C142" s="14">
        <f>20.2758 * CHOOSE(CONTROL!$C$15, $E$9, 100%, $G$9) + CHOOSE(CONTROL!$C$38, 0.0342, 0)</f>
        <v>20.309999999999999</v>
      </c>
      <c r="D142" s="14">
        <f>20.268 * CHOOSE(CONTROL!$C$15, $E$9, 100%, $G$9) + CHOOSE(CONTROL!$C$38, 0.0342, 0)</f>
        <v>20.302199999999999</v>
      </c>
      <c r="E142" s="14">
        <f>20.268 * CHOOSE(CONTROL!$C$15, $E$9, 100%, $G$9) + CHOOSE(CONTROL!$C$38, 0.0342, 0)</f>
        <v>20.302199999999999</v>
      </c>
      <c r="F142" s="45">
        <f>21.4181 * CHOOSE(CONTROL!$C$15, $E$9, 100%, $G$9) + CHOOSE(CONTROL!$C$38, 0.034, 0)</f>
        <v>21.452099999999998</v>
      </c>
      <c r="G142" s="14">
        <f>20.2742 * CHOOSE(CONTROL!$C$15, $E$9, 100%, $G$9) + CHOOSE(CONTROL!$C$38, 0.0342, 0)</f>
        <v>20.308399999999999</v>
      </c>
      <c r="H142" s="14">
        <f>20.2742 * CHOOSE(CONTROL!$C$15, $E$9, 100%, $G$9) + CHOOSE(CONTROL!$C$38, 0.0342, 0)</f>
        <v>20.308399999999999</v>
      </c>
      <c r="I142" s="14">
        <f>20.2758 * CHOOSE(CONTROL!$C$15, $E$9, 100%, $G$9) + CHOOSE(CONTROL!$C$38, 0.0342, 0)</f>
        <v>20.309999999999999</v>
      </c>
      <c r="J142" s="44">
        <f>132.1671</f>
        <v>132.1671</v>
      </c>
    </row>
    <row r="143" spans="1:10" ht="15" x14ac:dyDescent="0.2">
      <c r="A143" s="13">
        <v>45261</v>
      </c>
      <c r="B143" s="14">
        <f>22.2512 * CHOOSE(CONTROL!$C$15, $E$9, 100%, $G$9) + CHOOSE(CONTROL!$C$38, 0.034, 0)</f>
        <v>22.2852</v>
      </c>
      <c r="C143" s="14">
        <f>21.1068 * CHOOSE(CONTROL!$C$15, $E$9, 100%, $G$9) + CHOOSE(CONTROL!$C$38, 0.0342, 0)</f>
        <v>21.140999999999998</v>
      </c>
      <c r="D143" s="14">
        <f>21.099 * CHOOSE(CONTROL!$C$15, $E$9, 100%, $G$9) + CHOOSE(CONTROL!$C$38, 0.0342, 0)</f>
        <v>21.133199999999999</v>
      </c>
      <c r="E143" s="14">
        <f>21.099 * CHOOSE(CONTROL!$C$15, $E$9, 100%, $G$9) + CHOOSE(CONTROL!$C$38, 0.0342, 0)</f>
        <v>21.133199999999999</v>
      </c>
      <c r="F143" s="45">
        <f>22.2512 * CHOOSE(CONTROL!$C$15, $E$9, 100%, $G$9) + CHOOSE(CONTROL!$C$38, 0.034, 0)</f>
        <v>22.2852</v>
      </c>
      <c r="G143" s="14">
        <f>21.1052 * CHOOSE(CONTROL!$C$15, $E$9, 100%, $G$9) + CHOOSE(CONTROL!$C$38, 0.0342, 0)</f>
        <v>21.139399999999998</v>
      </c>
      <c r="H143" s="14">
        <f>21.1052 * CHOOSE(CONTROL!$C$15, $E$9, 100%, $G$9) + CHOOSE(CONTROL!$C$38, 0.0342, 0)</f>
        <v>21.139399999999998</v>
      </c>
      <c r="I143" s="14">
        <f>21.1068 * CHOOSE(CONTROL!$C$15, $E$9, 100%, $G$9) + CHOOSE(CONTROL!$C$38, 0.0342, 0)</f>
        <v>21.140999999999998</v>
      </c>
      <c r="J143" s="44">
        <f>128.5092</f>
        <v>128.50919999999999</v>
      </c>
    </row>
    <row r="144" spans="1:10" ht="15" x14ac:dyDescent="0.2">
      <c r="A144" s="13">
        <v>45292</v>
      </c>
      <c r="B144" s="14">
        <f>23.5321 * CHOOSE(CONTROL!$C$15, $E$9, 100%, $G$9) + CHOOSE(CONTROL!$C$38, 0.034, 0)</f>
        <v>23.566099999999999</v>
      </c>
      <c r="C144" s="14">
        <f>22.2433 * CHOOSE(CONTROL!$C$15, $E$9, 100%, $G$9) + CHOOSE(CONTROL!$C$38, 0.0342, 0)</f>
        <v>22.2775</v>
      </c>
      <c r="D144" s="14">
        <f>22.2355 * CHOOSE(CONTROL!$C$15, $E$9, 100%, $G$9) + CHOOSE(CONTROL!$C$38, 0.0342, 0)</f>
        <v>22.269699999999997</v>
      </c>
      <c r="E144" s="14">
        <f>22.2355 * CHOOSE(CONTROL!$C$15, $E$9, 100%, $G$9) + CHOOSE(CONTROL!$C$38, 0.0342, 0)</f>
        <v>22.269699999999997</v>
      </c>
      <c r="F144" s="45">
        <f>23.5321 * CHOOSE(CONTROL!$C$15, $E$9, 100%, $G$9) + CHOOSE(CONTROL!$C$38, 0.034, 0)</f>
        <v>23.566099999999999</v>
      </c>
      <c r="G144" s="14">
        <f>22.2417 * CHOOSE(CONTROL!$C$15, $E$9, 100%, $G$9) + CHOOSE(CONTROL!$C$38, 0.0342, 0)</f>
        <v>22.2759</v>
      </c>
      <c r="H144" s="14">
        <f>22.2417 * CHOOSE(CONTROL!$C$15, $E$9, 100%, $G$9) + CHOOSE(CONTROL!$C$38, 0.0342, 0)</f>
        <v>22.2759</v>
      </c>
      <c r="I144" s="14">
        <f>22.2433 * CHOOSE(CONTROL!$C$15, $E$9, 100%, $G$9) + CHOOSE(CONTROL!$C$38, 0.0342, 0)</f>
        <v>22.2775</v>
      </c>
      <c r="J144" s="44">
        <f>128.8694</f>
        <v>128.86940000000001</v>
      </c>
    </row>
    <row r="145" spans="1:10" ht="15" x14ac:dyDescent="0.2">
      <c r="A145" s="13">
        <v>45323</v>
      </c>
      <c r="B145" s="14">
        <f>23.8732 * CHOOSE(CONTROL!$C$15, $E$9, 100%, $G$9) + CHOOSE(CONTROL!$C$38, 0.034, 0)</f>
        <v>23.9072</v>
      </c>
      <c r="C145" s="14">
        <f>22.582 * CHOOSE(CONTROL!$C$15, $E$9, 100%, $G$9) + CHOOSE(CONTROL!$C$38, 0.0342, 0)</f>
        <v>22.616199999999999</v>
      </c>
      <c r="D145" s="14">
        <f>22.5742 * CHOOSE(CONTROL!$C$15, $E$9, 100%, $G$9) + CHOOSE(CONTROL!$C$38, 0.0342, 0)</f>
        <v>22.6084</v>
      </c>
      <c r="E145" s="14">
        <f>22.5742 * CHOOSE(CONTROL!$C$15, $E$9, 100%, $G$9) + CHOOSE(CONTROL!$C$38, 0.0342, 0)</f>
        <v>22.6084</v>
      </c>
      <c r="F145" s="45">
        <f>23.8732 * CHOOSE(CONTROL!$C$15, $E$9, 100%, $G$9) + CHOOSE(CONTROL!$C$38, 0.034, 0)</f>
        <v>23.9072</v>
      </c>
      <c r="G145" s="14">
        <f>22.5805 * CHOOSE(CONTROL!$C$15, $E$9, 100%, $G$9) + CHOOSE(CONTROL!$C$38, 0.0342, 0)</f>
        <v>22.614699999999999</v>
      </c>
      <c r="H145" s="14">
        <f>22.5805 * CHOOSE(CONTROL!$C$15, $E$9, 100%, $G$9) + CHOOSE(CONTROL!$C$38, 0.0342, 0)</f>
        <v>22.614699999999999</v>
      </c>
      <c r="I145" s="14">
        <f>22.582 * CHOOSE(CONTROL!$C$15, $E$9, 100%, $G$9) + CHOOSE(CONTROL!$C$38, 0.0342, 0)</f>
        <v>22.616199999999999</v>
      </c>
      <c r="J145" s="44">
        <f>128.7759</f>
        <v>128.77590000000001</v>
      </c>
    </row>
    <row r="146" spans="1:10" ht="15" x14ac:dyDescent="0.2">
      <c r="A146" s="13">
        <v>45352</v>
      </c>
      <c r="B146" s="14">
        <f>23.2394 * CHOOSE(CONTROL!$C$15, $E$9, 100%, $G$9) + CHOOSE(CONTROL!$C$38, 0.034, 0)</f>
        <v>23.273399999999999</v>
      </c>
      <c r="C146" s="14">
        <f>21.946 * CHOOSE(CONTROL!$C$15, $E$9, 100%, $G$9) + CHOOSE(CONTROL!$C$38, 0.0342, 0)</f>
        <v>21.9802</v>
      </c>
      <c r="D146" s="14">
        <f>21.9381 * CHOOSE(CONTROL!$C$15, $E$9, 100%, $G$9) + CHOOSE(CONTROL!$C$38, 0.0342, 0)</f>
        <v>21.972299999999997</v>
      </c>
      <c r="E146" s="14">
        <f>21.9381 * CHOOSE(CONTROL!$C$15, $E$9, 100%, $G$9) + CHOOSE(CONTROL!$C$38, 0.0342, 0)</f>
        <v>21.972299999999997</v>
      </c>
      <c r="F146" s="45">
        <f>23.2394 * CHOOSE(CONTROL!$C$15, $E$9, 100%, $G$9) + CHOOSE(CONTROL!$C$38, 0.034, 0)</f>
        <v>23.273399999999999</v>
      </c>
      <c r="G146" s="14">
        <f>21.9444 * CHOOSE(CONTROL!$C$15, $E$9, 100%, $G$9) + CHOOSE(CONTROL!$C$38, 0.0342, 0)</f>
        <v>21.9786</v>
      </c>
      <c r="H146" s="14">
        <f>21.9444 * CHOOSE(CONTROL!$C$15, $E$9, 100%, $G$9) + CHOOSE(CONTROL!$C$38, 0.0342, 0)</f>
        <v>21.9786</v>
      </c>
      <c r="I146" s="14">
        <f>21.946 * CHOOSE(CONTROL!$C$15, $E$9, 100%, $G$9) + CHOOSE(CONTROL!$C$38, 0.0342, 0)</f>
        <v>21.9802</v>
      </c>
      <c r="J146" s="44">
        <f>135.8424</f>
        <v>135.8424</v>
      </c>
    </row>
    <row r="147" spans="1:10" ht="15" x14ac:dyDescent="0.2">
      <c r="A147" s="13">
        <v>45383</v>
      </c>
      <c r="B147" s="14">
        <f>22.6242 * CHOOSE(CONTROL!$C$15, $E$9, 100%, $G$9) + CHOOSE(CONTROL!$C$38, 0.034, 0)</f>
        <v>22.658199999999997</v>
      </c>
      <c r="C147" s="14">
        <f>21.3283 * CHOOSE(CONTROL!$C$15, $E$9, 100%, $G$9) + CHOOSE(CONTROL!$C$38, 0.0342, 0)</f>
        <v>21.362499999999997</v>
      </c>
      <c r="D147" s="14">
        <f>21.3205 * CHOOSE(CONTROL!$C$15, $E$9, 100%, $G$9) + CHOOSE(CONTROL!$C$38, 0.0342, 0)</f>
        <v>21.354699999999998</v>
      </c>
      <c r="E147" s="14">
        <f>21.3205 * CHOOSE(CONTROL!$C$15, $E$9, 100%, $G$9) + CHOOSE(CONTROL!$C$38, 0.0342, 0)</f>
        <v>21.354699999999998</v>
      </c>
      <c r="F147" s="45">
        <f>22.6242 * CHOOSE(CONTROL!$C$15, $E$9, 100%, $G$9) + CHOOSE(CONTROL!$C$38, 0.034, 0)</f>
        <v>22.658199999999997</v>
      </c>
      <c r="G147" s="14">
        <f>21.3268 * CHOOSE(CONTROL!$C$15, $E$9, 100%, $G$9) + CHOOSE(CONTROL!$C$38, 0.0342, 0)</f>
        <v>21.360999999999997</v>
      </c>
      <c r="H147" s="14">
        <f>21.3268 * CHOOSE(CONTROL!$C$15, $E$9, 100%, $G$9) + CHOOSE(CONTROL!$C$38, 0.0342, 0)</f>
        <v>21.360999999999997</v>
      </c>
      <c r="I147" s="14">
        <f>21.3283 * CHOOSE(CONTROL!$C$15, $E$9, 100%, $G$9) + CHOOSE(CONTROL!$C$38, 0.0342, 0)</f>
        <v>21.362499999999997</v>
      </c>
      <c r="J147" s="44">
        <f>144.9599</f>
        <v>144.9599</v>
      </c>
    </row>
    <row r="148" spans="1:10" ht="15" x14ac:dyDescent="0.2">
      <c r="A148" s="13">
        <v>45413</v>
      </c>
      <c r="B148" s="14">
        <f>21.9782 * CHOOSE(CONTROL!$C$15, $E$9, 100%, $G$9) + CHOOSE(CONTROL!$C$38, 0.0353, 0)</f>
        <v>22.013500000000001</v>
      </c>
      <c r="C148" s="14">
        <f>20.6801 * CHOOSE(CONTROL!$C$15, $E$9, 100%, $G$9) + CHOOSE(CONTROL!$C$38, 0.0354, 0)</f>
        <v>20.715499999999999</v>
      </c>
      <c r="D148" s="14">
        <f>20.6722 * CHOOSE(CONTROL!$C$15, $E$9, 100%, $G$9) + CHOOSE(CONTROL!$C$38, 0.0354, 0)</f>
        <v>20.707599999999999</v>
      </c>
      <c r="E148" s="14">
        <f>20.6722 * CHOOSE(CONTROL!$C$15, $E$9, 100%, $G$9) + CHOOSE(CONTROL!$C$38, 0.0354, 0)</f>
        <v>20.707599999999999</v>
      </c>
      <c r="F148" s="45">
        <f>21.9782 * CHOOSE(CONTROL!$C$15, $E$9, 100%, $G$9) + CHOOSE(CONTROL!$C$38, 0.0353, 0)</f>
        <v>22.013500000000001</v>
      </c>
      <c r="G148" s="14">
        <f>20.6785 * CHOOSE(CONTROL!$C$15, $E$9, 100%, $G$9) + CHOOSE(CONTROL!$C$38, 0.0354, 0)</f>
        <v>20.713899999999999</v>
      </c>
      <c r="H148" s="14">
        <f>20.6785 * CHOOSE(CONTROL!$C$15, $E$9, 100%, $G$9) + CHOOSE(CONTROL!$C$38, 0.0354, 0)</f>
        <v>20.713899999999999</v>
      </c>
      <c r="I148" s="14">
        <f>20.6801 * CHOOSE(CONTROL!$C$15, $E$9, 100%, $G$9) + CHOOSE(CONTROL!$C$38, 0.0354, 0)</f>
        <v>20.715499999999999</v>
      </c>
      <c r="J148" s="44">
        <f>150.1331</f>
        <v>150.13310000000001</v>
      </c>
    </row>
    <row r="149" spans="1:10" ht="15" x14ac:dyDescent="0.2">
      <c r="A149" s="13">
        <v>45444</v>
      </c>
      <c r="B149" s="14">
        <f>21.5366 * CHOOSE(CONTROL!$C$15, $E$9, 100%, $G$9) + CHOOSE(CONTROL!$C$38, 0.0353, 0)</f>
        <v>21.571899999999999</v>
      </c>
      <c r="C149" s="14">
        <f>20.2361 * CHOOSE(CONTROL!$C$15, $E$9, 100%, $G$9) + CHOOSE(CONTROL!$C$38, 0.0354, 0)</f>
        <v>20.2715</v>
      </c>
      <c r="D149" s="14">
        <f>20.2283 * CHOOSE(CONTROL!$C$15, $E$9, 100%, $G$9) + CHOOSE(CONTROL!$C$38, 0.0354, 0)</f>
        <v>20.2637</v>
      </c>
      <c r="E149" s="14">
        <f>20.2283 * CHOOSE(CONTROL!$C$15, $E$9, 100%, $G$9) + CHOOSE(CONTROL!$C$38, 0.0354, 0)</f>
        <v>20.2637</v>
      </c>
      <c r="F149" s="45">
        <f>21.5366 * CHOOSE(CONTROL!$C$15, $E$9, 100%, $G$9) + CHOOSE(CONTROL!$C$38, 0.0353, 0)</f>
        <v>21.571899999999999</v>
      </c>
      <c r="G149" s="14">
        <f>20.2345 * CHOOSE(CONTROL!$C$15, $E$9, 100%, $G$9) + CHOOSE(CONTROL!$C$38, 0.0354, 0)</f>
        <v>20.2699</v>
      </c>
      <c r="H149" s="14">
        <f>20.2345 * CHOOSE(CONTROL!$C$15, $E$9, 100%, $G$9) + CHOOSE(CONTROL!$C$38, 0.0354, 0)</f>
        <v>20.2699</v>
      </c>
      <c r="I149" s="14">
        <f>20.2361 * CHOOSE(CONTROL!$C$15, $E$9, 100%, $G$9) + CHOOSE(CONTROL!$C$38, 0.0354, 0)</f>
        <v>20.2715</v>
      </c>
      <c r="J149" s="44">
        <f>152.6101</f>
        <v>152.61009999999999</v>
      </c>
    </row>
    <row r="150" spans="1:10" ht="15" x14ac:dyDescent="0.2">
      <c r="A150" s="13">
        <v>45474</v>
      </c>
      <c r="B150" s="14">
        <f>21.302 * CHOOSE(CONTROL!$C$15, $E$9, 100%, $G$9) + CHOOSE(CONTROL!$C$38, 0.0353, 0)</f>
        <v>21.337299999999999</v>
      </c>
      <c r="C150" s="14">
        <f>19.9991 * CHOOSE(CONTROL!$C$15, $E$9, 100%, $G$9) + CHOOSE(CONTROL!$C$38, 0.0354, 0)</f>
        <v>20.034499999999998</v>
      </c>
      <c r="D150" s="14">
        <f>19.9913 * CHOOSE(CONTROL!$C$15, $E$9, 100%, $G$9) + CHOOSE(CONTROL!$C$38, 0.0354, 0)</f>
        <v>20.026699999999998</v>
      </c>
      <c r="E150" s="14">
        <f>19.9913 * CHOOSE(CONTROL!$C$15, $E$9, 100%, $G$9) + CHOOSE(CONTROL!$C$38, 0.0354, 0)</f>
        <v>20.026699999999998</v>
      </c>
      <c r="F150" s="45">
        <f>21.302 * CHOOSE(CONTROL!$C$15, $E$9, 100%, $G$9) + CHOOSE(CONTROL!$C$38, 0.0353, 0)</f>
        <v>21.337299999999999</v>
      </c>
      <c r="G150" s="14">
        <f>19.9975 * CHOOSE(CONTROL!$C$15, $E$9, 100%, $G$9) + CHOOSE(CONTROL!$C$38, 0.0354, 0)</f>
        <v>20.032899999999998</v>
      </c>
      <c r="H150" s="14">
        <f>19.9975 * CHOOSE(CONTROL!$C$15, $E$9, 100%, $G$9) + CHOOSE(CONTROL!$C$38, 0.0354, 0)</f>
        <v>20.032899999999998</v>
      </c>
      <c r="I150" s="14">
        <f>19.9991 * CHOOSE(CONTROL!$C$15, $E$9, 100%, $G$9) + CHOOSE(CONTROL!$C$38, 0.0354, 0)</f>
        <v>20.034499999999998</v>
      </c>
      <c r="J150" s="44">
        <f>152.2093</f>
        <v>152.20930000000001</v>
      </c>
    </row>
    <row r="151" spans="1:10" ht="15" x14ac:dyDescent="0.2">
      <c r="A151" s="13">
        <v>45505</v>
      </c>
      <c r="B151" s="14">
        <f>21.4819 * CHOOSE(CONTROL!$C$15, $E$9, 100%, $G$9) + CHOOSE(CONTROL!$C$38, 0.0353, 0)</f>
        <v>21.517199999999999</v>
      </c>
      <c r="C151" s="14">
        <f>20.1767 * CHOOSE(CONTROL!$C$15, $E$9, 100%, $G$9) + CHOOSE(CONTROL!$C$38, 0.0354, 0)</f>
        <v>20.2121</v>
      </c>
      <c r="D151" s="14">
        <f>20.1689 * CHOOSE(CONTROL!$C$15, $E$9, 100%, $G$9) + CHOOSE(CONTROL!$C$38, 0.0354, 0)</f>
        <v>20.2043</v>
      </c>
      <c r="E151" s="14">
        <f>20.1689 * CHOOSE(CONTROL!$C$15, $E$9, 100%, $G$9) + CHOOSE(CONTROL!$C$38, 0.0354, 0)</f>
        <v>20.2043</v>
      </c>
      <c r="F151" s="45">
        <f>21.4819 * CHOOSE(CONTROL!$C$15, $E$9, 100%, $G$9) + CHOOSE(CONTROL!$C$38, 0.0353, 0)</f>
        <v>21.517199999999999</v>
      </c>
      <c r="G151" s="14">
        <f>20.1751 * CHOOSE(CONTROL!$C$15, $E$9, 100%, $G$9) + CHOOSE(CONTROL!$C$38, 0.0354, 0)</f>
        <v>20.2105</v>
      </c>
      <c r="H151" s="14">
        <f>20.1751 * CHOOSE(CONTROL!$C$15, $E$9, 100%, $G$9) + CHOOSE(CONTROL!$C$38, 0.0354, 0)</f>
        <v>20.2105</v>
      </c>
      <c r="I151" s="14">
        <f>20.1767 * CHOOSE(CONTROL!$C$15, $E$9, 100%, $G$9) + CHOOSE(CONTROL!$C$38, 0.0354, 0)</f>
        <v>20.2121</v>
      </c>
      <c r="J151" s="44">
        <f>148.9721</f>
        <v>148.97210000000001</v>
      </c>
    </row>
    <row r="152" spans="1:10" ht="15" x14ac:dyDescent="0.2">
      <c r="A152" s="13">
        <v>45536</v>
      </c>
      <c r="B152" s="14">
        <f>21.8987 * CHOOSE(CONTROL!$C$15, $E$9, 100%, $G$9) + CHOOSE(CONTROL!$C$38, 0.0353, 0)</f>
        <v>21.934000000000001</v>
      </c>
      <c r="C152" s="14">
        <f>20.5911 * CHOOSE(CONTROL!$C$15, $E$9, 100%, $G$9) + CHOOSE(CONTROL!$C$38, 0.0354, 0)</f>
        <v>20.6265</v>
      </c>
      <c r="D152" s="14">
        <f>20.5833 * CHOOSE(CONTROL!$C$15, $E$9, 100%, $G$9) + CHOOSE(CONTROL!$C$38, 0.0354, 0)</f>
        <v>20.6187</v>
      </c>
      <c r="E152" s="14">
        <f>20.5833 * CHOOSE(CONTROL!$C$15, $E$9, 100%, $G$9) + CHOOSE(CONTROL!$C$38, 0.0354, 0)</f>
        <v>20.6187</v>
      </c>
      <c r="F152" s="45">
        <f>21.8987 * CHOOSE(CONTROL!$C$15, $E$9, 100%, $G$9) + CHOOSE(CONTROL!$C$38, 0.0353, 0)</f>
        <v>21.934000000000001</v>
      </c>
      <c r="G152" s="14">
        <f>20.5895 * CHOOSE(CONTROL!$C$15, $E$9, 100%, $G$9) + CHOOSE(CONTROL!$C$38, 0.0354, 0)</f>
        <v>20.6249</v>
      </c>
      <c r="H152" s="14">
        <f>20.5895 * CHOOSE(CONTROL!$C$15, $E$9, 100%, $G$9) + CHOOSE(CONTROL!$C$38, 0.0354, 0)</f>
        <v>20.6249</v>
      </c>
      <c r="I152" s="14">
        <f>20.5911 * CHOOSE(CONTROL!$C$15, $E$9, 100%, $G$9) + CHOOSE(CONTROL!$C$38, 0.0354, 0)</f>
        <v>20.6265</v>
      </c>
      <c r="J152" s="44">
        <f>144.3172</f>
        <v>144.31720000000001</v>
      </c>
    </row>
    <row r="153" spans="1:10" ht="15" x14ac:dyDescent="0.2">
      <c r="A153" s="13">
        <v>45566</v>
      </c>
      <c r="B153" s="14">
        <f>22.2563 * CHOOSE(CONTROL!$C$15, $E$9, 100%, $G$9) + CHOOSE(CONTROL!$C$38, 0.034, 0)</f>
        <v>22.290299999999998</v>
      </c>
      <c r="C153" s="14">
        <f>20.9463 * CHOOSE(CONTROL!$C$15, $E$9, 100%, $G$9) + CHOOSE(CONTROL!$C$38, 0.0342, 0)</f>
        <v>20.980499999999999</v>
      </c>
      <c r="D153" s="14">
        <f>20.9385 * CHOOSE(CONTROL!$C$15, $E$9, 100%, $G$9) + CHOOSE(CONTROL!$C$38, 0.0342, 0)</f>
        <v>20.9727</v>
      </c>
      <c r="E153" s="14">
        <f>20.9385 * CHOOSE(CONTROL!$C$15, $E$9, 100%, $G$9) + CHOOSE(CONTROL!$C$38, 0.0342, 0)</f>
        <v>20.9727</v>
      </c>
      <c r="F153" s="45">
        <f>22.2563 * CHOOSE(CONTROL!$C$15, $E$9, 100%, $G$9) + CHOOSE(CONTROL!$C$38, 0.034, 0)</f>
        <v>22.290299999999998</v>
      </c>
      <c r="G153" s="14">
        <f>20.9447 * CHOOSE(CONTROL!$C$15, $E$9, 100%, $G$9) + CHOOSE(CONTROL!$C$38, 0.0342, 0)</f>
        <v>20.978899999999999</v>
      </c>
      <c r="H153" s="14">
        <f>20.9447 * CHOOSE(CONTROL!$C$15, $E$9, 100%, $G$9) + CHOOSE(CONTROL!$C$38, 0.0342, 0)</f>
        <v>20.978899999999999</v>
      </c>
      <c r="I153" s="14">
        <f>20.9463 * CHOOSE(CONTROL!$C$15, $E$9, 100%, $G$9) + CHOOSE(CONTROL!$C$38, 0.0342, 0)</f>
        <v>20.980499999999999</v>
      </c>
      <c r="J153" s="44">
        <f>139.6136</f>
        <v>139.61359999999999</v>
      </c>
    </row>
    <row r="154" spans="1:10" ht="15" x14ac:dyDescent="0.2">
      <c r="A154" s="13">
        <v>45597</v>
      </c>
      <c r="B154" s="14">
        <f>22.5631 * CHOOSE(CONTROL!$C$15, $E$9, 100%, $G$9) + CHOOSE(CONTROL!$C$38, 0.034, 0)</f>
        <v>22.597099999999998</v>
      </c>
      <c r="C154" s="14">
        <f>21.2508 * CHOOSE(CONTROL!$C$15, $E$9, 100%, $G$9) + CHOOSE(CONTROL!$C$38, 0.0342, 0)</f>
        <v>21.285</v>
      </c>
      <c r="D154" s="14">
        <f>21.243 * CHOOSE(CONTROL!$C$15, $E$9, 100%, $G$9) + CHOOSE(CONTROL!$C$38, 0.0342, 0)</f>
        <v>21.277199999999997</v>
      </c>
      <c r="E154" s="14">
        <f>21.243 * CHOOSE(CONTROL!$C$15, $E$9, 100%, $G$9) + CHOOSE(CONTROL!$C$38, 0.0342, 0)</f>
        <v>21.277199999999997</v>
      </c>
      <c r="F154" s="45">
        <f>22.5631 * CHOOSE(CONTROL!$C$15, $E$9, 100%, $G$9) + CHOOSE(CONTROL!$C$38, 0.034, 0)</f>
        <v>22.597099999999998</v>
      </c>
      <c r="G154" s="14">
        <f>21.2492 * CHOOSE(CONTROL!$C$15, $E$9, 100%, $G$9) + CHOOSE(CONTROL!$C$38, 0.0342, 0)</f>
        <v>21.283399999999997</v>
      </c>
      <c r="H154" s="14">
        <f>21.2492 * CHOOSE(CONTROL!$C$15, $E$9, 100%, $G$9) + CHOOSE(CONTROL!$C$38, 0.0342, 0)</f>
        <v>21.283399999999997</v>
      </c>
      <c r="I154" s="14">
        <f>21.2508 * CHOOSE(CONTROL!$C$15, $E$9, 100%, $G$9) + CHOOSE(CONTROL!$C$38, 0.0342, 0)</f>
        <v>21.285</v>
      </c>
      <c r="J154" s="44">
        <f>138.9043</f>
        <v>138.90430000000001</v>
      </c>
    </row>
    <row r="155" spans="1:10" ht="15" x14ac:dyDescent="0.2">
      <c r="A155" s="13">
        <v>45627</v>
      </c>
      <c r="B155" s="14">
        <f>23.4183 * CHOOSE(CONTROL!$C$15, $E$9, 100%, $G$9) + CHOOSE(CONTROL!$C$38, 0.034, 0)</f>
        <v>23.452299999999997</v>
      </c>
      <c r="C155" s="14">
        <f>22.1035 * CHOOSE(CONTROL!$C$15, $E$9, 100%, $G$9) + CHOOSE(CONTROL!$C$38, 0.0342, 0)</f>
        <v>22.137699999999999</v>
      </c>
      <c r="D155" s="14">
        <f>22.0957 * CHOOSE(CONTROL!$C$15, $E$9, 100%, $G$9) + CHOOSE(CONTROL!$C$38, 0.0342, 0)</f>
        <v>22.129899999999999</v>
      </c>
      <c r="E155" s="14">
        <f>22.0957 * CHOOSE(CONTROL!$C$15, $E$9, 100%, $G$9) + CHOOSE(CONTROL!$C$38, 0.0342, 0)</f>
        <v>22.129899999999999</v>
      </c>
      <c r="F155" s="45">
        <f>23.4183 * CHOOSE(CONTROL!$C$15, $E$9, 100%, $G$9) + CHOOSE(CONTROL!$C$38, 0.034, 0)</f>
        <v>23.452299999999997</v>
      </c>
      <c r="G155" s="14">
        <f>22.102 * CHOOSE(CONTROL!$C$15, $E$9, 100%, $G$9) + CHOOSE(CONTROL!$C$38, 0.0342, 0)</f>
        <v>22.136199999999999</v>
      </c>
      <c r="H155" s="14">
        <f>22.102 * CHOOSE(CONTROL!$C$15, $E$9, 100%, $G$9) + CHOOSE(CONTROL!$C$38, 0.0342, 0)</f>
        <v>22.136199999999999</v>
      </c>
      <c r="I155" s="14">
        <f>22.1035 * CHOOSE(CONTROL!$C$15, $E$9, 100%, $G$9) + CHOOSE(CONTROL!$C$38, 0.0342, 0)</f>
        <v>22.137699999999999</v>
      </c>
      <c r="J155" s="44">
        <f>135.0599</f>
        <v>135.0599</v>
      </c>
    </row>
    <row r="156" spans="1:10" ht="15" x14ac:dyDescent="0.2">
      <c r="A156" s="13">
        <v>45658</v>
      </c>
      <c r="B156" s="14">
        <f>24.6951 * CHOOSE(CONTROL!$C$15, $E$9, 100%, $G$9) + CHOOSE(CONTROL!$C$38, 0.034, 0)</f>
        <v>24.729099999999999</v>
      </c>
      <c r="C156" s="14">
        <f>23.2382 * CHOOSE(CONTROL!$C$15, $E$9, 100%, $G$9) + CHOOSE(CONTROL!$C$38, 0.0342, 0)</f>
        <v>23.272399999999998</v>
      </c>
      <c r="D156" s="14">
        <f>23.2304 * CHOOSE(CONTROL!$C$15, $E$9, 100%, $G$9) + CHOOSE(CONTROL!$C$38, 0.0342, 0)</f>
        <v>23.264599999999998</v>
      </c>
      <c r="E156" s="14">
        <f>23.2304 * CHOOSE(CONTROL!$C$15, $E$9, 100%, $G$9) + CHOOSE(CONTROL!$C$38, 0.0342, 0)</f>
        <v>23.264599999999998</v>
      </c>
      <c r="F156" s="45">
        <f>24.6951 * CHOOSE(CONTROL!$C$15, $E$9, 100%, $G$9) + CHOOSE(CONTROL!$C$38, 0.034, 0)</f>
        <v>24.729099999999999</v>
      </c>
      <c r="G156" s="14">
        <f>23.2366 * CHOOSE(CONTROL!$C$15, $E$9, 100%, $G$9) + CHOOSE(CONTROL!$C$38, 0.0342, 0)</f>
        <v>23.270799999999998</v>
      </c>
      <c r="H156" s="14">
        <f>23.2366 * CHOOSE(CONTROL!$C$15, $E$9, 100%, $G$9) + CHOOSE(CONTROL!$C$38, 0.0342, 0)</f>
        <v>23.270799999999998</v>
      </c>
      <c r="I156" s="14">
        <f>23.2382 * CHOOSE(CONTROL!$C$15, $E$9, 100%, $G$9) + CHOOSE(CONTROL!$C$38, 0.0342, 0)</f>
        <v>23.272399999999998</v>
      </c>
      <c r="J156" s="44">
        <f>135.432</f>
        <v>135.43199999999999</v>
      </c>
    </row>
    <row r="157" spans="1:10" ht="15" x14ac:dyDescent="0.2">
      <c r="A157" s="13">
        <v>45689</v>
      </c>
      <c r="B157" s="14">
        <f>25.0459 * CHOOSE(CONTROL!$C$15, $E$9, 100%, $G$9) + CHOOSE(CONTROL!$C$38, 0.034, 0)</f>
        <v>25.079899999999999</v>
      </c>
      <c r="C157" s="14">
        <f>23.5863 * CHOOSE(CONTROL!$C$15, $E$9, 100%, $G$9) + CHOOSE(CONTROL!$C$38, 0.0342, 0)</f>
        <v>23.6205</v>
      </c>
      <c r="D157" s="14">
        <f>23.5785 * CHOOSE(CONTROL!$C$15, $E$9, 100%, $G$9) + CHOOSE(CONTROL!$C$38, 0.0342, 0)</f>
        <v>23.612699999999997</v>
      </c>
      <c r="E157" s="14">
        <f>23.5785 * CHOOSE(CONTROL!$C$15, $E$9, 100%, $G$9) + CHOOSE(CONTROL!$C$38, 0.0342, 0)</f>
        <v>23.612699999999997</v>
      </c>
      <c r="F157" s="45">
        <f>25.0459 * CHOOSE(CONTROL!$C$15, $E$9, 100%, $G$9) + CHOOSE(CONTROL!$C$38, 0.034, 0)</f>
        <v>25.079899999999999</v>
      </c>
      <c r="G157" s="14">
        <f>23.5848 * CHOOSE(CONTROL!$C$15, $E$9, 100%, $G$9) + CHOOSE(CONTROL!$C$38, 0.0342, 0)</f>
        <v>23.619</v>
      </c>
      <c r="H157" s="14">
        <f>23.5848 * CHOOSE(CONTROL!$C$15, $E$9, 100%, $G$9) + CHOOSE(CONTROL!$C$38, 0.0342, 0)</f>
        <v>23.619</v>
      </c>
      <c r="I157" s="14">
        <f>23.5863 * CHOOSE(CONTROL!$C$15, $E$9, 100%, $G$9) + CHOOSE(CONTROL!$C$38, 0.0342, 0)</f>
        <v>23.6205</v>
      </c>
      <c r="J157" s="44">
        <f>135.3337</f>
        <v>135.33369999999999</v>
      </c>
    </row>
    <row r="158" spans="1:10" ht="15" x14ac:dyDescent="0.2">
      <c r="A158" s="13">
        <v>45717</v>
      </c>
      <c r="B158" s="14">
        <f>24.3976 * CHOOSE(CONTROL!$C$15, $E$9, 100%, $G$9) + CHOOSE(CONTROL!$C$38, 0.034, 0)</f>
        <v>24.4316</v>
      </c>
      <c r="C158" s="14">
        <f>22.9353 * CHOOSE(CONTROL!$C$15, $E$9, 100%, $G$9) + CHOOSE(CONTROL!$C$38, 0.0342, 0)</f>
        <v>22.9695</v>
      </c>
      <c r="D158" s="14">
        <f>22.9274 * CHOOSE(CONTROL!$C$15, $E$9, 100%, $G$9) + CHOOSE(CONTROL!$C$38, 0.0342, 0)</f>
        <v>22.961599999999997</v>
      </c>
      <c r="E158" s="14">
        <f>22.9274 * CHOOSE(CONTROL!$C$15, $E$9, 100%, $G$9) + CHOOSE(CONTROL!$C$38, 0.0342, 0)</f>
        <v>22.961599999999997</v>
      </c>
      <c r="F158" s="45">
        <f>24.3976 * CHOOSE(CONTROL!$C$15, $E$9, 100%, $G$9) + CHOOSE(CONTROL!$C$38, 0.034, 0)</f>
        <v>24.4316</v>
      </c>
      <c r="G158" s="14">
        <f>22.9337 * CHOOSE(CONTROL!$C$15, $E$9, 100%, $G$9) + CHOOSE(CONTROL!$C$38, 0.0342, 0)</f>
        <v>22.9679</v>
      </c>
      <c r="H158" s="14">
        <f>22.9337 * CHOOSE(CONTROL!$C$15, $E$9, 100%, $G$9) + CHOOSE(CONTROL!$C$38, 0.0342, 0)</f>
        <v>22.9679</v>
      </c>
      <c r="I158" s="14">
        <f>22.9353 * CHOOSE(CONTROL!$C$15, $E$9, 100%, $G$9) + CHOOSE(CONTROL!$C$38, 0.0342, 0)</f>
        <v>22.9695</v>
      </c>
      <c r="J158" s="44">
        <f>142.7601</f>
        <v>142.76009999999999</v>
      </c>
    </row>
    <row r="159" spans="1:10" ht="15" x14ac:dyDescent="0.2">
      <c r="A159" s="13">
        <v>45748</v>
      </c>
      <c r="B159" s="14">
        <f>23.7681 * CHOOSE(CONTROL!$C$15, $E$9, 100%, $G$9) + CHOOSE(CONTROL!$C$38, 0.034, 0)</f>
        <v>23.802099999999999</v>
      </c>
      <c r="C159" s="14">
        <f>22.3031 * CHOOSE(CONTROL!$C$15, $E$9, 100%, $G$9) + CHOOSE(CONTROL!$C$38, 0.0342, 0)</f>
        <v>22.337299999999999</v>
      </c>
      <c r="D159" s="14">
        <f>22.2953 * CHOOSE(CONTROL!$C$15, $E$9, 100%, $G$9) + CHOOSE(CONTROL!$C$38, 0.0342, 0)</f>
        <v>22.329499999999999</v>
      </c>
      <c r="E159" s="14">
        <f>22.2953 * CHOOSE(CONTROL!$C$15, $E$9, 100%, $G$9) + CHOOSE(CONTROL!$C$38, 0.0342, 0)</f>
        <v>22.329499999999999</v>
      </c>
      <c r="F159" s="45">
        <f>23.7681 * CHOOSE(CONTROL!$C$15, $E$9, 100%, $G$9) + CHOOSE(CONTROL!$C$38, 0.034, 0)</f>
        <v>23.802099999999999</v>
      </c>
      <c r="G159" s="14">
        <f>22.3016 * CHOOSE(CONTROL!$C$15, $E$9, 100%, $G$9) + CHOOSE(CONTROL!$C$38, 0.0342, 0)</f>
        <v>22.335799999999999</v>
      </c>
      <c r="H159" s="14">
        <f>22.3016 * CHOOSE(CONTROL!$C$15, $E$9, 100%, $G$9) + CHOOSE(CONTROL!$C$38, 0.0342, 0)</f>
        <v>22.335799999999999</v>
      </c>
      <c r="I159" s="14">
        <f>22.3031 * CHOOSE(CONTROL!$C$15, $E$9, 100%, $G$9) + CHOOSE(CONTROL!$C$38, 0.0342, 0)</f>
        <v>22.337299999999999</v>
      </c>
      <c r="J159" s="44">
        <f>152.3419</f>
        <v>152.34190000000001</v>
      </c>
    </row>
    <row r="160" spans="1:10" ht="15" x14ac:dyDescent="0.2">
      <c r="A160" s="13">
        <v>45778</v>
      </c>
      <c r="B160" s="14">
        <f>23.1073 * CHOOSE(CONTROL!$C$15, $E$9, 100%, $G$9) + CHOOSE(CONTROL!$C$38, 0.0353, 0)</f>
        <v>23.142599999999998</v>
      </c>
      <c r="C160" s="14">
        <f>21.6396 * CHOOSE(CONTROL!$C$15, $E$9, 100%, $G$9) + CHOOSE(CONTROL!$C$38, 0.0354, 0)</f>
        <v>21.675000000000001</v>
      </c>
      <c r="D160" s="14">
        <f>21.6318 * CHOOSE(CONTROL!$C$15, $E$9, 100%, $G$9) + CHOOSE(CONTROL!$C$38, 0.0354, 0)</f>
        <v>21.667199999999998</v>
      </c>
      <c r="E160" s="14">
        <f>21.6318 * CHOOSE(CONTROL!$C$15, $E$9, 100%, $G$9) + CHOOSE(CONTROL!$C$38, 0.0354, 0)</f>
        <v>21.667199999999998</v>
      </c>
      <c r="F160" s="45">
        <f>23.1073 * CHOOSE(CONTROL!$C$15, $E$9, 100%, $G$9) + CHOOSE(CONTROL!$C$38, 0.0353, 0)</f>
        <v>23.142599999999998</v>
      </c>
      <c r="G160" s="14">
        <f>21.638 * CHOOSE(CONTROL!$C$15, $E$9, 100%, $G$9) + CHOOSE(CONTROL!$C$38, 0.0354, 0)</f>
        <v>21.673400000000001</v>
      </c>
      <c r="H160" s="14">
        <f>21.638 * CHOOSE(CONTROL!$C$15, $E$9, 100%, $G$9) + CHOOSE(CONTROL!$C$38, 0.0354, 0)</f>
        <v>21.673400000000001</v>
      </c>
      <c r="I160" s="14">
        <f>21.6396 * CHOOSE(CONTROL!$C$15, $E$9, 100%, $G$9) + CHOOSE(CONTROL!$C$38, 0.0354, 0)</f>
        <v>21.675000000000001</v>
      </c>
      <c r="J160" s="44">
        <f>157.7785</f>
        <v>157.77850000000001</v>
      </c>
    </row>
    <row r="161" spans="1:10" ht="15" x14ac:dyDescent="0.2">
      <c r="A161" s="13">
        <v>45809</v>
      </c>
      <c r="B161" s="14">
        <f>22.6558 * CHOOSE(CONTROL!$C$15, $E$9, 100%, $G$9) + CHOOSE(CONTROL!$C$38, 0.0353, 0)</f>
        <v>22.691099999999999</v>
      </c>
      <c r="C161" s="14">
        <f>21.1854 * CHOOSE(CONTROL!$C$15, $E$9, 100%, $G$9) + CHOOSE(CONTROL!$C$38, 0.0354, 0)</f>
        <v>21.220800000000001</v>
      </c>
      <c r="D161" s="14">
        <f>21.1776 * CHOOSE(CONTROL!$C$15, $E$9, 100%, $G$9) + CHOOSE(CONTROL!$C$38, 0.0354, 0)</f>
        <v>21.213000000000001</v>
      </c>
      <c r="E161" s="14">
        <f>21.1776 * CHOOSE(CONTROL!$C$15, $E$9, 100%, $G$9) + CHOOSE(CONTROL!$C$38, 0.0354, 0)</f>
        <v>21.213000000000001</v>
      </c>
      <c r="F161" s="45">
        <f>22.6558 * CHOOSE(CONTROL!$C$15, $E$9, 100%, $G$9) + CHOOSE(CONTROL!$C$38, 0.0353, 0)</f>
        <v>22.691099999999999</v>
      </c>
      <c r="G161" s="14">
        <f>21.1839 * CHOOSE(CONTROL!$C$15, $E$9, 100%, $G$9) + CHOOSE(CONTROL!$C$38, 0.0354, 0)</f>
        <v>21.2193</v>
      </c>
      <c r="H161" s="14">
        <f>21.1839 * CHOOSE(CONTROL!$C$15, $E$9, 100%, $G$9) + CHOOSE(CONTROL!$C$38, 0.0354, 0)</f>
        <v>21.2193</v>
      </c>
      <c r="I161" s="14">
        <f>21.1854 * CHOOSE(CONTROL!$C$15, $E$9, 100%, $G$9) + CHOOSE(CONTROL!$C$38, 0.0354, 0)</f>
        <v>21.220800000000001</v>
      </c>
      <c r="J161" s="44">
        <f>160.3816</f>
        <v>160.38159999999999</v>
      </c>
    </row>
    <row r="162" spans="1:10" ht="15" x14ac:dyDescent="0.2">
      <c r="A162" s="13">
        <v>45839</v>
      </c>
      <c r="B162" s="14">
        <f>22.4166 * CHOOSE(CONTROL!$C$15, $E$9, 100%, $G$9) + CHOOSE(CONTROL!$C$38, 0.0353, 0)</f>
        <v>22.451899999999998</v>
      </c>
      <c r="C162" s="14">
        <f>20.9435 * CHOOSE(CONTROL!$C$15, $E$9, 100%, $G$9) + CHOOSE(CONTROL!$C$38, 0.0354, 0)</f>
        <v>20.978899999999999</v>
      </c>
      <c r="D162" s="14">
        <f>20.9357 * CHOOSE(CONTROL!$C$15, $E$9, 100%, $G$9) + CHOOSE(CONTROL!$C$38, 0.0354, 0)</f>
        <v>20.9711</v>
      </c>
      <c r="E162" s="14">
        <f>20.9357 * CHOOSE(CONTROL!$C$15, $E$9, 100%, $G$9) + CHOOSE(CONTROL!$C$38, 0.0354, 0)</f>
        <v>20.9711</v>
      </c>
      <c r="F162" s="45">
        <f>22.4166 * CHOOSE(CONTROL!$C$15, $E$9, 100%, $G$9) + CHOOSE(CONTROL!$C$38, 0.0353, 0)</f>
        <v>22.451899999999998</v>
      </c>
      <c r="G162" s="14">
        <f>20.9419 * CHOOSE(CONTROL!$C$15, $E$9, 100%, $G$9) + CHOOSE(CONTROL!$C$38, 0.0354, 0)</f>
        <v>20.9773</v>
      </c>
      <c r="H162" s="14">
        <f>20.9419 * CHOOSE(CONTROL!$C$15, $E$9, 100%, $G$9) + CHOOSE(CONTROL!$C$38, 0.0354, 0)</f>
        <v>20.9773</v>
      </c>
      <c r="I162" s="14">
        <f>20.9435 * CHOOSE(CONTROL!$C$15, $E$9, 100%, $G$9) + CHOOSE(CONTROL!$C$38, 0.0354, 0)</f>
        <v>20.978899999999999</v>
      </c>
      <c r="J162" s="44">
        <f>159.9604</f>
        <v>159.96039999999999</v>
      </c>
    </row>
    <row r="163" spans="1:10" ht="15" x14ac:dyDescent="0.2">
      <c r="A163" s="13">
        <v>45870</v>
      </c>
      <c r="B163" s="14">
        <f>22.6023 * CHOOSE(CONTROL!$C$15, $E$9, 100%, $G$9) + CHOOSE(CONTROL!$C$38, 0.0353, 0)</f>
        <v>22.637599999999999</v>
      </c>
      <c r="C163" s="14">
        <f>21.1265 * CHOOSE(CONTROL!$C$15, $E$9, 100%, $G$9) + CHOOSE(CONTROL!$C$38, 0.0354, 0)</f>
        <v>21.161899999999999</v>
      </c>
      <c r="D163" s="14">
        <f>21.1186 * CHOOSE(CONTROL!$C$15, $E$9, 100%, $G$9) + CHOOSE(CONTROL!$C$38, 0.0354, 0)</f>
        <v>21.154</v>
      </c>
      <c r="E163" s="14">
        <f>21.1186 * CHOOSE(CONTROL!$C$15, $E$9, 100%, $G$9) + CHOOSE(CONTROL!$C$38, 0.0354, 0)</f>
        <v>21.154</v>
      </c>
      <c r="F163" s="45">
        <f>22.6023 * CHOOSE(CONTROL!$C$15, $E$9, 100%, $G$9) + CHOOSE(CONTROL!$C$38, 0.0353, 0)</f>
        <v>22.637599999999999</v>
      </c>
      <c r="G163" s="14">
        <f>21.1249 * CHOOSE(CONTROL!$C$15, $E$9, 100%, $G$9) + CHOOSE(CONTROL!$C$38, 0.0354, 0)</f>
        <v>21.160299999999999</v>
      </c>
      <c r="H163" s="14">
        <f>21.1249 * CHOOSE(CONTROL!$C$15, $E$9, 100%, $G$9) + CHOOSE(CONTROL!$C$38, 0.0354, 0)</f>
        <v>21.160299999999999</v>
      </c>
      <c r="I163" s="14">
        <f>21.1265 * CHOOSE(CONTROL!$C$15, $E$9, 100%, $G$9) + CHOOSE(CONTROL!$C$38, 0.0354, 0)</f>
        <v>21.161899999999999</v>
      </c>
      <c r="J163" s="44">
        <f>156.5584</f>
        <v>156.55840000000001</v>
      </c>
    </row>
    <row r="164" spans="1:10" ht="15" x14ac:dyDescent="0.2">
      <c r="A164" s="13">
        <v>45901</v>
      </c>
      <c r="B164" s="14">
        <f>23.0307 * CHOOSE(CONTROL!$C$15, $E$9, 100%, $G$9) + CHOOSE(CONTROL!$C$38, 0.0353, 0)</f>
        <v>23.065999999999999</v>
      </c>
      <c r="C164" s="14">
        <f>21.5522 * CHOOSE(CONTROL!$C$15, $E$9, 100%, $G$9) + CHOOSE(CONTROL!$C$38, 0.0354, 0)</f>
        <v>21.587599999999998</v>
      </c>
      <c r="D164" s="14">
        <f>21.5443 * CHOOSE(CONTROL!$C$15, $E$9, 100%, $G$9) + CHOOSE(CONTROL!$C$38, 0.0354, 0)</f>
        <v>21.579699999999999</v>
      </c>
      <c r="E164" s="14">
        <f>21.5443 * CHOOSE(CONTROL!$C$15, $E$9, 100%, $G$9) + CHOOSE(CONTROL!$C$38, 0.0354, 0)</f>
        <v>21.579699999999999</v>
      </c>
      <c r="F164" s="45">
        <f>23.0307 * CHOOSE(CONTROL!$C$15, $E$9, 100%, $G$9) + CHOOSE(CONTROL!$C$38, 0.0353, 0)</f>
        <v>23.065999999999999</v>
      </c>
      <c r="G164" s="14">
        <f>21.5506 * CHOOSE(CONTROL!$C$15, $E$9, 100%, $G$9) + CHOOSE(CONTROL!$C$38, 0.0354, 0)</f>
        <v>21.585999999999999</v>
      </c>
      <c r="H164" s="14">
        <f>21.5506 * CHOOSE(CONTROL!$C$15, $E$9, 100%, $G$9) + CHOOSE(CONTROL!$C$38, 0.0354, 0)</f>
        <v>21.585999999999999</v>
      </c>
      <c r="I164" s="14">
        <f>21.5522 * CHOOSE(CONTROL!$C$15, $E$9, 100%, $G$9) + CHOOSE(CONTROL!$C$38, 0.0354, 0)</f>
        <v>21.587599999999998</v>
      </c>
      <c r="J164" s="44">
        <f>151.6664</f>
        <v>151.66640000000001</v>
      </c>
    </row>
    <row r="165" spans="1:10" ht="15" x14ac:dyDescent="0.2">
      <c r="A165" s="13">
        <v>45931</v>
      </c>
      <c r="B165" s="14">
        <f>23.3984 * CHOOSE(CONTROL!$C$15, $E$9, 100%, $G$9) + CHOOSE(CONTROL!$C$38, 0.034, 0)</f>
        <v>23.432399999999998</v>
      </c>
      <c r="C165" s="14">
        <f>21.9172 * CHOOSE(CONTROL!$C$15, $E$9, 100%, $G$9) + CHOOSE(CONTROL!$C$38, 0.0342, 0)</f>
        <v>21.9514</v>
      </c>
      <c r="D165" s="14">
        <f>21.9093 * CHOOSE(CONTROL!$C$15, $E$9, 100%, $G$9) + CHOOSE(CONTROL!$C$38, 0.0342, 0)</f>
        <v>21.9435</v>
      </c>
      <c r="E165" s="14">
        <f>21.9093 * CHOOSE(CONTROL!$C$15, $E$9, 100%, $G$9) + CHOOSE(CONTROL!$C$38, 0.0342, 0)</f>
        <v>21.9435</v>
      </c>
      <c r="F165" s="45">
        <f>23.3984 * CHOOSE(CONTROL!$C$15, $E$9, 100%, $G$9) + CHOOSE(CONTROL!$C$38, 0.034, 0)</f>
        <v>23.432399999999998</v>
      </c>
      <c r="G165" s="14">
        <f>21.9156 * CHOOSE(CONTROL!$C$15, $E$9, 100%, $G$9) + CHOOSE(CONTROL!$C$38, 0.0342, 0)</f>
        <v>21.9498</v>
      </c>
      <c r="H165" s="14">
        <f>21.9156 * CHOOSE(CONTROL!$C$15, $E$9, 100%, $G$9) + CHOOSE(CONTROL!$C$38, 0.0342, 0)</f>
        <v>21.9498</v>
      </c>
      <c r="I165" s="14">
        <f>21.9172 * CHOOSE(CONTROL!$C$15, $E$9, 100%, $G$9) + CHOOSE(CONTROL!$C$38, 0.0342, 0)</f>
        <v>21.9514</v>
      </c>
      <c r="J165" s="44">
        <f>146.7233</f>
        <v>146.72329999999999</v>
      </c>
    </row>
    <row r="166" spans="1:10" ht="15" x14ac:dyDescent="0.2">
      <c r="A166" s="13">
        <v>45962</v>
      </c>
      <c r="B166" s="14">
        <f>23.7142 * CHOOSE(CONTROL!$C$15, $E$9, 100%, $G$9) + CHOOSE(CONTROL!$C$38, 0.034, 0)</f>
        <v>23.748200000000001</v>
      </c>
      <c r="C166" s="14">
        <f>22.2302 * CHOOSE(CONTROL!$C$15, $E$9, 100%, $G$9) + CHOOSE(CONTROL!$C$38, 0.0342, 0)</f>
        <v>22.264399999999998</v>
      </c>
      <c r="D166" s="14">
        <f>22.2224 * CHOOSE(CONTROL!$C$15, $E$9, 100%, $G$9) + CHOOSE(CONTROL!$C$38, 0.0342, 0)</f>
        <v>22.256599999999999</v>
      </c>
      <c r="E166" s="14">
        <f>22.2224 * CHOOSE(CONTROL!$C$15, $E$9, 100%, $G$9) + CHOOSE(CONTROL!$C$38, 0.0342, 0)</f>
        <v>22.256599999999999</v>
      </c>
      <c r="F166" s="45">
        <f>23.7142 * CHOOSE(CONTROL!$C$15, $E$9, 100%, $G$9) + CHOOSE(CONTROL!$C$38, 0.034, 0)</f>
        <v>23.748200000000001</v>
      </c>
      <c r="G166" s="14">
        <f>22.2287 * CHOOSE(CONTROL!$C$15, $E$9, 100%, $G$9) + CHOOSE(CONTROL!$C$38, 0.0342, 0)</f>
        <v>22.262899999999998</v>
      </c>
      <c r="H166" s="14">
        <f>22.2287 * CHOOSE(CONTROL!$C$15, $E$9, 100%, $G$9) + CHOOSE(CONTROL!$C$38, 0.0342, 0)</f>
        <v>22.262899999999998</v>
      </c>
      <c r="I166" s="14">
        <f>22.2302 * CHOOSE(CONTROL!$C$15, $E$9, 100%, $G$9) + CHOOSE(CONTROL!$C$38, 0.0342, 0)</f>
        <v>22.264399999999998</v>
      </c>
      <c r="J166" s="44">
        <f>145.9779</f>
        <v>145.97790000000001</v>
      </c>
    </row>
    <row r="167" spans="1:10" ht="15" x14ac:dyDescent="0.2">
      <c r="A167" s="13">
        <v>45992</v>
      </c>
      <c r="B167" s="14">
        <f>24.592 * CHOOSE(CONTROL!$C$15, $E$9, 100%, $G$9) + CHOOSE(CONTROL!$C$38, 0.034, 0)</f>
        <v>24.625999999999998</v>
      </c>
      <c r="C167" s="14">
        <f>23.1052 * CHOOSE(CONTROL!$C$15, $E$9, 100%, $G$9) + CHOOSE(CONTROL!$C$38, 0.0342, 0)</f>
        <v>23.139399999999998</v>
      </c>
      <c r="D167" s="14">
        <f>23.0974 * CHOOSE(CONTROL!$C$15, $E$9, 100%, $G$9) + CHOOSE(CONTROL!$C$38, 0.0342, 0)</f>
        <v>23.131599999999999</v>
      </c>
      <c r="E167" s="14">
        <f>23.0974 * CHOOSE(CONTROL!$C$15, $E$9, 100%, $G$9) + CHOOSE(CONTROL!$C$38, 0.0342, 0)</f>
        <v>23.131599999999999</v>
      </c>
      <c r="F167" s="45">
        <f>24.592 * CHOOSE(CONTROL!$C$15, $E$9, 100%, $G$9) + CHOOSE(CONTROL!$C$38, 0.034, 0)</f>
        <v>24.625999999999998</v>
      </c>
      <c r="G167" s="14">
        <f>23.1037 * CHOOSE(CONTROL!$C$15, $E$9, 100%, $G$9) + CHOOSE(CONTROL!$C$38, 0.0342, 0)</f>
        <v>23.137899999999998</v>
      </c>
      <c r="H167" s="14">
        <f>23.1037 * CHOOSE(CONTROL!$C$15, $E$9, 100%, $G$9) + CHOOSE(CONTROL!$C$38, 0.0342, 0)</f>
        <v>23.137899999999998</v>
      </c>
      <c r="I167" s="14">
        <f>23.1052 * CHOOSE(CONTROL!$C$15, $E$9, 100%, $G$9) + CHOOSE(CONTROL!$C$38, 0.0342, 0)</f>
        <v>23.139399999999998</v>
      </c>
      <c r="J167" s="44">
        <f>141.9377</f>
        <v>141.93770000000001</v>
      </c>
    </row>
    <row r="168" spans="1:10" ht="15" x14ac:dyDescent="0.2">
      <c r="A168" s="13">
        <v>46023</v>
      </c>
      <c r="B168" s="14">
        <f>25.2649 * CHOOSE(CONTROL!$C$15, $E$9, 100%, $G$9) + CHOOSE(CONTROL!$C$38, 0.034, 0)</f>
        <v>25.2989</v>
      </c>
      <c r="C168" s="14">
        <f>23.8016 * CHOOSE(CONTROL!$C$15, $E$9, 100%, $G$9) + CHOOSE(CONTROL!$C$38, 0.0342, 0)</f>
        <v>23.835799999999999</v>
      </c>
      <c r="D168" s="14">
        <f>23.7938 * CHOOSE(CONTROL!$C$15, $E$9, 100%, $G$9) + CHOOSE(CONTROL!$C$38, 0.0342, 0)</f>
        <v>23.827999999999999</v>
      </c>
      <c r="E168" s="14">
        <f>23.7938 * CHOOSE(CONTROL!$C$15, $E$9, 100%, $G$9) + CHOOSE(CONTROL!$C$38, 0.0342, 0)</f>
        <v>23.827999999999999</v>
      </c>
      <c r="F168" s="45">
        <f>25.2649 * CHOOSE(CONTROL!$C$15, $E$9, 100%, $G$9) + CHOOSE(CONTROL!$C$38, 0.034, 0)</f>
        <v>25.2989</v>
      </c>
      <c r="G168" s="14">
        <f>23.8001 * CHOOSE(CONTROL!$C$15, $E$9, 100%, $G$9) + CHOOSE(CONTROL!$C$38, 0.0342, 0)</f>
        <v>23.834299999999999</v>
      </c>
      <c r="H168" s="14">
        <f>23.8001 * CHOOSE(CONTROL!$C$15, $E$9, 100%, $G$9) + CHOOSE(CONTROL!$C$38, 0.0342, 0)</f>
        <v>23.834299999999999</v>
      </c>
      <c r="I168" s="14">
        <f>23.8016 * CHOOSE(CONTROL!$C$15, $E$9, 100%, $G$9) + CHOOSE(CONTROL!$C$38, 0.0342, 0)</f>
        <v>23.835799999999999</v>
      </c>
      <c r="J168" s="44">
        <f>138.8436</f>
        <v>138.84360000000001</v>
      </c>
    </row>
    <row r="169" spans="1:10" ht="15" x14ac:dyDescent="0.2">
      <c r="A169" s="13">
        <v>46054</v>
      </c>
      <c r="B169" s="14">
        <f>25.6245 * CHOOSE(CONTROL!$C$15, $E$9, 100%, $G$9) + CHOOSE(CONTROL!$C$38, 0.034, 0)</f>
        <v>25.6585</v>
      </c>
      <c r="C169" s="14">
        <f>24.1584 * CHOOSE(CONTROL!$C$15, $E$9, 100%, $G$9) + CHOOSE(CONTROL!$C$38, 0.0342, 0)</f>
        <v>24.192599999999999</v>
      </c>
      <c r="D169" s="14">
        <f>24.1506 * CHOOSE(CONTROL!$C$15, $E$9, 100%, $G$9) + CHOOSE(CONTROL!$C$38, 0.0342, 0)</f>
        <v>24.184799999999999</v>
      </c>
      <c r="E169" s="14">
        <f>24.1506 * CHOOSE(CONTROL!$C$15, $E$9, 100%, $G$9) + CHOOSE(CONTROL!$C$38, 0.0342, 0)</f>
        <v>24.184799999999999</v>
      </c>
      <c r="F169" s="45">
        <f>25.6245 * CHOOSE(CONTROL!$C$15, $E$9, 100%, $G$9) + CHOOSE(CONTROL!$C$38, 0.034, 0)</f>
        <v>25.6585</v>
      </c>
      <c r="G169" s="14">
        <f>24.1569 * CHOOSE(CONTROL!$C$15, $E$9, 100%, $G$9) + CHOOSE(CONTROL!$C$38, 0.0342, 0)</f>
        <v>24.191099999999999</v>
      </c>
      <c r="H169" s="14">
        <f>24.1569 * CHOOSE(CONTROL!$C$15, $E$9, 100%, $G$9) + CHOOSE(CONTROL!$C$38, 0.0342, 0)</f>
        <v>24.191099999999999</v>
      </c>
      <c r="I169" s="14">
        <f>24.1584 * CHOOSE(CONTROL!$C$15, $E$9, 100%, $G$9) + CHOOSE(CONTROL!$C$38, 0.0342, 0)</f>
        <v>24.192599999999999</v>
      </c>
      <c r="J169" s="44">
        <f>138.7429</f>
        <v>138.74289999999999</v>
      </c>
    </row>
    <row r="170" spans="1:10" ht="15" x14ac:dyDescent="0.2">
      <c r="A170" s="13">
        <v>46082</v>
      </c>
      <c r="B170" s="14">
        <f>24.9598 * CHOOSE(CONTROL!$C$15, $E$9, 100%, $G$9) + CHOOSE(CONTROL!$C$38, 0.034, 0)</f>
        <v>24.9938</v>
      </c>
      <c r="C170" s="14">
        <f>23.4911 * CHOOSE(CONTROL!$C$15, $E$9, 100%, $G$9) + CHOOSE(CONTROL!$C$38, 0.0342, 0)</f>
        <v>23.525299999999998</v>
      </c>
      <c r="D170" s="14">
        <f>23.4833 * CHOOSE(CONTROL!$C$15, $E$9, 100%, $G$9) + CHOOSE(CONTROL!$C$38, 0.0342, 0)</f>
        <v>23.517499999999998</v>
      </c>
      <c r="E170" s="14">
        <f>23.4833 * CHOOSE(CONTROL!$C$15, $E$9, 100%, $G$9) + CHOOSE(CONTROL!$C$38, 0.0342, 0)</f>
        <v>23.517499999999998</v>
      </c>
      <c r="F170" s="45">
        <f>24.9598 * CHOOSE(CONTROL!$C$15, $E$9, 100%, $G$9) + CHOOSE(CONTROL!$C$38, 0.034, 0)</f>
        <v>24.9938</v>
      </c>
      <c r="G170" s="14">
        <f>23.4895 * CHOOSE(CONTROL!$C$15, $E$9, 100%, $G$9) + CHOOSE(CONTROL!$C$38, 0.0342, 0)</f>
        <v>23.523699999999998</v>
      </c>
      <c r="H170" s="14">
        <f>23.4895 * CHOOSE(CONTROL!$C$15, $E$9, 100%, $G$9) + CHOOSE(CONTROL!$C$38, 0.0342, 0)</f>
        <v>23.523699999999998</v>
      </c>
      <c r="I170" s="14">
        <f>23.4911 * CHOOSE(CONTROL!$C$15, $E$9, 100%, $G$9) + CHOOSE(CONTROL!$C$38, 0.0342, 0)</f>
        <v>23.525299999999998</v>
      </c>
      <c r="J170" s="44">
        <f>146.3563</f>
        <v>146.3563</v>
      </c>
    </row>
    <row r="171" spans="1:10" ht="15" x14ac:dyDescent="0.2">
      <c r="A171" s="13">
        <v>46113</v>
      </c>
      <c r="B171" s="14">
        <f>24.3146 * CHOOSE(CONTROL!$C$15, $E$9, 100%, $G$9) + CHOOSE(CONTROL!$C$38, 0.034, 0)</f>
        <v>24.348599999999998</v>
      </c>
      <c r="C171" s="14">
        <f>22.8432 * CHOOSE(CONTROL!$C$15, $E$9, 100%, $G$9) + CHOOSE(CONTROL!$C$38, 0.0342, 0)</f>
        <v>22.877399999999998</v>
      </c>
      <c r="D171" s="14">
        <f>22.8354 * CHOOSE(CONTROL!$C$15, $E$9, 100%, $G$9) + CHOOSE(CONTROL!$C$38, 0.0342, 0)</f>
        <v>22.869599999999998</v>
      </c>
      <c r="E171" s="14">
        <f>22.8354 * CHOOSE(CONTROL!$C$15, $E$9, 100%, $G$9) + CHOOSE(CONTROL!$C$38, 0.0342, 0)</f>
        <v>22.869599999999998</v>
      </c>
      <c r="F171" s="45">
        <f>24.3146 * CHOOSE(CONTROL!$C$15, $E$9, 100%, $G$9) + CHOOSE(CONTROL!$C$38, 0.034, 0)</f>
        <v>24.348599999999998</v>
      </c>
      <c r="G171" s="14">
        <f>22.8416 * CHOOSE(CONTROL!$C$15, $E$9, 100%, $G$9) + CHOOSE(CONTROL!$C$38, 0.0342, 0)</f>
        <v>22.875799999999998</v>
      </c>
      <c r="H171" s="14">
        <f>22.8416 * CHOOSE(CONTROL!$C$15, $E$9, 100%, $G$9) + CHOOSE(CONTROL!$C$38, 0.0342, 0)</f>
        <v>22.875799999999998</v>
      </c>
      <c r="I171" s="14">
        <f>22.8432 * CHOOSE(CONTROL!$C$15, $E$9, 100%, $G$9) + CHOOSE(CONTROL!$C$38, 0.0342, 0)</f>
        <v>22.877399999999998</v>
      </c>
      <c r="J171" s="44">
        <f>156.1795</f>
        <v>156.17949999999999</v>
      </c>
    </row>
    <row r="172" spans="1:10" ht="15" x14ac:dyDescent="0.2">
      <c r="A172" s="13">
        <v>46143</v>
      </c>
      <c r="B172" s="14">
        <f>23.6371 * CHOOSE(CONTROL!$C$15, $E$9, 100%, $G$9) + CHOOSE(CONTROL!$C$38, 0.0353, 0)</f>
        <v>23.6724</v>
      </c>
      <c r="C172" s="14">
        <f>22.163 * CHOOSE(CONTROL!$C$15, $E$9, 100%, $G$9) + CHOOSE(CONTROL!$C$38, 0.0354, 0)</f>
        <v>22.198399999999999</v>
      </c>
      <c r="D172" s="14">
        <f>22.1552 * CHOOSE(CONTROL!$C$15, $E$9, 100%, $G$9) + CHOOSE(CONTROL!$C$38, 0.0354, 0)</f>
        <v>22.1906</v>
      </c>
      <c r="E172" s="14">
        <f>22.1552 * CHOOSE(CONTROL!$C$15, $E$9, 100%, $G$9) + CHOOSE(CONTROL!$C$38, 0.0354, 0)</f>
        <v>22.1906</v>
      </c>
      <c r="F172" s="45">
        <f>23.6371 * CHOOSE(CONTROL!$C$15, $E$9, 100%, $G$9) + CHOOSE(CONTROL!$C$38, 0.0353, 0)</f>
        <v>23.6724</v>
      </c>
      <c r="G172" s="14">
        <f>22.1614 * CHOOSE(CONTROL!$C$15, $E$9, 100%, $G$9) + CHOOSE(CONTROL!$C$38, 0.0354, 0)</f>
        <v>22.1968</v>
      </c>
      <c r="H172" s="14">
        <f>22.1614 * CHOOSE(CONTROL!$C$15, $E$9, 100%, $G$9) + CHOOSE(CONTROL!$C$38, 0.0354, 0)</f>
        <v>22.1968</v>
      </c>
      <c r="I172" s="14">
        <f>22.163 * CHOOSE(CONTROL!$C$15, $E$9, 100%, $G$9) + CHOOSE(CONTROL!$C$38, 0.0354, 0)</f>
        <v>22.198399999999999</v>
      </c>
      <c r="J172" s="44">
        <f>161.7531</f>
        <v>161.75309999999999</v>
      </c>
    </row>
    <row r="173" spans="1:10" ht="15" x14ac:dyDescent="0.2">
      <c r="A173" s="13">
        <v>46174</v>
      </c>
      <c r="B173" s="14">
        <f>23.1743 * CHOOSE(CONTROL!$C$15, $E$9, 100%, $G$9) + CHOOSE(CONTROL!$C$38, 0.0353, 0)</f>
        <v>23.209599999999998</v>
      </c>
      <c r="C173" s="14">
        <f>21.6975 * CHOOSE(CONTROL!$C$15, $E$9, 100%, $G$9) + CHOOSE(CONTROL!$C$38, 0.0354, 0)</f>
        <v>21.732900000000001</v>
      </c>
      <c r="D173" s="14">
        <f>21.6897 * CHOOSE(CONTROL!$C$15, $E$9, 100%, $G$9) + CHOOSE(CONTROL!$C$38, 0.0354, 0)</f>
        <v>21.725099999999998</v>
      </c>
      <c r="E173" s="14">
        <f>21.6897 * CHOOSE(CONTROL!$C$15, $E$9, 100%, $G$9) + CHOOSE(CONTROL!$C$38, 0.0354, 0)</f>
        <v>21.725099999999998</v>
      </c>
      <c r="F173" s="45">
        <f>23.1743 * CHOOSE(CONTROL!$C$15, $E$9, 100%, $G$9) + CHOOSE(CONTROL!$C$38, 0.0353, 0)</f>
        <v>23.209599999999998</v>
      </c>
      <c r="G173" s="14">
        <f>21.6959 * CHOOSE(CONTROL!$C$15, $E$9, 100%, $G$9) + CHOOSE(CONTROL!$C$38, 0.0354, 0)</f>
        <v>21.731300000000001</v>
      </c>
      <c r="H173" s="14">
        <f>21.6959 * CHOOSE(CONTROL!$C$15, $E$9, 100%, $G$9) + CHOOSE(CONTROL!$C$38, 0.0354, 0)</f>
        <v>21.731300000000001</v>
      </c>
      <c r="I173" s="14">
        <f>21.6975 * CHOOSE(CONTROL!$C$15, $E$9, 100%, $G$9) + CHOOSE(CONTROL!$C$38, 0.0354, 0)</f>
        <v>21.732900000000001</v>
      </c>
      <c r="J173" s="44">
        <f>164.4217</f>
        <v>164.42169999999999</v>
      </c>
    </row>
    <row r="174" spans="1:10" ht="15" x14ac:dyDescent="0.2">
      <c r="A174" s="13">
        <v>46204</v>
      </c>
      <c r="B174" s="14">
        <f>22.929 * CHOOSE(CONTROL!$C$15, $E$9, 100%, $G$9) + CHOOSE(CONTROL!$C$38, 0.0353, 0)</f>
        <v>22.964299999999998</v>
      </c>
      <c r="C174" s="14">
        <f>21.4495 * CHOOSE(CONTROL!$C$15, $E$9, 100%, $G$9) + CHOOSE(CONTROL!$C$38, 0.0354, 0)</f>
        <v>21.4849</v>
      </c>
      <c r="D174" s="14">
        <f>21.4417 * CHOOSE(CONTROL!$C$15, $E$9, 100%, $G$9) + CHOOSE(CONTROL!$C$38, 0.0354, 0)</f>
        <v>21.4771</v>
      </c>
      <c r="E174" s="14">
        <f>21.4417 * CHOOSE(CONTROL!$C$15, $E$9, 100%, $G$9) + CHOOSE(CONTROL!$C$38, 0.0354, 0)</f>
        <v>21.4771</v>
      </c>
      <c r="F174" s="45">
        <f>22.929 * CHOOSE(CONTROL!$C$15, $E$9, 100%, $G$9) + CHOOSE(CONTROL!$C$38, 0.0353, 0)</f>
        <v>22.964299999999998</v>
      </c>
      <c r="G174" s="14">
        <f>21.4479 * CHOOSE(CONTROL!$C$15, $E$9, 100%, $G$9) + CHOOSE(CONTROL!$C$38, 0.0354, 0)</f>
        <v>21.4833</v>
      </c>
      <c r="H174" s="14">
        <f>21.4479 * CHOOSE(CONTROL!$C$15, $E$9, 100%, $G$9) + CHOOSE(CONTROL!$C$38, 0.0354, 0)</f>
        <v>21.4833</v>
      </c>
      <c r="I174" s="14">
        <f>21.4495 * CHOOSE(CONTROL!$C$15, $E$9, 100%, $G$9) + CHOOSE(CONTROL!$C$38, 0.0354, 0)</f>
        <v>21.4849</v>
      </c>
      <c r="J174" s="44">
        <f>163.9899</f>
        <v>163.98990000000001</v>
      </c>
    </row>
    <row r="175" spans="1:10" ht="15" x14ac:dyDescent="0.2">
      <c r="A175" s="13">
        <v>46235</v>
      </c>
      <c r="B175" s="14">
        <f>23.1193 * CHOOSE(CONTROL!$C$15, $E$9, 100%, $G$9) + CHOOSE(CONTROL!$C$38, 0.0353, 0)</f>
        <v>23.154599999999999</v>
      </c>
      <c r="C175" s="14">
        <f>21.637 * CHOOSE(CONTROL!$C$15, $E$9, 100%, $G$9) + CHOOSE(CONTROL!$C$38, 0.0354, 0)</f>
        <v>21.6724</v>
      </c>
      <c r="D175" s="14">
        <f>21.6292 * CHOOSE(CONTROL!$C$15, $E$9, 100%, $G$9) + CHOOSE(CONTROL!$C$38, 0.0354, 0)</f>
        <v>21.6646</v>
      </c>
      <c r="E175" s="14">
        <f>21.6292 * CHOOSE(CONTROL!$C$15, $E$9, 100%, $G$9) + CHOOSE(CONTROL!$C$38, 0.0354, 0)</f>
        <v>21.6646</v>
      </c>
      <c r="F175" s="45">
        <f>23.1193 * CHOOSE(CONTROL!$C$15, $E$9, 100%, $G$9) + CHOOSE(CONTROL!$C$38, 0.0353, 0)</f>
        <v>23.154599999999999</v>
      </c>
      <c r="G175" s="14">
        <f>21.6354 * CHOOSE(CONTROL!$C$15, $E$9, 100%, $G$9) + CHOOSE(CONTROL!$C$38, 0.0354, 0)</f>
        <v>21.6708</v>
      </c>
      <c r="H175" s="14">
        <f>21.6354 * CHOOSE(CONTROL!$C$15, $E$9, 100%, $G$9) + CHOOSE(CONTROL!$C$38, 0.0354, 0)</f>
        <v>21.6708</v>
      </c>
      <c r="I175" s="14">
        <f>21.637 * CHOOSE(CONTROL!$C$15, $E$9, 100%, $G$9) + CHOOSE(CONTROL!$C$38, 0.0354, 0)</f>
        <v>21.6724</v>
      </c>
      <c r="J175" s="44">
        <f>160.5022</f>
        <v>160.50219999999999</v>
      </c>
    </row>
    <row r="176" spans="1:10" ht="15" x14ac:dyDescent="0.2">
      <c r="A176" s="13">
        <v>46266</v>
      </c>
      <c r="B176" s="14">
        <f>23.5584 * CHOOSE(CONTROL!$C$15, $E$9, 100%, $G$9) + CHOOSE(CONTROL!$C$38, 0.0353, 0)</f>
        <v>23.593699999999998</v>
      </c>
      <c r="C176" s="14">
        <f>22.0733 * CHOOSE(CONTROL!$C$15, $E$9, 100%, $G$9) + CHOOSE(CONTROL!$C$38, 0.0354, 0)</f>
        <v>22.108699999999999</v>
      </c>
      <c r="D176" s="14">
        <f>22.0655 * CHOOSE(CONTROL!$C$15, $E$9, 100%, $G$9) + CHOOSE(CONTROL!$C$38, 0.0354, 0)</f>
        <v>22.100899999999999</v>
      </c>
      <c r="E176" s="14">
        <f>22.0655 * CHOOSE(CONTROL!$C$15, $E$9, 100%, $G$9) + CHOOSE(CONTROL!$C$38, 0.0354, 0)</f>
        <v>22.100899999999999</v>
      </c>
      <c r="F176" s="45">
        <f>23.5584 * CHOOSE(CONTROL!$C$15, $E$9, 100%, $G$9) + CHOOSE(CONTROL!$C$38, 0.0353, 0)</f>
        <v>23.593699999999998</v>
      </c>
      <c r="G176" s="14">
        <f>22.0718 * CHOOSE(CONTROL!$C$15, $E$9, 100%, $G$9) + CHOOSE(CONTROL!$C$38, 0.0354, 0)</f>
        <v>22.107199999999999</v>
      </c>
      <c r="H176" s="14">
        <f>22.0718 * CHOOSE(CONTROL!$C$15, $E$9, 100%, $G$9) + CHOOSE(CONTROL!$C$38, 0.0354, 0)</f>
        <v>22.107199999999999</v>
      </c>
      <c r="I176" s="14">
        <f>22.0733 * CHOOSE(CONTROL!$C$15, $E$9, 100%, $G$9) + CHOOSE(CONTROL!$C$38, 0.0354, 0)</f>
        <v>22.108699999999999</v>
      </c>
      <c r="J176" s="44">
        <f>155.487</f>
        <v>155.48699999999999</v>
      </c>
    </row>
    <row r="177" spans="1:10" ht="15" x14ac:dyDescent="0.2">
      <c r="A177" s="13">
        <v>46296</v>
      </c>
      <c r="B177" s="14">
        <f>23.9352 * CHOOSE(CONTROL!$C$15, $E$9, 100%, $G$9) + CHOOSE(CONTROL!$C$38, 0.034, 0)</f>
        <v>23.969199999999997</v>
      </c>
      <c r="C177" s="14">
        <f>22.4474 * CHOOSE(CONTROL!$C$15, $E$9, 100%, $G$9) + CHOOSE(CONTROL!$C$38, 0.0342, 0)</f>
        <v>22.481599999999997</v>
      </c>
      <c r="D177" s="14">
        <f>22.4396 * CHOOSE(CONTROL!$C$15, $E$9, 100%, $G$9) + CHOOSE(CONTROL!$C$38, 0.0342, 0)</f>
        <v>22.473799999999997</v>
      </c>
      <c r="E177" s="14">
        <f>22.4396 * CHOOSE(CONTROL!$C$15, $E$9, 100%, $G$9) + CHOOSE(CONTROL!$C$38, 0.0342, 0)</f>
        <v>22.473799999999997</v>
      </c>
      <c r="F177" s="45">
        <f>23.9352 * CHOOSE(CONTROL!$C$15, $E$9, 100%, $G$9) + CHOOSE(CONTROL!$C$38, 0.034, 0)</f>
        <v>23.969199999999997</v>
      </c>
      <c r="G177" s="14">
        <f>22.4459 * CHOOSE(CONTROL!$C$15, $E$9, 100%, $G$9) + CHOOSE(CONTROL!$C$38, 0.0342, 0)</f>
        <v>22.4801</v>
      </c>
      <c r="H177" s="14">
        <f>22.4459 * CHOOSE(CONTROL!$C$15, $E$9, 100%, $G$9) + CHOOSE(CONTROL!$C$38, 0.0342, 0)</f>
        <v>22.4801</v>
      </c>
      <c r="I177" s="14">
        <f>22.4474 * CHOOSE(CONTROL!$C$15, $E$9, 100%, $G$9) + CHOOSE(CONTROL!$C$38, 0.0342, 0)</f>
        <v>22.481599999999997</v>
      </c>
      <c r="J177" s="44">
        <f>150.4193</f>
        <v>150.41929999999999</v>
      </c>
    </row>
    <row r="178" spans="1:10" ht="15" x14ac:dyDescent="0.2">
      <c r="A178" s="13">
        <v>46327</v>
      </c>
      <c r="B178" s="14">
        <f>24.2588 * CHOOSE(CONTROL!$C$15, $E$9, 100%, $G$9) + CHOOSE(CONTROL!$C$38, 0.034, 0)</f>
        <v>24.2928</v>
      </c>
      <c r="C178" s="14">
        <f>22.7683 * CHOOSE(CONTROL!$C$15, $E$9, 100%, $G$9) + CHOOSE(CONTROL!$C$38, 0.0342, 0)</f>
        <v>22.802499999999998</v>
      </c>
      <c r="D178" s="14">
        <f>22.7605 * CHOOSE(CONTROL!$C$15, $E$9, 100%, $G$9) + CHOOSE(CONTROL!$C$38, 0.0342, 0)</f>
        <v>22.794699999999999</v>
      </c>
      <c r="E178" s="14">
        <f>22.7605 * CHOOSE(CONTROL!$C$15, $E$9, 100%, $G$9) + CHOOSE(CONTROL!$C$38, 0.0342, 0)</f>
        <v>22.794699999999999</v>
      </c>
      <c r="F178" s="45">
        <f>24.2588 * CHOOSE(CONTROL!$C$15, $E$9, 100%, $G$9) + CHOOSE(CONTROL!$C$38, 0.034, 0)</f>
        <v>24.2928</v>
      </c>
      <c r="G178" s="14">
        <f>22.7668 * CHOOSE(CONTROL!$C$15, $E$9, 100%, $G$9) + CHOOSE(CONTROL!$C$38, 0.0342, 0)</f>
        <v>22.800999999999998</v>
      </c>
      <c r="H178" s="14">
        <f>22.7668 * CHOOSE(CONTROL!$C$15, $E$9, 100%, $G$9) + CHOOSE(CONTROL!$C$38, 0.0342, 0)</f>
        <v>22.800999999999998</v>
      </c>
      <c r="I178" s="14">
        <f>22.7683 * CHOOSE(CONTROL!$C$15, $E$9, 100%, $G$9) + CHOOSE(CONTROL!$C$38, 0.0342, 0)</f>
        <v>22.802499999999998</v>
      </c>
      <c r="J178" s="44">
        <f>149.6551</f>
        <v>149.6551</v>
      </c>
    </row>
    <row r="179" spans="1:10" ht="15" x14ac:dyDescent="0.2">
      <c r="A179" s="13">
        <v>46357</v>
      </c>
      <c r="B179" s="14">
        <f>25.1585 * CHOOSE(CONTROL!$C$15, $E$9, 100%, $G$9) + CHOOSE(CONTROL!$C$38, 0.034, 0)</f>
        <v>25.192499999999999</v>
      </c>
      <c r="C179" s="14">
        <f>23.6652 * CHOOSE(CONTROL!$C$15, $E$9, 100%, $G$9) + CHOOSE(CONTROL!$C$38, 0.0342, 0)</f>
        <v>23.699399999999997</v>
      </c>
      <c r="D179" s="14">
        <f>23.6574 * CHOOSE(CONTROL!$C$15, $E$9, 100%, $G$9) + CHOOSE(CONTROL!$C$38, 0.0342, 0)</f>
        <v>23.691599999999998</v>
      </c>
      <c r="E179" s="14">
        <f>23.6574 * CHOOSE(CONTROL!$C$15, $E$9, 100%, $G$9) + CHOOSE(CONTROL!$C$38, 0.0342, 0)</f>
        <v>23.691599999999998</v>
      </c>
      <c r="F179" s="45">
        <f>25.1585 * CHOOSE(CONTROL!$C$15, $E$9, 100%, $G$9) + CHOOSE(CONTROL!$C$38, 0.034, 0)</f>
        <v>25.192499999999999</v>
      </c>
      <c r="G179" s="14">
        <f>23.6637 * CHOOSE(CONTROL!$C$15, $E$9, 100%, $G$9) + CHOOSE(CONTROL!$C$38, 0.0342, 0)</f>
        <v>23.697899999999997</v>
      </c>
      <c r="H179" s="14">
        <f>23.6637 * CHOOSE(CONTROL!$C$15, $E$9, 100%, $G$9) + CHOOSE(CONTROL!$C$38, 0.0342, 0)</f>
        <v>23.697899999999997</v>
      </c>
      <c r="I179" s="14">
        <f>23.6652 * CHOOSE(CONTROL!$C$15, $E$9, 100%, $G$9) + CHOOSE(CONTROL!$C$38, 0.0342, 0)</f>
        <v>23.699399999999997</v>
      </c>
      <c r="J179" s="44">
        <f>145.5132</f>
        <v>145.51320000000001</v>
      </c>
    </row>
    <row r="180" spans="1:10" ht="15" x14ac:dyDescent="0.2">
      <c r="A180" s="13">
        <v>46388</v>
      </c>
      <c r="B180" s="14">
        <f>25.8917 * CHOOSE(CONTROL!$C$15, $E$9, 100%, $G$9) + CHOOSE(CONTROL!$C$38, 0.034, 0)</f>
        <v>25.925699999999999</v>
      </c>
      <c r="C180" s="14">
        <f>24.422 * CHOOSE(CONTROL!$C$15, $E$9, 100%, $G$9) + CHOOSE(CONTROL!$C$38, 0.0342, 0)</f>
        <v>24.456199999999999</v>
      </c>
      <c r="D180" s="14">
        <f>24.4142 * CHOOSE(CONTROL!$C$15, $E$9, 100%, $G$9) + CHOOSE(CONTROL!$C$38, 0.0342, 0)</f>
        <v>24.448399999999999</v>
      </c>
      <c r="E180" s="14">
        <f>24.4142 * CHOOSE(CONTROL!$C$15, $E$9, 100%, $G$9) + CHOOSE(CONTROL!$C$38, 0.0342, 0)</f>
        <v>24.448399999999999</v>
      </c>
      <c r="F180" s="45">
        <f>25.8917 * CHOOSE(CONTROL!$C$15, $E$9, 100%, $G$9) + CHOOSE(CONTROL!$C$38, 0.034, 0)</f>
        <v>25.925699999999999</v>
      </c>
      <c r="G180" s="14">
        <f>24.4204 * CHOOSE(CONTROL!$C$15, $E$9, 100%, $G$9) + CHOOSE(CONTROL!$C$38, 0.0342, 0)</f>
        <v>24.454599999999999</v>
      </c>
      <c r="H180" s="14">
        <f>24.4204 * CHOOSE(CONTROL!$C$15, $E$9, 100%, $G$9) + CHOOSE(CONTROL!$C$38, 0.0342, 0)</f>
        <v>24.454599999999999</v>
      </c>
      <c r="I180" s="14">
        <f>24.422 * CHOOSE(CONTROL!$C$15, $E$9, 100%, $G$9) + CHOOSE(CONTROL!$C$38, 0.0342, 0)</f>
        <v>24.456199999999999</v>
      </c>
      <c r="J180" s="44">
        <f>142.3411</f>
        <v>142.34110000000001</v>
      </c>
    </row>
    <row r="181" spans="1:10" ht="15" x14ac:dyDescent="0.2">
      <c r="A181" s="13">
        <v>46419</v>
      </c>
      <c r="B181" s="14">
        <f>26.2602 * CHOOSE(CONTROL!$C$15, $E$9, 100%, $G$9) + CHOOSE(CONTROL!$C$38, 0.034, 0)</f>
        <v>26.2942</v>
      </c>
      <c r="C181" s="14">
        <f>24.7878 * CHOOSE(CONTROL!$C$15, $E$9, 100%, $G$9) + CHOOSE(CONTROL!$C$38, 0.0342, 0)</f>
        <v>24.821999999999999</v>
      </c>
      <c r="D181" s="14">
        <f>24.78 * CHOOSE(CONTROL!$C$15, $E$9, 100%, $G$9) + CHOOSE(CONTROL!$C$38, 0.0342, 0)</f>
        <v>24.8142</v>
      </c>
      <c r="E181" s="14">
        <f>24.78 * CHOOSE(CONTROL!$C$15, $E$9, 100%, $G$9) + CHOOSE(CONTROL!$C$38, 0.0342, 0)</f>
        <v>24.8142</v>
      </c>
      <c r="F181" s="45">
        <f>26.2602 * CHOOSE(CONTROL!$C$15, $E$9, 100%, $G$9) + CHOOSE(CONTROL!$C$38, 0.034, 0)</f>
        <v>26.2942</v>
      </c>
      <c r="G181" s="14">
        <f>24.7862 * CHOOSE(CONTROL!$C$15, $E$9, 100%, $G$9) + CHOOSE(CONTROL!$C$38, 0.0342, 0)</f>
        <v>24.820399999999999</v>
      </c>
      <c r="H181" s="14">
        <f>24.7862 * CHOOSE(CONTROL!$C$15, $E$9, 100%, $G$9) + CHOOSE(CONTROL!$C$38, 0.0342, 0)</f>
        <v>24.820399999999999</v>
      </c>
      <c r="I181" s="14">
        <f>24.7878 * CHOOSE(CONTROL!$C$15, $E$9, 100%, $G$9) + CHOOSE(CONTROL!$C$38, 0.0342, 0)</f>
        <v>24.821999999999999</v>
      </c>
      <c r="J181" s="44">
        <f>142.2378</f>
        <v>142.23779999999999</v>
      </c>
    </row>
    <row r="182" spans="1:10" ht="15" x14ac:dyDescent="0.2">
      <c r="A182" s="13">
        <v>46447</v>
      </c>
      <c r="B182" s="14">
        <f>25.579 * CHOOSE(CONTROL!$C$15, $E$9, 100%, $G$9) + CHOOSE(CONTROL!$C$38, 0.034, 0)</f>
        <v>25.613</v>
      </c>
      <c r="C182" s="14">
        <f>24.1038 * CHOOSE(CONTROL!$C$15, $E$9, 100%, $G$9) + CHOOSE(CONTROL!$C$38, 0.0342, 0)</f>
        <v>24.137999999999998</v>
      </c>
      <c r="D182" s="14">
        <f>24.096 * CHOOSE(CONTROL!$C$15, $E$9, 100%, $G$9) + CHOOSE(CONTROL!$C$38, 0.0342, 0)</f>
        <v>24.130199999999999</v>
      </c>
      <c r="E182" s="14">
        <f>24.096 * CHOOSE(CONTROL!$C$15, $E$9, 100%, $G$9) + CHOOSE(CONTROL!$C$38, 0.0342, 0)</f>
        <v>24.130199999999999</v>
      </c>
      <c r="F182" s="45">
        <f>25.579 * CHOOSE(CONTROL!$C$15, $E$9, 100%, $G$9) + CHOOSE(CONTROL!$C$38, 0.034, 0)</f>
        <v>25.613</v>
      </c>
      <c r="G182" s="14">
        <f>24.1023 * CHOOSE(CONTROL!$C$15, $E$9, 100%, $G$9) + CHOOSE(CONTROL!$C$38, 0.0342, 0)</f>
        <v>24.136499999999998</v>
      </c>
      <c r="H182" s="14">
        <f>24.1023 * CHOOSE(CONTROL!$C$15, $E$9, 100%, $G$9) + CHOOSE(CONTROL!$C$38, 0.0342, 0)</f>
        <v>24.136499999999998</v>
      </c>
      <c r="I182" s="14">
        <f>24.1038 * CHOOSE(CONTROL!$C$15, $E$9, 100%, $G$9) + CHOOSE(CONTROL!$C$38, 0.0342, 0)</f>
        <v>24.137999999999998</v>
      </c>
      <c r="J182" s="44">
        <f>150.043</f>
        <v>150.04300000000001</v>
      </c>
    </row>
    <row r="183" spans="1:10" ht="15" x14ac:dyDescent="0.2">
      <c r="A183" s="13">
        <v>46478</v>
      </c>
      <c r="B183" s="14">
        <f>24.9176 * CHOOSE(CONTROL!$C$15, $E$9, 100%, $G$9) + CHOOSE(CONTROL!$C$38, 0.034, 0)</f>
        <v>24.951599999999999</v>
      </c>
      <c r="C183" s="14">
        <f>23.4398 * CHOOSE(CONTROL!$C$15, $E$9, 100%, $G$9) + CHOOSE(CONTROL!$C$38, 0.0342, 0)</f>
        <v>23.474</v>
      </c>
      <c r="D183" s="14">
        <f>23.432 * CHOOSE(CONTROL!$C$15, $E$9, 100%, $G$9) + CHOOSE(CONTROL!$C$38, 0.0342, 0)</f>
        <v>23.466199999999997</v>
      </c>
      <c r="E183" s="14">
        <f>23.432 * CHOOSE(CONTROL!$C$15, $E$9, 100%, $G$9) + CHOOSE(CONTROL!$C$38, 0.0342, 0)</f>
        <v>23.466199999999997</v>
      </c>
      <c r="F183" s="45">
        <f>24.9176 * CHOOSE(CONTROL!$C$15, $E$9, 100%, $G$9) + CHOOSE(CONTROL!$C$38, 0.034, 0)</f>
        <v>24.951599999999999</v>
      </c>
      <c r="G183" s="14">
        <f>23.4382 * CHOOSE(CONTROL!$C$15, $E$9, 100%, $G$9) + CHOOSE(CONTROL!$C$38, 0.0342, 0)</f>
        <v>23.472399999999997</v>
      </c>
      <c r="H183" s="14">
        <f>23.4382 * CHOOSE(CONTROL!$C$15, $E$9, 100%, $G$9) + CHOOSE(CONTROL!$C$38, 0.0342, 0)</f>
        <v>23.472399999999997</v>
      </c>
      <c r="I183" s="14">
        <f>23.4398 * CHOOSE(CONTROL!$C$15, $E$9, 100%, $G$9) + CHOOSE(CONTROL!$C$38, 0.0342, 0)</f>
        <v>23.474</v>
      </c>
      <c r="J183" s="44">
        <f>160.1136</f>
        <v>160.11359999999999</v>
      </c>
    </row>
    <row r="184" spans="1:10" ht="15" x14ac:dyDescent="0.2">
      <c r="A184" s="13">
        <v>46508</v>
      </c>
      <c r="B184" s="14">
        <f>24.2233 * CHOOSE(CONTROL!$C$15, $E$9, 100%, $G$9) + CHOOSE(CONTROL!$C$38, 0.0353, 0)</f>
        <v>24.258599999999998</v>
      </c>
      <c r="C184" s="14">
        <f>22.7427 * CHOOSE(CONTROL!$C$15, $E$9, 100%, $G$9) + CHOOSE(CONTROL!$C$38, 0.0354, 0)</f>
        <v>22.778099999999998</v>
      </c>
      <c r="D184" s="14">
        <f>22.7349 * CHOOSE(CONTROL!$C$15, $E$9, 100%, $G$9) + CHOOSE(CONTROL!$C$38, 0.0354, 0)</f>
        <v>22.770299999999999</v>
      </c>
      <c r="E184" s="14">
        <f>22.7349 * CHOOSE(CONTROL!$C$15, $E$9, 100%, $G$9) + CHOOSE(CONTROL!$C$38, 0.0354, 0)</f>
        <v>22.770299999999999</v>
      </c>
      <c r="F184" s="45">
        <f>24.2233 * CHOOSE(CONTROL!$C$15, $E$9, 100%, $G$9) + CHOOSE(CONTROL!$C$38, 0.0353, 0)</f>
        <v>24.258599999999998</v>
      </c>
      <c r="G184" s="14">
        <f>22.7411 * CHOOSE(CONTROL!$C$15, $E$9, 100%, $G$9) + CHOOSE(CONTROL!$C$38, 0.0354, 0)</f>
        <v>22.776499999999999</v>
      </c>
      <c r="H184" s="14">
        <f>22.7411 * CHOOSE(CONTROL!$C$15, $E$9, 100%, $G$9) + CHOOSE(CONTROL!$C$38, 0.0354, 0)</f>
        <v>22.776499999999999</v>
      </c>
      <c r="I184" s="14">
        <f>22.7427 * CHOOSE(CONTROL!$C$15, $E$9, 100%, $G$9) + CHOOSE(CONTROL!$C$38, 0.0354, 0)</f>
        <v>22.778099999999998</v>
      </c>
      <c r="J184" s="44">
        <f>165.8276</f>
        <v>165.82759999999999</v>
      </c>
    </row>
    <row r="185" spans="1:10" ht="15" x14ac:dyDescent="0.2">
      <c r="A185" s="13">
        <v>46539</v>
      </c>
      <c r="B185" s="14">
        <f>23.7489 * CHOOSE(CONTROL!$C$15, $E$9, 100%, $G$9) + CHOOSE(CONTROL!$C$38, 0.0353, 0)</f>
        <v>23.784199999999998</v>
      </c>
      <c r="C185" s="14">
        <f>22.2656 * CHOOSE(CONTROL!$C$15, $E$9, 100%, $G$9) + CHOOSE(CONTROL!$C$38, 0.0354, 0)</f>
        <v>22.300999999999998</v>
      </c>
      <c r="D185" s="14">
        <f>22.2578 * CHOOSE(CONTROL!$C$15, $E$9, 100%, $G$9) + CHOOSE(CONTROL!$C$38, 0.0354, 0)</f>
        <v>22.293199999999999</v>
      </c>
      <c r="E185" s="14">
        <f>22.2578 * CHOOSE(CONTROL!$C$15, $E$9, 100%, $G$9) + CHOOSE(CONTROL!$C$38, 0.0354, 0)</f>
        <v>22.293199999999999</v>
      </c>
      <c r="F185" s="45">
        <f>23.7489 * CHOOSE(CONTROL!$C$15, $E$9, 100%, $G$9) + CHOOSE(CONTROL!$C$38, 0.0353, 0)</f>
        <v>23.784199999999998</v>
      </c>
      <c r="G185" s="14">
        <f>22.2641 * CHOOSE(CONTROL!$C$15, $E$9, 100%, $G$9) + CHOOSE(CONTROL!$C$38, 0.0354, 0)</f>
        <v>22.299499999999998</v>
      </c>
      <c r="H185" s="14">
        <f>22.2641 * CHOOSE(CONTROL!$C$15, $E$9, 100%, $G$9) + CHOOSE(CONTROL!$C$38, 0.0354, 0)</f>
        <v>22.299499999999998</v>
      </c>
      <c r="I185" s="14">
        <f>22.2656 * CHOOSE(CONTROL!$C$15, $E$9, 100%, $G$9) + CHOOSE(CONTROL!$C$38, 0.0354, 0)</f>
        <v>22.300999999999998</v>
      </c>
      <c r="J185" s="44">
        <f>168.5635</f>
        <v>168.5635</v>
      </c>
    </row>
    <row r="186" spans="1:10" ht="15" x14ac:dyDescent="0.2">
      <c r="A186" s="13">
        <v>46569</v>
      </c>
      <c r="B186" s="14">
        <f>23.4975 * CHOOSE(CONTROL!$C$15, $E$9, 100%, $G$9) + CHOOSE(CONTROL!$C$38, 0.0353, 0)</f>
        <v>23.532799999999998</v>
      </c>
      <c r="C186" s="14">
        <f>22.0115 * CHOOSE(CONTROL!$C$15, $E$9, 100%, $G$9) + CHOOSE(CONTROL!$C$38, 0.0354, 0)</f>
        <v>22.046900000000001</v>
      </c>
      <c r="D186" s="14">
        <f>22.0037 * CHOOSE(CONTROL!$C$15, $E$9, 100%, $G$9) + CHOOSE(CONTROL!$C$38, 0.0354, 0)</f>
        <v>22.039099999999998</v>
      </c>
      <c r="E186" s="14">
        <f>22.0037 * CHOOSE(CONTROL!$C$15, $E$9, 100%, $G$9) + CHOOSE(CONTROL!$C$38, 0.0354, 0)</f>
        <v>22.039099999999998</v>
      </c>
      <c r="F186" s="45">
        <f>23.4975 * CHOOSE(CONTROL!$C$15, $E$9, 100%, $G$9) + CHOOSE(CONTROL!$C$38, 0.0353, 0)</f>
        <v>23.532799999999998</v>
      </c>
      <c r="G186" s="14">
        <f>22.0099 * CHOOSE(CONTROL!$C$15, $E$9, 100%, $G$9) + CHOOSE(CONTROL!$C$38, 0.0354, 0)</f>
        <v>22.045299999999997</v>
      </c>
      <c r="H186" s="14">
        <f>22.0099 * CHOOSE(CONTROL!$C$15, $E$9, 100%, $G$9) + CHOOSE(CONTROL!$C$38, 0.0354, 0)</f>
        <v>22.045299999999997</v>
      </c>
      <c r="I186" s="14">
        <f>22.0115 * CHOOSE(CONTROL!$C$15, $E$9, 100%, $G$9) + CHOOSE(CONTROL!$C$38, 0.0354, 0)</f>
        <v>22.046900000000001</v>
      </c>
      <c r="J186" s="44">
        <f>168.1208</f>
        <v>168.1208</v>
      </c>
    </row>
    <row r="187" spans="1:10" ht="15" x14ac:dyDescent="0.2">
      <c r="A187" s="13">
        <v>46600</v>
      </c>
      <c r="B187" s="14">
        <f>23.6926 * CHOOSE(CONTROL!$C$15, $E$9, 100%, $G$9) + CHOOSE(CONTROL!$C$38, 0.0353, 0)</f>
        <v>23.727899999999998</v>
      </c>
      <c r="C187" s="14">
        <f>22.2038 * CHOOSE(CONTROL!$C$15, $E$9, 100%, $G$9) + CHOOSE(CONTROL!$C$38, 0.0354, 0)</f>
        <v>22.2392</v>
      </c>
      <c r="D187" s="14">
        <f>22.196 * CHOOSE(CONTROL!$C$15, $E$9, 100%, $G$9) + CHOOSE(CONTROL!$C$38, 0.0354, 0)</f>
        <v>22.231400000000001</v>
      </c>
      <c r="E187" s="14">
        <f>22.196 * CHOOSE(CONTROL!$C$15, $E$9, 100%, $G$9) + CHOOSE(CONTROL!$C$38, 0.0354, 0)</f>
        <v>22.231400000000001</v>
      </c>
      <c r="F187" s="45">
        <f>23.6926 * CHOOSE(CONTROL!$C$15, $E$9, 100%, $G$9) + CHOOSE(CONTROL!$C$38, 0.0353, 0)</f>
        <v>23.727899999999998</v>
      </c>
      <c r="G187" s="14">
        <f>22.2022 * CHOOSE(CONTROL!$C$15, $E$9, 100%, $G$9) + CHOOSE(CONTROL!$C$38, 0.0354, 0)</f>
        <v>22.2376</v>
      </c>
      <c r="H187" s="14">
        <f>22.2022 * CHOOSE(CONTROL!$C$15, $E$9, 100%, $G$9) + CHOOSE(CONTROL!$C$38, 0.0354, 0)</f>
        <v>22.2376</v>
      </c>
      <c r="I187" s="14">
        <f>22.2038 * CHOOSE(CONTROL!$C$15, $E$9, 100%, $G$9) + CHOOSE(CONTROL!$C$38, 0.0354, 0)</f>
        <v>22.2392</v>
      </c>
      <c r="J187" s="44">
        <f>164.5452</f>
        <v>164.54519999999999</v>
      </c>
    </row>
    <row r="188" spans="1:10" ht="15" x14ac:dyDescent="0.2">
      <c r="A188" s="13">
        <v>46631</v>
      </c>
      <c r="B188" s="14">
        <f>24.1426 * CHOOSE(CONTROL!$C$15, $E$9, 100%, $G$9) + CHOOSE(CONTROL!$C$38, 0.0353, 0)</f>
        <v>24.177900000000001</v>
      </c>
      <c r="C188" s="14">
        <f>22.6511 * CHOOSE(CONTROL!$C$15, $E$9, 100%, $G$9) + CHOOSE(CONTROL!$C$38, 0.0354, 0)</f>
        <v>22.686499999999999</v>
      </c>
      <c r="D188" s="14">
        <f>22.6433 * CHOOSE(CONTROL!$C$15, $E$9, 100%, $G$9) + CHOOSE(CONTROL!$C$38, 0.0354, 0)</f>
        <v>22.678699999999999</v>
      </c>
      <c r="E188" s="14">
        <f>22.6433 * CHOOSE(CONTROL!$C$15, $E$9, 100%, $G$9) + CHOOSE(CONTROL!$C$38, 0.0354, 0)</f>
        <v>22.678699999999999</v>
      </c>
      <c r="F188" s="45">
        <f>24.1426 * CHOOSE(CONTROL!$C$15, $E$9, 100%, $G$9) + CHOOSE(CONTROL!$C$38, 0.0353, 0)</f>
        <v>24.177900000000001</v>
      </c>
      <c r="G188" s="14">
        <f>22.6495 * CHOOSE(CONTROL!$C$15, $E$9, 100%, $G$9) + CHOOSE(CONTROL!$C$38, 0.0354, 0)</f>
        <v>22.684899999999999</v>
      </c>
      <c r="H188" s="14">
        <f>22.6495 * CHOOSE(CONTROL!$C$15, $E$9, 100%, $G$9) + CHOOSE(CONTROL!$C$38, 0.0354, 0)</f>
        <v>22.684899999999999</v>
      </c>
      <c r="I188" s="14">
        <f>22.6511 * CHOOSE(CONTROL!$C$15, $E$9, 100%, $G$9) + CHOOSE(CONTROL!$C$38, 0.0354, 0)</f>
        <v>22.686499999999999</v>
      </c>
      <c r="J188" s="44">
        <f>159.4037</f>
        <v>159.40369999999999</v>
      </c>
    </row>
    <row r="189" spans="1:10" ht="15" x14ac:dyDescent="0.2">
      <c r="A189" s="13">
        <v>46661</v>
      </c>
      <c r="B189" s="14">
        <f>24.5289 * CHOOSE(CONTROL!$C$15, $E$9, 100%, $G$9) + CHOOSE(CONTROL!$C$38, 0.034, 0)</f>
        <v>24.562899999999999</v>
      </c>
      <c r="C189" s="14">
        <f>23.0346 * CHOOSE(CONTROL!$C$15, $E$9, 100%, $G$9) + CHOOSE(CONTROL!$C$38, 0.0342, 0)</f>
        <v>23.0688</v>
      </c>
      <c r="D189" s="14">
        <f>23.0268 * CHOOSE(CONTROL!$C$15, $E$9, 100%, $G$9) + CHOOSE(CONTROL!$C$38, 0.0342, 0)</f>
        <v>23.061</v>
      </c>
      <c r="E189" s="14">
        <f>23.0268 * CHOOSE(CONTROL!$C$15, $E$9, 100%, $G$9) + CHOOSE(CONTROL!$C$38, 0.0342, 0)</f>
        <v>23.061</v>
      </c>
      <c r="F189" s="45">
        <f>24.5289 * CHOOSE(CONTROL!$C$15, $E$9, 100%, $G$9) + CHOOSE(CONTROL!$C$38, 0.034, 0)</f>
        <v>24.562899999999999</v>
      </c>
      <c r="G189" s="14">
        <f>23.0331 * CHOOSE(CONTROL!$C$15, $E$9, 100%, $G$9) + CHOOSE(CONTROL!$C$38, 0.0342, 0)</f>
        <v>23.067299999999999</v>
      </c>
      <c r="H189" s="14">
        <f>23.0331 * CHOOSE(CONTROL!$C$15, $E$9, 100%, $G$9) + CHOOSE(CONTROL!$C$38, 0.0342, 0)</f>
        <v>23.067299999999999</v>
      </c>
      <c r="I189" s="14">
        <f>23.0346 * CHOOSE(CONTROL!$C$15, $E$9, 100%, $G$9) + CHOOSE(CONTROL!$C$38, 0.0342, 0)</f>
        <v>23.0688</v>
      </c>
      <c r="J189" s="44">
        <f>154.2083</f>
        <v>154.20830000000001</v>
      </c>
    </row>
    <row r="190" spans="1:10" ht="15" x14ac:dyDescent="0.2">
      <c r="A190" s="13">
        <v>46692</v>
      </c>
      <c r="B190" s="14">
        <f>24.8606 * CHOOSE(CONTROL!$C$15, $E$9, 100%, $G$9) + CHOOSE(CONTROL!$C$38, 0.034, 0)</f>
        <v>24.894600000000001</v>
      </c>
      <c r="C190" s="14">
        <f>23.3636 * CHOOSE(CONTROL!$C$15, $E$9, 100%, $G$9) + CHOOSE(CONTROL!$C$38, 0.0342, 0)</f>
        <v>23.3978</v>
      </c>
      <c r="D190" s="14">
        <f>23.3558 * CHOOSE(CONTROL!$C$15, $E$9, 100%, $G$9) + CHOOSE(CONTROL!$C$38, 0.0342, 0)</f>
        <v>23.389999999999997</v>
      </c>
      <c r="E190" s="14">
        <f>23.3558 * CHOOSE(CONTROL!$C$15, $E$9, 100%, $G$9) + CHOOSE(CONTROL!$C$38, 0.0342, 0)</f>
        <v>23.389999999999997</v>
      </c>
      <c r="F190" s="45">
        <f>24.8606 * CHOOSE(CONTROL!$C$15, $E$9, 100%, $G$9) + CHOOSE(CONTROL!$C$38, 0.034, 0)</f>
        <v>24.894600000000001</v>
      </c>
      <c r="G190" s="14">
        <f>23.362 * CHOOSE(CONTROL!$C$15, $E$9, 100%, $G$9) + CHOOSE(CONTROL!$C$38, 0.0342, 0)</f>
        <v>23.396199999999997</v>
      </c>
      <c r="H190" s="14">
        <f>23.362 * CHOOSE(CONTROL!$C$15, $E$9, 100%, $G$9) + CHOOSE(CONTROL!$C$38, 0.0342, 0)</f>
        <v>23.396199999999997</v>
      </c>
      <c r="I190" s="14">
        <f>23.3636 * CHOOSE(CONTROL!$C$15, $E$9, 100%, $G$9) + CHOOSE(CONTROL!$C$38, 0.0342, 0)</f>
        <v>23.3978</v>
      </c>
      <c r="J190" s="44">
        <f>153.4249</f>
        <v>153.42490000000001</v>
      </c>
    </row>
    <row r="191" spans="1:10" ht="15" x14ac:dyDescent="0.2">
      <c r="A191" s="13">
        <v>46722</v>
      </c>
      <c r="B191" s="14">
        <f>25.7828 * CHOOSE(CONTROL!$C$15, $E$9, 100%, $G$9) + CHOOSE(CONTROL!$C$38, 0.034, 0)</f>
        <v>25.816800000000001</v>
      </c>
      <c r="C191" s="14">
        <f>24.283 * CHOOSE(CONTROL!$C$15, $E$9, 100%, $G$9) + CHOOSE(CONTROL!$C$38, 0.0342, 0)</f>
        <v>24.3172</v>
      </c>
      <c r="D191" s="14">
        <f>24.2752 * CHOOSE(CONTROL!$C$15, $E$9, 100%, $G$9) + CHOOSE(CONTROL!$C$38, 0.0342, 0)</f>
        <v>24.3094</v>
      </c>
      <c r="E191" s="14">
        <f>24.2752 * CHOOSE(CONTROL!$C$15, $E$9, 100%, $G$9) + CHOOSE(CONTROL!$C$38, 0.0342, 0)</f>
        <v>24.3094</v>
      </c>
      <c r="F191" s="45">
        <f>25.7828 * CHOOSE(CONTROL!$C$15, $E$9, 100%, $G$9) + CHOOSE(CONTROL!$C$38, 0.034, 0)</f>
        <v>25.816800000000001</v>
      </c>
      <c r="G191" s="14">
        <f>24.2814 * CHOOSE(CONTROL!$C$15, $E$9, 100%, $G$9) + CHOOSE(CONTROL!$C$38, 0.0342, 0)</f>
        <v>24.3156</v>
      </c>
      <c r="H191" s="14">
        <f>24.2814 * CHOOSE(CONTROL!$C$15, $E$9, 100%, $G$9) + CHOOSE(CONTROL!$C$38, 0.0342, 0)</f>
        <v>24.3156</v>
      </c>
      <c r="I191" s="14">
        <f>24.283 * CHOOSE(CONTROL!$C$15, $E$9, 100%, $G$9) + CHOOSE(CONTROL!$C$38, 0.0342, 0)</f>
        <v>24.3172</v>
      </c>
      <c r="J191" s="44">
        <f>149.1787</f>
        <v>149.17869999999999</v>
      </c>
    </row>
    <row r="192" spans="1:10" ht="15" x14ac:dyDescent="0.2">
      <c r="A192" s="13">
        <v>46753</v>
      </c>
      <c r="B192" s="14">
        <f>26.4692 * CHOOSE(CONTROL!$C$15, $E$9, 100%, $G$9) + CHOOSE(CONTROL!$C$38, 0.034, 0)</f>
        <v>26.5032</v>
      </c>
      <c r="C192" s="14">
        <f>24.993 * CHOOSE(CONTROL!$C$15, $E$9, 100%, $G$9) + CHOOSE(CONTROL!$C$38, 0.0342, 0)</f>
        <v>25.027199999999997</v>
      </c>
      <c r="D192" s="14">
        <f>24.9852 * CHOOSE(CONTROL!$C$15, $E$9, 100%, $G$9) + CHOOSE(CONTROL!$C$38, 0.0342, 0)</f>
        <v>25.019399999999997</v>
      </c>
      <c r="E192" s="14">
        <f>24.9852 * CHOOSE(CONTROL!$C$15, $E$9, 100%, $G$9) + CHOOSE(CONTROL!$C$38, 0.0342, 0)</f>
        <v>25.019399999999997</v>
      </c>
      <c r="F192" s="45">
        <f>26.4692 * CHOOSE(CONTROL!$C$15, $E$9, 100%, $G$9) + CHOOSE(CONTROL!$C$38, 0.034, 0)</f>
        <v>26.5032</v>
      </c>
      <c r="G192" s="14">
        <f>24.9914 * CHOOSE(CONTROL!$C$15, $E$9, 100%, $G$9) + CHOOSE(CONTROL!$C$38, 0.0342, 0)</f>
        <v>25.025599999999997</v>
      </c>
      <c r="H192" s="14">
        <f>24.9914 * CHOOSE(CONTROL!$C$15, $E$9, 100%, $G$9) + CHOOSE(CONTROL!$C$38, 0.0342, 0)</f>
        <v>25.025599999999997</v>
      </c>
      <c r="I192" s="14">
        <f>24.993 * CHOOSE(CONTROL!$C$15, $E$9, 100%, $G$9) + CHOOSE(CONTROL!$C$38, 0.0342, 0)</f>
        <v>25.027199999999997</v>
      </c>
      <c r="J192" s="44">
        <f>145.9265</f>
        <v>145.9265</v>
      </c>
    </row>
    <row r="193" spans="1:10" ht="15" x14ac:dyDescent="0.2">
      <c r="A193" s="13">
        <v>46784</v>
      </c>
      <c r="B193" s="14">
        <f>26.8468 * CHOOSE(CONTROL!$C$15, $E$9, 100%, $G$9) + CHOOSE(CONTROL!$C$38, 0.034, 0)</f>
        <v>26.880800000000001</v>
      </c>
      <c r="C193" s="14">
        <f>25.3679 * CHOOSE(CONTROL!$C$15, $E$9, 100%, $G$9) + CHOOSE(CONTROL!$C$38, 0.0342, 0)</f>
        <v>25.402099999999997</v>
      </c>
      <c r="D193" s="14">
        <f>25.3601 * CHOOSE(CONTROL!$C$15, $E$9, 100%, $G$9) + CHOOSE(CONTROL!$C$38, 0.0342, 0)</f>
        <v>25.394299999999998</v>
      </c>
      <c r="E193" s="14">
        <f>25.3601 * CHOOSE(CONTROL!$C$15, $E$9, 100%, $G$9) + CHOOSE(CONTROL!$C$38, 0.0342, 0)</f>
        <v>25.394299999999998</v>
      </c>
      <c r="F193" s="45">
        <f>26.8468 * CHOOSE(CONTROL!$C$15, $E$9, 100%, $G$9) + CHOOSE(CONTROL!$C$38, 0.034, 0)</f>
        <v>26.880800000000001</v>
      </c>
      <c r="G193" s="14">
        <f>25.3663 * CHOOSE(CONTROL!$C$15, $E$9, 100%, $G$9) + CHOOSE(CONTROL!$C$38, 0.0342, 0)</f>
        <v>25.400499999999997</v>
      </c>
      <c r="H193" s="14">
        <f>25.3663 * CHOOSE(CONTROL!$C$15, $E$9, 100%, $G$9) + CHOOSE(CONTROL!$C$38, 0.0342, 0)</f>
        <v>25.400499999999997</v>
      </c>
      <c r="I193" s="14">
        <f>25.3679 * CHOOSE(CONTROL!$C$15, $E$9, 100%, $G$9) + CHOOSE(CONTROL!$C$38, 0.0342, 0)</f>
        <v>25.402099999999997</v>
      </c>
      <c r="J193" s="44">
        <f>145.8207</f>
        <v>145.82069999999999</v>
      </c>
    </row>
    <row r="194" spans="1:10" ht="15" x14ac:dyDescent="0.2">
      <c r="A194" s="13">
        <v>46813</v>
      </c>
      <c r="B194" s="14">
        <f>26.1484 * CHOOSE(CONTROL!$C$15, $E$9, 100%, $G$9) + CHOOSE(CONTROL!$C$38, 0.034, 0)</f>
        <v>26.182399999999998</v>
      </c>
      <c r="C194" s="14">
        <f>24.6668 * CHOOSE(CONTROL!$C$15, $E$9, 100%, $G$9) + CHOOSE(CONTROL!$C$38, 0.0342, 0)</f>
        <v>24.700999999999997</v>
      </c>
      <c r="D194" s="14">
        <f>24.659 * CHOOSE(CONTROL!$C$15, $E$9, 100%, $G$9) + CHOOSE(CONTROL!$C$38, 0.0342, 0)</f>
        <v>24.693199999999997</v>
      </c>
      <c r="E194" s="14">
        <f>24.659 * CHOOSE(CONTROL!$C$15, $E$9, 100%, $G$9) + CHOOSE(CONTROL!$C$38, 0.0342, 0)</f>
        <v>24.693199999999997</v>
      </c>
      <c r="F194" s="45">
        <f>26.1484 * CHOOSE(CONTROL!$C$15, $E$9, 100%, $G$9) + CHOOSE(CONTROL!$C$38, 0.034, 0)</f>
        <v>26.182399999999998</v>
      </c>
      <c r="G194" s="14">
        <f>24.6652 * CHOOSE(CONTROL!$C$15, $E$9, 100%, $G$9) + CHOOSE(CONTROL!$C$38, 0.0342, 0)</f>
        <v>24.699399999999997</v>
      </c>
      <c r="H194" s="14">
        <f>24.6652 * CHOOSE(CONTROL!$C$15, $E$9, 100%, $G$9) + CHOOSE(CONTROL!$C$38, 0.0342, 0)</f>
        <v>24.699399999999997</v>
      </c>
      <c r="I194" s="14">
        <f>24.6668 * CHOOSE(CONTROL!$C$15, $E$9, 100%, $G$9) + CHOOSE(CONTROL!$C$38, 0.0342, 0)</f>
        <v>24.700999999999997</v>
      </c>
      <c r="J194" s="44">
        <f>153.8224</f>
        <v>153.82239999999999</v>
      </c>
    </row>
    <row r="195" spans="1:10" ht="15" x14ac:dyDescent="0.2">
      <c r="A195" s="13">
        <v>46844</v>
      </c>
      <c r="B195" s="14">
        <f>25.4704 * CHOOSE(CONTROL!$C$15, $E$9, 100%, $G$9) + CHOOSE(CONTROL!$C$38, 0.034, 0)</f>
        <v>25.5044</v>
      </c>
      <c r="C195" s="14">
        <f>23.9861 * CHOOSE(CONTROL!$C$15, $E$9, 100%, $G$9) + CHOOSE(CONTROL!$C$38, 0.0342, 0)</f>
        <v>24.020299999999999</v>
      </c>
      <c r="D195" s="14">
        <f>23.9783 * CHOOSE(CONTROL!$C$15, $E$9, 100%, $G$9) + CHOOSE(CONTROL!$C$38, 0.0342, 0)</f>
        <v>24.012499999999999</v>
      </c>
      <c r="E195" s="14">
        <f>23.9783 * CHOOSE(CONTROL!$C$15, $E$9, 100%, $G$9) + CHOOSE(CONTROL!$C$38, 0.0342, 0)</f>
        <v>24.012499999999999</v>
      </c>
      <c r="F195" s="45">
        <f>25.4704 * CHOOSE(CONTROL!$C$15, $E$9, 100%, $G$9) + CHOOSE(CONTROL!$C$38, 0.034, 0)</f>
        <v>25.5044</v>
      </c>
      <c r="G195" s="14">
        <f>23.9845 * CHOOSE(CONTROL!$C$15, $E$9, 100%, $G$9) + CHOOSE(CONTROL!$C$38, 0.0342, 0)</f>
        <v>24.018699999999999</v>
      </c>
      <c r="H195" s="14">
        <f>23.9845 * CHOOSE(CONTROL!$C$15, $E$9, 100%, $G$9) + CHOOSE(CONTROL!$C$38, 0.0342, 0)</f>
        <v>24.018699999999999</v>
      </c>
      <c r="I195" s="14">
        <f>23.9861 * CHOOSE(CONTROL!$C$15, $E$9, 100%, $G$9) + CHOOSE(CONTROL!$C$38, 0.0342, 0)</f>
        <v>24.020299999999999</v>
      </c>
      <c r="J195" s="44">
        <f>164.1468</f>
        <v>164.14680000000001</v>
      </c>
    </row>
    <row r="196" spans="1:10" ht="15" x14ac:dyDescent="0.2">
      <c r="A196" s="13">
        <v>46874</v>
      </c>
      <c r="B196" s="14">
        <f>24.7586 * CHOOSE(CONTROL!$C$15, $E$9, 100%, $G$9) + CHOOSE(CONTROL!$C$38, 0.0353, 0)</f>
        <v>24.793900000000001</v>
      </c>
      <c r="C196" s="14">
        <f>23.2715 * CHOOSE(CONTROL!$C$15, $E$9, 100%, $G$9) + CHOOSE(CONTROL!$C$38, 0.0354, 0)</f>
        <v>23.306899999999999</v>
      </c>
      <c r="D196" s="14">
        <f>23.2637 * CHOOSE(CONTROL!$C$15, $E$9, 100%, $G$9) + CHOOSE(CONTROL!$C$38, 0.0354, 0)</f>
        <v>23.299099999999999</v>
      </c>
      <c r="E196" s="14">
        <f>23.2637 * CHOOSE(CONTROL!$C$15, $E$9, 100%, $G$9) + CHOOSE(CONTROL!$C$38, 0.0354, 0)</f>
        <v>23.299099999999999</v>
      </c>
      <c r="F196" s="45">
        <f>24.7586 * CHOOSE(CONTROL!$C$15, $E$9, 100%, $G$9) + CHOOSE(CONTROL!$C$38, 0.0353, 0)</f>
        <v>24.793900000000001</v>
      </c>
      <c r="G196" s="14">
        <f>23.27 * CHOOSE(CONTROL!$C$15, $E$9, 100%, $G$9) + CHOOSE(CONTROL!$C$38, 0.0354, 0)</f>
        <v>23.305399999999999</v>
      </c>
      <c r="H196" s="14">
        <f>23.27 * CHOOSE(CONTROL!$C$15, $E$9, 100%, $G$9) + CHOOSE(CONTROL!$C$38, 0.0354, 0)</f>
        <v>23.305399999999999</v>
      </c>
      <c r="I196" s="14">
        <f>23.2715 * CHOOSE(CONTROL!$C$15, $E$9, 100%, $G$9) + CHOOSE(CONTROL!$C$38, 0.0354, 0)</f>
        <v>23.306899999999999</v>
      </c>
      <c r="J196" s="44">
        <f>170.0047</f>
        <v>170.00470000000001</v>
      </c>
    </row>
    <row r="197" spans="1:10" ht="15" x14ac:dyDescent="0.2">
      <c r="A197" s="13">
        <v>46905</v>
      </c>
      <c r="B197" s="14">
        <f>24.2723 * CHOOSE(CONTROL!$C$15, $E$9, 100%, $G$9) + CHOOSE(CONTROL!$C$38, 0.0353, 0)</f>
        <v>24.307600000000001</v>
      </c>
      <c r="C197" s="14">
        <f>22.7825 * CHOOSE(CONTROL!$C$15, $E$9, 100%, $G$9) + CHOOSE(CONTROL!$C$38, 0.0354, 0)</f>
        <v>22.817899999999998</v>
      </c>
      <c r="D197" s="14">
        <f>22.7747 * CHOOSE(CONTROL!$C$15, $E$9, 100%, $G$9) + CHOOSE(CONTROL!$C$38, 0.0354, 0)</f>
        <v>22.810099999999998</v>
      </c>
      <c r="E197" s="14">
        <f>22.7747 * CHOOSE(CONTROL!$C$15, $E$9, 100%, $G$9) + CHOOSE(CONTROL!$C$38, 0.0354, 0)</f>
        <v>22.810099999999998</v>
      </c>
      <c r="F197" s="45">
        <f>24.2723 * CHOOSE(CONTROL!$C$15, $E$9, 100%, $G$9) + CHOOSE(CONTROL!$C$38, 0.0353, 0)</f>
        <v>24.307600000000001</v>
      </c>
      <c r="G197" s="14">
        <f>22.7809 * CHOOSE(CONTROL!$C$15, $E$9, 100%, $G$9) + CHOOSE(CONTROL!$C$38, 0.0354, 0)</f>
        <v>22.816299999999998</v>
      </c>
      <c r="H197" s="14">
        <f>22.7809 * CHOOSE(CONTROL!$C$15, $E$9, 100%, $G$9) + CHOOSE(CONTROL!$C$38, 0.0354, 0)</f>
        <v>22.816299999999998</v>
      </c>
      <c r="I197" s="14">
        <f>22.7825 * CHOOSE(CONTROL!$C$15, $E$9, 100%, $G$9) + CHOOSE(CONTROL!$C$38, 0.0354, 0)</f>
        <v>22.817899999999998</v>
      </c>
      <c r="J197" s="44">
        <f>172.8095</f>
        <v>172.80950000000001</v>
      </c>
    </row>
    <row r="198" spans="1:10" ht="15" x14ac:dyDescent="0.2">
      <c r="A198" s="13">
        <v>46935</v>
      </c>
      <c r="B198" s="14">
        <f>24.0145 * CHOOSE(CONTROL!$C$15, $E$9, 100%, $G$9) + CHOOSE(CONTROL!$C$38, 0.0353, 0)</f>
        <v>24.049800000000001</v>
      </c>
      <c r="C198" s="14">
        <f>22.5219 * CHOOSE(CONTROL!$C$15, $E$9, 100%, $G$9) + CHOOSE(CONTROL!$C$38, 0.0354, 0)</f>
        <v>22.557299999999998</v>
      </c>
      <c r="D198" s="14">
        <f>22.5141 * CHOOSE(CONTROL!$C$15, $E$9, 100%, $G$9) + CHOOSE(CONTROL!$C$38, 0.0354, 0)</f>
        <v>22.549499999999998</v>
      </c>
      <c r="E198" s="14">
        <f>22.5141 * CHOOSE(CONTROL!$C$15, $E$9, 100%, $G$9) + CHOOSE(CONTROL!$C$38, 0.0354, 0)</f>
        <v>22.549499999999998</v>
      </c>
      <c r="F198" s="45">
        <f>24.0145 * CHOOSE(CONTROL!$C$15, $E$9, 100%, $G$9) + CHOOSE(CONTROL!$C$38, 0.0353, 0)</f>
        <v>24.049800000000001</v>
      </c>
      <c r="G198" s="14">
        <f>22.5203 * CHOOSE(CONTROL!$C$15, $E$9, 100%, $G$9) + CHOOSE(CONTROL!$C$38, 0.0354, 0)</f>
        <v>22.555699999999998</v>
      </c>
      <c r="H198" s="14">
        <f>22.5203 * CHOOSE(CONTROL!$C$15, $E$9, 100%, $G$9) + CHOOSE(CONTROL!$C$38, 0.0354, 0)</f>
        <v>22.555699999999998</v>
      </c>
      <c r="I198" s="14">
        <f>22.5219 * CHOOSE(CONTROL!$C$15, $E$9, 100%, $G$9) + CHOOSE(CONTROL!$C$38, 0.0354, 0)</f>
        <v>22.557299999999998</v>
      </c>
      <c r="J198" s="44">
        <f>172.3556</f>
        <v>172.35560000000001</v>
      </c>
    </row>
    <row r="199" spans="1:10" ht="15" x14ac:dyDescent="0.2">
      <c r="A199" s="13">
        <v>46966</v>
      </c>
      <c r="B199" s="14">
        <f>24.2143 * CHOOSE(CONTROL!$C$15, $E$9, 100%, $G$9) + CHOOSE(CONTROL!$C$38, 0.0353, 0)</f>
        <v>24.249600000000001</v>
      </c>
      <c r="C199" s="14">
        <f>22.7189 * CHOOSE(CONTROL!$C$15, $E$9, 100%, $G$9) + CHOOSE(CONTROL!$C$38, 0.0354, 0)</f>
        <v>22.754300000000001</v>
      </c>
      <c r="D199" s="14">
        <f>22.7111 * CHOOSE(CONTROL!$C$15, $E$9, 100%, $G$9) + CHOOSE(CONTROL!$C$38, 0.0354, 0)</f>
        <v>22.746499999999997</v>
      </c>
      <c r="E199" s="14">
        <f>22.7111 * CHOOSE(CONTROL!$C$15, $E$9, 100%, $G$9) + CHOOSE(CONTROL!$C$38, 0.0354, 0)</f>
        <v>22.746499999999997</v>
      </c>
      <c r="F199" s="45">
        <f>24.2143 * CHOOSE(CONTROL!$C$15, $E$9, 100%, $G$9) + CHOOSE(CONTROL!$C$38, 0.0353, 0)</f>
        <v>24.249600000000001</v>
      </c>
      <c r="G199" s="14">
        <f>22.7174 * CHOOSE(CONTROL!$C$15, $E$9, 100%, $G$9) + CHOOSE(CONTROL!$C$38, 0.0354, 0)</f>
        <v>22.752800000000001</v>
      </c>
      <c r="H199" s="14">
        <f>22.7174 * CHOOSE(CONTROL!$C$15, $E$9, 100%, $G$9) + CHOOSE(CONTROL!$C$38, 0.0354, 0)</f>
        <v>22.752800000000001</v>
      </c>
      <c r="I199" s="14">
        <f>22.7189 * CHOOSE(CONTROL!$C$15, $E$9, 100%, $G$9) + CHOOSE(CONTROL!$C$38, 0.0354, 0)</f>
        <v>22.754300000000001</v>
      </c>
      <c r="J199" s="44">
        <f>168.69</f>
        <v>168.69</v>
      </c>
    </row>
    <row r="200" spans="1:10" ht="15" x14ac:dyDescent="0.2">
      <c r="A200" s="13">
        <v>46997</v>
      </c>
      <c r="B200" s="14">
        <f>24.6755 * CHOOSE(CONTROL!$C$15, $E$9, 100%, $G$9) + CHOOSE(CONTROL!$C$38, 0.0353, 0)</f>
        <v>24.710799999999999</v>
      </c>
      <c r="C200" s="14">
        <f>23.1774 * CHOOSE(CONTROL!$C$15, $E$9, 100%, $G$9) + CHOOSE(CONTROL!$C$38, 0.0354, 0)</f>
        <v>23.212799999999998</v>
      </c>
      <c r="D200" s="14">
        <f>23.1696 * CHOOSE(CONTROL!$C$15, $E$9, 100%, $G$9) + CHOOSE(CONTROL!$C$38, 0.0354, 0)</f>
        <v>23.204999999999998</v>
      </c>
      <c r="E200" s="14">
        <f>23.1696 * CHOOSE(CONTROL!$C$15, $E$9, 100%, $G$9) + CHOOSE(CONTROL!$C$38, 0.0354, 0)</f>
        <v>23.204999999999998</v>
      </c>
      <c r="F200" s="45">
        <f>24.6755 * CHOOSE(CONTROL!$C$15, $E$9, 100%, $G$9) + CHOOSE(CONTROL!$C$38, 0.0353, 0)</f>
        <v>24.710799999999999</v>
      </c>
      <c r="G200" s="14">
        <f>23.1758 * CHOOSE(CONTROL!$C$15, $E$9, 100%, $G$9) + CHOOSE(CONTROL!$C$38, 0.0354, 0)</f>
        <v>23.211199999999998</v>
      </c>
      <c r="H200" s="14">
        <f>23.1758 * CHOOSE(CONTROL!$C$15, $E$9, 100%, $G$9) + CHOOSE(CONTROL!$C$38, 0.0354, 0)</f>
        <v>23.211199999999998</v>
      </c>
      <c r="I200" s="14">
        <f>23.1774 * CHOOSE(CONTROL!$C$15, $E$9, 100%, $G$9) + CHOOSE(CONTROL!$C$38, 0.0354, 0)</f>
        <v>23.212799999999998</v>
      </c>
      <c r="J200" s="44">
        <f>163.419</f>
        <v>163.41900000000001</v>
      </c>
    </row>
    <row r="201" spans="1:10" ht="15" x14ac:dyDescent="0.2">
      <c r="A201" s="13">
        <v>47027</v>
      </c>
      <c r="B201" s="14">
        <f>25.0713 * CHOOSE(CONTROL!$C$15, $E$9, 100%, $G$9) + CHOOSE(CONTROL!$C$38, 0.034, 0)</f>
        <v>25.1053</v>
      </c>
      <c r="C201" s="14">
        <f>23.5705 * CHOOSE(CONTROL!$C$15, $E$9, 100%, $G$9) + CHOOSE(CONTROL!$C$38, 0.0342, 0)</f>
        <v>23.604699999999998</v>
      </c>
      <c r="D201" s="14">
        <f>23.5627 * CHOOSE(CONTROL!$C$15, $E$9, 100%, $G$9) + CHOOSE(CONTROL!$C$38, 0.0342, 0)</f>
        <v>23.596899999999998</v>
      </c>
      <c r="E201" s="14">
        <f>23.5627 * CHOOSE(CONTROL!$C$15, $E$9, 100%, $G$9) + CHOOSE(CONTROL!$C$38, 0.0342, 0)</f>
        <v>23.596899999999998</v>
      </c>
      <c r="F201" s="45">
        <f>25.0713 * CHOOSE(CONTROL!$C$15, $E$9, 100%, $G$9) + CHOOSE(CONTROL!$C$38, 0.034, 0)</f>
        <v>25.1053</v>
      </c>
      <c r="G201" s="14">
        <f>23.5689 * CHOOSE(CONTROL!$C$15, $E$9, 100%, $G$9) + CHOOSE(CONTROL!$C$38, 0.0342, 0)</f>
        <v>23.603099999999998</v>
      </c>
      <c r="H201" s="14">
        <f>23.5689 * CHOOSE(CONTROL!$C$15, $E$9, 100%, $G$9) + CHOOSE(CONTROL!$C$38, 0.0342, 0)</f>
        <v>23.603099999999998</v>
      </c>
      <c r="I201" s="14">
        <f>23.5705 * CHOOSE(CONTROL!$C$15, $E$9, 100%, $G$9) + CHOOSE(CONTROL!$C$38, 0.0342, 0)</f>
        <v>23.604699999999998</v>
      </c>
      <c r="J201" s="44">
        <f>158.0927</f>
        <v>158.09270000000001</v>
      </c>
    </row>
    <row r="202" spans="1:10" ht="15" x14ac:dyDescent="0.2">
      <c r="A202" s="13">
        <v>47058</v>
      </c>
      <c r="B202" s="14">
        <f>25.4112 * CHOOSE(CONTROL!$C$15, $E$9, 100%, $G$9) + CHOOSE(CONTROL!$C$38, 0.034, 0)</f>
        <v>25.4452</v>
      </c>
      <c r="C202" s="14">
        <f>23.9076 * CHOOSE(CONTROL!$C$15, $E$9, 100%, $G$9) + CHOOSE(CONTROL!$C$38, 0.0342, 0)</f>
        <v>23.941799999999997</v>
      </c>
      <c r="D202" s="14">
        <f>23.8998 * CHOOSE(CONTROL!$C$15, $E$9, 100%, $G$9) + CHOOSE(CONTROL!$C$38, 0.0342, 0)</f>
        <v>23.933999999999997</v>
      </c>
      <c r="E202" s="14">
        <f>23.8998 * CHOOSE(CONTROL!$C$15, $E$9, 100%, $G$9) + CHOOSE(CONTROL!$C$38, 0.0342, 0)</f>
        <v>23.933999999999997</v>
      </c>
      <c r="F202" s="45">
        <f>25.4112 * CHOOSE(CONTROL!$C$15, $E$9, 100%, $G$9) + CHOOSE(CONTROL!$C$38, 0.034, 0)</f>
        <v>25.4452</v>
      </c>
      <c r="G202" s="14">
        <f>23.906 * CHOOSE(CONTROL!$C$15, $E$9, 100%, $G$9) + CHOOSE(CONTROL!$C$38, 0.0342, 0)</f>
        <v>23.940199999999997</v>
      </c>
      <c r="H202" s="14">
        <f>23.906 * CHOOSE(CONTROL!$C$15, $E$9, 100%, $G$9) + CHOOSE(CONTROL!$C$38, 0.0342, 0)</f>
        <v>23.940199999999997</v>
      </c>
      <c r="I202" s="14">
        <f>23.9076 * CHOOSE(CONTROL!$C$15, $E$9, 100%, $G$9) + CHOOSE(CONTROL!$C$38, 0.0342, 0)</f>
        <v>23.941799999999997</v>
      </c>
      <c r="J202" s="44">
        <f>157.2896</f>
        <v>157.28960000000001</v>
      </c>
    </row>
    <row r="203" spans="1:10" ht="15" x14ac:dyDescent="0.2">
      <c r="A203" s="13">
        <v>47088</v>
      </c>
      <c r="B203" s="14">
        <f>26.3563 * CHOOSE(CONTROL!$C$15, $E$9, 100%, $G$9) + CHOOSE(CONTROL!$C$38, 0.034, 0)</f>
        <v>26.3903</v>
      </c>
      <c r="C203" s="14">
        <f>24.8499 * CHOOSE(CONTROL!$C$15, $E$9, 100%, $G$9) + CHOOSE(CONTROL!$C$38, 0.0342, 0)</f>
        <v>24.8841</v>
      </c>
      <c r="D203" s="14">
        <f>24.8421 * CHOOSE(CONTROL!$C$15, $E$9, 100%, $G$9) + CHOOSE(CONTROL!$C$38, 0.0342, 0)</f>
        <v>24.876299999999997</v>
      </c>
      <c r="E203" s="14">
        <f>24.8421 * CHOOSE(CONTROL!$C$15, $E$9, 100%, $G$9) + CHOOSE(CONTROL!$C$38, 0.0342, 0)</f>
        <v>24.876299999999997</v>
      </c>
      <c r="F203" s="45">
        <f>26.3563 * CHOOSE(CONTROL!$C$15, $E$9, 100%, $G$9) + CHOOSE(CONTROL!$C$38, 0.034, 0)</f>
        <v>26.3903</v>
      </c>
      <c r="G203" s="14">
        <f>24.8484 * CHOOSE(CONTROL!$C$15, $E$9, 100%, $G$9) + CHOOSE(CONTROL!$C$38, 0.0342, 0)</f>
        <v>24.8826</v>
      </c>
      <c r="H203" s="14">
        <f>24.8484 * CHOOSE(CONTROL!$C$15, $E$9, 100%, $G$9) + CHOOSE(CONTROL!$C$38, 0.0342, 0)</f>
        <v>24.8826</v>
      </c>
      <c r="I203" s="14">
        <f>24.8499 * CHOOSE(CONTROL!$C$15, $E$9, 100%, $G$9) + CHOOSE(CONTROL!$C$38, 0.0342, 0)</f>
        <v>24.8841</v>
      </c>
      <c r="J203" s="44">
        <f>152.9364</f>
        <v>152.93639999999999</v>
      </c>
    </row>
    <row r="204" spans="1:10" ht="15" x14ac:dyDescent="0.2">
      <c r="A204" s="13">
        <v>47119</v>
      </c>
      <c r="B204" s="14">
        <f>27.1295 * CHOOSE(CONTROL!$C$15, $E$9, 100%, $G$9) + CHOOSE(CONTROL!$C$38, 0.034, 0)</f>
        <v>27.163499999999999</v>
      </c>
      <c r="C204" s="14">
        <f>25.6469 * CHOOSE(CONTROL!$C$15, $E$9, 100%, $G$9) + CHOOSE(CONTROL!$C$38, 0.0342, 0)</f>
        <v>25.681099999999997</v>
      </c>
      <c r="D204" s="14">
        <f>25.6391 * CHOOSE(CONTROL!$C$15, $E$9, 100%, $G$9) + CHOOSE(CONTROL!$C$38, 0.0342, 0)</f>
        <v>25.673299999999998</v>
      </c>
      <c r="E204" s="14">
        <f>25.6391 * CHOOSE(CONTROL!$C$15, $E$9, 100%, $G$9) + CHOOSE(CONTROL!$C$38, 0.0342, 0)</f>
        <v>25.673299999999998</v>
      </c>
      <c r="F204" s="45">
        <f>27.1295 * CHOOSE(CONTROL!$C$15, $E$9, 100%, $G$9) + CHOOSE(CONTROL!$C$38, 0.034, 0)</f>
        <v>27.163499999999999</v>
      </c>
      <c r="G204" s="14">
        <f>25.6453 * CHOOSE(CONTROL!$C$15, $E$9, 100%, $G$9) + CHOOSE(CONTROL!$C$38, 0.0342, 0)</f>
        <v>25.679499999999997</v>
      </c>
      <c r="H204" s="14">
        <f>25.6453 * CHOOSE(CONTROL!$C$15, $E$9, 100%, $G$9) + CHOOSE(CONTROL!$C$38, 0.0342, 0)</f>
        <v>25.679499999999997</v>
      </c>
      <c r="I204" s="14">
        <f>25.6469 * CHOOSE(CONTROL!$C$15, $E$9, 100%, $G$9) + CHOOSE(CONTROL!$C$38, 0.0342, 0)</f>
        <v>25.681099999999997</v>
      </c>
      <c r="J204" s="44">
        <f>149.6023</f>
        <v>149.60230000000001</v>
      </c>
    </row>
    <row r="205" spans="1:10" ht="15" x14ac:dyDescent="0.2">
      <c r="A205" s="13">
        <v>47150</v>
      </c>
      <c r="B205" s="14">
        <f>27.5166 * CHOOSE(CONTROL!$C$15, $E$9, 100%, $G$9) + CHOOSE(CONTROL!$C$38, 0.034, 0)</f>
        <v>27.550599999999999</v>
      </c>
      <c r="C205" s="14">
        <f>26.0312 * CHOOSE(CONTROL!$C$15, $E$9, 100%, $G$9) + CHOOSE(CONTROL!$C$38, 0.0342, 0)</f>
        <v>26.065399999999997</v>
      </c>
      <c r="D205" s="14">
        <f>26.0234 * CHOOSE(CONTROL!$C$15, $E$9, 100%, $G$9) + CHOOSE(CONTROL!$C$38, 0.0342, 0)</f>
        <v>26.057599999999997</v>
      </c>
      <c r="E205" s="14">
        <f>26.0234 * CHOOSE(CONTROL!$C$15, $E$9, 100%, $G$9) + CHOOSE(CONTROL!$C$38, 0.0342, 0)</f>
        <v>26.057599999999997</v>
      </c>
      <c r="F205" s="45">
        <f>27.5166 * CHOOSE(CONTROL!$C$15, $E$9, 100%, $G$9) + CHOOSE(CONTROL!$C$38, 0.034, 0)</f>
        <v>27.550599999999999</v>
      </c>
      <c r="G205" s="14">
        <f>26.0297 * CHOOSE(CONTROL!$C$15, $E$9, 100%, $G$9) + CHOOSE(CONTROL!$C$38, 0.0342, 0)</f>
        <v>26.063899999999997</v>
      </c>
      <c r="H205" s="14">
        <f>26.0297 * CHOOSE(CONTROL!$C$15, $E$9, 100%, $G$9) + CHOOSE(CONTROL!$C$38, 0.0342, 0)</f>
        <v>26.063899999999997</v>
      </c>
      <c r="I205" s="14">
        <f>26.0312 * CHOOSE(CONTROL!$C$15, $E$9, 100%, $G$9) + CHOOSE(CONTROL!$C$38, 0.0342, 0)</f>
        <v>26.065399999999997</v>
      </c>
      <c r="J205" s="44">
        <f>149.4937</f>
        <v>149.49369999999999</v>
      </c>
    </row>
    <row r="206" spans="1:10" ht="15" x14ac:dyDescent="0.2">
      <c r="A206" s="13">
        <v>47178</v>
      </c>
      <c r="B206" s="14">
        <f>26.8008 * CHOOSE(CONTROL!$C$15, $E$9, 100%, $G$9) + CHOOSE(CONTROL!$C$38, 0.034, 0)</f>
        <v>26.834799999999998</v>
      </c>
      <c r="C206" s="14">
        <f>25.3127 * CHOOSE(CONTROL!$C$15, $E$9, 100%, $G$9) + CHOOSE(CONTROL!$C$38, 0.0342, 0)</f>
        <v>25.346899999999998</v>
      </c>
      <c r="D206" s="14">
        <f>25.3049 * CHOOSE(CONTROL!$C$15, $E$9, 100%, $G$9) + CHOOSE(CONTROL!$C$38, 0.0342, 0)</f>
        <v>25.339099999999998</v>
      </c>
      <c r="E206" s="14">
        <f>25.3049 * CHOOSE(CONTROL!$C$15, $E$9, 100%, $G$9) + CHOOSE(CONTROL!$C$38, 0.0342, 0)</f>
        <v>25.339099999999998</v>
      </c>
      <c r="F206" s="45">
        <f>26.8008 * CHOOSE(CONTROL!$C$15, $E$9, 100%, $G$9) + CHOOSE(CONTROL!$C$38, 0.034, 0)</f>
        <v>26.834799999999998</v>
      </c>
      <c r="G206" s="14">
        <f>25.3111 * CHOOSE(CONTROL!$C$15, $E$9, 100%, $G$9) + CHOOSE(CONTROL!$C$38, 0.0342, 0)</f>
        <v>25.345299999999998</v>
      </c>
      <c r="H206" s="14">
        <f>25.3111 * CHOOSE(CONTROL!$C$15, $E$9, 100%, $G$9) + CHOOSE(CONTROL!$C$38, 0.0342, 0)</f>
        <v>25.345299999999998</v>
      </c>
      <c r="I206" s="14">
        <f>25.3127 * CHOOSE(CONTROL!$C$15, $E$9, 100%, $G$9) + CHOOSE(CONTROL!$C$38, 0.0342, 0)</f>
        <v>25.346899999999998</v>
      </c>
      <c r="J206" s="44">
        <f>157.6971</f>
        <v>157.69710000000001</v>
      </c>
    </row>
    <row r="207" spans="1:10" ht="15" x14ac:dyDescent="0.2">
      <c r="A207" s="13">
        <v>47209</v>
      </c>
      <c r="B207" s="14">
        <f>26.1059 * CHOOSE(CONTROL!$C$15, $E$9, 100%, $G$9) + CHOOSE(CONTROL!$C$38, 0.034, 0)</f>
        <v>26.139899999999997</v>
      </c>
      <c r="C207" s="14">
        <f>24.615 * CHOOSE(CONTROL!$C$15, $E$9, 100%, $G$9) + CHOOSE(CONTROL!$C$38, 0.0342, 0)</f>
        <v>24.649199999999997</v>
      </c>
      <c r="D207" s="14">
        <f>24.6072 * CHOOSE(CONTROL!$C$15, $E$9, 100%, $G$9) + CHOOSE(CONTROL!$C$38, 0.0342, 0)</f>
        <v>24.641399999999997</v>
      </c>
      <c r="E207" s="14">
        <f>24.6072 * CHOOSE(CONTROL!$C$15, $E$9, 100%, $G$9) + CHOOSE(CONTROL!$C$38, 0.0342, 0)</f>
        <v>24.641399999999997</v>
      </c>
      <c r="F207" s="45">
        <f>26.1059 * CHOOSE(CONTROL!$C$15, $E$9, 100%, $G$9) + CHOOSE(CONTROL!$C$38, 0.034, 0)</f>
        <v>26.139899999999997</v>
      </c>
      <c r="G207" s="14">
        <f>24.6135 * CHOOSE(CONTROL!$C$15, $E$9, 100%, $G$9) + CHOOSE(CONTROL!$C$38, 0.0342, 0)</f>
        <v>24.647699999999997</v>
      </c>
      <c r="H207" s="14">
        <f>24.6135 * CHOOSE(CONTROL!$C$15, $E$9, 100%, $G$9) + CHOOSE(CONTROL!$C$38, 0.0342, 0)</f>
        <v>24.647699999999997</v>
      </c>
      <c r="I207" s="14">
        <f>24.615 * CHOOSE(CONTROL!$C$15, $E$9, 100%, $G$9) + CHOOSE(CONTROL!$C$38, 0.0342, 0)</f>
        <v>24.649199999999997</v>
      </c>
      <c r="J207" s="44">
        <f>168.2814</f>
        <v>168.28139999999999</v>
      </c>
    </row>
    <row r="208" spans="1:10" ht="15" x14ac:dyDescent="0.2">
      <c r="A208" s="13">
        <v>47239</v>
      </c>
      <c r="B208" s="14">
        <f>25.3763 * CHOOSE(CONTROL!$C$15, $E$9, 100%, $G$9) + CHOOSE(CONTROL!$C$38, 0.0353, 0)</f>
        <v>25.4116</v>
      </c>
      <c r="C208" s="14">
        <f>23.8827 * CHOOSE(CONTROL!$C$15, $E$9, 100%, $G$9) + CHOOSE(CONTROL!$C$38, 0.0354, 0)</f>
        <v>23.918099999999999</v>
      </c>
      <c r="D208" s="14">
        <f>23.8749 * CHOOSE(CONTROL!$C$15, $E$9, 100%, $G$9) + CHOOSE(CONTROL!$C$38, 0.0354, 0)</f>
        <v>23.910299999999999</v>
      </c>
      <c r="E208" s="14">
        <f>23.8749 * CHOOSE(CONTROL!$C$15, $E$9, 100%, $G$9) + CHOOSE(CONTROL!$C$38, 0.0354, 0)</f>
        <v>23.910299999999999</v>
      </c>
      <c r="F208" s="45">
        <f>25.3763 * CHOOSE(CONTROL!$C$15, $E$9, 100%, $G$9) + CHOOSE(CONTROL!$C$38, 0.0353, 0)</f>
        <v>25.4116</v>
      </c>
      <c r="G208" s="14">
        <f>23.8811 * CHOOSE(CONTROL!$C$15, $E$9, 100%, $G$9) + CHOOSE(CONTROL!$C$38, 0.0354, 0)</f>
        <v>23.916499999999999</v>
      </c>
      <c r="H208" s="14">
        <f>23.8811 * CHOOSE(CONTROL!$C$15, $E$9, 100%, $G$9) + CHOOSE(CONTROL!$C$38, 0.0354, 0)</f>
        <v>23.916499999999999</v>
      </c>
      <c r="I208" s="14">
        <f>23.8827 * CHOOSE(CONTROL!$C$15, $E$9, 100%, $G$9) + CHOOSE(CONTROL!$C$38, 0.0354, 0)</f>
        <v>23.918099999999999</v>
      </c>
      <c r="J208" s="44">
        <f>174.2869</f>
        <v>174.2869</v>
      </c>
    </row>
    <row r="209" spans="1:10" ht="15" x14ac:dyDescent="0.2">
      <c r="A209" s="13">
        <v>47270</v>
      </c>
      <c r="B209" s="14">
        <f>24.8778 * CHOOSE(CONTROL!$C$15, $E$9, 100%, $G$9) + CHOOSE(CONTROL!$C$38, 0.0353, 0)</f>
        <v>24.9131</v>
      </c>
      <c r="C209" s="14">
        <f>23.3815 * CHOOSE(CONTROL!$C$15, $E$9, 100%, $G$9) + CHOOSE(CONTROL!$C$38, 0.0354, 0)</f>
        <v>23.416899999999998</v>
      </c>
      <c r="D209" s="14">
        <f>23.3737 * CHOOSE(CONTROL!$C$15, $E$9, 100%, $G$9) + CHOOSE(CONTROL!$C$38, 0.0354, 0)</f>
        <v>23.409099999999999</v>
      </c>
      <c r="E209" s="14">
        <f>23.3737 * CHOOSE(CONTROL!$C$15, $E$9, 100%, $G$9) + CHOOSE(CONTROL!$C$38, 0.0354, 0)</f>
        <v>23.409099999999999</v>
      </c>
      <c r="F209" s="45">
        <f>24.8778 * CHOOSE(CONTROL!$C$15, $E$9, 100%, $G$9) + CHOOSE(CONTROL!$C$38, 0.0353, 0)</f>
        <v>24.9131</v>
      </c>
      <c r="G209" s="14">
        <f>23.3799 * CHOOSE(CONTROL!$C$15, $E$9, 100%, $G$9) + CHOOSE(CONTROL!$C$38, 0.0354, 0)</f>
        <v>23.415299999999998</v>
      </c>
      <c r="H209" s="14">
        <f>23.3799 * CHOOSE(CONTROL!$C$15, $E$9, 100%, $G$9) + CHOOSE(CONTROL!$C$38, 0.0354, 0)</f>
        <v>23.415299999999998</v>
      </c>
      <c r="I209" s="14">
        <f>23.3815 * CHOOSE(CONTROL!$C$15, $E$9, 100%, $G$9) + CHOOSE(CONTROL!$C$38, 0.0354, 0)</f>
        <v>23.416899999999998</v>
      </c>
      <c r="J209" s="44">
        <f>177.1624</f>
        <v>177.16239999999999</v>
      </c>
    </row>
    <row r="210" spans="1:10" ht="15" x14ac:dyDescent="0.2">
      <c r="A210" s="13">
        <v>47300</v>
      </c>
      <c r="B210" s="14">
        <f>24.6136 * CHOOSE(CONTROL!$C$15, $E$9, 100%, $G$9) + CHOOSE(CONTROL!$C$38, 0.0353, 0)</f>
        <v>24.648900000000001</v>
      </c>
      <c r="C210" s="14">
        <f>23.1145 * CHOOSE(CONTROL!$C$15, $E$9, 100%, $G$9) + CHOOSE(CONTROL!$C$38, 0.0354, 0)</f>
        <v>23.149899999999999</v>
      </c>
      <c r="D210" s="14">
        <f>23.1067 * CHOOSE(CONTROL!$C$15, $E$9, 100%, $G$9) + CHOOSE(CONTROL!$C$38, 0.0354, 0)</f>
        <v>23.142099999999999</v>
      </c>
      <c r="E210" s="14">
        <f>23.1067 * CHOOSE(CONTROL!$C$15, $E$9, 100%, $G$9) + CHOOSE(CONTROL!$C$38, 0.0354, 0)</f>
        <v>23.142099999999999</v>
      </c>
      <c r="F210" s="45">
        <f>24.6136 * CHOOSE(CONTROL!$C$15, $E$9, 100%, $G$9) + CHOOSE(CONTROL!$C$38, 0.0353, 0)</f>
        <v>24.648900000000001</v>
      </c>
      <c r="G210" s="14">
        <f>23.1129 * CHOOSE(CONTROL!$C$15, $E$9, 100%, $G$9) + CHOOSE(CONTROL!$C$38, 0.0354, 0)</f>
        <v>23.148299999999999</v>
      </c>
      <c r="H210" s="14">
        <f>23.1129 * CHOOSE(CONTROL!$C$15, $E$9, 100%, $G$9) + CHOOSE(CONTROL!$C$38, 0.0354, 0)</f>
        <v>23.148299999999999</v>
      </c>
      <c r="I210" s="14">
        <f>23.1145 * CHOOSE(CONTROL!$C$15, $E$9, 100%, $G$9) + CHOOSE(CONTROL!$C$38, 0.0354, 0)</f>
        <v>23.149899999999999</v>
      </c>
      <c r="J210" s="44">
        <f>176.697</f>
        <v>176.697</v>
      </c>
    </row>
    <row r="211" spans="1:10" ht="15" x14ac:dyDescent="0.2">
      <c r="A211" s="13">
        <v>47331</v>
      </c>
      <c r="B211" s="14">
        <f>24.8184 * CHOOSE(CONTROL!$C$15, $E$9, 100%, $G$9) + CHOOSE(CONTROL!$C$38, 0.0353, 0)</f>
        <v>24.8537</v>
      </c>
      <c r="C211" s="14">
        <f>23.3166 * CHOOSE(CONTROL!$C$15, $E$9, 100%, $G$9) + CHOOSE(CONTROL!$C$38, 0.0354, 0)</f>
        <v>23.352</v>
      </c>
      <c r="D211" s="14">
        <f>23.3087 * CHOOSE(CONTROL!$C$15, $E$9, 100%, $G$9) + CHOOSE(CONTROL!$C$38, 0.0354, 0)</f>
        <v>23.344100000000001</v>
      </c>
      <c r="E211" s="14">
        <f>23.3087 * CHOOSE(CONTROL!$C$15, $E$9, 100%, $G$9) + CHOOSE(CONTROL!$C$38, 0.0354, 0)</f>
        <v>23.344100000000001</v>
      </c>
      <c r="F211" s="45">
        <f>24.8184 * CHOOSE(CONTROL!$C$15, $E$9, 100%, $G$9) + CHOOSE(CONTROL!$C$38, 0.0353, 0)</f>
        <v>24.8537</v>
      </c>
      <c r="G211" s="14">
        <f>23.315 * CHOOSE(CONTROL!$C$15, $E$9, 100%, $G$9) + CHOOSE(CONTROL!$C$38, 0.0354, 0)</f>
        <v>23.3504</v>
      </c>
      <c r="H211" s="14">
        <f>23.315 * CHOOSE(CONTROL!$C$15, $E$9, 100%, $G$9) + CHOOSE(CONTROL!$C$38, 0.0354, 0)</f>
        <v>23.3504</v>
      </c>
      <c r="I211" s="14">
        <f>23.3166 * CHOOSE(CONTROL!$C$15, $E$9, 100%, $G$9) + CHOOSE(CONTROL!$C$38, 0.0354, 0)</f>
        <v>23.352</v>
      </c>
      <c r="J211" s="44">
        <f>172.9391</f>
        <v>172.9391</v>
      </c>
    </row>
    <row r="212" spans="1:10" ht="15" x14ac:dyDescent="0.2">
      <c r="A212" s="13">
        <v>47362</v>
      </c>
      <c r="B212" s="14">
        <f>25.2912 * CHOOSE(CONTROL!$C$15, $E$9, 100%, $G$9) + CHOOSE(CONTROL!$C$38, 0.0353, 0)</f>
        <v>25.326499999999999</v>
      </c>
      <c r="C212" s="14">
        <f>23.7865 * CHOOSE(CONTROL!$C$15, $E$9, 100%, $G$9) + CHOOSE(CONTROL!$C$38, 0.0354, 0)</f>
        <v>23.821899999999999</v>
      </c>
      <c r="D212" s="14">
        <f>23.7787 * CHOOSE(CONTROL!$C$15, $E$9, 100%, $G$9) + CHOOSE(CONTROL!$C$38, 0.0354, 0)</f>
        <v>23.8141</v>
      </c>
      <c r="E212" s="14">
        <f>23.7787 * CHOOSE(CONTROL!$C$15, $E$9, 100%, $G$9) + CHOOSE(CONTROL!$C$38, 0.0354, 0)</f>
        <v>23.8141</v>
      </c>
      <c r="F212" s="45">
        <f>25.2912 * CHOOSE(CONTROL!$C$15, $E$9, 100%, $G$9) + CHOOSE(CONTROL!$C$38, 0.0353, 0)</f>
        <v>25.326499999999999</v>
      </c>
      <c r="G212" s="14">
        <f>23.785 * CHOOSE(CONTROL!$C$15, $E$9, 100%, $G$9) + CHOOSE(CONTROL!$C$38, 0.0354, 0)</f>
        <v>23.820399999999999</v>
      </c>
      <c r="H212" s="14">
        <f>23.785 * CHOOSE(CONTROL!$C$15, $E$9, 100%, $G$9) + CHOOSE(CONTROL!$C$38, 0.0354, 0)</f>
        <v>23.820399999999999</v>
      </c>
      <c r="I212" s="14">
        <f>23.7865 * CHOOSE(CONTROL!$C$15, $E$9, 100%, $G$9) + CHOOSE(CONTROL!$C$38, 0.0354, 0)</f>
        <v>23.821899999999999</v>
      </c>
      <c r="J212" s="44">
        <f>167.5353</f>
        <v>167.53530000000001</v>
      </c>
    </row>
    <row r="213" spans="1:10" ht="15" x14ac:dyDescent="0.2">
      <c r="A213" s="13">
        <v>47392</v>
      </c>
      <c r="B213" s="14">
        <f>25.697 * CHOOSE(CONTROL!$C$15, $E$9, 100%, $G$9) + CHOOSE(CONTROL!$C$38, 0.034, 0)</f>
        <v>25.730999999999998</v>
      </c>
      <c r="C213" s="14">
        <f>24.1895 * CHOOSE(CONTROL!$C$15, $E$9, 100%, $G$9) + CHOOSE(CONTROL!$C$38, 0.0342, 0)</f>
        <v>24.223699999999997</v>
      </c>
      <c r="D213" s="14">
        <f>24.1817 * CHOOSE(CONTROL!$C$15, $E$9, 100%, $G$9) + CHOOSE(CONTROL!$C$38, 0.0342, 0)</f>
        <v>24.215899999999998</v>
      </c>
      <c r="E213" s="14">
        <f>24.1817 * CHOOSE(CONTROL!$C$15, $E$9, 100%, $G$9) + CHOOSE(CONTROL!$C$38, 0.0342, 0)</f>
        <v>24.215899999999998</v>
      </c>
      <c r="F213" s="45">
        <f>25.697 * CHOOSE(CONTROL!$C$15, $E$9, 100%, $G$9) + CHOOSE(CONTROL!$C$38, 0.034, 0)</f>
        <v>25.730999999999998</v>
      </c>
      <c r="G213" s="14">
        <f>24.188 * CHOOSE(CONTROL!$C$15, $E$9, 100%, $G$9) + CHOOSE(CONTROL!$C$38, 0.0342, 0)</f>
        <v>24.222199999999997</v>
      </c>
      <c r="H213" s="14">
        <f>24.188 * CHOOSE(CONTROL!$C$15, $E$9, 100%, $G$9) + CHOOSE(CONTROL!$C$38, 0.0342, 0)</f>
        <v>24.222199999999997</v>
      </c>
      <c r="I213" s="14">
        <f>24.1895 * CHOOSE(CONTROL!$C$15, $E$9, 100%, $G$9) + CHOOSE(CONTROL!$C$38, 0.0342, 0)</f>
        <v>24.223699999999997</v>
      </c>
      <c r="J213" s="44">
        <f>162.0749</f>
        <v>162.07490000000001</v>
      </c>
    </row>
    <row r="214" spans="1:10" ht="15" x14ac:dyDescent="0.2">
      <c r="A214" s="13">
        <v>47423</v>
      </c>
      <c r="B214" s="14">
        <f>26.0454 * CHOOSE(CONTROL!$C$15, $E$9, 100%, $G$9) + CHOOSE(CONTROL!$C$38, 0.034, 0)</f>
        <v>26.0794</v>
      </c>
      <c r="C214" s="14">
        <f>24.5352 * CHOOSE(CONTROL!$C$15, $E$9, 100%, $G$9) + CHOOSE(CONTROL!$C$38, 0.0342, 0)</f>
        <v>24.569399999999998</v>
      </c>
      <c r="D214" s="14">
        <f>24.5274 * CHOOSE(CONTROL!$C$15, $E$9, 100%, $G$9) + CHOOSE(CONTROL!$C$38, 0.0342, 0)</f>
        <v>24.561599999999999</v>
      </c>
      <c r="E214" s="14">
        <f>24.5274 * CHOOSE(CONTROL!$C$15, $E$9, 100%, $G$9) + CHOOSE(CONTROL!$C$38, 0.0342, 0)</f>
        <v>24.561599999999999</v>
      </c>
      <c r="F214" s="45">
        <f>26.0454 * CHOOSE(CONTROL!$C$15, $E$9, 100%, $G$9) + CHOOSE(CONTROL!$C$38, 0.034, 0)</f>
        <v>26.0794</v>
      </c>
      <c r="G214" s="14">
        <f>24.5336 * CHOOSE(CONTROL!$C$15, $E$9, 100%, $G$9) + CHOOSE(CONTROL!$C$38, 0.0342, 0)</f>
        <v>24.567799999999998</v>
      </c>
      <c r="H214" s="14">
        <f>24.5336 * CHOOSE(CONTROL!$C$15, $E$9, 100%, $G$9) + CHOOSE(CONTROL!$C$38, 0.0342, 0)</f>
        <v>24.567799999999998</v>
      </c>
      <c r="I214" s="14">
        <f>24.5352 * CHOOSE(CONTROL!$C$15, $E$9, 100%, $G$9) + CHOOSE(CONTROL!$C$38, 0.0342, 0)</f>
        <v>24.569399999999998</v>
      </c>
      <c r="J214" s="44">
        <f>161.2516</f>
        <v>161.2516</v>
      </c>
    </row>
    <row r="215" spans="1:10" ht="15" x14ac:dyDescent="0.2">
      <c r="A215" s="13">
        <v>47453</v>
      </c>
      <c r="B215" s="14">
        <f>27.0141 * CHOOSE(CONTROL!$C$15, $E$9, 100%, $G$9) + CHOOSE(CONTROL!$C$38, 0.034, 0)</f>
        <v>27.048099999999998</v>
      </c>
      <c r="C215" s="14">
        <f>25.5011 * CHOOSE(CONTROL!$C$15, $E$9, 100%, $G$9) + CHOOSE(CONTROL!$C$38, 0.0342, 0)</f>
        <v>25.535299999999999</v>
      </c>
      <c r="D215" s="14">
        <f>25.4933 * CHOOSE(CONTROL!$C$15, $E$9, 100%, $G$9) + CHOOSE(CONTROL!$C$38, 0.0342, 0)</f>
        <v>25.5275</v>
      </c>
      <c r="E215" s="14">
        <f>25.4933 * CHOOSE(CONTROL!$C$15, $E$9, 100%, $G$9) + CHOOSE(CONTROL!$C$38, 0.0342, 0)</f>
        <v>25.5275</v>
      </c>
      <c r="F215" s="45">
        <f>27.0141 * CHOOSE(CONTROL!$C$15, $E$9, 100%, $G$9) + CHOOSE(CONTROL!$C$38, 0.034, 0)</f>
        <v>27.048099999999998</v>
      </c>
      <c r="G215" s="14">
        <f>25.4996 * CHOOSE(CONTROL!$C$15, $E$9, 100%, $G$9) + CHOOSE(CONTROL!$C$38, 0.0342, 0)</f>
        <v>25.533799999999999</v>
      </c>
      <c r="H215" s="14">
        <f>25.4996 * CHOOSE(CONTROL!$C$15, $E$9, 100%, $G$9) + CHOOSE(CONTROL!$C$38, 0.0342, 0)</f>
        <v>25.533799999999999</v>
      </c>
      <c r="I215" s="14">
        <f>25.5011 * CHOOSE(CONTROL!$C$15, $E$9, 100%, $G$9) + CHOOSE(CONTROL!$C$38, 0.0342, 0)</f>
        <v>25.535299999999999</v>
      </c>
      <c r="J215" s="44">
        <f>156.7887</f>
        <v>156.78870000000001</v>
      </c>
    </row>
    <row r="216" spans="1:10" ht="15" x14ac:dyDescent="0.2">
      <c r="A216" s="13">
        <v>47484</v>
      </c>
      <c r="B216" s="14">
        <f>27.7509 * CHOOSE(CONTROL!$C$15, $E$9, 100%, $G$9) + CHOOSE(CONTROL!$C$38, 0.034, 0)</f>
        <v>27.7849</v>
      </c>
      <c r="C216" s="14">
        <f>26.2618 * CHOOSE(CONTROL!$C$15, $E$9, 100%, $G$9) + CHOOSE(CONTROL!$C$38, 0.0342, 0)</f>
        <v>26.295999999999999</v>
      </c>
      <c r="D216" s="14">
        <f>26.254 * CHOOSE(CONTROL!$C$15, $E$9, 100%, $G$9) + CHOOSE(CONTROL!$C$38, 0.0342, 0)</f>
        <v>26.2882</v>
      </c>
      <c r="E216" s="14">
        <f>26.254 * CHOOSE(CONTROL!$C$15, $E$9, 100%, $G$9) + CHOOSE(CONTROL!$C$38, 0.0342, 0)</f>
        <v>26.2882</v>
      </c>
      <c r="F216" s="45">
        <f>27.7509 * CHOOSE(CONTROL!$C$15, $E$9, 100%, $G$9) + CHOOSE(CONTROL!$C$38, 0.034, 0)</f>
        <v>27.7849</v>
      </c>
      <c r="G216" s="14">
        <f>26.2602 * CHOOSE(CONTROL!$C$15, $E$9, 100%, $G$9) + CHOOSE(CONTROL!$C$38, 0.0342, 0)</f>
        <v>26.2944</v>
      </c>
      <c r="H216" s="14">
        <f>26.2602 * CHOOSE(CONTROL!$C$15, $E$9, 100%, $G$9) + CHOOSE(CONTROL!$C$38, 0.0342, 0)</f>
        <v>26.2944</v>
      </c>
      <c r="I216" s="14">
        <f>26.2618 * CHOOSE(CONTROL!$C$15, $E$9, 100%, $G$9) + CHOOSE(CONTROL!$C$38, 0.0342, 0)</f>
        <v>26.295999999999999</v>
      </c>
      <c r="J216" s="44">
        <f>153.3705</f>
        <v>153.37049999999999</v>
      </c>
    </row>
    <row r="217" spans="1:10" ht="15" x14ac:dyDescent="0.2">
      <c r="A217" s="13">
        <v>47515</v>
      </c>
      <c r="B217" s="14">
        <f>28.1476 * CHOOSE(CONTROL!$C$15, $E$9, 100%, $G$9) + CHOOSE(CONTROL!$C$38, 0.034, 0)</f>
        <v>28.1816</v>
      </c>
      <c r="C217" s="14">
        <f>26.6557 * CHOOSE(CONTROL!$C$15, $E$9, 100%, $G$9) + CHOOSE(CONTROL!$C$38, 0.0342, 0)</f>
        <v>26.689899999999998</v>
      </c>
      <c r="D217" s="14">
        <f>26.6479 * CHOOSE(CONTROL!$C$15, $E$9, 100%, $G$9) + CHOOSE(CONTROL!$C$38, 0.0342, 0)</f>
        <v>26.682099999999998</v>
      </c>
      <c r="E217" s="14">
        <f>26.6479 * CHOOSE(CONTROL!$C$15, $E$9, 100%, $G$9) + CHOOSE(CONTROL!$C$38, 0.0342, 0)</f>
        <v>26.682099999999998</v>
      </c>
      <c r="F217" s="45">
        <f>28.1476 * CHOOSE(CONTROL!$C$15, $E$9, 100%, $G$9) + CHOOSE(CONTROL!$C$38, 0.034, 0)</f>
        <v>28.1816</v>
      </c>
      <c r="G217" s="14">
        <f>26.6542 * CHOOSE(CONTROL!$C$15, $E$9, 100%, $G$9) + CHOOSE(CONTROL!$C$38, 0.0342, 0)</f>
        <v>26.688399999999998</v>
      </c>
      <c r="H217" s="14">
        <f>26.6542 * CHOOSE(CONTROL!$C$15, $E$9, 100%, $G$9) + CHOOSE(CONTROL!$C$38, 0.0342, 0)</f>
        <v>26.688399999999998</v>
      </c>
      <c r="I217" s="14">
        <f>26.6557 * CHOOSE(CONTROL!$C$15, $E$9, 100%, $G$9) + CHOOSE(CONTROL!$C$38, 0.0342, 0)</f>
        <v>26.689899999999998</v>
      </c>
      <c r="J217" s="44">
        <f>153.2592</f>
        <v>153.25919999999999</v>
      </c>
    </row>
    <row r="218" spans="1:10" ht="15" x14ac:dyDescent="0.2">
      <c r="A218" s="13">
        <v>47543</v>
      </c>
      <c r="B218" s="14">
        <f>27.4138 * CHOOSE(CONTROL!$C$15, $E$9, 100%, $G$9) + CHOOSE(CONTROL!$C$38, 0.034, 0)</f>
        <v>27.447799999999997</v>
      </c>
      <c r="C218" s="14">
        <f>25.9192 * CHOOSE(CONTROL!$C$15, $E$9, 100%, $G$9) + CHOOSE(CONTROL!$C$38, 0.0342, 0)</f>
        <v>25.953399999999998</v>
      </c>
      <c r="D218" s="14">
        <f>25.9114 * CHOOSE(CONTROL!$C$15, $E$9, 100%, $G$9) + CHOOSE(CONTROL!$C$38, 0.0342, 0)</f>
        <v>25.945599999999999</v>
      </c>
      <c r="E218" s="14">
        <f>25.9114 * CHOOSE(CONTROL!$C$15, $E$9, 100%, $G$9) + CHOOSE(CONTROL!$C$38, 0.0342, 0)</f>
        <v>25.945599999999999</v>
      </c>
      <c r="F218" s="45">
        <f>27.4138 * CHOOSE(CONTROL!$C$15, $E$9, 100%, $G$9) + CHOOSE(CONTROL!$C$38, 0.034, 0)</f>
        <v>27.447799999999997</v>
      </c>
      <c r="G218" s="14">
        <f>25.9176 * CHOOSE(CONTROL!$C$15, $E$9, 100%, $G$9) + CHOOSE(CONTROL!$C$38, 0.0342, 0)</f>
        <v>25.951799999999999</v>
      </c>
      <c r="H218" s="14">
        <f>25.9176 * CHOOSE(CONTROL!$C$15, $E$9, 100%, $G$9) + CHOOSE(CONTROL!$C$38, 0.0342, 0)</f>
        <v>25.951799999999999</v>
      </c>
      <c r="I218" s="14">
        <f>25.9192 * CHOOSE(CONTROL!$C$15, $E$9, 100%, $G$9) + CHOOSE(CONTROL!$C$38, 0.0342, 0)</f>
        <v>25.953399999999998</v>
      </c>
      <c r="J218" s="44">
        <f>161.6692</f>
        <v>161.66919999999999</v>
      </c>
    </row>
    <row r="219" spans="1:10" ht="15" x14ac:dyDescent="0.2">
      <c r="A219" s="13">
        <v>47574</v>
      </c>
      <c r="B219" s="14">
        <f>26.7015 * CHOOSE(CONTROL!$C$15, $E$9, 100%, $G$9) + CHOOSE(CONTROL!$C$38, 0.034, 0)</f>
        <v>26.735499999999998</v>
      </c>
      <c r="C219" s="14">
        <f>25.2041 * CHOOSE(CONTROL!$C$15, $E$9, 100%, $G$9) + CHOOSE(CONTROL!$C$38, 0.0342, 0)</f>
        <v>25.238299999999999</v>
      </c>
      <c r="D219" s="14">
        <f>25.1963 * CHOOSE(CONTROL!$C$15, $E$9, 100%, $G$9) + CHOOSE(CONTROL!$C$38, 0.0342, 0)</f>
        <v>25.230499999999999</v>
      </c>
      <c r="E219" s="14">
        <f>25.1963 * CHOOSE(CONTROL!$C$15, $E$9, 100%, $G$9) + CHOOSE(CONTROL!$C$38, 0.0342, 0)</f>
        <v>25.230499999999999</v>
      </c>
      <c r="F219" s="45">
        <f>26.7015 * CHOOSE(CONTROL!$C$15, $E$9, 100%, $G$9) + CHOOSE(CONTROL!$C$38, 0.034, 0)</f>
        <v>26.735499999999998</v>
      </c>
      <c r="G219" s="14">
        <f>25.2025 * CHOOSE(CONTROL!$C$15, $E$9, 100%, $G$9) + CHOOSE(CONTROL!$C$38, 0.0342, 0)</f>
        <v>25.236699999999999</v>
      </c>
      <c r="H219" s="14">
        <f>25.2025 * CHOOSE(CONTROL!$C$15, $E$9, 100%, $G$9) + CHOOSE(CONTROL!$C$38, 0.0342, 0)</f>
        <v>25.236699999999999</v>
      </c>
      <c r="I219" s="14">
        <f>25.2041 * CHOOSE(CONTROL!$C$15, $E$9, 100%, $G$9) + CHOOSE(CONTROL!$C$38, 0.0342, 0)</f>
        <v>25.238299999999999</v>
      </c>
      <c r="J219" s="44">
        <f>172.5201</f>
        <v>172.52010000000001</v>
      </c>
    </row>
    <row r="220" spans="1:10" ht="15" x14ac:dyDescent="0.2">
      <c r="A220" s="13">
        <v>47604</v>
      </c>
      <c r="B220" s="14">
        <f>25.9535 * CHOOSE(CONTROL!$C$15, $E$9, 100%, $G$9) + CHOOSE(CONTROL!$C$38, 0.0353, 0)</f>
        <v>25.988799999999998</v>
      </c>
      <c r="C220" s="14">
        <f>24.4534 * CHOOSE(CONTROL!$C$15, $E$9, 100%, $G$9) + CHOOSE(CONTROL!$C$38, 0.0354, 0)</f>
        <v>24.488799999999998</v>
      </c>
      <c r="D220" s="14">
        <f>24.4456 * CHOOSE(CONTROL!$C$15, $E$9, 100%, $G$9) + CHOOSE(CONTROL!$C$38, 0.0354, 0)</f>
        <v>24.480999999999998</v>
      </c>
      <c r="E220" s="14">
        <f>24.4456 * CHOOSE(CONTROL!$C$15, $E$9, 100%, $G$9) + CHOOSE(CONTROL!$C$38, 0.0354, 0)</f>
        <v>24.480999999999998</v>
      </c>
      <c r="F220" s="45">
        <f>25.9535 * CHOOSE(CONTROL!$C$15, $E$9, 100%, $G$9) + CHOOSE(CONTROL!$C$38, 0.0353, 0)</f>
        <v>25.988799999999998</v>
      </c>
      <c r="G220" s="14">
        <f>24.4518 * CHOOSE(CONTROL!$C$15, $E$9, 100%, $G$9) + CHOOSE(CONTROL!$C$38, 0.0354, 0)</f>
        <v>24.487199999999998</v>
      </c>
      <c r="H220" s="14">
        <f>24.4518 * CHOOSE(CONTROL!$C$15, $E$9, 100%, $G$9) + CHOOSE(CONTROL!$C$38, 0.0354, 0)</f>
        <v>24.487199999999998</v>
      </c>
      <c r="I220" s="14">
        <f>24.4534 * CHOOSE(CONTROL!$C$15, $E$9, 100%, $G$9) + CHOOSE(CONTROL!$C$38, 0.0354, 0)</f>
        <v>24.488799999999998</v>
      </c>
      <c r="J220" s="44">
        <f>178.6769</f>
        <v>178.67689999999999</v>
      </c>
    </row>
    <row r="221" spans="1:10" ht="15" x14ac:dyDescent="0.2">
      <c r="A221" s="13">
        <v>47635</v>
      </c>
      <c r="B221" s="14">
        <f>25.4425 * CHOOSE(CONTROL!$C$15, $E$9, 100%, $G$9) + CHOOSE(CONTROL!$C$38, 0.0353, 0)</f>
        <v>25.477799999999998</v>
      </c>
      <c r="C221" s="14">
        <f>23.9396 * CHOOSE(CONTROL!$C$15, $E$9, 100%, $G$9) + CHOOSE(CONTROL!$C$38, 0.0354, 0)</f>
        <v>23.974999999999998</v>
      </c>
      <c r="D221" s="14">
        <f>23.9318 * CHOOSE(CONTROL!$C$15, $E$9, 100%, $G$9) + CHOOSE(CONTROL!$C$38, 0.0354, 0)</f>
        <v>23.967199999999998</v>
      </c>
      <c r="E221" s="14">
        <f>23.9318 * CHOOSE(CONTROL!$C$15, $E$9, 100%, $G$9) + CHOOSE(CONTROL!$C$38, 0.0354, 0)</f>
        <v>23.967199999999998</v>
      </c>
      <c r="F221" s="45">
        <f>25.4425 * CHOOSE(CONTROL!$C$15, $E$9, 100%, $G$9) + CHOOSE(CONTROL!$C$38, 0.0353, 0)</f>
        <v>25.477799999999998</v>
      </c>
      <c r="G221" s="14">
        <f>23.9381 * CHOOSE(CONTROL!$C$15, $E$9, 100%, $G$9) + CHOOSE(CONTROL!$C$38, 0.0354, 0)</f>
        <v>23.973499999999998</v>
      </c>
      <c r="H221" s="14">
        <f>23.9381 * CHOOSE(CONTROL!$C$15, $E$9, 100%, $G$9) + CHOOSE(CONTROL!$C$38, 0.0354, 0)</f>
        <v>23.973499999999998</v>
      </c>
      <c r="I221" s="14">
        <f>23.9396 * CHOOSE(CONTROL!$C$15, $E$9, 100%, $G$9) + CHOOSE(CONTROL!$C$38, 0.0354, 0)</f>
        <v>23.974999999999998</v>
      </c>
      <c r="J221" s="44">
        <f>181.6248</f>
        <v>181.62479999999999</v>
      </c>
    </row>
    <row r="222" spans="1:10" ht="15" x14ac:dyDescent="0.2">
      <c r="A222" s="13">
        <v>47665</v>
      </c>
      <c r="B222" s="14">
        <f>25.1716 * CHOOSE(CONTROL!$C$15, $E$9, 100%, $G$9) + CHOOSE(CONTROL!$C$38, 0.0353, 0)</f>
        <v>25.206900000000001</v>
      </c>
      <c r="C222" s="14">
        <f>23.6659 * CHOOSE(CONTROL!$C$15, $E$9, 100%, $G$9) + CHOOSE(CONTROL!$C$38, 0.0354, 0)</f>
        <v>23.7013</v>
      </c>
      <c r="D222" s="14">
        <f>23.6581 * CHOOSE(CONTROL!$C$15, $E$9, 100%, $G$9) + CHOOSE(CONTROL!$C$38, 0.0354, 0)</f>
        <v>23.6935</v>
      </c>
      <c r="E222" s="14">
        <f>23.6581 * CHOOSE(CONTROL!$C$15, $E$9, 100%, $G$9) + CHOOSE(CONTROL!$C$38, 0.0354, 0)</f>
        <v>23.6935</v>
      </c>
      <c r="F222" s="45">
        <f>25.1716 * CHOOSE(CONTROL!$C$15, $E$9, 100%, $G$9) + CHOOSE(CONTROL!$C$38, 0.0353, 0)</f>
        <v>25.206900000000001</v>
      </c>
      <c r="G222" s="14">
        <f>23.6644 * CHOOSE(CONTROL!$C$15, $E$9, 100%, $G$9) + CHOOSE(CONTROL!$C$38, 0.0354, 0)</f>
        <v>23.6998</v>
      </c>
      <c r="H222" s="14">
        <f>23.6644 * CHOOSE(CONTROL!$C$15, $E$9, 100%, $G$9) + CHOOSE(CONTROL!$C$38, 0.0354, 0)</f>
        <v>23.6998</v>
      </c>
      <c r="I222" s="14">
        <f>23.6659 * CHOOSE(CONTROL!$C$15, $E$9, 100%, $G$9) + CHOOSE(CONTROL!$C$38, 0.0354, 0)</f>
        <v>23.7013</v>
      </c>
      <c r="J222" s="44">
        <f>181.1477</f>
        <v>181.14769999999999</v>
      </c>
    </row>
    <row r="223" spans="1:10" ht="15" x14ac:dyDescent="0.2">
      <c r="A223" s="13">
        <v>47696</v>
      </c>
      <c r="B223" s="14">
        <f>25.3306 * CHOOSE(CONTROL!$C$15, $E$9, 100%, $G$9) + CHOOSE(CONTROL!$C$38, 0.0353, 0)</f>
        <v>25.3659</v>
      </c>
      <c r="C223" s="14">
        <f>23.8249 * CHOOSE(CONTROL!$C$15, $E$9, 100%, $G$9) + CHOOSE(CONTROL!$C$38, 0.0354, 0)</f>
        <v>23.860299999999999</v>
      </c>
      <c r="D223" s="14">
        <f>23.8171 * CHOOSE(CONTROL!$C$15, $E$9, 100%, $G$9) + CHOOSE(CONTROL!$C$38, 0.0354, 0)</f>
        <v>23.852499999999999</v>
      </c>
      <c r="E223" s="14">
        <f>23.8171 * CHOOSE(CONTROL!$C$15, $E$9, 100%, $G$9) + CHOOSE(CONTROL!$C$38, 0.0354, 0)</f>
        <v>23.852499999999999</v>
      </c>
      <c r="F223" s="45">
        <f>25.3306 * CHOOSE(CONTROL!$C$15, $E$9, 100%, $G$9) + CHOOSE(CONTROL!$C$38, 0.0353, 0)</f>
        <v>25.3659</v>
      </c>
      <c r="G223" s="14">
        <f>23.8233 * CHOOSE(CONTROL!$C$15, $E$9, 100%, $G$9) + CHOOSE(CONTROL!$C$38, 0.0354, 0)</f>
        <v>23.858699999999999</v>
      </c>
      <c r="H223" s="14">
        <f>23.8233 * CHOOSE(CONTROL!$C$15, $E$9, 100%, $G$9) + CHOOSE(CONTROL!$C$38, 0.0354, 0)</f>
        <v>23.858699999999999</v>
      </c>
      <c r="I223" s="14">
        <f>23.8249 * CHOOSE(CONTROL!$C$15, $E$9, 100%, $G$9) + CHOOSE(CONTROL!$C$38, 0.0354, 0)</f>
        <v>23.860299999999999</v>
      </c>
      <c r="J223" s="44">
        <f>176.9307</f>
        <v>176.9307</v>
      </c>
    </row>
    <row r="224" spans="1:10" ht="15" x14ac:dyDescent="0.2">
      <c r="A224" s="13">
        <v>47727</v>
      </c>
      <c r="B224" s="14">
        <f>25.7623 * CHOOSE(CONTROL!$C$15, $E$9, 100%, $G$9) + CHOOSE(CONTROL!$C$38, 0.0353, 0)</f>
        <v>25.797599999999999</v>
      </c>
      <c r="C224" s="14">
        <f>24.2566 * CHOOSE(CONTROL!$C$15, $E$9, 100%, $G$9) + CHOOSE(CONTROL!$C$38, 0.0354, 0)</f>
        <v>24.291999999999998</v>
      </c>
      <c r="D224" s="14">
        <f>24.2488 * CHOOSE(CONTROL!$C$15, $E$9, 100%, $G$9) + CHOOSE(CONTROL!$C$38, 0.0354, 0)</f>
        <v>24.284199999999998</v>
      </c>
      <c r="E224" s="14">
        <f>24.2488 * CHOOSE(CONTROL!$C$15, $E$9, 100%, $G$9) + CHOOSE(CONTROL!$C$38, 0.0354, 0)</f>
        <v>24.284199999999998</v>
      </c>
      <c r="F224" s="45">
        <f>25.7623 * CHOOSE(CONTROL!$C$15, $E$9, 100%, $G$9) + CHOOSE(CONTROL!$C$38, 0.0353, 0)</f>
        <v>25.797599999999999</v>
      </c>
      <c r="G224" s="14">
        <f>24.255 * CHOOSE(CONTROL!$C$15, $E$9, 100%, $G$9) + CHOOSE(CONTROL!$C$38, 0.0354, 0)</f>
        <v>24.290399999999998</v>
      </c>
      <c r="H224" s="14">
        <f>24.255 * CHOOSE(CONTROL!$C$15, $E$9, 100%, $G$9) + CHOOSE(CONTROL!$C$38, 0.0354, 0)</f>
        <v>24.290399999999998</v>
      </c>
      <c r="I224" s="14">
        <f>24.2566 * CHOOSE(CONTROL!$C$15, $E$9, 100%, $G$9) + CHOOSE(CONTROL!$C$38, 0.0354, 0)</f>
        <v>24.291999999999998</v>
      </c>
      <c r="J224" s="44">
        <f>171.0498</f>
        <v>171.0498</v>
      </c>
    </row>
    <row r="225" spans="1:10" ht="15" x14ac:dyDescent="0.2">
      <c r="A225" s="13">
        <v>47757</v>
      </c>
      <c r="B225" s="14">
        <f>26.1238 * CHOOSE(CONTROL!$C$15, $E$9, 100%, $G$9) + CHOOSE(CONTROL!$C$38, 0.034, 0)</f>
        <v>26.157799999999998</v>
      </c>
      <c r="C225" s="14">
        <f>24.6181 * CHOOSE(CONTROL!$C$15, $E$9, 100%, $G$9) + CHOOSE(CONTROL!$C$38, 0.0342, 0)</f>
        <v>24.652299999999997</v>
      </c>
      <c r="D225" s="14">
        <f>24.6103 * CHOOSE(CONTROL!$C$15, $E$9, 100%, $G$9) + CHOOSE(CONTROL!$C$38, 0.0342, 0)</f>
        <v>24.644499999999997</v>
      </c>
      <c r="E225" s="14">
        <f>24.6103 * CHOOSE(CONTROL!$C$15, $E$9, 100%, $G$9) + CHOOSE(CONTROL!$C$38, 0.0342, 0)</f>
        <v>24.644499999999997</v>
      </c>
      <c r="F225" s="45">
        <f>26.1238 * CHOOSE(CONTROL!$C$15, $E$9, 100%, $G$9) + CHOOSE(CONTROL!$C$38, 0.034, 0)</f>
        <v>26.157799999999998</v>
      </c>
      <c r="G225" s="14">
        <f>24.6166 * CHOOSE(CONTROL!$C$15, $E$9, 100%, $G$9) + CHOOSE(CONTROL!$C$38, 0.0342, 0)</f>
        <v>24.650799999999997</v>
      </c>
      <c r="H225" s="14">
        <f>24.6166 * CHOOSE(CONTROL!$C$15, $E$9, 100%, $G$9) + CHOOSE(CONTROL!$C$38, 0.0342, 0)</f>
        <v>24.650799999999997</v>
      </c>
      <c r="I225" s="14">
        <f>24.6181 * CHOOSE(CONTROL!$C$15, $E$9, 100%, $G$9) + CHOOSE(CONTROL!$C$38, 0.0342, 0)</f>
        <v>24.652299999999997</v>
      </c>
      <c r="J225" s="44">
        <f>165.1347</f>
        <v>165.13470000000001</v>
      </c>
    </row>
    <row r="226" spans="1:10" ht="15" x14ac:dyDescent="0.2">
      <c r="A226" s="13">
        <v>47788</v>
      </c>
      <c r="B226" s="14">
        <f>26.4256 * CHOOSE(CONTROL!$C$15, $E$9, 100%, $G$9) + CHOOSE(CONTROL!$C$38, 0.034, 0)</f>
        <v>26.459599999999998</v>
      </c>
      <c r="C226" s="14">
        <f>24.9199 * CHOOSE(CONTROL!$C$15, $E$9, 100%, $G$9) + CHOOSE(CONTROL!$C$38, 0.0342, 0)</f>
        <v>24.954099999999997</v>
      </c>
      <c r="D226" s="14">
        <f>24.912 * CHOOSE(CONTROL!$C$15, $E$9, 100%, $G$9) + CHOOSE(CONTROL!$C$38, 0.0342, 0)</f>
        <v>24.946199999999997</v>
      </c>
      <c r="E226" s="14">
        <f>24.912 * CHOOSE(CONTROL!$C$15, $E$9, 100%, $G$9) + CHOOSE(CONTROL!$C$38, 0.0342, 0)</f>
        <v>24.946199999999997</v>
      </c>
      <c r="F226" s="45">
        <f>26.4256 * CHOOSE(CONTROL!$C$15, $E$9, 100%, $G$9) + CHOOSE(CONTROL!$C$38, 0.034, 0)</f>
        <v>26.459599999999998</v>
      </c>
      <c r="G226" s="14">
        <f>24.9183 * CHOOSE(CONTROL!$C$15, $E$9, 100%, $G$9) + CHOOSE(CONTROL!$C$38, 0.0342, 0)</f>
        <v>24.952499999999997</v>
      </c>
      <c r="H226" s="14">
        <f>24.9183 * CHOOSE(CONTROL!$C$15, $E$9, 100%, $G$9) + CHOOSE(CONTROL!$C$38, 0.0342, 0)</f>
        <v>24.952499999999997</v>
      </c>
      <c r="I226" s="14">
        <f>24.9199 * CHOOSE(CONTROL!$C$15, $E$9, 100%, $G$9) + CHOOSE(CONTROL!$C$38, 0.0342, 0)</f>
        <v>24.954099999999997</v>
      </c>
      <c r="J226" s="44">
        <f>163.9581</f>
        <v>163.9581</v>
      </c>
    </row>
    <row r="227" spans="1:10" ht="15" x14ac:dyDescent="0.2">
      <c r="A227" s="13">
        <v>47818</v>
      </c>
      <c r="B227" s="14">
        <f>27.3552 * CHOOSE(CONTROL!$C$15, $E$9, 100%, $G$9) + CHOOSE(CONTROL!$C$38, 0.034, 0)</f>
        <v>27.389199999999999</v>
      </c>
      <c r="C227" s="14">
        <f>25.8495 * CHOOSE(CONTROL!$C$15, $E$9, 100%, $G$9) + CHOOSE(CONTROL!$C$38, 0.0342, 0)</f>
        <v>25.883699999999997</v>
      </c>
      <c r="D227" s="14">
        <f>25.8417 * CHOOSE(CONTROL!$C$15, $E$9, 100%, $G$9) + CHOOSE(CONTROL!$C$38, 0.0342, 0)</f>
        <v>25.875899999999998</v>
      </c>
      <c r="E227" s="14">
        <f>25.8417 * CHOOSE(CONTROL!$C$15, $E$9, 100%, $G$9) + CHOOSE(CONTROL!$C$38, 0.0342, 0)</f>
        <v>25.875899999999998</v>
      </c>
      <c r="F227" s="45">
        <f>27.3552 * CHOOSE(CONTROL!$C$15, $E$9, 100%, $G$9) + CHOOSE(CONTROL!$C$38, 0.034, 0)</f>
        <v>27.389199999999999</v>
      </c>
      <c r="G227" s="14">
        <f>25.848 * CHOOSE(CONTROL!$C$15, $E$9, 100%, $G$9) + CHOOSE(CONTROL!$C$38, 0.0342, 0)</f>
        <v>25.882199999999997</v>
      </c>
      <c r="H227" s="14">
        <f>25.848 * CHOOSE(CONTROL!$C$15, $E$9, 100%, $G$9) + CHOOSE(CONTROL!$C$38, 0.0342, 0)</f>
        <v>25.882199999999997</v>
      </c>
      <c r="I227" s="14">
        <f>25.8495 * CHOOSE(CONTROL!$C$15, $E$9, 100%, $G$9) + CHOOSE(CONTROL!$C$38, 0.0342, 0)</f>
        <v>25.883699999999997</v>
      </c>
      <c r="J227" s="44">
        <f>159.0926</f>
        <v>159.0926</v>
      </c>
    </row>
    <row r="228" spans="1:10" ht="15" x14ac:dyDescent="0.2">
      <c r="A228" s="13">
        <v>47849</v>
      </c>
      <c r="B228" s="14">
        <f>28.5239 * CHOOSE(CONTROL!$C$15, $E$9, 100%, $G$9) + CHOOSE(CONTROL!$C$38, 0.034, 0)</f>
        <v>28.5579</v>
      </c>
      <c r="C228" s="14">
        <f>26.9955 * CHOOSE(CONTROL!$C$15, $E$9, 100%, $G$9) + CHOOSE(CONTROL!$C$38, 0.0342, 0)</f>
        <v>27.029699999999998</v>
      </c>
      <c r="D228" s="14">
        <f>26.9877 * CHOOSE(CONTROL!$C$15, $E$9, 100%, $G$9) + CHOOSE(CONTROL!$C$38, 0.0342, 0)</f>
        <v>27.021899999999999</v>
      </c>
      <c r="E228" s="14">
        <f>26.9877 * CHOOSE(CONTROL!$C$15, $E$9, 100%, $G$9) + CHOOSE(CONTROL!$C$38, 0.0342, 0)</f>
        <v>27.021899999999999</v>
      </c>
      <c r="F228" s="45">
        <f>28.5239 * CHOOSE(CONTROL!$C$15, $E$9, 100%, $G$9) + CHOOSE(CONTROL!$C$38, 0.034, 0)</f>
        <v>28.5579</v>
      </c>
      <c r="G228" s="14">
        <f>26.9939 * CHOOSE(CONTROL!$C$15, $E$9, 100%, $G$9) + CHOOSE(CONTROL!$C$38, 0.0342, 0)</f>
        <v>27.028099999999998</v>
      </c>
      <c r="H228" s="14">
        <f>26.9939 * CHOOSE(CONTROL!$C$15, $E$9, 100%, $G$9) + CHOOSE(CONTROL!$C$38, 0.0342, 0)</f>
        <v>27.028099999999998</v>
      </c>
      <c r="I228" s="14">
        <f>26.9955 * CHOOSE(CONTROL!$C$15, $E$9, 100%, $G$9) + CHOOSE(CONTROL!$C$38, 0.0342, 0)</f>
        <v>27.029699999999998</v>
      </c>
      <c r="J228" s="44">
        <f>158.9778</f>
        <v>158.9778</v>
      </c>
    </row>
    <row r="229" spans="1:10" ht="15" x14ac:dyDescent="0.2">
      <c r="A229" s="13">
        <v>47880</v>
      </c>
      <c r="B229" s="14">
        <f>28.8682 * CHOOSE(CONTROL!$C$15, $E$9, 100%, $G$9) + CHOOSE(CONTROL!$C$38, 0.034, 0)</f>
        <v>28.902200000000001</v>
      </c>
      <c r="C229" s="14">
        <f>27.3398 * CHOOSE(CONTROL!$C$15, $E$9, 100%, $G$9) + CHOOSE(CONTROL!$C$38, 0.0342, 0)</f>
        <v>27.373999999999999</v>
      </c>
      <c r="D229" s="14">
        <f>27.332 * CHOOSE(CONTROL!$C$15, $E$9, 100%, $G$9) + CHOOSE(CONTROL!$C$38, 0.0342, 0)</f>
        <v>27.366199999999999</v>
      </c>
      <c r="E229" s="14">
        <f>27.332 * CHOOSE(CONTROL!$C$15, $E$9, 100%, $G$9) + CHOOSE(CONTROL!$C$38, 0.0342, 0)</f>
        <v>27.366199999999999</v>
      </c>
      <c r="F229" s="45">
        <f>28.8682 * CHOOSE(CONTROL!$C$15, $E$9, 100%, $G$9) + CHOOSE(CONTROL!$C$38, 0.034, 0)</f>
        <v>28.902200000000001</v>
      </c>
      <c r="G229" s="14">
        <f>27.3383 * CHOOSE(CONTROL!$C$15, $E$9, 100%, $G$9) + CHOOSE(CONTROL!$C$38, 0.0342, 0)</f>
        <v>27.372499999999999</v>
      </c>
      <c r="H229" s="14">
        <f>27.3383 * CHOOSE(CONTROL!$C$15, $E$9, 100%, $G$9) + CHOOSE(CONTROL!$C$38, 0.0342, 0)</f>
        <v>27.372499999999999</v>
      </c>
      <c r="I229" s="14">
        <f>27.3398 * CHOOSE(CONTROL!$C$15, $E$9, 100%, $G$9) + CHOOSE(CONTROL!$C$38, 0.0342, 0)</f>
        <v>27.373999999999999</v>
      </c>
      <c r="J229" s="44">
        <f>158.5359</f>
        <v>158.5359</v>
      </c>
    </row>
    <row r="230" spans="1:10" ht="15" x14ac:dyDescent="0.2">
      <c r="A230" s="13">
        <v>47908</v>
      </c>
      <c r="B230" s="14">
        <f>28.0712 * CHOOSE(CONTROL!$C$15, $E$9, 100%, $G$9) + CHOOSE(CONTROL!$C$38, 0.034, 0)</f>
        <v>28.1052</v>
      </c>
      <c r="C230" s="14">
        <f>26.5428 * CHOOSE(CONTROL!$C$15, $E$9, 100%, $G$9) + CHOOSE(CONTROL!$C$38, 0.0342, 0)</f>
        <v>26.576999999999998</v>
      </c>
      <c r="D230" s="14">
        <f>26.535 * CHOOSE(CONTROL!$C$15, $E$9, 100%, $G$9) + CHOOSE(CONTROL!$C$38, 0.0342, 0)</f>
        <v>26.569199999999999</v>
      </c>
      <c r="E230" s="14">
        <f>26.535 * CHOOSE(CONTROL!$C$15, $E$9, 100%, $G$9) + CHOOSE(CONTROL!$C$38, 0.0342, 0)</f>
        <v>26.569199999999999</v>
      </c>
      <c r="F230" s="45">
        <f>28.0712 * CHOOSE(CONTROL!$C$15, $E$9, 100%, $G$9) + CHOOSE(CONTROL!$C$38, 0.034, 0)</f>
        <v>28.1052</v>
      </c>
      <c r="G230" s="14">
        <f>26.5412 * CHOOSE(CONTROL!$C$15, $E$9, 100%, $G$9) + CHOOSE(CONTROL!$C$38, 0.0342, 0)</f>
        <v>26.575399999999998</v>
      </c>
      <c r="H230" s="14">
        <f>26.5412 * CHOOSE(CONTROL!$C$15, $E$9, 100%, $G$9) + CHOOSE(CONTROL!$C$38, 0.0342, 0)</f>
        <v>26.575399999999998</v>
      </c>
      <c r="I230" s="14">
        <f>26.5428 * CHOOSE(CONTROL!$C$15, $E$9, 100%, $G$9) + CHOOSE(CONTROL!$C$38, 0.0342, 0)</f>
        <v>26.576999999999998</v>
      </c>
      <c r="J230" s="44">
        <f>166.8916</f>
        <v>166.89160000000001</v>
      </c>
    </row>
    <row r="231" spans="1:10" ht="15" x14ac:dyDescent="0.2">
      <c r="A231" s="13">
        <v>47939</v>
      </c>
      <c r="B231" s="14">
        <f>27.2988 * CHOOSE(CONTROL!$C$15, $E$9, 100%, $G$9) + CHOOSE(CONTROL!$C$38, 0.034, 0)</f>
        <v>27.332799999999999</v>
      </c>
      <c r="C231" s="14">
        <f>25.7705 * CHOOSE(CONTROL!$C$15, $E$9, 100%, $G$9) + CHOOSE(CONTROL!$C$38, 0.0342, 0)</f>
        <v>25.804699999999997</v>
      </c>
      <c r="D231" s="14">
        <f>25.7627 * CHOOSE(CONTROL!$C$15, $E$9, 100%, $G$9) + CHOOSE(CONTROL!$C$38, 0.0342, 0)</f>
        <v>25.796899999999997</v>
      </c>
      <c r="E231" s="14">
        <f>25.7627 * CHOOSE(CONTROL!$C$15, $E$9, 100%, $G$9) + CHOOSE(CONTROL!$C$38, 0.0342, 0)</f>
        <v>25.796899999999997</v>
      </c>
      <c r="F231" s="45">
        <f>27.2988 * CHOOSE(CONTROL!$C$15, $E$9, 100%, $G$9) + CHOOSE(CONTROL!$C$38, 0.034, 0)</f>
        <v>27.332799999999999</v>
      </c>
      <c r="G231" s="14">
        <f>25.7689 * CHOOSE(CONTROL!$C$15, $E$9, 100%, $G$9) + CHOOSE(CONTROL!$C$38, 0.0342, 0)</f>
        <v>25.803099999999997</v>
      </c>
      <c r="H231" s="14">
        <f>25.7689 * CHOOSE(CONTROL!$C$15, $E$9, 100%, $G$9) + CHOOSE(CONTROL!$C$38, 0.0342, 0)</f>
        <v>25.803099999999997</v>
      </c>
      <c r="I231" s="14">
        <f>25.7705 * CHOOSE(CONTROL!$C$15, $E$9, 100%, $G$9) + CHOOSE(CONTROL!$C$38, 0.0342, 0)</f>
        <v>25.804699999999997</v>
      </c>
      <c r="J231" s="44">
        <f>177.727</f>
        <v>177.727</v>
      </c>
    </row>
    <row r="232" spans="1:10" ht="15" x14ac:dyDescent="0.2">
      <c r="A232" s="13">
        <v>47969</v>
      </c>
      <c r="B232" s="14">
        <f>26.4939 * CHOOSE(CONTROL!$C$15, $E$9, 100%, $G$9) + CHOOSE(CONTROL!$C$38, 0.0353, 0)</f>
        <v>26.529199999999999</v>
      </c>
      <c r="C232" s="14">
        <f>24.9655 * CHOOSE(CONTROL!$C$15, $E$9, 100%, $G$9) + CHOOSE(CONTROL!$C$38, 0.0354, 0)</f>
        <v>25.000899999999998</v>
      </c>
      <c r="D232" s="14">
        <f>24.9577 * CHOOSE(CONTROL!$C$15, $E$9, 100%, $G$9) + CHOOSE(CONTROL!$C$38, 0.0354, 0)</f>
        <v>24.993099999999998</v>
      </c>
      <c r="E232" s="14">
        <f>24.9577 * CHOOSE(CONTROL!$C$15, $E$9, 100%, $G$9) + CHOOSE(CONTROL!$C$38, 0.0354, 0)</f>
        <v>24.993099999999998</v>
      </c>
      <c r="F232" s="45">
        <f>26.4939 * CHOOSE(CONTROL!$C$15, $E$9, 100%, $G$9) + CHOOSE(CONTROL!$C$38, 0.0353, 0)</f>
        <v>26.529199999999999</v>
      </c>
      <c r="G232" s="14">
        <f>24.9639 * CHOOSE(CONTROL!$C$15, $E$9, 100%, $G$9) + CHOOSE(CONTROL!$C$38, 0.0354, 0)</f>
        <v>24.999299999999998</v>
      </c>
      <c r="H232" s="14">
        <f>24.9639 * CHOOSE(CONTROL!$C$15, $E$9, 100%, $G$9) + CHOOSE(CONTROL!$C$38, 0.0354, 0)</f>
        <v>24.999299999999998</v>
      </c>
      <c r="I232" s="14">
        <f>24.9655 * CHOOSE(CONTROL!$C$15, $E$9, 100%, $G$9) + CHOOSE(CONTROL!$C$38, 0.0354, 0)</f>
        <v>25.000899999999998</v>
      </c>
      <c r="J232" s="44">
        <f>183.6912</f>
        <v>183.69120000000001</v>
      </c>
    </row>
    <row r="233" spans="1:10" ht="15" x14ac:dyDescent="0.2">
      <c r="A233" s="13">
        <v>48000</v>
      </c>
      <c r="B233" s="14">
        <f>25.9295 * CHOOSE(CONTROL!$C$15, $E$9, 100%, $G$9) + CHOOSE(CONTROL!$C$38, 0.0353, 0)</f>
        <v>25.9648</v>
      </c>
      <c r="C233" s="14">
        <f>24.4012 * CHOOSE(CONTROL!$C$15, $E$9, 100%, $G$9) + CHOOSE(CONTROL!$C$38, 0.0354, 0)</f>
        <v>24.436599999999999</v>
      </c>
      <c r="D233" s="14">
        <f>24.3934 * CHOOSE(CONTROL!$C$15, $E$9, 100%, $G$9) + CHOOSE(CONTROL!$C$38, 0.0354, 0)</f>
        <v>24.428799999999999</v>
      </c>
      <c r="E233" s="14">
        <f>24.3934 * CHOOSE(CONTROL!$C$15, $E$9, 100%, $G$9) + CHOOSE(CONTROL!$C$38, 0.0354, 0)</f>
        <v>24.428799999999999</v>
      </c>
      <c r="F233" s="45">
        <f>25.9295 * CHOOSE(CONTROL!$C$15, $E$9, 100%, $G$9) + CHOOSE(CONTROL!$C$38, 0.0353, 0)</f>
        <v>25.9648</v>
      </c>
      <c r="G233" s="14">
        <f>24.3996 * CHOOSE(CONTROL!$C$15, $E$9, 100%, $G$9) + CHOOSE(CONTROL!$C$38, 0.0354, 0)</f>
        <v>24.434999999999999</v>
      </c>
      <c r="H233" s="14">
        <f>24.3996 * CHOOSE(CONTROL!$C$15, $E$9, 100%, $G$9) + CHOOSE(CONTROL!$C$38, 0.0354, 0)</f>
        <v>24.434999999999999</v>
      </c>
      <c r="I233" s="14">
        <f>24.4012 * CHOOSE(CONTROL!$C$15, $E$9, 100%, $G$9) + CHOOSE(CONTROL!$C$38, 0.0354, 0)</f>
        <v>24.436599999999999</v>
      </c>
      <c r="J233" s="44">
        <f>186.338</f>
        <v>186.33799999999999</v>
      </c>
    </row>
    <row r="234" spans="1:10" ht="15" x14ac:dyDescent="0.2">
      <c r="A234" s="13">
        <v>48030</v>
      </c>
      <c r="B234" s="14">
        <f>25.6075 * CHOOSE(CONTROL!$C$15, $E$9, 100%, $G$9) + CHOOSE(CONTROL!$C$38, 0.0353, 0)</f>
        <v>25.642800000000001</v>
      </c>
      <c r="C234" s="14">
        <f>24.0791 * CHOOSE(CONTROL!$C$15, $E$9, 100%, $G$9) + CHOOSE(CONTROL!$C$38, 0.0354, 0)</f>
        <v>24.1145</v>
      </c>
      <c r="D234" s="14">
        <f>24.0713 * CHOOSE(CONTROL!$C$15, $E$9, 100%, $G$9) + CHOOSE(CONTROL!$C$38, 0.0354, 0)</f>
        <v>24.1067</v>
      </c>
      <c r="E234" s="14">
        <f>24.0713 * CHOOSE(CONTROL!$C$15, $E$9, 100%, $G$9) + CHOOSE(CONTROL!$C$38, 0.0354, 0)</f>
        <v>24.1067</v>
      </c>
      <c r="F234" s="45">
        <f>25.6075 * CHOOSE(CONTROL!$C$15, $E$9, 100%, $G$9) + CHOOSE(CONTROL!$C$38, 0.0353, 0)</f>
        <v>25.642800000000001</v>
      </c>
      <c r="G234" s="14">
        <f>24.0776 * CHOOSE(CONTROL!$C$15, $E$9, 100%, $G$9) + CHOOSE(CONTROL!$C$38, 0.0354, 0)</f>
        <v>24.113</v>
      </c>
      <c r="H234" s="14">
        <f>24.0776 * CHOOSE(CONTROL!$C$15, $E$9, 100%, $G$9) + CHOOSE(CONTROL!$C$38, 0.0354, 0)</f>
        <v>24.113</v>
      </c>
      <c r="I234" s="14">
        <f>24.0791 * CHOOSE(CONTROL!$C$15, $E$9, 100%, $G$9) + CHOOSE(CONTROL!$C$38, 0.0354, 0)</f>
        <v>24.1145</v>
      </c>
      <c r="J234" s="44">
        <f>185.4666</f>
        <v>185.4666</v>
      </c>
    </row>
    <row r="235" spans="1:10" ht="15" x14ac:dyDescent="0.2">
      <c r="A235" s="13">
        <v>48061</v>
      </c>
      <c r="B235" s="14">
        <f>25.7664 * CHOOSE(CONTROL!$C$15, $E$9, 100%, $G$9) + CHOOSE(CONTROL!$C$38, 0.0353, 0)</f>
        <v>25.8017</v>
      </c>
      <c r="C235" s="14">
        <f>24.2381 * CHOOSE(CONTROL!$C$15, $E$9, 100%, $G$9) + CHOOSE(CONTROL!$C$38, 0.0354, 0)</f>
        <v>24.273499999999999</v>
      </c>
      <c r="D235" s="14">
        <f>24.2303 * CHOOSE(CONTROL!$C$15, $E$9, 100%, $G$9) + CHOOSE(CONTROL!$C$38, 0.0354, 0)</f>
        <v>24.265699999999999</v>
      </c>
      <c r="E235" s="14">
        <f>24.2303 * CHOOSE(CONTROL!$C$15, $E$9, 100%, $G$9) + CHOOSE(CONTROL!$C$38, 0.0354, 0)</f>
        <v>24.265699999999999</v>
      </c>
      <c r="F235" s="45">
        <f>25.7664 * CHOOSE(CONTROL!$C$15, $E$9, 100%, $G$9) + CHOOSE(CONTROL!$C$38, 0.0353, 0)</f>
        <v>25.8017</v>
      </c>
      <c r="G235" s="14">
        <f>24.2365 * CHOOSE(CONTROL!$C$15, $E$9, 100%, $G$9) + CHOOSE(CONTROL!$C$38, 0.0354, 0)</f>
        <v>24.271899999999999</v>
      </c>
      <c r="H235" s="14">
        <f>24.2365 * CHOOSE(CONTROL!$C$15, $E$9, 100%, $G$9) + CHOOSE(CONTROL!$C$38, 0.0354, 0)</f>
        <v>24.271899999999999</v>
      </c>
      <c r="I235" s="14">
        <f>24.2381 * CHOOSE(CONTROL!$C$15, $E$9, 100%, $G$9) + CHOOSE(CONTROL!$C$38, 0.0354, 0)</f>
        <v>24.273499999999999</v>
      </c>
      <c r="J235" s="44">
        <f>181.149</f>
        <v>181.149</v>
      </c>
    </row>
    <row r="236" spans="1:10" ht="15" x14ac:dyDescent="0.2">
      <c r="A236" s="13">
        <v>48092</v>
      </c>
      <c r="B236" s="14">
        <f>26.1981 * CHOOSE(CONTROL!$C$15, $E$9, 100%, $G$9) + CHOOSE(CONTROL!$C$38, 0.0353, 0)</f>
        <v>26.2334</v>
      </c>
      <c r="C236" s="14">
        <f>24.6698 * CHOOSE(CONTROL!$C$15, $E$9, 100%, $G$9) + CHOOSE(CONTROL!$C$38, 0.0354, 0)</f>
        <v>24.705199999999998</v>
      </c>
      <c r="D236" s="14">
        <f>24.662 * CHOOSE(CONTROL!$C$15, $E$9, 100%, $G$9) + CHOOSE(CONTROL!$C$38, 0.0354, 0)</f>
        <v>24.697399999999998</v>
      </c>
      <c r="E236" s="14">
        <f>24.662 * CHOOSE(CONTROL!$C$15, $E$9, 100%, $G$9) + CHOOSE(CONTROL!$C$38, 0.0354, 0)</f>
        <v>24.697399999999998</v>
      </c>
      <c r="F236" s="45">
        <f>26.1981 * CHOOSE(CONTROL!$C$15, $E$9, 100%, $G$9) + CHOOSE(CONTROL!$C$38, 0.0353, 0)</f>
        <v>26.2334</v>
      </c>
      <c r="G236" s="14">
        <f>24.6682 * CHOOSE(CONTROL!$C$15, $E$9, 100%, $G$9) + CHOOSE(CONTROL!$C$38, 0.0354, 0)</f>
        <v>24.703599999999998</v>
      </c>
      <c r="H236" s="14">
        <f>24.6682 * CHOOSE(CONTROL!$C$15, $E$9, 100%, $G$9) + CHOOSE(CONTROL!$C$38, 0.0354, 0)</f>
        <v>24.703599999999998</v>
      </c>
      <c r="I236" s="14">
        <f>24.6698 * CHOOSE(CONTROL!$C$15, $E$9, 100%, $G$9) + CHOOSE(CONTROL!$C$38, 0.0354, 0)</f>
        <v>24.705199999999998</v>
      </c>
      <c r="J236" s="44">
        <f>175.1279</f>
        <v>175.12790000000001</v>
      </c>
    </row>
    <row r="237" spans="1:10" ht="15" x14ac:dyDescent="0.2">
      <c r="A237" s="13">
        <v>48122</v>
      </c>
      <c r="B237" s="14">
        <f>26.5597 * CHOOSE(CONTROL!$C$15, $E$9, 100%, $G$9) + CHOOSE(CONTROL!$C$38, 0.034, 0)</f>
        <v>26.593699999999998</v>
      </c>
      <c r="C237" s="14">
        <f>25.0313 * CHOOSE(CONTROL!$C$15, $E$9, 100%, $G$9) + CHOOSE(CONTROL!$C$38, 0.0342, 0)</f>
        <v>25.0655</v>
      </c>
      <c r="D237" s="14">
        <f>25.0235 * CHOOSE(CONTROL!$C$15, $E$9, 100%, $G$9) + CHOOSE(CONTROL!$C$38, 0.0342, 0)</f>
        <v>25.057699999999997</v>
      </c>
      <c r="E237" s="14">
        <f>25.0235 * CHOOSE(CONTROL!$C$15, $E$9, 100%, $G$9) + CHOOSE(CONTROL!$C$38, 0.0342, 0)</f>
        <v>25.057699999999997</v>
      </c>
      <c r="F237" s="45">
        <f>26.5597 * CHOOSE(CONTROL!$C$15, $E$9, 100%, $G$9) + CHOOSE(CONTROL!$C$38, 0.034, 0)</f>
        <v>26.593699999999998</v>
      </c>
      <c r="G237" s="14">
        <f>25.0298 * CHOOSE(CONTROL!$C$15, $E$9, 100%, $G$9) + CHOOSE(CONTROL!$C$38, 0.0342, 0)</f>
        <v>25.064</v>
      </c>
      <c r="H237" s="14">
        <f>25.0298 * CHOOSE(CONTROL!$C$15, $E$9, 100%, $G$9) + CHOOSE(CONTROL!$C$38, 0.0342, 0)</f>
        <v>25.064</v>
      </c>
      <c r="I237" s="14">
        <f>25.0313 * CHOOSE(CONTROL!$C$15, $E$9, 100%, $G$9) + CHOOSE(CONTROL!$C$38, 0.0342, 0)</f>
        <v>25.0655</v>
      </c>
      <c r="J237" s="44">
        <f>169.0718</f>
        <v>169.0718</v>
      </c>
    </row>
    <row r="238" spans="1:10" ht="15" x14ac:dyDescent="0.2">
      <c r="A238" s="13">
        <v>48153</v>
      </c>
      <c r="B238" s="14">
        <f>26.8614 * CHOOSE(CONTROL!$C$15, $E$9, 100%, $G$9) + CHOOSE(CONTROL!$C$38, 0.034, 0)</f>
        <v>26.895399999999999</v>
      </c>
      <c r="C238" s="14">
        <f>25.333 * CHOOSE(CONTROL!$C$15, $E$9, 100%, $G$9) + CHOOSE(CONTROL!$C$38, 0.0342, 0)</f>
        <v>25.367199999999997</v>
      </c>
      <c r="D238" s="14">
        <f>25.3252 * CHOOSE(CONTROL!$C$15, $E$9, 100%, $G$9) + CHOOSE(CONTROL!$C$38, 0.0342, 0)</f>
        <v>25.359399999999997</v>
      </c>
      <c r="E238" s="14">
        <f>25.3252 * CHOOSE(CONTROL!$C$15, $E$9, 100%, $G$9) + CHOOSE(CONTROL!$C$38, 0.0342, 0)</f>
        <v>25.359399999999997</v>
      </c>
      <c r="F238" s="45">
        <f>26.8614 * CHOOSE(CONTROL!$C$15, $E$9, 100%, $G$9) + CHOOSE(CONTROL!$C$38, 0.034, 0)</f>
        <v>26.895399999999999</v>
      </c>
      <c r="G238" s="14">
        <f>25.3315 * CHOOSE(CONTROL!$C$15, $E$9, 100%, $G$9) + CHOOSE(CONTROL!$C$38, 0.0342, 0)</f>
        <v>25.365699999999997</v>
      </c>
      <c r="H238" s="14">
        <f>25.3315 * CHOOSE(CONTROL!$C$15, $E$9, 100%, $G$9) + CHOOSE(CONTROL!$C$38, 0.0342, 0)</f>
        <v>25.365699999999997</v>
      </c>
      <c r="I238" s="14">
        <f>25.333 * CHOOSE(CONTROL!$C$15, $E$9, 100%, $G$9) + CHOOSE(CONTROL!$C$38, 0.0342, 0)</f>
        <v>25.367199999999997</v>
      </c>
      <c r="J238" s="44">
        <f>167.8671</f>
        <v>167.86709999999999</v>
      </c>
    </row>
    <row r="239" spans="1:10" ht="15" x14ac:dyDescent="0.2">
      <c r="A239" s="13">
        <v>48183</v>
      </c>
      <c r="B239" s="14">
        <f>27.7911 * CHOOSE(CONTROL!$C$15, $E$9, 100%, $G$9) + CHOOSE(CONTROL!$C$38, 0.034, 0)</f>
        <v>27.825099999999999</v>
      </c>
      <c r="C239" s="14">
        <f>26.2627 * CHOOSE(CONTROL!$C$15, $E$9, 100%, $G$9) + CHOOSE(CONTROL!$C$38, 0.0342, 0)</f>
        <v>26.296899999999997</v>
      </c>
      <c r="D239" s="14">
        <f>26.2549 * CHOOSE(CONTROL!$C$15, $E$9, 100%, $G$9) + CHOOSE(CONTROL!$C$38, 0.0342, 0)</f>
        <v>26.289099999999998</v>
      </c>
      <c r="E239" s="14">
        <f>26.2549 * CHOOSE(CONTROL!$C$15, $E$9, 100%, $G$9) + CHOOSE(CONTROL!$C$38, 0.0342, 0)</f>
        <v>26.289099999999998</v>
      </c>
      <c r="F239" s="45">
        <f>27.7911 * CHOOSE(CONTROL!$C$15, $E$9, 100%, $G$9) + CHOOSE(CONTROL!$C$38, 0.034, 0)</f>
        <v>27.825099999999999</v>
      </c>
      <c r="G239" s="14">
        <f>26.2611 * CHOOSE(CONTROL!$C$15, $E$9, 100%, $G$9) + CHOOSE(CONTROL!$C$38, 0.0342, 0)</f>
        <v>26.295299999999997</v>
      </c>
      <c r="H239" s="14">
        <f>26.2611 * CHOOSE(CONTROL!$C$15, $E$9, 100%, $G$9) + CHOOSE(CONTROL!$C$38, 0.0342, 0)</f>
        <v>26.295299999999997</v>
      </c>
      <c r="I239" s="14">
        <f>26.2627 * CHOOSE(CONTROL!$C$15, $E$9, 100%, $G$9) + CHOOSE(CONTROL!$C$38, 0.0342, 0)</f>
        <v>26.296899999999997</v>
      </c>
      <c r="J239" s="44">
        <f>162.8856</f>
        <v>162.88560000000001</v>
      </c>
    </row>
    <row r="240" spans="1:10" ht="15" x14ac:dyDescent="0.2">
      <c r="A240" s="13">
        <v>48214</v>
      </c>
      <c r="B240" s="14">
        <f>28.9671 * CHOOSE(CONTROL!$C$15, $E$9, 100%, $G$9) + CHOOSE(CONTROL!$C$38, 0.034, 0)</f>
        <v>29.001099999999997</v>
      </c>
      <c r="C240" s="14">
        <f>27.4156 * CHOOSE(CONTROL!$C$15, $E$9, 100%, $G$9) + CHOOSE(CONTROL!$C$38, 0.0342, 0)</f>
        <v>27.4498</v>
      </c>
      <c r="D240" s="14">
        <f>27.4078 * CHOOSE(CONTROL!$C$15, $E$9, 100%, $G$9) + CHOOSE(CONTROL!$C$38, 0.0342, 0)</f>
        <v>27.442</v>
      </c>
      <c r="E240" s="14">
        <f>27.4078 * CHOOSE(CONTROL!$C$15, $E$9, 100%, $G$9) + CHOOSE(CONTROL!$C$38, 0.0342, 0)</f>
        <v>27.442</v>
      </c>
      <c r="F240" s="45">
        <f>28.9671 * CHOOSE(CONTROL!$C$15, $E$9, 100%, $G$9) + CHOOSE(CONTROL!$C$38, 0.034, 0)</f>
        <v>29.001099999999997</v>
      </c>
      <c r="G240" s="14">
        <f>27.4141 * CHOOSE(CONTROL!$C$15, $E$9, 100%, $G$9) + CHOOSE(CONTROL!$C$38, 0.0342, 0)</f>
        <v>27.4483</v>
      </c>
      <c r="H240" s="14">
        <f>27.4141 * CHOOSE(CONTROL!$C$15, $E$9, 100%, $G$9) + CHOOSE(CONTROL!$C$38, 0.0342, 0)</f>
        <v>27.4483</v>
      </c>
      <c r="I240" s="14">
        <f>27.4156 * CHOOSE(CONTROL!$C$15, $E$9, 100%, $G$9) + CHOOSE(CONTROL!$C$38, 0.0342, 0)</f>
        <v>27.4498</v>
      </c>
      <c r="J240" s="44">
        <f>162.768</f>
        <v>162.768</v>
      </c>
    </row>
    <row r="241" spans="1:10" ht="15" x14ac:dyDescent="0.2">
      <c r="A241" s="13">
        <v>48245</v>
      </c>
      <c r="B241" s="14">
        <f>29.3114 * CHOOSE(CONTROL!$C$15, $E$9, 100%, $G$9) + CHOOSE(CONTROL!$C$38, 0.034, 0)</f>
        <v>29.345399999999998</v>
      </c>
      <c r="C241" s="14">
        <f>27.76 * CHOOSE(CONTROL!$C$15, $E$9, 100%, $G$9) + CHOOSE(CONTROL!$C$38, 0.0342, 0)</f>
        <v>27.7942</v>
      </c>
      <c r="D241" s="14">
        <f>27.7521 * CHOOSE(CONTROL!$C$15, $E$9, 100%, $G$9) + CHOOSE(CONTROL!$C$38, 0.0342, 0)</f>
        <v>27.786299999999997</v>
      </c>
      <c r="E241" s="14">
        <f>27.7521 * CHOOSE(CONTROL!$C$15, $E$9, 100%, $G$9) + CHOOSE(CONTROL!$C$38, 0.0342, 0)</f>
        <v>27.786299999999997</v>
      </c>
      <c r="F241" s="45">
        <f>29.3114 * CHOOSE(CONTROL!$C$15, $E$9, 100%, $G$9) + CHOOSE(CONTROL!$C$38, 0.034, 0)</f>
        <v>29.345399999999998</v>
      </c>
      <c r="G241" s="14">
        <f>27.7584 * CHOOSE(CONTROL!$C$15, $E$9, 100%, $G$9) + CHOOSE(CONTROL!$C$38, 0.0342, 0)</f>
        <v>27.7926</v>
      </c>
      <c r="H241" s="14">
        <f>27.7584 * CHOOSE(CONTROL!$C$15, $E$9, 100%, $G$9) + CHOOSE(CONTROL!$C$38, 0.0342, 0)</f>
        <v>27.7926</v>
      </c>
      <c r="I241" s="14">
        <f>27.76 * CHOOSE(CONTROL!$C$15, $E$9, 100%, $G$9) + CHOOSE(CONTROL!$C$38, 0.0342, 0)</f>
        <v>27.7942</v>
      </c>
      <c r="J241" s="44">
        <f>162.3156</f>
        <v>162.31559999999999</v>
      </c>
    </row>
    <row r="242" spans="1:10" ht="15" x14ac:dyDescent="0.2">
      <c r="A242" s="13">
        <v>48274</v>
      </c>
      <c r="B242" s="14">
        <f>28.5143 * CHOOSE(CONTROL!$C$15, $E$9, 100%, $G$9) + CHOOSE(CONTROL!$C$38, 0.034, 0)</f>
        <v>28.548299999999998</v>
      </c>
      <c r="C242" s="14">
        <f>26.9629 * CHOOSE(CONTROL!$C$15, $E$9, 100%, $G$9) + CHOOSE(CONTROL!$C$38, 0.0342, 0)</f>
        <v>26.9971</v>
      </c>
      <c r="D242" s="14">
        <f>26.9551 * CHOOSE(CONTROL!$C$15, $E$9, 100%, $G$9) + CHOOSE(CONTROL!$C$38, 0.0342, 0)</f>
        <v>26.9893</v>
      </c>
      <c r="E242" s="14">
        <f>26.9551 * CHOOSE(CONTROL!$C$15, $E$9, 100%, $G$9) + CHOOSE(CONTROL!$C$38, 0.0342, 0)</f>
        <v>26.9893</v>
      </c>
      <c r="F242" s="45">
        <f>28.5143 * CHOOSE(CONTROL!$C$15, $E$9, 100%, $G$9) + CHOOSE(CONTROL!$C$38, 0.034, 0)</f>
        <v>28.548299999999998</v>
      </c>
      <c r="G242" s="14">
        <f>26.9614 * CHOOSE(CONTROL!$C$15, $E$9, 100%, $G$9) + CHOOSE(CONTROL!$C$38, 0.0342, 0)</f>
        <v>26.9956</v>
      </c>
      <c r="H242" s="14">
        <f>26.9614 * CHOOSE(CONTROL!$C$15, $E$9, 100%, $G$9) + CHOOSE(CONTROL!$C$38, 0.0342, 0)</f>
        <v>26.9956</v>
      </c>
      <c r="I242" s="14">
        <f>26.9629 * CHOOSE(CONTROL!$C$15, $E$9, 100%, $G$9) + CHOOSE(CONTROL!$C$38, 0.0342, 0)</f>
        <v>26.9971</v>
      </c>
      <c r="J242" s="44">
        <f>170.8706</f>
        <v>170.8706</v>
      </c>
    </row>
    <row r="243" spans="1:10" ht="15" x14ac:dyDescent="0.2">
      <c r="A243" s="13">
        <v>48305</v>
      </c>
      <c r="B243" s="14">
        <f>27.742 * CHOOSE(CONTROL!$C$15, $E$9, 100%, $G$9) + CHOOSE(CONTROL!$C$38, 0.034, 0)</f>
        <v>27.776</v>
      </c>
      <c r="C243" s="14">
        <f>26.1906 * CHOOSE(CONTROL!$C$15, $E$9, 100%, $G$9) + CHOOSE(CONTROL!$C$38, 0.0342, 0)</f>
        <v>26.224799999999998</v>
      </c>
      <c r="D243" s="14">
        <f>26.1828 * CHOOSE(CONTROL!$C$15, $E$9, 100%, $G$9) + CHOOSE(CONTROL!$C$38, 0.0342, 0)</f>
        <v>26.216999999999999</v>
      </c>
      <c r="E243" s="14">
        <f>26.1828 * CHOOSE(CONTROL!$C$15, $E$9, 100%, $G$9) + CHOOSE(CONTROL!$C$38, 0.0342, 0)</f>
        <v>26.216999999999999</v>
      </c>
      <c r="F243" s="45">
        <f>27.742 * CHOOSE(CONTROL!$C$15, $E$9, 100%, $G$9) + CHOOSE(CONTROL!$C$38, 0.034, 0)</f>
        <v>27.776</v>
      </c>
      <c r="G243" s="14">
        <f>26.189 * CHOOSE(CONTROL!$C$15, $E$9, 100%, $G$9) + CHOOSE(CONTROL!$C$38, 0.0342, 0)</f>
        <v>26.223199999999999</v>
      </c>
      <c r="H243" s="14">
        <f>26.189 * CHOOSE(CONTROL!$C$15, $E$9, 100%, $G$9) + CHOOSE(CONTROL!$C$38, 0.0342, 0)</f>
        <v>26.223199999999999</v>
      </c>
      <c r="I243" s="14">
        <f>26.1906 * CHOOSE(CONTROL!$C$15, $E$9, 100%, $G$9) + CHOOSE(CONTROL!$C$38, 0.0342, 0)</f>
        <v>26.224799999999998</v>
      </c>
      <c r="J243" s="44">
        <f>181.9643</f>
        <v>181.96430000000001</v>
      </c>
    </row>
    <row r="244" spans="1:10" ht="15" x14ac:dyDescent="0.2">
      <c r="A244" s="13">
        <v>48335</v>
      </c>
      <c r="B244" s="14">
        <f>26.9371 * CHOOSE(CONTROL!$C$15, $E$9, 100%, $G$9) + CHOOSE(CONTROL!$C$38, 0.0353, 0)</f>
        <v>26.9724</v>
      </c>
      <c r="C244" s="14">
        <f>25.3856 * CHOOSE(CONTROL!$C$15, $E$9, 100%, $G$9) + CHOOSE(CONTROL!$C$38, 0.0354, 0)</f>
        <v>25.420999999999999</v>
      </c>
      <c r="D244" s="14">
        <f>25.3778 * CHOOSE(CONTROL!$C$15, $E$9, 100%, $G$9) + CHOOSE(CONTROL!$C$38, 0.0354, 0)</f>
        <v>25.4132</v>
      </c>
      <c r="E244" s="14">
        <f>25.3778 * CHOOSE(CONTROL!$C$15, $E$9, 100%, $G$9) + CHOOSE(CONTROL!$C$38, 0.0354, 0)</f>
        <v>25.4132</v>
      </c>
      <c r="F244" s="45">
        <f>26.9371 * CHOOSE(CONTROL!$C$15, $E$9, 100%, $G$9) + CHOOSE(CONTROL!$C$38, 0.0353, 0)</f>
        <v>26.9724</v>
      </c>
      <c r="G244" s="14">
        <f>25.3841 * CHOOSE(CONTROL!$C$15, $E$9, 100%, $G$9) + CHOOSE(CONTROL!$C$38, 0.0354, 0)</f>
        <v>25.419499999999999</v>
      </c>
      <c r="H244" s="14">
        <f>25.3841 * CHOOSE(CONTROL!$C$15, $E$9, 100%, $G$9) + CHOOSE(CONTROL!$C$38, 0.0354, 0)</f>
        <v>25.419499999999999</v>
      </c>
      <c r="I244" s="14">
        <f>25.3856 * CHOOSE(CONTROL!$C$15, $E$9, 100%, $G$9) + CHOOSE(CONTROL!$C$38, 0.0354, 0)</f>
        <v>25.420999999999999</v>
      </c>
      <c r="J244" s="44">
        <f>188.0707</f>
        <v>188.07069999999999</v>
      </c>
    </row>
    <row r="245" spans="1:10" ht="15" x14ac:dyDescent="0.2">
      <c r="A245" s="13">
        <v>48366</v>
      </c>
      <c r="B245" s="14">
        <f>26.3727 * CHOOSE(CONTROL!$C$15, $E$9, 100%, $G$9) + CHOOSE(CONTROL!$C$38, 0.0353, 0)</f>
        <v>26.407999999999998</v>
      </c>
      <c r="C245" s="14">
        <f>24.8213 * CHOOSE(CONTROL!$C$15, $E$9, 100%, $G$9) + CHOOSE(CONTROL!$C$38, 0.0354, 0)</f>
        <v>24.8567</v>
      </c>
      <c r="D245" s="14">
        <f>24.8135 * CHOOSE(CONTROL!$C$15, $E$9, 100%, $G$9) + CHOOSE(CONTROL!$C$38, 0.0354, 0)</f>
        <v>24.8489</v>
      </c>
      <c r="E245" s="14">
        <f>24.8135 * CHOOSE(CONTROL!$C$15, $E$9, 100%, $G$9) + CHOOSE(CONTROL!$C$38, 0.0354, 0)</f>
        <v>24.8489</v>
      </c>
      <c r="F245" s="45">
        <f>26.3727 * CHOOSE(CONTROL!$C$15, $E$9, 100%, $G$9) + CHOOSE(CONTROL!$C$38, 0.0353, 0)</f>
        <v>26.407999999999998</v>
      </c>
      <c r="G245" s="14">
        <f>24.8197 * CHOOSE(CONTROL!$C$15, $E$9, 100%, $G$9) + CHOOSE(CONTROL!$C$38, 0.0354, 0)</f>
        <v>24.8551</v>
      </c>
      <c r="H245" s="14">
        <f>24.8197 * CHOOSE(CONTROL!$C$15, $E$9, 100%, $G$9) + CHOOSE(CONTROL!$C$38, 0.0354, 0)</f>
        <v>24.8551</v>
      </c>
      <c r="I245" s="14">
        <f>24.8213 * CHOOSE(CONTROL!$C$15, $E$9, 100%, $G$9) + CHOOSE(CONTROL!$C$38, 0.0354, 0)</f>
        <v>24.8567</v>
      </c>
      <c r="J245" s="44">
        <f>190.7806</f>
        <v>190.78059999999999</v>
      </c>
    </row>
    <row r="246" spans="1:10" ht="15" x14ac:dyDescent="0.2">
      <c r="A246" s="13">
        <v>48396</v>
      </c>
      <c r="B246" s="14">
        <f>26.0507 * CHOOSE(CONTROL!$C$15, $E$9, 100%, $G$9) + CHOOSE(CONTROL!$C$38, 0.0353, 0)</f>
        <v>26.085999999999999</v>
      </c>
      <c r="C246" s="14">
        <f>24.4993 * CHOOSE(CONTROL!$C$15, $E$9, 100%, $G$9) + CHOOSE(CONTROL!$C$38, 0.0354, 0)</f>
        <v>24.534700000000001</v>
      </c>
      <c r="D246" s="14">
        <f>24.4914 * CHOOSE(CONTROL!$C$15, $E$9, 100%, $G$9) + CHOOSE(CONTROL!$C$38, 0.0354, 0)</f>
        <v>24.526799999999998</v>
      </c>
      <c r="E246" s="14">
        <f>24.4914 * CHOOSE(CONTROL!$C$15, $E$9, 100%, $G$9) + CHOOSE(CONTROL!$C$38, 0.0354, 0)</f>
        <v>24.526799999999998</v>
      </c>
      <c r="F246" s="45">
        <f>26.0507 * CHOOSE(CONTROL!$C$15, $E$9, 100%, $G$9) + CHOOSE(CONTROL!$C$38, 0.0353, 0)</f>
        <v>26.085999999999999</v>
      </c>
      <c r="G246" s="14">
        <f>24.4977 * CHOOSE(CONTROL!$C$15, $E$9, 100%, $G$9) + CHOOSE(CONTROL!$C$38, 0.0354, 0)</f>
        <v>24.533099999999997</v>
      </c>
      <c r="H246" s="14">
        <f>24.4977 * CHOOSE(CONTROL!$C$15, $E$9, 100%, $G$9) + CHOOSE(CONTROL!$C$38, 0.0354, 0)</f>
        <v>24.533099999999997</v>
      </c>
      <c r="I246" s="14">
        <f>24.4993 * CHOOSE(CONTROL!$C$15, $E$9, 100%, $G$9) + CHOOSE(CONTROL!$C$38, 0.0354, 0)</f>
        <v>24.534700000000001</v>
      </c>
      <c r="J246" s="44">
        <f>189.8884</f>
        <v>189.88839999999999</v>
      </c>
    </row>
    <row r="247" spans="1:10" ht="15" x14ac:dyDescent="0.2">
      <c r="A247" s="13">
        <v>48427</v>
      </c>
      <c r="B247" s="14">
        <f>26.2096 * CHOOSE(CONTROL!$C$15, $E$9, 100%, $G$9) + CHOOSE(CONTROL!$C$38, 0.0353, 0)</f>
        <v>26.244899999999998</v>
      </c>
      <c r="C247" s="14">
        <f>24.6582 * CHOOSE(CONTROL!$C$15, $E$9, 100%, $G$9) + CHOOSE(CONTROL!$C$38, 0.0354, 0)</f>
        <v>24.6936</v>
      </c>
      <c r="D247" s="14">
        <f>24.6504 * CHOOSE(CONTROL!$C$15, $E$9, 100%, $G$9) + CHOOSE(CONTROL!$C$38, 0.0354, 0)</f>
        <v>24.6858</v>
      </c>
      <c r="E247" s="14">
        <f>24.6504 * CHOOSE(CONTROL!$C$15, $E$9, 100%, $G$9) + CHOOSE(CONTROL!$C$38, 0.0354, 0)</f>
        <v>24.6858</v>
      </c>
      <c r="F247" s="45">
        <f>26.2096 * CHOOSE(CONTROL!$C$15, $E$9, 100%, $G$9) + CHOOSE(CONTROL!$C$38, 0.0353, 0)</f>
        <v>26.244899999999998</v>
      </c>
      <c r="G247" s="14">
        <f>24.6566 * CHOOSE(CONTROL!$C$15, $E$9, 100%, $G$9) + CHOOSE(CONTROL!$C$38, 0.0354, 0)</f>
        <v>24.692</v>
      </c>
      <c r="H247" s="14">
        <f>24.6566 * CHOOSE(CONTROL!$C$15, $E$9, 100%, $G$9) + CHOOSE(CONTROL!$C$38, 0.0354, 0)</f>
        <v>24.692</v>
      </c>
      <c r="I247" s="14">
        <f>24.6582 * CHOOSE(CONTROL!$C$15, $E$9, 100%, $G$9) + CHOOSE(CONTROL!$C$38, 0.0354, 0)</f>
        <v>24.6936</v>
      </c>
      <c r="J247" s="44">
        <f>185.4678</f>
        <v>185.46780000000001</v>
      </c>
    </row>
    <row r="248" spans="1:10" ht="15" x14ac:dyDescent="0.2">
      <c r="A248" s="13">
        <v>48458</v>
      </c>
      <c r="B248" s="14">
        <f>26.6413 * CHOOSE(CONTROL!$C$15, $E$9, 100%, $G$9) + CHOOSE(CONTROL!$C$38, 0.0353, 0)</f>
        <v>26.676600000000001</v>
      </c>
      <c r="C248" s="14">
        <f>25.0899 * CHOOSE(CONTROL!$C$15, $E$9, 100%, $G$9) + CHOOSE(CONTROL!$C$38, 0.0354, 0)</f>
        <v>25.125299999999999</v>
      </c>
      <c r="D248" s="14">
        <f>25.0821 * CHOOSE(CONTROL!$C$15, $E$9, 100%, $G$9) + CHOOSE(CONTROL!$C$38, 0.0354, 0)</f>
        <v>25.1175</v>
      </c>
      <c r="E248" s="14">
        <f>25.0821 * CHOOSE(CONTROL!$C$15, $E$9, 100%, $G$9) + CHOOSE(CONTROL!$C$38, 0.0354, 0)</f>
        <v>25.1175</v>
      </c>
      <c r="F248" s="45">
        <f>26.6413 * CHOOSE(CONTROL!$C$15, $E$9, 100%, $G$9) + CHOOSE(CONTROL!$C$38, 0.0353, 0)</f>
        <v>26.676600000000001</v>
      </c>
      <c r="G248" s="14">
        <f>25.0883 * CHOOSE(CONTROL!$C$15, $E$9, 100%, $G$9) + CHOOSE(CONTROL!$C$38, 0.0354, 0)</f>
        <v>25.123699999999999</v>
      </c>
      <c r="H248" s="14">
        <f>25.0883 * CHOOSE(CONTROL!$C$15, $E$9, 100%, $G$9) + CHOOSE(CONTROL!$C$38, 0.0354, 0)</f>
        <v>25.123699999999999</v>
      </c>
      <c r="I248" s="14">
        <f>25.0899 * CHOOSE(CONTROL!$C$15, $E$9, 100%, $G$9) + CHOOSE(CONTROL!$C$38, 0.0354, 0)</f>
        <v>25.125299999999999</v>
      </c>
      <c r="J248" s="44">
        <f>179.3032</f>
        <v>179.3032</v>
      </c>
    </row>
    <row r="249" spans="1:10" ht="15" x14ac:dyDescent="0.2">
      <c r="A249" s="13">
        <v>48488</v>
      </c>
      <c r="B249" s="14">
        <f>27.0029 * CHOOSE(CONTROL!$C$15, $E$9, 100%, $G$9) + CHOOSE(CONTROL!$C$38, 0.034, 0)</f>
        <v>27.036899999999999</v>
      </c>
      <c r="C249" s="14">
        <f>25.4515 * CHOOSE(CONTROL!$C$15, $E$9, 100%, $G$9) + CHOOSE(CONTROL!$C$38, 0.0342, 0)</f>
        <v>25.485699999999998</v>
      </c>
      <c r="D249" s="14">
        <f>25.4437 * CHOOSE(CONTROL!$C$15, $E$9, 100%, $G$9) + CHOOSE(CONTROL!$C$38, 0.0342, 0)</f>
        <v>25.477899999999998</v>
      </c>
      <c r="E249" s="14">
        <f>25.4437 * CHOOSE(CONTROL!$C$15, $E$9, 100%, $G$9) + CHOOSE(CONTROL!$C$38, 0.0342, 0)</f>
        <v>25.477899999999998</v>
      </c>
      <c r="F249" s="45">
        <f>27.0029 * CHOOSE(CONTROL!$C$15, $E$9, 100%, $G$9) + CHOOSE(CONTROL!$C$38, 0.034, 0)</f>
        <v>27.036899999999999</v>
      </c>
      <c r="G249" s="14">
        <f>25.4499 * CHOOSE(CONTROL!$C$15, $E$9, 100%, $G$9) + CHOOSE(CONTROL!$C$38, 0.0342, 0)</f>
        <v>25.484099999999998</v>
      </c>
      <c r="H249" s="14">
        <f>25.4499 * CHOOSE(CONTROL!$C$15, $E$9, 100%, $G$9) + CHOOSE(CONTROL!$C$38, 0.0342, 0)</f>
        <v>25.484099999999998</v>
      </c>
      <c r="I249" s="14">
        <f>25.4515 * CHOOSE(CONTROL!$C$15, $E$9, 100%, $G$9) + CHOOSE(CONTROL!$C$38, 0.0342, 0)</f>
        <v>25.485699999999998</v>
      </c>
      <c r="J249" s="44">
        <f>173.1027</f>
        <v>173.1027</v>
      </c>
    </row>
    <row r="250" spans="1:10" ht="15" x14ac:dyDescent="0.2">
      <c r="A250" s="13">
        <v>48519</v>
      </c>
      <c r="B250" s="14">
        <f>27.3046 * CHOOSE(CONTROL!$C$15, $E$9, 100%, $G$9) + CHOOSE(CONTROL!$C$38, 0.034, 0)</f>
        <v>27.3386</v>
      </c>
      <c r="C250" s="14">
        <f>25.7532 * CHOOSE(CONTROL!$C$15, $E$9, 100%, $G$9) + CHOOSE(CONTROL!$C$38, 0.0342, 0)</f>
        <v>25.787399999999998</v>
      </c>
      <c r="D250" s="14">
        <f>25.7454 * CHOOSE(CONTROL!$C$15, $E$9, 100%, $G$9) + CHOOSE(CONTROL!$C$38, 0.0342, 0)</f>
        <v>25.779599999999999</v>
      </c>
      <c r="E250" s="14">
        <f>25.7454 * CHOOSE(CONTROL!$C$15, $E$9, 100%, $G$9) + CHOOSE(CONTROL!$C$38, 0.0342, 0)</f>
        <v>25.779599999999999</v>
      </c>
      <c r="F250" s="45">
        <f>27.3046 * CHOOSE(CONTROL!$C$15, $E$9, 100%, $G$9) + CHOOSE(CONTROL!$C$38, 0.034, 0)</f>
        <v>27.3386</v>
      </c>
      <c r="G250" s="14">
        <f>25.7516 * CHOOSE(CONTROL!$C$15, $E$9, 100%, $G$9) + CHOOSE(CONTROL!$C$38, 0.0342, 0)</f>
        <v>25.785799999999998</v>
      </c>
      <c r="H250" s="14">
        <f>25.7516 * CHOOSE(CONTROL!$C$15, $E$9, 100%, $G$9) + CHOOSE(CONTROL!$C$38, 0.0342, 0)</f>
        <v>25.785799999999998</v>
      </c>
      <c r="I250" s="14">
        <f>25.7532 * CHOOSE(CONTROL!$C$15, $E$9, 100%, $G$9) + CHOOSE(CONTROL!$C$38, 0.0342, 0)</f>
        <v>25.787399999999998</v>
      </c>
      <c r="J250" s="44">
        <f>171.8693</f>
        <v>171.86930000000001</v>
      </c>
    </row>
    <row r="251" spans="1:10" ht="15" x14ac:dyDescent="0.2">
      <c r="A251" s="13">
        <v>48549</v>
      </c>
      <c r="B251" s="14">
        <f>28.2343 * CHOOSE(CONTROL!$C$15, $E$9, 100%, $G$9) + CHOOSE(CONTROL!$C$38, 0.034, 0)</f>
        <v>28.2683</v>
      </c>
      <c r="C251" s="14">
        <f>26.6828 * CHOOSE(CONTROL!$C$15, $E$9, 100%, $G$9) + CHOOSE(CONTROL!$C$38, 0.0342, 0)</f>
        <v>26.716999999999999</v>
      </c>
      <c r="D251" s="14">
        <f>26.675 * CHOOSE(CONTROL!$C$15, $E$9, 100%, $G$9) + CHOOSE(CONTROL!$C$38, 0.0342, 0)</f>
        <v>26.709199999999999</v>
      </c>
      <c r="E251" s="14">
        <f>26.675 * CHOOSE(CONTROL!$C$15, $E$9, 100%, $G$9) + CHOOSE(CONTROL!$C$38, 0.0342, 0)</f>
        <v>26.709199999999999</v>
      </c>
      <c r="F251" s="45">
        <f>28.2343 * CHOOSE(CONTROL!$C$15, $E$9, 100%, $G$9) + CHOOSE(CONTROL!$C$38, 0.034, 0)</f>
        <v>28.2683</v>
      </c>
      <c r="G251" s="14">
        <f>26.6813 * CHOOSE(CONTROL!$C$15, $E$9, 100%, $G$9) + CHOOSE(CONTROL!$C$38, 0.0342, 0)</f>
        <v>26.715499999999999</v>
      </c>
      <c r="H251" s="14">
        <f>26.6813 * CHOOSE(CONTROL!$C$15, $E$9, 100%, $G$9) + CHOOSE(CONTROL!$C$38, 0.0342, 0)</f>
        <v>26.715499999999999</v>
      </c>
      <c r="I251" s="14">
        <f>26.6828 * CHOOSE(CONTROL!$C$15, $E$9, 100%, $G$9) + CHOOSE(CONTROL!$C$38, 0.0342, 0)</f>
        <v>26.716999999999999</v>
      </c>
      <c r="J251" s="44">
        <f>166.7691</f>
        <v>166.76910000000001</v>
      </c>
    </row>
    <row r="252" spans="1:10" ht="15" x14ac:dyDescent="0.2">
      <c r="A252" s="13">
        <v>48580</v>
      </c>
      <c r="B252" s="14">
        <f>29.4177 * CHOOSE(CONTROL!$C$15, $E$9, 100%, $G$9) + CHOOSE(CONTROL!$C$38, 0.034, 0)</f>
        <v>29.451699999999999</v>
      </c>
      <c r="C252" s="14">
        <f>27.8428 * CHOOSE(CONTROL!$C$15, $E$9, 100%, $G$9) + CHOOSE(CONTROL!$C$38, 0.0342, 0)</f>
        <v>27.876999999999999</v>
      </c>
      <c r="D252" s="14">
        <f>27.835 * CHOOSE(CONTROL!$C$15, $E$9, 100%, $G$9) + CHOOSE(CONTROL!$C$38, 0.0342, 0)</f>
        <v>27.869199999999999</v>
      </c>
      <c r="E252" s="14">
        <f>27.835 * CHOOSE(CONTROL!$C$15, $E$9, 100%, $G$9) + CHOOSE(CONTROL!$C$38, 0.0342, 0)</f>
        <v>27.869199999999999</v>
      </c>
      <c r="F252" s="45">
        <f>29.4177 * CHOOSE(CONTROL!$C$15, $E$9, 100%, $G$9) + CHOOSE(CONTROL!$C$38, 0.034, 0)</f>
        <v>29.451699999999999</v>
      </c>
      <c r="G252" s="14">
        <f>27.8413 * CHOOSE(CONTROL!$C$15, $E$9, 100%, $G$9) + CHOOSE(CONTROL!$C$38, 0.0342, 0)</f>
        <v>27.875499999999999</v>
      </c>
      <c r="H252" s="14">
        <f>27.8413 * CHOOSE(CONTROL!$C$15, $E$9, 100%, $G$9) + CHOOSE(CONTROL!$C$38, 0.0342, 0)</f>
        <v>27.875499999999999</v>
      </c>
      <c r="I252" s="14">
        <f>27.8428 * CHOOSE(CONTROL!$C$15, $E$9, 100%, $G$9) + CHOOSE(CONTROL!$C$38, 0.0342, 0)</f>
        <v>27.876999999999999</v>
      </c>
      <c r="J252" s="44">
        <f>166.6487</f>
        <v>166.64869999999999</v>
      </c>
    </row>
    <row r="253" spans="1:10" ht="15" x14ac:dyDescent="0.2">
      <c r="A253" s="13">
        <v>48611</v>
      </c>
      <c r="B253" s="14">
        <f>29.762 * CHOOSE(CONTROL!$C$15, $E$9, 100%, $G$9) + CHOOSE(CONTROL!$C$38, 0.034, 0)</f>
        <v>29.795999999999999</v>
      </c>
      <c r="C253" s="14">
        <f>28.1871 * CHOOSE(CONTROL!$C$15, $E$9, 100%, $G$9) + CHOOSE(CONTROL!$C$38, 0.0342, 0)</f>
        <v>28.221299999999999</v>
      </c>
      <c r="D253" s="14">
        <f>28.1793 * CHOOSE(CONTROL!$C$15, $E$9, 100%, $G$9) + CHOOSE(CONTROL!$C$38, 0.0342, 0)</f>
        <v>28.2135</v>
      </c>
      <c r="E253" s="14">
        <f>28.1793 * CHOOSE(CONTROL!$C$15, $E$9, 100%, $G$9) + CHOOSE(CONTROL!$C$38, 0.0342, 0)</f>
        <v>28.2135</v>
      </c>
      <c r="F253" s="45">
        <f>29.762 * CHOOSE(CONTROL!$C$15, $E$9, 100%, $G$9) + CHOOSE(CONTROL!$C$38, 0.034, 0)</f>
        <v>29.795999999999999</v>
      </c>
      <c r="G253" s="14">
        <f>28.1856 * CHOOSE(CONTROL!$C$15, $E$9, 100%, $G$9) + CHOOSE(CONTROL!$C$38, 0.0342, 0)</f>
        <v>28.219799999999999</v>
      </c>
      <c r="H253" s="14">
        <f>28.1856 * CHOOSE(CONTROL!$C$15, $E$9, 100%, $G$9) + CHOOSE(CONTROL!$C$38, 0.0342, 0)</f>
        <v>28.219799999999999</v>
      </c>
      <c r="I253" s="14">
        <f>28.1871 * CHOOSE(CONTROL!$C$15, $E$9, 100%, $G$9) + CHOOSE(CONTROL!$C$38, 0.0342, 0)</f>
        <v>28.221299999999999</v>
      </c>
      <c r="J253" s="44">
        <f>166.1854</f>
        <v>166.18539999999999</v>
      </c>
    </row>
    <row r="254" spans="1:10" ht="15" x14ac:dyDescent="0.2">
      <c r="A254" s="13">
        <v>48639</v>
      </c>
      <c r="B254" s="14">
        <f>28.965 * CHOOSE(CONTROL!$C$15, $E$9, 100%, $G$9) + CHOOSE(CONTROL!$C$38, 0.034, 0)</f>
        <v>28.998999999999999</v>
      </c>
      <c r="C254" s="14">
        <f>27.3901 * CHOOSE(CONTROL!$C$15, $E$9, 100%, $G$9) + CHOOSE(CONTROL!$C$38, 0.0342, 0)</f>
        <v>27.424299999999999</v>
      </c>
      <c r="D254" s="14">
        <f>27.3823 * CHOOSE(CONTROL!$C$15, $E$9, 100%, $G$9) + CHOOSE(CONTROL!$C$38, 0.0342, 0)</f>
        <v>27.416499999999999</v>
      </c>
      <c r="E254" s="14">
        <f>27.3823 * CHOOSE(CONTROL!$C$15, $E$9, 100%, $G$9) + CHOOSE(CONTROL!$C$38, 0.0342, 0)</f>
        <v>27.416499999999999</v>
      </c>
      <c r="F254" s="45">
        <f>28.965 * CHOOSE(CONTROL!$C$15, $E$9, 100%, $G$9) + CHOOSE(CONTROL!$C$38, 0.034, 0)</f>
        <v>28.998999999999999</v>
      </c>
      <c r="G254" s="14">
        <f>27.3885 * CHOOSE(CONTROL!$C$15, $E$9, 100%, $G$9) + CHOOSE(CONTROL!$C$38, 0.0342, 0)</f>
        <v>27.422699999999999</v>
      </c>
      <c r="H254" s="14">
        <f>27.3885 * CHOOSE(CONTROL!$C$15, $E$9, 100%, $G$9) + CHOOSE(CONTROL!$C$38, 0.0342, 0)</f>
        <v>27.422699999999999</v>
      </c>
      <c r="I254" s="14">
        <f>27.3901 * CHOOSE(CONTROL!$C$15, $E$9, 100%, $G$9) + CHOOSE(CONTROL!$C$38, 0.0342, 0)</f>
        <v>27.424299999999999</v>
      </c>
      <c r="J254" s="44">
        <f>174.9444</f>
        <v>174.9444</v>
      </c>
    </row>
    <row r="255" spans="1:10" ht="15" x14ac:dyDescent="0.2">
      <c r="A255" s="13">
        <v>48670</v>
      </c>
      <c r="B255" s="14">
        <f>28.1927 * CHOOSE(CONTROL!$C$15, $E$9, 100%, $G$9) + CHOOSE(CONTROL!$C$38, 0.034, 0)</f>
        <v>28.226699999999997</v>
      </c>
      <c r="C255" s="14">
        <f>26.6178 * CHOOSE(CONTROL!$C$15, $E$9, 100%, $G$9) + CHOOSE(CONTROL!$C$38, 0.0342, 0)</f>
        <v>26.651999999999997</v>
      </c>
      <c r="D255" s="14">
        <f>26.61 * CHOOSE(CONTROL!$C$15, $E$9, 100%, $G$9) + CHOOSE(CONTROL!$C$38, 0.0342, 0)</f>
        <v>26.644199999999998</v>
      </c>
      <c r="E255" s="14">
        <f>26.61 * CHOOSE(CONTROL!$C$15, $E$9, 100%, $G$9) + CHOOSE(CONTROL!$C$38, 0.0342, 0)</f>
        <v>26.644199999999998</v>
      </c>
      <c r="F255" s="45">
        <f>28.1927 * CHOOSE(CONTROL!$C$15, $E$9, 100%, $G$9) + CHOOSE(CONTROL!$C$38, 0.034, 0)</f>
        <v>28.226699999999997</v>
      </c>
      <c r="G255" s="14">
        <f>26.6162 * CHOOSE(CONTROL!$C$15, $E$9, 100%, $G$9) + CHOOSE(CONTROL!$C$38, 0.0342, 0)</f>
        <v>26.650399999999998</v>
      </c>
      <c r="H255" s="14">
        <f>26.6162 * CHOOSE(CONTROL!$C$15, $E$9, 100%, $G$9) + CHOOSE(CONTROL!$C$38, 0.0342, 0)</f>
        <v>26.650399999999998</v>
      </c>
      <c r="I255" s="14">
        <f>26.6178 * CHOOSE(CONTROL!$C$15, $E$9, 100%, $G$9) + CHOOSE(CONTROL!$C$38, 0.0342, 0)</f>
        <v>26.651999999999997</v>
      </c>
      <c r="J255" s="44">
        <f>186.3026</f>
        <v>186.30260000000001</v>
      </c>
    </row>
    <row r="256" spans="1:10" ht="15" x14ac:dyDescent="0.2">
      <c r="A256" s="13">
        <v>48700</v>
      </c>
      <c r="B256" s="14">
        <f>27.3877 * CHOOSE(CONTROL!$C$15, $E$9, 100%, $G$9) + CHOOSE(CONTROL!$C$38, 0.0353, 0)</f>
        <v>27.422999999999998</v>
      </c>
      <c r="C256" s="14">
        <f>25.8128 * CHOOSE(CONTROL!$C$15, $E$9, 100%, $G$9) + CHOOSE(CONTROL!$C$38, 0.0354, 0)</f>
        <v>25.848199999999999</v>
      </c>
      <c r="D256" s="14">
        <f>25.805 * CHOOSE(CONTROL!$C$15, $E$9, 100%, $G$9) + CHOOSE(CONTROL!$C$38, 0.0354, 0)</f>
        <v>25.840399999999999</v>
      </c>
      <c r="E256" s="14">
        <f>25.805 * CHOOSE(CONTROL!$C$15, $E$9, 100%, $G$9) + CHOOSE(CONTROL!$C$38, 0.0354, 0)</f>
        <v>25.840399999999999</v>
      </c>
      <c r="F256" s="45">
        <f>27.3877 * CHOOSE(CONTROL!$C$15, $E$9, 100%, $G$9) + CHOOSE(CONTROL!$C$38, 0.0353, 0)</f>
        <v>27.422999999999998</v>
      </c>
      <c r="G256" s="14">
        <f>25.8113 * CHOOSE(CONTROL!$C$15, $E$9, 100%, $G$9) + CHOOSE(CONTROL!$C$38, 0.0354, 0)</f>
        <v>25.846699999999998</v>
      </c>
      <c r="H256" s="14">
        <f>25.8113 * CHOOSE(CONTROL!$C$15, $E$9, 100%, $G$9) + CHOOSE(CONTROL!$C$38, 0.0354, 0)</f>
        <v>25.846699999999998</v>
      </c>
      <c r="I256" s="14">
        <f>25.8128 * CHOOSE(CONTROL!$C$15, $E$9, 100%, $G$9) + CHOOSE(CONTROL!$C$38, 0.0354, 0)</f>
        <v>25.848199999999999</v>
      </c>
      <c r="J256" s="44">
        <f>192.5546</f>
        <v>192.55459999999999</v>
      </c>
    </row>
    <row r="257" spans="1:10" ht="15" x14ac:dyDescent="0.2">
      <c r="A257" s="13">
        <v>48731</v>
      </c>
      <c r="B257" s="14">
        <f>26.8234 * CHOOSE(CONTROL!$C$15, $E$9, 100%, $G$9) + CHOOSE(CONTROL!$C$38, 0.0353, 0)</f>
        <v>26.858699999999999</v>
      </c>
      <c r="C257" s="14">
        <f>25.2485 * CHOOSE(CONTROL!$C$15, $E$9, 100%, $G$9) + CHOOSE(CONTROL!$C$38, 0.0354, 0)</f>
        <v>25.283899999999999</v>
      </c>
      <c r="D257" s="14">
        <f>25.2407 * CHOOSE(CONTROL!$C$15, $E$9, 100%, $G$9) + CHOOSE(CONTROL!$C$38, 0.0354, 0)</f>
        <v>25.2761</v>
      </c>
      <c r="E257" s="14">
        <f>25.2407 * CHOOSE(CONTROL!$C$15, $E$9, 100%, $G$9) + CHOOSE(CONTROL!$C$38, 0.0354, 0)</f>
        <v>25.2761</v>
      </c>
      <c r="F257" s="45">
        <f>26.8234 * CHOOSE(CONTROL!$C$15, $E$9, 100%, $G$9) + CHOOSE(CONTROL!$C$38, 0.0353, 0)</f>
        <v>26.858699999999999</v>
      </c>
      <c r="G257" s="14">
        <f>25.2469 * CHOOSE(CONTROL!$C$15, $E$9, 100%, $G$9) + CHOOSE(CONTROL!$C$38, 0.0354, 0)</f>
        <v>25.282299999999999</v>
      </c>
      <c r="H257" s="14">
        <f>25.2469 * CHOOSE(CONTROL!$C$15, $E$9, 100%, $G$9) + CHOOSE(CONTROL!$C$38, 0.0354, 0)</f>
        <v>25.282299999999999</v>
      </c>
      <c r="I257" s="14">
        <f>25.2485 * CHOOSE(CONTROL!$C$15, $E$9, 100%, $G$9) + CHOOSE(CONTROL!$C$38, 0.0354, 0)</f>
        <v>25.283899999999999</v>
      </c>
      <c r="J257" s="44">
        <f>195.3291</f>
        <v>195.32910000000001</v>
      </c>
    </row>
    <row r="258" spans="1:10" ht="15" x14ac:dyDescent="0.2">
      <c r="A258" s="13">
        <v>48761</v>
      </c>
      <c r="B258" s="14">
        <f>26.5013 * CHOOSE(CONTROL!$C$15, $E$9, 100%, $G$9) + CHOOSE(CONTROL!$C$38, 0.0353, 0)</f>
        <v>26.5366</v>
      </c>
      <c r="C258" s="14">
        <f>24.9264 * CHOOSE(CONTROL!$C$15, $E$9, 100%, $G$9) + CHOOSE(CONTROL!$C$38, 0.0354, 0)</f>
        <v>24.9618</v>
      </c>
      <c r="D258" s="14">
        <f>24.9186 * CHOOSE(CONTROL!$C$15, $E$9, 100%, $G$9) + CHOOSE(CONTROL!$C$38, 0.0354, 0)</f>
        <v>24.954000000000001</v>
      </c>
      <c r="E258" s="14">
        <f>24.9186 * CHOOSE(CONTROL!$C$15, $E$9, 100%, $G$9) + CHOOSE(CONTROL!$C$38, 0.0354, 0)</f>
        <v>24.954000000000001</v>
      </c>
      <c r="F258" s="45">
        <f>26.5013 * CHOOSE(CONTROL!$C$15, $E$9, 100%, $G$9) + CHOOSE(CONTROL!$C$38, 0.0353, 0)</f>
        <v>26.5366</v>
      </c>
      <c r="G258" s="14">
        <f>24.9249 * CHOOSE(CONTROL!$C$15, $E$9, 100%, $G$9) + CHOOSE(CONTROL!$C$38, 0.0354, 0)</f>
        <v>24.9603</v>
      </c>
      <c r="H258" s="14">
        <f>24.9249 * CHOOSE(CONTROL!$C$15, $E$9, 100%, $G$9) + CHOOSE(CONTROL!$C$38, 0.0354, 0)</f>
        <v>24.9603</v>
      </c>
      <c r="I258" s="14">
        <f>24.9264 * CHOOSE(CONTROL!$C$15, $E$9, 100%, $G$9) + CHOOSE(CONTROL!$C$38, 0.0354, 0)</f>
        <v>24.9618</v>
      </c>
      <c r="J258" s="44">
        <f>194.4156</f>
        <v>194.41560000000001</v>
      </c>
    </row>
    <row r="259" spans="1:10" ht="15" x14ac:dyDescent="0.2">
      <c r="A259" s="13">
        <v>48792</v>
      </c>
      <c r="B259" s="14">
        <f>26.6602 * CHOOSE(CONTROL!$C$15, $E$9, 100%, $G$9) + CHOOSE(CONTROL!$C$38, 0.0353, 0)</f>
        <v>26.695499999999999</v>
      </c>
      <c r="C259" s="14">
        <f>25.0854 * CHOOSE(CONTROL!$C$15, $E$9, 100%, $G$9) + CHOOSE(CONTROL!$C$38, 0.0354, 0)</f>
        <v>25.120799999999999</v>
      </c>
      <c r="D259" s="14">
        <f>25.0776 * CHOOSE(CONTROL!$C$15, $E$9, 100%, $G$9) + CHOOSE(CONTROL!$C$38, 0.0354, 0)</f>
        <v>25.113</v>
      </c>
      <c r="E259" s="14">
        <f>25.0776 * CHOOSE(CONTROL!$C$15, $E$9, 100%, $G$9) + CHOOSE(CONTROL!$C$38, 0.0354, 0)</f>
        <v>25.113</v>
      </c>
      <c r="F259" s="45">
        <f>26.6602 * CHOOSE(CONTROL!$C$15, $E$9, 100%, $G$9) + CHOOSE(CONTROL!$C$38, 0.0353, 0)</f>
        <v>26.695499999999999</v>
      </c>
      <c r="G259" s="14">
        <f>25.0838 * CHOOSE(CONTROL!$C$15, $E$9, 100%, $G$9) + CHOOSE(CONTROL!$C$38, 0.0354, 0)</f>
        <v>25.119199999999999</v>
      </c>
      <c r="H259" s="14">
        <f>25.0838 * CHOOSE(CONTROL!$C$15, $E$9, 100%, $G$9) + CHOOSE(CONTROL!$C$38, 0.0354, 0)</f>
        <v>25.119199999999999</v>
      </c>
      <c r="I259" s="14">
        <f>25.0854 * CHOOSE(CONTROL!$C$15, $E$9, 100%, $G$9) + CHOOSE(CONTROL!$C$38, 0.0354, 0)</f>
        <v>25.120799999999999</v>
      </c>
      <c r="J259" s="44">
        <f>189.8897</f>
        <v>189.8897</v>
      </c>
    </row>
    <row r="260" spans="1:10" ht="15" x14ac:dyDescent="0.2">
      <c r="A260" s="13">
        <v>48823</v>
      </c>
      <c r="B260" s="14">
        <f>27.092 * CHOOSE(CONTROL!$C$15, $E$9, 100%, $G$9) + CHOOSE(CONTROL!$C$38, 0.0353, 0)</f>
        <v>27.127299999999998</v>
      </c>
      <c r="C260" s="14">
        <f>25.5171 * CHOOSE(CONTROL!$C$15, $E$9, 100%, $G$9) + CHOOSE(CONTROL!$C$38, 0.0354, 0)</f>
        <v>25.552499999999998</v>
      </c>
      <c r="D260" s="14">
        <f>25.5093 * CHOOSE(CONTROL!$C$15, $E$9, 100%, $G$9) + CHOOSE(CONTROL!$C$38, 0.0354, 0)</f>
        <v>25.544699999999999</v>
      </c>
      <c r="E260" s="14">
        <f>25.5093 * CHOOSE(CONTROL!$C$15, $E$9, 100%, $G$9) + CHOOSE(CONTROL!$C$38, 0.0354, 0)</f>
        <v>25.544699999999999</v>
      </c>
      <c r="F260" s="45">
        <f>27.092 * CHOOSE(CONTROL!$C$15, $E$9, 100%, $G$9) + CHOOSE(CONTROL!$C$38, 0.0353, 0)</f>
        <v>27.127299999999998</v>
      </c>
      <c r="G260" s="14">
        <f>25.5155 * CHOOSE(CONTROL!$C$15, $E$9, 100%, $G$9) + CHOOSE(CONTROL!$C$38, 0.0354, 0)</f>
        <v>25.550899999999999</v>
      </c>
      <c r="H260" s="14">
        <f>25.5155 * CHOOSE(CONTROL!$C$15, $E$9, 100%, $G$9) + CHOOSE(CONTROL!$C$38, 0.0354, 0)</f>
        <v>25.550899999999999</v>
      </c>
      <c r="I260" s="14">
        <f>25.5171 * CHOOSE(CONTROL!$C$15, $E$9, 100%, $G$9) + CHOOSE(CONTROL!$C$38, 0.0354, 0)</f>
        <v>25.552499999999998</v>
      </c>
      <c r="J260" s="44">
        <f>183.5781</f>
        <v>183.57810000000001</v>
      </c>
    </row>
    <row r="261" spans="1:10" ht="15" x14ac:dyDescent="0.2">
      <c r="A261" s="13">
        <v>48853</v>
      </c>
      <c r="B261" s="14">
        <f>27.4535 * CHOOSE(CONTROL!$C$15, $E$9, 100%, $G$9) + CHOOSE(CONTROL!$C$38, 0.034, 0)</f>
        <v>27.487499999999997</v>
      </c>
      <c r="C261" s="14">
        <f>25.8787 * CHOOSE(CONTROL!$C$15, $E$9, 100%, $G$9) + CHOOSE(CONTROL!$C$38, 0.0342, 0)</f>
        <v>25.912899999999997</v>
      </c>
      <c r="D261" s="14">
        <f>25.8708 * CHOOSE(CONTROL!$C$15, $E$9, 100%, $G$9) + CHOOSE(CONTROL!$C$38, 0.0342, 0)</f>
        <v>25.904999999999998</v>
      </c>
      <c r="E261" s="14">
        <f>25.8708 * CHOOSE(CONTROL!$C$15, $E$9, 100%, $G$9) + CHOOSE(CONTROL!$C$38, 0.0342, 0)</f>
        <v>25.904999999999998</v>
      </c>
      <c r="F261" s="45">
        <f>27.4535 * CHOOSE(CONTROL!$C$15, $E$9, 100%, $G$9) + CHOOSE(CONTROL!$C$38, 0.034, 0)</f>
        <v>27.487499999999997</v>
      </c>
      <c r="G261" s="14">
        <f>25.8771 * CHOOSE(CONTROL!$C$15, $E$9, 100%, $G$9) + CHOOSE(CONTROL!$C$38, 0.0342, 0)</f>
        <v>25.911299999999997</v>
      </c>
      <c r="H261" s="14">
        <f>25.8771 * CHOOSE(CONTROL!$C$15, $E$9, 100%, $G$9) + CHOOSE(CONTROL!$C$38, 0.0342, 0)</f>
        <v>25.911299999999997</v>
      </c>
      <c r="I261" s="14">
        <f>25.8787 * CHOOSE(CONTROL!$C$15, $E$9, 100%, $G$9) + CHOOSE(CONTROL!$C$38, 0.0342, 0)</f>
        <v>25.912899999999997</v>
      </c>
      <c r="J261" s="44">
        <f>177.2297</f>
        <v>177.22970000000001</v>
      </c>
    </row>
    <row r="262" spans="1:10" ht="15" x14ac:dyDescent="0.2">
      <c r="A262" s="13">
        <v>48884</v>
      </c>
      <c r="B262" s="14">
        <f>27.7552 * CHOOSE(CONTROL!$C$15, $E$9, 100%, $G$9) + CHOOSE(CONTROL!$C$38, 0.034, 0)</f>
        <v>27.789199999999997</v>
      </c>
      <c r="C262" s="14">
        <f>26.1804 * CHOOSE(CONTROL!$C$15, $E$9, 100%, $G$9) + CHOOSE(CONTROL!$C$38, 0.0342, 0)</f>
        <v>26.214599999999997</v>
      </c>
      <c r="D262" s="14">
        <f>26.1725 * CHOOSE(CONTROL!$C$15, $E$9, 100%, $G$9) + CHOOSE(CONTROL!$C$38, 0.0342, 0)</f>
        <v>26.206699999999998</v>
      </c>
      <c r="E262" s="14">
        <f>26.1725 * CHOOSE(CONTROL!$C$15, $E$9, 100%, $G$9) + CHOOSE(CONTROL!$C$38, 0.0342, 0)</f>
        <v>26.206699999999998</v>
      </c>
      <c r="F262" s="45">
        <f>27.7552 * CHOOSE(CONTROL!$C$15, $E$9, 100%, $G$9) + CHOOSE(CONTROL!$C$38, 0.034, 0)</f>
        <v>27.789199999999997</v>
      </c>
      <c r="G262" s="14">
        <f>26.1788 * CHOOSE(CONTROL!$C$15, $E$9, 100%, $G$9) + CHOOSE(CONTROL!$C$38, 0.0342, 0)</f>
        <v>26.212999999999997</v>
      </c>
      <c r="H262" s="14">
        <f>26.1788 * CHOOSE(CONTROL!$C$15, $E$9, 100%, $G$9) + CHOOSE(CONTROL!$C$38, 0.0342, 0)</f>
        <v>26.212999999999997</v>
      </c>
      <c r="I262" s="14">
        <f>26.1804 * CHOOSE(CONTROL!$C$15, $E$9, 100%, $G$9) + CHOOSE(CONTROL!$C$38, 0.0342, 0)</f>
        <v>26.214599999999997</v>
      </c>
      <c r="J262" s="44">
        <f>175.9669</f>
        <v>175.96690000000001</v>
      </c>
    </row>
    <row r="263" spans="1:10" ht="15" x14ac:dyDescent="0.2">
      <c r="A263" s="13">
        <v>48914</v>
      </c>
      <c r="B263" s="14">
        <f>28.6849 * CHOOSE(CONTROL!$C$15, $E$9, 100%, $G$9) + CHOOSE(CONTROL!$C$38, 0.034, 0)</f>
        <v>28.718899999999998</v>
      </c>
      <c r="C263" s="14">
        <f>27.11 * CHOOSE(CONTROL!$C$15, $E$9, 100%, $G$9) + CHOOSE(CONTROL!$C$38, 0.0342, 0)</f>
        <v>27.144199999999998</v>
      </c>
      <c r="D263" s="14">
        <f>27.1022 * CHOOSE(CONTROL!$C$15, $E$9, 100%, $G$9) + CHOOSE(CONTROL!$C$38, 0.0342, 0)</f>
        <v>27.136399999999998</v>
      </c>
      <c r="E263" s="14">
        <f>27.1022 * CHOOSE(CONTROL!$C$15, $E$9, 100%, $G$9) + CHOOSE(CONTROL!$C$38, 0.0342, 0)</f>
        <v>27.136399999999998</v>
      </c>
      <c r="F263" s="45">
        <f>28.6849 * CHOOSE(CONTROL!$C$15, $E$9, 100%, $G$9) + CHOOSE(CONTROL!$C$38, 0.034, 0)</f>
        <v>28.718899999999998</v>
      </c>
      <c r="G263" s="14">
        <f>27.1085 * CHOOSE(CONTROL!$C$15, $E$9, 100%, $G$9) + CHOOSE(CONTROL!$C$38, 0.0342, 0)</f>
        <v>27.142699999999998</v>
      </c>
      <c r="H263" s="14">
        <f>27.1085 * CHOOSE(CONTROL!$C$15, $E$9, 100%, $G$9) + CHOOSE(CONTROL!$C$38, 0.0342, 0)</f>
        <v>27.142699999999998</v>
      </c>
      <c r="I263" s="14">
        <f>27.11 * CHOOSE(CONTROL!$C$15, $E$9, 100%, $G$9) + CHOOSE(CONTROL!$C$38, 0.0342, 0)</f>
        <v>27.144199999999998</v>
      </c>
      <c r="J263" s="44">
        <f>170.7451</f>
        <v>170.74510000000001</v>
      </c>
    </row>
    <row r="264" spans="1:10" ht="15" x14ac:dyDescent="0.2">
      <c r="A264" s="13">
        <v>48945</v>
      </c>
      <c r="B264" s="14">
        <f>29.8759 * CHOOSE(CONTROL!$C$15, $E$9, 100%, $G$9) + CHOOSE(CONTROL!$C$38, 0.034, 0)</f>
        <v>29.9099</v>
      </c>
      <c r="C264" s="14">
        <f>28.2772 * CHOOSE(CONTROL!$C$15, $E$9, 100%, $G$9) + CHOOSE(CONTROL!$C$38, 0.0342, 0)</f>
        <v>28.311399999999999</v>
      </c>
      <c r="D264" s="14">
        <f>28.2694 * CHOOSE(CONTROL!$C$15, $E$9, 100%, $G$9) + CHOOSE(CONTROL!$C$38, 0.0342, 0)</f>
        <v>28.303599999999999</v>
      </c>
      <c r="E264" s="14">
        <f>28.2694 * CHOOSE(CONTROL!$C$15, $E$9, 100%, $G$9) + CHOOSE(CONTROL!$C$38, 0.0342, 0)</f>
        <v>28.303599999999999</v>
      </c>
      <c r="F264" s="45">
        <f>29.8759 * CHOOSE(CONTROL!$C$15, $E$9, 100%, $G$9) + CHOOSE(CONTROL!$C$38, 0.034, 0)</f>
        <v>29.9099</v>
      </c>
      <c r="G264" s="14">
        <f>28.2756 * CHOOSE(CONTROL!$C$15, $E$9, 100%, $G$9) + CHOOSE(CONTROL!$C$38, 0.0342, 0)</f>
        <v>28.309799999999999</v>
      </c>
      <c r="H264" s="14">
        <f>28.2756 * CHOOSE(CONTROL!$C$15, $E$9, 100%, $G$9) + CHOOSE(CONTROL!$C$38, 0.0342, 0)</f>
        <v>28.309799999999999</v>
      </c>
      <c r="I264" s="14">
        <f>28.2772 * CHOOSE(CONTROL!$C$15, $E$9, 100%, $G$9) + CHOOSE(CONTROL!$C$38, 0.0342, 0)</f>
        <v>28.311399999999999</v>
      </c>
      <c r="J264" s="44">
        <f>170.6218</f>
        <v>170.62180000000001</v>
      </c>
    </row>
    <row r="265" spans="1:10" ht="15" x14ac:dyDescent="0.2">
      <c r="A265" s="13">
        <v>48976</v>
      </c>
      <c r="B265" s="14">
        <f>30.2202 * CHOOSE(CONTROL!$C$15, $E$9, 100%, $G$9) + CHOOSE(CONTROL!$C$38, 0.034, 0)</f>
        <v>30.254199999999997</v>
      </c>
      <c r="C265" s="14">
        <f>28.6215 * CHOOSE(CONTROL!$C$15, $E$9, 100%, $G$9) + CHOOSE(CONTROL!$C$38, 0.0342, 0)</f>
        <v>28.6557</v>
      </c>
      <c r="D265" s="14">
        <f>28.6137 * CHOOSE(CONTROL!$C$15, $E$9, 100%, $G$9) + CHOOSE(CONTROL!$C$38, 0.0342, 0)</f>
        <v>28.6479</v>
      </c>
      <c r="E265" s="14">
        <f>28.6137 * CHOOSE(CONTROL!$C$15, $E$9, 100%, $G$9) + CHOOSE(CONTROL!$C$38, 0.0342, 0)</f>
        <v>28.6479</v>
      </c>
      <c r="F265" s="45">
        <f>30.2202 * CHOOSE(CONTROL!$C$15, $E$9, 100%, $G$9) + CHOOSE(CONTROL!$C$38, 0.034, 0)</f>
        <v>30.254199999999997</v>
      </c>
      <c r="G265" s="14">
        <f>28.6199 * CHOOSE(CONTROL!$C$15, $E$9, 100%, $G$9) + CHOOSE(CONTROL!$C$38, 0.0342, 0)</f>
        <v>28.6541</v>
      </c>
      <c r="H265" s="14">
        <f>28.6199 * CHOOSE(CONTROL!$C$15, $E$9, 100%, $G$9) + CHOOSE(CONTROL!$C$38, 0.0342, 0)</f>
        <v>28.6541</v>
      </c>
      <c r="I265" s="14">
        <f>28.6215 * CHOOSE(CONTROL!$C$15, $E$9, 100%, $G$9) + CHOOSE(CONTROL!$C$38, 0.0342, 0)</f>
        <v>28.6557</v>
      </c>
      <c r="J265" s="44">
        <f>170.1476</f>
        <v>170.14760000000001</v>
      </c>
    </row>
    <row r="266" spans="1:10" ht="15" x14ac:dyDescent="0.2">
      <c r="A266" s="13">
        <v>49004</v>
      </c>
      <c r="B266" s="14">
        <f>29.4232 * CHOOSE(CONTROL!$C$15, $E$9, 100%, $G$9) + CHOOSE(CONTROL!$C$38, 0.034, 0)</f>
        <v>29.4572</v>
      </c>
      <c r="C266" s="14">
        <f>27.8245 * CHOOSE(CONTROL!$C$15, $E$9, 100%, $G$9) + CHOOSE(CONTROL!$C$38, 0.0342, 0)</f>
        <v>27.858699999999999</v>
      </c>
      <c r="D266" s="14">
        <f>27.8167 * CHOOSE(CONTROL!$C$15, $E$9, 100%, $G$9) + CHOOSE(CONTROL!$C$38, 0.0342, 0)</f>
        <v>27.850899999999999</v>
      </c>
      <c r="E266" s="14">
        <f>27.8167 * CHOOSE(CONTROL!$C$15, $E$9, 100%, $G$9) + CHOOSE(CONTROL!$C$38, 0.0342, 0)</f>
        <v>27.850899999999999</v>
      </c>
      <c r="F266" s="45">
        <f>29.4232 * CHOOSE(CONTROL!$C$15, $E$9, 100%, $G$9) + CHOOSE(CONTROL!$C$38, 0.034, 0)</f>
        <v>29.4572</v>
      </c>
      <c r="G266" s="14">
        <f>27.8229 * CHOOSE(CONTROL!$C$15, $E$9, 100%, $G$9) + CHOOSE(CONTROL!$C$38, 0.0342, 0)</f>
        <v>27.857099999999999</v>
      </c>
      <c r="H266" s="14">
        <f>27.8229 * CHOOSE(CONTROL!$C$15, $E$9, 100%, $G$9) + CHOOSE(CONTROL!$C$38, 0.0342, 0)</f>
        <v>27.857099999999999</v>
      </c>
      <c r="I266" s="14">
        <f>27.8245 * CHOOSE(CONTROL!$C$15, $E$9, 100%, $G$9) + CHOOSE(CONTROL!$C$38, 0.0342, 0)</f>
        <v>27.858699999999999</v>
      </c>
      <c r="J266" s="44">
        <f>179.1153</f>
        <v>179.11529999999999</v>
      </c>
    </row>
    <row r="267" spans="1:10" ht="15" x14ac:dyDescent="0.2">
      <c r="A267" s="13">
        <v>49035</v>
      </c>
      <c r="B267" s="14">
        <f>28.6509 * CHOOSE(CONTROL!$C$15, $E$9, 100%, $G$9) + CHOOSE(CONTROL!$C$38, 0.034, 0)</f>
        <v>28.684899999999999</v>
      </c>
      <c r="C267" s="14">
        <f>27.0522 * CHOOSE(CONTROL!$C$15, $E$9, 100%, $G$9) + CHOOSE(CONTROL!$C$38, 0.0342, 0)</f>
        <v>27.086399999999998</v>
      </c>
      <c r="D267" s="14">
        <f>27.0443 * CHOOSE(CONTROL!$C$15, $E$9, 100%, $G$9) + CHOOSE(CONTROL!$C$38, 0.0342, 0)</f>
        <v>27.078499999999998</v>
      </c>
      <c r="E267" s="14">
        <f>27.0443 * CHOOSE(CONTROL!$C$15, $E$9, 100%, $G$9) + CHOOSE(CONTROL!$C$38, 0.0342, 0)</f>
        <v>27.078499999999998</v>
      </c>
      <c r="F267" s="45">
        <f>28.6509 * CHOOSE(CONTROL!$C$15, $E$9, 100%, $G$9) + CHOOSE(CONTROL!$C$38, 0.034, 0)</f>
        <v>28.684899999999999</v>
      </c>
      <c r="G267" s="14">
        <f>27.0506 * CHOOSE(CONTROL!$C$15, $E$9, 100%, $G$9) + CHOOSE(CONTROL!$C$38, 0.0342, 0)</f>
        <v>27.084799999999998</v>
      </c>
      <c r="H267" s="14">
        <f>27.0506 * CHOOSE(CONTROL!$C$15, $E$9, 100%, $G$9) + CHOOSE(CONTROL!$C$38, 0.0342, 0)</f>
        <v>27.084799999999998</v>
      </c>
      <c r="I267" s="14">
        <f>27.0522 * CHOOSE(CONTROL!$C$15, $E$9, 100%, $G$9) + CHOOSE(CONTROL!$C$38, 0.0342, 0)</f>
        <v>27.086399999999998</v>
      </c>
      <c r="J267" s="44">
        <f>190.7444</f>
        <v>190.74440000000001</v>
      </c>
    </row>
    <row r="268" spans="1:10" ht="15" x14ac:dyDescent="0.2">
      <c r="A268" s="13">
        <v>49065</v>
      </c>
      <c r="B268" s="14">
        <f>27.8459 * CHOOSE(CONTROL!$C$15, $E$9, 100%, $G$9) + CHOOSE(CONTROL!$C$38, 0.0353, 0)</f>
        <v>27.8812</v>
      </c>
      <c r="C268" s="14">
        <f>26.2472 * CHOOSE(CONTROL!$C$15, $E$9, 100%, $G$9) + CHOOSE(CONTROL!$C$38, 0.0354, 0)</f>
        <v>26.282599999999999</v>
      </c>
      <c r="D268" s="14">
        <f>26.2394 * CHOOSE(CONTROL!$C$15, $E$9, 100%, $G$9) + CHOOSE(CONTROL!$C$38, 0.0354, 0)</f>
        <v>26.274799999999999</v>
      </c>
      <c r="E268" s="14">
        <f>26.2394 * CHOOSE(CONTROL!$C$15, $E$9, 100%, $G$9) + CHOOSE(CONTROL!$C$38, 0.0354, 0)</f>
        <v>26.274799999999999</v>
      </c>
      <c r="F268" s="45">
        <f>27.8459 * CHOOSE(CONTROL!$C$15, $E$9, 100%, $G$9) + CHOOSE(CONTROL!$C$38, 0.0353, 0)</f>
        <v>27.8812</v>
      </c>
      <c r="G268" s="14">
        <f>26.2456 * CHOOSE(CONTROL!$C$15, $E$9, 100%, $G$9) + CHOOSE(CONTROL!$C$38, 0.0354, 0)</f>
        <v>26.280999999999999</v>
      </c>
      <c r="H268" s="14">
        <f>26.2456 * CHOOSE(CONTROL!$C$15, $E$9, 100%, $G$9) + CHOOSE(CONTROL!$C$38, 0.0354, 0)</f>
        <v>26.280999999999999</v>
      </c>
      <c r="I268" s="14">
        <f>26.2472 * CHOOSE(CONTROL!$C$15, $E$9, 100%, $G$9) + CHOOSE(CONTROL!$C$38, 0.0354, 0)</f>
        <v>26.282599999999999</v>
      </c>
      <c r="J268" s="44">
        <f>197.1454</f>
        <v>197.1454</v>
      </c>
    </row>
    <row r="269" spans="1:10" ht="15" x14ac:dyDescent="0.2">
      <c r="A269" s="13">
        <v>49096</v>
      </c>
      <c r="B269" s="14">
        <f>27.2816 * CHOOSE(CONTROL!$C$15, $E$9, 100%, $G$9) + CHOOSE(CONTROL!$C$38, 0.0353, 0)</f>
        <v>27.3169</v>
      </c>
      <c r="C269" s="14">
        <f>25.6829 * CHOOSE(CONTROL!$C$15, $E$9, 100%, $G$9) + CHOOSE(CONTROL!$C$38, 0.0354, 0)</f>
        <v>25.718299999999999</v>
      </c>
      <c r="D269" s="14">
        <f>25.675 * CHOOSE(CONTROL!$C$15, $E$9, 100%, $G$9) + CHOOSE(CONTROL!$C$38, 0.0354, 0)</f>
        <v>25.7104</v>
      </c>
      <c r="E269" s="14">
        <f>25.675 * CHOOSE(CONTROL!$C$15, $E$9, 100%, $G$9) + CHOOSE(CONTROL!$C$38, 0.0354, 0)</f>
        <v>25.7104</v>
      </c>
      <c r="F269" s="45">
        <f>27.2816 * CHOOSE(CONTROL!$C$15, $E$9, 100%, $G$9) + CHOOSE(CONTROL!$C$38, 0.0353, 0)</f>
        <v>27.3169</v>
      </c>
      <c r="G269" s="14">
        <f>25.6813 * CHOOSE(CONTROL!$C$15, $E$9, 100%, $G$9) + CHOOSE(CONTROL!$C$38, 0.0354, 0)</f>
        <v>25.716699999999999</v>
      </c>
      <c r="H269" s="14">
        <f>25.6813 * CHOOSE(CONTROL!$C$15, $E$9, 100%, $G$9) + CHOOSE(CONTROL!$C$38, 0.0354, 0)</f>
        <v>25.716699999999999</v>
      </c>
      <c r="I269" s="14">
        <f>25.6829 * CHOOSE(CONTROL!$C$15, $E$9, 100%, $G$9) + CHOOSE(CONTROL!$C$38, 0.0354, 0)</f>
        <v>25.718299999999999</v>
      </c>
      <c r="J269" s="44">
        <f>199.986</f>
        <v>199.98599999999999</v>
      </c>
    </row>
    <row r="270" spans="1:10" ht="15" x14ac:dyDescent="0.2">
      <c r="A270" s="13">
        <v>49126</v>
      </c>
      <c r="B270" s="14">
        <f>26.9595 * CHOOSE(CONTROL!$C$15, $E$9, 100%, $G$9) + CHOOSE(CONTROL!$C$38, 0.0353, 0)</f>
        <v>26.994799999999998</v>
      </c>
      <c r="C270" s="14">
        <f>25.3608 * CHOOSE(CONTROL!$C$15, $E$9, 100%, $G$9) + CHOOSE(CONTROL!$C$38, 0.0354, 0)</f>
        <v>25.3962</v>
      </c>
      <c r="D270" s="14">
        <f>25.353 * CHOOSE(CONTROL!$C$15, $E$9, 100%, $G$9) + CHOOSE(CONTROL!$C$38, 0.0354, 0)</f>
        <v>25.388400000000001</v>
      </c>
      <c r="E270" s="14">
        <f>25.353 * CHOOSE(CONTROL!$C$15, $E$9, 100%, $G$9) + CHOOSE(CONTROL!$C$38, 0.0354, 0)</f>
        <v>25.388400000000001</v>
      </c>
      <c r="F270" s="45">
        <f>26.9595 * CHOOSE(CONTROL!$C$15, $E$9, 100%, $G$9) + CHOOSE(CONTROL!$C$38, 0.0353, 0)</f>
        <v>26.994799999999998</v>
      </c>
      <c r="G270" s="14">
        <f>25.3592 * CHOOSE(CONTROL!$C$15, $E$9, 100%, $G$9) + CHOOSE(CONTROL!$C$38, 0.0354, 0)</f>
        <v>25.394600000000001</v>
      </c>
      <c r="H270" s="14">
        <f>25.3592 * CHOOSE(CONTROL!$C$15, $E$9, 100%, $G$9) + CHOOSE(CONTROL!$C$38, 0.0354, 0)</f>
        <v>25.394600000000001</v>
      </c>
      <c r="I270" s="14">
        <f>25.3608 * CHOOSE(CONTROL!$C$15, $E$9, 100%, $G$9) + CHOOSE(CONTROL!$C$38, 0.0354, 0)</f>
        <v>25.3962</v>
      </c>
      <c r="J270" s="44">
        <f>199.0507</f>
        <v>199.05070000000001</v>
      </c>
    </row>
    <row r="271" spans="1:10" ht="15" x14ac:dyDescent="0.2">
      <c r="A271" s="13">
        <v>49157</v>
      </c>
      <c r="B271" s="14">
        <f>27.1184 * CHOOSE(CONTROL!$C$15, $E$9, 100%, $G$9) + CHOOSE(CONTROL!$C$38, 0.0353, 0)</f>
        <v>27.153700000000001</v>
      </c>
      <c r="C271" s="14">
        <f>25.5198 * CHOOSE(CONTROL!$C$15, $E$9, 100%, $G$9) + CHOOSE(CONTROL!$C$38, 0.0354, 0)</f>
        <v>25.555199999999999</v>
      </c>
      <c r="D271" s="14">
        <f>25.5119 * CHOOSE(CONTROL!$C$15, $E$9, 100%, $G$9) + CHOOSE(CONTROL!$C$38, 0.0354, 0)</f>
        <v>25.5473</v>
      </c>
      <c r="E271" s="14">
        <f>25.5119 * CHOOSE(CONTROL!$C$15, $E$9, 100%, $G$9) + CHOOSE(CONTROL!$C$38, 0.0354, 0)</f>
        <v>25.5473</v>
      </c>
      <c r="F271" s="45">
        <f>27.1184 * CHOOSE(CONTROL!$C$15, $E$9, 100%, $G$9) + CHOOSE(CONTROL!$C$38, 0.0353, 0)</f>
        <v>27.153700000000001</v>
      </c>
      <c r="G271" s="14">
        <f>25.5182 * CHOOSE(CONTROL!$C$15, $E$9, 100%, $G$9) + CHOOSE(CONTROL!$C$38, 0.0354, 0)</f>
        <v>25.553599999999999</v>
      </c>
      <c r="H271" s="14">
        <f>25.5182 * CHOOSE(CONTROL!$C$15, $E$9, 100%, $G$9) + CHOOSE(CONTROL!$C$38, 0.0354, 0)</f>
        <v>25.553599999999999</v>
      </c>
      <c r="I271" s="14">
        <f>25.5198 * CHOOSE(CONTROL!$C$15, $E$9, 100%, $G$9) + CHOOSE(CONTROL!$C$38, 0.0354, 0)</f>
        <v>25.555199999999999</v>
      </c>
      <c r="J271" s="44">
        <f>194.4169</f>
        <v>194.4169</v>
      </c>
    </row>
    <row r="272" spans="1:10" ht="15" x14ac:dyDescent="0.2">
      <c r="A272" s="13">
        <v>49188</v>
      </c>
      <c r="B272" s="14">
        <f>27.5502 * CHOOSE(CONTROL!$C$15, $E$9, 100%, $G$9) + CHOOSE(CONTROL!$C$38, 0.0353, 0)</f>
        <v>27.5855</v>
      </c>
      <c r="C272" s="14">
        <f>25.9515 * CHOOSE(CONTROL!$C$15, $E$9, 100%, $G$9) + CHOOSE(CONTROL!$C$38, 0.0354, 0)</f>
        <v>25.986899999999999</v>
      </c>
      <c r="D272" s="14">
        <f>25.9436 * CHOOSE(CONTROL!$C$15, $E$9, 100%, $G$9) + CHOOSE(CONTROL!$C$38, 0.0354, 0)</f>
        <v>25.978999999999999</v>
      </c>
      <c r="E272" s="14">
        <f>25.9436 * CHOOSE(CONTROL!$C$15, $E$9, 100%, $G$9) + CHOOSE(CONTROL!$C$38, 0.0354, 0)</f>
        <v>25.978999999999999</v>
      </c>
      <c r="F272" s="45">
        <f>27.5502 * CHOOSE(CONTROL!$C$15, $E$9, 100%, $G$9) + CHOOSE(CONTROL!$C$38, 0.0353, 0)</f>
        <v>27.5855</v>
      </c>
      <c r="G272" s="14">
        <f>25.9499 * CHOOSE(CONTROL!$C$15, $E$9, 100%, $G$9) + CHOOSE(CONTROL!$C$38, 0.0354, 0)</f>
        <v>25.985299999999999</v>
      </c>
      <c r="H272" s="14">
        <f>25.9499 * CHOOSE(CONTROL!$C$15, $E$9, 100%, $G$9) + CHOOSE(CONTROL!$C$38, 0.0354, 0)</f>
        <v>25.985299999999999</v>
      </c>
      <c r="I272" s="14">
        <f>25.9515 * CHOOSE(CONTROL!$C$15, $E$9, 100%, $G$9) + CHOOSE(CONTROL!$C$38, 0.0354, 0)</f>
        <v>25.986899999999999</v>
      </c>
      <c r="J272" s="44">
        <f>187.9548</f>
        <v>187.95480000000001</v>
      </c>
    </row>
    <row r="273" spans="1:10" ht="15" x14ac:dyDescent="0.2">
      <c r="A273" s="13">
        <v>49218</v>
      </c>
      <c r="B273" s="14">
        <f>27.9117 * CHOOSE(CONTROL!$C$15, $E$9, 100%, $G$9) + CHOOSE(CONTROL!$C$38, 0.034, 0)</f>
        <v>27.945699999999999</v>
      </c>
      <c r="C273" s="14">
        <f>26.313 * CHOOSE(CONTROL!$C$15, $E$9, 100%, $G$9) + CHOOSE(CONTROL!$C$38, 0.0342, 0)</f>
        <v>26.347199999999997</v>
      </c>
      <c r="D273" s="14">
        <f>26.3052 * CHOOSE(CONTROL!$C$15, $E$9, 100%, $G$9) + CHOOSE(CONTROL!$C$38, 0.0342, 0)</f>
        <v>26.339399999999998</v>
      </c>
      <c r="E273" s="14">
        <f>26.3052 * CHOOSE(CONTROL!$C$15, $E$9, 100%, $G$9) + CHOOSE(CONTROL!$C$38, 0.0342, 0)</f>
        <v>26.339399999999998</v>
      </c>
      <c r="F273" s="45">
        <f>27.9117 * CHOOSE(CONTROL!$C$15, $E$9, 100%, $G$9) + CHOOSE(CONTROL!$C$38, 0.034, 0)</f>
        <v>27.945699999999999</v>
      </c>
      <c r="G273" s="14">
        <f>26.3115 * CHOOSE(CONTROL!$C$15, $E$9, 100%, $G$9) + CHOOSE(CONTROL!$C$38, 0.0342, 0)</f>
        <v>26.345699999999997</v>
      </c>
      <c r="H273" s="14">
        <f>26.3115 * CHOOSE(CONTROL!$C$15, $E$9, 100%, $G$9) + CHOOSE(CONTROL!$C$38, 0.0342, 0)</f>
        <v>26.345699999999997</v>
      </c>
      <c r="I273" s="14">
        <f>26.313 * CHOOSE(CONTROL!$C$15, $E$9, 100%, $G$9) + CHOOSE(CONTROL!$C$38, 0.0342, 0)</f>
        <v>26.347199999999997</v>
      </c>
      <c r="J273" s="44">
        <f>181.4552</f>
        <v>181.45519999999999</v>
      </c>
    </row>
    <row r="274" spans="1:10" ht="15" x14ac:dyDescent="0.2">
      <c r="A274" s="13">
        <v>49249</v>
      </c>
      <c r="B274" s="14">
        <f>28.2134 * CHOOSE(CONTROL!$C$15, $E$9, 100%, $G$9) + CHOOSE(CONTROL!$C$38, 0.034, 0)</f>
        <v>28.247399999999999</v>
      </c>
      <c r="C274" s="14">
        <f>26.6147 * CHOOSE(CONTROL!$C$15, $E$9, 100%, $G$9) + CHOOSE(CONTROL!$C$38, 0.0342, 0)</f>
        <v>26.648899999999998</v>
      </c>
      <c r="D274" s="14">
        <f>26.6069 * CHOOSE(CONTROL!$C$15, $E$9, 100%, $G$9) + CHOOSE(CONTROL!$C$38, 0.0342, 0)</f>
        <v>26.641099999999998</v>
      </c>
      <c r="E274" s="14">
        <f>26.6069 * CHOOSE(CONTROL!$C$15, $E$9, 100%, $G$9) + CHOOSE(CONTROL!$C$38, 0.0342, 0)</f>
        <v>26.641099999999998</v>
      </c>
      <c r="F274" s="45">
        <f>28.2134 * CHOOSE(CONTROL!$C$15, $E$9, 100%, $G$9) + CHOOSE(CONTROL!$C$38, 0.034, 0)</f>
        <v>28.247399999999999</v>
      </c>
      <c r="G274" s="14">
        <f>26.6132 * CHOOSE(CONTROL!$C$15, $E$9, 100%, $G$9) + CHOOSE(CONTROL!$C$38, 0.0342, 0)</f>
        <v>26.647399999999998</v>
      </c>
      <c r="H274" s="14">
        <f>26.6132 * CHOOSE(CONTROL!$C$15, $E$9, 100%, $G$9) + CHOOSE(CONTROL!$C$38, 0.0342, 0)</f>
        <v>26.647399999999998</v>
      </c>
      <c r="I274" s="14">
        <f>26.6147 * CHOOSE(CONTROL!$C$15, $E$9, 100%, $G$9) + CHOOSE(CONTROL!$C$38, 0.0342, 0)</f>
        <v>26.648899999999998</v>
      </c>
      <c r="J274" s="44">
        <f>180.1622</f>
        <v>180.16220000000001</v>
      </c>
    </row>
    <row r="275" spans="1:10" ht="15" x14ac:dyDescent="0.2">
      <c r="A275" s="13">
        <v>49279</v>
      </c>
      <c r="B275" s="14">
        <f>29.1431 * CHOOSE(CONTROL!$C$15, $E$9, 100%, $G$9) + CHOOSE(CONTROL!$C$38, 0.034, 0)</f>
        <v>29.177099999999999</v>
      </c>
      <c r="C275" s="14">
        <f>27.5444 * CHOOSE(CONTROL!$C$15, $E$9, 100%, $G$9) + CHOOSE(CONTROL!$C$38, 0.0342, 0)</f>
        <v>27.578599999999998</v>
      </c>
      <c r="D275" s="14">
        <f>27.5366 * CHOOSE(CONTROL!$C$15, $E$9, 100%, $G$9) + CHOOSE(CONTROL!$C$38, 0.0342, 0)</f>
        <v>27.570799999999998</v>
      </c>
      <c r="E275" s="14">
        <f>27.5366 * CHOOSE(CONTROL!$C$15, $E$9, 100%, $G$9) + CHOOSE(CONTROL!$C$38, 0.0342, 0)</f>
        <v>27.570799999999998</v>
      </c>
      <c r="F275" s="45">
        <f>29.1431 * CHOOSE(CONTROL!$C$15, $E$9, 100%, $G$9) + CHOOSE(CONTROL!$C$38, 0.034, 0)</f>
        <v>29.177099999999999</v>
      </c>
      <c r="G275" s="14">
        <f>27.5428 * CHOOSE(CONTROL!$C$15, $E$9, 100%, $G$9) + CHOOSE(CONTROL!$C$38, 0.0342, 0)</f>
        <v>27.576999999999998</v>
      </c>
      <c r="H275" s="14">
        <f>27.5428 * CHOOSE(CONTROL!$C$15, $E$9, 100%, $G$9) + CHOOSE(CONTROL!$C$38, 0.0342, 0)</f>
        <v>27.576999999999998</v>
      </c>
      <c r="I275" s="14">
        <f>27.5444 * CHOOSE(CONTROL!$C$15, $E$9, 100%, $G$9) + CHOOSE(CONTROL!$C$38, 0.0342, 0)</f>
        <v>27.578599999999998</v>
      </c>
      <c r="J275" s="44">
        <f>174.8159</f>
        <v>174.8159</v>
      </c>
    </row>
    <row r="276" spans="1:10" ht="15" x14ac:dyDescent="0.2">
      <c r="A276" s="13">
        <v>49310</v>
      </c>
      <c r="B276" s="14">
        <f>30.3418 * CHOOSE(CONTROL!$C$15, $E$9, 100%, $G$9) + CHOOSE(CONTROL!$C$38, 0.034, 0)</f>
        <v>30.375799999999998</v>
      </c>
      <c r="C276" s="14">
        <f>28.7189 * CHOOSE(CONTROL!$C$15, $E$9, 100%, $G$9) + CHOOSE(CONTROL!$C$38, 0.0342, 0)</f>
        <v>28.7531</v>
      </c>
      <c r="D276" s="14">
        <f>28.711 * CHOOSE(CONTROL!$C$15, $E$9, 100%, $G$9) + CHOOSE(CONTROL!$C$38, 0.0342, 0)</f>
        <v>28.745199999999997</v>
      </c>
      <c r="E276" s="14">
        <f>28.711 * CHOOSE(CONTROL!$C$15, $E$9, 100%, $G$9) + CHOOSE(CONTROL!$C$38, 0.0342, 0)</f>
        <v>28.745199999999997</v>
      </c>
      <c r="F276" s="45">
        <f>30.3418 * CHOOSE(CONTROL!$C$15, $E$9, 100%, $G$9) + CHOOSE(CONTROL!$C$38, 0.034, 0)</f>
        <v>30.375799999999998</v>
      </c>
      <c r="G276" s="14">
        <f>28.7173 * CHOOSE(CONTROL!$C$15, $E$9, 100%, $G$9) + CHOOSE(CONTROL!$C$38, 0.0342, 0)</f>
        <v>28.7515</v>
      </c>
      <c r="H276" s="14">
        <f>28.7173 * CHOOSE(CONTROL!$C$15, $E$9, 100%, $G$9) + CHOOSE(CONTROL!$C$38, 0.0342, 0)</f>
        <v>28.7515</v>
      </c>
      <c r="I276" s="14">
        <f>28.7189 * CHOOSE(CONTROL!$C$15, $E$9, 100%, $G$9) + CHOOSE(CONTROL!$C$38, 0.0342, 0)</f>
        <v>28.7531</v>
      </c>
      <c r="J276" s="44">
        <f>174.6897</f>
        <v>174.68969999999999</v>
      </c>
    </row>
    <row r="277" spans="1:10" ht="15" x14ac:dyDescent="0.2">
      <c r="A277" s="13">
        <v>49341</v>
      </c>
      <c r="B277" s="14">
        <f>30.6861 * CHOOSE(CONTROL!$C$15, $E$9, 100%, $G$9) + CHOOSE(CONTROL!$C$38, 0.034, 0)</f>
        <v>30.720099999999999</v>
      </c>
      <c r="C277" s="14">
        <f>29.0632 * CHOOSE(CONTROL!$C$15, $E$9, 100%, $G$9) + CHOOSE(CONTROL!$C$38, 0.0342, 0)</f>
        <v>29.097399999999997</v>
      </c>
      <c r="D277" s="14">
        <f>29.0554 * CHOOSE(CONTROL!$C$15, $E$9, 100%, $G$9) + CHOOSE(CONTROL!$C$38, 0.0342, 0)</f>
        <v>29.089599999999997</v>
      </c>
      <c r="E277" s="14">
        <f>29.0554 * CHOOSE(CONTROL!$C$15, $E$9, 100%, $G$9) + CHOOSE(CONTROL!$C$38, 0.0342, 0)</f>
        <v>29.089599999999997</v>
      </c>
      <c r="F277" s="45">
        <f>30.6861 * CHOOSE(CONTROL!$C$15, $E$9, 100%, $G$9) + CHOOSE(CONTROL!$C$38, 0.034, 0)</f>
        <v>30.720099999999999</v>
      </c>
      <c r="G277" s="14">
        <f>29.0616 * CHOOSE(CONTROL!$C$15, $E$9, 100%, $G$9) + CHOOSE(CONTROL!$C$38, 0.0342, 0)</f>
        <v>29.095799999999997</v>
      </c>
      <c r="H277" s="14">
        <f>29.0616 * CHOOSE(CONTROL!$C$15, $E$9, 100%, $G$9) + CHOOSE(CONTROL!$C$38, 0.0342, 0)</f>
        <v>29.095799999999997</v>
      </c>
      <c r="I277" s="14">
        <f>29.0632 * CHOOSE(CONTROL!$C$15, $E$9, 100%, $G$9) + CHOOSE(CONTROL!$C$38, 0.0342, 0)</f>
        <v>29.097399999999997</v>
      </c>
      <c r="J277" s="44">
        <f>174.2041</f>
        <v>174.20410000000001</v>
      </c>
    </row>
    <row r="278" spans="1:10" ht="15" x14ac:dyDescent="0.2">
      <c r="A278" s="13">
        <v>49369</v>
      </c>
      <c r="B278" s="14">
        <f>29.8891 * CHOOSE(CONTROL!$C$15, $E$9, 100%, $G$9) + CHOOSE(CONTROL!$C$38, 0.034, 0)</f>
        <v>29.923099999999998</v>
      </c>
      <c r="C278" s="14">
        <f>28.2661 * CHOOSE(CONTROL!$C$15, $E$9, 100%, $G$9) + CHOOSE(CONTROL!$C$38, 0.0342, 0)</f>
        <v>28.3003</v>
      </c>
      <c r="D278" s="14">
        <f>28.2583 * CHOOSE(CONTROL!$C$15, $E$9, 100%, $G$9) + CHOOSE(CONTROL!$C$38, 0.0342, 0)</f>
        <v>28.292499999999997</v>
      </c>
      <c r="E278" s="14">
        <f>28.2583 * CHOOSE(CONTROL!$C$15, $E$9, 100%, $G$9) + CHOOSE(CONTROL!$C$38, 0.0342, 0)</f>
        <v>28.292499999999997</v>
      </c>
      <c r="F278" s="45">
        <f>29.8891 * CHOOSE(CONTROL!$C$15, $E$9, 100%, $G$9) + CHOOSE(CONTROL!$C$38, 0.034, 0)</f>
        <v>29.923099999999998</v>
      </c>
      <c r="G278" s="14">
        <f>28.2646 * CHOOSE(CONTROL!$C$15, $E$9, 100%, $G$9) + CHOOSE(CONTROL!$C$38, 0.0342, 0)</f>
        <v>28.2988</v>
      </c>
      <c r="H278" s="14">
        <f>28.2646 * CHOOSE(CONTROL!$C$15, $E$9, 100%, $G$9) + CHOOSE(CONTROL!$C$38, 0.0342, 0)</f>
        <v>28.2988</v>
      </c>
      <c r="I278" s="14">
        <f>28.2661 * CHOOSE(CONTROL!$C$15, $E$9, 100%, $G$9) + CHOOSE(CONTROL!$C$38, 0.0342, 0)</f>
        <v>28.3003</v>
      </c>
      <c r="J278" s="44">
        <f>183.3857</f>
        <v>183.38570000000001</v>
      </c>
    </row>
    <row r="279" spans="1:10" ht="15" x14ac:dyDescent="0.2">
      <c r="A279" s="13">
        <v>49400</v>
      </c>
      <c r="B279" s="14">
        <f>29.1167 * CHOOSE(CONTROL!$C$15, $E$9, 100%, $G$9) + CHOOSE(CONTROL!$C$38, 0.034, 0)</f>
        <v>29.150700000000001</v>
      </c>
      <c r="C279" s="14">
        <f>27.4938 * CHOOSE(CONTROL!$C$15, $E$9, 100%, $G$9) + CHOOSE(CONTROL!$C$38, 0.0342, 0)</f>
        <v>27.527999999999999</v>
      </c>
      <c r="D279" s="14">
        <f>27.486 * CHOOSE(CONTROL!$C$15, $E$9, 100%, $G$9) + CHOOSE(CONTROL!$C$38, 0.0342, 0)</f>
        <v>27.520199999999999</v>
      </c>
      <c r="E279" s="14">
        <f>27.486 * CHOOSE(CONTROL!$C$15, $E$9, 100%, $G$9) + CHOOSE(CONTROL!$C$38, 0.0342, 0)</f>
        <v>27.520199999999999</v>
      </c>
      <c r="F279" s="45">
        <f>29.1167 * CHOOSE(CONTROL!$C$15, $E$9, 100%, $G$9) + CHOOSE(CONTROL!$C$38, 0.034, 0)</f>
        <v>29.150700000000001</v>
      </c>
      <c r="G279" s="14">
        <f>27.4923 * CHOOSE(CONTROL!$C$15, $E$9, 100%, $G$9) + CHOOSE(CONTROL!$C$38, 0.0342, 0)</f>
        <v>27.526499999999999</v>
      </c>
      <c r="H279" s="14">
        <f>27.4923 * CHOOSE(CONTROL!$C$15, $E$9, 100%, $G$9) + CHOOSE(CONTROL!$C$38, 0.0342, 0)</f>
        <v>27.526499999999999</v>
      </c>
      <c r="I279" s="14">
        <f>27.4938 * CHOOSE(CONTROL!$C$15, $E$9, 100%, $G$9) + CHOOSE(CONTROL!$C$38, 0.0342, 0)</f>
        <v>27.527999999999999</v>
      </c>
      <c r="J279" s="44">
        <f>195.292</f>
        <v>195.292</v>
      </c>
    </row>
    <row r="280" spans="1:10" ht="15" x14ac:dyDescent="0.2">
      <c r="A280" s="13">
        <v>49430</v>
      </c>
      <c r="B280" s="14">
        <f>28.3118 * CHOOSE(CONTROL!$C$15, $E$9, 100%, $G$9) + CHOOSE(CONTROL!$C$38, 0.0353, 0)</f>
        <v>28.347100000000001</v>
      </c>
      <c r="C280" s="14">
        <f>26.6889 * CHOOSE(CONTROL!$C$15, $E$9, 100%, $G$9) + CHOOSE(CONTROL!$C$38, 0.0354, 0)</f>
        <v>26.724299999999999</v>
      </c>
      <c r="D280" s="14">
        <f>26.681 * CHOOSE(CONTROL!$C$15, $E$9, 100%, $G$9) + CHOOSE(CONTROL!$C$38, 0.0354, 0)</f>
        <v>26.7164</v>
      </c>
      <c r="E280" s="14">
        <f>26.681 * CHOOSE(CONTROL!$C$15, $E$9, 100%, $G$9) + CHOOSE(CONTROL!$C$38, 0.0354, 0)</f>
        <v>26.7164</v>
      </c>
      <c r="F280" s="45">
        <f>28.3118 * CHOOSE(CONTROL!$C$15, $E$9, 100%, $G$9) + CHOOSE(CONTROL!$C$38, 0.0353, 0)</f>
        <v>28.347100000000001</v>
      </c>
      <c r="G280" s="14">
        <f>26.6873 * CHOOSE(CONTROL!$C$15, $E$9, 100%, $G$9) + CHOOSE(CONTROL!$C$38, 0.0354, 0)</f>
        <v>26.7227</v>
      </c>
      <c r="H280" s="14">
        <f>26.6873 * CHOOSE(CONTROL!$C$15, $E$9, 100%, $G$9) + CHOOSE(CONTROL!$C$38, 0.0354, 0)</f>
        <v>26.7227</v>
      </c>
      <c r="I280" s="14">
        <f>26.6889 * CHOOSE(CONTROL!$C$15, $E$9, 100%, $G$9) + CHOOSE(CONTROL!$C$38, 0.0354, 0)</f>
        <v>26.724299999999999</v>
      </c>
      <c r="J280" s="44">
        <f>201.8456</f>
        <v>201.84559999999999</v>
      </c>
    </row>
    <row r="281" spans="1:10" ht="15" x14ac:dyDescent="0.2">
      <c r="A281" s="34">
        <v>49461</v>
      </c>
      <c r="B281" s="14">
        <f>27.7474 * CHOOSE(CONTROL!$C$15, $E$9, 100%, $G$9) + CHOOSE(CONTROL!$C$38, 0.0353, 0)</f>
        <v>27.782699999999998</v>
      </c>
      <c r="C281" s="14">
        <f>26.1245 * CHOOSE(CONTROL!$C$15, $E$9, 100%, $G$9) + CHOOSE(CONTROL!$C$38, 0.0354, 0)</f>
        <v>26.1599</v>
      </c>
      <c r="D281" s="14">
        <f>26.1167 * CHOOSE(CONTROL!$C$15, $E$9, 100%, $G$9) + CHOOSE(CONTROL!$C$38, 0.0354, 0)</f>
        <v>26.152100000000001</v>
      </c>
      <c r="E281" s="14">
        <f>26.1167 * CHOOSE(CONTROL!$C$15, $E$9, 100%, $G$9) + CHOOSE(CONTROL!$C$38, 0.0354, 0)</f>
        <v>26.152100000000001</v>
      </c>
      <c r="F281" s="45">
        <f>27.7474 * CHOOSE(CONTROL!$C$15, $E$9, 100%, $G$9) + CHOOSE(CONTROL!$C$38, 0.0353, 0)</f>
        <v>27.782699999999998</v>
      </c>
      <c r="G281" s="14">
        <f>26.123 * CHOOSE(CONTROL!$C$15, $E$9, 100%, $G$9) + CHOOSE(CONTROL!$C$38, 0.0354, 0)</f>
        <v>26.1584</v>
      </c>
      <c r="H281" s="14">
        <f>26.123 * CHOOSE(CONTROL!$C$15, $E$9, 100%, $G$9) + CHOOSE(CONTROL!$C$38, 0.0354, 0)</f>
        <v>26.1584</v>
      </c>
      <c r="I281" s="14">
        <f>26.1245 * CHOOSE(CONTROL!$C$15, $E$9, 100%, $G$9) + CHOOSE(CONTROL!$C$38, 0.0354, 0)</f>
        <v>26.1599</v>
      </c>
      <c r="J281" s="44">
        <f>204.754</f>
        <v>204.75399999999999</v>
      </c>
    </row>
    <row r="282" spans="1:10" ht="15" x14ac:dyDescent="0.2">
      <c r="A282" s="34">
        <v>49491</v>
      </c>
      <c r="B282" s="14">
        <f>27.4254 * CHOOSE(CONTROL!$C$15, $E$9, 100%, $G$9) + CHOOSE(CONTROL!$C$38, 0.0353, 0)</f>
        <v>27.460699999999999</v>
      </c>
      <c r="C282" s="14">
        <f>25.8025 * CHOOSE(CONTROL!$C$15, $E$9, 100%, $G$9) + CHOOSE(CONTROL!$C$38, 0.0354, 0)</f>
        <v>25.837899999999998</v>
      </c>
      <c r="D282" s="14">
        <f>25.7947 * CHOOSE(CONTROL!$C$15, $E$9, 100%, $G$9) + CHOOSE(CONTROL!$C$38, 0.0354, 0)</f>
        <v>25.830099999999998</v>
      </c>
      <c r="E282" s="14">
        <f>25.7947 * CHOOSE(CONTROL!$C$15, $E$9, 100%, $G$9) + CHOOSE(CONTROL!$C$38, 0.0354, 0)</f>
        <v>25.830099999999998</v>
      </c>
      <c r="F282" s="45">
        <f>27.4254 * CHOOSE(CONTROL!$C$15, $E$9, 100%, $G$9) + CHOOSE(CONTROL!$C$38, 0.0353, 0)</f>
        <v>27.460699999999999</v>
      </c>
      <c r="G282" s="14">
        <f>25.8009 * CHOOSE(CONTROL!$C$15, $E$9, 100%, $G$9) + CHOOSE(CONTROL!$C$38, 0.0354, 0)</f>
        <v>25.836299999999998</v>
      </c>
      <c r="H282" s="14">
        <f>25.8009 * CHOOSE(CONTROL!$C$15, $E$9, 100%, $G$9) + CHOOSE(CONTROL!$C$38, 0.0354, 0)</f>
        <v>25.836299999999998</v>
      </c>
      <c r="I282" s="14">
        <f>25.8025 * CHOOSE(CONTROL!$C$15, $E$9, 100%, $G$9) + CHOOSE(CONTROL!$C$38, 0.0354, 0)</f>
        <v>25.837899999999998</v>
      </c>
      <c r="J282" s="44">
        <f>203.7964</f>
        <v>203.79640000000001</v>
      </c>
    </row>
    <row r="283" spans="1:10" ht="15" x14ac:dyDescent="0.2">
      <c r="A283" s="34">
        <v>49522</v>
      </c>
      <c r="B283" s="14">
        <f>27.5843 * CHOOSE(CONTROL!$C$15, $E$9, 100%, $G$9) + CHOOSE(CONTROL!$C$38, 0.0353, 0)</f>
        <v>27.619599999999998</v>
      </c>
      <c r="C283" s="14">
        <f>25.9614 * CHOOSE(CONTROL!$C$15, $E$9, 100%, $G$9) + CHOOSE(CONTROL!$C$38, 0.0354, 0)</f>
        <v>25.9968</v>
      </c>
      <c r="D283" s="14">
        <f>25.9536 * CHOOSE(CONTROL!$C$15, $E$9, 100%, $G$9) + CHOOSE(CONTROL!$C$38, 0.0354, 0)</f>
        <v>25.989000000000001</v>
      </c>
      <c r="E283" s="14">
        <f>25.9536 * CHOOSE(CONTROL!$C$15, $E$9, 100%, $G$9) + CHOOSE(CONTROL!$C$38, 0.0354, 0)</f>
        <v>25.989000000000001</v>
      </c>
      <c r="F283" s="45">
        <f>27.5843 * CHOOSE(CONTROL!$C$15, $E$9, 100%, $G$9) + CHOOSE(CONTROL!$C$38, 0.0353, 0)</f>
        <v>27.619599999999998</v>
      </c>
      <c r="G283" s="14">
        <f>25.9599 * CHOOSE(CONTROL!$C$15, $E$9, 100%, $G$9) + CHOOSE(CONTROL!$C$38, 0.0354, 0)</f>
        <v>25.9953</v>
      </c>
      <c r="H283" s="14">
        <f>25.9599 * CHOOSE(CONTROL!$C$15, $E$9, 100%, $G$9) + CHOOSE(CONTROL!$C$38, 0.0354, 0)</f>
        <v>25.9953</v>
      </c>
      <c r="I283" s="14">
        <f>25.9614 * CHOOSE(CONTROL!$C$15, $E$9, 100%, $G$9) + CHOOSE(CONTROL!$C$38, 0.0354, 0)</f>
        <v>25.9968</v>
      </c>
      <c r="J283" s="44">
        <f>199.0521</f>
        <v>199.0521</v>
      </c>
    </row>
    <row r="284" spans="1:10" ht="15" x14ac:dyDescent="0.2">
      <c r="A284" s="34">
        <v>49553</v>
      </c>
      <c r="B284" s="14">
        <f>28.016 * CHOOSE(CONTROL!$C$15, $E$9, 100%, $G$9) + CHOOSE(CONTROL!$C$38, 0.0353, 0)</f>
        <v>28.051299999999998</v>
      </c>
      <c r="C284" s="14">
        <f>26.3931 * CHOOSE(CONTROL!$C$15, $E$9, 100%, $G$9) + CHOOSE(CONTROL!$C$38, 0.0354, 0)</f>
        <v>26.4285</v>
      </c>
      <c r="D284" s="14">
        <f>26.3853 * CHOOSE(CONTROL!$C$15, $E$9, 100%, $G$9) + CHOOSE(CONTROL!$C$38, 0.0354, 0)</f>
        <v>26.4207</v>
      </c>
      <c r="E284" s="14">
        <f>26.3853 * CHOOSE(CONTROL!$C$15, $E$9, 100%, $G$9) + CHOOSE(CONTROL!$C$38, 0.0354, 0)</f>
        <v>26.4207</v>
      </c>
      <c r="F284" s="45">
        <f>28.016 * CHOOSE(CONTROL!$C$15, $E$9, 100%, $G$9) + CHOOSE(CONTROL!$C$38, 0.0353, 0)</f>
        <v>28.051299999999998</v>
      </c>
      <c r="G284" s="14">
        <f>26.3916 * CHOOSE(CONTROL!$C$15, $E$9, 100%, $G$9) + CHOOSE(CONTROL!$C$38, 0.0354, 0)</f>
        <v>26.427</v>
      </c>
      <c r="H284" s="14">
        <f>26.3916 * CHOOSE(CONTROL!$C$15, $E$9, 100%, $G$9) + CHOOSE(CONTROL!$C$38, 0.0354, 0)</f>
        <v>26.427</v>
      </c>
      <c r="I284" s="14">
        <f>26.3931 * CHOOSE(CONTROL!$C$15, $E$9, 100%, $G$9) + CHOOSE(CONTROL!$C$38, 0.0354, 0)</f>
        <v>26.4285</v>
      </c>
      <c r="J284" s="44">
        <f>192.436</f>
        <v>192.43600000000001</v>
      </c>
    </row>
    <row r="285" spans="1:10" ht="15" x14ac:dyDescent="0.2">
      <c r="A285" s="34">
        <v>49583</v>
      </c>
      <c r="B285" s="14">
        <f>28.3776 * CHOOSE(CONTROL!$C$15, $E$9, 100%, $G$9) + CHOOSE(CONTROL!$C$38, 0.034, 0)</f>
        <v>28.4116</v>
      </c>
      <c r="C285" s="14">
        <f>26.7547 * CHOOSE(CONTROL!$C$15, $E$9, 100%, $G$9) + CHOOSE(CONTROL!$C$38, 0.0342, 0)</f>
        <v>26.788899999999998</v>
      </c>
      <c r="D285" s="14">
        <f>26.7469 * CHOOSE(CONTROL!$C$15, $E$9, 100%, $G$9) + CHOOSE(CONTROL!$C$38, 0.0342, 0)</f>
        <v>26.781099999999999</v>
      </c>
      <c r="E285" s="14">
        <f>26.7469 * CHOOSE(CONTROL!$C$15, $E$9, 100%, $G$9) + CHOOSE(CONTROL!$C$38, 0.0342, 0)</f>
        <v>26.781099999999999</v>
      </c>
      <c r="F285" s="45">
        <f>28.3776 * CHOOSE(CONTROL!$C$15, $E$9, 100%, $G$9) + CHOOSE(CONTROL!$C$38, 0.034, 0)</f>
        <v>28.4116</v>
      </c>
      <c r="G285" s="14">
        <f>26.7531 * CHOOSE(CONTROL!$C$15, $E$9, 100%, $G$9) + CHOOSE(CONTROL!$C$38, 0.0342, 0)</f>
        <v>26.787299999999998</v>
      </c>
      <c r="H285" s="14">
        <f>26.7531 * CHOOSE(CONTROL!$C$15, $E$9, 100%, $G$9) + CHOOSE(CONTROL!$C$38, 0.0342, 0)</f>
        <v>26.787299999999998</v>
      </c>
      <c r="I285" s="14">
        <f>26.7547 * CHOOSE(CONTROL!$C$15, $E$9, 100%, $G$9) + CHOOSE(CONTROL!$C$38, 0.0342, 0)</f>
        <v>26.788899999999998</v>
      </c>
      <c r="J285" s="44">
        <f>185.7813</f>
        <v>185.78129999999999</v>
      </c>
    </row>
    <row r="286" spans="1:10" ht="15" x14ac:dyDescent="0.2">
      <c r="A286" s="34">
        <v>49614</v>
      </c>
      <c r="B286" s="14">
        <f>28.6793 * CHOOSE(CONTROL!$C$15, $E$9, 100%, $G$9) + CHOOSE(CONTROL!$C$38, 0.034, 0)</f>
        <v>28.7133</v>
      </c>
      <c r="C286" s="14">
        <f>27.0564 * CHOOSE(CONTROL!$C$15, $E$9, 100%, $G$9) + CHOOSE(CONTROL!$C$38, 0.0342, 0)</f>
        <v>27.090599999999998</v>
      </c>
      <c r="D286" s="14">
        <f>27.0486 * CHOOSE(CONTROL!$C$15, $E$9, 100%, $G$9) + CHOOSE(CONTROL!$C$38, 0.0342, 0)</f>
        <v>27.082799999999999</v>
      </c>
      <c r="E286" s="14">
        <f>27.0486 * CHOOSE(CONTROL!$C$15, $E$9, 100%, $G$9) + CHOOSE(CONTROL!$C$38, 0.0342, 0)</f>
        <v>27.082799999999999</v>
      </c>
      <c r="F286" s="45">
        <f>28.6793 * CHOOSE(CONTROL!$C$15, $E$9, 100%, $G$9) + CHOOSE(CONTROL!$C$38, 0.034, 0)</f>
        <v>28.7133</v>
      </c>
      <c r="G286" s="14">
        <f>27.0548 * CHOOSE(CONTROL!$C$15, $E$9, 100%, $G$9) + CHOOSE(CONTROL!$C$38, 0.0342, 0)</f>
        <v>27.088999999999999</v>
      </c>
      <c r="H286" s="14">
        <f>27.0548 * CHOOSE(CONTROL!$C$15, $E$9, 100%, $G$9) + CHOOSE(CONTROL!$C$38, 0.0342, 0)</f>
        <v>27.088999999999999</v>
      </c>
      <c r="I286" s="14">
        <f>27.0564 * CHOOSE(CONTROL!$C$15, $E$9, 100%, $G$9) + CHOOSE(CONTROL!$C$38, 0.0342, 0)</f>
        <v>27.090599999999998</v>
      </c>
      <c r="J286" s="44">
        <f>184.4576</f>
        <v>184.45760000000001</v>
      </c>
    </row>
    <row r="287" spans="1:10" ht="15" x14ac:dyDescent="0.2">
      <c r="A287" s="34">
        <v>49644</v>
      </c>
      <c r="B287" s="14">
        <f>29.609 * CHOOSE(CONTROL!$C$15, $E$9, 100%, $G$9) + CHOOSE(CONTROL!$C$38, 0.034, 0)</f>
        <v>29.643000000000001</v>
      </c>
      <c r="C287" s="14">
        <f>27.9861 * CHOOSE(CONTROL!$C$15, $E$9, 100%, $G$9) + CHOOSE(CONTROL!$C$38, 0.0342, 0)</f>
        <v>28.020299999999999</v>
      </c>
      <c r="D287" s="14">
        <f>27.9782 * CHOOSE(CONTROL!$C$15, $E$9, 100%, $G$9) + CHOOSE(CONTROL!$C$38, 0.0342, 0)</f>
        <v>28.0124</v>
      </c>
      <c r="E287" s="14">
        <f>27.9782 * CHOOSE(CONTROL!$C$15, $E$9, 100%, $G$9) + CHOOSE(CONTROL!$C$38, 0.0342, 0)</f>
        <v>28.0124</v>
      </c>
      <c r="F287" s="45">
        <f>29.609 * CHOOSE(CONTROL!$C$15, $E$9, 100%, $G$9) + CHOOSE(CONTROL!$C$38, 0.034, 0)</f>
        <v>29.643000000000001</v>
      </c>
      <c r="G287" s="14">
        <f>27.9845 * CHOOSE(CONTROL!$C$15, $E$9, 100%, $G$9) + CHOOSE(CONTROL!$C$38, 0.0342, 0)</f>
        <v>28.018699999999999</v>
      </c>
      <c r="H287" s="14">
        <f>27.9845 * CHOOSE(CONTROL!$C$15, $E$9, 100%, $G$9) + CHOOSE(CONTROL!$C$38, 0.0342, 0)</f>
        <v>28.018699999999999</v>
      </c>
      <c r="I287" s="14">
        <f>27.9861 * CHOOSE(CONTROL!$C$15, $E$9, 100%, $G$9) + CHOOSE(CONTROL!$C$38, 0.0342, 0)</f>
        <v>28.020299999999999</v>
      </c>
      <c r="J287" s="44">
        <f>178.9838</f>
        <v>178.9838</v>
      </c>
    </row>
    <row r="288" spans="1:10" ht="15" x14ac:dyDescent="0.2">
      <c r="A288" s="34">
        <v>49675</v>
      </c>
      <c r="B288" s="14">
        <f>30.8155 * CHOOSE(CONTROL!$C$15, $E$9, 100%, $G$9) + CHOOSE(CONTROL!$C$38, 0.034, 0)</f>
        <v>30.849499999999999</v>
      </c>
      <c r="C288" s="14">
        <f>29.1679 * CHOOSE(CONTROL!$C$15, $E$9, 100%, $G$9) + CHOOSE(CONTROL!$C$38, 0.0342, 0)</f>
        <v>29.202099999999998</v>
      </c>
      <c r="D288" s="14">
        <f>29.1601 * CHOOSE(CONTROL!$C$15, $E$9, 100%, $G$9) + CHOOSE(CONTROL!$C$38, 0.0342, 0)</f>
        <v>29.194299999999998</v>
      </c>
      <c r="E288" s="14">
        <f>29.1601 * CHOOSE(CONTROL!$C$15, $E$9, 100%, $G$9) + CHOOSE(CONTROL!$C$38, 0.0342, 0)</f>
        <v>29.194299999999998</v>
      </c>
      <c r="F288" s="45">
        <f>30.8155 * CHOOSE(CONTROL!$C$15, $E$9, 100%, $G$9) + CHOOSE(CONTROL!$C$38, 0.034, 0)</f>
        <v>30.849499999999999</v>
      </c>
      <c r="G288" s="14">
        <f>29.1664 * CHOOSE(CONTROL!$C$15, $E$9, 100%, $G$9) + CHOOSE(CONTROL!$C$38, 0.0342, 0)</f>
        <v>29.200599999999998</v>
      </c>
      <c r="H288" s="14">
        <f>29.1664 * CHOOSE(CONTROL!$C$15, $E$9, 100%, $G$9) + CHOOSE(CONTROL!$C$38, 0.0342, 0)</f>
        <v>29.200599999999998</v>
      </c>
      <c r="I288" s="14">
        <f>29.1679 * CHOOSE(CONTROL!$C$15, $E$9, 100%, $G$9) + CHOOSE(CONTROL!$C$38, 0.0342, 0)</f>
        <v>29.202099999999998</v>
      </c>
      <c r="J288" s="44">
        <f>178.8546</f>
        <v>178.8546</v>
      </c>
    </row>
    <row r="289" spans="1:10" ht="15" x14ac:dyDescent="0.2">
      <c r="A289" s="34">
        <v>49706</v>
      </c>
      <c r="B289" s="14">
        <f>31.1598 * CHOOSE(CONTROL!$C$15, $E$9, 100%, $G$9) + CHOOSE(CONTROL!$C$38, 0.034, 0)</f>
        <v>31.1938</v>
      </c>
      <c r="C289" s="14">
        <f>29.5123 * CHOOSE(CONTROL!$C$15, $E$9, 100%, $G$9) + CHOOSE(CONTROL!$C$38, 0.0342, 0)</f>
        <v>29.546499999999998</v>
      </c>
      <c r="D289" s="14">
        <f>29.5044 * CHOOSE(CONTROL!$C$15, $E$9, 100%, $G$9) + CHOOSE(CONTROL!$C$38, 0.0342, 0)</f>
        <v>29.538599999999999</v>
      </c>
      <c r="E289" s="14">
        <f>29.5044 * CHOOSE(CONTROL!$C$15, $E$9, 100%, $G$9) + CHOOSE(CONTROL!$C$38, 0.0342, 0)</f>
        <v>29.538599999999999</v>
      </c>
      <c r="F289" s="45">
        <f>31.1598 * CHOOSE(CONTROL!$C$15, $E$9, 100%, $G$9) + CHOOSE(CONTROL!$C$38, 0.034, 0)</f>
        <v>31.1938</v>
      </c>
      <c r="G289" s="14">
        <f>29.5107 * CHOOSE(CONTROL!$C$15, $E$9, 100%, $G$9) + CHOOSE(CONTROL!$C$38, 0.0342, 0)</f>
        <v>29.544899999999998</v>
      </c>
      <c r="H289" s="14">
        <f>29.5107 * CHOOSE(CONTROL!$C$15, $E$9, 100%, $G$9) + CHOOSE(CONTROL!$C$38, 0.0342, 0)</f>
        <v>29.544899999999998</v>
      </c>
      <c r="I289" s="14">
        <f>29.5123 * CHOOSE(CONTROL!$C$15, $E$9, 100%, $G$9) + CHOOSE(CONTROL!$C$38, 0.0342, 0)</f>
        <v>29.546499999999998</v>
      </c>
      <c r="J289" s="44">
        <f>178.3574</f>
        <v>178.35740000000001</v>
      </c>
    </row>
    <row r="290" spans="1:10" ht="15" x14ac:dyDescent="0.2">
      <c r="A290" s="34">
        <v>49735</v>
      </c>
      <c r="B290" s="14">
        <f>30.3628 * CHOOSE(CONTROL!$C$15, $E$9, 100%, $G$9) + CHOOSE(CONTROL!$C$38, 0.034, 0)</f>
        <v>30.396799999999999</v>
      </c>
      <c r="C290" s="14">
        <f>28.7152 * CHOOSE(CONTROL!$C$15, $E$9, 100%, $G$9) + CHOOSE(CONTROL!$C$38, 0.0342, 0)</f>
        <v>28.749399999999998</v>
      </c>
      <c r="D290" s="14">
        <f>28.7074 * CHOOSE(CONTROL!$C$15, $E$9, 100%, $G$9) + CHOOSE(CONTROL!$C$38, 0.0342, 0)</f>
        <v>28.741599999999998</v>
      </c>
      <c r="E290" s="14">
        <f>28.7074 * CHOOSE(CONTROL!$C$15, $E$9, 100%, $G$9) + CHOOSE(CONTROL!$C$38, 0.0342, 0)</f>
        <v>28.741599999999998</v>
      </c>
      <c r="F290" s="45">
        <f>30.3628 * CHOOSE(CONTROL!$C$15, $E$9, 100%, $G$9) + CHOOSE(CONTROL!$C$38, 0.034, 0)</f>
        <v>30.396799999999999</v>
      </c>
      <c r="G290" s="14">
        <f>28.7137 * CHOOSE(CONTROL!$C$15, $E$9, 100%, $G$9) + CHOOSE(CONTROL!$C$38, 0.0342, 0)</f>
        <v>28.747899999999998</v>
      </c>
      <c r="H290" s="14">
        <f>28.7137 * CHOOSE(CONTROL!$C$15, $E$9, 100%, $G$9) + CHOOSE(CONTROL!$C$38, 0.0342, 0)</f>
        <v>28.747899999999998</v>
      </c>
      <c r="I290" s="14">
        <f>28.7152 * CHOOSE(CONTROL!$C$15, $E$9, 100%, $G$9) + CHOOSE(CONTROL!$C$38, 0.0342, 0)</f>
        <v>28.749399999999998</v>
      </c>
      <c r="J290" s="44">
        <f>187.7579</f>
        <v>187.75790000000001</v>
      </c>
    </row>
    <row r="291" spans="1:10" ht="15" x14ac:dyDescent="0.2">
      <c r="A291" s="34">
        <v>49766</v>
      </c>
      <c r="B291" s="14">
        <f>29.5905 * CHOOSE(CONTROL!$C$15, $E$9, 100%, $G$9) + CHOOSE(CONTROL!$C$38, 0.034, 0)</f>
        <v>29.624499999999998</v>
      </c>
      <c r="C291" s="14">
        <f>27.9429 * CHOOSE(CONTROL!$C$15, $E$9, 100%, $G$9) + CHOOSE(CONTROL!$C$38, 0.0342, 0)</f>
        <v>27.9771</v>
      </c>
      <c r="D291" s="14">
        <f>27.9351 * CHOOSE(CONTROL!$C$15, $E$9, 100%, $G$9) + CHOOSE(CONTROL!$C$38, 0.0342, 0)</f>
        <v>27.969299999999997</v>
      </c>
      <c r="E291" s="14">
        <f>27.9351 * CHOOSE(CONTROL!$C$15, $E$9, 100%, $G$9) + CHOOSE(CONTROL!$C$38, 0.0342, 0)</f>
        <v>27.969299999999997</v>
      </c>
      <c r="F291" s="45">
        <f>29.5905 * CHOOSE(CONTROL!$C$15, $E$9, 100%, $G$9) + CHOOSE(CONTROL!$C$38, 0.034, 0)</f>
        <v>29.624499999999998</v>
      </c>
      <c r="G291" s="14">
        <f>27.9413 * CHOOSE(CONTROL!$C$15, $E$9, 100%, $G$9) + CHOOSE(CONTROL!$C$38, 0.0342, 0)</f>
        <v>27.975499999999997</v>
      </c>
      <c r="H291" s="14">
        <f>27.9413 * CHOOSE(CONTROL!$C$15, $E$9, 100%, $G$9) + CHOOSE(CONTROL!$C$38, 0.0342, 0)</f>
        <v>27.975499999999997</v>
      </c>
      <c r="I291" s="14">
        <f>27.9429 * CHOOSE(CONTROL!$C$15, $E$9, 100%, $G$9) + CHOOSE(CONTROL!$C$38, 0.0342, 0)</f>
        <v>27.9771</v>
      </c>
      <c r="J291" s="44">
        <f>199.948</f>
        <v>199.94800000000001</v>
      </c>
    </row>
    <row r="292" spans="1:10" ht="15" x14ac:dyDescent="0.2">
      <c r="A292" s="34">
        <v>49796</v>
      </c>
      <c r="B292" s="14">
        <f>28.7855 * CHOOSE(CONTROL!$C$15, $E$9, 100%, $G$9) + CHOOSE(CONTROL!$C$38, 0.0353, 0)</f>
        <v>28.820799999999998</v>
      </c>
      <c r="C292" s="14">
        <f>27.1379 * CHOOSE(CONTROL!$C$15, $E$9, 100%, $G$9) + CHOOSE(CONTROL!$C$38, 0.0354, 0)</f>
        <v>27.173299999999998</v>
      </c>
      <c r="D292" s="14">
        <f>27.1301 * CHOOSE(CONTROL!$C$15, $E$9, 100%, $G$9) + CHOOSE(CONTROL!$C$38, 0.0354, 0)</f>
        <v>27.165499999999998</v>
      </c>
      <c r="E292" s="14">
        <f>27.1301 * CHOOSE(CONTROL!$C$15, $E$9, 100%, $G$9) + CHOOSE(CONTROL!$C$38, 0.0354, 0)</f>
        <v>27.165499999999998</v>
      </c>
      <c r="F292" s="45">
        <f>28.7855 * CHOOSE(CONTROL!$C$15, $E$9, 100%, $G$9) + CHOOSE(CONTROL!$C$38, 0.0353, 0)</f>
        <v>28.820799999999998</v>
      </c>
      <c r="G292" s="14">
        <f>27.1364 * CHOOSE(CONTROL!$C$15, $E$9, 100%, $G$9) + CHOOSE(CONTROL!$C$38, 0.0354, 0)</f>
        <v>27.171799999999998</v>
      </c>
      <c r="H292" s="14">
        <f>27.1364 * CHOOSE(CONTROL!$C$15, $E$9, 100%, $G$9) + CHOOSE(CONTROL!$C$38, 0.0354, 0)</f>
        <v>27.171799999999998</v>
      </c>
      <c r="I292" s="14">
        <f>27.1379 * CHOOSE(CONTROL!$C$15, $E$9, 100%, $G$9) + CHOOSE(CONTROL!$C$38, 0.0354, 0)</f>
        <v>27.173299999999998</v>
      </c>
      <c r="J292" s="44">
        <f>206.6579</f>
        <v>206.65790000000001</v>
      </c>
    </row>
    <row r="293" spans="1:10" ht="15" x14ac:dyDescent="0.2">
      <c r="A293" s="34">
        <v>49827</v>
      </c>
      <c r="B293" s="14">
        <f>28.2212 * CHOOSE(CONTROL!$C$15, $E$9, 100%, $G$9) + CHOOSE(CONTROL!$C$38, 0.0353, 0)</f>
        <v>28.256499999999999</v>
      </c>
      <c r="C293" s="14">
        <f>26.5736 * CHOOSE(CONTROL!$C$15, $E$9, 100%, $G$9) + CHOOSE(CONTROL!$C$38, 0.0354, 0)</f>
        <v>26.608999999999998</v>
      </c>
      <c r="D293" s="14">
        <f>26.5658 * CHOOSE(CONTROL!$C$15, $E$9, 100%, $G$9) + CHOOSE(CONTROL!$C$38, 0.0354, 0)</f>
        <v>26.601199999999999</v>
      </c>
      <c r="E293" s="14">
        <f>26.5658 * CHOOSE(CONTROL!$C$15, $E$9, 100%, $G$9) + CHOOSE(CONTROL!$C$38, 0.0354, 0)</f>
        <v>26.601199999999999</v>
      </c>
      <c r="F293" s="45">
        <f>28.2212 * CHOOSE(CONTROL!$C$15, $E$9, 100%, $G$9) + CHOOSE(CONTROL!$C$38, 0.0353, 0)</f>
        <v>28.256499999999999</v>
      </c>
      <c r="G293" s="14">
        <f>26.572 * CHOOSE(CONTROL!$C$15, $E$9, 100%, $G$9) + CHOOSE(CONTROL!$C$38, 0.0354, 0)</f>
        <v>26.607399999999998</v>
      </c>
      <c r="H293" s="14">
        <f>26.572 * CHOOSE(CONTROL!$C$15, $E$9, 100%, $G$9) + CHOOSE(CONTROL!$C$38, 0.0354, 0)</f>
        <v>26.607399999999998</v>
      </c>
      <c r="I293" s="14">
        <f>26.5736 * CHOOSE(CONTROL!$C$15, $E$9, 100%, $G$9) + CHOOSE(CONTROL!$C$38, 0.0354, 0)</f>
        <v>26.608999999999998</v>
      </c>
      <c r="J293" s="44">
        <f>209.6356</f>
        <v>209.63560000000001</v>
      </c>
    </row>
    <row r="294" spans="1:10" ht="15" x14ac:dyDescent="0.2">
      <c r="A294" s="34">
        <v>49857</v>
      </c>
      <c r="B294" s="14">
        <f>27.8991 * CHOOSE(CONTROL!$C$15, $E$9, 100%, $G$9) + CHOOSE(CONTROL!$C$38, 0.0353, 0)</f>
        <v>27.9344</v>
      </c>
      <c r="C294" s="14">
        <f>26.2516 * CHOOSE(CONTROL!$C$15, $E$9, 100%, $G$9) + CHOOSE(CONTROL!$C$38, 0.0354, 0)</f>
        <v>26.286999999999999</v>
      </c>
      <c r="D294" s="14">
        <f>26.2437 * CHOOSE(CONTROL!$C$15, $E$9, 100%, $G$9) + CHOOSE(CONTROL!$C$38, 0.0354, 0)</f>
        <v>26.2791</v>
      </c>
      <c r="E294" s="14">
        <f>26.2437 * CHOOSE(CONTROL!$C$15, $E$9, 100%, $G$9) + CHOOSE(CONTROL!$C$38, 0.0354, 0)</f>
        <v>26.2791</v>
      </c>
      <c r="F294" s="45">
        <f>27.8991 * CHOOSE(CONTROL!$C$15, $E$9, 100%, $G$9) + CHOOSE(CONTROL!$C$38, 0.0353, 0)</f>
        <v>27.9344</v>
      </c>
      <c r="G294" s="14">
        <f>26.25 * CHOOSE(CONTROL!$C$15, $E$9, 100%, $G$9) + CHOOSE(CONTROL!$C$38, 0.0354, 0)</f>
        <v>26.285399999999999</v>
      </c>
      <c r="H294" s="14">
        <f>26.25 * CHOOSE(CONTROL!$C$15, $E$9, 100%, $G$9) + CHOOSE(CONTROL!$C$38, 0.0354, 0)</f>
        <v>26.285399999999999</v>
      </c>
      <c r="I294" s="14">
        <f>26.2516 * CHOOSE(CONTROL!$C$15, $E$9, 100%, $G$9) + CHOOSE(CONTROL!$C$38, 0.0354, 0)</f>
        <v>26.286999999999999</v>
      </c>
      <c r="J294" s="44">
        <f>208.6552</f>
        <v>208.65520000000001</v>
      </c>
    </row>
    <row r="295" spans="1:10" ht="15" x14ac:dyDescent="0.2">
      <c r="A295" s="34">
        <v>49888</v>
      </c>
      <c r="B295" s="14">
        <f>28.0581 * CHOOSE(CONTROL!$C$15, $E$9, 100%, $G$9) + CHOOSE(CONTROL!$C$38, 0.0353, 0)</f>
        <v>28.093399999999999</v>
      </c>
      <c r="C295" s="14">
        <f>26.4105 * CHOOSE(CONTROL!$C$15, $E$9, 100%, $G$9) + CHOOSE(CONTROL!$C$38, 0.0354, 0)</f>
        <v>26.445899999999998</v>
      </c>
      <c r="D295" s="14">
        <f>26.4027 * CHOOSE(CONTROL!$C$15, $E$9, 100%, $G$9) + CHOOSE(CONTROL!$C$38, 0.0354, 0)</f>
        <v>26.438099999999999</v>
      </c>
      <c r="E295" s="14">
        <f>26.4027 * CHOOSE(CONTROL!$C$15, $E$9, 100%, $G$9) + CHOOSE(CONTROL!$C$38, 0.0354, 0)</f>
        <v>26.438099999999999</v>
      </c>
      <c r="F295" s="45">
        <f>28.0581 * CHOOSE(CONTROL!$C$15, $E$9, 100%, $G$9) + CHOOSE(CONTROL!$C$38, 0.0353, 0)</f>
        <v>28.093399999999999</v>
      </c>
      <c r="G295" s="14">
        <f>26.4089 * CHOOSE(CONTROL!$C$15, $E$9, 100%, $G$9) + CHOOSE(CONTROL!$C$38, 0.0354, 0)</f>
        <v>26.444299999999998</v>
      </c>
      <c r="H295" s="14">
        <f>26.4089 * CHOOSE(CONTROL!$C$15, $E$9, 100%, $G$9) + CHOOSE(CONTROL!$C$38, 0.0354, 0)</f>
        <v>26.444299999999998</v>
      </c>
      <c r="I295" s="14">
        <f>26.4105 * CHOOSE(CONTROL!$C$15, $E$9, 100%, $G$9) + CHOOSE(CONTROL!$C$38, 0.0354, 0)</f>
        <v>26.445899999999998</v>
      </c>
      <c r="J295" s="44">
        <f>203.7978</f>
        <v>203.7978</v>
      </c>
    </row>
    <row r="296" spans="1:10" ht="15" x14ac:dyDescent="0.2">
      <c r="A296" s="34">
        <v>49919</v>
      </c>
      <c r="B296" s="14">
        <f>28.4898 * CHOOSE(CONTROL!$C$15, $E$9, 100%, $G$9) + CHOOSE(CONTROL!$C$38, 0.0353, 0)</f>
        <v>28.525099999999998</v>
      </c>
      <c r="C296" s="14">
        <f>26.8422 * CHOOSE(CONTROL!$C$15, $E$9, 100%, $G$9) + CHOOSE(CONTROL!$C$38, 0.0354, 0)</f>
        <v>26.877599999999997</v>
      </c>
      <c r="D296" s="14">
        <f>26.8344 * CHOOSE(CONTROL!$C$15, $E$9, 100%, $G$9) + CHOOSE(CONTROL!$C$38, 0.0354, 0)</f>
        <v>26.869799999999998</v>
      </c>
      <c r="E296" s="14">
        <f>26.8344 * CHOOSE(CONTROL!$C$15, $E$9, 100%, $G$9) + CHOOSE(CONTROL!$C$38, 0.0354, 0)</f>
        <v>26.869799999999998</v>
      </c>
      <c r="F296" s="45">
        <f>28.4898 * CHOOSE(CONTROL!$C$15, $E$9, 100%, $G$9) + CHOOSE(CONTROL!$C$38, 0.0353, 0)</f>
        <v>28.525099999999998</v>
      </c>
      <c r="G296" s="14">
        <f>26.8406 * CHOOSE(CONTROL!$C$15, $E$9, 100%, $G$9) + CHOOSE(CONTROL!$C$38, 0.0354, 0)</f>
        <v>26.875999999999998</v>
      </c>
      <c r="H296" s="14">
        <f>26.8406 * CHOOSE(CONTROL!$C$15, $E$9, 100%, $G$9) + CHOOSE(CONTROL!$C$38, 0.0354, 0)</f>
        <v>26.875999999999998</v>
      </c>
      <c r="I296" s="14">
        <f>26.8422 * CHOOSE(CONTROL!$C$15, $E$9, 100%, $G$9) + CHOOSE(CONTROL!$C$38, 0.0354, 0)</f>
        <v>26.877599999999997</v>
      </c>
      <c r="J296" s="44">
        <f>197.0239</f>
        <v>197.0239</v>
      </c>
    </row>
    <row r="297" spans="1:10" ht="15" x14ac:dyDescent="0.2">
      <c r="A297" s="34">
        <v>49949</v>
      </c>
      <c r="B297" s="14">
        <f>28.8513 * CHOOSE(CONTROL!$C$15, $E$9, 100%, $G$9) + CHOOSE(CONTROL!$C$38, 0.034, 0)</f>
        <v>28.885299999999997</v>
      </c>
      <c r="C297" s="14">
        <f>27.2038 * CHOOSE(CONTROL!$C$15, $E$9, 100%, $G$9) + CHOOSE(CONTROL!$C$38, 0.0342, 0)</f>
        <v>27.238</v>
      </c>
      <c r="D297" s="14">
        <f>27.196 * CHOOSE(CONTROL!$C$15, $E$9, 100%, $G$9) + CHOOSE(CONTROL!$C$38, 0.0342, 0)</f>
        <v>27.2302</v>
      </c>
      <c r="E297" s="14">
        <f>27.196 * CHOOSE(CONTROL!$C$15, $E$9, 100%, $G$9) + CHOOSE(CONTROL!$C$38, 0.0342, 0)</f>
        <v>27.2302</v>
      </c>
      <c r="F297" s="45">
        <f>28.8513 * CHOOSE(CONTROL!$C$15, $E$9, 100%, $G$9) + CHOOSE(CONTROL!$C$38, 0.034, 0)</f>
        <v>28.885299999999997</v>
      </c>
      <c r="G297" s="14">
        <f>27.2022 * CHOOSE(CONTROL!$C$15, $E$9, 100%, $G$9) + CHOOSE(CONTROL!$C$38, 0.0342, 0)</f>
        <v>27.2364</v>
      </c>
      <c r="H297" s="14">
        <f>27.2022 * CHOOSE(CONTROL!$C$15, $E$9, 100%, $G$9) + CHOOSE(CONTROL!$C$38, 0.0342, 0)</f>
        <v>27.2364</v>
      </c>
      <c r="I297" s="14">
        <f>27.2038 * CHOOSE(CONTROL!$C$15, $E$9, 100%, $G$9) + CHOOSE(CONTROL!$C$38, 0.0342, 0)</f>
        <v>27.238</v>
      </c>
      <c r="J297" s="44">
        <f>190.2106</f>
        <v>190.2106</v>
      </c>
    </row>
    <row r="298" spans="1:10" ht="15" x14ac:dyDescent="0.2">
      <c r="A298" s="34">
        <v>49980</v>
      </c>
      <c r="B298" s="14">
        <f>29.153 * CHOOSE(CONTROL!$C$15, $E$9, 100%, $G$9) + CHOOSE(CONTROL!$C$38, 0.034, 0)</f>
        <v>29.186999999999998</v>
      </c>
      <c r="C298" s="14">
        <f>27.5055 * CHOOSE(CONTROL!$C$15, $E$9, 100%, $G$9) + CHOOSE(CONTROL!$C$38, 0.0342, 0)</f>
        <v>27.5397</v>
      </c>
      <c r="D298" s="14">
        <f>27.4977 * CHOOSE(CONTROL!$C$15, $E$9, 100%, $G$9) + CHOOSE(CONTROL!$C$38, 0.0342, 0)</f>
        <v>27.531899999999997</v>
      </c>
      <c r="E298" s="14">
        <f>27.4977 * CHOOSE(CONTROL!$C$15, $E$9, 100%, $G$9) + CHOOSE(CONTROL!$C$38, 0.0342, 0)</f>
        <v>27.531899999999997</v>
      </c>
      <c r="F298" s="45">
        <f>29.153 * CHOOSE(CONTROL!$C$15, $E$9, 100%, $G$9) + CHOOSE(CONTROL!$C$38, 0.034, 0)</f>
        <v>29.186999999999998</v>
      </c>
      <c r="G298" s="14">
        <f>27.5039 * CHOOSE(CONTROL!$C$15, $E$9, 100%, $G$9) + CHOOSE(CONTROL!$C$38, 0.0342, 0)</f>
        <v>27.5381</v>
      </c>
      <c r="H298" s="14">
        <f>27.5039 * CHOOSE(CONTROL!$C$15, $E$9, 100%, $G$9) + CHOOSE(CONTROL!$C$38, 0.0342, 0)</f>
        <v>27.5381</v>
      </c>
      <c r="I298" s="14">
        <f>27.5055 * CHOOSE(CONTROL!$C$15, $E$9, 100%, $G$9) + CHOOSE(CONTROL!$C$38, 0.0342, 0)</f>
        <v>27.5397</v>
      </c>
      <c r="J298" s="44">
        <f>188.8553</f>
        <v>188.8553</v>
      </c>
    </row>
    <row r="299" spans="1:10" ht="15" x14ac:dyDescent="0.2">
      <c r="A299" s="34">
        <v>50010</v>
      </c>
      <c r="B299" s="14">
        <f>30.0827 * CHOOSE(CONTROL!$C$15, $E$9, 100%, $G$9) + CHOOSE(CONTROL!$C$38, 0.034, 0)</f>
        <v>30.116699999999998</v>
      </c>
      <c r="C299" s="14">
        <f>28.4351 * CHOOSE(CONTROL!$C$15, $E$9, 100%, $G$9) + CHOOSE(CONTROL!$C$38, 0.0342, 0)</f>
        <v>28.469299999999997</v>
      </c>
      <c r="D299" s="14">
        <f>28.4273 * CHOOSE(CONTROL!$C$15, $E$9, 100%, $G$9) + CHOOSE(CONTROL!$C$38, 0.0342, 0)</f>
        <v>28.461499999999997</v>
      </c>
      <c r="E299" s="14">
        <f>28.4273 * CHOOSE(CONTROL!$C$15, $E$9, 100%, $G$9) + CHOOSE(CONTROL!$C$38, 0.0342, 0)</f>
        <v>28.461499999999997</v>
      </c>
      <c r="F299" s="45">
        <f>30.0827 * CHOOSE(CONTROL!$C$15, $E$9, 100%, $G$9) + CHOOSE(CONTROL!$C$38, 0.034, 0)</f>
        <v>30.116699999999998</v>
      </c>
      <c r="G299" s="14">
        <f>28.4336 * CHOOSE(CONTROL!$C$15, $E$9, 100%, $G$9) + CHOOSE(CONTROL!$C$38, 0.0342, 0)</f>
        <v>28.467799999999997</v>
      </c>
      <c r="H299" s="14">
        <f>28.4336 * CHOOSE(CONTROL!$C$15, $E$9, 100%, $G$9) + CHOOSE(CONTROL!$C$38, 0.0342, 0)</f>
        <v>28.467799999999997</v>
      </c>
      <c r="I299" s="14">
        <f>28.4351 * CHOOSE(CONTROL!$C$15, $E$9, 100%, $G$9) + CHOOSE(CONTROL!$C$38, 0.0342, 0)</f>
        <v>28.469299999999997</v>
      </c>
      <c r="J299" s="44">
        <f>183.251</f>
        <v>183.251</v>
      </c>
    </row>
    <row r="300" spans="1:10" ht="15" x14ac:dyDescent="0.2">
      <c r="A300" s="34">
        <v>50041</v>
      </c>
      <c r="B300" s="14">
        <f>31.2972 * CHOOSE(CONTROL!$C$15, $E$9, 100%, $G$9) + CHOOSE(CONTROL!$C$38, 0.034, 0)</f>
        <v>31.331199999999999</v>
      </c>
      <c r="C300" s="14">
        <f>29.6246 * CHOOSE(CONTROL!$C$15, $E$9, 100%, $G$9) + CHOOSE(CONTROL!$C$38, 0.0342, 0)</f>
        <v>29.658799999999999</v>
      </c>
      <c r="D300" s="14">
        <f>29.6168 * CHOOSE(CONTROL!$C$15, $E$9, 100%, $G$9) + CHOOSE(CONTROL!$C$38, 0.0342, 0)</f>
        <v>29.651</v>
      </c>
      <c r="E300" s="14">
        <f>29.6168 * CHOOSE(CONTROL!$C$15, $E$9, 100%, $G$9) + CHOOSE(CONTROL!$C$38, 0.0342, 0)</f>
        <v>29.651</v>
      </c>
      <c r="F300" s="45">
        <f>31.2972 * CHOOSE(CONTROL!$C$15, $E$9, 100%, $G$9) + CHOOSE(CONTROL!$C$38, 0.034, 0)</f>
        <v>31.331199999999999</v>
      </c>
      <c r="G300" s="14">
        <f>29.623 * CHOOSE(CONTROL!$C$15, $E$9, 100%, $G$9) + CHOOSE(CONTROL!$C$38, 0.0342, 0)</f>
        <v>29.6572</v>
      </c>
      <c r="H300" s="14">
        <f>29.623 * CHOOSE(CONTROL!$C$15, $E$9, 100%, $G$9) + CHOOSE(CONTROL!$C$38, 0.0342, 0)</f>
        <v>29.6572</v>
      </c>
      <c r="I300" s="14">
        <f>29.6246 * CHOOSE(CONTROL!$C$15, $E$9, 100%, $G$9) + CHOOSE(CONTROL!$C$38, 0.0342, 0)</f>
        <v>29.658799999999999</v>
      </c>
      <c r="J300" s="44">
        <f>183.1187</f>
        <v>183.11869999999999</v>
      </c>
    </row>
    <row r="301" spans="1:10" ht="15" x14ac:dyDescent="0.2">
      <c r="A301" s="34">
        <v>50072</v>
      </c>
      <c r="B301" s="14">
        <f>31.6415 * CHOOSE(CONTROL!$C$15, $E$9, 100%, $G$9) + CHOOSE(CONTROL!$C$38, 0.034, 0)</f>
        <v>31.6755</v>
      </c>
      <c r="C301" s="14">
        <f>29.9689 * CHOOSE(CONTROL!$C$15, $E$9, 100%, $G$9) + CHOOSE(CONTROL!$C$38, 0.0342, 0)</f>
        <v>30.0031</v>
      </c>
      <c r="D301" s="14">
        <f>29.9611 * CHOOSE(CONTROL!$C$15, $E$9, 100%, $G$9) + CHOOSE(CONTROL!$C$38, 0.0342, 0)</f>
        <v>29.995299999999997</v>
      </c>
      <c r="E301" s="14">
        <f>29.9611 * CHOOSE(CONTROL!$C$15, $E$9, 100%, $G$9) + CHOOSE(CONTROL!$C$38, 0.0342, 0)</f>
        <v>29.995299999999997</v>
      </c>
      <c r="F301" s="45">
        <f>31.6415 * CHOOSE(CONTROL!$C$15, $E$9, 100%, $G$9) + CHOOSE(CONTROL!$C$38, 0.034, 0)</f>
        <v>31.6755</v>
      </c>
      <c r="G301" s="14">
        <f>29.9673 * CHOOSE(CONTROL!$C$15, $E$9, 100%, $G$9) + CHOOSE(CONTROL!$C$38, 0.0342, 0)</f>
        <v>30.0015</v>
      </c>
      <c r="H301" s="14">
        <f>29.9673 * CHOOSE(CONTROL!$C$15, $E$9, 100%, $G$9) + CHOOSE(CONTROL!$C$38, 0.0342, 0)</f>
        <v>30.0015</v>
      </c>
      <c r="I301" s="14">
        <f>29.9689 * CHOOSE(CONTROL!$C$15, $E$9, 100%, $G$9) + CHOOSE(CONTROL!$C$38, 0.0342, 0)</f>
        <v>30.0031</v>
      </c>
      <c r="J301" s="44">
        <f>182.6097</f>
        <v>182.6097</v>
      </c>
    </row>
    <row r="302" spans="1:10" ht="15" x14ac:dyDescent="0.2">
      <c r="A302" s="34">
        <v>50100</v>
      </c>
      <c r="B302" s="14">
        <f>30.8445 * CHOOSE(CONTROL!$C$15, $E$9, 100%, $G$9) + CHOOSE(CONTROL!$C$38, 0.034, 0)</f>
        <v>30.878499999999999</v>
      </c>
      <c r="C302" s="14">
        <f>29.1718 * CHOOSE(CONTROL!$C$15, $E$9, 100%, $G$9) + CHOOSE(CONTROL!$C$38, 0.0342, 0)</f>
        <v>29.206</v>
      </c>
      <c r="D302" s="14">
        <f>29.164 * CHOOSE(CONTROL!$C$15, $E$9, 100%, $G$9) + CHOOSE(CONTROL!$C$38, 0.0342, 0)</f>
        <v>29.1982</v>
      </c>
      <c r="E302" s="14">
        <f>29.164 * CHOOSE(CONTROL!$C$15, $E$9, 100%, $G$9) + CHOOSE(CONTROL!$C$38, 0.0342, 0)</f>
        <v>29.1982</v>
      </c>
      <c r="F302" s="45">
        <f>30.8445 * CHOOSE(CONTROL!$C$15, $E$9, 100%, $G$9) + CHOOSE(CONTROL!$C$38, 0.034, 0)</f>
        <v>30.878499999999999</v>
      </c>
      <c r="G302" s="14">
        <f>29.1703 * CHOOSE(CONTROL!$C$15, $E$9, 100%, $G$9) + CHOOSE(CONTROL!$C$38, 0.0342, 0)</f>
        <v>29.204499999999999</v>
      </c>
      <c r="H302" s="14">
        <f>29.1703 * CHOOSE(CONTROL!$C$15, $E$9, 100%, $G$9) + CHOOSE(CONTROL!$C$38, 0.0342, 0)</f>
        <v>29.204499999999999</v>
      </c>
      <c r="I302" s="14">
        <f>29.1718 * CHOOSE(CONTROL!$C$15, $E$9, 100%, $G$9) + CHOOSE(CONTROL!$C$38, 0.0342, 0)</f>
        <v>29.206</v>
      </c>
      <c r="J302" s="44">
        <f>192.2343</f>
        <v>192.23429999999999</v>
      </c>
    </row>
    <row r="303" spans="1:10" ht="15" x14ac:dyDescent="0.2">
      <c r="A303" s="34">
        <v>50131</v>
      </c>
      <c r="B303" s="14">
        <f>30.0722 * CHOOSE(CONTROL!$C$15, $E$9, 100%, $G$9) + CHOOSE(CONTROL!$C$38, 0.034, 0)</f>
        <v>30.106199999999998</v>
      </c>
      <c r="C303" s="14">
        <f>28.3995 * CHOOSE(CONTROL!$C$15, $E$9, 100%, $G$9) + CHOOSE(CONTROL!$C$38, 0.0342, 0)</f>
        <v>28.433699999999998</v>
      </c>
      <c r="D303" s="14">
        <f>28.3917 * CHOOSE(CONTROL!$C$15, $E$9, 100%, $G$9) + CHOOSE(CONTROL!$C$38, 0.0342, 0)</f>
        <v>28.425899999999999</v>
      </c>
      <c r="E303" s="14">
        <f>28.3917 * CHOOSE(CONTROL!$C$15, $E$9, 100%, $G$9) + CHOOSE(CONTROL!$C$38, 0.0342, 0)</f>
        <v>28.425899999999999</v>
      </c>
      <c r="F303" s="45">
        <f>30.0722 * CHOOSE(CONTROL!$C$15, $E$9, 100%, $G$9) + CHOOSE(CONTROL!$C$38, 0.034, 0)</f>
        <v>30.106199999999998</v>
      </c>
      <c r="G303" s="14">
        <f>28.398 * CHOOSE(CONTROL!$C$15, $E$9, 100%, $G$9) + CHOOSE(CONTROL!$C$38, 0.0342, 0)</f>
        <v>28.432199999999998</v>
      </c>
      <c r="H303" s="14">
        <f>28.398 * CHOOSE(CONTROL!$C$15, $E$9, 100%, $G$9) + CHOOSE(CONTROL!$C$38, 0.0342, 0)</f>
        <v>28.432199999999998</v>
      </c>
      <c r="I303" s="14">
        <f>28.3995 * CHOOSE(CONTROL!$C$15, $E$9, 100%, $G$9) + CHOOSE(CONTROL!$C$38, 0.0342, 0)</f>
        <v>28.433699999999998</v>
      </c>
      <c r="J303" s="44">
        <f>204.7151</f>
        <v>204.71510000000001</v>
      </c>
    </row>
    <row r="304" spans="1:10" ht="15" x14ac:dyDescent="0.2">
      <c r="A304" s="34">
        <v>50161</v>
      </c>
      <c r="B304" s="14">
        <f>29.2672 * CHOOSE(CONTROL!$C$15, $E$9, 100%, $G$9) + CHOOSE(CONTROL!$C$38, 0.0353, 0)</f>
        <v>29.302499999999998</v>
      </c>
      <c r="C304" s="14">
        <f>27.5946 * CHOOSE(CONTROL!$C$15, $E$9, 100%, $G$9) + CHOOSE(CONTROL!$C$38, 0.0354, 0)</f>
        <v>27.63</v>
      </c>
      <c r="D304" s="14">
        <f>27.5868 * CHOOSE(CONTROL!$C$15, $E$9, 100%, $G$9) + CHOOSE(CONTROL!$C$38, 0.0354, 0)</f>
        <v>27.622199999999999</v>
      </c>
      <c r="E304" s="14">
        <f>27.5868 * CHOOSE(CONTROL!$C$15, $E$9, 100%, $G$9) + CHOOSE(CONTROL!$C$38, 0.0354, 0)</f>
        <v>27.622199999999999</v>
      </c>
      <c r="F304" s="45">
        <f>29.2672 * CHOOSE(CONTROL!$C$15, $E$9, 100%, $G$9) + CHOOSE(CONTROL!$C$38, 0.0353, 0)</f>
        <v>29.302499999999998</v>
      </c>
      <c r="G304" s="14">
        <f>27.593 * CHOOSE(CONTROL!$C$15, $E$9, 100%, $G$9) + CHOOSE(CONTROL!$C$38, 0.0354, 0)</f>
        <v>27.628399999999999</v>
      </c>
      <c r="H304" s="14">
        <f>27.593 * CHOOSE(CONTROL!$C$15, $E$9, 100%, $G$9) + CHOOSE(CONTROL!$C$38, 0.0354, 0)</f>
        <v>27.628399999999999</v>
      </c>
      <c r="I304" s="14">
        <f>27.5946 * CHOOSE(CONTROL!$C$15, $E$9, 100%, $G$9) + CHOOSE(CONTROL!$C$38, 0.0354, 0)</f>
        <v>27.63</v>
      </c>
      <c r="J304" s="44">
        <f>211.5849</f>
        <v>211.5849</v>
      </c>
    </row>
    <row r="305" spans="1:10" ht="15" x14ac:dyDescent="0.2">
      <c r="A305" s="34">
        <v>50192</v>
      </c>
      <c r="B305" s="14">
        <f>28.7029 * CHOOSE(CONTROL!$C$15, $E$9, 100%, $G$9) + CHOOSE(CONTROL!$C$38, 0.0353, 0)</f>
        <v>28.738199999999999</v>
      </c>
      <c r="C305" s="14">
        <f>27.0302 * CHOOSE(CONTROL!$C$15, $E$9, 100%, $G$9) + CHOOSE(CONTROL!$C$38, 0.0354, 0)</f>
        <v>27.0656</v>
      </c>
      <c r="D305" s="14">
        <f>27.0224 * CHOOSE(CONTROL!$C$15, $E$9, 100%, $G$9) + CHOOSE(CONTROL!$C$38, 0.0354, 0)</f>
        <v>27.0578</v>
      </c>
      <c r="E305" s="14">
        <f>27.0224 * CHOOSE(CONTROL!$C$15, $E$9, 100%, $G$9) + CHOOSE(CONTROL!$C$38, 0.0354, 0)</f>
        <v>27.0578</v>
      </c>
      <c r="F305" s="45">
        <f>28.7029 * CHOOSE(CONTROL!$C$15, $E$9, 100%, $G$9) + CHOOSE(CONTROL!$C$38, 0.0353, 0)</f>
        <v>28.738199999999999</v>
      </c>
      <c r="G305" s="14">
        <f>27.0287 * CHOOSE(CONTROL!$C$15, $E$9, 100%, $G$9) + CHOOSE(CONTROL!$C$38, 0.0354, 0)</f>
        <v>27.0641</v>
      </c>
      <c r="H305" s="14">
        <f>27.0287 * CHOOSE(CONTROL!$C$15, $E$9, 100%, $G$9) + CHOOSE(CONTROL!$C$38, 0.0354, 0)</f>
        <v>27.0641</v>
      </c>
      <c r="I305" s="14">
        <f>27.0302 * CHOOSE(CONTROL!$C$15, $E$9, 100%, $G$9) + CHOOSE(CONTROL!$C$38, 0.0354, 0)</f>
        <v>27.0656</v>
      </c>
      <c r="J305" s="44">
        <f>214.6336</f>
        <v>214.6336</v>
      </c>
    </row>
    <row r="306" spans="1:10" ht="15" x14ac:dyDescent="0.2">
      <c r="A306" s="34">
        <v>50222</v>
      </c>
      <c r="B306" s="14">
        <f>28.3808 * CHOOSE(CONTROL!$C$15, $E$9, 100%, $G$9) + CHOOSE(CONTROL!$C$38, 0.0353, 0)</f>
        <v>28.4161</v>
      </c>
      <c r="C306" s="14">
        <f>26.7082 * CHOOSE(CONTROL!$C$15, $E$9, 100%, $G$9) + CHOOSE(CONTROL!$C$38, 0.0354, 0)</f>
        <v>26.743600000000001</v>
      </c>
      <c r="D306" s="14">
        <f>26.7004 * CHOOSE(CONTROL!$C$15, $E$9, 100%, $G$9) + CHOOSE(CONTROL!$C$38, 0.0354, 0)</f>
        <v>26.735799999999998</v>
      </c>
      <c r="E306" s="14">
        <f>26.7004 * CHOOSE(CONTROL!$C$15, $E$9, 100%, $G$9) + CHOOSE(CONTROL!$C$38, 0.0354, 0)</f>
        <v>26.735799999999998</v>
      </c>
      <c r="F306" s="45">
        <f>28.3808 * CHOOSE(CONTROL!$C$15, $E$9, 100%, $G$9) + CHOOSE(CONTROL!$C$38, 0.0353, 0)</f>
        <v>28.4161</v>
      </c>
      <c r="G306" s="14">
        <f>26.7066 * CHOOSE(CONTROL!$C$15, $E$9, 100%, $G$9) + CHOOSE(CONTROL!$C$38, 0.0354, 0)</f>
        <v>26.742000000000001</v>
      </c>
      <c r="H306" s="14">
        <f>26.7066 * CHOOSE(CONTROL!$C$15, $E$9, 100%, $G$9) + CHOOSE(CONTROL!$C$38, 0.0354, 0)</f>
        <v>26.742000000000001</v>
      </c>
      <c r="I306" s="14">
        <f>26.7082 * CHOOSE(CONTROL!$C$15, $E$9, 100%, $G$9) + CHOOSE(CONTROL!$C$38, 0.0354, 0)</f>
        <v>26.743600000000001</v>
      </c>
      <c r="J306" s="44">
        <f>213.6299</f>
        <v>213.62989999999999</v>
      </c>
    </row>
    <row r="307" spans="1:10" ht="15" x14ac:dyDescent="0.2">
      <c r="A307" s="34">
        <v>50253</v>
      </c>
      <c r="B307" s="14">
        <f>28.5397 * CHOOSE(CONTROL!$C$15, $E$9, 100%, $G$9) + CHOOSE(CONTROL!$C$38, 0.0353, 0)</f>
        <v>28.574999999999999</v>
      </c>
      <c r="C307" s="14">
        <f>26.8671 * CHOOSE(CONTROL!$C$15, $E$9, 100%, $G$9) + CHOOSE(CONTROL!$C$38, 0.0354, 0)</f>
        <v>26.9025</v>
      </c>
      <c r="D307" s="14">
        <f>26.8593 * CHOOSE(CONTROL!$C$15, $E$9, 100%, $G$9) + CHOOSE(CONTROL!$C$38, 0.0354, 0)</f>
        <v>26.8947</v>
      </c>
      <c r="E307" s="14">
        <f>26.8593 * CHOOSE(CONTROL!$C$15, $E$9, 100%, $G$9) + CHOOSE(CONTROL!$C$38, 0.0354, 0)</f>
        <v>26.8947</v>
      </c>
      <c r="F307" s="45">
        <f>28.5397 * CHOOSE(CONTROL!$C$15, $E$9, 100%, $G$9) + CHOOSE(CONTROL!$C$38, 0.0353, 0)</f>
        <v>28.574999999999999</v>
      </c>
      <c r="G307" s="14">
        <f>26.8656 * CHOOSE(CONTROL!$C$15, $E$9, 100%, $G$9) + CHOOSE(CONTROL!$C$38, 0.0354, 0)</f>
        <v>26.901</v>
      </c>
      <c r="H307" s="14">
        <f>26.8656 * CHOOSE(CONTROL!$C$15, $E$9, 100%, $G$9) + CHOOSE(CONTROL!$C$38, 0.0354, 0)</f>
        <v>26.901</v>
      </c>
      <c r="I307" s="14">
        <f>26.8671 * CHOOSE(CONTROL!$C$15, $E$9, 100%, $G$9) + CHOOSE(CONTROL!$C$38, 0.0354, 0)</f>
        <v>26.9025</v>
      </c>
      <c r="J307" s="44">
        <f>208.6567</f>
        <v>208.6567</v>
      </c>
    </row>
    <row r="308" spans="1:10" ht="15" x14ac:dyDescent="0.2">
      <c r="A308" s="34">
        <v>50284</v>
      </c>
      <c r="B308" s="14">
        <f>28.9715 * CHOOSE(CONTROL!$C$15, $E$9, 100%, $G$9) + CHOOSE(CONTROL!$C$38, 0.0353, 0)</f>
        <v>29.006799999999998</v>
      </c>
      <c r="C308" s="14">
        <f>27.2988 * CHOOSE(CONTROL!$C$15, $E$9, 100%, $G$9) + CHOOSE(CONTROL!$C$38, 0.0354, 0)</f>
        <v>27.334199999999999</v>
      </c>
      <c r="D308" s="14">
        <f>27.291 * CHOOSE(CONTROL!$C$15, $E$9, 100%, $G$9) + CHOOSE(CONTROL!$C$38, 0.0354, 0)</f>
        <v>27.3264</v>
      </c>
      <c r="E308" s="14">
        <f>27.291 * CHOOSE(CONTROL!$C$15, $E$9, 100%, $G$9) + CHOOSE(CONTROL!$C$38, 0.0354, 0)</f>
        <v>27.3264</v>
      </c>
      <c r="F308" s="45">
        <f>28.9715 * CHOOSE(CONTROL!$C$15, $E$9, 100%, $G$9) + CHOOSE(CONTROL!$C$38, 0.0353, 0)</f>
        <v>29.006799999999998</v>
      </c>
      <c r="G308" s="14">
        <f>27.2973 * CHOOSE(CONTROL!$C$15, $E$9, 100%, $G$9) + CHOOSE(CONTROL!$C$38, 0.0354, 0)</f>
        <v>27.332699999999999</v>
      </c>
      <c r="H308" s="14">
        <f>27.2973 * CHOOSE(CONTROL!$C$15, $E$9, 100%, $G$9) + CHOOSE(CONTROL!$C$38, 0.0354, 0)</f>
        <v>27.332699999999999</v>
      </c>
      <c r="I308" s="14">
        <f>27.2988 * CHOOSE(CONTROL!$C$15, $E$9, 100%, $G$9) + CHOOSE(CONTROL!$C$38, 0.0354, 0)</f>
        <v>27.334199999999999</v>
      </c>
      <c r="J308" s="44">
        <f>201.7213</f>
        <v>201.72130000000001</v>
      </c>
    </row>
    <row r="309" spans="1:10" ht="15" x14ac:dyDescent="0.2">
      <c r="A309" s="34">
        <v>50314</v>
      </c>
      <c r="B309" s="14">
        <f>29.333 * CHOOSE(CONTROL!$C$15, $E$9, 100%, $G$9) + CHOOSE(CONTROL!$C$38, 0.034, 0)</f>
        <v>29.366999999999997</v>
      </c>
      <c r="C309" s="14">
        <f>27.6604 * CHOOSE(CONTROL!$C$15, $E$9, 100%, $G$9) + CHOOSE(CONTROL!$C$38, 0.0342, 0)</f>
        <v>27.694599999999998</v>
      </c>
      <c r="D309" s="14">
        <f>27.6526 * CHOOSE(CONTROL!$C$15, $E$9, 100%, $G$9) + CHOOSE(CONTROL!$C$38, 0.0342, 0)</f>
        <v>27.686799999999998</v>
      </c>
      <c r="E309" s="14">
        <f>27.6526 * CHOOSE(CONTROL!$C$15, $E$9, 100%, $G$9) + CHOOSE(CONTROL!$C$38, 0.0342, 0)</f>
        <v>27.686799999999998</v>
      </c>
      <c r="F309" s="45">
        <f>29.333 * CHOOSE(CONTROL!$C$15, $E$9, 100%, $G$9) + CHOOSE(CONTROL!$C$38, 0.034, 0)</f>
        <v>29.366999999999997</v>
      </c>
      <c r="G309" s="14">
        <f>27.6588 * CHOOSE(CONTROL!$C$15, $E$9, 100%, $G$9) + CHOOSE(CONTROL!$C$38, 0.0342, 0)</f>
        <v>27.692999999999998</v>
      </c>
      <c r="H309" s="14">
        <f>27.6588 * CHOOSE(CONTROL!$C$15, $E$9, 100%, $G$9) + CHOOSE(CONTROL!$C$38, 0.0342, 0)</f>
        <v>27.692999999999998</v>
      </c>
      <c r="I309" s="14">
        <f>27.6604 * CHOOSE(CONTROL!$C$15, $E$9, 100%, $G$9) + CHOOSE(CONTROL!$C$38, 0.0342, 0)</f>
        <v>27.694599999999998</v>
      </c>
      <c r="J309" s="44">
        <f>194.7455</f>
        <v>194.74549999999999</v>
      </c>
    </row>
    <row r="310" spans="1:10" ht="15" x14ac:dyDescent="0.2">
      <c r="A310" s="34">
        <v>50345</v>
      </c>
      <c r="B310" s="14">
        <f>29.6347 * CHOOSE(CONTROL!$C$15, $E$9, 100%, $G$9) + CHOOSE(CONTROL!$C$38, 0.034, 0)</f>
        <v>29.668699999999998</v>
      </c>
      <c r="C310" s="14">
        <f>27.9621 * CHOOSE(CONTROL!$C$15, $E$9, 100%, $G$9) + CHOOSE(CONTROL!$C$38, 0.0342, 0)</f>
        <v>27.996299999999998</v>
      </c>
      <c r="D310" s="14">
        <f>27.9543 * CHOOSE(CONTROL!$C$15, $E$9, 100%, $G$9) + CHOOSE(CONTROL!$C$38, 0.0342, 0)</f>
        <v>27.988499999999998</v>
      </c>
      <c r="E310" s="14">
        <f>27.9543 * CHOOSE(CONTROL!$C$15, $E$9, 100%, $G$9) + CHOOSE(CONTROL!$C$38, 0.0342, 0)</f>
        <v>27.988499999999998</v>
      </c>
      <c r="F310" s="45">
        <f>29.6347 * CHOOSE(CONTROL!$C$15, $E$9, 100%, $G$9) + CHOOSE(CONTROL!$C$38, 0.034, 0)</f>
        <v>29.668699999999998</v>
      </c>
      <c r="G310" s="14">
        <f>27.9605 * CHOOSE(CONTROL!$C$15, $E$9, 100%, $G$9) + CHOOSE(CONTROL!$C$38, 0.0342, 0)</f>
        <v>27.994699999999998</v>
      </c>
      <c r="H310" s="14">
        <f>27.9605 * CHOOSE(CONTROL!$C$15, $E$9, 100%, $G$9) + CHOOSE(CONTROL!$C$38, 0.0342, 0)</f>
        <v>27.994699999999998</v>
      </c>
      <c r="I310" s="14">
        <f>27.9621 * CHOOSE(CONTROL!$C$15, $E$9, 100%, $G$9) + CHOOSE(CONTROL!$C$38, 0.0342, 0)</f>
        <v>27.996299999999998</v>
      </c>
      <c r="J310" s="44">
        <f>193.3579</f>
        <v>193.3579</v>
      </c>
    </row>
    <row r="311" spans="1:10" ht="15" x14ac:dyDescent="0.2">
      <c r="A311" s="34">
        <v>50375</v>
      </c>
      <c r="B311" s="14">
        <f>30.5644 * CHOOSE(CONTROL!$C$15, $E$9, 100%, $G$9) + CHOOSE(CONTROL!$C$38, 0.034, 0)</f>
        <v>30.598399999999998</v>
      </c>
      <c r="C311" s="14">
        <f>28.8918 * CHOOSE(CONTROL!$C$15, $E$9, 100%, $G$9) + CHOOSE(CONTROL!$C$38, 0.0342, 0)</f>
        <v>28.925999999999998</v>
      </c>
      <c r="D311" s="14">
        <f>28.884 * CHOOSE(CONTROL!$C$15, $E$9, 100%, $G$9) + CHOOSE(CONTROL!$C$38, 0.0342, 0)</f>
        <v>28.918199999999999</v>
      </c>
      <c r="E311" s="14">
        <f>28.884 * CHOOSE(CONTROL!$C$15, $E$9, 100%, $G$9) + CHOOSE(CONTROL!$C$38, 0.0342, 0)</f>
        <v>28.918199999999999</v>
      </c>
      <c r="F311" s="45">
        <f>30.5644 * CHOOSE(CONTROL!$C$15, $E$9, 100%, $G$9) + CHOOSE(CONTROL!$C$38, 0.034, 0)</f>
        <v>30.598399999999998</v>
      </c>
      <c r="G311" s="14">
        <f>28.8902 * CHOOSE(CONTROL!$C$15, $E$9, 100%, $G$9) + CHOOSE(CONTROL!$C$38, 0.0342, 0)</f>
        <v>28.924399999999999</v>
      </c>
      <c r="H311" s="14">
        <f>28.8902 * CHOOSE(CONTROL!$C$15, $E$9, 100%, $G$9) + CHOOSE(CONTROL!$C$38, 0.0342, 0)</f>
        <v>28.924399999999999</v>
      </c>
      <c r="I311" s="14">
        <f>28.8918 * CHOOSE(CONTROL!$C$15, $E$9, 100%, $G$9) + CHOOSE(CONTROL!$C$38, 0.0342, 0)</f>
        <v>28.925999999999998</v>
      </c>
      <c r="J311" s="44">
        <f>187.62</f>
        <v>187.62</v>
      </c>
    </row>
    <row r="312" spans="1:10" ht="15.75" x14ac:dyDescent="0.25">
      <c r="A312" s="33">
        <v>50436</v>
      </c>
      <c r="B312" s="14">
        <f>31.787 * CHOOSE(CONTROL!$C$15, $E$9, 100%, $G$9) + CHOOSE(CONTROL!$C$38, 0.034, 0)</f>
        <v>31.820999999999998</v>
      </c>
      <c r="C312" s="14">
        <f>30.0889 * CHOOSE(CONTROL!$C$15, $E$9, 100%, $G$9) + CHOOSE(CONTROL!$C$38, 0.0342, 0)</f>
        <v>30.123099999999997</v>
      </c>
      <c r="D312" s="14">
        <f>30.0811 * CHOOSE(CONTROL!$C$15, $E$9, 100%, $G$9) + CHOOSE(CONTROL!$C$38, 0.0342, 0)</f>
        <v>30.115299999999998</v>
      </c>
      <c r="E312" s="14">
        <f>30.0811 * CHOOSE(CONTROL!$C$15, $E$9, 100%, $G$9) + CHOOSE(CONTROL!$C$38, 0.0342, 0)</f>
        <v>30.115299999999998</v>
      </c>
      <c r="F312" s="45">
        <f>31.787 * CHOOSE(CONTROL!$C$15, $E$9, 100%, $G$9) + CHOOSE(CONTROL!$C$38, 0.034, 0)</f>
        <v>31.820999999999998</v>
      </c>
      <c r="G312" s="14">
        <f>30.0873 * CHOOSE(CONTROL!$C$15, $E$9, 100%, $G$9) + CHOOSE(CONTROL!$C$38, 0.0342, 0)</f>
        <v>30.121499999999997</v>
      </c>
      <c r="H312" s="14">
        <f>30.0873 * CHOOSE(CONTROL!$C$15, $E$9, 100%, $G$9) + CHOOSE(CONTROL!$C$38, 0.0342, 0)</f>
        <v>30.121499999999997</v>
      </c>
      <c r="I312" s="14">
        <f>30.0889 * CHOOSE(CONTROL!$C$15, $E$9, 100%, $G$9) + CHOOSE(CONTROL!$C$38, 0.0342, 0)</f>
        <v>30.123099999999997</v>
      </c>
      <c r="J312" s="44">
        <f>187.4846</f>
        <v>187.4846</v>
      </c>
    </row>
    <row r="313" spans="1:10" ht="15.75" x14ac:dyDescent="0.25">
      <c r="A313" s="33">
        <v>50464</v>
      </c>
      <c r="B313" s="14">
        <f>32.1313 * CHOOSE(CONTROL!$C$15, $E$9, 100%, $G$9) + CHOOSE(CONTROL!$C$38, 0.034, 0)</f>
        <v>32.165300000000002</v>
      </c>
      <c r="C313" s="14">
        <f>30.4332 * CHOOSE(CONTROL!$C$15, $E$9, 100%, $G$9) + CHOOSE(CONTROL!$C$38, 0.0342, 0)</f>
        <v>30.467399999999998</v>
      </c>
      <c r="D313" s="14">
        <f>30.4254 * CHOOSE(CONTROL!$C$15, $E$9, 100%, $G$9) + CHOOSE(CONTROL!$C$38, 0.0342, 0)</f>
        <v>30.459599999999998</v>
      </c>
      <c r="E313" s="14">
        <f>30.4254 * CHOOSE(CONTROL!$C$15, $E$9, 100%, $G$9) + CHOOSE(CONTROL!$C$38, 0.0342, 0)</f>
        <v>30.459599999999998</v>
      </c>
      <c r="F313" s="45">
        <f>32.1313 * CHOOSE(CONTROL!$C$15, $E$9, 100%, $G$9) + CHOOSE(CONTROL!$C$38, 0.034, 0)</f>
        <v>32.165300000000002</v>
      </c>
      <c r="G313" s="14">
        <f>30.4316 * CHOOSE(CONTROL!$C$15, $E$9, 100%, $G$9) + CHOOSE(CONTROL!$C$38, 0.0342, 0)</f>
        <v>30.465799999999998</v>
      </c>
      <c r="H313" s="14">
        <f>30.4316 * CHOOSE(CONTROL!$C$15, $E$9, 100%, $G$9) + CHOOSE(CONTROL!$C$38, 0.0342, 0)</f>
        <v>30.465799999999998</v>
      </c>
      <c r="I313" s="14">
        <f>30.4332 * CHOOSE(CONTROL!$C$15, $E$9, 100%, $G$9) + CHOOSE(CONTROL!$C$38, 0.0342, 0)</f>
        <v>30.467399999999998</v>
      </c>
      <c r="J313" s="44">
        <f>186.9634</f>
        <v>186.96340000000001</v>
      </c>
    </row>
    <row r="314" spans="1:10" ht="15.75" x14ac:dyDescent="0.25">
      <c r="A314" s="33">
        <v>50495</v>
      </c>
      <c r="B314" s="14">
        <f>31.3342 * CHOOSE(CONTROL!$C$15, $E$9, 100%, $G$9) + CHOOSE(CONTROL!$C$38, 0.034, 0)</f>
        <v>31.368199999999998</v>
      </c>
      <c r="C314" s="14">
        <f>29.6361 * CHOOSE(CONTROL!$C$15, $E$9, 100%, $G$9) + CHOOSE(CONTROL!$C$38, 0.0342, 0)</f>
        <v>29.670299999999997</v>
      </c>
      <c r="D314" s="14">
        <f>29.6283 * CHOOSE(CONTROL!$C$15, $E$9, 100%, $G$9) + CHOOSE(CONTROL!$C$38, 0.0342, 0)</f>
        <v>29.662499999999998</v>
      </c>
      <c r="E314" s="14">
        <f>29.6283 * CHOOSE(CONTROL!$C$15, $E$9, 100%, $G$9) + CHOOSE(CONTROL!$C$38, 0.0342, 0)</f>
        <v>29.662499999999998</v>
      </c>
      <c r="F314" s="45">
        <f>31.3342 * CHOOSE(CONTROL!$C$15, $E$9, 100%, $G$9) + CHOOSE(CONTROL!$C$38, 0.034, 0)</f>
        <v>31.368199999999998</v>
      </c>
      <c r="G314" s="14">
        <f>29.6346 * CHOOSE(CONTROL!$C$15, $E$9, 100%, $G$9) + CHOOSE(CONTROL!$C$38, 0.0342, 0)</f>
        <v>29.668799999999997</v>
      </c>
      <c r="H314" s="14">
        <f>29.6346 * CHOOSE(CONTROL!$C$15, $E$9, 100%, $G$9) + CHOOSE(CONTROL!$C$38, 0.0342, 0)</f>
        <v>29.668799999999997</v>
      </c>
      <c r="I314" s="14">
        <f>29.6361 * CHOOSE(CONTROL!$C$15, $E$9, 100%, $G$9) + CHOOSE(CONTROL!$C$38, 0.0342, 0)</f>
        <v>29.670299999999997</v>
      </c>
      <c r="J314" s="44">
        <f>196.8175</f>
        <v>196.8175</v>
      </c>
    </row>
    <row r="315" spans="1:10" ht="15.75" x14ac:dyDescent="0.25">
      <c r="A315" s="33">
        <v>50525</v>
      </c>
      <c r="B315" s="14">
        <f>30.5619 * CHOOSE(CONTROL!$C$15, $E$9, 100%, $G$9) + CHOOSE(CONTROL!$C$38, 0.034, 0)</f>
        <v>30.5959</v>
      </c>
      <c r="C315" s="14">
        <f>28.8638 * CHOOSE(CONTROL!$C$15, $E$9, 100%, $G$9) + CHOOSE(CONTROL!$C$38, 0.0342, 0)</f>
        <v>28.898</v>
      </c>
      <c r="D315" s="14">
        <f>28.856 * CHOOSE(CONTROL!$C$15, $E$9, 100%, $G$9) + CHOOSE(CONTROL!$C$38, 0.0342, 0)</f>
        <v>28.8902</v>
      </c>
      <c r="E315" s="14">
        <f>28.856 * CHOOSE(CONTROL!$C$15, $E$9, 100%, $G$9) + CHOOSE(CONTROL!$C$38, 0.0342, 0)</f>
        <v>28.8902</v>
      </c>
      <c r="F315" s="45">
        <f>30.5619 * CHOOSE(CONTROL!$C$15, $E$9, 100%, $G$9) + CHOOSE(CONTROL!$C$38, 0.034, 0)</f>
        <v>30.5959</v>
      </c>
      <c r="G315" s="14">
        <f>28.8623 * CHOOSE(CONTROL!$C$15, $E$9, 100%, $G$9) + CHOOSE(CONTROL!$C$38, 0.0342, 0)</f>
        <v>28.8965</v>
      </c>
      <c r="H315" s="14">
        <f>28.8623 * CHOOSE(CONTROL!$C$15, $E$9, 100%, $G$9) + CHOOSE(CONTROL!$C$38, 0.0342, 0)</f>
        <v>28.8965</v>
      </c>
      <c r="I315" s="14">
        <f>28.8638 * CHOOSE(CONTROL!$C$15, $E$9, 100%, $G$9) + CHOOSE(CONTROL!$C$38, 0.0342, 0)</f>
        <v>28.898</v>
      </c>
      <c r="J315" s="44">
        <f>209.5958</f>
        <v>209.5958</v>
      </c>
    </row>
    <row r="316" spans="1:10" ht="15.75" x14ac:dyDescent="0.25">
      <c r="A316" s="33">
        <v>50556</v>
      </c>
      <c r="B316" s="14">
        <f>29.757 * CHOOSE(CONTROL!$C$15, $E$9, 100%, $G$9) + CHOOSE(CONTROL!$C$38, 0.0353, 0)</f>
        <v>29.792300000000001</v>
      </c>
      <c r="C316" s="14">
        <f>28.0589 * CHOOSE(CONTROL!$C$15, $E$9, 100%, $G$9) + CHOOSE(CONTROL!$C$38, 0.0354, 0)</f>
        <v>28.0943</v>
      </c>
      <c r="D316" s="14">
        <f>28.0511 * CHOOSE(CONTROL!$C$15, $E$9, 100%, $G$9) + CHOOSE(CONTROL!$C$38, 0.0354, 0)</f>
        <v>28.086500000000001</v>
      </c>
      <c r="E316" s="14">
        <f>28.0511 * CHOOSE(CONTROL!$C$15, $E$9, 100%, $G$9) + CHOOSE(CONTROL!$C$38, 0.0354, 0)</f>
        <v>28.086500000000001</v>
      </c>
      <c r="F316" s="45">
        <f>29.757 * CHOOSE(CONTROL!$C$15, $E$9, 100%, $G$9) + CHOOSE(CONTROL!$C$38, 0.0353, 0)</f>
        <v>29.792300000000001</v>
      </c>
      <c r="G316" s="14">
        <f>28.0573 * CHOOSE(CONTROL!$C$15, $E$9, 100%, $G$9) + CHOOSE(CONTROL!$C$38, 0.0354, 0)</f>
        <v>28.092700000000001</v>
      </c>
      <c r="H316" s="14">
        <f>28.0573 * CHOOSE(CONTROL!$C$15, $E$9, 100%, $G$9) + CHOOSE(CONTROL!$C$38, 0.0354, 0)</f>
        <v>28.092700000000001</v>
      </c>
      <c r="I316" s="14">
        <f>28.0589 * CHOOSE(CONTROL!$C$15, $E$9, 100%, $G$9) + CHOOSE(CONTROL!$C$38, 0.0354, 0)</f>
        <v>28.0943</v>
      </c>
      <c r="J316" s="44">
        <f>216.6294</f>
        <v>216.6294</v>
      </c>
    </row>
    <row r="317" spans="1:10" ht="15.75" x14ac:dyDescent="0.25">
      <c r="A317" s="33">
        <v>50586</v>
      </c>
      <c r="B317" s="14">
        <f>29.1926 * CHOOSE(CONTROL!$C$15, $E$9, 100%, $G$9) + CHOOSE(CONTROL!$C$38, 0.0353, 0)</f>
        <v>29.227899999999998</v>
      </c>
      <c r="C317" s="14">
        <f>27.4945 * CHOOSE(CONTROL!$C$15, $E$9, 100%, $G$9) + CHOOSE(CONTROL!$C$38, 0.0354, 0)</f>
        <v>27.529899999999998</v>
      </c>
      <c r="D317" s="14">
        <f>27.4867 * CHOOSE(CONTROL!$C$15, $E$9, 100%, $G$9) + CHOOSE(CONTROL!$C$38, 0.0354, 0)</f>
        <v>27.522099999999998</v>
      </c>
      <c r="E317" s="14">
        <f>27.4867 * CHOOSE(CONTROL!$C$15, $E$9, 100%, $G$9) + CHOOSE(CONTROL!$C$38, 0.0354, 0)</f>
        <v>27.522099999999998</v>
      </c>
      <c r="F317" s="45">
        <f>29.1926 * CHOOSE(CONTROL!$C$15, $E$9, 100%, $G$9) + CHOOSE(CONTROL!$C$38, 0.0353, 0)</f>
        <v>29.227899999999998</v>
      </c>
      <c r="G317" s="14">
        <f>27.493 * CHOOSE(CONTROL!$C$15, $E$9, 100%, $G$9) + CHOOSE(CONTROL!$C$38, 0.0354, 0)</f>
        <v>27.528399999999998</v>
      </c>
      <c r="H317" s="14">
        <f>27.493 * CHOOSE(CONTROL!$C$15, $E$9, 100%, $G$9) + CHOOSE(CONTROL!$C$38, 0.0354, 0)</f>
        <v>27.528399999999998</v>
      </c>
      <c r="I317" s="14">
        <f>27.4945 * CHOOSE(CONTROL!$C$15, $E$9, 100%, $G$9) + CHOOSE(CONTROL!$C$38, 0.0354, 0)</f>
        <v>27.529899999999998</v>
      </c>
      <c r="J317" s="44">
        <f>219.7508</f>
        <v>219.7508</v>
      </c>
    </row>
    <row r="318" spans="1:10" ht="15.75" x14ac:dyDescent="0.25">
      <c r="A318" s="33">
        <v>50617</v>
      </c>
      <c r="B318" s="14">
        <f>28.8706 * CHOOSE(CONTROL!$C$15, $E$9, 100%, $G$9) + CHOOSE(CONTROL!$C$38, 0.0353, 0)</f>
        <v>28.905899999999999</v>
      </c>
      <c r="C318" s="14">
        <f>27.1725 * CHOOSE(CONTROL!$C$15, $E$9, 100%, $G$9) + CHOOSE(CONTROL!$C$38, 0.0354, 0)</f>
        <v>27.207899999999999</v>
      </c>
      <c r="D318" s="14">
        <f>27.1647 * CHOOSE(CONTROL!$C$15, $E$9, 100%, $G$9) + CHOOSE(CONTROL!$C$38, 0.0354, 0)</f>
        <v>27.200099999999999</v>
      </c>
      <c r="E318" s="14">
        <f>27.1647 * CHOOSE(CONTROL!$C$15, $E$9, 100%, $G$9) + CHOOSE(CONTROL!$C$38, 0.0354, 0)</f>
        <v>27.200099999999999</v>
      </c>
      <c r="F318" s="45">
        <f>28.8706 * CHOOSE(CONTROL!$C$15, $E$9, 100%, $G$9) + CHOOSE(CONTROL!$C$38, 0.0353, 0)</f>
        <v>28.905899999999999</v>
      </c>
      <c r="G318" s="14">
        <f>27.1709 * CHOOSE(CONTROL!$C$15, $E$9, 100%, $G$9) + CHOOSE(CONTROL!$C$38, 0.0354, 0)</f>
        <v>27.206299999999999</v>
      </c>
      <c r="H318" s="14">
        <f>27.1709 * CHOOSE(CONTROL!$C$15, $E$9, 100%, $G$9) + CHOOSE(CONTROL!$C$38, 0.0354, 0)</f>
        <v>27.206299999999999</v>
      </c>
      <c r="I318" s="14">
        <f>27.1725 * CHOOSE(CONTROL!$C$15, $E$9, 100%, $G$9) + CHOOSE(CONTROL!$C$38, 0.0354, 0)</f>
        <v>27.207899999999999</v>
      </c>
      <c r="J318" s="44">
        <f>218.7231</f>
        <v>218.72309999999999</v>
      </c>
    </row>
    <row r="319" spans="1:10" ht="15.75" x14ac:dyDescent="0.25">
      <c r="A319" s="33">
        <v>50648</v>
      </c>
      <c r="B319" s="14">
        <f>29.0295 * CHOOSE(CONTROL!$C$15, $E$9, 100%, $G$9) + CHOOSE(CONTROL!$C$38, 0.0353, 0)</f>
        <v>29.064799999999998</v>
      </c>
      <c r="C319" s="14">
        <f>27.3314 * CHOOSE(CONTROL!$C$15, $E$9, 100%, $G$9) + CHOOSE(CONTROL!$C$38, 0.0354, 0)</f>
        <v>27.366799999999998</v>
      </c>
      <c r="D319" s="14">
        <f>27.3236 * CHOOSE(CONTROL!$C$15, $E$9, 100%, $G$9) + CHOOSE(CONTROL!$C$38, 0.0354, 0)</f>
        <v>27.358999999999998</v>
      </c>
      <c r="E319" s="14">
        <f>27.3236 * CHOOSE(CONTROL!$C$15, $E$9, 100%, $G$9) + CHOOSE(CONTROL!$C$38, 0.0354, 0)</f>
        <v>27.358999999999998</v>
      </c>
      <c r="F319" s="45">
        <f>29.0295 * CHOOSE(CONTROL!$C$15, $E$9, 100%, $G$9) + CHOOSE(CONTROL!$C$38, 0.0353, 0)</f>
        <v>29.064799999999998</v>
      </c>
      <c r="G319" s="14">
        <f>27.3299 * CHOOSE(CONTROL!$C$15, $E$9, 100%, $G$9) + CHOOSE(CONTROL!$C$38, 0.0354, 0)</f>
        <v>27.365299999999998</v>
      </c>
      <c r="H319" s="14">
        <f>27.3299 * CHOOSE(CONTROL!$C$15, $E$9, 100%, $G$9) + CHOOSE(CONTROL!$C$38, 0.0354, 0)</f>
        <v>27.365299999999998</v>
      </c>
      <c r="I319" s="14">
        <f>27.3314 * CHOOSE(CONTROL!$C$15, $E$9, 100%, $G$9) + CHOOSE(CONTROL!$C$38, 0.0354, 0)</f>
        <v>27.366799999999998</v>
      </c>
      <c r="J319" s="44">
        <f>213.6313</f>
        <v>213.63130000000001</v>
      </c>
    </row>
    <row r="320" spans="1:10" ht="15.75" x14ac:dyDescent="0.25">
      <c r="A320" s="33">
        <v>50678</v>
      </c>
      <c r="B320" s="14">
        <f>29.4612 * CHOOSE(CONTROL!$C$15, $E$9, 100%, $G$9) + CHOOSE(CONTROL!$C$38, 0.0353, 0)</f>
        <v>29.496500000000001</v>
      </c>
      <c r="C320" s="14">
        <f>27.7631 * CHOOSE(CONTROL!$C$15, $E$9, 100%, $G$9) + CHOOSE(CONTROL!$C$38, 0.0354, 0)</f>
        <v>27.798500000000001</v>
      </c>
      <c r="D320" s="14">
        <f>27.7553 * CHOOSE(CONTROL!$C$15, $E$9, 100%, $G$9) + CHOOSE(CONTROL!$C$38, 0.0354, 0)</f>
        <v>27.790699999999998</v>
      </c>
      <c r="E320" s="14">
        <f>27.7553 * CHOOSE(CONTROL!$C$15, $E$9, 100%, $G$9) + CHOOSE(CONTROL!$C$38, 0.0354, 0)</f>
        <v>27.790699999999998</v>
      </c>
      <c r="F320" s="45">
        <f>29.4612 * CHOOSE(CONTROL!$C$15, $E$9, 100%, $G$9) + CHOOSE(CONTROL!$C$38, 0.0353, 0)</f>
        <v>29.496500000000001</v>
      </c>
      <c r="G320" s="14">
        <f>27.7616 * CHOOSE(CONTROL!$C$15, $E$9, 100%, $G$9) + CHOOSE(CONTROL!$C$38, 0.0354, 0)</f>
        <v>27.797000000000001</v>
      </c>
      <c r="H320" s="14">
        <f>27.7616 * CHOOSE(CONTROL!$C$15, $E$9, 100%, $G$9) + CHOOSE(CONTROL!$C$38, 0.0354, 0)</f>
        <v>27.797000000000001</v>
      </c>
      <c r="I320" s="14">
        <f>27.7631 * CHOOSE(CONTROL!$C$15, $E$9, 100%, $G$9) + CHOOSE(CONTROL!$C$38, 0.0354, 0)</f>
        <v>27.798500000000001</v>
      </c>
      <c r="J320" s="44">
        <f>206.5306</f>
        <v>206.53059999999999</v>
      </c>
    </row>
    <row r="321" spans="1:10" ht="15.75" x14ac:dyDescent="0.25">
      <c r="A321" s="33">
        <v>50709</v>
      </c>
      <c r="B321" s="14">
        <f>29.8228 * CHOOSE(CONTROL!$C$15, $E$9, 100%, $G$9) + CHOOSE(CONTROL!$C$38, 0.034, 0)</f>
        <v>29.8568</v>
      </c>
      <c r="C321" s="14">
        <f>28.1247 * CHOOSE(CONTROL!$C$15, $E$9, 100%, $G$9) + CHOOSE(CONTROL!$C$38, 0.0342, 0)</f>
        <v>28.158899999999999</v>
      </c>
      <c r="D321" s="14">
        <f>28.1169 * CHOOSE(CONTROL!$C$15, $E$9, 100%, $G$9) + CHOOSE(CONTROL!$C$38, 0.0342, 0)</f>
        <v>28.1511</v>
      </c>
      <c r="E321" s="14">
        <f>28.1169 * CHOOSE(CONTROL!$C$15, $E$9, 100%, $G$9) + CHOOSE(CONTROL!$C$38, 0.0342, 0)</f>
        <v>28.1511</v>
      </c>
      <c r="F321" s="45">
        <f>29.8228 * CHOOSE(CONTROL!$C$15, $E$9, 100%, $G$9) + CHOOSE(CONTROL!$C$38, 0.034, 0)</f>
        <v>29.8568</v>
      </c>
      <c r="G321" s="14">
        <f>28.1231 * CHOOSE(CONTROL!$C$15, $E$9, 100%, $G$9) + CHOOSE(CONTROL!$C$38, 0.0342, 0)</f>
        <v>28.157299999999999</v>
      </c>
      <c r="H321" s="14">
        <f>28.1231 * CHOOSE(CONTROL!$C$15, $E$9, 100%, $G$9) + CHOOSE(CONTROL!$C$38, 0.0342, 0)</f>
        <v>28.157299999999999</v>
      </c>
      <c r="I321" s="14">
        <f>28.1247 * CHOOSE(CONTROL!$C$15, $E$9, 100%, $G$9) + CHOOSE(CONTROL!$C$38, 0.0342, 0)</f>
        <v>28.158899999999999</v>
      </c>
      <c r="J321" s="44">
        <f>199.3886</f>
        <v>199.3886</v>
      </c>
    </row>
    <row r="322" spans="1:10" ht="15.75" x14ac:dyDescent="0.25">
      <c r="A322" s="33">
        <v>50739</v>
      </c>
      <c r="B322" s="14">
        <f>30.1245 * CHOOSE(CONTROL!$C$15, $E$9, 100%, $G$9) + CHOOSE(CONTROL!$C$38, 0.034, 0)</f>
        <v>30.1585</v>
      </c>
      <c r="C322" s="14">
        <f>28.4264 * CHOOSE(CONTROL!$C$15, $E$9, 100%, $G$9) + CHOOSE(CONTROL!$C$38, 0.0342, 0)</f>
        <v>28.460599999999999</v>
      </c>
      <c r="D322" s="14">
        <f>28.4186 * CHOOSE(CONTROL!$C$15, $E$9, 100%, $G$9) + CHOOSE(CONTROL!$C$38, 0.0342, 0)</f>
        <v>28.4528</v>
      </c>
      <c r="E322" s="14">
        <f>28.4186 * CHOOSE(CONTROL!$C$15, $E$9, 100%, $G$9) + CHOOSE(CONTROL!$C$38, 0.0342, 0)</f>
        <v>28.4528</v>
      </c>
      <c r="F322" s="45">
        <f>30.1245 * CHOOSE(CONTROL!$C$15, $E$9, 100%, $G$9) + CHOOSE(CONTROL!$C$38, 0.034, 0)</f>
        <v>30.1585</v>
      </c>
      <c r="G322" s="14">
        <f>28.4248 * CHOOSE(CONTROL!$C$15, $E$9, 100%, $G$9) + CHOOSE(CONTROL!$C$38, 0.0342, 0)</f>
        <v>28.459</v>
      </c>
      <c r="H322" s="14">
        <f>28.4248 * CHOOSE(CONTROL!$C$15, $E$9, 100%, $G$9) + CHOOSE(CONTROL!$C$38, 0.0342, 0)</f>
        <v>28.459</v>
      </c>
      <c r="I322" s="14">
        <f>28.4264 * CHOOSE(CONTROL!$C$15, $E$9, 100%, $G$9) + CHOOSE(CONTROL!$C$38, 0.0342, 0)</f>
        <v>28.460599999999999</v>
      </c>
      <c r="J322" s="44">
        <f>197.9679</f>
        <v>197.96789999999999</v>
      </c>
    </row>
    <row r="323" spans="1:10" ht="15.75" x14ac:dyDescent="0.25">
      <c r="A323" s="33">
        <v>50770</v>
      </c>
      <c r="B323" s="14">
        <f>31.0542 * CHOOSE(CONTROL!$C$15, $E$9, 100%, $G$9) + CHOOSE(CONTROL!$C$38, 0.034, 0)</f>
        <v>31.088200000000001</v>
      </c>
      <c r="C323" s="14">
        <f>29.3561 * CHOOSE(CONTROL!$C$15, $E$9, 100%, $G$9) + CHOOSE(CONTROL!$C$38, 0.0342, 0)</f>
        <v>29.3903</v>
      </c>
      <c r="D323" s="14">
        <f>29.3483 * CHOOSE(CONTROL!$C$15, $E$9, 100%, $G$9) + CHOOSE(CONTROL!$C$38, 0.0342, 0)</f>
        <v>29.382499999999997</v>
      </c>
      <c r="E323" s="14">
        <f>29.3483 * CHOOSE(CONTROL!$C$15, $E$9, 100%, $G$9) + CHOOSE(CONTROL!$C$38, 0.0342, 0)</f>
        <v>29.382499999999997</v>
      </c>
      <c r="F323" s="45">
        <f>31.0542 * CHOOSE(CONTROL!$C$15, $E$9, 100%, $G$9) + CHOOSE(CONTROL!$C$38, 0.034, 0)</f>
        <v>31.088200000000001</v>
      </c>
      <c r="G323" s="14">
        <f>29.3545 * CHOOSE(CONTROL!$C$15, $E$9, 100%, $G$9) + CHOOSE(CONTROL!$C$38, 0.0342, 0)</f>
        <v>29.3887</v>
      </c>
      <c r="H323" s="14">
        <f>29.3545 * CHOOSE(CONTROL!$C$15, $E$9, 100%, $G$9) + CHOOSE(CONTROL!$C$38, 0.0342, 0)</f>
        <v>29.3887</v>
      </c>
      <c r="I323" s="14">
        <f>29.3561 * CHOOSE(CONTROL!$C$15, $E$9, 100%, $G$9) + CHOOSE(CONTROL!$C$38, 0.0342, 0)</f>
        <v>29.3903</v>
      </c>
      <c r="J323" s="44">
        <f>192.0932</f>
        <v>192.0932</v>
      </c>
    </row>
    <row r="324" spans="1:10" ht="15.75" x14ac:dyDescent="0.25">
      <c r="A324" s="33">
        <v>50801</v>
      </c>
      <c r="B324" s="14">
        <f>32.285 * CHOOSE(CONTROL!$C$15, $E$9, 100%, $G$9) + CHOOSE(CONTROL!$C$38, 0.034, 0)</f>
        <v>32.318999999999996</v>
      </c>
      <c r="C324" s="14">
        <f>30.561 * CHOOSE(CONTROL!$C$15, $E$9, 100%, $G$9) + CHOOSE(CONTROL!$C$38, 0.0342, 0)</f>
        <v>30.595199999999998</v>
      </c>
      <c r="D324" s="14">
        <f>30.5532 * CHOOSE(CONTROL!$C$15, $E$9, 100%, $G$9) + CHOOSE(CONTROL!$C$38, 0.0342, 0)</f>
        <v>30.587399999999999</v>
      </c>
      <c r="E324" s="14">
        <f>30.5532 * CHOOSE(CONTROL!$C$15, $E$9, 100%, $G$9) + CHOOSE(CONTROL!$C$38, 0.0342, 0)</f>
        <v>30.587399999999999</v>
      </c>
      <c r="F324" s="45">
        <f>32.285 * CHOOSE(CONTROL!$C$15, $E$9, 100%, $G$9) + CHOOSE(CONTROL!$C$38, 0.034, 0)</f>
        <v>32.318999999999996</v>
      </c>
      <c r="G324" s="14">
        <f>30.5594 * CHOOSE(CONTROL!$C$15, $E$9, 100%, $G$9) + CHOOSE(CONTROL!$C$38, 0.0342, 0)</f>
        <v>30.593599999999999</v>
      </c>
      <c r="H324" s="14">
        <f>30.5594 * CHOOSE(CONTROL!$C$15, $E$9, 100%, $G$9) + CHOOSE(CONTROL!$C$38, 0.0342, 0)</f>
        <v>30.593599999999999</v>
      </c>
      <c r="I324" s="14">
        <f>30.561 * CHOOSE(CONTROL!$C$15, $E$9, 100%, $G$9) + CHOOSE(CONTROL!$C$38, 0.0342, 0)</f>
        <v>30.595199999999998</v>
      </c>
      <c r="J324" s="44">
        <f>191.9545</f>
        <v>191.9545</v>
      </c>
    </row>
    <row r="325" spans="1:10" ht="15.75" x14ac:dyDescent="0.25">
      <c r="A325" s="33">
        <v>50829</v>
      </c>
      <c r="B325" s="14">
        <f>32.6293 * CHOOSE(CONTROL!$C$15, $E$9, 100%, $G$9) + CHOOSE(CONTROL!$C$38, 0.034, 0)</f>
        <v>32.6633</v>
      </c>
      <c r="C325" s="14">
        <f>30.9053 * CHOOSE(CONTROL!$C$15, $E$9, 100%, $G$9) + CHOOSE(CONTROL!$C$38, 0.0342, 0)</f>
        <v>30.939499999999999</v>
      </c>
      <c r="D325" s="14">
        <f>30.8975 * CHOOSE(CONTROL!$C$15, $E$9, 100%, $G$9) + CHOOSE(CONTROL!$C$38, 0.0342, 0)</f>
        <v>30.931699999999999</v>
      </c>
      <c r="E325" s="14">
        <f>30.8975 * CHOOSE(CONTROL!$C$15, $E$9, 100%, $G$9) + CHOOSE(CONTROL!$C$38, 0.0342, 0)</f>
        <v>30.931699999999999</v>
      </c>
      <c r="F325" s="45">
        <f>32.6293 * CHOOSE(CONTROL!$C$15, $E$9, 100%, $G$9) + CHOOSE(CONTROL!$C$38, 0.034, 0)</f>
        <v>32.6633</v>
      </c>
      <c r="G325" s="14">
        <f>30.9037 * CHOOSE(CONTROL!$C$15, $E$9, 100%, $G$9) + CHOOSE(CONTROL!$C$38, 0.0342, 0)</f>
        <v>30.937899999999999</v>
      </c>
      <c r="H325" s="14">
        <f>30.9037 * CHOOSE(CONTROL!$C$15, $E$9, 100%, $G$9) + CHOOSE(CONTROL!$C$38, 0.0342, 0)</f>
        <v>30.937899999999999</v>
      </c>
      <c r="I325" s="14">
        <f>30.9053 * CHOOSE(CONTROL!$C$15, $E$9, 100%, $G$9) + CHOOSE(CONTROL!$C$38, 0.0342, 0)</f>
        <v>30.939499999999999</v>
      </c>
      <c r="J325" s="44">
        <f>191.4209</f>
        <v>191.42089999999999</v>
      </c>
    </row>
    <row r="326" spans="1:10" ht="15.75" x14ac:dyDescent="0.25">
      <c r="A326" s="33">
        <v>50860</v>
      </c>
      <c r="B326" s="14">
        <f>31.8322 * CHOOSE(CONTROL!$C$15, $E$9, 100%, $G$9) + CHOOSE(CONTROL!$C$38, 0.034, 0)</f>
        <v>31.866199999999999</v>
      </c>
      <c r="C326" s="14">
        <f>30.1082 * CHOOSE(CONTROL!$C$15, $E$9, 100%, $G$9) + CHOOSE(CONTROL!$C$38, 0.0342, 0)</f>
        <v>30.142399999999999</v>
      </c>
      <c r="D326" s="14">
        <f>30.1004 * CHOOSE(CONTROL!$C$15, $E$9, 100%, $G$9) + CHOOSE(CONTROL!$C$38, 0.0342, 0)</f>
        <v>30.134599999999999</v>
      </c>
      <c r="E326" s="14">
        <f>30.1004 * CHOOSE(CONTROL!$C$15, $E$9, 100%, $G$9) + CHOOSE(CONTROL!$C$38, 0.0342, 0)</f>
        <v>30.134599999999999</v>
      </c>
      <c r="F326" s="45">
        <f>31.8322 * CHOOSE(CONTROL!$C$15, $E$9, 100%, $G$9) + CHOOSE(CONTROL!$C$38, 0.034, 0)</f>
        <v>31.866199999999999</v>
      </c>
      <c r="G326" s="14">
        <f>30.1067 * CHOOSE(CONTROL!$C$15, $E$9, 100%, $G$9) + CHOOSE(CONTROL!$C$38, 0.0342, 0)</f>
        <v>30.140899999999998</v>
      </c>
      <c r="H326" s="14">
        <f>30.1067 * CHOOSE(CONTROL!$C$15, $E$9, 100%, $G$9) + CHOOSE(CONTROL!$C$38, 0.0342, 0)</f>
        <v>30.140899999999998</v>
      </c>
      <c r="I326" s="14">
        <f>30.1082 * CHOOSE(CONTROL!$C$15, $E$9, 100%, $G$9) + CHOOSE(CONTROL!$C$38, 0.0342, 0)</f>
        <v>30.142399999999999</v>
      </c>
      <c r="J326" s="44">
        <f>201.5099</f>
        <v>201.50989999999999</v>
      </c>
    </row>
    <row r="327" spans="1:10" ht="15.75" x14ac:dyDescent="0.25">
      <c r="A327" s="33">
        <v>50890</v>
      </c>
      <c r="B327" s="14">
        <f>31.0599 * CHOOSE(CONTROL!$C$15, $E$9, 100%, $G$9) + CHOOSE(CONTROL!$C$38, 0.034, 0)</f>
        <v>31.093899999999998</v>
      </c>
      <c r="C327" s="14">
        <f>29.3359 * CHOOSE(CONTROL!$C$15, $E$9, 100%, $G$9) + CHOOSE(CONTROL!$C$38, 0.0342, 0)</f>
        <v>29.370099999999997</v>
      </c>
      <c r="D327" s="14">
        <f>29.3281 * CHOOSE(CONTROL!$C$15, $E$9, 100%, $G$9) + CHOOSE(CONTROL!$C$38, 0.0342, 0)</f>
        <v>29.362299999999998</v>
      </c>
      <c r="E327" s="14">
        <f>29.3281 * CHOOSE(CONTROL!$C$15, $E$9, 100%, $G$9) + CHOOSE(CONTROL!$C$38, 0.0342, 0)</f>
        <v>29.362299999999998</v>
      </c>
      <c r="F327" s="45">
        <f>31.0599 * CHOOSE(CONTROL!$C$15, $E$9, 100%, $G$9) + CHOOSE(CONTROL!$C$38, 0.034, 0)</f>
        <v>31.093899999999998</v>
      </c>
      <c r="G327" s="14">
        <f>29.3344 * CHOOSE(CONTROL!$C$15, $E$9, 100%, $G$9) + CHOOSE(CONTROL!$C$38, 0.0342, 0)</f>
        <v>29.368599999999997</v>
      </c>
      <c r="H327" s="14">
        <f>29.3344 * CHOOSE(CONTROL!$C$15, $E$9, 100%, $G$9) + CHOOSE(CONTROL!$C$38, 0.0342, 0)</f>
        <v>29.368599999999997</v>
      </c>
      <c r="I327" s="14">
        <f>29.3359 * CHOOSE(CONTROL!$C$15, $E$9, 100%, $G$9) + CHOOSE(CONTROL!$C$38, 0.0342, 0)</f>
        <v>29.370099999999997</v>
      </c>
      <c r="J327" s="44">
        <f>214.5929</f>
        <v>214.59289999999999</v>
      </c>
    </row>
    <row r="328" spans="1:10" ht="15.75" x14ac:dyDescent="0.25">
      <c r="A328" s="33">
        <v>50921</v>
      </c>
      <c r="B328" s="14">
        <f>30.255 * CHOOSE(CONTROL!$C$15, $E$9, 100%, $G$9) + CHOOSE(CONTROL!$C$38, 0.0353, 0)</f>
        <v>30.290299999999998</v>
      </c>
      <c r="C328" s="14">
        <f>28.531 * CHOOSE(CONTROL!$C$15, $E$9, 100%, $G$9) + CHOOSE(CONTROL!$C$38, 0.0354, 0)</f>
        <v>28.566399999999998</v>
      </c>
      <c r="D328" s="14">
        <f>28.5232 * CHOOSE(CONTROL!$C$15, $E$9, 100%, $G$9) + CHOOSE(CONTROL!$C$38, 0.0354, 0)</f>
        <v>28.558599999999998</v>
      </c>
      <c r="E328" s="14">
        <f>28.5232 * CHOOSE(CONTROL!$C$15, $E$9, 100%, $G$9) + CHOOSE(CONTROL!$C$38, 0.0354, 0)</f>
        <v>28.558599999999998</v>
      </c>
      <c r="F328" s="45">
        <f>30.255 * CHOOSE(CONTROL!$C$15, $E$9, 100%, $G$9) + CHOOSE(CONTROL!$C$38, 0.0353, 0)</f>
        <v>30.290299999999998</v>
      </c>
      <c r="G328" s="14">
        <f>28.5294 * CHOOSE(CONTROL!$C$15, $E$9, 100%, $G$9) + CHOOSE(CONTROL!$C$38, 0.0354, 0)</f>
        <v>28.564799999999998</v>
      </c>
      <c r="H328" s="14">
        <f>28.5294 * CHOOSE(CONTROL!$C$15, $E$9, 100%, $G$9) + CHOOSE(CONTROL!$C$38, 0.0354, 0)</f>
        <v>28.564799999999998</v>
      </c>
      <c r="I328" s="14">
        <f>28.531 * CHOOSE(CONTROL!$C$15, $E$9, 100%, $G$9) + CHOOSE(CONTROL!$C$38, 0.0354, 0)</f>
        <v>28.566399999999998</v>
      </c>
      <c r="J328" s="44">
        <f>221.7942</f>
        <v>221.79419999999999</v>
      </c>
    </row>
    <row r="329" spans="1:10" ht="15.75" x14ac:dyDescent="0.25">
      <c r="A329" s="33">
        <v>50951</v>
      </c>
      <c r="B329" s="14">
        <f>29.6906 * CHOOSE(CONTROL!$C$15, $E$9, 100%, $G$9) + CHOOSE(CONTROL!$C$38, 0.0353, 0)</f>
        <v>29.725899999999999</v>
      </c>
      <c r="C329" s="14">
        <f>27.9666 * CHOOSE(CONTROL!$C$15, $E$9, 100%, $G$9) + CHOOSE(CONTROL!$C$38, 0.0354, 0)</f>
        <v>28.001999999999999</v>
      </c>
      <c r="D329" s="14">
        <f>27.9588 * CHOOSE(CONTROL!$C$15, $E$9, 100%, $G$9) + CHOOSE(CONTROL!$C$38, 0.0354, 0)</f>
        <v>27.994199999999999</v>
      </c>
      <c r="E329" s="14">
        <f>27.9588 * CHOOSE(CONTROL!$C$15, $E$9, 100%, $G$9) + CHOOSE(CONTROL!$C$38, 0.0354, 0)</f>
        <v>27.994199999999999</v>
      </c>
      <c r="F329" s="45">
        <f>29.6906 * CHOOSE(CONTROL!$C$15, $E$9, 100%, $G$9) + CHOOSE(CONTROL!$C$38, 0.0353, 0)</f>
        <v>29.725899999999999</v>
      </c>
      <c r="G329" s="14">
        <f>27.9651 * CHOOSE(CONTROL!$C$15, $E$9, 100%, $G$9) + CHOOSE(CONTROL!$C$38, 0.0354, 0)</f>
        <v>28.000499999999999</v>
      </c>
      <c r="H329" s="14">
        <f>27.9651 * CHOOSE(CONTROL!$C$15, $E$9, 100%, $G$9) + CHOOSE(CONTROL!$C$38, 0.0354, 0)</f>
        <v>28.000499999999999</v>
      </c>
      <c r="I329" s="14">
        <f>27.9666 * CHOOSE(CONTROL!$C$15, $E$9, 100%, $G$9) + CHOOSE(CONTROL!$C$38, 0.0354, 0)</f>
        <v>28.001999999999999</v>
      </c>
      <c r="J329" s="44">
        <f>224.99</f>
        <v>224.99</v>
      </c>
    </row>
    <row r="330" spans="1:10" ht="15.75" x14ac:dyDescent="0.25">
      <c r="A330" s="33">
        <v>50982</v>
      </c>
      <c r="B330" s="14">
        <f>29.3686 * CHOOSE(CONTROL!$C$15, $E$9, 100%, $G$9) + CHOOSE(CONTROL!$C$38, 0.0353, 0)</f>
        <v>29.4039</v>
      </c>
      <c r="C330" s="14">
        <f>27.6446 * CHOOSE(CONTROL!$C$15, $E$9, 100%, $G$9) + CHOOSE(CONTROL!$C$38, 0.0354, 0)</f>
        <v>27.68</v>
      </c>
      <c r="D330" s="14">
        <f>27.6368 * CHOOSE(CONTROL!$C$15, $E$9, 100%, $G$9) + CHOOSE(CONTROL!$C$38, 0.0354, 0)</f>
        <v>27.6722</v>
      </c>
      <c r="E330" s="14">
        <f>27.6368 * CHOOSE(CONTROL!$C$15, $E$9, 100%, $G$9) + CHOOSE(CONTROL!$C$38, 0.0354, 0)</f>
        <v>27.6722</v>
      </c>
      <c r="F330" s="45">
        <f>29.3686 * CHOOSE(CONTROL!$C$15, $E$9, 100%, $G$9) + CHOOSE(CONTROL!$C$38, 0.0353, 0)</f>
        <v>29.4039</v>
      </c>
      <c r="G330" s="14">
        <f>27.643 * CHOOSE(CONTROL!$C$15, $E$9, 100%, $G$9) + CHOOSE(CONTROL!$C$38, 0.0354, 0)</f>
        <v>27.6784</v>
      </c>
      <c r="H330" s="14">
        <f>27.643 * CHOOSE(CONTROL!$C$15, $E$9, 100%, $G$9) + CHOOSE(CONTROL!$C$38, 0.0354, 0)</f>
        <v>27.6784</v>
      </c>
      <c r="I330" s="14">
        <f>27.6446 * CHOOSE(CONTROL!$C$15, $E$9, 100%, $G$9) + CHOOSE(CONTROL!$C$38, 0.0354, 0)</f>
        <v>27.68</v>
      </c>
      <c r="J330" s="44">
        <f>223.9378</f>
        <v>223.93780000000001</v>
      </c>
    </row>
    <row r="331" spans="1:10" ht="15.75" x14ac:dyDescent="0.25">
      <c r="A331" s="33">
        <v>51013</v>
      </c>
      <c r="B331" s="14">
        <f>29.5275 * CHOOSE(CONTROL!$C$15, $E$9, 100%, $G$9) + CHOOSE(CONTROL!$C$38, 0.0353, 0)</f>
        <v>29.562799999999999</v>
      </c>
      <c r="C331" s="14">
        <f>27.8035 * CHOOSE(CONTROL!$C$15, $E$9, 100%, $G$9) + CHOOSE(CONTROL!$C$38, 0.0354, 0)</f>
        <v>27.838899999999999</v>
      </c>
      <c r="D331" s="14">
        <f>27.7957 * CHOOSE(CONTROL!$C$15, $E$9, 100%, $G$9) + CHOOSE(CONTROL!$C$38, 0.0354, 0)</f>
        <v>27.831099999999999</v>
      </c>
      <c r="E331" s="14">
        <f>27.7957 * CHOOSE(CONTROL!$C$15, $E$9, 100%, $G$9) + CHOOSE(CONTROL!$C$38, 0.0354, 0)</f>
        <v>27.831099999999999</v>
      </c>
      <c r="F331" s="45">
        <f>29.5275 * CHOOSE(CONTROL!$C$15, $E$9, 100%, $G$9) + CHOOSE(CONTROL!$C$38, 0.0353, 0)</f>
        <v>29.562799999999999</v>
      </c>
      <c r="G331" s="14">
        <f>27.802 * CHOOSE(CONTROL!$C$15, $E$9, 100%, $G$9) + CHOOSE(CONTROL!$C$38, 0.0354, 0)</f>
        <v>27.837399999999999</v>
      </c>
      <c r="H331" s="14">
        <f>27.802 * CHOOSE(CONTROL!$C$15, $E$9, 100%, $G$9) + CHOOSE(CONTROL!$C$38, 0.0354, 0)</f>
        <v>27.837399999999999</v>
      </c>
      <c r="I331" s="14">
        <f>27.8035 * CHOOSE(CONTROL!$C$15, $E$9, 100%, $G$9) + CHOOSE(CONTROL!$C$38, 0.0354, 0)</f>
        <v>27.838899999999999</v>
      </c>
      <c r="J331" s="44">
        <f>218.7246</f>
        <v>218.72460000000001</v>
      </c>
    </row>
    <row r="332" spans="1:10" ht="15.75" x14ac:dyDescent="0.25">
      <c r="A332" s="33">
        <v>51043</v>
      </c>
      <c r="B332" s="14">
        <f>29.9592 * CHOOSE(CONTROL!$C$15, $E$9, 100%, $G$9) + CHOOSE(CONTROL!$C$38, 0.0353, 0)</f>
        <v>29.994499999999999</v>
      </c>
      <c r="C332" s="14">
        <f>28.2352 * CHOOSE(CONTROL!$C$15, $E$9, 100%, $G$9) + CHOOSE(CONTROL!$C$38, 0.0354, 0)</f>
        <v>28.270599999999998</v>
      </c>
      <c r="D332" s="14">
        <f>28.2274 * CHOOSE(CONTROL!$C$15, $E$9, 100%, $G$9) + CHOOSE(CONTROL!$C$38, 0.0354, 0)</f>
        <v>28.262799999999999</v>
      </c>
      <c r="E332" s="14">
        <f>28.2274 * CHOOSE(CONTROL!$C$15, $E$9, 100%, $G$9) + CHOOSE(CONTROL!$C$38, 0.0354, 0)</f>
        <v>28.262799999999999</v>
      </c>
      <c r="F332" s="45">
        <f>29.9592 * CHOOSE(CONTROL!$C$15, $E$9, 100%, $G$9) + CHOOSE(CONTROL!$C$38, 0.0353, 0)</f>
        <v>29.994499999999999</v>
      </c>
      <c r="G332" s="14">
        <f>28.2337 * CHOOSE(CONTROL!$C$15, $E$9, 100%, $G$9) + CHOOSE(CONTROL!$C$38, 0.0354, 0)</f>
        <v>28.269099999999998</v>
      </c>
      <c r="H332" s="14">
        <f>28.2337 * CHOOSE(CONTROL!$C$15, $E$9, 100%, $G$9) + CHOOSE(CONTROL!$C$38, 0.0354, 0)</f>
        <v>28.269099999999998</v>
      </c>
      <c r="I332" s="14">
        <f>28.2352 * CHOOSE(CONTROL!$C$15, $E$9, 100%, $G$9) + CHOOSE(CONTROL!$C$38, 0.0354, 0)</f>
        <v>28.270599999999998</v>
      </c>
      <c r="J332" s="44">
        <f>211.4546</f>
        <v>211.4546</v>
      </c>
    </row>
    <row r="333" spans="1:10" ht="15.75" x14ac:dyDescent="0.25">
      <c r="A333" s="33">
        <v>51074</v>
      </c>
      <c r="B333" s="14">
        <f>30.3208 * CHOOSE(CONTROL!$C$15, $E$9, 100%, $G$9) + CHOOSE(CONTROL!$C$38, 0.034, 0)</f>
        <v>30.354799999999997</v>
      </c>
      <c r="C333" s="14">
        <f>28.5968 * CHOOSE(CONTROL!$C$15, $E$9, 100%, $G$9) + CHOOSE(CONTROL!$C$38, 0.0342, 0)</f>
        <v>28.631</v>
      </c>
      <c r="D333" s="14">
        <f>28.589 * CHOOSE(CONTROL!$C$15, $E$9, 100%, $G$9) + CHOOSE(CONTROL!$C$38, 0.0342, 0)</f>
        <v>28.623199999999997</v>
      </c>
      <c r="E333" s="14">
        <f>28.589 * CHOOSE(CONTROL!$C$15, $E$9, 100%, $G$9) + CHOOSE(CONTROL!$C$38, 0.0342, 0)</f>
        <v>28.623199999999997</v>
      </c>
      <c r="F333" s="45">
        <f>30.3208 * CHOOSE(CONTROL!$C$15, $E$9, 100%, $G$9) + CHOOSE(CONTROL!$C$38, 0.034, 0)</f>
        <v>30.354799999999997</v>
      </c>
      <c r="G333" s="14">
        <f>28.5952 * CHOOSE(CONTROL!$C$15, $E$9, 100%, $G$9) + CHOOSE(CONTROL!$C$38, 0.0342, 0)</f>
        <v>28.629399999999997</v>
      </c>
      <c r="H333" s="14">
        <f>28.5952 * CHOOSE(CONTROL!$C$15, $E$9, 100%, $G$9) + CHOOSE(CONTROL!$C$38, 0.0342, 0)</f>
        <v>28.629399999999997</v>
      </c>
      <c r="I333" s="14">
        <f>28.5968 * CHOOSE(CONTROL!$C$15, $E$9, 100%, $G$9) + CHOOSE(CONTROL!$C$38, 0.0342, 0)</f>
        <v>28.631</v>
      </c>
      <c r="J333" s="44">
        <f>204.1423</f>
        <v>204.14230000000001</v>
      </c>
    </row>
    <row r="334" spans="1:10" ht="15.75" x14ac:dyDescent="0.25">
      <c r="A334" s="33">
        <v>51104</v>
      </c>
      <c r="B334" s="14">
        <f>30.6225 * CHOOSE(CONTROL!$C$15, $E$9, 100%, $G$9) + CHOOSE(CONTROL!$C$38, 0.034, 0)</f>
        <v>30.656499999999998</v>
      </c>
      <c r="C334" s="14">
        <f>28.8985 * CHOOSE(CONTROL!$C$15, $E$9, 100%, $G$9) + CHOOSE(CONTROL!$C$38, 0.0342, 0)</f>
        <v>28.932699999999997</v>
      </c>
      <c r="D334" s="14">
        <f>28.8907 * CHOOSE(CONTROL!$C$15, $E$9, 100%, $G$9) + CHOOSE(CONTROL!$C$38, 0.0342, 0)</f>
        <v>28.924899999999997</v>
      </c>
      <c r="E334" s="14">
        <f>28.8907 * CHOOSE(CONTROL!$C$15, $E$9, 100%, $G$9) + CHOOSE(CONTROL!$C$38, 0.0342, 0)</f>
        <v>28.924899999999997</v>
      </c>
      <c r="F334" s="45">
        <f>30.6225 * CHOOSE(CONTROL!$C$15, $E$9, 100%, $G$9) + CHOOSE(CONTROL!$C$38, 0.034, 0)</f>
        <v>30.656499999999998</v>
      </c>
      <c r="G334" s="14">
        <f>28.8969 * CHOOSE(CONTROL!$C$15, $E$9, 100%, $G$9) + CHOOSE(CONTROL!$C$38, 0.0342, 0)</f>
        <v>28.931099999999997</v>
      </c>
      <c r="H334" s="14">
        <f>28.8969 * CHOOSE(CONTROL!$C$15, $E$9, 100%, $G$9) + CHOOSE(CONTROL!$C$38, 0.0342, 0)</f>
        <v>28.931099999999997</v>
      </c>
      <c r="I334" s="14">
        <f>28.8985 * CHOOSE(CONTROL!$C$15, $E$9, 100%, $G$9) + CHOOSE(CONTROL!$C$38, 0.0342, 0)</f>
        <v>28.932699999999997</v>
      </c>
      <c r="J334" s="44">
        <f>202.6877</f>
        <v>202.68770000000001</v>
      </c>
    </row>
    <row r="335" spans="1:10" ht="15.75" x14ac:dyDescent="0.25">
      <c r="A335" s="33">
        <v>51135</v>
      </c>
      <c r="B335" s="14">
        <f>31.5522 * CHOOSE(CONTROL!$C$15, $E$9, 100%, $G$9) + CHOOSE(CONTROL!$C$38, 0.034, 0)</f>
        <v>31.586199999999998</v>
      </c>
      <c r="C335" s="14">
        <f>29.8282 * CHOOSE(CONTROL!$C$15, $E$9, 100%, $G$9) + CHOOSE(CONTROL!$C$38, 0.0342, 0)</f>
        <v>29.862399999999997</v>
      </c>
      <c r="D335" s="14">
        <f>29.8203 * CHOOSE(CONTROL!$C$15, $E$9, 100%, $G$9) + CHOOSE(CONTROL!$C$38, 0.0342, 0)</f>
        <v>29.854499999999998</v>
      </c>
      <c r="E335" s="14">
        <f>29.8203 * CHOOSE(CONTROL!$C$15, $E$9, 100%, $G$9) + CHOOSE(CONTROL!$C$38, 0.0342, 0)</f>
        <v>29.854499999999998</v>
      </c>
      <c r="F335" s="45">
        <f>31.5522 * CHOOSE(CONTROL!$C$15, $E$9, 100%, $G$9) + CHOOSE(CONTROL!$C$38, 0.034, 0)</f>
        <v>31.586199999999998</v>
      </c>
      <c r="G335" s="14">
        <f>29.8266 * CHOOSE(CONTROL!$C$15, $E$9, 100%, $G$9) + CHOOSE(CONTROL!$C$38, 0.0342, 0)</f>
        <v>29.860799999999998</v>
      </c>
      <c r="H335" s="14">
        <f>29.8266 * CHOOSE(CONTROL!$C$15, $E$9, 100%, $G$9) + CHOOSE(CONTROL!$C$38, 0.0342, 0)</f>
        <v>29.860799999999998</v>
      </c>
      <c r="I335" s="14">
        <f>29.8282 * CHOOSE(CONTROL!$C$15, $E$9, 100%, $G$9) + CHOOSE(CONTROL!$C$38, 0.0342, 0)</f>
        <v>29.862399999999997</v>
      </c>
      <c r="J335" s="44">
        <f>196.6729</f>
        <v>196.6729</v>
      </c>
    </row>
    <row r="336" spans="1:10" ht="15.75" x14ac:dyDescent="0.25">
      <c r="A336" s="33">
        <v>51166</v>
      </c>
      <c r="B336" s="14">
        <f>32.7913 * CHOOSE(CONTROL!$C$15, $E$9, 100%, $G$9) + CHOOSE(CONTROL!$C$38, 0.034, 0)</f>
        <v>32.825299999999999</v>
      </c>
      <c r="C336" s="14">
        <f>31.041 * CHOOSE(CONTROL!$C$15, $E$9, 100%, $G$9) + CHOOSE(CONTROL!$C$38, 0.0342, 0)</f>
        <v>31.075199999999999</v>
      </c>
      <c r="D336" s="14">
        <f>31.0332 * CHOOSE(CONTROL!$C$15, $E$9, 100%, $G$9) + CHOOSE(CONTROL!$C$38, 0.0342, 0)</f>
        <v>31.067399999999999</v>
      </c>
      <c r="E336" s="14">
        <f>31.0332 * CHOOSE(CONTROL!$C$15, $E$9, 100%, $G$9) + CHOOSE(CONTROL!$C$38, 0.0342, 0)</f>
        <v>31.067399999999999</v>
      </c>
      <c r="F336" s="45">
        <f>32.7913 * CHOOSE(CONTROL!$C$15, $E$9, 100%, $G$9) + CHOOSE(CONTROL!$C$38, 0.034, 0)</f>
        <v>32.825299999999999</v>
      </c>
      <c r="G336" s="14">
        <f>31.0394 * CHOOSE(CONTROL!$C$15, $E$9, 100%, $G$9) + CHOOSE(CONTROL!$C$38, 0.0342, 0)</f>
        <v>31.073599999999999</v>
      </c>
      <c r="H336" s="14">
        <f>31.0394 * CHOOSE(CONTROL!$C$15, $E$9, 100%, $G$9) + CHOOSE(CONTROL!$C$38, 0.0342, 0)</f>
        <v>31.073599999999999</v>
      </c>
      <c r="I336" s="14">
        <f>31.041 * CHOOSE(CONTROL!$C$15, $E$9, 100%, $G$9) + CHOOSE(CONTROL!$C$38, 0.0342, 0)</f>
        <v>31.075199999999999</v>
      </c>
      <c r="J336" s="44">
        <f>196.531</f>
        <v>196.53100000000001</v>
      </c>
    </row>
    <row r="337" spans="1:10" ht="15.75" x14ac:dyDescent="0.25">
      <c r="A337" s="33">
        <v>51194</v>
      </c>
      <c r="B337" s="14">
        <f>33.1356 * CHOOSE(CONTROL!$C$15, $E$9, 100%, $G$9) + CHOOSE(CONTROL!$C$38, 0.034, 0)</f>
        <v>33.169599999999996</v>
      </c>
      <c r="C337" s="14">
        <f>31.3853 * CHOOSE(CONTROL!$C$15, $E$9, 100%, $G$9) + CHOOSE(CONTROL!$C$38, 0.0342, 0)</f>
        <v>31.419499999999999</v>
      </c>
      <c r="D337" s="14">
        <f>31.3775 * CHOOSE(CONTROL!$C$15, $E$9, 100%, $G$9) + CHOOSE(CONTROL!$C$38, 0.0342, 0)</f>
        <v>31.4117</v>
      </c>
      <c r="E337" s="14">
        <f>31.3775 * CHOOSE(CONTROL!$C$15, $E$9, 100%, $G$9) + CHOOSE(CONTROL!$C$38, 0.0342, 0)</f>
        <v>31.4117</v>
      </c>
      <c r="F337" s="45">
        <f>33.1356 * CHOOSE(CONTROL!$C$15, $E$9, 100%, $G$9) + CHOOSE(CONTROL!$C$38, 0.034, 0)</f>
        <v>33.169599999999996</v>
      </c>
      <c r="G337" s="14">
        <f>31.3837 * CHOOSE(CONTROL!$C$15, $E$9, 100%, $G$9) + CHOOSE(CONTROL!$C$38, 0.0342, 0)</f>
        <v>31.417899999999999</v>
      </c>
      <c r="H337" s="14">
        <f>31.3837 * CHOOSE(CONTROL!$C$15, $E$9, 100%, $G$9) + CHOOSE(CONTROL!$C$38, 0.0342, 0)</f>
        <v>31.417899999999999</v>
      </c>
      <c r="I337" s="14">
        <f>31.3853 * CHOOSE(CONTROL!$C$15, $E$9, 100%, $G$9) + CHOOSE(CONTROL!$C$38, 0.0342, 0)</f>
        <v>31.419499999999999</v>
      </c>
      <c r="J337" s="44">
        <f>195.9847</f>
        <v>195.9847</v>
      </c>
    </row>
    <row r="338" spans="1:10" ht="15.75" x14ac:dyDescent="0.25">
      <c r="A338" s="33">
        <v>51226</v>
      </c>
      <c r="B338" s="14">
        <f>32.3386 * CHOOSE(CONTROL!$C$15, $E$9, 100%, $G$9) + CHOOSE(CONTROL!$C$38, 0.034, 0)</f>
        <v>32.372599999999998</v>
      </c>
      <c r="C338" s="14">
        <f>30.5883 * CHOOSE(CONTROL!$C$15, $E$9, 100%, $G$9) + CHOOSE(CONTROL!$C$38, 0.0342, 0)</f>
        <v>30.622499999999999</v>
      </c>
      <c r="D338" s="14">
        <f>30.5805 * CHOOSE(CONTROL!$C$15, $E$9, 100%, $G$9) + CHOOSE(CONTROL!$C$38, 0.0342, 0)</f>
        <v>30.614699999999999</v>
      </c>
      <c r="E338" s="14">
        <f>30.5805 * CHOOSE(CONTROL!$C$15, $E$9, 100%, $G$9) + CHOOSE(CONTROL!$C$38, 0.0342, 0)</f>
        <v>30.614699999999999</v>
      </c>
      <c r="F338" s="45">
        <f>32.3386 * CHOOSE(CONTROL!$C$15, $E$9, 100%, $G$9) + CHOOSE(CONTROL!$C$38, 0.034, 0)</f>
        <v>32.372599999999998</v>
      </c>
      <c r="G338" s="14">
        <f>30.5867 * CHOOSE(CONTROL!$C$15, $E$9, 100%, $G$9) + CHOOSE(CONTROL!$C$38, 0.0342, 0)</f>
        <v>30.620899999999999</v>
      </c>
      <c r="H338" s="14">
        <f>30.5867 * CHOOSE(CONTROL!$C$15, $E$9, 100%, $G$9) + CHOOSE(CONTROL!$C$38, 0.0342, 0)</f>
        <v>30.620899999999999</v>
      </c>
      <c r="I338" s="14">
        <f>30.5883 * CHOOSE(CONTROL!$C$15, $E$9, 100%, $G$9) + CHOOSE(CONTROL!$C$38, 0.0342, 0)</f>
        <v>30.622499999999999</v>
      </c>
      <c r="J338" s="44">
        <f>206.3142</f>
        <v>206.3142</v>
      </c>
    </row>
    <row r="339" spans="1:10" ht="15.75" x14ac:dyDescent="0.25">
      <c r="A339" s="33">
        <v>51256</v>
      </c>
      <c r="B339" s="14">
        <f>31.5663 * CHOOSE(CONTROL!$C$15, $E$9, 100%, $G$9) + CHOOSE(CONTROL!$C$38, 0.034, 0)</f>
        <v>31.600299999999997</v>
      </c>
      <c r="C339" s="14">
        <f>29.816 * CHOOSE(CONTROL!$C$15, $E$9, 100%, $G$9) + CHOOSE(CONTROL!$C$38, 0.0342, 0)</f>
        <v>29.850199999999997</v>
      </c>
      <c r="D339" s="14">
        <f>29.8081 * CHOOSE(CONTROL!$C$15, $E$9, 100%, $G$9) + CHOOSE(CONTROL!$C$38, 0.0342, 0)</f>
        <v>29.842299999999998</v>
      </c>
      <c r="E339" s="14">
        <f>29.8081 * CHOOSE(CONTROL!$C$15, $E$9, 100%, $G$9) + CHOOSE(CONTROL!$C$38, 0.0342, 0)</f>
        <v>29.842299999999998</v>
      </c>
      <c r="F339" s="45">
        <f>31.5663 * CHOOSE(CONTROL!$C$15, $E$9, 100%, $G$9) + CHOOSE(CONTROL!$C$38, 0.034, 0)</f>
        <v>31.600299999999997</v>
      </c>
      <c r="G339" s="14">
        <f>29.8144 * CHOOSE(CONTROL!$C$15, $E$9, 100%, $G$9) + CHOOSE(CONTROL!$C$38, 0.0342, 0)</f>
        <v>29.848599999999998</v>
      </c>
      <c r="H339" s="14">
        <f>29.8144 * CHOOSE(CONTROL!$C$15, $E$9, 100%, $G$9) + CHOOSE(CONTROL!$C$38, 0.0342, 0)</f>
        <v>29.848599999999998</v>
      </c>
      <c r="I339" s="14">
        <f>29.816 * CHOOSE(CONTROL!$C$15, $E$9, 100%, $G$9) + CHOOSE(CONTROL!$C$38, 0.0342, 0)</f>
        <v>29.850199999999997</v>
      </c>
      <c r="J339" s="44">
        <f>219.7091</f>
        <v>219.70910000000001</v>
      </c>
    </row>
    <row r="340" spans="1:10" ht="15.75" x14ac:dyDescent="0.25">
      <c r="A340" s="33">
        <v>51287</v>
      </c>
      <c r="B340" s="14">
        <f>30.7613 * CHOOSE(CONTROL!$C$15, $E$9, 100%, $G$9) + CHOOSE(CONTROL!$C$38, 0.0353, 0)</f>
        <v>30.796599999999998</v>
      </c>
      <c r="C340" s="14">
        <f>29.011 * CHOOSE(CONTROL!$C$15, $E$9, 100%, $G$9) + CHOOSE(CONTROL!$C$38, 0.0354, 0)</f>
        <v>29.046399999999998</v>
      </c>
      <c r="D340" s="14">
        <f>29.0032 * CHOOSE(CONTROL!$C$15, $E$9, 100%, $G$9) + CHOOSE(CONTROL!$C$38, 0.0354, 0)</f>
        <v>29.038599999999999</v>
      </c>
      <c r="E340" s="14">
        <f>29.0032 * CHOOSE(CONTROL!$C$15, $E$9, 100%, $G$9) + CHOOSE(CONTROL!$C$38, 0.0354, 0)</f>
        <v>29.038599999999999</v>
      </c>
      <c r="F340" s="45">
        <f>30.7613 * CHOOSE(CONTROL!$C$15, $E$9, 100%, $G$9) + CHOOSE(CONTROL!$C$38, 0.0353, 0)</f>
        <v>30.796599999999998</v>
      </c>
      <c r="G340" s="14">
        <f>29.0094 * CHOOSE(CONTROL!$C$15, $E$9, 100%, $G$9) + CHOOSE(CONTROL!$C$38, 0.0354, 0)</f>
        <v>29.044799999999999</v>
      </c>
      <c r="H340" s="14">
        <f>29.0094 * CHOOSE(CONTROL!$C$15, $E$9, 100%, $G$9) + CHOOSE(CONTROL!$C$38, 0.0354, 0)</f>
        <v>29.044799999999999</v>
      </c>
      <c r="I340" s="14">
        <f>29.011 * CHOOSE(CONTROL!$C$15, $E$9, 100%, $G$9) + CHOOSE(CONTROL!$C$38, 0.0354, 0)</f>
        <v>29.046399999999998</v>
      </c>
      <c r="J340" s="44">
        <f>227.0821</f>
        <v>227.0821</v>
      </c>
    </row>
    <row r="341" spans="1:10" ht="15.75" x14ac:dyDescent="0.25">
      <c r="A341" s="33">
        <v>51317</v>
      </c>
      <c r="B341" s="14">
        <f>30.197 * CHOOSE(CONTROL!$C$15, $E$9, 100%, $G$9) + CHOOSE(CONTROL!$C$38, 0.0353, 0)</f>
        <v>30.232299999999999</v>
      </c>
      <c r="C341" s="14">
        <f>28.4467 * CHOOSE(CONTROL!$C$15, $E$9, 100%, $G$9) + CHOOSE(CONTROL!$C$38, 0.0354, 0)</f>
        <v>28.482099999999999</v>
      </c>
      <c r="D341" s="14">
        <f>28.4388 * CHOOSE(CONTROL!$C$15, $E$9, 100%, $G$9) + CHOOSE(CONTROL!$C$38, 0.0354, 0)</f>
        <v>28.4742</v>
      </c>
      <c r="E341" s="14">
        <f>28.4388 * CHOOSE(CONTROL!$C$15, $E$9, 100%, $G$9) + CHOOSE(CONTROL!$C$38, 0.0354, 0)</f>
        <v>28.4742</v>
      </c>
      <c r="F341" s="45">
        <f>30.197 * CHOOSE(CONTROL!$C$15, $E$9, 100%, $G$9) + CHOOSE(CONTROL!$C$38, 0.0353, 0)</f>
        <v>30.232299999999999</v>
      </c>
      <c r="G341" s="14">
        <f>28.4451 * CHOOSE(CONTROL!$C$15, $E$9, 100%, $G$9) + CHOOSE(CONTROL!$C$38, 0.0354, 0)</f>
        <v>28.480499999999999</v>
      </c>
      <c r="H341" s="14">
        <f>28.4451 * CHOOSE(CONTROL!$C$15, $E$9, 100%, $G$9) + CHOOSE(CONTROL!$C$38, 0.0354, 0)</f>
        <v>28.480499999999999</v>
      </c>
      <c r="I341" s="14">
        <f>28.4467 * CHOOSE(CONTROL!$C$15, $E$9, 100%, $G$9) + CHOOSE(CONTROL!$C$38, 0.0354, 0)</f>
        <v>28.482099999999999</v>
      </c>
      <c r="J341" s="44">
        <f>230.3541</f>
        <v>230.35409999999999</v>
      </c>
    </row>
    <row r="342" spans="1:10" ht="15.75" x14ac:dyDescent="0.25">
      <c r="A342" s="33">
        <v>51348</v>
      </c>
      <c r="B342" s="14">
        <f>29.8749 * CHOOSE(CONTROL!$C$15, $E$9, 100%, $G$9) + CHOOSE(CONTROL!$C$38, 0.0353, 0)</f>
        <v>29.9102</v>
      </c>
      <c r="C342" s="14">
        <f>28.1246 * CHOOSE(CONTROL!$C$15, $E$9, 100%, $G$9) + CHOOSE(CONTROL!$C$38, 0.0354, 0)</f>
        <v>28.16</v>
      </c>
      <c r="D342" s="14">
        <f>28.1168 * CHOOSE(CONTROL!$C$15, $E$9, 100%, $G$9) + CHOOSE(CONTROL!$C$38, 0.0354, 0)</f>
        <v>28.152200000000001</v>
      </c>
      <c r="E342" s="14">
        <f>28.1168 * CHOOSE(CONTROL!$C$15, $E$9, 100%, $G$9) + CHOOSE(CONTROL!$C$38, 0.0354, 0)</f>
        <v>28.152200000000001</v>
      </c>
      <c r="F342" s="45">
        <f>29.8749 * CHOOSE(CONTROL!$C$15, $E$9, 100%, $G$9) + CHOOSE(CONTROL!$C$38, 0.0353, 0)</f>
        <v>29.9102</v>
      </c>
      <c r="G342" s="14">
        <f>28.123 * CHOOSE(CONTROL!$C$15, $E$9, 100%, $G$9) + CHOOSE(CONTROL!$C$38, 0.0354, 0)</f>
        <v>28.1584</v>
      </c>
      <c r="H342" s="14">
        <f>28.123 * CHOOSE(CONTROL!$C$15, $E$9, 100%, $G$9) + CHOOSE(CONTROL!$C$38, 0.0354, 0)</f>
        <v>28.1584</v>
      </c>
      <c r="I342" s="14">
        <f>28.1246 * CHOOSE(CONTROL!$C$15, $E$9, 100%, $G$9) + CHOOSE(CONTROL!$C$38, 0.0354, 0)</f>
        <v>28.16</v>
      </c>
      <c r="J342" s="44">
        <f>229.2768</f>
        <v>229.27680000000001</v>
      </c>
    </row>
    <row r="343" spans="1:10" ht="15.75" x14ac:dyDescent="0.25">
      <c r="A343" s="33">
        <v>51379</v>
      </c>
      <c r="B343" s="14">
        <f>30.0339 * CHOOSE(CONTROL!$C$15, $E$9, 100%, $G$9) + CHOOSE(CONTROL!$C$38, 0.0353, 0)</f>
        <v>30.069199999999999</v>
      </c>
      <c r="C343" s="14">
        <f>28.2836 * CHOOSE(CONTROL!$C$15, $E$9, 100%, $G$9) + CHOOSE(CONTROL!$C$38, 0.0354, 0)</f>
        <v>28.318999999999999</v>
      </c>
      <c r="D343" s="14">
        <f>28.2757 * CHOOSE(CONTROL!$C$15, $E$9, 100%, $G$9) + CHOOSE(CONTROL!$C$38, 0.0354, 0)</f>
        <v>28.3111</v>
      </c>
      <c r="E343" s="14">
        <f>28.2757 * CHOOSE(CONTROL!$C$15, $E$9, 100%, $G$9) + CHOOSE(CONTROL!$C$38, 0.0354, 0)</f>
        <v>28.3111</v>
      </c>
      <c r="F343" s="45">
        <f>30.0339 * CHOOSE(CONTROL!$C$15, $E$9, 100%, $G$9) + CHOOSE(CONTROL!$C$38, 0.0353, 0)</f>
        <v>30.069199999999999</v>
      </c>
      <c r="G343" s="14">
        <f>28.282 * CHOOSE(CONTROL!$C$15, $E$9, 100%, $G$9) + CHOOSE(CONTROL!$C$38, 0.0354, 0)</f>
        <v>28.317399999999999</v>
      </c>
      <c r="H343" s="14">
        <f>28.282 * CHOOSE(CONTROL!$C$15, $E$9, 100%, $G$9) + CHOOSE(CONTROL!$C$38, 0.0354, 0)</f>
        <v>28.317399999999999</v>
      </c>
      <c r="I343" s="14">
        <f>28.2836 * CHOOSE(CONTROL!$C$15, $E$9, 100%, $G$9) + CHOOSE(CONTROL!$C$38, 0.0354, 0)</f>
        <v>28.318999999999999</v>
      </c>
      <c r="J343" s="44">
        <f>223.9394</f>
        <v>223.93940000000001</v>
      </c>
    </row>
    <row r="344" spans="1:10" ht="15.75" x14ac:dyDescent="0.25">
      <c r="A344" s="33">
        <v>51409</v>
      </c>
      <c r="B344" s="14">
        <f>30.4656 * CHOOSE(CONTROL!$C$15, $E$9, 100%, $G$9) + CHOOSE(CONTROL!$C$38, 0.0353, 0)</f>
        <v>30.500899999999998</v>
      </c>
      <c r="C344" s="14">
        <f>28.7153 * CHOOSE(CONTROL!$C$15, $E$9, 100%, $G$9) + CHOOSE(CONTROL!$C$38, 0.0354, 0)</f>
        <v>28.750699999999998</v>
      </c>
      <c r="D344" s="14">
        <f>28.7074 * CHOOSE(CONTROL!$C$15, $E$9, 100%, $G$9) + CHOOSE(CONTROL!$C$38, 0.0354, 0)</f>
        <v>28.742799999999999</v>
      </c>
      <c r="E344" s="14">
        <f>28.7074 * CHOOSE(CONTROL!$C$15, $E$9, 100%, $G$9) + CHOOSE(CONTROL!$C$38, 0.0354, 0)</f>
        <v>28.742799999999999</v>
      </c>
      <c r="F344" s="45">
        <f>30.4656 * CHOOSE(CONTROL!$C$15, $E$9, 100%, $G$9) + CHOOSE(CONTROL!$C$38, 0.0353, 0)</f>
        <v>30.500899999999998</v>
      </c>
      <c r="G344" s="14">
        <f>28.7137 * CHOOSE(CONTROL!$C$15, $E$9, 100%, $G$9) + CHOOSE(CONTROL!$C$38, 0.0354, 0)</f>
        <v>28.749099999999999</v>
      </c>
      <c r="H344" s="14">
        <f>28.7137 * CHOOSE(CONTROL!$C$15, $E$9, 100%, $G$9) + CHOOSE(CONTROL!$C$38, 0.0354, 0)</f>
        <v>28.749099999999999</v>
      </c>
      <c r="I344" s="14">
        <f>28.7153 * CHOOSE(CONTROL!$C$15, $E$9, 100%, $G$9) + CHOOSE(CONTROL!$C$38, 0.0354, 0)</f>
        <v>28.750699999999998</v>
      </c>
      <c r="J344" s="44">
        <f>216.496</f>
        <v>216.49600000000001</v>
      </c>
    </row>
    <row r="345" spans="1:10" ht="15.75" x14ac:dyDescent="0.25">
      <c r="A345" s="33">
        <v>51440</v>
      </c>
      <c r="B345" s="14">
        <f>30.8272 * CHOOSE(CONTROL!$C$15, $E$9, 100%, $G$9) + CHOOSE(CONTROL!$C$38, 0.034, 0)</f>
        <v>30.8612</v>
      </c>
      <c r="C345" s="14">
        <f>29.0768 * CHOOSE(CONTROL!$C$15, $E$9, 100%, $G$9) + CHOOSE(CONTROL!$C$38, 0.0342, 0)</f>
        <v>29.110999999999997</v>
      </c>
      <c r="D345" s="14">
        <f>29.069 * CHOOSE(CONTROL!$C$15, $E$9, 100%, $G$9) + CHOOSE(CONTROL!$C$38, 0.0342, 0)</f>
        <v>29.103199999999998</v>
      </c>
      <c r="E345" s="14">
        <f>29.069 * CHOOSE(CONTROL!$C$15, $E$9, 100%, $G$9) + CHOOSE(CONTROL!$C$38, 0.0342, 0)</f>
        <v>29.103199999999998</v>
      </c>
      <c r="F345" s="45">
        <f>30.8272 * CHOOSE(CONTROL!$C$15, $E$9, 100%, $G$9) + CHOOSE(CONTROL!$C$38, 0.034, 0)</f>
        <v>30.8612</v>
      </c>
      <c r="G345" s="14">
        <f>29.0753 * CHOOSE(CONTROL!$C$15, $E$9, 100%, $G$9) + CHOOSE(CONTROL!$C$38, 0.0342, 0)</f>
        <v>29.109499999999997</v>
      </c>
      <c r="H345" s="14">
        <f>29.0753 * CHOOSE(CONTROL!$C$15, $E$9, 100%, $G$9) + CHOOSE(CONTROL!$C$38, 0.0342, 0)</f>
        <v>29.109499999999997</v>
      </c>
      <c r="I345" s="14">
        <f>29.0768 * CHOOSE(CONTROL!$C$15, $E$9, 100%, $G$9) + CHOOSE(CONTROL!$C$38, 0.0342, 0)</f>
        <v>29.110999999999997</v>
      </c>
      <c r="J345" s="44">
        <f>209.0093</f>
        <v>209.0093</v>
      </c>
    </row>
    <row r="346" spans="1:10" ht="15.75" x14ac:dyDescent="0.25">
      <c r="A346" s="33">
        <v>51470</v>
      </c>
      <c r="B346" s="14">
        <f>31.1289 * CHOOSE(CONTROL!$C$15, $E$9, 100%, $G$9) + CHOOSE(CONTROL!$C$38, 0.034, 0)</f>
        <v>31.1629</v>
      </c>
      <c r="C346" s="14">
        <f>29.3785 * CHOOSE(CONTROL!$C$15, $E$9, 100%, $G$9) + CHOOSE(CONTROL!$C$38, 0.0342, 0)</f>
        <v>29.412699999999997</v>
      </c>
      <c r="D346" s="14">
        <f>29.3707 * CHOOSE(CONTROL!$C$15, $E$9, 100%, $G$9) + CHOOSE(CONTROL!$C$38, 0.0342, 0)</f>
        <v>29.404899999999998</v>
      </c>
      <c r="E346" s="14">
        <f>29.3707 * CHOOSE(CONTROL!$C$15, $E$9, 100%, $G$9) + CHOOSE(CONTROL!$C$38, 0.0342, 0)</f>
        <v>29.404899999999998</v>
      </c>
      <c r="F346" s="45">
        <f>31.1289 * CHOOSE(CONTROL!$C$15, $E$9, 100%, $G$9) + CHOOSE(CONTROL!$C$38, 0.034, 0)</f>
        <v>31.1629</v>
      </c>
      <c r="G346" s="14">
        <f>29.377 * CHOOSE(CONTROL!$C$15, $E$9, 100%, $G$9) + CHOOSE(CONTROL!$C$38, 0.0342, 0)</f>
        <v>29.411199999999997</v>
      </c>
      <c r="H346" s="14">
        <f>29.377 * CHOOSE(CONTROL!$C$15, $E$9, 100%, $G$9) + CHOOSE(CONTROL!$C$38, 0.0342, 0)</f>
        <v>29.411199999999997</v>
      </c>
      <c r="I346" s="14">
        <f>29.3785 * CHOOSE(CONTROL!$C$15, $E$9, 100%, $G$9) + CHOOSE(CONTROL!$C$38, 0.0342, 0)</f>
        <v>29.412699999999997</v>
      </c>
      <c r="J346" s="44">
        <f>207.5201</f>
        <v>207.52010000000001</v>
      </c>
    </row>
    <row r="347" spans="1:10" ht="15.75" x14ac:dyDescent="0.25">
      <c r="A347" s="33">
        <v>51501</v>
      </c>
      <c r="B347" s="14">
        <f>32.0585 * CHOOSE(CONTROL!$C$15, $E$9, 100%, $G$9) + CHOOSE(CONTROL!$C$38, 0.034, 0)</f>
        <v>32.092500000000001</v>
      </c>
      <c r="C347" s="14">
        <f>30.3082 * CHOOSE(CONTROL!$C$15, $E$9, 100%, $G$9) + CHOOSE(CONTROL!$C$38, 0.0342, 0)</f>
        <v>30.342399999999998</v>
      </c>
      <c r="D347" s="14">
        <f>30.3004 * CHOOSE(CONTROL!$C$15, $E$9, 100%, $G$9) + CHOOSE(CONTROL!$C$38, 0.0342, 0)</f>
        <v>30.334599999999998</v>
      </c>
      <c r="E347" s="14">
        <f>30.3004 * CHOOSE(CONTROL!$C$15, $E$9, 100%, $G$9) + CHOOSE(CONTROL!$C$38, 0.0342, 0)</f>
        <v>30.334599999999998</v>
      </c>
      <c r="F347" s="45">
        <f>32.0585 * CHOOSE(CONTROL!$C$15, $E$9, 100%, $G$9) + CHOOSE(CONTROL!$C$38, 0.034, 0)</f>
        <v>32.092500000000001</v>
      </c>
      <c r="G347" s="14">
        <f>30.3066 * CHOOSE(CONTROL!$C$15, $E$9, 100%, $G$9) + CHOOSE(CONTROL!$C$38, 0.0342, 0)</f>
        <v>30.340799999999998</v>
      </c>
      <c r="H347" s="14">
        <f>30.3066 * CHOOSE(CONTROL!$C$15, $E$9, 100%, $G$9) + CHOOSE(CONTROL!$C$38, 0.0342, 0)</f>
        <v>30.340799999999998</v>
      </c>
      <c r="I347" s="14">
        <f>30.3082 * CHOOSE(CONTROL!$C$15, $E$9, 100%, $G$9) + CHOOSE(CONTROL!$C$38, 0.0342, 0)</f>
        <v>30.342399999999998</v>
      </c>
      <c r="J347" s="44">
        <f>201.3619</f>
        <v>201.36189999999999</v>
      </c>
    </row>
    <row r="348" spans="1:10" ht="15.75" x14ac:dyDescent="0.25">
      <c r="A348" s="33">
        <v>51532</v>
      </c>
      <c r="B348" s="14">
        <f>33.3062 * CHOOSE(CONTROL!$C$15, $E$9, 100%, $G$9) + CHOOSE(CONTROL!$C$38, 0.034, 0)</f>
        <v>33.340199999999996</v>
      </c>
      <c r="C348" s="14">
        <f>31.5291 * CHOOSE(CONTROL!$C$15, $E$9, 100%, $G$9) + CHOOSE(CONTROL!$C$38, 0.0342, 0)</f>
        <v>31.563299999999998</v>
      </c>
      <c r="D348" s="14">
        <f>31.5213 * CHOOSE(CONTROL!$C$15, $E$9, 100%, $G$9) + CHOOSE(CONTROL!$C$38, 0.0342, 0)</f>
        <v>31.555499999999999</v>
      </c>
      <c r="E348" s="14">
        <f>31.5213 * CHOOSE(CONTROL!$C$15, $E$9, 100%, $G$9) + CHOOSE(CONTROL!$C$38, 0.0342, 0)</f>
        <v>31.555499999999999</v>
      </c>
      <c r="F348" s="45">
        <f>33.3062 * CHOOSE(CONTROL!$C$15, $E$9, 100%, $G$9) + CHOOSE(CONTROL!$C$38, 0.034, 0)</f>
        <v>33.340199999999996</v>
      </c>
      <c r="G348" s="14">
        <f>31.5275 * CHOOSE(CONTROL!$C$15, $E$9, 100%, $G$9) + CHOOSE(CONTROL!$C$38, 0.0342, 0)</f>
        <v>31.561699999999998</v>
      </c>
      <c r="H348" s="14">
        <f>31.5275 * CHOOSE(CONTROL!$C$15, $E$9, 100%, $G$9) + CHOOSE(CONTROL!$C$38, 0.0342, 0)</f>
        <v>31.561699999999998</v>
      </c>
      <c r="I348" s="14">
        <f>31.5291 * CHOOSE(CONTROL!$C$15, $E$9, 100%, $G$9) + CHOOSE(CONTROL!$C$38, 0.0342, 0)</f>
        <v>31.563299999999998</v>
      </c>
      <c r="J348" s="44">
        <f>201.2165</f>
        <v>201.2165</v>
      </c>
    </row>
    <row r="349" spans="1:10" ht="15.75" x14ac:dyDescent="0.25">
      <c r="A349" s="33">
        <v>51560</v>
      </c>
      <c r="B349" s="14">
        <f>33.6505 * CHOOSE(CONTROL!$C$15, $E$9, 100%, $G$9) + CHOOSE(CONTROL!$C$38, 0.034, 0)</f>
        <v>33.6845</v>
      </c>
      <c r="C349" s="14">
        <f>31.8734 * CHOOSE(CONTROL!$C$15, $E$9, 100%, $G$9) + CHOOSE(CONTROL!$C$38, 0.0342, 0)</f>
        <v>31.907599999999999</v>
      </c>
      <c r="D349" s="14">
        <f>31.8656 * CHOOSE(CONTROL!$C$15, $E$9, 100%, $G$9) + CHOOSE(CONTROL!$C$38, 0.0342, 0)</f>
        <v>31.899799999999999</v>
      </c>
      <c r="E349" s="14">
        <f>31.8656 * CHOOSE(CONTROL!$C$15, $E$9, 100%, $G$9) + CHOOSE(CONTROL!$C$38, 0.0342, 0)</f>
        <v>31.899799999999999</v>
      </c>
      <c r="F349" s="45">
        <f>33.6505 * CHOOSE(CONTROL!$C$15, $E$9, 100%, $G$9) + CHOOSE(CONTROL!$C$38, 0.034, 0)</f>
        <v>33.6845</v>
      </c>
      <c r="G349" s="14">
        <f>31.8718 * CHOOSE(CONTROL!$C$15, $E$9, 100%, $G$9) + CHOOSE(CONTROL!$C$38, 0.0342, 0)</f>
        <v>31.905999999999999</v>
      </c>
      <c r="H349" s="14">
        <f>31.8718 * CHOOSE(CONTROL!$C$15, $E$9, 100%, $G$9) + CHOOSE(CONTROL!$C$38, 0.0342, 0)</f>
        <v>31.905999999999999</v>
      </c>
      <c r="I349" s="14">
        <f>31.8734 * CHOOSE(CONTROL!$C$15, $E$9, 100%, $G$9) + CHOOSE(CONTROL!$C$38, 0.0342, 0)</f>
        <v>31.907599999999999</v>
      </c>
      <c r="J349" s="44">
        <f>200.6572</f>
        <v>200.65719999999999</v>
      </c>
    </row>
    <row r="350" spans="1:10" ht="15.75" x14ac:dyDescent="0.25">
      <c r="A350" s="33">
        <v>51591</v>
      </c>
      <c r="B350" s="14">
        <f>32.8535 * CHOOSE(CONTROL!$C$15, $E$9, 100%, $G$9) + CHOOSE(CONTROL!$C$38, 0.034, 0)</f>
        <v>32.887499999999996</v>
      </c>
      <c r="C350" s="14">
        <f>31.0764 * CHOOSE(CONTROL!$C$15, $E$9, 100%, $G$9) + CHOOSE(CONTROL!$C$38, 0.0342, 0)</f>
        <v>31.110599999999998</v>
      </c>
      <c r="D350" s="14">
        <f>31.0686 * CHOOSE(CONTROL!$C$15, $E$9, 100%, $G$9) + CHOOSE(CONTROL!$C$38, 0.0342, 0)</f>
        <v>31.102799999999998</v>
      </c>
      <c r="E350" s="14">
        <f>31.0686 * CHOOSE(CONTROL!$C$15, $E$9, 100%, $G$9) + CHOOSE(CONTROL!$C$38, 0.0342, 0)</f>
        <v>31.102799999999998</v>
      </c>
      <c r="F350" s="45">
        <f>32.8535 * CHOOSE(CONTROL!$C$15, $E$9, 100%, $G$9) + CHOOSE(CONTROL!$C$38, 0.034, 0)</f>
        <v>32.887499999999996</v>
      </c>
      <c r="G350" s="14">
        <f>31.0748 * CHOOSE(CONTROL!$C$15, $E$9, 100%, $G$9) + CHOOSE(CONTROL!$C$38, 0.0342, 0)</f>
        <v>31.108999999999998</v>
      </c>
      <c r="H350" s="14">
        <f>31.0748 * CHOOSE(CONTROL!$C$15, $E$9, 100%, $G$9) + CHOOSE(CONTROL!$C$38, 0.0342, 0)</f>
        <v>31.108999999999998</v>
      </c>
      <c r="I350" s="14">
        <f>31.0764 * CHOOSE(CONTROL!$C$15, $E$9, 100%, $G$9) + CHOOSE(CONTROL!$C$38, 0.0342, 0)</f>
        <v>31.110599999999998</v>
      </c>
      <c r="J350" s="44">
        <f>211.233</f>
        <v>211.233</v>
      </c>
    </row>
    <row r="351" spans="1:10" ht="15.75" x14ac:dyDescent="0.25">
      <c r="A351" s="33">
        <v>51621</v>
      </c>
      <c r="B351" s="14">
        <f>32.0812 * CHOOSE(CONTROL!$C$15, $E$9, 100%, $G$9) + CHOOSE(CONTROL!$C$38, 0.034, 0)</f>
        <v>32.115200000000002</v>
      </c>
      <c r="C351" s="14">
        <f>30.3041 * CHOOSE(CONTROL!$C$15, $E$9, 100%, $G$9) + CHOOSE(CONTROL!$C$38, 0.0342, 0)</f>
        <v>30.338299999999997</v>
      </c>
      <c r="D351" s="14">
        <f>30.2962 * CHOOSE(CONTROL!$C$15, $E$9, 100%, $G$9) + CHOOSE(CONTROL!$C$38, 0.0342, 0)</f>
        <v>30.330399999999997</v>
      </c>
      <c r="E351" s="14">
        <f>30.2962 * CHOOSE(CONTROL!$C$15, $E$9, 100%, $G$9) + CHOOSE(CONTROL!$C$38, 0.0342, 0)</f>
        <v>30.330399999999997</v>
      </c>
      <c r="F351" s="45">
        <f>32.0812 * CHOOSE(CONTROL!$C$15, $E$9, 100%, $G$9) + CHOOSE(CONTROL!$C$38, 0.034, 0)</f>
        <v>32.115200000000002</v>
      </c>
      <c r="G351" s="14">
        <f>30.3025 * CHOOSE(CONTROL!$C$15, $E$9, 100%, $G$9) + CHOOSE(CONTROL!$C$38, 0.0342, 0)</f>
        <v>30.336699999999997</v>
      </c>
      <c r="H351" s="14">
        <f>30.3025 * CHOOSE(CONTROL!$C$15, $E$9, 100%, $G$9) + CHOOSE(CONTROL!$C$38, 0.0342, 0)</f>
        <v>30.336699999999997</v>
      </c>
      <c r="I351" s="14">
        <f>30.3041 * CHOOSE(CONTROL!$C$15, $E$9, 100%, $G$9) + CHOOSE(CONTROL!$C$38, 0.0342, 0)</f>
        <v>30.338299999999997</v>
      </c>
      <c r="J351" s="44">
        <f>224.9473</f>
        <v>224.94730000000001</v>
      </c>
    </row>
    <row r="352" spans="1:10" ht="15.75" x14ac:dyDescent="0.25">
      <c r="A352" s="33">
        <v>51652</v>
      </c>
      <c r="B352" s="14">
        <f>31.2762 * CHOOSE(CONTROL!$C$15, $E$9, 100%, $G$9) + CHOOSE(CONTROL!$C$38, 0.0353, 0)</f>
        <v>31.311499999999999</v>
      </c>
      <c r="C352" s="14">
        <f>29.4991 * CHOOSE(CONTROL!$C$15, $E$9, 100%, $G$9) + CHOOSE(CONTROL!$C$38, 0.0354, 0)</f>
        <v>29.534499999999998</v>
      </c>
      <c r="D352" s="14">
        <f>29.4913 * CHOOSE(CONTROL!$C$15, $E$9, 100%, $G$9) + CHOOSE(CONTROL!$C$38, 0.0354, 0)</f>
        <v>29.526699999999998</v>
      </c>
      <c r="E352" s="14">
        <f>29.4913 * CHOOSE(CONTROL!$C$15, $E$9, 100%, $G$9) + CHOOSE(CONTROL!$C$38, 0.0354, 0)</f>
        <v>29.526699999999998</v>
      </c>
      <c r="F352" s="45">
        <f>31.2762 * CHOOSE(CONTROL!$C$15, $E$9, 100%, $G$9) + CHOOSE(CONTROL!$C$38, 0.0353, 0)</f>
        <v>31.311499999999999</v>
      </c>
      <c r="G352" s="14">
        <f>29.4975 * CHOOSE(CONTROL!$C$15, $E$9, 100%, $G$9) + CHOOSE(CONTROL!$C$38, 0.0354, 0)</f>
        <v>29.532899999999998</v>
      </c>
      <c r="H352" s="14">
        <f>29.4975 * CHOOSE(CONTROL!$C$15, $E$9, 100%, $G$9) + CHOOSE(CONTROL!$C$38, 0.0354, 0)</f>
        <v>29.532899999999998</v>
      </c>
      <c r="I352" s="14">
        <f>29.4991 * CHOOSE(CONTROL!$C$15, $E$9, 100%, $G$9) + CHOOSE(CONTROL!$C$38, 0.0354, 0)</f>
        <v>29.534499999999998</v>
      </c>
      <c r="J352" s="44">
        <f>232.4961</f>
        <v>232.49610000000001</v>
      </c>
    </row>
    <row r="353" spans="1:10" ht="15.75" x14ac:dyDescent="0.25">
      <c r="A353" s="33">
        <v>51682</v>
      </c>
      <c r="B353" s="14">
        <f>30.7119 * CHOOSE(CONTROL!$C$15, $E$9, 100%, $G$9) + CHOOSE(CONTROL!$C$38, 0.0353, 0)</f>
        <v>30.747199999999999</v>
      </c>
      <c r="C353" s="14">
        <f>28.9348 * CHOOSE(CONTROL!$C$15, $E$9, 100%, $G$9) + CHOOSE(CONTROL!$C$38, 0.0354, 0)</f>
        <v>28.970199999999998</v>
      </c>
      <c r="D353" s="14">
        <f>28.9269 * CHOOSE(CONTROL!$C$15, $E$9, 100%, $G$9) + CHOOSE(CONTROL!$C$38, 0.0354, 0)</f>
        <v>28.962299999999999</v>
      </c>
      <c r="E353" s="14">
        <f>28.9269 * CHOOSE(CONTROL!$C$15, $E$9, 100%, $G$9) + CHOOSE(CONTROL!$C$38, 0.0354, 0)</f>
        <v>28.962299999999999</v>
      </c>
      <c r="F353" s="45">
        <f>30.7119 * CHOOSE(CONTROL!$C$15, $E$9, 100%, $G$9) + CHOOSE(CONTROL!$C$38, 0.0353, 0)</f>
        <v>30.747199999999999</v>
      </c>
      <c r="G353" s="14">
        <f>28.9332 * CHOOSE(CONTROL!$C$15, $E$9, 100%, $G$9) + CHOOSE(CONTROL!$C$38, 0.0354, 0)</f>
        <v>28.968599999999999</v>
      </c>
      <c r="H353" s="14">
        <f>28.9332 * CHOOSE(CONTROL!$C$15, $E$9, 100%, $G$9) + CHOOSE(CONTROL!$C$38, 0.0354, 0)</f>
        <v>28.968599999999999</v>
      </c>
      <c r="I353" s="14">
        <f>28.9348 * CHOOSE(CONTROL!$C$15, $E$9, 100%, $G$9) + CHOOSE(CONTROL!$C$38, 0.0354, 0)</f>
        <v>28.970199999999998</v>
      </c>
      <c r="J353" s="44">
        <f>235.8461</f>
        <v>235.84610000000001</v>
      </c>
    </row>
    <row r="354" spans="1:10" ht="15.75" x14ac:dyDescent="0.25">
      <c r="A354" s="33">
        <v>51713</v>
      </c>
      <c r="B354" s="14">
        <f>30.3898 * CHOOSE(CONTROL!$C$15, $E$9, 100%, $G$9) + CHOOSE(CONTROL!$C$38, 0.0353, 0)</f>
        <v>30.4251</v>
      </c>
      <c r="C354" s="14">
        <f>28.6127 * CHOOSE(CONTROL!$C$15, $E$9, 100%, $G$9) + CHOOSE(CONTROL!$C$38, 0.0354, 0)</f>
        <v>28.648099999999999</v>
      </c>
      <c r="D354" s="14">
        <f>28.6049 * CHOOSE(CONTROL!$C$15, $E$9, 100%, $G$9) + CHOOSE(CONTROL!$C$38, 0.0354, 0)</f>
        <v>28.6403</v>
      </c>
      <c r="E354" s="14">
        <f>28.6049 * CHOOSE(CONTROL!$C$15, $E$9, 100%, $G$9) + CHOOSE(CONTROL!$C$38, 0.0354, 0)</f>
        <v>28.6403</v>
      </c>
      <c r="F354" s="45">
        <f>30.3898 * CHOOSE(CONTROL!$C$15, $E$9, 100%, $G$9) + CHOOSE(CONTROL!$C$38, 0.0353, 0)</f>
        <v>30.4251</v>
      </c>
      <c r="G354" s="14">
        <f>28.6111 * CHOOSE(CONTROL!$C$15, $E$9, 100%, $G$9) + CHOOSE(CONTROL!$C$38, 0.0354, 0)</f>
        <v>28.6465</v>
      </c>
      <c r="H354" s="14">
        <f>28.6111 * CHOOSE(CONTROL!$C$15, $E$9, 100%, $G$9) + CHOOSE(CONTROL!$C$38, 0.0354, 0)</f>
        <v>28.6465</v>
      </c>
      <c r="I354" s="14">
        <f>28.6127 * CHOOSE(CONTROL!$C$15, $E$9, 100%, $G$9) + CHOOSE(CONTROL!$C$38, 0.0354, 0)</f>
        <v>28.648099999999999</v>
      </c>
      <c r="J354" s="44">
        <f>234.7431</f>
        <v>234.7431</v>
      </c>
    </row>
    <row r="355" spans="1:10" ht="15.75" x14ac:dyDescent="0.25">
      <c r="A355" s="33">
        <v>51744</v>
      </c>
      <c r="B355" s="14">
        <f>30.5488 * CHOOSE(CONTROL!$C$15, $E$9, 100%, $G$9) + CHOOSE(CONTROL!$C$38, 0.0353, 0)</f>
        <v>30.584099999999999</v>
      </c>
      <c r="C355" s="14">
        <f>28.7716 * CHOOSE(CONTROL!$C$15, $E$9, 100%, $G$9) + CHOOSE(CONTROL!$C$38, 0.0354, 0)</f>
        <v>28.806999999999999</v>
      </c>
      <c r="D355" s="14">
        <f>28.7638 * CHOOSE(CONTROL!$C$15, $E$9, 100%, $G$9) + CHOOSE(CONTROL!$C$38, 0.0354, 0)</f>
        <v>28.799199999999999</v>
      </c>
      <c r="E355" s="14">
        <f>28.7638 * CHOOSE(CONTROL!$C$15, $E$9, 100%, $G$9) + CHOOSE(CONTROL!$C$38, 0.0354, 0)</f>
        <v>28.799199999999999</v>
      </c>
      <c r="F355" s="45">
        <f>30.5488 * CHOOSE(CONTROL!$C$15, $E$9, 100%, $G$9) + CHOOSE(CONTROL!$C$38, 0.0353, 0)</f>
        <v>30.584099999999999</v>
      </c>
      <c r="G355" s="14">
        <f>28.7701 * CHOOSE(CONTROL!$C$15, $E$9, 100%, $G$9) + CHOOSE(CONTROL!$C$38, 0.0354, 0)</f>
        <v>28.805499999999999</v>
      </c>
      <c r="H355" s="14">
        <f>28.7701 * CHOOSE(CONTROL!$C$15, $E$9, 100%, $G$9) + CHOOSE(CONTROL!$C$38, 0.0354, 0)</f>
        <v>28.805499999999999</v>
      </c>
      <c r="I355" s="14">
        <f>28.7716 * CHOOSE(CONTROL!$C$15, $E$9, 100%, $G$9) + CHOOSE(CONTROL!$C$38, 0.0354, 0)</f>
        <v>28.806999999999999</v>
      </c>
      <c r="J355" s="44">
        <f>229.2784</f>
        <v>229.2784</v>
      </c>
    </row>
    <row r="356" spans="1:10" ht="15.75" x14ac:dyDescent="0.25">
      <c r="A356" s="33">
        <v>51774</v>
      </c>
      <c r="B356" s="14">
        <f>30.9805 * CHOOSE(CONTROL!$C$15, $E$9, 100%, $G$9) + CHOOSE(CONTROL!$C$38, 0.0353, 0)</f>
        <v>31.015799999999999</v>
      </c>
      <c r="C356" s="14">
        <f>29.2034 * CHOOSE(CONTROL!$C$15, $E$9, 100%, $G$9) + CHOOSE(CONTROL!$C$38, 0.0354, 0)</f>
        <v>29.238799999999998</v>
      </c>
      <c r="D356" s="14">
        <f>29.1955 * CHOOSE(CONTROL!$C$15, $E$9, 100%, $G$9) + CHOOSE(CONTROL!$C$38, 0.0354, 0)</f>
        <v>29.230899999999998</v>
      </c>
      <c r="E356" s="14">
        <f>29.1955 * CHOOSE(CONTROL!$C$15, $E$9, 100%, $G$9) + CHOOSE(CONTROL!$C$38, 0.0354, 0)</f>
        <v>29.230899999999998</v>
      </c>
      <c r="F356" s="45">
        <f>30.9805 * CHOOSE(CONTROL!$C$15, $E$9, 100%, $G$9) + CHOOSE(CONTROL!$C$38, 0.0353, 0)</f>
        <v>31.015799999999999</v>
      </c>
      <c r="G356" s="14">
        <f>29.2018 * CHOOSE(CONTROL!$C$15, $E$9, 100%, $G$9) + CHOOSE(CONTROL!$C$38, 0.0354, 0)</f>
        <v>29.237199999999998</v>
      </c>
      <c r="H356" s="14">
        <f>29.2018 * CHOOSE(CONTROL!$C$15, $E$9, 100%, $G$9) + CHOOSE(CONTROL!$C$38, 0.0354, 0)</f>
        <v>29.237199999999998</v>
      </c>
      <c r="I356" s="14">
        <f>29.2034 * CHOOSE(CONTROL!$C$15, $E$9, 100%, $G$9) + CHOOSE(CONTROL!$C$38, 0.0354, 0)</f>
        <v>29.238799999999998</v>
      </c>
      <c r="J356" s="44">
        <f>221.6576</f>
        <v>221.6576</v>
      </c>
    </row>
    <row r="357" spans="1:10" ht="15.75" x14ac:dyDescent="0.25">
      <c r="A357" s="33">
        <v>51805</v>
      </c>
      <c r="B357" s="14">
        <f>31.342 * CHOOSE(CONTROL!$C$15, $E$9, 100%, $G$9) + CHOOSE(CONTROL!$C$38, 0.034, 0)</f>
        <v>31.375999999999998</v>
      </c>
      <c r="C357" s="14">
        <f>29.5649 * CHOOSE(CONTROL!$C$15, $E$9, 100%, $G$9) + CHOOSE(CONTROL!$C$38, 0.0342, 0)</f>
        <v>29.5991</v>
      </c>
      <c r="D357" s="14">
        <f>29.5571 * CHOOSE(CONTROL!$C$15, $E$9, 100%, $G$9) + CHOOSE(CONTROL!$C$38, 0.0342, 0)</f>
        <v>29.591299999999997</v>
      </c>
      <c r="E357" s="14">
        <f>29.5571 * CHOOSE(CONTROL!$C$15, $E$9, 100%, $G$9) + CHOOSE(CONTROL!$C$38, 0.0342, 0)</f>
        <v>29.591299999999997</v>
      </c>
      <c r="F357" s="45">
        <f>31.342 * CHOOSE(CONTROL!$C$15, $E$9, 100%, $G$9) + CHOOSE(CONTROL!$C$38, 0.034, 0)</f>
        <v>31.375999999999998</v>
      </c>
      <c r="G357" s="14">
        <f>29.5634 * CHOOSE(CONTROL!$C$15, $E$9, 100%, $G$9) + CHOOSE(CONTROL!$C$38, 0.0342, 0)</f>
        <v>29.5976</v>
      </c>
      <c r="H357" s="14">
        <f>29.5634 * CHOOSE(CONTROL!$C$15, $E$9, 100%, $G$9) + CHOOSE(CONTROL!$C$38, 0.0342, 0)</f>
        <v>29.5976</v>
      </c>
      <c r="I357" s="14">
        <f>29.5649 * CHOOSE(CONTROL!$C$15, $E$9, 100%, $G$9) + CHOOSE(CONTROL!$C$38, 0.0342, 0)</f>
        <v>29.5991</v>
      </c>
      <c r="J357" s="44">
        <f>213.9924</f>
        <v>213.9924</v>
      </c>
    </row>
    <row r="358" spans="1:10" ht="15.75" x14ac:dyDescent="0.25">
      <c r="A358" s="33">
        <v>51835</v>
      </c>
      <c r="B358" s="14">
        <f>31.6437 * CHOOSE(CONTROL!$C$15, $E$9, 100%, $G$9) + CHOOSE(CONTROL!$C$38, 0.034, 0)</f>
        <v>31.677699999999998</v>
      </c>
      <c r="C358" s="14">
        <f>29.8666 * CHOOSE(CONTROL!$C$15, $E$9, 100%, $G$9) + CHOOSE(CONTROL!$C$38, 0.0342, 0)</f>
        <v>29.900799999999997</v>
      </c>
      <c r="D358" s="14">
        <f>29.8588 * CHOOSE(CONTROL!$C$15, $E$9, 100%, $G$9) + CHOOSE(CONTROL!$C$38, 0.0342, 0)</f>
        <v>29.892999999999997</v>
      </c>
      <c r="E358" s="14">
        <f>29.8588 * CHOOSE(CONTROL!$C$15, $E$9, 100%, $G$9) + CHOOSE(CONTROL!$C$38, 0.0342, 0)</f>
        <v>29.892999999999997</v>
      </c>
      <c r="F358" s="45">
        <f>31.6437 * CHOOSE(CONTROL!$C$15, $E$9, 100%, $G$9) + CHOOSE(CONTROL!$C$38, 0.034, 0)</f>
        <v>31.677699999999998</v>
      </c>
      <c r="G358" s="14">
        <f>29.8651 * CHOOSE(CONTROL!$C$15, $E$9, 100%, $G$9) + CHOOSE(CONTROL!$C$38, 0.0342, 0)</f>
        <v>29.8993</v>
      </c>
      <c r="H358" s="14">
        <f>29.8651 * CHOOSE(CONTROL!$C$15, $E$9, 100%, $G$9) + CHOOSE(CONTROL!$C$38, 0.0342, 0)</f>
        <v>29.8993</v>
      </c>
      <c r="I358" s="14">
        <f>29.8666 * CHOOSE(CONTROL!$C$15, $E$9, 100%, $G$9) + CHOOSE(CONTROL!$C$38, 0.0342, 0)</f>
        <v>29.900799999999997</v>
      </c>
      <c r="J358" s="44">
        <f>212.4677</f>
        <v>212.46770000000001</v>
      </c>
    </row>
    <row r="359" spans="1:10" ht="15.75" x14ac:dyDescent="0.25">
      <c r="A359" s="33">
        <v>51866</v>
      </c>
      <c r="B359" s="14">
        <f>32.5734 * CHOOSE(CONTROL!$C$15, $E$9, 100%, $G$9) + CHOOSE(CONTROL!$C$38, 0.034, 0)</f>
        <v>32.607399999999998</v>
      </c>
      <c r="C359" s="14">
        <f>30.7963 * CHOOSE(CONTROL!$C$15, $E$9, 100%, $G$9) + CHOOSE(CONTROL!$C$38, 0.0342, 0)</f>
        <v>30.830499999999997</v>
      </c>
      <c r="D359" s="14">
        <f>30.7885 * CHOOSE(CONTROL!$C$15, $E$9, 100%, $G$9) + CHOOSE(CONTROL!$C$38, 0.0342, 0)</f>
        <v>30.822699999999998</v>
      </c>
      <c r="E359" s="14">
        <f>30.7885 * CHOOSE(CONTROL!$C$15, $E$9, 100%, $G$9) + CHOOSE(CONTROL!$C$38, 0.0342, 0)</f>
        <v>30.822699999999998</v>
      </c>
      <c r="F359" s="45">
        <f>32.5734 * CHOOSE(CONTROL!$C$15, $E$9, 100%, $G$9) + CHOOSE(CONTROL!$C$38, 0.034, 0)</f>
        <v>32.607399999999998</v>
      </c>
      <c r="G359" s="14">
        <f>30.7947 * CHOOSE(CONTROL!$C$15, $E$9, 100%, $G$9) + CHOOSE(CONTROL!$C$38, 0.0342, 0)</f>
        <v>30.828899999999997</v>
      </c>
      <c r="H359" s="14">
        <f>30.7947 * CHOOSE(CONTROL!$C$15, $E$9, 100%, $G$9) + CHOOSE(CONTROL!$C$38, 0.0342, 0)</f>
        <v>30.828899999999997</v>
      </c>
      <c r="I359" s="14">
        <f>30.7963 * CHOOSE(CONTROL!$C$15, $E$9, 100%, $G$9) + CHOOSE(CONTROL!$C$38, 0.0342, 0)</f>
        <v>30.830499999999997</v>
      </c>
      <c r="J359" s="44">
        <f>206.1627</f>
        <v>206.1627</v>
      </c>
    </row>
    <row r="360" spans="1:10" ht="15.75" x14ac:dyDescent="0.25">
      <c r="A360" s="33">
        <v>51897</v>
      </c>
      <c r="B360" s="14">
        <f>33.8297 * CHOOSE(CONTROL!$C$15, $E$9, 100%, $G$9) + CHOOSE(CONTROL!$C$38, 0.034, 0)</f>
        <v>33.863700000000001</v>
      </c>
      <c r="C360" s="14">
        <f>32.0254 * CHOOSE(CONTROL!$C$15, $E$9, 100%, $G$9) + CHOOSE(CONTROL!$C$38, 0.0342, 0)</f>
        <v>32.059599999999996</v>
      </c>
      <c r="D360" s="14">
        <f>32.0176 * CHOOSE(CONTROL!$C$15, $E$9, 100%, $G$9) + CHOOSE(CONTROL!$C$38, 0.0342, 0)</f>
        <v>32.0518</v>
      </c>
      <c r="E360" s="14">
        <f>32.0176 * CHOOSE(CONTROL!$C$15, $E$9, 100%, $G$9) + CHOOSE(CONTROL!$C$38, 0.0342, 0)</f>
        <v>32.0518</v>
      </c>
      <c r="F360" s="45">
        <f>33.8297 * CHOOSE(CONTROL!$C$15, $E$9, 100%, $G$9) + CHOOSE(CONTROL!$C$38, 0.034, 0)</f>
        <v>33.863700000000001</v>
      </c>
      <c r="G360" s="14">
        <f>32.0238 * CHOOSE(CONTROL!$C$15, $E$9, 100%, $G$9) + CHOOSE(CONTROL!$C$38, 0.0342, 0)</f>
        <v>32.058</v>
      </c>
      <c r="H360" s="14">
        <f>32.0238 * CHOOSE(CONTROL!$C$15, $E$9, 100%, $G$9) + CHOOSE(CONTROL!$C$38, 0.0342, 0)</f>
        <v>32.058</v>
      </c>
      <c r="I360" s="14">
        <f>32.0254 * CHOOSE(CONTROL!$C$15, $E$9, 100%, $G$9) + CHOOSE(CONTROL!$C$38, 0.0342, 0)</f>
        <v>32.059599999999996</v>
      </c>
      <c r="J360" s="44">
        <f>206.0138</f>
        <v>206.0138</v>
      </c>
    </row>
    <row r="361" spans="1:10" ht="15.75" x14ac:dyDescent="0.25">
      <c r="A361" s="33">
        <v>51925</v>
      </c>
      <c r="B361" s="14">
        <f>34.174 * CHOOSE(CONTROL!$C$15, $E$9, 100%, $G$9) + CHOOSE(CONTROL!$C$38, 0.034, 0)</f>
        <v>34.207999999999998</v>
      </c>
      <c r="C361" s="14">
        <f>32.3697 * CHOOSE(CONTROL!$C$15, $E$9, 100%, $G$9) + CHOOSE(CONTROL!$C$38, 0.0342, 0)</f>
        <v>32.4039</v>
      </c>
      <c r="D361" s="14">
        <f>32.3619 * CHOOSE(CONTROL!$C$15, $E$9, 100%, $G$9) + CHOOSE(CONTROL!$C$38, 0.0342, 0)</f>
        <v>32.396099999999997</v>
      </c>
      <c r="E361" s="14">
        <f>32.3619 * CHOOSE(CONTROL!$C$15, $E$9, 100%, $G$9) + CHOOSE(CONTROL!$C$38, 0.0342, 0)</f>
        <v>32.396099999999997</v>
      </c>
      <c r="F361" s="45">
        <f>34.174 * CHOOSE(CONTROL!$C$15, $E$9, 100%, $G$9) + CHOOSE(CONTROL!$C$38, 0.034, 0)</f>
        <v>34.207999999999998</v>
      </c>
      <c r="G361" s="14">
        <f>32.3681 * CHOOSE(CONTROL!$C$15, $E$9, 100%, $G$9) + CHOOSE(CONTROL!$C$38, 0.0342, 0)</f>
        <v>32.402299999999997</v>
      </c>
      <c r="H361" s="14">
        <f>32.3681 * CHOOSE(CONTROL!$C$15, $E$9, 100%, $G$9) + CHOOSE(CONTROL!$C$38, 0.0342, 0)</f>
        <v>32.402299999999997</v>
      </c>
      <c r="I361" s="14">
        <f>32.3697 * CHOOSE(CONTROL!$C$15, $E$9, 100%, $G$9) + CHOOSE(CONTROL!$C$38, 0.0342, 0)</f>
        <v>32.4039</v>
      </c>
      <c r="J361" s="44">
        <f>205.4412</f>
        <v>205.44120000000001</v>
      </c>
    </row>
    <row r="362" spans="1:10" ht="15.75" x14ac:dyDescent="0.25">
      <c r="A362" s="33">
        <v>51956</v>
      </c>
      <c r="B362" s="14">
        <f>33.377 * CHOOSE(CONTROL!$C$15, $E$9, 100%, $G$9) + CHOOSE(CONTROL!$C$38, 0.034, 0)</f>
        <v>33.411000000000001</v>
      </c>
      <c r="C362" s="14">
        <f>31.5727 * CHOOSE(CONTROL!$C$15, $E$9, 100%, $G$9) + CHOOSE(CONTROL!$C$38, 0.0342, 0)</f>
        <v>31.6069</v>
      </c>
      <c r="D362" s="14">
        <f>31.5648 * CHOOSE(CONTROL!$C$15, $E$9, 100%, $G$9) + CHOOSE(CONTROL!$C$38, 0.0342, 0)</f>
        <v>31.599</v>
      </c>
      <c r="E362" s="14">
        <f>31.5648 * CHOOSE(CONTROL!$C$15, $E$9, 100%, $G$9) + CHOOSE(CONTROL!$C$38, 0.0342, 0)</f>
        <v>31.599</v>
      </c>
      <c r="F362" s="45">
        <f>33.377 * CHOOSE(CONTROL!$C$15, $E$9, 100%, $G$9) + CHOOSE(CONTROL!$C$38, 0.034, 0)</f>
        <v>33.411000000000001</v>
      </c>
      <c r="G362" s="14">
        <f>31.5711 * CHOOSE(CONTROL!$C$15, $E$9, 100%, $G$9) + CHOOSE(CONTROL!$C$38, 0.0342, 0)</f>
        <v>31.6053</v>
      </c>
      <c r="H362" s="14">
        <f>31.5711 * CHOOSE(CONTROL!$C$15, $E$9, 100%, $G$9) + CHOOSE(CONTROL!$C$38, 0.0342, 0)</f>
        <v>31.6053</v>
      </c>
      <c r="I362" s="14">
        <f>31.5727 * CHOOSE(CONTROL!$C$15, $E$9, 100%, $G$9) + CHOOSE(CONTROL!$C$38, 0.0342, 0)</f>
        <v>31.6069</v>
      </c>
      <c r="J362" s="44">
        <f>216.2691</f>
        <v>216.26910000000001</v>
      </c>
    </row>
    <row r="363" spans="1:10" ht="15.75" x14ac:dyDescent="0.25">
      <c r="A363" s="33">
        <v>51986</v>
      </c>
      <c r="B363" s="14">
        <f>32.6047 * CHOOSE(CONTROL!$C$15, $E$9, 100%, $G$9) + CHOOSE(CONTROL!$C$38, 0.034, 0)</f>
        <v>32.6387</v>
      </c>
      <c r="C363" s="14">
        <f>30.8003 * CHOOSE(CONTROL!$C$15, $E$9, 100%, $G$9) + CHOOSE(CONTROL!$C$38, 0.0342, 0)</f>
        <v>30.834499999999998</v>
      </c>
      <c r="D363" s="14">
        <f>30.7925 * CHOOSE(CONTROL!$C$15, $E$9, 100%, $G$9) + CHOOSE(CONTROL!$C$38, 0.0342, 0)</f>
        <v>30.826699999999999</v>
      </c>
      <c r="E363" s="14">
        <f>30.7925 * CHOOSE(CONTROL!$C$15, $E$9, 100%, $G$9) + CHOOSE(CONTROL!$C$38, 0.0342, 0)</f>
        <v>30.826699999999999</v>
      </c>
      <c r="F363" s="45">
        <f>32.6047 * CHOOSE(CONTROL!$C$15, $E$9, 100%, $G$9) + CHOOSE(CONTROL!$C$38, 0.034, 0)</f>
        <v>32.6387</v>
      </c>
      <c r="G363" s="14">
        <f>30.7988 * CHOOSE(CONTROL!$C$15, $E$9, 100%, $G$9) + CHOOSE(CONTROL!$C$38, 0.0342, 0)</f>
        <v>30.832999999999998</v>
      </c>
      <c r="H363" s="14">
        <f>30.7988 * CHOOSE(CONTROL!$C$15, $E$9, 100%, $G$9) + CHOOSE(CONTROL!$C$38, 0.0342, 0)</f>
        <v>30.832999999999998</v>
      </c>
      <c r="I363" s="14">
        <f>30.8003 * CHOOSE(CONTROL!$C$15, $E$9, 100%, $G$9) + CHOOSE(CONTROL!$C$38, 0.0342, 0)</f>
        <v>30.834499999999998</v>
      </c>
      <c r="J363" s="44">
        <f>230.3104</f>
        <v>230.31039999999999</v>
      </c>
    </row>
    <row r="364" spans="1:10" ht="15.75" x14ac:dyDescent="0.25">
      <c r="A364" s="33">
        <v>52017</v>
      </c>
      <c r="B364" s="14">
        <f>31.7997 * CHOOSE(CONTROL!$C$15, $E$9, 100%, $G$9) + CHOOSE(CONTROL!$C$38, 0.0353, 0)</f>
        <v>31.835000000000001</v>
      </c>
      <c r="C364" s="14">
        <f>29.9954 * CHOOSE(CONTROL!$C$15, $E$9, 100%, $G$9) + CHOOSE(CONTROL!$C$38, 0.0354, 0)</f>
        <v>30.030799999999999</v>
      </c>
      <c r="D364" s="14">
        <f>29.9876 * CHOOSE(CONTROL!$C$15, $E$9, 100%, $G$9) + CHOOSE(CONTROL!$C$38, 0.0354, 0)</f>
        <v>30.023</v>
      </c>
      <c r="E364" s="14">
        <f>29.9876 * CHOOSE(CONTROL!$C$15, $E$9, 100%, $G$9) + CHOOSE(CONTROL!$C$38, 0.0354, 0)</f>
        <v>30.023</v>
      </c>
      <c r="F364" s="45">
        <f>31.7997 * CHOOSE(CONTROL!$C$15, $E$9, 100%, $G$9) + CHOOSE(CONTROL!$C$38, 0.0353, 0)</f>
        <v>31.835000000000001</v>
      </c>
      <c r="G364" s="14">
        <f>29.9938 * CHOOSE(CONTROL!$C$15, $E$9, 100%, $G$9) + CHOOSE(CONTROL!$C$38, 0.0354, 0)</f>
        <v>30.029199999999999</v>
      </c>
      <c r="H364" s="14">
        <f>29.9938 * CHOOSE(CONTROL!$C$15, $E$9, 100%, $G$9) + CHOOSE(CONTROL!$C$38, 0.0354, 0)</f>
        <v>30.029199999999999</v>
      </c>
      <c r="I364" s="14">
        <f>29.9954 * CHOOSE(CONTROL!$C$15, $E$9, 100%, $G$9) + CHOOSE(CONTROL!$C$38, 0.0354, 0)</f>
        <v>30.030799999999999</v>
      </c>
      <c r="J364" s="44">
        <f>238.0392</f>
        <v>238.03919999999999</v>
      </c>
    </row>
    <row r="365" spans="1:10" ht="15.75" x14ac:dyDescent="0.25">
      <c r="A365" s="33">
        <v>52047</v>
      </c>
      <c r="B365" s="14">
        <f>31.2354 * CHOOSE(CONTROL!$C$15, $E$9, 100%, $G$9) + CHOOSE(CONTROL!$C$38, 0.0353, 0)</f>
        <v>31.270699999999998</v>
      </c>
      <c r="C365" s="14">
        <f>29.431 * CHOOSE(CONTROL!$C$15, $E$9, 100%, $G$9) + CHOOSE(CONTROL!$C$38, 0.0354, 0)</f>
        <v>29.4664</v>
      </c>
      <c r="D365" s="14">
        <f>29.4232 * CHOOSE(CONTROL!$C$15, $E$9, 100%, $G$9) + CHOOSE(CONTROL!$C$38, 0.0354, 0)</f>
        <v>29.458600000000001</v>
      </c>
      <c r="E365" s="14">
        <f>29.4232 * CHOOSE(CONTROL!$C$15, $E$9, 100%, $G$9) + CHOOSE(CONTROL!$C$38, 0.0354, 0)</f>
        <v>29.458600000000001</v>
      </c>
      <c r="F365" s="45">
        <f>31.2354 * CHOOSE(CONTROL!$C$15, $E$9, 100%, $G$9) + CHOOSE(CONTROL!$C$38, 0.0353, 0)</f>
        <v>31.270699999999998</v>
      </c>
      <c r="G365" s="14">
        <f>29.4295 * CHOOSE(CONTROL!$C$15, $E$9, 100%, $G$9) + CHOOSE(CONTROL!$C$38, 0.0354, 0)</f>
        <v>29.4649</v>
      </c>
      <c r="H365" s="14">
        <f>29.4295 * CHOOSE(CONTROL!$C$15, $E$9, 100%, $G$9) + CHOOSE(CONTROL!$C$38, 0.0354, 0)</f>
        <v>29.4649</v>
      </c>
      <c r="I365" s="14">
        <f>29.431 * CHOOSE(CONTROL!$C$15, $E$9, 100%, $G$9) + CHOOSE(CONTROL!$C$38, 0.0354, 0)</f>
        <v>29.4664</v>
      </c>
      <c r="J365" s="44">
        <f>241.469</f>
        <v>241.46899999999999</v>
      </c>
    </row>
    <row r="366" spans="1:10" ht="15.75" x14ac:dyDescent="0.25">
      <c r="A366" s="33">
        <v>52078</v>
      </c>
      <c r="B366" s="14">
        <f>30.9133 * CHOOSE(CONTROL!$C$15, $E$9, 100%, $G$9) + CHOOSE(CONTROL!$C$38, 0.0353, 0)</f>
        <v>30.948599999999999</v>
      </c>
      <c r="C366" s="14">
        <f>29.109 * CHOOSE(CONTROL!$C$15, $E$9, 100%, $G$9) + CHOOSE(CONTROL!$C$38, 0.0354, 0)</f>
        <v>29.144400000000001</v>
      </c>
      <c r="D366" s="14">
        <f>29.1012 * CHOOSE(CONTROL!$C$15, $E$9, 100%, $G$9) + CHOOSE(CONTROL!$C$38, 0.0354, 0)</f>
        <v>29.136599999999998</v>
      </c>
      <c r="E366" s="14">
        <f>29.1012 * CHOOSE(CONTROL!$C$15, $E$9, 100%, $G$9) + CHOOSE(CONTROL!$C$38, 0.0354, 0)</f>
        <v>29.136599999999998</v>
      </c>
      <c r="F366" s="45">
        <f>30.9133 * CHOOSE(CONTROL!$C$15, $E$9, 100%, $G$9) + CHOOSE(CONTROL!$C$38, 0.0353, 0)</f>
        <v>30.948599999999999</v>
      </c>
      <c r="G366" s="14">
        <f>29.1074 * CHOOSE(CONTROL!$C$15, $E$9, 100%, $G$9) + CHOOSE(CONTROL!$C$38, 0.0354, 0)</f>
        <v>29.142799999999998</v>
      </c>
      <c r="H366" s="14">
        <f>29.1074 * CHOOSE(CONTROL!$C$15, $E$9, 100%, $G$9) + CHOOSE(CONTROL!$C$38, 0.0354, 0)</f>
        <v>29.142799999999998</v>
      </c>
      <c r="I366" s="14">
        <f>29.109 * CHOOSE(CONTROL!$C$15, $E$9, 100%, $G$9) + CHOOSE(CONTROL!$C$38, 0.0354, 0)</f>
        <v>29.144400000000001</v>
      </c>
      <c r="J366" s="44">
        <f>240.3398</f>
        <v>240.3398</v>
      </c>
    </row>
    <row r="367" spans="1:10" ht="15.75" x14ac:dyDescent="0.25">
      <c r="A367" s="33">
        <v>52109</v>
      </c>
      <c r="B367" s="14">
        <f>31.0723 * CHOOSE(CONTROL!$C$15, $E$9, 100%, $G$9) + CHOOSE(CONTROL!$C$38, 0.0353, 0)</f>
        <v>31.107599999999998</v>
      </c>
      <c r="C367" s="14">
        <f>29.2679 * CHOOSE(CONTROL!$C$15, $E$9, 100%, $G$9) + CHOOSE(CONTROL!$C$38, 0.0354, 0)</f>
        <v>29.3033</v>
      </c>
      <c r="D367" s="14">
        <f>29.2601 * CHOOSE(CONTROL!$C$15, $E$9, 100%, $G$9) + CHOOSE(CONTROL!$C$38, 0.0354, 0)</f>
        <v>29.295500000000001</v>
      </c>
      <c r="E367" s="14">
        <f>29.2601 * CHOOSE(CONTROL!$C$15, $E$9, 100%, $G$9) + CHOOSE(CONTROL!$C$38, 0.0354, 0)</f>
        <v>29.295500000000001</v>
      </c>
      <c r="F367" s="45">
        <f>31.0723 * CHOOSE(CONTROL!$C$15, $E$9, 100%, $G$9) + CHOOSE(CONTROL!$C$38, 0.0353, 0)</f>
        <v>31.107599999999998</v>
      </c>
      <c r="G367" s="14">
        <f>29.2664 * CHOOSE(CONTROL!$C$15, $E$9, 100%, $G$9) + CHOOSE(CONTROL!$C$38, 0.0354, 0)</f>
        <v>29.3018</v>
      </c>
      <c r="H367" s="14">
        <f>29.2664 * CHOOSE(CONTROL!$C$15, $E$9, 100%, $G$9) + CHOOSE(CONTROL!$C$38, 0.0354, 0)</f>
        <v>29.3018</v>
      </c>
      <c r="I367" s="14">
        <f>29.2679 * CHOOSE(CONTROL!$C$15, $E$9, 100%, $G$9) + CHOOSE(CONTROL!$C$38, 0.0354, 0)</f>
        <v>29.3033</v>
      </c>
      <c r="J367" s="44">
        <f>234.7447</f>
        <v>234.74469999999999</v>
      </c>
    </row>
    <row r="368" spans="1:10" ht="15.75" x14ac:dyDescent="0.25">
      <c r="A368" s="33">
        <v>52139</v>
      </c>
      <c r="B368" s="14">
        <f>31.504 * CHOOSE(CONTROL!$C$15, $E$9, 100%, $G$9) + CHOOSE(CONTROL!$C$38, 0.0353, 0)</f>
        <v>31.539300000000001</v>
      </c>
      <c r="C368" s="14">
        <f>29.6996 * CHOOSE(CONTROL!$C$15, $E$9, 100%, $G$9) + CHOOSE(CONTROL!$C$38, 0.0354, 0)</f>
        <v>29.734999999999999</v>
      </c>
      <c r="D368" s="14">
        <f>29.6918 * CHOOSE(CONTROL!$C$15, $E$9, 100%, $G$9) + CHOOSE(CONTROL!$C$38, 0.0354, 0)</f>
        <v>29.7272</v>
      </c>
      <c r="E368" s="14">
        <f>29.6918 * CHOOSE(CONTROL!$C$15, $E$9, 100%, $G$9) + CHOOSE(CONTROL!$C$38, 0.0354, 0)</f>
        <v>29.7272</v>
      </c>
      <c r="F368" s="45">
        <f>31.504 * CHOOSE(CONTROL!$C$15, $E$9, 100%, $G$9) + CHOOSE(CONTROL!$C$38, 0.0353, 0)</f>
        <v>31.539300000000001</v>
      </c>
      <c r="G368" s="14">
        <f>29.6981 * CHOOSE(CONTROL!$C$15, $E$9, 100%, $G$9) + CHOOSE(CONTROL!$C$38, 0.0354, 0)</f>
        <v>29.733499999999999</v>
      </c>
      <c r="H368" s="14">
        <f>29.6981 * CHOOSE(CONTROL!$C$15, $E$9, 100%, $G$9) + CHOOSE(CONTROL!$C$38, 0.0354, 0)</f>
        <v>29.733499999999999</v>
      </c>
      <c r="I368" s="14">
        <f>29.6996 * CHOOSE(CONTROL!$C$15, $E$9, 100%, $G$9) + CHOOSE(CONTROL!$C$38, 0.0354, 0)</f>
        <v>29.734999999999999</v>
      </c>
      <c r="J368" s="44">
        <f>226.9422</f>
        <v>226.94220000000001</v>
      </c>
    </row>
    <row r="369" spans="1:10" ht="15.75" x14ac:dyDescent="0.25">
      <c r="A369" s="33">
        <v>52170</v>
      </c>
      <c r="B369" s="14">
        <f>31.8656 * CHOOSE(CONTROL!$C$15, $E$9, 100%, $G$9) + CHOOSE(CONTROL!$C$38, 0.034, 0)</f>
        <v>31.8996</v>
      </c>
      <c r="C369" s="14">
        <f>30.0612 * CHOOSE(CONTROL!$C$15, $E$9, 100%, $G$9) + CHOOSE(CONTROL!$C$38, 0.0342, 0)</f>
        <v>30.095399999999998</v>
      </c>
      <c r="D369" s="14">
        <f>30.0534 * CHOOSE(CONTROL!$C$15, $E$9, 100%, $G$9) + CHOOSE(CONTROL!$C$38, 0.0342, 0)</f>
        <v>30.087599999999998</v>
      </c>
      <c r="E369" s="14">
        <f>30.0534 * CHOOSE(CONTROL!$C$15, $E$9, 100%, $G$9) + CHOOSE(CONTROL!$C$38, 0.0342, 0)</f>
        <v>30.087599999999998</v>
      </c>
      <c r="F369" s="45">
        <f>31.8656 * CHOOSE(CONTROL!$C$15, $E$9, 100%, $G$9) + CHOOSE(CONTROL!$C$38, 0.034, 0)</f>
        <v>31.8996</v>
      </c>
      <c r="G369" s="14">
        <f>30.0597 * CHOOSE(CONTROL!$C$15, $E$9, 100%, $G$9) + CHOOSE(CONTROL!$C$38, 0.0342, 0)</f>
        <v>30.093899999999998</v>
      </c>
      <c r="H369" s="14">
        <f>30.0597 * CHOOSE(CONTROL!$C$15, $E$9, 100%, $G$9) + CHOOSE(CONTROL!$C$38, 0.0342, 0)</f>
        <v>30.093899999999998</v>
      </c>
      <c r="I369" s="14">
        <f>30.0612 * CHOOSE(CONTROL!$C$15, $E$9, 100%, $G$9) + CHOOSE(CONTROL!$C$38, 0.0342, 0)</f>
        <v>30.095399999999998</v>
      </c>
      <c r="J369" s="44">
        <f>219.0943</f>
        <v>219.0943</v>
      </c>
    </row>
    <row r="370" spans="1:10" ht="15.75" x14ac:dyDescent="0.25">
      <c r="A370" s="33">
        <v>52200</v>
      </c>
      <c r="B370" s="14">
        <f>32.1673 * CHOOSE(CONTROL!$C$15, $E$9, 100%, $G$9) + CHOOSE(CONTROL!$C$38, 0.034, 0)</f>
        <v>32.201299999999996</v>
      </c>
      <c r="C370" s="14">
        <f>30.3629 * CHOOSE(CONTROL!$C$15, $E$9, 100%, $G$9) + CHOOSE(CONTROL!$C$38, 0.0342, 0)</f>
        <v>30.397099999999998</v>
      </c>
      <c r="D370" s="14">
        <f>30.3551 * CHOOSE(CONTROL!$C$15, $E$9, 100%, $G$9) + CHOOSE(CONTROL!$C$38, 0.0342, 0)</f>
        <v>30.389299999999999</v>
      </c>
      <c r="E370" s="14">
        <f>30.3551 * CHOOSE(CONTROL!$C$15, $E$9, 100%, $G$9) + CHOOSE(CONTROL!$C$38, 0.0342, 0)</f>
        <v>30.389299999999999</v>
      </c>
      <c r="F370" s="45">
        <f>32.1673 * CHOOSE(CONTROL!$C$15, $E$9, 100%, $G$9) + CHOOSE(CONTROL!$C$38, 0.034, 0)</f>
        <v>32.201299999999996</v>
      </c>
      <c r="G370" s="14">
        <f>30.3614 * CHOOSE(CONTROL!$C$15, $E$9, 100%, $G$9) + CHOOSE(CONTROL!$C$38, 0.0342, 0)</f>
        <v>30.395599999999998</v>
      </c>
      <c r="H370" s="14">
        <f>30.3614 * CHOOSE(CONTROL!$C$15, $E$9, 100%, $G$9) + CHOOSE(CONTROL!$C$38, 0.0342, 0)</f>
        <v>30.395599999999998</v>
      </c>
      <c r="I370" s="14">
        <f>30.3629 * CHOOSE(CONTROL!$C$15, $E$9, 100%, $G$9) + CHOOSE(CONTROL!$C$38, 0.0342, 0)</f>
        <v>30.397099999999998</v>
      </c>
      <c r="J370" s="44">
        <f>217.5332</f>
        <v>217.53319999999999</v>
      </c>
    </row>
    <row r="371" spans="1:10" ht="15.75" x14ac:dyDescent="0.25">
      <c r="A371" s="33">
        <v>52231</v>
      </c>
      <c r="B371" s="14">
        <f>33.0969 * CHOOSE(CONTROL!$C$15, $E$9, 100%, $G$9) + CHOOSE(CONTROL!$C$38, 0.034, 0)</f>
        <v>33.130899999999997</v>
      </c>
      <c r="C371" s="14">
        <f>31.2926 * CHOOSE(CONTROL!$C$15, $E$9, 100%, $G$9) + CHOOSE(CONTROL!$C$38, 0.0342, 0)</f>
        <v>31.326799999999999</v>
      </c>
      <c r="D371" s="14">
        <f>31.2848 * CHOOSE(CONTROL!$C$15, $E$9, 100%, $G$9) + CHOOSE(CONTROL!$C$38, 0.0342, 0)</f>
        <v>31.318999999999999</v>
      </c>
      <c r="E371" s="14">
        <f>31.2848 * CHOOSE(CONTROL!$C$15, $E$9, 100%, $G$9) + CHOOSE(CONTROL!$C$38, 0.0342, 0)</f>
        <v>31.318999999999999</v>
      </c>
      <c r="F371" s="45">
        <f>33.0969 * CHOOSE(CONTROL!$C$15, $E$9, 100%, $G$9) + CHOOSE(CONTROL!$C$38, 0.034, 0)</f>
        <v>33.130899999999997</v>
      </c>
      <c r="G371" s="14">
        <f>31.291 * CHOOSE(CONTROL!$C$15, $E$9, 100%, $G$9) + CHOOSE(CONTROL!$C$38, 0.0342, 0)</f>
        <v>31.325199999999999</v>
      </c>
      <c r="H371" s="14">
        <f>31.291 * CHOOSE(CONTROL!$C$15, $E$9, 100%, $G$9) + CHOOSE(CONTROL!$C$38, 0.0342, 0)</f>
        <v>31.325199999999999</v>
      </c>
      <c r="I371" s="14">
        <f>31.2926 * CHOOSE(CONTROL!$C$15, $E$9, 100%, $G$9) + CHOOSE(CONTROL!$C$38, 0.0342, 0)</f>
        <v>31.326799999999999</v>
      </c>
      <c r="J371" s="44">
        <f>211.0779</f>
        <v>211.0779</v>
      </c>
    </row>
    <row r="372" spans="1:10" ht="15.75" x14ac:dyDescent="0.25">
      <c r="A372" s="33">
        <v>52262</v>
      </c>
      <c r="B372" s="14">
        <f>34.362 * CHOOSE(CONTROL!$C$15, $E$9, 100%, $G$9) + CHOOSE(CONTROL!$C$38, 0.034, 0)</f>
        <v>34.396000000000001</v>
      </c>
      <c r="C372" s="14">
        <f>32.53 * CHOOSE(CONTROL!$C$15, $E$9, 100%, $G$9) + CHOOSE(CONTROL!$C$38, 0.0342, 0)</f>
        <v>32.5642</v>
      </c>
      <c r="D372" s="14">
        <f>32.5222 * CHOOSE(CONTROL!$C$15, $E$9, 100%, $G$9) + CHOOSE(CONTROL!$C$38, 0.0342, 0)</f>
        <v>32.556399999999996</v>
      </c>
      <c r="E372" s="14">
        <f>32.5222 * CHOOSE(CONTROL!$C$15, $E$9, 100%, $G$9) + CHOOSE(CONTROL!$C$38, 0.0342, 0)</f>
        <v>32.556399999999996</v>
      </c>
      <c r="F372" s="45">
        <f>34.362 * CHOOSE(CONTROL!$C$15, $E$9, 100%, $G$9) + CHOOSE(CONTROL!$C$38, 0.034, 0)</f>
        <v>34.396000000000001</v>
      </c>
      <c r="G372" s="14">
        <f>32.5285 * CHOOSE(CONTROL!$C$15, $E$9, 100%, $G$9) + CHOOSE(CONTROL!$C$38, 0.0342, 0)</f>
        <v>32.5627</v>
      </c>
      <c r="H372" s="14">
        <f>32.5285 * CHOOSE(CONTROL!$C$15, $E$9, 100%, $G$9) + CHOOSE(CONTROL!$C$38, 0.0342, 0)</f>
        <v>32.5627</v>
      </c>
      <c r="I372" s="14">
        <f>32.53 * CHOOSE(CONTROL!$C$15, $E$9, 100%, $G$9) + CHOOSE(CONTROL!$C$38, 0.0342, 0)</f>
        <v>32.5642</v>
      </c>
      <c r="J372" s="44">
        <f>210.9255</f>
        <v>210.9255</v>
      </c>
    </row>
    <row r="373" spans="1:10" ht="15.75" x14ac:dyDescent="0.25">
      <c r="A373" s="33">
        <v>52290</v>
      </c>
      <c r="B373" s="14">
        <f>34.7064 * CHOOSE(CONTROL!$C$15, $E$9, 100%, $G$9) + CHOOSE(CONTROL!$C$38, 0.034, 0)</f>
        <v>34.740400000000001</v>
      </c>
      <c r="C373" s="14">
        <f>32.8743 * CHOOSE(CONTROL!$C$15, $E$9, 100%, $G$9) + CHOOSE(CONTROL!$C$38, 0.0342, 0)</f>
        <v>32.908499999999997</v>
      </c>
      <c r="D373" s="14">
        <f>32.8665 * CHOOSE(CONTROL!$C$15, $E$9, 100%, $G$9) + CHOOSE(CONTROL!$C$38, 0.0342, 0)</f>
        <v>32.900700000000001</v>
      </c>
      <c r="E373" s="14">
        <f>32.8665 * CHOOSE(CONTROL!$C$15, $E$9, 100%, $G$9) + CHOOSE(CONTROL!$C$38, 0.0342, 0)</f>
        <v>32.900700000000001</v>
      </c>
      <c r="F373" s="45">
        <f>34.7064 * CHOOSE(CONTROL!$C$15, $E$9, 100%, $G$9) + CHOOSE(CONTROL!$C$38, 0.034, 0)</f>
        <v>34.740400000000001</v>
      </c>
      <c r="G373" s="14">
        <f>32.8728 * CHOOSE(CONTROL!$C$15, $E$9, 100%, $G$9) + CHOOSE(CONTROL!$C$38, 0.0342, 0)</f>
        <v>32.906999999999996</v>
      </c>
      <c r="H373" s="14">
        <f>32.8728 * CHOOSE(CONTROL!$C$15, $E$9, 100%, $G$9) + CHOOSE(CONTROL!$C$38, 0.0342, 0)</f>
        <v>32.906999999999996</v>
      </c>
      <c r="I373" s="14">
        <f>32.8743 * CHOOSE(CONTROL!$C$15, $E$9, 100%, $G$9) + CHOOSE(CONTROL!$C$38, 0.0342, 0)</f>
        <v>32.908499999999997</v>
      </c>
      <c r="J373" s="44">
        <f>210.3392</f>
        <v>210.33920000000001</v>
      </c>
    </row>
    <row r="374" spans="1:10" ht="15.75" x14ac:dyDescent="0.25">
      <c r="A374" s="33">
        <v>52321</v>
      </c>
      <c r="B374" s="14">
        <f>33.9093 * CHOOSE(CONTROL!$C$15, $E$9, 100%, $G$9) + CHOOSE(CONTROL!$C$38, 0.034, 0)</f>
        <v>33.943300000000001</v>
      </c>
      <c r="C374" s="14">
        <f>32.0773 * CHOOSE(CONTROL!$C$15, $E$9, 100%, $G$9) + CHOOSE(CONTROL!$C$38, 0.0342, 0)</f>
        <v>32.111499999999999</v>
      </c>
      <c r="D374" s="14">
        <f>32.0695 * CHOOSE(CONTROL!$C$15, $E$9, 100%, $G$9) + CHOOSE(CONTROL!$C$38, 0.0342, 0)</f>
        <v>32.103699999999996</v>
      </c>
      <c r="E374" s="14">
        <f>32.0695 * CHOOSE(CONTROL!$C$15, $E$9, 100%, $G$9) + CHOOSE(CONTROL!$C$38, 0.0342, 0)</f>
        <v>32.103699999999996</v>
      </c>
      <c r="F374" s="45">
        <f>33.9093 * CHOOSE(CONTROL!$C$15, $E$9, 100%, $G$9) + CHOOSE(CONTROL!$C$38, 0.034, 0)</f>
        <v>33.943300000000001</v>
      </c>
      <c r="G374" s="14">
        <f>32.0757 * CHOOSE(CONTROL!$C$15, $E$9, 100%, $G$9) + CHOOSE(CONTROL!$C$38, 0.0342, 0)</f>
        <v>32.109899999999996</v>
      </c>
      <c r="H374" s="14">
        <f>32.0757 * CHOOSE(CONTROL!$C$15, $E$9, 100%, $G$9) + CHOOSE(CONTROL!$C$38, 0.0342, 0)</f>
        <v>32.109899999999996</v>
      </c>
      <c r="I374" s="14">
        <f>32.0773 * CHOOSE(CONTROL!$C$15, $E$9, 100%, $G$9) + CHOOSE(CONTROL!$C$38, 0.0342, 0)</f>
        <v>32.111499999999999</v>
      </c>
      <c r="J374" s="44">
        <f>221.4253</f>
        <v>221.42529999999999</v>
      </c>
    </row>
    <row r="375" spans="1:10" ht="15.75" x14ac:dyDescent="0.25">
      <c r="A375" s="33">
        <v>52351</v>
      </c>
      <c r="B375" s="14">
        <f>33.137 * CHOOSE(CONTROL!$C$15, $E$9, 100%, $G$9) + CHOOSE(CONTROL!$C$38, 0.034, 0)</f>
        <v>33.170999999999999</v>
      </c>
      <c r="C375" s="14">
        <f>31.305 * CHOOSE(CONTROL!$C$15, $E$9, 100%, $G$9) + CHOOSE(CONTROL!$C$38, 0.0342, 0)</f>
        <v>31.339199999999998</v>
      </c>
      <c r="D375" s="14">
        <f>31.2972 * CHOOSE(CONTROL!$C$15, $E$9, 100%, $G$9) + CHOOSE(CONTROL!$C$38, 0.0342, 0)</f>
        <v>31.331399999999999</v>
      </c>
      <c r="E375" s="14">
        <f>31.2972 * CHOOSE(CONTROL!$C$15, $E$9, 100%, $G$9) + CHOOSE(CONTROL!$C$38, 0.0342, 0)</f>
        <v>31.331399999999999</v>
      </c>
      <c r="F375" s="45">
        <f>33.137 * CHOOSE(CONTROL!$C$15, $E$9, 100%, $G$9) + CHOOSE(CONTROL!$C$38, 0.034, 0)</f>
        <v>33.170999999999999</v>
      </c>
      <c r="G375" s="14">
        <f>31.3034 * CHOOSE(CONTROL!$C$15, $E$9, 100%, $G$9) + CHOOSE(CONTROL!$C$38, 0.0342, 0)</f>
        <v>31.337599999999998</v>
      </c>
      <c r="H375" s="14">
        <f>31.3034 * CHOOSE(CONTROL!$C$15, $E$9, 100%, $G$9) + CHOOSE(CONTROL!$C$38, 0.0342, 0)</f>
        <v>31.337599999999998</v>
      </c>
      <c r="I375" s="14">
        <f>31.305 * CHOOSE(CONTROL!$C$15, $E$9, 100%, $G$9) + CHOOSE(CONTROL!$C$38, 0.0342, 0)</f>
        <v>31.339199999999998</v>
      </c>
      <c r="J375" s="44">
        <f>235.8013</f>
        <v>235.8013</v>
      </c>
    </row>
    <row r="376" spans="1:10" ht="15.75" x14ac:dyDescent="0.25">
      <c r="A376" s="33">
        <v>52382</v>
      </c>
      <c r="B376" s="14">
        <f>32.3321 * CHOOSE(CONTROL!$C$15, $E$9, 100%, $G$9) + CHOOSE(CONTROL!$C$38, 0.0353, 0)</f>
        <v>32.367399999999996</v>
      </c>
      <c r="C376" s="14">
        <f>30.5 * CHOOSE(CONTROL!$C$15, $E$9, 100%, $G$9) + CHOOSE(CONTROL!$C$38, 0.0354, 0)</f>
        <v>30.535399999999999</v>
      </c>
      <c r="D376" s="14">
        <f>30.4922 * CHOOSE(CONTROL!$C$15, $E$9, 100%, $G$9) + CHOOSE(CONTROL!$C$38, 0.0354, 0)</f>
        <v>30.5276</v>
      </c>
      <c r="E376" s="14">
        <f>30.4922 * CHOOSE(CONTROL!$C$15, $E$9, 100%, $G$9) + CHOOSE(CONTROL!$C$38, 0.0354, 0)</f>
        <v>30.5276</v>
      </c>
      <c r="F376" s="45">
        <f>32.3321 * CHOOSE(CONTROL!$C$15, $E$9, 100%, $G$9) + CHOOSE(CONTROL!$C$38, 0.0353, 0)</f>
        <v>32.367399999999996</v>
      </c>
      <c r="G376" s="14">
        <f>30.4985 * CHOOSE(CONTROL!$C$15, $E$9, 100%, $G$9) + CHOOSE(CONTROL!$C$38, 0.0354, 0)</f>
        <v>30.533899999999999</v>
      </c>
      <c r="H376" s="14">
        <f>30.4985 * CHOOSE(CONTROL!$C$15, $E$9, 100%, $G$9) + CHOOSE(CONTROL!$C$38, 0.0354, 0)</f>
        <v>30.533899999999999</v>
      </c>
      <c r="I376" s="14">
        <f>30.5 * CHOOSE(CONTROL!$C$15, $E$9, 100%, $G$9) + CHOOSE(CONTROL!$C$38, 0.0354, 0)</f>
        <v>30.535399999999999</v>
      </c>
      <c r="J376" s="44">
        <f>243.7144</f>
        <v>243.71440000000001</v>
      </c>
    </row>
    <row r="377" spans="1:10" ht="15.75" x14ac:dyDescent="0.25">
      <c r="A377" s="33">
        <v>52412</v>
      </c>
      <c r="B377" s="14">
        <f>31.7677 * CHOOSE(CONTROL!$C$15, $E$9, 100%, $G$9) + CHOOSE(CONTROL!$C$38, 0.0353, 0)</f>
        <v>31.803000000000001</v>
      </c>
      <c r="C377" s="14">
        <f>29.9357 * CHOOSE(CONTROL!$C$15, $E$9, 100%, $G$9) + CHOOSE(CONTROL!$C$38, 0.0354, 0)</f>
        <v>29.9711</v>
      </c>
      <c r="D377" s="14">
        <f>29.9279 * CHOOSE(CONTROL!$C$15, $E$9, 100%, $G$9) + CHOOSE(CONTROL!$C$38, 0.0354, 0)</f>
        <v>29.9633</v>
      </c>
      <c r="E377" s="14">
        <f>29.9279 * CHOOSE(CONTROL!$C$15, $E$9, 100%, $G$9) + CHOOSE(CONTROL!$C$38, 0.0354, 0)</f>
        <v>29.9633</v>
      </c>
      <c r="F377" s="45">
        <f>31.7677 * CHOOSE(CONTROL!$C$15, $E$9, 100%, $G$9) + CHOOSE(CONTROL!$C$38, 0.0353, 0)</f>
        <v>31.803000000000001</v>
      </c>
      <c r="G377" s="14">
        <f>29.9341 * CHOOSE(CONTROL!$C$15, $E$9, 100%, $G$9) + CHOOSE(CONTROL!$C$38, 0.0354, 0)</f>
        <v>29.9695</v>
      </c>
      <c r="H377" s="14">
        <f>29.9341 * CHOOSE(CONTROL!$C$15, $E$9, 100%, $G$9) + CHOOSE(CONTROL!$C$38, 0.0354, 0)</f>
        <v>29.9695</v>
      </c>
      <c r="I377" s="14">
        <f>29.9357 * CHOOSE(CONTROL!$C$15, $E$9, 100%, $G$9) + CHOOSE(CONTROL!$C$38, 0.0354, 0)</f>
        <v>29.9711</v>
      </c>
      <c r="J377" s="44">
        <f>247.226</f>
        <v>247.226</v>
      </c>
    </row>
    <row r="378" spans="1:10" ht="15.75" x14ac:dyDescent="0.25">
      <c r="A378" s="33">
        <v>52443</v>
      </c>
      <c r="B378" s="14">
        <f>31.4457 * CHOOSE(CONTROL!$C$15, $E$9, 100%, $G$9) + CHOOSE(CONTROL!$C$38, 0.0353, 0)</f>
        <v>31.480999999999998</v>
      </c>
      <c r="C378" s="14">
        <f>29.6136 * CHOOSE(CONTROL!$C$15, $E$9, 100%, $G$9) + CHOOSE(CONTROL!$C$38, 0.0354, 0)</f>
        <v>29.649000000000001</v>
      </c>
      <c r="D378" s="14">
        <f>29.6058 * CHOOSE(CONTROL!$C$15, $E$9, 100%, $G$9) + CHOOSE(CONTROL!$C$38, 0.0354, 0)</f>
        <v>29.641199999999998</v>
      </c>
      <c r="E378" s="14">
        <f>29.6058 * CHOOSE(CONTROL!$C$15, $E$9, 100%, $G$9) + CHOOSE(CONTROL!$C$38, 0.0354, 0)</f>
        <v>29.641199999999998</v>
      </c>
      <c r="F378" s="45">
        <f>31.4457 * CHOOSE(CONTROL!$C$15, $E$9, 100%, $G$9) + CHOOSE(CONTROL!$C$38, 0.0353, 0)</f>
        <v>31.480999999999998</v>
      </c>
      <c r="G378" s="14">
        <f>29.6121 * CHOOSE(CONTROL!$C$15, $E$9, 100%, $G$9) + CHOOSE(CONTROL!$C$38, 0.0354, 0)</f>
        <v>29.647500000000001</v>
      </c>
      <c r="H378" s="14">
        <f>29.6121 * CHOOSE(CONTROL!$C$15, $E$9, 100%, $G$9) + CHOOSE(CONTROL!$C$38, 0.0354, 0)</f>
        <v>29.647500000000001</v>
      </c>
      <c r="I378" s="14">
        <f>29.6136 * CHOOSE(CONTROL!$C$15, $E$9, 100%, $G$9) + CHOOSE(CONTROL!$C$38, 0.0354, 0)</f>
        <v>29.649000000000001</v>
      </c>
      <c r="J378" s="44">
        <f>246.0698</f>
        <v>246.06979999999999</v>
      </c>
    </row>
    <row r="379" spans="1:10" ht="15.75" x14ac:dyDescent="0.25">
      <c r="A379" s="33">
        <v>52474</v>
      </c>
      <c r="B379" s="14">
        <f>31.6046 * CHOOSE(CONTROL!$C$15, $E$9, 100%, $G$9) + CHOOSE(CONTROL!$C$38, 0.0353, 0)</f>
        <v>31.639900000000001</v>
      </c>
      <c r="C379" s="14">
        <f>29.7726 * CHOOSE(CONTROL!$C$15, $E$9, 100%, $G$9) + CHOOSE(CONTROL!$C$38, 0.0354, 0)</f>
        <v>29.808</v>
      </c>
      <c r="D379" s="14">
        <f>29.7648 * CHOOSE(CONTROL!$C$15, $E$9, 100%, $G$9) + CHOOSE(CONTROL!$C$38, 0.0354, 0)</f>
        <v>29.8002</v>
      </c>
      <c r="E379" s="14">
        <f>29.7648 * CHOOSE(CONTROL!$C$15, $E$9, 100%, $G$9) + CHOOSE(CONTROL!$C$38, 0.0354, 0)</f>
        <v>29.8002</v>
      </c>
      <c r="F379" s="45">
        <f>31.6046 * CHOOSE(CONTROL!$C$15, $E$9, 100%, $G$9) + CHOOSE(CONTROL!$C$38, 0.0353, 0)</f>
        <v>31.639900000000001</v>
      </c>
      <c r="G379" s="14">
        <f>29.771 * CHOOSE(CONTROL!$C$15, $E$9, 100%, $G$9) + CHOOSE(CONTROL!$C$38, 0.0354, 0)</f>
        <v>29.8064</v>
      </c>
      <c r="H379" s="14">
        <f>29.771 * CHOOSE(CONTROL!$C$15, $E$9, 100%, $G$9) + CHOOSE(CONTROL!$C$38, 0.0354, 0)</f>
        <v>29.8064</v>
      </c>
      <c r="I379" s="14">
        <f>29.7726 * CHOOSE(CONTROL!$C$15, $E$9, 100%, $G$9) + CHOOSE(CONTROL!$C$38, 0.0354, 0)</f>
        <v>29.808</v>
      </c>
      <c r="J379" s="44">
        <f>240.3414</f>
        <v>240.34139999999999</v>
      </c>
    </row>
    <row r="380" spans="1:10" ht="15.75" x14ac:dyDescent="0.25">
      <c r="A380" s="33">
        <v>52504</v>
      </c>
      <c r="B380" s="14">
        <f>32.0363 * CHOOSE(CONTROL!$C$15, $E$9, 100%, $G$9) + CHOOSE(CONTROL!$C$38, 0.0353, 0)</f>
        <v>32.071599999999997</v>
      </c>
      <c r="C380" s="14">
        <f>30.2043 * CHOOSE(CONTROL!$C$15, $E$9, 100%, $G$9) + CHOOSE(CONTROL!$C$38, 0.0354, 0)</f>
        <v>30.239699999999999</v>
      </c>
      <c r="D380" s="14">
        <f>30.1965 * CHOOSE(CONTROL!$C$15, $E$9, 100%, $G$9) + CHOOSE(CONTROL!$C$38, 0.0354, 0)</f>
        <v>30.2319</v>
      </c>
      <c r="E380" s="14">
        <f>30.1965 * CHOOSE(CONTROL!$C$15, $E$9, 100%, $G$9) + CHOOSE(CONTROL!$C$38, 0.0354, 0)</f>
        <v>30.2319</v>
      </c>
      <c r="F380" s="45">
        <f>32.0363 * CHOOSE(CONTROL!$C$15, $E$9, 100%, $G$9) + CHOOSE(CONTROL!$C$38, 0.0353, 0)</f>
        <v>32.071599999999997</v>
      </c>
      <c r="G380" s="14">
        <f>30.2027 * CHOOSE(CONTROL!$C$15, $E$9, 100%, $G$9) + CHOOSE(CONTROL!$C$38, 0.0354, 0)</f>
        <v>30.238099999999999</v>
      </c>
      <c r="H380" s="14">
        <f>30.2027 * CHOOSE(CONTROL!$C$15, $E$9, 100%, $G$9) + CHOOSE(CONTROL!$C$38, 0.0354, 0)</f>
        <v>30.238099999999999</v>
      </c>
      <c r="I380" s="14">
        <f>30.2043 * CHOOSE(CONTROL!$C$15, $E$9, 100%, $G$9) + CHOOSE(CONTROL!$C$38, 0.0354, 0)</f>
        <v>30.239699999999999</v>
      </c>
      <c r="J380" s="44">
        <f>232.3529</f>
        <v>232.35290000000001</v>
      </c>
    </row>
    <row r="381" spans="1:10" ht="15.75" x14ac:dyDescent="0.25">
      <c r="A381" s="33">
        <v>52535</v>
      </c>
      <c r="B381" s="14">
        <f>32.3979 * CHOOSE(CONTROL!$C$15, $E$9, 100%, $G$9) + CHOOSE(CONTROL!$C$38, 0.034, 0)</f>
        <v>32.431899999999999</v>
      </c>
      <c r="C381" s="14">
        <f>30.5658 * CHOOSE(CONTROL!$C$15, $E$9, 100%, $G$9) + CHOOSE(CONTROL!$C$38, 0.0342, 0)</f>
        <v>30.599999999999998</v>
      </c>
      <c r="D381" s="14">
        <f>30.558 * CHOOSE(CONTROL!$C$15, $E$9, 100%, $G$9) + CHOOSE(CONTROL!$C$38, 0.0342, 0)</f>
        <v>30.592199999999998</v>
      </c>
      <c r="E381" s="14">
        <f>30.558 * CHOOSE(CONTROL!$C$15, $E$9, 100%, $G$9) + CHOOSE(CONTROL!$C$38, 0.0342, 0)</f>
        <v>30.592199999999998</v>
      </c>
      <c r="F381" s="45">
        <f>32.3979 * CHOOSE(CONTROL!$C$15, $E$9, 100%, $G$9) + CHOOSE(CONTROL!$C$38, 0.034, 0)</f>
        <v>32.431899999999999</v>
      </c>
      <c r="G381" s="14">
        <f>30.5643 * CHOOSE(CONTROL!$C$15, $E$9, 100%, $G$9) + CHOOSE(CONTROL!$C$38, 0.0342, 0)</f>
        <v>30.598499999999998</v>
      </c>
      <c r="H381" s="14">
        <f>30.5643 * CHOOSE(CONTROL!$C$15, $E$9, 100%, $G$9) + CHOOSE(CONTROL!$C$38, 0.0342, 0)</f>
        <v>30.598499999999998</v>
      </c>
      <c r="I381" s="14">
        <f>30.5658 * CHOOSE(CONTROL!$C$15, $E$9, 100%, $G$9) + CHOOSE(CONTROL!$C$38, 0.0342, 0)</f>
        <v>30.599999999999998</v>
      </c>
      <c r="J381" s="44">
        <f>224.3179</f>
        <v>224.31790000000001</v>
      </c>
    </row>
    <row r="382" spans="1:10" ht="15.75" x14ac:dyDescent="0.25">
      <c r="A382" s="33">
        <v>52565</v>
      </c>
      <c r="B382" s="14">
        <f>32.6996 * CHOOSE(CONTROL!$C$15, $E$9, 100%, $G$9) + CHOOSE(CONTROL!$C$38, 0.034, 0)</f>
        <v>32.733599999999996</v>
      </c>
      <c r="C382" s="14">
        <f>30.8675 * CHOOSE(CONTROL!$C$15, $E$9, 100%, $G$9) + CHOOSE(CONTROL!$C$38, 0.0342, 0)</f>
        <v>30.901699999999998</v>
      </c>
      <c r="D382" s="14">
        <f>30.8597 * CHOOSE(CONTROL!$C$15, $E$9, 100%, $G$9) + CHOOSE(CONTROL!$C$38, 0.0342, 0)</f>
        <v>30.893899999999999</v>
      </c>
      <c r="E382" s="14">
        <f>30.8597 * CHOOSE(CONTROL!$C$15, $E$9, 100%, $G$9) + CHOOSE(CONTROL!$C$38, 0.0342, 0)</f>
        <v>30.893899999999999</v>
      </c>
      <c r="F382" s="45">
        <f>32.6996 * CHOOSE(CONTROL!$C$15, $E$9, 100%, $G$9) + CHOOSE(CONTROL!$C$38, 0.034, 0)</f>
        <v>32.733599999999996</v>
      </c>
      <c r="G382" s="14">
        <f>30.866 * CHOOSE(CONTROL!$C$15, $E$9, 100%, $G$9) + CHOOSE(CONTROL!$C$38, 0.0342, 0)</f>
        <v>30.900199999999998</v>
      </c>
      <c r="H382" s="14">
        <f>30.866 * CHOOSE(CONTROL!$C$15, $E$9, 100%, $G$9) + CHOOSE(CONTROL!$C$38, 0.0342, 0)</f>
        <v>30.900199999999998</v>
      </c>
      <c r="I382" s="14">
        <f>30.8675 * CHOOSE(CONTROL!$C$15, $E$9, 100%, $G$9) + CHOOSE(CONTROL!$C$38, 0.0342, 0)</f>
        <v>30.901699999999998</v>
      </c>
      <c r="J382" s="44">
        <f>222.7196</f>
        <v>222.71960000000001</v>
      </c>
    </row>
    <row r="383" spans="1:10" ht="15.75" x14ac:dyDescent="0.25">
      <c r="A383" s="33">
        <v>52596</v>
      </c>
      <c r="B383" s="14">
        <f>33.6292 * CHOOSE(CONTROL!$C$15, $E$9, 100%, $G$9) + CHOOSE(CONTROL!$C$38, 0.034, 0)</f>
        <v>33.663199999999996</v>
      </c>
      <c r="C383" s="14">
        <f>31.7972 * CHOOSE(CONTROL!$C$15, $E$9, 100%, $G$9) + CHOOSE(CONTROL!$C$38, 0.0342, 0)</f>
        <v>31.831399999999999</v>
      </c>
      <c r="D383" s="14">
        <f>31.7894 * CHOOSE(CONTROL!$C$15, $E$9, 100%, $G$9) + CHOOSE(CONTROL!$C$38, 0.0342, 0)</f>
        <v>31.823599999999999</v>
      </c>
      <c r="E383" s="14">
        <f>31.7894 * CHOOSE(CONTROL!$C$15, $E$9, 100%, $G$9) + CHOOSE(CONTROL!$C$38, 0.0342, 0)</f>
        <v>31.823599999999999</v>
      </c>
      <c r="F383" s="45">
        <f>33.6292 * CHOOSE(CONTROL!$C$15, $E$9, 100%, $G$9) + CHOOSE(CONTROL!$C$38, 0.034, 0)</f>
        <v>33.663199999999996</v>
      </c>
      <c r="G383" s="14">
        <f>31.7956 * CHOOSE(CONTROL!$C$15, $E$9, 100%, $G$9) + CHOOSE(CONTROL!$C$38, 0.0342, 0)</f>
        <v>31.829799999999999</v>
      </c>
      <c r="H383" s="14">
        <f>31.7956 * CHOOSE(CONTROL!$C$15, $E$9, 100%, $G$9) + CHOOSE(CONTROL!$C$38, 0.0342, 0)</f>
        <v>31.829799999999999</v>
      </c>
      <c r="I383" s="14">
        <f>31.7972 * CHOOSE(CONTROL!$C$15, $E$9, 100%, $G$9) + CHOOSE(CONTROL!$C$38, 0.0342, 0)</f>
        <v>31.831399999999999</v>
      </c>
      <c r="J383" s="44">
        <f>216.1103</f>
        <v>216.1103</v>
      </c>
    </row>
    <row r="384" spans="1:10" ht="15.75" x14ac:dyDescent="0.25">
      <c r="A384" s="33">
        <v>52627</v>
      </c>
      <c r="B384" s="14">
        <f>34.9033 * CHOOSE(CONTROL!$C$15, $E$9, 100%, $G$9) + CHOOSE(CONTROL!$C$38, 0.034, 0)</f>
        <v>34.9373</v>
      </c>
      <c r="C384" s="14">
        <f>33.0431 * CHOOSE(CONTROL!$C$15, $E$9, 100%, $G$9) + CHOOSE(CONTROL!$C$38, 0.0342, 0)</f>
        <v>33.077300000000001</v>
      </c>
      <c r="D384" s="14">
        <f>33.0353 * CHOOSE(CONTROL!$C$15, $E$9, 100%, $G$9) + CHOOSE(CONTROL!$C$38, 0.0342, 0)</f>
        <v>33.069499999999998</v>
      </c>
      <c r="E384" s="14">
        <f>33.0353 * CHOOSE(CONTROL!$C$15, $E$9, 100%, $G$9) + CHOOSE(CONTROL!$C$38, 0.0342, 0)</f>
        <v>33.069499999999998</v>
      </c>
      <c r="F384" s="45">
        <f>34.9033 * CHOOSE(CONTROL!$C$15, $E$9, 100%, $G$9) + CHOOSE(CONTROL!$C$38, 0.034, 0)</f>
        <v>34.9373</v>
      </c>
      <c r="G384" s="14">
        <f>33.0416 * CHOOSE(CONTROL!$C$15, $E$9, 100%, $G$9) + CHOOSE(CONTROL!$C$38, 0.0342, 0)</f>
        <v>33.075800000000001</v>
      </c>
      <c r="H384" s="14">
        <f>33.0416 * CHOOSE(CONTROL!$C$15, $E$9, 100%, $G$9) + CHOOSE(CONTROL!$C$38, 0.0342, 0)</f>
        <v>33.075800000000001</v>
      </c>
      <c r="I384" s="14">
        <f>33.0431 * CHOOSE(CONTROL!$C$15, $E$9, 100%, $G$9) + CHOOSE(CONTROL!$C$38, 0.0342, 0)</f>
        <v>33.077300000000001</v>
      </c>
      <c r="J384" s="44">
        <f>215.9543</f>
        <v>215.95429999999999</v>
      </c>
    </row>
    <row r="385" spans="1:10" ht="15.75" x14ac:dyDescent="0.25">
      <c r="A385" s="33">
        <v>52655</v>
      </c>
      <c r="B385" s="14">
        <f>35.2476 * CHOOSE(CONTROL!$C$15, $E$9, 100%, $G$9) + CHOOSE(CONTROL!$C$38, 0.034, 0)</f>
        <v>35.281599999999997</v>
      </c>
      <c r="C385" s="14">
        <f>33.3874 * CHOOSE(CONTROL!$C$15, $E$9, 100%, $G$9) + CHOOSE(CONTROL!$C$38, 0.0342, 0)</f>
        <v>33.421599999999998</v>
      </c>
      <c r="D385" s="14">
        <f>33.3796 * CHOOSE(CONTROL!$C$15, $E$9, 100%, $G$9) + CHOOSE(CONTROL!$C$38, 0.0342, 0)</f>
        <v>33.413800000000002</v>
      </c>
      <c r="E385" s="14">
        <f>33.3796 * CHOOSE(CONTROL!$C$15, $E$9, 100%, $G$9) + CHOOSE(CONTROL!$C$38, 0.0342, 0)</f>
        <v>33.413800000000002</v>
      </c>
      <c r="F385" s="45">
        <f>35.2476 * CHOOSE(CONTROL!$C$15, $E$9, 100%, $G$9) + CHOOSE(CONTROL!$C$38, 0.034, 0)</f>
        <v>35.281599999999997</v>
      </c>
      <c r="G385" s="14">
        <f>33.3859 * CHOOSE(CONTROL!$C$15, $E$9, 100%, $G$9) + CHOOSE(CONTROL!$C$38, 0.0342, 0)</f>
        <v>33.420099999999998</v>
      </c>
      <c r="H385" s="14">
        <f>33.3859 * CHOOSE(CONTROL!$C$15, $E$9, 100%, $G$9) + CHOOSE(CONTROL!$C$38, 0.0342, 0)</f>
        <v>33.420099999999998</v>
      </c>
      <c r="I385" s="14">
        <f>33.3874 * CHOOSE(CONTROL!$C$15, $E$9, 100%, $G$9) + CHOOSE(CONTROL!$C$38, 0.0342, 0)</f>
        <v>33.421599999999998</v>
      </c>
      <c r="J385" s="44">
        <f>215.354</f>
        <v>215.35400000000001</v>
      </c>
    </row>
    <row r="386" spans="1:10" ht="15.75" x14ac:dyDescent="0.25">
      <c r="A386" s="33">
        <v>52687</v>
      </c>
      <c r="B386" s="14">
        <f>34.4506 * CHOOSE(CONTROL!$C$15, $E$9, 100%, $G$9) + CHOOSE(CONTROL!$C$38, 0.034, 0)</f>
        <v>34.4846</v>
      </c>
      <c r="C386" s="14">
        <f>32.5904 * CHOOSE(CONTROL!$C$15, $E$9, 100%, $G$9) + CHOOSE(CONTROL!$C$38, 0.0342, 0)</f>
        <v>32.624600000000001</v>
      </c>
      <c r="D386" s="14">
        <f>32.5826 * CHOOSE(CONTROL!$C$15, $E$9, 100%, $G$9) + CHOOSE(CONTROL!$C$38, 0.0342, 0)</f>
        <v>32.616799999999998</v>
      </c>
      <c r="E386" s="14">
        <f>32.5826 * CHOOSE(CONTROL!$C$15, $E$9, 100%, $G$9) + CHOOSE(CONTROL!$C$38, 0.0342, 0)</f>
        <v>32.616799999999998</v>
      </c>
      <c r="F386" s="45">
        <f>34.4506 * CHOOSE(CONTROL!$C$15, $E$9, 100%, $G$9) + CHOOSE(CONTROL!$C$38, 0.034, 0)</f>
        <v>34.4846</v>
      </c>
      <c r="G386" s="14">
        <f>32.5888 * CHOOSE(CONTROL!$C$15, $E$9, 100%, $G$9) + CHOOSE(CONTROL!$C$38, 0.0342, 0)</f>
        <v>32.622999999999998</v>
      </c>
      <c r="H386" s="14">
        <f>32.5888 * CHOOSE(CONTROL!$C$15, $E$9, 100%, $G$9) + CHOOSE(CONTROL!$C$38, 0.0342, 0)</f>
        <v>32.622999999999998</v>
      </c>
      <c r="I386" s="14">
        <f>32.5904 * CHOOSE(CONTROL!$C$15, $E$9, 100%, $G$9) + CHOOSE(CONTROL!$C$38, 0.0342, 0)</f>
        <v>32.624600000000001</v>
      </c>
      <c r="J386" s="44">
        <f>226.7044</f>
        <v>226.70439999999999</v>
      </c>
    </row>
    <row r="387" spans="1:10" ht="15.75" x14ac:dyDescent="0.25">
      <c r="A387" s="33">
        <v>52717</v>
      </c>
      <c r="B387" s="14">
        <f>33.6783 * CHOOSE(CONTROL!$C$15, $E$9, 100%, $G$9) + CHOOSE(CONTROL!$C$38, 0.034, 0)</f>
        <v>33.712299999999999</v>
      </c>
      <c r="C387" s="14">
        <f>31.8181 * CHOOSE(CONTROL!$C$15, $E$9, 100%, $G$9) + CHOOSE(CONTROL!$C$38, 0.0342, 0)</f>
        <v>31.8523</v>
      </c>
      <c r="D387" s="14">
        <f>31.8103 * CHOOSE(CONTROL!$C$15, $E$9, 100%, $G$9) + CHOOSE(CONTROL!$C$38, 0.0342, 0)</f>
        <v>31.8445</v>
      </c>
      <c r="E387" s="14">
        <f>31.8103 * CHOOSE(CONTROL!$C$15, $E$9, 100%, $G$9) + CHOOSE(CONTROL!$C$38, 0.0342, 0)</f>
        <v>31.8445</v>
      </c>
      <c r="F387" s="45">
        <f>33.6783 * CHOOSE(CONTROL!$C$15, $E$9, 100%, $G$9) + CHOOSE(CONTROL!$C$38, 0.034, 0)</f>
        <v>33.712299999999999</v>
      </c>
      <c r="G387" s="14">
        <f>31.8165 * CHOOSE(CONTROL!$C$15, $E$9, 100%, $G$9) + CHOOSE(CONTROL!$C$38, 0.0342, 0)</f>
        <v>31.8507</v>
      </c>
      <c r="H387" s="14">
        <f>31.8165 * CHOOSE(CONTROL!$C$15, $E$9, 100%, $G$9) + CHOOSE(CONTROL!$C$38, 0.0342, 0)</f>
        <v>31.8507</v>
      </c>
      <c r="I387" s="14">
        <f>31.8181 * CHOOSE(CONTROL!$C$15, $E$9, 100%, $G$9) + CHOOSE(CONTROL!$C$38, 0.0342, 0)</f>
        <v>31.8523</v>
      </c>
      <c r="J387" s="44">
        <f>241.4232</f>
        <v>241.42320000000001</v>
      </c>
    </row>
    <row r="388" spans="1:10" ht="15.75" x14ac:dyDescent="0.25">
      <c r="A388" s="33">
        <v>52748</v>
      </c>
      <c r="B388" s="14">
        <f>32.8733 * CHOOSE(CONTROL!$C$15, $E$9, 100%, $G$9) + CHOOSE(CONTROL!$C$38, 0.0353, 0)</f>
        <v>32.9086</v>
      </c>
      <c r="C388" s="14">
        <f>31.0131 * CHOOSE(CONTROL!$C$15, $E$9, 100%, $G$9) + CHOOSE(CONTROL!$C$38, 0.0354, 0)</f>
        <v>31.048500000000001</v>
      </c>
      <c r="D388" s="14">
        <f>31.0053 * CHOOSE(CONTROL!$C$15, $E$9, 100%, $G$9) + CHOOSE(CONTROL!$C$38, 0.0354, 0)</f>
        <v>31.040699999999998</v>
      </c>
      <c r="E388" s="14">
        <f>31.0053 * CHOOSE(CONTROL!$C$15, $E$9, 100%, $G$9) + CHOOSE(CONTROL!$C$38, 0.0354, 0)</f>
        <v>31.040699999999998</v>
      </c>
      <c r="F388" s="45">
        <f>32.8733 * CHOOSE(CONTROL!$C$15, $E$9, 100%, $G$9) + CHOOSE(CONTROL!$C$38, 0.0353, 0)</f>
        <v>32.9086</v>
      </c>
      <c r="G388" s="14">
        <f>31.0116 * CHOOSE(CONTROL!$C$15, $E$9, 100%, $G$9) + CHOOSE(CONTROL!$C$38, 0.0354, 0)</f>
        <v>31.047000000000001</v>
      </c>
      <c r="H388" s="14">
        <f>31.0116 * CHOOSE(CONTROL!$C$15, $E$9, 100%, $G$9) + CHOOSE(CONTROL!$C$38, 0.0354, 0)</f>
        <v>31.047000000000001</v>
      </c>
      <c r="I388" s="14">
        <f>31.0131 * CHOOSE(CONTROL!$C$15, $E$9, 100%, $G$9) + CHOOSE(CONTROL!$C$38, 0.0354, 0)</f>
        <v>31.048500000000001</v>
      </c>
      <c r="J388" s="44">
        <f>249.5249</f>
        <v>249.5249</v>
      </c>
    </row>
    <row r="389" spans="1:10" ht="15.75" x14ac:dyDescent="0.25">
      <c r="A389" s="33">
        <v>52778</v>
      </c>
      <c r="B389" s="14">
        <f>32.309 * CHOOSE(CONTROL!$C$15, $E$9, 100%, $G$9) + CHOOSE(CONTROL!$C$38, 0.0353, 0)</f>
        <v>32.344299999999997</v>
      </c>
      <c r="C389" s="14">
        <f>30.4488 * CHOOSE(CONTROL!$C$15, $E$9, 100%, $G$9) + CHOOSE(CONTROL!$C$38, 0.0354, 0)</f>
        <v>30.484199999999998</v>
      </c>
      <c r="D389" s="14">
        <f>30.441 * CHOOSE(CONTROL!$C$15, $E$9, 100%, $G$9) + CHOOSE(CONTROL!$C$38, 0.0354, 0)</f>
        <v>30.476399999999998</v>
      </c>
      <c r="E389" s="14">
        <f>30.441 * CHOOSE(CONTROL!$C$15, $E$9, 100%, $G$9) + CHOOSE(CONTROL!$C$38, 0.0354, 0)</f>
        <v>30.476399999999998</v>
      </c>
      <c r="F389" s="45">
        <f>32.309 * CHOOSE(CONTROL!$C$15, $E$9, 100%, $G$9) + CHOOSE(CONTROL!$C$38, 0.0353, 0)</f>
        <v>32.344299999999997</v>
      </c>
      <c r="G389" s="14">
        <f>30.4472 * CHOOSE(CONTROL!$C$15, $E$9, 100%, $G$9) + CHOOSE(CONTROL!$C$38, 0.0354, 0)</f>
        <v>30.482599999999998</v>
      </c>
      <c r="H389" s="14">
        <f>30.4472 * CHOOSE(CONTROL!$C$15, $E$9, 100%, $G$9) + CHOOSE(CONTROL!$C$38, 0.0354, 0)</f>
        <v>30.482599999999998</v>
      </c>
      <c r="I389" s="14">
        <f>30.4488 * CHOOSE(CONTROL!$C$15, $E$9, 100%, $G$9) + CHOOSE(CONTROL!$C$38, 0.0354, 0)</f>
        <v>30.484199999999998</v>
      </c>
      <c r="J389" s="44">
        <f>253.1203</f>
        <v>253.12029999999999</v>
      </c>
    </row>
    <row r="390" spans="1:10" ht="15.75" x14ac:dyDescent="0.25">
      <c r="A390" s="33">
        <v>52809</v>
      </c>
      <c r="B390" s="14">
        <f>31.9869 * CHOOSE(CONTROL!$C$15, $E$9, 100%, $G$9) + CHOOSE(CONTROL!$C$38, 0.0353, 0)</f>
        <v>32.022199999999998</v>
      </c>
      <c r="C390" s="14">
        <f>30.1267 * CHOOSE(CONTROL!$C$15, $E$9, 100%, $G$9) + CHOOSE(CONTROL!$C$38, 0.0354, 0)</f>
        <v>30.162099999999999</v>
      </c>
      <c r="D390" s="14">
        <f>30.1189 * CHOOSE(CONTROL!$C$15, $E$9, 100%, $G$9) + CHOOSE(CONTROL!$C$38, 0.0354, 0)</f>
        <v>30.154299999999999</v>
      </c>
      <c r="E390" s="14">
        <f>30.1189 * CHOOSE(CONTROL!$C$15, $E$9, 100%, $G$9) + CHOOSE(CONTROL!$C$38, 0.0354, 0)</f>
        <v>30.154299999999999</v>
      </c>
      <c r="F390" s="45">
        <f>31.9869 * CHOOSE(CONTROL!$C$15, $E$9, 100%, $G$9) + CHOOSE(CONTROL!$C$38, 0.0353, 0)</f>
        <v>32.022199999999998</v>
      </c>
      <c r="G390" s="14">
        <f>30.1252 * CHOOSE(CONTROL!$C$15, $E$9, 100%, $G$9) + CHOOSE(CONTROL!$C$38, 0.0354, 0)</f>
        <v>30.160599999999999</v>
      </c>
      <c r="H390" s="14">
        <f>30.1252 * CHOOSE(CONTROL!$C$15, $E$9, 100%, $G$9) + CHOOSE(CONTROL!$C$38, 0.0354, 0)</f>
        <v>30.160599999999999</v>
      </c>
      <c r="I390" s="14">
        <f>30.1267 * CHOOSE(CONTROL!$C$15, $E$9, 100%, $G$9) + CHOOSE(CONTROL!$C$38, 0.0354, 0)</f>
        <v>30.162099999999999</v>
      </c>
      <c r="J390" s="44">
        <f>251.9365</f>
        <v>251.9365</v>
      </c>
    </row>
    <row r="391" spans="1:10" ht="15.75" x14ac:dyDescent="0.25">
      <c r="A391" s="33">
        <v>52840</v>
      </c>
      <c r="B391" s="14">
        <f>32.1459 * CHOOSE(CONTROL!$C$15, $E$9, 100%, $G$9) + CHOOSE(CONTROL!$C$38, 0.0353, 0)</f>
        <v>32.181199999999997</v>
      </c>
      <c r="C391" s="14">
        <f>30.2857 * CHOOSE(CONTROL!$C$15, $E$9, 100%, $G$9) + CHOOSE(CONTROL!$C$38, 0.0354, 0)</f>
        <v>30.321099999999998</v>
      </c>
      <c r="D391" s="14">
        <f>30.2779 * CHOOSE(CONTROL!$C$15, $E$9, 100%, $G$9) + CHOOSE(CONTROL!$C$38, 0.0354, 0)</f>
        <v>30.313299999999998</v>
      </c>
      <c r="E391" s="14">
        <f>30.2779 * CHOOSE(CONTROL!$C$15, $E$9, 100%, $G$9) + CHOOSE(CONTROL!$C$38, 0.0354, 0)</f>
        <v>30.313299999999998</v>
      </c>
      <c r="F391" s="45">
        <f>32.1459 * CHOOSE(CONTROL!$C$15, $E$9, 100%, $G$9) + CHOOSE(CONTROL!$C$38, 0.0353, 0)</f>
        <v>32.181199999999997</v>
      </c>
      <c r="G391" s="14">
        <f>30.2841 * CHOOSE(CONTROL!$C$15, $E$9, 100%, $G$9) + CHOOSE(CONTROL!$C$38, 0.0354, 0)</f>
        <v>30.319499999999998</v>
      </c>
      <c r="H391" s="14">
        <f>30.2841 * CHOOSE(CONTROL!$C$15, $E$9, 100%, $G$9) + CHOOSE(CONTROL!$C$38, 0.0354, 0)</f>
        <v>30.319499999999998</v>
      </c>
      <c r="I391" s="14">
        <f>30.2857 * CHOOSE(CONTROL!$C$15, $E$9, 100%, $G$9) + CHOOSE(CONTROL!$C$38, 0.0354, 0)</f>
        <v>30.321099999999998</v>
      </c>
      <c r="J391" s="44">
        <f>246.0715</f>
        <v>246.07149999999999</v>
      </c>
    </row>
    <row r="392" spans="1:10" ht="15.75" x14ac:dyDescent="0.25">
      <c r="A392" s="33">
        <v>52870</v>
      </c>
      <c r="B392" s="14">
        <f>32.5776 * CHOOSE(CONTROL!$C$15, $E$9, 100%, $G$9) + CHOOSE(CONTROL!$C$38, 0.0353, 0)</f>
        <v>32.612899999999996</v>
      </c>
      <c r="C392" s="14">
        <f>30.7174 * CHOOSE(CONTROL!$C$15, $E$9, 100%, $G$9) + CHOOSE(CONTROL!$C$38, 0.0354, 0)</f>
        <v>30.752800000000001</v>
      </c>
      <c r="D392" s="14">
        <f>30.7096 * CHOOSE(CONTROL!$C$15, $E$9, 100%, $G$9) + CHOOSE(CONTROL!$C$38, 0.0354, 0)</f>
        <v>30.744999999999997</v>
      </c>
      <c r="E392" s="14">
        <f>30.7096 * CHOOSE(CONTROL!$C$15, $E$9, 100%, $G$9) + CHOOSE(CONTROL!$C$38, 0.0354, 0)</f>
        <v>30.744999999999997</v>
      </c>
      <c r="F392" s="45">
        <f>32.5776 * CHOOSE(CONTROL!$C$15, $E$9, 100%, $G$9) + CHOOSE(CONTROL!$C$38, 0.0353, 0)</f>
        <v>32.612899999999996</v>
      </c>
      <c r="G392" s="14">
        <f>30.7158 * CHOOSE(CONTROL!$C$15, $E$9, 100%, $G$9) + CHOOSE(CONTROL!$C$38, 0.0354, 0)</f>
        <v>30.751200000000001</v>
      </c>
      <c r="H392" s="14">
        <f>30.7158 * CHOOSE(CONTROL!$C$15, $E$9, 100%, $G$9) + CHOOSE(CONTROL!$C$38, 0.0354, 0)</f>
        <v>30.751200000000001</v>
      </c>
      <c r="I392" s="14">
        <f>30.7174 * CHOOSE(CONTROL!$C$15, $E$9, 100%, $G$9) + CHOOSE(CONTROL!$C$38, 0.0354, 0)</f>
        <v>30.752800000000001</v>
      </c>
      <c r="J392" s="44">
        <f>237.8925</f>
        <v>237.89250000000001</v>
      </c>
    </row>
    <row r="393" spans="1:10" ht="15.75" x14ac:dyDescent="0.25">
      <c r="A393" s="33">
        <v>52901</v>
      </c>
      <c r="B393" s="14">
        <f>32.9391 * CHOOSE(CONTROL!$C$15, $E$9, 100%, $G$9) + CHOOSE(CONTROL!$C$38, 0.034, 0)</f>
        <v>32.973100000000002</v>
      </c>
      <c r="C393" s="14">
        <f>31.079 * CHOOSE(CONTROL!$C$15, $E$9, 100%, $G$9) + CHOOSE(CONTROL!$C$38, 0.0342, 0)</f>
        <v>31.113199999999999</v>
      </c>
      <c r="D393" s="14">
        <f>31.0711 * CHOOSE(CONTROL!$C$15, $E$9, 100%, $G$9) + CHOOSE(CONTROL!$C$38, 0.0342, 0)</f>
        <v>31.1053</v>
      </c>
      <c r="E393" s="14">
        <f>31.0711 * CHOOSE(CONTROL!$C$15, $E$9, 100%, $G$9) + CHOOSE(CONTROL!$C$38, 0.0342, 0)</f>
        <v>31.1053</v>
      </c>
      <c r="F393" s="45">
        <f>32.9391 * CHOOSE(CONTROL!$C$15, $E$9, 100%, $G$9) + CHOOSE(CONTROL!$C$38, 0.034, 0)</f>
        <v>32.973100000000002</v>
      </c>
      <c r="G393" s="14">
        <f>31.0774 * CHOOSE(CONTROL!$C$15, $E$9, 100%, $G$9) + CHOOSE(CONTROL!$C$38, 0.0342, 0)</f>
        <v>31.111599999999999</v>
      </c>
      <c r="H393" s="14">
        <f>31.0774 * CHOOSE(CONTROL!$C$15, $E$9, 100%, $G$9) + CHOOSE(CONTROL!$C$38, 0.0342, 0)</f>
        <v>31.111599999999999</v>
      </c>
      <c r="I393" s="14">
        <f>31.079 * CHOOSE(CONTROL!$C$15, $E$9, 100%, $G$9) + CHOOSE(CONTROL!$C$38, 0.0342, 0)</f>
        <v>31.113199999999999</v>
      </c>
      <c r="J393" s="44">
        <f>229.666</f>
        <v>229.666</v>
      </c>
    </row>
    <row r="394" spans="1:10" ht="15.75" x14ac:dyDescent="0.25">
      <c r="A394" s="33">
        <v>52931</v>
      </c>
      <c r="B394" s="14">
        <f>33.2408 * CHOOSE(CONTROL!$C$15, $E$9, 100%, $G$9) + CHOOSE(CONTROL!$C$38, 0.034, 0)</f>
        <v>33.274799999999999</v>
      </c>
      <c r="C394" s="14">
        <f>31.3807 * CHOOSE(CONTROL!$C$15, $E$9, 100%, $G$9) + CHOOSE(CONTROL!$C$38, 0.0342, 0)</f>
        <v>31.414899999999999</v>
      </c>
      <c r="D394" s="14">
        <f>31.3728 * CHOOSE(CONTROL!$C$15, $E$9, 100%, $G$9) + CHOOSE(CONTROL!$C$38, 0.0342, 0)</f>
        <v>31.407</v>
      </c>
      <c r="E394" s="14">
        <f>31.3728 * CHOOSE(CONTROL!$C$15, $E$9, 100%, $G$9) + CHOOSE(CONTROL!$C$38, 0.0342, 0)</f>
        <v>31.407</v>
      </c>
      <c r="F394" s="45">
        <f>33.2408 * CHOOSE(CONTROL!$C$15, $E$9, 100%, $G$9) + CHOOSE(CONTROL!$C$38, 0.034, 0)</f>
        <v>33.274799999999999</v>
      </c>
      <c r="G394" s="14">
        <f>31.3791 * CHOOSE(CONTROL!$C$15, $E$9, 100%, $G$9) + CHOOSE(CONTROL!$C$38, 0.0342, 0)</f>
        <v>31.4133</v>
      </c>
      <c r="H394" s="14">
        <f>31.3791 * CHOOSE(CONTROL!$C$15, $E$9, 100%, $G$9) + CHOOSE(CONTROL!$C$38, 0.0342, 0)</f>
        <v>31.4133</v>
      </c>
      <c r="I394" s="14">
        <f>31.3807 * CHOOSE(CONTROL!$C$15, $E$9, 100%, $G$9) + CHOOSE(CONTROL!$C$38, 0.0342, 0)</f>
        <v>31.414899999999999</v>
      </c>
      <c r="J394" s="44">
        <f>228.0295</f>
        <v>228.02950000000001</v>
      </c>
    </row>
    <row r="395" spans="1:10" ht="15.75" x14ac:dyDescent="0.25">
      <c r="A395" s="33">
        <v>52962</v>
      </c>
      <c r="B395" s="14">
        <f>34.1705 * CHOOSE(CONTROL!$C$15, $E$9, 100%, $G$9) + CHOOSE(CONTROL!$C$38, 0.034, 0)</f>
        <v>34.204499999999996</v>
      </c>
      <c r="C395" s="14">
        <f>32.3103 * CHOOSE(CONTROL!$C$15, $E$9, 100%, $G$9) + CHOOSE(CONTROL!$C$38, 0.0342, 0)</f>
        <v>32.344499999999996</v>
      </c>
      <c r="D395" s="14">
        <f>32.3025 * CHOOSE(CONTROL!$C$15, $E$9, 100%, $G$9) + CHOOSE(CONTROL!$C$38, 0.0342, 0)</f>
        <v>32.3367</v>
      </c>
      <c r="E395" s="14">
        <f>32.3025 * CHOOSE(CONTROL!$C$15, $E$9, 100%, $G$9) + CHOOSE(CONTROL!$C$38, 0.0342, 0)</f>
        <v>32.3367</v>
      </c>
      <c r="F395" s="45">
        <f>34.1705 * CHOOSE(CONTROL!$C$15, $E$9, 100%, $G$9) + CHOOSE(CONTROL!$C$38, 0.034, 0)</f>
        <v>34.204499999999996</v>
      </c>
      <c r="G395" s="14">
        <f>32.3088 * CHOOSE(CONTROL!$C$15, $E$9, 100%, $G$9) + CHOOSE(CONTROL!$C$38, 0.0342, 0)</f>
        <v>32.342999999999996</v>
      </c>
      <c r="H395" s="14">
        <f>32.3088 * CHOOSE(CONTROL!$C$15, $E$9, 100%, $G$9) + CHOOSE(CONTROL!$C$38, 0.0342, 0)</f>
        <v>32.342999999999996</v>
      </c>
      <c r="I395" s="14">
        <f>32.3103 * CHOOSE(CONTROL!$C$15, $E$9, 100%, $G$9) + CHOOSE(CONTROL!$C$38, 0.0342, 0)</f>
        <v>32.344499999999996</v>
      </c>
      <c r="J395" s="44">
        <f>221.2627</f>
        <v>221.2627</v>
      </c>
    </row>
    <row r="396" spans="1:10" ht="15.75" x14ac:dyDescent="0.25">
      <c r="A396" s="33">
        <v>52993</v>
      </c>
      <c r="B396" s="14">
        <f>35.4537 * CHOOSE(CONTROL!$C$15, $E$9, 100%, $G$9) + CHOOSE(CONTROL!$C$38, 0.034, 0)</f>
        <v>35.487699999999997</v>
      </c>
      <c r="C396" s="14">
        <f>33.5649 * CHOOSE(CONTROL!$C$15, $E$9, 100%, $G$9) + CHOOSE(CONTROL!$C$38, 0.0342, 0)</f>
        <v>33.5991</v>
      </c>
      <c r="D396" s="14">
        <f>33.557 * CHOOSE(CONTROL!$C$15, $E$9, 100%, $G$9) + CHOOSE(CONTROL!$C$38, 0.0342, 0)</f>
        <v>33.591200000000001</v>
      </c>
      <c r="E396" s="14">
        <f>33.557 * CHOOSE(CONTROL!$C$15, $E$9, 100%, $G$9) + CHOOSE(CONTROL!$C$38, 0.0342, 0)</f>
        <v>33.591200000000001</v>
      </c>
      <c r="F396" s="45">
        <f>35.4537 * CHOOSE(CONTROL!$C$15, $E$9, 100%, $G$9) + CHOOSE(CONTROL!$C$38, 0.034, 0)</f>
        <v>35.487699999999997</v>
      </c>
      <c r="G396" s="14">
        <f>33.5633 * CHOOSE(CONTROL!$C$15, $E$9, 100%, $G$9) + CHOOSE(CONTROL!$C$38, 0.0342, 0)</f>
        <v>33.597499999999997</v>
      </c>
      <c r="H396" s="14">
        <f>33.5633 * CHOOSE(CONTROL!$C$15, $E$9, 100%, $G$9) + CHOOSE(CONTROL!$C$38, 0.0342, 0)</f>
        <v>33.597499999999997</v>
      </c>
      <c r="I396" s="14">
        <f>33.5649 * CHOOSE(CONTROL!$C$15, $E$9, 100%, $G$9) + CHOOSE(CONTROL!$C$38, 0.0342, 0)</f>
        <v>33.5991</v>
      </c>
      <c r="J396" s="44">
        <f>221.103</f>
        <v>221.10300000000001</v>
      </c>
    </row>
    <row r="397" spans="1:10" ht="15.75" x14ac:dyDescent="0.25">
      <c r="A397" s="33">
        <v>53021</v>
      </c>
      <c r="B397" s="14">
        <f>35.798 * CHOOSE(CONTROL!$C$15, $E$9, 100%, $G$9) + CHOOSE(CONTROL!$C$38, 0.034, 0)</f>
        <v>35.832000000000001</v>
      </c>
      <c r="C397" s="14">
        <f>33.9092 * CHOOSE(CONTROL!$C$15, $E$9, 100%, $G$9) + CHOOSE(CONTROL!$C$38, 0.0342, 0)</f>
        <v>33.943399999999997</v>
      </c>
      <c r="D397" s="14">
        <f>33.9014 * CHOOSE(CONTROL!$C$15, $E$9, 100%, $G$9) + CHOOSE(CONTROL!$C$38, 0.0342, 0)</f>
        <v>33.935600000000001</v>
      </c>
      <c r="E397" s="14">
        <f>33.9014 * CHOOSE(CONTROL!$C$15, $E$9, 100%, $G$9) + CHOOSE(CONTROL!$C$38, 0.0342, 0)</f>
        <v>33.935600000000001</v>
      </c>
      <c r="F397" s="45">
        <f>35.798 * CHOOSE(CONTROL!$C$15, $E$9, 100%, $G$9) + CHOOSE(CONTROL!$C$38, 0.034, 0)</f>
        <v>35.832000000000001</v>
      </c>
      <c r="G397" s="14">
        <f>33.9076 * CHOOSE(CONTROL!$C$15, $E$9, 100%, $G$9) + CHOOSE(CONTROL!$C$38, 0.0342, 0)</f>
        <v>33.941800000000001</v>
      </c>
      <c r="H397" s="14">
        <f>33.9076 * CHOOSE(CONTROL!$C$15, $E$9, 100%, $G$9) + CHOOSE(CONTROL!$C$38, 0.0342, 0)</f>
        <v>33.941800000000001</v>
      </c>
      <c r="I397" s="14">
        <f>33.9092 * CHOOSE(CONTROL!$C$15, $E$9, 100%, $G$9) + CHOOSE(CONTROL!$C$38, 0.0342, 0)</f>
        <v>33.943399999999997</v>
      </c>
      <c r="J397" s="44">
        <f>220.4884</f>
        <v>220.48840000000001</v>
      </c>
    </row>
    <row r="398" spans="1:10" ht="15.75" x14ac:dyDescent="0.25">
      <c r="A398" s="33">
        <v>53052</v>
      </c>
      <c r="B398" s="14">
        <f>35.0009 * CHOOSE(CONTROL!$C$15, $E$9, 100%, $G$9) + CHOOSE(CONTROL!$C$38, 0.034, 0)</f>
        <v>35.0349</v>
      </c>
      <c r="C398" s="14">
        <f>33.1121 * CHOOSE(CONTROL!$C$15, $E$9, 100%, $G$9) + CHOOSE(CONTROL!$C$38, 0.0342, 0)</f>
        <v>33.146299999999997</v>
      </c>
      <c r="D398" s="14">
        <f>33.1043 * CHOOSE(CONTROL!$C$15, $E$9, 100%, $G$9) + CHOOSE(CONTROL!$C$38, 0.0342, 0)</f>
        <v>33.138500000000001</v>
      </c>
      <c r="E398" s="14">
        <f>33.1043 * CHOOSE(CONTROL!$C$15, $E$9, 100%, $G$9) + CHOOSE(CONTROL!$C$38, 0.0342, 0)</f>
        <v>33.138500000000001</v>
      </c>
      <c r="F398" s="45">
        <f>35.0009 * CHOOSE(CONTROL!$C$15, $E$9, 100%, $G$9) + CHOOSE(CONTROL!$C$38, 0.034, 0)</f>
        <v>35.0349</v>
      </c>
      <c r="G398" s="14">
        <f>33.1106 * CHOOSE(CONTROL!$C$15, $E$9, 100%, $G$9) + CHOOSE(CONTROL!$C$38, 0.0342, 0)</f>
        <v>33.144799999999996</v>
      </c>
      <c r="H398" s="14">
        <f>33.1106 * CHOOSE(CONTROL!$C$15, $E$9, 100%, $G$9) + CHOOSE(CONTROL!$C$38, 0.0342, 0)</f>
        <v>33.144799999999996</v>
      </c>
      <c r="I398" s="14">
        <f>33.1121 * CHOOSE(CONTROL!$C$15, $E$9, 100%, $G$9) + CHOOSE(CONTROL!$C$38, 0.0342, 0)</f>
        <v>33.146299999999997</v>
      </c>
      <c r="J398" s="44">
        <f>232.1094</f>
        <v>232.10939999999999</v>
      </c>
    </row>
    <row r="399" spans="1:10" ht="15.75" x14ac:dyDescent="0.25">
      <c r="A399" s="33">
        <v>53082</v>
      </c>
      <c r="B399" s="14">
        <f>34.2286 * CHOOSE(CONTROL!$C$15, $E$9, 100%, $G$9) + CHOOSE(CONTROL!$C$38, 0.034, 0)</f>
        <v>34.262599999999999</v>
      </c>
      <c r="C399" s="14">
        <f>32.3398 * CHOOSE(CONTROL!$C$15, $E$9, 100%, $G$9) + CHOOSE(CONTROL!$C$38, 0.0342, 0)</f>
        <v>32.373999999999995</v>
      </c>
      <c r="D399" s="14">
        <f>32.332 * CHOOSE(CONTROL!$C$15, $E$9, 100%, $G$9) + CHOOSE(CONTROL!$C$38, 0.0342, 0)</f>
        <v>32.366199999999999</v>
      </c>
      <c r="E399" s="14">
        <f>32.332 * CHOOSE(CONTROL!$C$15, $E$9, 100%, $G$9) + CHOOSE(CONTROL!$C$38, 0.0342, 0)</f>
        <v>32.366199999999999</v>
      </c>
      <c r="F399" s="45">
        <f>34.2286 * CHOOSE(CONTROL!$C$15, $E$9, 100%, $G$9) + CHOOSE(CONTROL!$C$38, 0.034, 0)</f>
        <v>34.262599999999999</v>
      </c>
      <c r="G399" s="14">
        <f>32.3383 * CHOOSE(CONTROL!$C$15, $E$9, 100%, $G$9) + CHOOSE(CONTROL!$C$38, 0.0342, 0)</f>
        <v>32.372499999999995</v>
      </c>
      <c r="H399" s="14">
        <f>32.3383 * CHOOSE(CONTROL!$C$15, $E$9, 100%, $G$9) + CHOOSE(CONTROL!$C$38, 0.0342, 0)</f>
        <v>32.372499999999995</v>
      </c>
      <c r="I399" s="14">
        <f>32.3398 * CHOOSE(CONTROL!$C$15, $E$9, 100%, $G$9) + CHOOSE(CONTROL!$C$38, 0.0342, 0)</f>
        <v>32.373999999999995</v>
      </c>
      <c r="J399" s="44">
        <f>247.1791</f>
        <v>247.17910000000001</v>
      </c>
    </row>
    <row r="400" spans="1:10" ht="15.75" x14ac:dyDescent="0.25">
      <c r="A400" s="33">
        <v>53113</v>
      </c>
      <c r="B400" s="14">
        <f>33.4237 * CHOOSE(CONTROL!$C$15, $E$9, 100%, $G$9) + CHOOSE(CONTROL!$C$38, 0.0353, 0)</f>
        <v>33.458999999999996</v>
      </c>
      <c r="C400" s="14">
        <f>31.5349 * CHOOSE(CONTROL!$C$15, $E$9, 100%, $G$9) + CHOOSE(CONTROL!$C$38, 0.0354, 0)</f>
        <v>31.5703</v>
      </c>
      <c r="D400" s="14">
        <f>31.527 * CHOOSE(CONTROL!$C$15, $E$9, 100%, $G$9) + CHOOSE(CONTROL!$C$38, 0.0354, 0)</f>
        <v>31.5624</v>
      </c>
      <c r="E400" s="14">
        <f>31.527 * CHOOSE(CONTROL!$C$15, $E$9, 100%, $G$9) + CHOOSE(CONTROL!$C$38, 0.0354, 0)</f>
        <v>31.5624</v>
      </c>
      <c r="F400" s="45">
        <f>33.4237 * CHOOSE(CONTROL!$C$15, $E$9, 100%, $G$9) + CHOOSE(CONTROL!$C$38, 0.0353, 0)</f>
        <v>33.458999999999996</v>
      </c>
      <c r="G400" s="14">
        <f>31.5333 * CHOOSE(CONTROL!$C$15, $E$9, 100%, $G$9) + CHOOSE(CONTROL!$C$38, 0.0354, 0)</f>
        <v>31.5687</v>
      </c>
      <c r="H400" s="14">
        <f>31.5333 * CHOOSE(CONTROL!$C$15, $E$9, 100%, $G$9) + CHOOSE(CONTROL!$C$38, 0.0354, 0)</f>
        <v>31.5687</v>
      </c>
      <c r="I400" s="14">
        <f>31.5349 * CHOOSE(CONTROL!$C$15, $E$9, 100%, $G$9) + CHOOSE(CONTROL!$C$38, 0.0354, 0)</f>
        <v>31.5703</v>
      </c>
      <c r="J400" s="44">
        <f>255.4739</f>
        <v>255.47389999999999</v>
      </c>
    </row>
    <row r="401" spans="1:10" ht="15.75" x14ac:dyDescent="0.25">
      <c r="A401" s="33">
        <v>53143</v>
      </c>
      <c r="B401" s="14">
        <f>32.8593 * CHOOSE(CONTROL!$C$15, $E$9, 100%, $G$9) + CHOOSE(CONTROL!$C$38, 0.0353, 0)</f>
        <v>32.894599999999997</v>
      </c>
      <c r="C401" s="14">
        <f>30.9705 * CHOOSE(CONTROL!$C$15, $E$9, 100%, $G$9) + CHOOSE(CONTROL!$C$38, 0.0354, 0)</f>
        <v>31.0059</v>
      </c>
      <c r="D401" s="14">
        <f>30.9627 * CHOOSE(CONTROL!$C$15, $E$9, 100%, $G$9) + CHOOSE(CONTROL!$C$38, 0.0354, 0)</f>
        <v>30.998100000000001</v>
      </c>
      <c r="E401" s="14">
        <f>30.9627 * CHOOSE(CONTROL!$C$15, $E$9, 100%, $G$9) + CHOOSE(CONTROL!$C$38, 0.0354, 0)</f>
        <v>30.998100000000001</v>
      </c>
      <c r="F401" s="45">
        <f>32.8593 * CHOOSE(CONTROL!$C$15, $E$9, 100%, $G$9) + CHOOSE(CONTROL!$C$38, 0.0353, 0)</f>
        <v>32.894599999999997</v>
      </c>
      <c r="G401" s="14">
        <f>30.969 * CHOOSE(CONTROL!$C$15, $E$9, 100%, $G$9) + CHOOSE(CONTROL!$C$38, 0.0354, 0)</f>
        <v>31.0044</v>
      </c>
      <c r="H401" s="14">
        <f>30.969 * CHOOSE(CONTROL!$C$15, $E$9, 100%, $G$9) + CHOOSE(CONTROL!$C$38, 0.0354, 0)</f>
        <v>31.0044</v>
      </c>
      <c r="I401" s="14">
        <f>30.9705 * CHOOSE(CONTROL!$C$15, $E$9, 100%, $G$9) + CHOOSE(CONTROL!$C$38, 0.0354, 0)</f>
        <v>31.0059</v>
      </c>
      <c r="J401" s="44">
        <f>259.155</f>
        <v>259.15499999999997</v>
      </c>
    </row>
    <row r="402" spans="1:10" ht="15.75" x14ac:dyDescent="0.25">
      <c r="A402" s="33">
        <v>53174</v>
      </c>
      <c r="B402" s="14">
        <f>32.5373 * CHOOSE(CONTROL!$C$15, $E$9, 100%, $G$9) + CHOOSE(CONTROL!$C$38, 0.0353, 0)</f>
        <v>32.572600000000001</v>
      </c>
      <c r="C402" s="14">
        <f>30.6485 * CHOOSE(CONTROL!$C$15, $E$9, 100%, $G$9) + CHOOSE(CONTROL!$C$38, 0.0354, 0)</f>
        <v>30.683899999999998</v>
      </c>
      <c r="D402" s="14">
        <f>30.6407 * CHOOSE(CONTROL!$C$15, $E$9, 100%, $G$9) + CHOOSE(CONTROL!$C$38, 0.0354, 0)</f>
        <v>30.676099999999998</v>
      </c>
      <c r="E402" s="14">
        <f>30.6407 * CHOOSE(CONTROL!$C$15, $E$9, 100%, $G$9) + CHOOSE(CONTROL!$C$38, 0.0354, 0)</f>
        <v>30.676099999999998</v>
      </c>
      <c r="F402" s="45">
        <f>32.5373 * CHOOSE(CONTROL!$C$15, $E$9, 100%, $G$9) + CHOOSE(CONTROL!$C$38, 0.0353, 0)</f>
        <v>32.572600000000001</v>
      </c>
      <c r="G402" s="14">
        <f>30.6469 * CHOOSE(CONTROL!$C$15, $E$9, 100%, $G$9) + CHOOSE(CONTROL!$C$38, 0.0354, 0)</f>
        <v>30.682299999999998</v>
      </c>
      <c r="H402" s="14">
        <f>30.6469 * CHOOSE(CONTROL!$C$15, $E$9, 100%, $G$9) + CHOOSE(CONTROL!$C$38, 0.0354, 0)</f>
        <v>30.682299999999998</v>
      </c>
      <c r="I402" s="14">
        <f>30.6485 * CHOOSE(CONTROL!$C$15, $E$9, 100%, $G$9) + CHOOSE(CONTROL!$C$38, 0.0354, 0)</f>
        <v>30.683899999999998</v>
      </c>
      <c r="J402" s="44">
        <f>257.943</f>
        <v>257.94299999999998</v>
      </c>
    </row>
    <row r="403" spans="1:10" ht="15.75" x14ac:dyDescent="0.25">
      <c r="A403" s="33">
        <v>53205</v>
      </c>
      <c r="B403" s="14">
        <f>32.6962 * CHOOSE(CONTROL!$C$15, $E$9, 100%, $G$9) + CHOOSE(CONTROL!$C$38, 0.0353, 0)</f>
        <v>32.731499999999997</v>
      </c>
      <c r="C403" s="14">
        <f>30.8074 * CHOOSE(CONTROL!$C$15, $E$9, 100%, $G$9) + CHOOSE(CONTROL!$C$38, 0.0354, 0)</f>
        <v>30.8428</v>
      </c>
      <c r="D403" s="14">
        <f>30.7996 * CHOOSE(CONTROL!$C$15, $E$9, 100%, $G$9) + CHOOSE(CONTROL!$C$38, 0.0354, 0)</f>
        <v>30.835000000000001</v>
      </c>
      <c r="E403" s="14">
        <f>30.7996 * CHOOSE(CONTROL!$C$15, $E$9, 100%, $G$9) + CHOOSE(CONTROL!$C$38, 0.0354, 0)</f>
        <v>30.835000000000001</v>
      </c>
      <c r="F403" s="45">
        <f>32.6962 * CHOOSE(CONTROL!$C$15, $E$9, 100%, $G$9) + CHOOSE(CONTROL!$C$38, 0.0353, 0)</f>
        <v>32.731499999999997</v>
      </c>
      <c r="G403" s="14">
        <f>30.8058 * CHOOSE(CONTROL!$C$15, $E$9, 100%, $G$9) + CHOOSE(CONTROL!$C$38, 0.0354, 0)</f>
        <v>30.841200000000001</v>
      </c>
      <c r="H403" s="14">
        <f>30.8058 * CHOOSE(CONTROL!$C$15, $E$9, 100%, $G$9) + CHOOSE(CONTROL!$C$38, 0.0354, 0)</f>
        <v>30.841200000000001</v>
      </c>
      <c r="I403" s="14">
        <f>30.8074 * CHOOSE(CONTROL!$C$15, $E$9, 100%, $G$9) + CHOOSE(CONTROL!$C$38, 0.0354, 0)</f>
        <v>30.8428</v>
      </c>
      <c r="J403" s="44">
        <f>251.9382</f>
        <v>251.93819999999999</v>
      </c>
    </row>
    <row r="404" spans="1:10" ht="15.75" x14ac:dyDescent="0.25">
      <c r="A404" s="33">
        <v>53235</v>
      </c>
      <c r="B404" s="14">
        <f>33.1279 * CHOOSE(CONTROL!$C$15, $E$9, 100%, $G$9) + CHOOSE(CONTROL!$C$38, 0.0353, 0)</f>
        <v>33.163199999999996</v>
      </c>
      <c r="C404" s="14">
        <f>31.2391 * CHOOSE(CONTROL!$C$15, $E$9, 100%, $G$9) + CHOOSE(CONTROL!$C$38, 0.0354, 0)</f>
        <v>31.2745</v>
      </c>
      <c r="D404" s="14">
        <f>31.2313 * CHOOSE(CONTROL!$C$15, $E$9, 100%, $G$9) + CHOOSE(CONTROL!$C$38, 0.0354, 0)</f>
        <v>31.2667</v>
      </c>
      <c r="E404" s="14">
        <f>31.2313 * CHOOSE(CONTROL!$C$15, $E$9, 100%, $G$9) + CHOOSE(CONTROL!$C$38, 0.0354, 0)</f>
        <v>31.2667</v>
      </c>
      <c r="F404" s="45">
        <f>33.1279 * CHOOSE(CONTROL!$C$15, $E$9, 100%, $G$9) + CHOOSE(CONTROL!$C$38, 0.0353, 0)</f>
        <v>33.163199999999996</v>
      </c>
      <c r="G404" s="14">
        <f>31.2376 * CHOOSE(CONTROL!$C$15, $E$9, 100%, $G$9) + CHOOSE(CONTROL!$C$38, 0.0354, 0)</f>
        <v>31.273</v>
      </c>
      <c r="H404" s="14">
        <f>31.2376 * CHOOSE(CONTROL!$C$15, $E$9, 100%, $G$9) + CHOOSE(CONTROL!$C$38, 0.0354, 0)</f>
        <v>31.273</v>
      </c>
      <c r="I404" s="14">
        <f>31.2391 * CHOOSE(CONTROL!$C$15, $E$9, 100%, $G$9) + CHOOSE(CONTROL!$C$38, 0.0354, 0)</f>
        <v>31.2745</v>
      </c>
      <c r="J404" s="44">
        <f>243.5642</f>
        <v>243.5642</v>
      </c>
    </row>
    <row r="405" spans="1:10" ht="15.75" x14ac:dyDescent="0.25">
      <c r="A405" s="33">
        <v>53266</v>
      </c>
      <c r="B405" s="14">
        <f>33.4895 * CHOOSE(CONTROL!$C$15, $E$9, 100%, $G$9) + CHOOSE(CONTROL!$C$38, 0.034, 0)</f>
        <v>33.523499999999999</v>
      </c>
      <c r="C405" s="14">
        <f>31.6007 * CHOOSE(CONTROL!$C$15, $E$9, 100%, $G$9) + CHOOSE(CONTROL!$C$38, 0.0342, 0)</f>
        <v>31.634899999999998</v>
      </c>
      <c r="D405" s="14">
        <f>31.5929 * CHOOSE(CONTROL!$C$15, $E$9, 100%, $G$9) + CHOOSE(CONTROL!$C$38, 0.0342, 0)</f>
        <v>31.627099999999999</v>
      </c>
      <c r="E405" s="14">
        <f>31.5929 * CHOOSE(CONTROL!$C$15, $E$9, 100%, $G$9) + CHOOSE(CONTROL!$C$38, 0.0342, 0)</f>
        <v>31.627099999999999</v>
      </c>
      <c r="F405" s="45">
        <f>33.4895 * CHOOSE(CONTROL!$C$15, $E$9, 100%, $G$9) + CHOOSE(CONTROL!$C$38, 0.034, 0)</f>
        <v>33.523499999999999</v>
      </c>
      <c r="G405" s="14">
        <f>31.5991 * CHOOSE(CONTROL!$C$15, $E$9, 100%, $G$9) + CHOOSE(CONTROL!$C$38, 0.0342, 0)</f>
        <v>31.633299999999998</v>
      </c>
      <c r="H405" s="14">
        <f>31.5991 * CHOOSE(CONTROL!$C$15, $E$9, 100%, $G$9) + CHOOSE(CONTROL!$C$38, 0.0342, 0)</f>
        <v>31.633299999999998</v>
      </c>
      <c r="I405" s="14">
        <f>31.6007 * CHOOSE(CONTROL!$C$15, $E$9, 100%, $G$9) + CHOOSE(CONTROL!$C$38, 0.0342, 0)</f>
        <v>31.634899999999998</v>
      </c>
      <c r="J405" s="44">
        <f>235.1415</f>
        <v>235.14150000000001</v>
      </c>
    </row>
    <row r="406" spans="1:10" ht="15.75" x14ac:dyDescent="0.25">
      <c r="A406" s="33">
        <v>53296</v>
      </c>
      <c r="B406" s="14">
        <f>33.7912 * CHOOSE(CONTROL!$C$15, $E$9, 100%, $G$9) + CHOOSE(CONTROL!$C$38, 0.034, 0)</f>
        <v>33.825200000000002</v>
      </c>
      <c r="C406" s="14">
        <f>31.9024 * CHOOSE(CONTROL!$C$15, $E$9, 100%, $G$9) + CHOOSE(CONTROL!$C$38, 0.0342, 0)</f>
        <v>31.936599999999999</v>
      </c>
      <c r="D406" s="14">
        <f>31.8946 * CHOOSE(CONTROL!$C$15, $E$9, 100%, $G$9) + CHOOSE(CONTROL!$C$38, 0.0342, 0)</f>
        <v>31.928799999999999</v>
      </c>
      <c r="E406" s="14">
        <f>31.8946 * CHOOSE(CONTROL!$C$15, $E$9, 100%, $G$9) + CHOOSE(CONTROL!$C$38, 0.0342, 0)</f>
        <v>31.928799999999999</v>
      </c>
      <c r="F406" s="45">
        <f>33.7912 * CHOOSE(CONTROL!$C$15, $E$9, 100%, $G$9) + CHOOSE(CONTROL!$C$38, 0.034, 0)</f>
        <v>33.825200000000002</v>
      </c>
      <c r="G406" s="14">
        <f>31.9008 * CHOOSE(CONTROL!$C$15, $E$9, 100%, $G$9) + CHOOSE(CONTROL!$C$38, 0.0342, 0)</f>
        <v>31.934999999999999</v>
      </c>
      <c r="H406" s="14">
        <f>31.9008 * CHOOSE(CONTROL!$C$15, $E$9, 100%, $G$9) + CHOOSE(CONTROL!$C$38, 0.0342, 0)</f>
        <v>31.934999999999999</v>
      </c>
      <c r="I406" s="14">
        <f>31.9024 * CHOOSE(CONTROL!$C$15, $E$9, 100%, $G$9) + CHOOSE(CONTROL!$C$38, 0.0342, 0)</f>
        <v>31.936599999999999</v>
      </c>
      <c r="J406" s="44">
        <f>233.4661</f>
        <v>233.46610000000001</v>
      </c>
    </row>
    <row r="407" spans="1:10" ht="15.75" x14ac:dyDescent="0.25">
      <c r="A407" s="33">
        <v>53327</v>
      </c>
      <c r="B407" s="14">
        <f>34.7209 * CHOOSE(CONTROL!$C$15, $E$9, 100%, $G$9) + CHOOSE(CONTROL!$C$38, 0.034, 0)</f>
        <v>34.754899999999999</v>
      </c>
      <c r="C407" s="14">
        <f>32.8321 * CHOOSE(CONTROL!$C$15, $E$9, 100%, $G$9) + CHOOSE(CONTROL!$C$38, 0.0342, 0)</f>
        <v>32.866299999999995</v>
      </c>
      <c r="D407" s="14">
        <f>32.8242 * CHOOSE(CONTROL!$C$15, $E$9, 100%, $G$9) + CHOOSE(CONTROL!$C$38, 0.0342, 0)</f>
        <v>32.858399999999996</v>
      </c>
      <c r="E407" s="14">
        <f>32.8242 * CHOOSE(CONTROL!$C$15, $E$9, 100%, $G$9) + CHOOSE(CONTROL!$C$38, 0.0342, 0)</f>
        <v>32.858399999999996</v>
      </c>
      <c r="F407" s="45">
        <f>34.7209 * CHOOSE(CONTROL!$C$15, $E$9, 100%, $G$9) + CHOOSE(CONTROL!$C$38, 0.034, 0)</f>
        <v>34.754899999999999</v>
      </c>
      <c r="G407" s="14">
        <f>32.8305 * CHOOSE(CONTROL!$C$15, $E$9, 100%, $G$9) + CHOOSE(CONTROL!$C$38, 0.0342, 0)</f>
        <v>32.864699999999999</v>
      </c>
      <c r="H407" s="14">
        <f>32.8305 * CHOOSE(CONTROL!$C$15, $E$9, 100%, $G$9) + CHOOSE(CONTROL!$C$38, 0.0342, 0)</f>
        <v>32.864699999999999</v>
      </c>
      <c r="I407" s="14">
        <f>32.8321 * CHOOSE(CONTROL!$C$15, $E$9, 100%, $G$9) + CHOOSE(CONTROL!$C$38, 0.0342, 0)</f>
        <v>32.866299999999995</v>
      </c>
      <c r="J407" s="44">
        <f>226.538</f>
        <v>226.53800000000001</v>
      </c>
    </row>
    <row r="408" spans="1:10" ht="15.75" x14ac:dyDescent="0.25">
      <c r="A408" s="33">
        <v>53358</v>
      </c>
      <c r="B408" s="14">
        <f>36.0133 * CHOOSE(CONTROL!$C$15, $E$9, 100%, $G$9) + CHOOSE(CONTROL!$C$38, 0.034, 0)</f>
        <v>36.0473</v>
      </c>
      <c r="C408" s="14">
        <f>34.0953 * CHOOSE(CONTROL!$C$15, $E$9, 100%, $G$9) + CHOOSE(CONTROL!$C$38, 0.0342, 0)</f>
        <v>34.1295</v>
      </c>
      <c r="D408" s="14">
        <f>34.0875 * CHOOSE(CONTROL!$C$15, $E$9, 100%, $G$9) + CHOOSE(CONTROL!$C$38, 0.0342, 0)</f>
        <v>34.121699999999997</v>
      </c>
      <c r="E408" s="14">
        <f>34.0875 * CHOOSE(CONTROL!$C$15, $E$9, 100%, $G$9) + CHOOSE(CONTROL!$C$38, 0.0342, 0)</f>
        <v>34.121699999999997</v>
      </c>
      <c r="F408" s="45">
        <f>36.0133 * CHOOSE(CONTROL!$C$15, $E$9, 100%, $G$9) + CHOOSE(CONTROL!$C$38, 0.034, 0)</f>
        <v>36.0473</v>
      </c>
      <c r="G408" s="14">
        <f>34.0938 * CHOOSE(CONTROL!$C$15, $E$9, 100%, $G$9) + CHOOSE(CONTROL!$C$38, 0.0342, 0)</f>
        <v>34.128</v>
      </c>
      <c r="H408" s="14">
        <f>34.0938 * CHOOSE(CONTROL!$C$15, $E$9, 100%, $G$9) + CHOOSE(CONTROL!$C$38, 0.0342, 0)</f>
        <v>34.128</v>
      </c>
      <c r="I408" s="14">
        <f>34.0953 * CHOOSE(CONTROL!$C$15, $E$9, 100%, $G$9) + CHOOSE(CONTROL!$C$38, 0.0342, 0)</f>
        <v>34.1295</v>
      </c>
      <c r="J408" s="44">
        <f>226.3744</f>
        <v>226.37440000000001</v>
      </c>
    </row>
    <row r="409" spans="1:10" ht="15.75" x14ac:dyDescent="0.25">
      <c r="A409" s="33">
        <v>53386</v>
      </c>
      <c r="B409" s="14">
        <f>36.3576 * CHOOSE(CONTROL!$C$15, $E$9, 100%, $G$9) + CHOOSE(CONTROL!$C$38, 0.034, 0)</f>
        <v>36.391599999999997</v>
      </c>
      <c r="C409" s="14">
        <f>34.4397 * CHOOSE(CONTROL!$C$15, $E$9, 100%, $G$9) + CHOOSE(CONTROL!$C$38, 0.0342, 0)</f>
        <v>34.4739</v>
      </c>
      <c r="D409" s="14">
        <f>34.4318 * CHOOSE(CONTROL!$C$15, $E$9, 100%, $G$9) + CHOOSE(CONTROL!$C$38, 0.0342, 0)</f>
        <v>34.466000000000001</v>
      </c>
      <c r="E409" s="14">
        <f>34.4318 * CHOOSE(CONTROL!$C$15, $E$9, 100%, $G$9) + CHOOSE(CONTROL!$C$38, 0.0342, 0)</f>
        <v>34.466000000000001</v>
      </c>
      <c r="F409" s="45">
        <f>36.3576 * CHOOSE(CONTROL!$C$15, $E$9, 100%, $G$9) + CHOOSE(CONTROL!$C$38, 0.034, 0)</f>
        <v>36.391599999999997</v>
      </c>
      <c r="G409" s="14">
        <f>34.4381 * CHOOSE(CONTROL!$C$15, $E$9, 100%, $G$9) + CHOOSE(CONTROL!$C$38, 0.0342, 0)</f>
        <v>34.472299999999997</v>
      </c>
      <c r="H409" s="14">
        <f>34.4381 * CHOOSE(CONTROL!$C$15, $E$9, 100%, $G$9) + CHOOSE(CONTROL!$C$38, 0.0342, 0)</f>
        <v>34.472299999999997</v>
      </c>
      <c r="I409" s="14">
        <f>34.4397 * CHOOSE(CONTROL!$C$15, $E$9, 100%, $G$9) + CHOOSE(CONTROL!$C$38, 0.0342, 0)</f>
        <v>34.4739</v>
      </c>
      <c r="J409" s="44">
        <f>225.7452</f>
        <v>225.74520000000001</v>
      </c>
    </row>
    <row r="410" spans="1:10" ht="15.75" x14ac:dyDescent="0.25">
      <c r="A410" s="33">
        <v>53417</v>
      </c>
      <c r="B410" s="14">
        <f>35.5605 * CHOOSE(CONTROL!$C$15, $E$9, 100%, $G$9) + CHOOSE(CONTROL!$C$38, 0.034, 0)</f>
        <v>35.594499999999996</v>
      </c>
      <c r="C410" s="14">
        <f>33.6426 * CHOOSE(CONTROL!$C$15, $E$9, 100%, $G$9) + CHOOSE(CONTROL!$C$38, 0.0342, 0)</f>
        <v>33.6768</v>
      </c>
      <c r="D410" s="14">
        <f>33.6348 * CHOOSE(CONTROL!$C$15, $E$9, 100%, $G$9) + CHOOSE(CONTROL!$C$38, 0.0342, 0)</f>
        <v>33.668999999999997</v>
      </c>
      <c r="E410" s="14">
        <f>33.6348 * CHOOSE(CONTROL!$C$15, $E$9, 100%, $G$9) + CHOOSE(CONTROL!$C$38, 0.0342, 0)</f>
        <v>33.668999999999997</v>
      </c>
      <c r="F410" s="45">
        <f>35.5605 * CHOOSE(CONTROL!$C$15, $E$9, 100%, $G$9) + CHOOSE(CONTROL!$C$38, 0.034, 0)</f>
        <v>35.594499999999996</v>
      </c>
      <c r="G410" s="14">
        <f>33.6411 * CHOOSE(CONTROL!$C$15, $E$9, 100%, $G$9) + CHOOSE(CONTROL!$C$38, 0.0342, 0)</f>
        <v>33.6753</v>
      </c>
      <c r="H410" s="14">
        <f>33.6411 * CHOOSE(CONTROL!$C$15, $E$9, 100%, $G$9) + CHOOSE(CONTROL!$C$38, 0.0342, 0)</f>
        <v>33.6753</v>
      </c>
      <c r="I410" s="14">
        <f>33.6426 * CHOOSE(CONTROL!$C$15, $E$9, 100%, $G$9) + CHOOSE(CONTROL!$C$38, 0.0342, 0)</f>
        <v>33.6768</v>
      </c>
      <c r="J410" s="44">
        <f>237.6432</f>
        <v>237.64320000000001</v>
      </c>
    </row>
    <row r="411" spans="1:10" ht="15.75" x14ac:dyDescent="0.25">
      <c r="A411" s="33">
        <v>53447</v>
      </c>
      <c r="B411" s="14">
        <f>34.7882 * CHOOSE(CONTROL!$C$15, $E$9, 100%, $G$9) + CHOOSE(CONTROL!$C$38, 0.034, 0)</f>
        <v>34.822200000000002</v>
      </c>
      <c r="C411" s="14">
        <f>32.8703 * CHOOSE(CONTROL!$C$15, $E$9, 100%, $G$9) + CHOOSE(CONTROL!$C$38, 0.0342, 0)</f>
        <v>32.904499999999999</v>
      </c>
      <c r="D411" s="14">
        <f>32.8625 * CHOOSE(CONTROL!$C$15, $E$9, 100%, $G$9) + CHOOSE(CONTROL!$C$38, 0.0342, 0)</f>
        <v>32.896699999999996</v>
      </c>
      <c r="E411" s="14">
        <f>32.8625 * CHOOSE(CONTROL!$C$15, $E$9, 100%, $G$9) + CHOOSE(CONTROL!$C$38, 0.0342, 0)</f>
        <v>32.896699999999996</v>
      </c>
      <c r="F411" s="45">
        <f>34.7882 * CHOOSE(CONTROL!$C$15, $E$9, 100%, $G$9) + CHOOSE(CONTROL!$C$38, 0.034, 0)</f>
        <v>34.822200000000002</v>
      </c>
      <c r="G411" s="14">
        <f>32.8687 * CHOOSE(CONTROL!$C$15, $E$9, 100%, $G$9) + CHOOSE(CONTROL!$C$38, 0.0342, 0)</f>
        <v>32.902899999999995</v>
      </c>
      <c r="H411" s="14">
        <f>32.8687 * CHOOSE(CONTROL!$C$15, $E$9, 100%, $G$9) + CHOOSE(CONTROL!$C$38, 0.0342, 0)</f>
        <v>32.902899999999995</v>
      </c>
      <c r="I411" s="14">
        <f>32.8703 * CHOOSE(CONTROL!$C$15, $E$9, 100%, $G$9) + CHOOSE(CONTROL!$C$38, 0.0342, 0)</f>
        <v>32.904499999999999</v>
      </c>
      <c r="J411" s="44">
        <f>253.0722</f>
        <v>253.07220000000001</v>
      </c>
    </row>
    <row r="412" spans="1:10" ht="15.75" x14ac:dyDescent="0.25">
      <c r="A412" s="33">
        <v>53478</v>
      </c>
      <c r="B412" s="14">
        <f>33.9833 * CHOOSE(CONTROL!$C$15, $E$9, 100%, $G$9) + CHOOSE(CONTROL!$C$38, 0.0353, 0)</f>
        <v>34.018599999999999</v>
      </c>
      <c r="C412" s="14">
        <f>32.0654 * CHOOSE(CONTROL!$C$15, $E$9, 100%, $G$9) + CHOOSE(CONTROL!$C$38, 0.0354, 0)</f>
        <v>32.1008</v>
      </c>
      <c r="D412" s="14">
        <f>32.0575 * CHOOSE(CONTROL!$C$15, $E$9, 100%, $G$9) + CHOOSE(CONTROL!$C$38, 0.0354, 0)</f>
        <v>32.0929</v>
      </c>
      <c r="E412" s="14">
        <f>32.0575 * CHOOSE(CONTROL!$C$15, $E$9, 100%, $G$9) + CHOOSE(CONTROL!$C$38, 0.0354, 0)</f>
        <v>32.0929</v>
      </c>
      <c r="F412" s="45">
        <f>33.9833 * CHOOSE(CONTROL!$C$15, $E$9, 100%, $G$9) + CHOOSE(CONTROL!$C$38, 0.0353, 0)</f>
        <v>34.018599999999999</v>
      </c>
      <c r="G412" s="14">
        <f>32.0638 * CHOOSE(CONTROL!$C$15, $E$9, 100%, $G$9) + CHOOSE(CONTROL!$C$38, 0.0354, 0)</f>
        <v>32.099200000000003</v>
      </c>
      <c r="H412" s="14">
        <f>32.0638 * CHOOSE(CONTROL!$C$15, $E$9, 100%, $G$9) + CHOOSE(CONTROL!$C$38, 0.0354, 0)</f>
        <v>32.099200000000003</v>
      </c>
      <c r="I412" s="14">
        <f>32.0654 * CHOOSE(CONTROL!$C$15, $E$9, 100%, $G$9) + CHOOSE(CONTROL!$C$38, 0.0354, 0)</f>
        <v>32.1008</v>
      </c>
      <c r="J412" s="44">
        <f>261.5648</f>
        <v>261.56479999999999</v>
      </c>
    </row>
    <row r="413" spans="1:10" ht="15.75" x14ac:dyDescent="0.25">
      <c r="A413" s="33">
        <v>53508</v>
      </c>
      <c r="B413" s="14">
        <f>33.4189 * CHOOSE(CONTROL!$C$15, $E$9, 100%, $G$9) + CHOOSE(CONTROL!$C$38, 0.0353, 0)</f>
        <v>33.4542</v>
      </c>
      <c r="C413" s="14">
        <f>31.501 * CHOOSE(CONTROL!$C$15, $E$9, 100%, $G$9) + CHOOSE(CONTROL!$C$38, 0.0354, 0)</f>
        <v>31.5364</v>
      </c>
      <c r="D413" s="14">
        <f>31.4932 * CHOOSE(CONTROL!$C$15, $E$9, 100%, $G$9) + CHOOSE(CONTROL!$C$38, 0.0354, 0)</f>
        <v>31.528600000000001</v>
      </c>
      <c r="E413" s="14">
        <f>31.4932 * CHOOSE(CONTROL!$C$15, $E$9, 100%, $G$9) + CHOOSE(CONTROL!$C$38, 0.0354, 0)</f>
        <v>31.528600000000001</v>
      </c>
      <c r="F413" s="45">
        <f>33.4189 * CHOOSE(CONTROL!$C$15, $E$9, 100%, $G$9) + CHOOSE(CONTROL!$C$38, 0.0353, 0)</f>
        <v>33.4542</v>
      </c>
      <c r="G413" s="14">
        <f>31.4995 * CHOOSE(CONTROL!$C$15, $E$9, 100%, $G$9) + CHOOSE(CONTROL!$C$38, 0.0354, 0)</f>
        <v>31.5349</v>
      </c>
      <c r="H413" s="14">
        <f>31.4995 * CHOOSE(CONTROL!$C$15, $E$9, 100%, $G$9) + CHOOSE(CONTROL!$C$38, 0.0354, 0)</f>
        <v>31.5349</v>
      </c>
      <c r="I413" s="14">
        <f>31.501 * CHOOSE(CONTROL!$C$15, $E$9, 100%, $G$9) + CHOOSE(CONTROL!$C$38, 0.0354, 0)</f>
        <v>31.5364</v>
      </c>
      <c r="J413" s="44">
        <f>265.3337</f>
        <v>265.33370000000002</v>
      </c>
    </row>
    <row r="414" spans="1:10" ht="15.75" x14ac:dyDescent="0.25">
      <c r="A414" s="33">
        <v>53539</v>
      </c>
      <c r="B414" s="14">
        <f>33.0969 * CHOOSE(CONTROL!$C$15, $E$9, 100%, $G$9) + CHOOSE(CONTROL!$C$38, 0.0353, 0)</f>
        <v>33.132199999999997</v>
      </c>
      <c r="C414" s="14">
        <f>31.179 * CHOOSE(CONTROL!$C$15, $E$9, 100%, $G$9) + CHOOSE(CONTROL!$C$38, 0.0354, 0)</f>
        <v>31.214399999999998</v>
      </c>
      <c r="D414" s="14">
        <f>31.1711 * CHOOSE(CONTROL!$C$15, $E$9, 100%, $G$9) + CHOOSE(CONTROL!$C$38, 0.0354, 0)</f>
        <v>31.206499999999998</v>
      </c>
      <c r="E414" s="14">
        <f>31.1711 * CHOOSE(CONTROL!$C$15, $E$9, 100%, $G$9) + CHOOSE(CONTROL!$C$38, 0.0354, 0)</f>
        <v>31.206499999999998</v>
      </c>
      <c r="F414" s="45">
        <f>33.0969 * CHOOSE(CONTROL!$C$15, $E$9, 100%, $G$9) + CHOOSE(CONTROL!$C$38, 0.0353, 0)</f>
        <v>33.132199999999997</v>
      </c>
      <c r="G414" s="14">
        <f>31.1774 * CHOOSE(CONTROL!$C$15, $E$9, 100%, $G$9) + CHOOSE(CONTROL!$C$38, 0.0354, 0)</f>
        <v>31.212799999999998</v>
      </c>
      <c r="H414" s="14">
        <f>31.1774 * CHOOSE(CONTROL!$C$15, $E$9, 100%, $G$9) + CHOOSE(CONTROL!$C$38, 0.0354, 0)</f>
        <v>31.212799999999998</v>
      </c>
      <c r="I414" s="14">
        <f>31.179 * CHOOSE(CONTROL!$C$15, $E$9, 100%, $G$9) + CHOOSE(CONTROL!$C$38, 0.0354, 0)</f>
        <v>31.214399999999998</v>
      </c>
      <c r="J414" s="44">
        <f>264.0928</f>
        <v>264.09280000000001</v>
      </c>
    </row>
    <row r="415" spans="1:10" ht="15.75" x14ac:dyDescent="0.25">
      <c r="A415" s="33">
        <v>53570</v>
      </c>
      <c r="B415" s="14">
        <f>33.2558 * CHOOSE(CONTROL!$C$15, $E$9, 100%, $G$9) + CHOOSE(CONTROL!$C$38, 0.0353, 0)</f>
        <v>33.2911</v>
      </c>
      <c r="C415" s="14">
        <f>31.3379 * CHOOSE(CONTROL!$C$15, $E$9, 100%, $G$9) + CHOOSE(CONTROL!$C$38, 0.0354, 0)</f>
        <v>31.3733</v>
      </c>
      <c r="D415" s="14">
        <f>31.3301 * CHOOSE(CONTROL!$C$15, $E$9, 100%, $G$9) + CHOOSE(CONTROL!$C$38, 0.0354, 0)</f>
        <v>31.365500000000001</v>
      </c>
      <c r="E415" s="14">
        <f>31.3301 * CHOOSE(CONTROL!$C$15, $E$9, 100%, $G$9) + CHOOSE(CONTROL!$C$38, 0.0354, 0)</f>
        <v>31.365500000000001</v>
      </c>
      <c r="F415" s="45">
        <f>33.2558 * CHOOSE(CONTROL!$C$15, $E$9, 100%, $G$9) + CHOOSE(CONTROL!$C$38, 0.0353, 0)</f>
        <v>33.2911</v>
      </c>
      <c r="G415" s="14">
        <f>31.3363 * CHOOSE(CONTROL!$C$15, $E$9, 100%, $G$9) + CHOOSE(CONTROL!$C$38, 0.0354, 0)</f>
        <v>31.371700000000001</v>
      </c>
      <c r="H415" s="14">
        <f>31.3363 * CHOOSE(CONTROL!$C$15, $E$9, 100%, $G$9) + CHOOSE(CONTROL!$C$38, 0.0354, 0)</f>
        <v>31.371700000000001</v>
      </c>
      <c r="I415" s="14">
        <f>31.3379 * CHOOSE(CONTROL!$C$15, $E$9, 100%, $G$9) + CHOOSE(CONTROL!$C$38, 0.0354, 0)</f>
        <v>31.3733</v>
      </c>
      <c r="J415" s="44">
        <f>257.9448</f>
        <v>257.94479999999999</v>
      </c>
    </row>
    <row r="416" spans="1:10" ht="15.75" x14ac:dyDescent="0.25">
      <c r="A416" s="33">
        <v>53600</v>
      </c>
      <c r="B416" s="14">
        <f>33.6875 * CHOOSE(CONTROL!$C$15, $E$9, 100%, $G$9) + CHOOSE(CONTROL!$C$38, 0.0353, 0)</f>
        <v>33.722799999999999</v>
      </c>
      <c r="C416" s="14">
        <f>31.7696 * CHOOSE(CONTROL!$C$15, $E$9, 100%, $G$9) + CHOOSE(CONTROL!$C$38, 0.0354, 0)</f>
        <v>31.805</v>
      </c>
      <c r="D416" s="14">
        <f>31.7618 * CHOOSE(CONTROL!$C$15, $E$9, 100%, $G$9) + CHOOSE(CONTROL!$C$38, 0.0354, 0)</f>
        <v>31.7972</v>
      </c>
      <c r="E416" s="14">
        <f>31.7618 * CHOOSE(CONTROL!$C$15, $E$9, 100%, $G$9) + CHOOSE(CONTROL!$C$38, 0.0354, 0)</f>
        <v>31.7972</v>
      </c>
      <c r="F416" s="45">
        <f>33.6875 * CHOOSE(CONTROL!$C$15, $E$9, 100%, $G$9) + CHOOSE(CONTROL!$C$38, 0.0353, 0)</f>
        <v>33.722799999999999</v>
      </c>
      <c r="G416" s="14">
        <f>31.7681 * CHOOSE(CONTROL!$C$15, $E$9, 100%, $G$9) + CHOOSE(CONTROL!$C$38, 0.0354, 0)</f>
        <v>31.8035</v>
      </c>
      <c r="H416" s="14">
        <f>31.7681 * CHOOSE(CONTROL!$C$15, $E$9, 100%, $G$9) + CHOOSE(CONTROL!$C$38, 0.0354, 0)</f>
        <v>31.8035</v>
      </c>
      <c r="I416" s="14">
        <f>31.7696 * CHOOSE(CONTROL!$C$15, $E$9, 100%, $G$9) + CHOOSE(CONTROL!$C$38, 0.0354, 0)</f>
        <v>31.805</v>
      </c>
      <c r="J416" s="44">
        <f>249.3712</f>
        <v>249.37119999999999</v>
      </c>
    </row>
    <row r="417" spans="1:10" ht="15.75" x14ac:dyDescent="0.25">
      <c r="A417" s="33">
        <v>53631</v>
      </c>
      <c r="B417" s="14">
        <f>34.0491 * CHOOSE(CONTROL!$C$15, $E$9, 100%, $G$9) + CHOOSE(CONTROL!$C$38, 0.034, 0)</f>
        <v>34.083100000000002</v>
      </c>
      <c r="C417" s="14">
        <f>32.1312 * CHOOSE(CONTROL!$C$15, $E$9, 100%, $G$9) + CHOOSE(CONTROL!$C$38, 0.0342, 0)</f>
        <v>32.165399999999998</v>
      </c>
      <c r="D417" s="14">
        <f>32.1234 * CHOOSE(CONTROL!$C$15, $E$9, 100%, $G$9) + CHOOSE(CONTROL!$C$38, 0.0342, 0)</f>
        <v>32.157599999999995</v>
      </c>
      <c r="E417" s="14">
        <f>32.1234 * CHOOSE(CONTROL!$C$15, $E$9, 100%, $G$9) + CHOOSE(CONTROL!$C$38, 0.0342, 0)</f>
        <v>32.157599999999995</v>
      </c>
      <c r="F417" s="45">
        <f>34.0491 * CHOOSE(CONTROL!$C$15, $E$9, 100%, $G$9) + CHOOSE(CONTROL!$C$38, 0.034, 0)</f>
        <v>34.083100000000002</v>
      </c>
      <c r="G417" s="14">
        <f>32.1296 * CHOOSE(CONTROL!$C$15, $E$9, 100%, $G$9) + CHOOSE(CONTROL!$C$38, 0.0342, 0)</f>
        <v>32.163800000000002</v>
      </c>
      <c r="H417" s="14">
        <f>32.1296 * CHOOSE(CONTROL!$C$15, $E$9, 100%, $G$9) + CHOOSE(CONTROL!$C$38, 0.0342, 0)</f>
        <v>32.163800000000002</v>
      </c>
      <c r="I417" s="14">
        <f>32.1312 * CHOOSE(CONTROL!$C$15, $E$9, 100%, $G$9) + CHOOSE(CONTROL!$C$38, 0.0342, 0)</f>
        <v>32.165399999999998</v>
      </c>
      <c r="J417" s="44">
        <f>240.7477</f>
        <v>240.74770000000001</v>
      </c>
    </row>
    <row r="418" spans="1:10" ht="15.75" x14ac:dyDescent="0.25">
      <c r="A418" s="33">
        <v>53661</v>
      </c>
      <c r="B418" s="14">
        <f>34.3508 * CHOOSE(CONTROL!$C$15, $E$9, 100%, $G$9) + CHOOSE(CONTROL!$C$38, 0.034, 0)</f>
        <v>34.384799999999998</v>
      </c>
      <c r="C418" s="14">
        <f>32.4329 * CHOOSE(CONTROL!$C$15, $E$9, 100%, $G$9) + CHOOSE(CONTROL!$C$38, 0.0342, 0)</f>
        <v>32.467099999999995</v>
      </c>
      <c r="D418" s="14">
        <f>32.4251 * CHOOSE(CONTROL!$C$15, $E$9, 100%, $G$9) + CHOOSE(CONTROL!$C$38, 0.0342, 0)</f>
        <v>32.459299999999999</v>
      </c>
      <c r="E418" s="14">
        <f>32.4251 * CHOOSE(CONTROL!$C$15, $E$9, 100%, $G$9) + CHOOSE(CONTROL!$C$38, 0.0342, 0)</f>
        <v>32.459299999999999</v>
      </c>
      <c r="F418" s="45">
        <f>34.3508 * CHOOSE(CONTROL!$C$15, $E$9, 100%, $G$9) + CHOOSE(CONTROL!$C$38, 0.034, 0)</f>
        <v>34.384799999999998</v>
      </c>
      <c r="G418" s="14">
        <f>32.4313 * CHOOSE(CONTROL!$C$15, $E$9, 100%, $G$9) + CHOOSE(CONTROL!$C$38, 0.0342, 0)</f>
        <v>32.465499999999999</v>
      </c>
      <c r="H418" s="14">
        <f>32.4313 * CHOOSE(CONTROL!$C$15, $E$9, 100%, $G$9) + CHOOSE(CONTROL!$C$38, 0.0342, 0)</f>
        <v>32.465499999999999</v>
      </c>
      <c r="I418" s="14">
        <f>32.4329 * CHOOSE(CONTROL!$C$15, $E$9, 100%, $G$9) + CHOOSE(CONTROL!$C$38, 0.0342, 0)</f>
        <v>32.467099999999995</v>
      </c>
      <c r="J418" s="44">
        <f>239.0323</f>
        <v>239.03229999999999</v>
      </c>
    </row>
    <row r="419" spans="1:10" ht="15.75" x14ac:dyDescent="0.25">
      <c r="A419" s="33">
        <v>53692</v>
      </c>
      <c r="B419" s="14">
        <f>35.2805 * CHOOSE(CONTROL!$C$15, $E$9, 100%, $G$9) + CHOOSE(CONTROL!$C$38, 0.034, 0)</f>
        <v>35.314500000000002</v>
      </c>
      <c r="C419" s="14">
        <f>33.3625 * CHOOSE(CONTROL!$C$15, $E$9, 100%, $G$9) + CHOOSE(CONTROL!$C$38, 0.0342, 0)</f>
        <v>33.396699999999996</v>
      </c>
      <c r="D419" s="14">
        <f>33.3547 * CHOOSE(CONTROL!$C$15, $E$9, 100%, $G$9) + CHOOSE(CONTROL!$C$38, 0.0342, 0)</f>
        <v>33.3889</v>
      </c>
      <c r="E419" s="14">
        <f>33.3547 * CHOOSE(CONTROL!$C$15, $E$9, 100%, $G$9) + CHOOSE(CONTROL!$C$38, 0.0342, 0)</f>
        <v>33.3889</v>
      </c>
      <c r="F419" s="45">
        <f>35.2805 * CHOOSE(CONTROL!$C$15, $E$9, 100%, $G$9) + CHOOSE(CONTROL!$C$38, 0.034, 0)</f>
        <v>35.314500000000002</v>
      </c>
      <c r="G419" s="14">
        <f>33.361 * CHOOSE(CONTROL!$C$15, $E$9, 100%, $G$9) + CHOOSE(CONTROL!$C$38, 0.0342, 0)</f>
        <v>33.395199999999996</v>
      </c>
      <c r="H419" s="14">
        <f>33.361 * CHOOSE(CONTROL!$C$15, $E$9, 100%, $G$9) + CHOOSE(CONTROL!$C$38, 0.0342, 0)</f>
        <v>33.395199999999996</v>
      </c>
      <c r="I419" s="14">
        <f>33.3625 * CHOOSE(CONTROL!$C$15, $E$9, 100%, $G$9) + CHOOSE(CONTROL!$C$38, 0.0342, 0)</f>
        <v>33.396699999999996</v>
      </c>
      <c r="J419" s="44">
        <f>231.939</f>
        <v>231.93899999999999</v>
      </c>
    </row>
    <row r="420" spans="1:10" ht="15.75" x14ac:dyDescent="0.25">
      <c r="A420" s="33">
        <v>53723</v>
      </c>
      <c r="B420" s="14">
        <f>36.5823 * CHOOSE(CONTROL!$C$15, $E$9, 100%, $G$9) + CHOOSE(CONTROL!$C$38, 0.034, 0)</f>
        <v>36.616299999999995</v>
      </c>
      <c r="C420" s="14">
        <f>34.6348 * CHOOSE(CONTROL!$C$15, $E$9, 100%, $G$9) + CHOOSE(CONTROL!$C$38, 0.0342, 0)</f>
        <v>34.668999999999997</v>
      </c>
      <c r="D420" s="14">
        <f>34.6269 * CHOOSE(CONTROL!$C$15, $E$9, 100%, $G$9) + CHOOSE(CONTROL!$C$38, 0.0342, 0)</f>
        <v>34.661099999999998</v>
      </c>
      <c r="E420" s="14">
        <f>34.6269 * CHOOSE(CONTROL!$C$15, $E$9, 100%, $G$9) + CHOOSE(CONTROL!$C$38, 0.0342, 0)</f>
        <v>34.661099999999998</v>
      </c>
      <c r="F420" s="45">
        <f>36.5823 * CHOOSE(CONTROL!$C$15, $E$9, 100%, $G$9) + CHOOSE(CONTROL!$C$38, 0.034, 0)</f>
        <v>36.616299999999995</v>
      </c>
      <c r="G420" s="14">
        <f>34.6332 * CHOOSE(CONTROL!$C$15, $E$9, 100%, $G$9) + CHOOSE(CONTROL!$C$38, 0.0342, 0)</f>
        <v>34.667400000000001</v>
      </c>
      <c r="H420" s="14">
        <f>34.6332 * CHOOSE(CONTROL!$C$15, $E$9, 100%, $G$9) + CHOOSE(CONTROL!$C$38, 0.0342, 0)</f>
        <v>34.667400000000001</v>
      </c>
      <c r="I420" s="14">
        <f>34.6348 * CHOOSE(CONTROL!$C$15, $E$9, 100%, $G$9) + CHOOSE(CONTROL!$C$38, 0.0342, 0)</f>
        <v>34.668999999999997</v>
      </c>
      <c r="J420" s="44">
        <f>231.7715</f>
        <v>231.7715</v>
      </c>
    </row>
    <row r="421" spans="1:10" ht="15.75" x14ac:dyDescent="0.25">
      <c r="A421" s="33">
        <v>53751</v>
      </c>
      <c r="B421" s="14">
        <f>36.9266 * CHOOSE(CONTROL!$C$15, $E$9, 100%, $G$9) + CHOOSE(CONTROL!$C$38, 0.034, 0)</f>
        <v>36.960599999999999</v>
      </c>
      <c r="C421" s="14">
        <f>34.9791 * CHOOSE(CONTROL!$C$15, $E$9, 100%, $G$9) + CHOOSE(CONTROL!$C$38, 0.0342, 0)</f>
        <v>35.013300000000001</v>
      </c>
      <c r="D421" s="14">
        <f>34.9713 * CHOOSE(CONTROL!$C$15, $E$9, 100%, $G$9) + CHOOSE(CONTROL!$C$38, 0.0342, 0)</f>
        <v>35.005499999999998</v>
      </c>
      <c r="E421" s="14">
        <f>34.9713 * CHOOSE(CONTROL!$C$15, $E$9, 100%, $G$9) + CHOOSE(CONTROL!$C$38, 0.0342, 0)</f>
        <v>35.005499999999998</v>
      </c>
      <c r="F421" s="45">
        <f>36.9266 * CHOOSE(CONTROL!$C$15, $E$9, 100%, $G$9) + CHOOSE(CONTROL!$C$38, 0.034, 0)</f>
        <v>36.960599999999999</v>
      </c>
      <c r="G421" s="14">
        <f>34.9775 * CHOOSE(CONTROL!$C$15, $E$9, 100%, $G$9) + CHOOSE(CONTROL!$C$38, 0.0342, 0)</f>
        <v>35.011699999999998</v>
      </c>
      <c r="H421" s="14">
        <f>34.9775 * CHOOSE(CONTROL!$C$15, $E$9, 100%, $G$9) + CHOOSE(CONTROL!$C$38, 0.0342, 0)</f>
        <v>35.011699999999998</v>
      </c>
      <c r="I421" s="14">
        <f>34.9791 * CHOOSE(CONTROL!$C$15, $E$9, 100%, $G$9) + CHOOSE(CONTROL!$C$38, 0.0342, 0)</f>
        <v>35.013300000000001</v>
      </c>
      <c r="J421" s="44">
        <f>231.1273</f>
        <v>231.12729999999999</v>
      </c>
    </row>
    <row r="422" spans="1:10" ht="15.75" x14ac:dyDescent="0.25">
      <c r="A422" s="33">
        <v>53782</v>
      </c>
      <c r="B422" s="14">
        <f>36.1295 * CHOOSE(CONTROL!$C$15, $E$9, 100%, $G$9) + CHOOSE(CONTROL!$C$38, 0.034, 0)</f>
        <v>36.163499999999999</v>
      </c>
      <c r="C422" s="14">
        <f>34.182 * CHOOSE(CONTROL!$C$15, $E$9, 100%, $G$9) + CHOOSE(CONTROL!$C$38, 0.0342, 0)</f>
        <v>34.216200000000001</v>
      </c>
      <c r="D422" s="14">
        <f>34.1742 * CHOOSE(CONTROL!$C$15, $E$9, 100%, $G$9) + CHOOSE(CONTROL!$C$38, 0.0342, 0)</f>
        <v>34.208399999999997</v>
      </c>
      <c r="E422" s="14">
        <f>34.1742 * CHOOSE(CONTROL!$C$15, $E$9, 100%, $G$9) + CHOOSE(CONTROL!$C$38, 0.0342, 0)</f>
        <v>34.208399999999997</v>
      </c>
      <c r="F422" s="45">
        <f>36.1295 * CHOOSE(CONTROL!$C$15, $E$9, 100%, $G$9) + CHOOSE(CONTROL!$C$38, 0.034, 0)</f>
        <v>36.163499999999999</v>
      </c>
      <c r="G422" s="14">
        <f>34.1805 * CHOOSE(CONTROL!$C$15, $E$9, 100%, $G$9) + CHOOSE(CONTROL!$C$38, 0.0342, 0)</f>
        <v>34.214700000000001</v>
      </c>
      <c r="H422" s="14">
        <f>34.1805 * CHOOSE(CONTROL!$C$15, $E$9, 100%, $G$9) + CHOOSE(CONTROL!$C$38, 0.0342, 0)</f>
        <v>34.214700000000001</v>
      </c>
      <c r="I422" s="14">
        <f>34.182 * CHOOSE(CONTROL!$C$15, $E$9, 100%, $G$9) + CHOOSE(CONTROL!$C$38, 0.0342, 0)</f>
        <v>34.216200000000001</v>
      </c>
      <c r="J422" s="44">
        <f>243.309</f>
        <v>243.309</v>
      </c>
    </row>
    <row r="423" spans="1:10" ht="15.75" x14ac:dyDescent="0.25">
      <c r="A423" s="33">
        <v>53812</v>
      </c>
      <c r="B423" s="14">
        <f>35.3572 * CHOOSE(CONTROL!$C$15, $E$9, 100%, $G$9) + CHOOSE(CONTROL!$C$38, 0.034, 0)</f>
        <v>35.391199999999998</v>
      </c>
      <c r="C423" s="14">
        <f>33.4097 * CHOOSE(CONTROL!$C$15, $E$9, 100%, $G$9) + CHOOSE(CONTROL!$C$38, 0.0342, 0)</f>
        <v>33.443899999999999</v>
      </c>
      <c r="D423" s="14">
        <f>33.4019 * CHOOSE(CONTROL!$C$15, $E$9, 100%, $G$9) + CHOOSE(CONTROL!$C$38, 0.0342, 0)</f>
        <v>33.436099999999996</v>
      </c>
      <c r="E423" s="14">
        <f>33.4019 * CHOOSE(CONTROL!$C$15, $E$9, 100%, $G$9) + CHOOSE(CONTROL!$C$38, 0.0342, 0)</f>
        <v>33.436099999999996</v>
      </c>
      <c r="F423" s="45">
        <f>35.3572 * CHOOSE(CONTROL!$C$15, $E$9, 100%, $G$9) + CHOOSE(CONTROL!$C$38, 0.034, 0)</f>
        <v>35.391199999999998</v>
      </c>
      <c r="G423" s="14">
        <f>33.4082 * CHOOSE(CONTROL!$C$15, $E$9, 100%, $G$9) + CHOOSE(CONTROL!$C$38, 0.0342, 0)</f>
        <v>33.442399999999999</v>
      </c>
      <c r="H423" s="14">
        <f>33.4082 * CHOOSE(CONTROL!$C$15, $E$9, 100%, $G$9) + CHOOSE(CONTROL!$C$38, 0.0342, 0)</f>
        <v>33.442399999999999</v>
      </c>
      <c r="I423" s="14">
        <f>33.4097 * CHOOSE(CONTROL!$C$15, $E$9, 100%, $G$9) + CHOOSE(CONTROL!$C$38, 0.0342, 0)</f>
        <v>33.443899999999999</v>
      </c>
      <c r="J423" s="44">
        <f>259.1058</f>
        <v>259.10579999999999</v>
      </c>
    </row>
    <row r="424" spans="1:10" ht="15.75" x14ac:dyDescent="0.25">
      <c r="A424" s="33">
        <v>53843</v>
      </c>
      <c r="B424" s="14">
        <f>34.5523 * CHOOSE(CONTROL!$C$15, $E$9, 100%, $G$9) + CHOOSE(CONTROL!$C$38, 0.0353, 0)</f>
        <v>34.587600000000002</v>
      </c>
      <c r="C424" s="14">
        <f>32.6048 * CHOOSE(CONTROL!$C$15, $E$9, 100%, $G$9) + CHOOSE(CONTROL!$C$38, 0.0354, 0)</f>
        <v>32.6402</v>
      </c>
      <c r="D424" s="14">
        <f>32.5969 * CHOOSE(CONTROL!$C$15, $E$9, 100%, $G$9) + CHOOSE(CONTROL!$C$38, 0.0354, 0)</f>
        <v>32.632300000000001</v>
      </c>
      <c r="E424" s="14">
        <f>32.5969 * CHOOSE(CONTROL!$C$15, $E$9, 100%, $G$9) + CHOOSE(CONTROL!$C$38, 0.0354, 0)</f>
        <v>32.632300000000001</v>
      </c>
      <c r="F424" s="45">
        <f>34.5523 * CHOOSE(CONTROL!$C$15, $E$9, 100%, $G$9) + CHOOSE(CONTROL!$C$38, 0.0353, 0)</f>
        <v>34.587600000000002</v>
      </c>
      <c r="G424" s="14">
        <f>32.6032 * CHOOSE(CONTROL!$C$15, $E$9, 100%, $G$9) + CHOOSE(CONTROL!$C$38, 0.0354, 0)</f>
        <v>32.638600000000004</v>
      </c>
      <c r="H424" s="14">
        <f>32.6032 * CHOOSE(CONTROL!$C$15, $E$9, 100%, $G$9) + CHOOSE(CONTROL!$C$38, 0.0354, 0)</f>
        <v>32.638600000000004</v>
      </c>
      <c r="I424" s="14">
        <f>32.6048 * CHOOSE(CONTROL!$C$15, $E$9, 100%, $G$9) + CHOOSE(CONTROL!$C$38, 0.0354, 0)</f>
        <v>32.6402</v>
      </c>
      <c r="J424" s="44">
        <f>267.8009</f>
        <v>267.80090000000001</v>
      </c>
    </row>
    <row r="425" spans="1:10" ht="15.75" x14ac:dyDescent="0.25">
      <c r="A425" s="33">
        <v>53873</v>
      </c>
      <c r="B425" s="14">
        <f>33.9879 * CHOOSE(CONTROL!$C$15, $E$9, 100%, $G$9) + CHOOSE(CONTROL!$C$38, 0.0353, 0)</f>
        <v>34.023200000000003</v>
      </c>
      <c r="C425" s="14">
        <f>32.0404 * CHOOSE(CONTROL!$C$15, $E$9, 100%, $G$9) + CHOOSE(CONTROL!$C$38, 0.0354, 0)</f>
        <v>32.075800000000001</v>
      </c>
      <c r="D425" s="14">
        <f>32.0326 * CHOOSE(CONTROL!$C$15, $E$9, 100%, $G$9) + CHOOSE(CONTROL!$C$38, 0.0354, 0)</f>
        <v>32.068000000000005</v>
      </c>
      <c r="E425" s="14">
        <f>32.0326 * CHOOSE(CONTROL!$C$15, $E$9, 100%, $G$9) + CHOOSE(CONTROL!$C$38, 0.0354, 0)</f>
        <v>32.068000000000005</v>
      </c>
      <c r="F425" s="45">
        <f>33.9879 * CHOOSE(CONTROL!$C$15, $E$9, 100%, $G$9) + CHOOSE(CONTROL!$C$38, 0.0353, 0)</f>
        <v>34.023200000000003</v>
      </c>
      <c r="G425" s="14">
        <f>32.0389 * CHOOSE(CONTROL!$C$15, $E$9, 100%, $G$9) + CHOOSE(CONTROL!$C$38, 0.0354, 0)</f>
        <v>32.074300000000001</v>
      </c>
      <c r="H425" s="14">
        <f>32.0389 * CHOOSE(CONTROL!$C$15, $E$9, 100%, $G$9) + CHOOSE(CONTROL!$C$38, 0.0354, 0)</f>
        <v>32.074300000000001</v>
      </c>
      <c r="I425" s="14">
        <f>32.0404 * CHOOSE(CONTROL!$C$15, $E$9, 100%, $G$9) + CHOOSE(CONTROL!$C$38, 0.0354, 0)</f>
        <v>32.075800000000001</v>
      </c>
      <c r="J425" s="44">
        <f>271.6596</f>
        <v>271.65960000000001</v>
      </c>
    </row>
    <row r="426" spans="1:10" ht="15.75" x14ac:dyDescent="0.25">
      <c r="A426" s="33">
        <v>53904</v>
      </c>
      <c r="B426" s="14">
        <f>33.6659 * CHOOSE(CONTROL!$C$15, $E$9, 100%, $G$9) + CHOOSE(CONTROL!$C$38, 0.0353, 0)</f>
        <v>33.7012</v>
      </c>
      <c r="C426" s="14">
        <f>31.7184 * CHOOSE(CONTROL!$C$15, $E$9, 100%, $G$9) + CHOOSE(CONTROL!$C$38, 0.0354, 0)</f>
        <v>31.753799999999998</v>
      </c>
      <c r="D426" s="14">
        <f>31.7106 * CHOOSE(CONTROL!$C$15, $E$9, 100%, $G$9) + CHOOSE(CONTROL!$C$38, 0.0354, 0)</f>
        <v>31.745999999999999</v>
      </c>
      <c r="E426" s="14">
        <f>31.7106 * CHOOSE(CONTROL!$C$15, $E$9, 100%, $G$9) + CHOOSE(CONTROL!$C$38, 0.0354, 0)</f>
        <v>31.745999999999999</v>
      </c>
      <c r="F426" s="45">
        <f>33.6659 * CHOOSE(CONTROL!$C$15, $E$9, 100%, $G$9) + CHOOSE(CONTROL!$C$38, 0.0353, 0)</f>
        <v>33.7012</v>
      </c>
      <c r="G426" s="14">
        <f>31.7168 * CHOOSE(CONTROL!$C$15, $E$9, 100%, $G$9) + CHOOSE(CONTROL!$C$38, 0.0354, 0)</f>
        <v>31.752199999999998</v>
      </c>
      <c r="H426" s="14">
        <f>31.7168 * CHOOSE(CONTROL!$C$15, $E$9, 100%, $G$9) + CHOOSE(CONTROL!$C$38, 0.0354, 0)</f>
        <v>31.752199999999998</v>
      </c>
      <c r="I426" s="14">
        <f>31.7184 * CHOOSE(CONTROL!$C$15, $E$9, 100%, $G$9) + CHOOSE(CONTROL!$C$38, 0.0354, 0)</f>
        <v>31.753799999999998</v>
      </c>
      <c r="J426" s="44">
        <f>270.3892</f>
        <v>270.38920000000002</v>
      </c>
    </row>
    <row r="427" spans="1:10" ht="15.75" x14ac:dyDescent="0.25">
      <c r="A427" s="33">
        <v>53935</v>
      </c>
      <c r="B427" s="14">
        <f>33.8248 * CHOOSE(CONTROL!$C$15, $E$9, 100%, $G$9) + CHOOSE(CONTROL!$C$38, 0.0353, 0)</f>
        <v>33.860100000000003</v>
      </c>
      <c r="C427" s="14">
        <f>31.8773 * CHOOSE(CONTROL!$C$15, $E$9, 100%, $G$9) + CHOOSE(CONTROL!$C$38, 0.0354, 0)</f>
        <v>31.912700000000001</v>
      </c>
      <c r="D427" s="14">
        <f>31.8695 * CHOOSE(CONTROL!$C$15, $E$9, 100%, $G$9) + CHOOSE(CONTROL!$C$38, 0.0354, 0)</f>
        <v>31.904899999999998</v>
      </c>
      <c r="E427" s="14">
        <f>31.8695 * CHOOSE(CONTROL!$C$15, $E$9, 100%, $G$9) + CHOOSE(CONTROL!$C$38, 0.0354, 0)</f>
        <v>31.904899999999998</v>
      </c>
      <c r="F427" s="45">
        <f>33.8248 * CHOOSE(CONTROL!$C$15, $E$9, 100%, $G$9) + CHOOSE(CONTROL!$C$38, 0.0353, 0)</f>
        <v>33.860100000000003</v>
      </c>
      <c r="G427" s="14">
        <f>31.8757 * CHOOSE(CONTROL!$C$15, $E$9, 100%, $G$9) + CHOOSE(CONTROL!$C$38, 0.0354, 0)</f>
        <v>31.911099999999998</v>
      </c>
      <c r="H427" s="14">
        <f>31.8757 * CHOOSE(CONTROL!$C$15, $E$9, 100%, $G$9) + CHOOSE(CONTROL!$C$38, 0.0354, 0)</f>
        <v>31.911099999999998</v>
      </c>
      <c r="I427" s="14">
        <f>31.8773 * CHOOSE(CONTROL!$C$15, $E$9, 100%, $G$9) + CHOOSE(CONTROL!$C$38, 0.0354, 0)</f>
        <v>31.912700000000001</v>
      </c>
      <c r="J427" s="44">
        <f>264.0946</f>
        <v>264.09460000000001</v>
      </c>
    </row>
    <row r="428" spans="1:10" ht="15.75" x14ac:dyDescent="0.25">
      <c r="A428" s="33">
        <v>53965</v>
      </c>
      <c r="B428" s="14">
        <f>34.2565 * CHOOSE(CONTROL!$C$15, $E$9, 100%, $G$9) + CHOOSE(CONTROL!$C$38, 0.0353, 0)</f>
        <v>34.291800000000002</v>
      </c>
      <c r="C428" s="14">
        <f>32.309 * CHOOSE(CONTROL!$C$15, $E$9, 100%, $G$9) + CHOOSE(CONTROL!$C$38, 0.0354, 0)</f>
        <v>32.3444</v>
      </c>
      <c r="D428" s="14">
        <f>32.3012 * CHOOSE(CONTROL!$C$15, $E$9, 100%, $G$9) + CHOOSE(CONTROL!$C$38, 0.0354, 0)</f>
        <v>32.336600000000004</v>
      </c>
      <c r="E428" s="14">
        <f>32.3012 * CHOOSE(CONTROL!$C$15, $E$9, 100%, $G$9) + CHOOSE(CONTROL!$C$38, 0.0354, 0)</f>
        <v>32.336600000000004</v>
      </c>
      <c r="F428" s="45">
        <f>34.2565 * CHOOSE(CONTROL!$C$15, $E$9, 100%, $G$9) + CHOOSE(CONTROL!$C$38, 0.0353, 0)</f>
        <v>34.291800000000002</v>
      </c>
      <c r="G428" s="14">
        <f>32.3075 * CHOOSE(CONTROL!$C$15, $E$9, 100%, $G$9) + CHOOSE(CONTROL!$C$38, 0.0354, 0)</f>
        <v>32.3429</v>
      </c>
      <c r="H428" s="14">
        <f>32.3075 * CHOOSE(CONTROL!$C$15, $E$9, 100%, $G$9) + CHOOSE(CONTROL!$C$38, 0.0354, 0)</f>
        <v>32.3429</v>
      </c>
      <c r="I428" s="14">
        <f>32.309 * CHOOSE(CONTROL!$C$15, $E$9, 100%, $G$9) + CHOOSE(CONTROL!$C$38, 0.0354, 0)</f>
        <v>32.3444</v>
      </c>
      <c r="J428" s="44">
        <f>255.3166</f>
        <v>255.31659999999999</v>
      </c>
    </row>
    <row r="429" spans="1:10" ht="15.75" x14ac:dyDescent="0.25">
      <c r="A429" s="33">
        <v>53996</v>
      </c>
      <c r="B429" s="14">
        <f>34.6181 * CHOOSE(CONTROL!$C$15, $E$9, 100%, $G$9) + CHOOSE(CONTROL!$C$38, 0.034, 0)</f>
        <v>34.652099999999997</v>
      </c>
      <c r="C429" s="14">
        <f>32.6706 * CHOOSE(CONTROL!$C$15, $E$9, 100%, $G$9) + CHOOSE(CONTROL!$C$38, 0.0342, 0)</f>
        <v>32.704799999999999</v>
      </c>
      <c r="D429" s="14">
        <f>32.6628 * CHOOSE(CONTROL!$C$15, $E$9, 100%, $G$9) + CHOOSE(CONTROL!$C$38, 0.0342, 0)</f>
        <v>32.696999999999996</v>
      </c>
      <c r="E429" s="14">
        <f>32.6628 * CHOOSE(CONTROL!$C$15, $E$9, 100%, $G$9) + CHOOSE(CONTROL!$C$38, 0.0342, 0)</f>
        <v>32.696999999999996</v>
      </c>
      <c r="F429" s="45">
        <f>34.6181 * CHOOSE(CONTROL!$C$15, $E$9, 100%, $G$9) + CHOOSE(CONTROL!$C$38, 0.034, 0)</f>
        <v>34.652099999999997</v>
      </c>
      <c r="G429" s="14">
        <f>32.669 * CHOOSE(CONTROL!$C$15, $E$9, 100%, $G$9) + CHOOSE(CONTROL!$C$38, 0.0342, 0)</f>
        <v>32.703199999999995</v>
      </c>
      <c r="H429" s="14">
        <f>32.669 * CHOOSE(CONTROL!$C$15, $E$9, 100%, $G$9) + CHOOSE(CONTROL!$C$38, 0.0342, 0)</f>
        <v>32.703199999999995</v>
      </c>
      <c r="I429" s="14">
        <f>32.6706 * CHOOSE(CONTROL!$C$15, $E$9, 100%, $G$9) + CHOOSE(CONTROL!$C$38, 0.0342, 0)</f>
        <v>32.704799999999999</v>
      </c>
      <c r="J429" s="44">
        <f>246.4874</f>
        <v>246.48740000000001</v>
      </c>
    </row>
    <row r="430" spans="1:10" ht="15.75" x14ac:dyDescent="0.25">
      <c r="A430" s="33">
        <v>54026</v>
      </c>
      <c r="B430" s="14">
        <f>34.9198 * CHOOSE(CONTROL!$C$15, $E$9, 100%, $G$9) + CHOOSE(CONTROL!$C$38, 0.034, 0)</f>
        <v>34.953800000000001</v>
      </c>
      <c r="C430" s="14">
        <f>32.9723 * CHOOSE(CONTROL!$C$15, $E$9, 100%, $G$9) + CHOOSE(CONTROL!$C$38, 0.0342, 0)</f>
        <v>33.006499999999996</v>
      </c>
      <c r="D430" s="14">
        <f>32.9645 * CHOOSE(CONTROL!$C$15, $E$9, 100%, $G$9) + CHOOSE(CONTROL!$C$38, 0.0342, 0)</f>
        <v>32.998699999999999</v>
      </c>
      <c r="E430" s="14">
        <f>32.9645 * CHOOSE(CONTROL!$C$15, $E$9, 100%, $G$9) + CHOOSE(CONTROL!$C$38, 0.0342, 0)</f>
        <v>32.998699999999999</v>
      </c>
      <c r="F430" s="45">
        <f>34.9198 * CHOOSE(CONTROL!$C$15, $E$9, 100%, $G$9) + CHOOSE(CONTROL!$C$38, 0.034, 0)</f>
        <v>34.953800000000001</v>
      </c>
      <c r="G430" s="14">
        <f>32.9707 * CHOOSE(CONTROL!$C$15, $E$9, 100%, $G$9) + CHOOSE(CONTROL!$C$38, 0.0342, 0)</f>
        <v>33.004899999999999</v>
      </c>
      <c r="H430" s="14">
        <f>32.9707 * CHOOSE(CONTROL!$C$15, $E$9, 100%, $G$9) + CHOOSE(CONTROL!$C$38, 0.0342, 0)</f>
        <v>33.004899999999999</v>
      </c>
      <c r="I430" s="14">
        <f>32.9723 * CHOOSE(CONTROL!$C$15, $E$9, 100%, $G$9) + CHOOSE(CONTROL!$C$38, 0.0342, 0)</f>
        <v>33.006499999999996</v>
      </c>
      <c r="J430" s="44">
        <f>244.7312</f>
        <v>244.7312</v>
      </c>
    </row>
    <row r="431" spans="1:10" ht="15.75" x14ac:dyDescent="0.25">
      <c r="A431" s="33">
        <v>54057</v>
      </c>
      <c r="B431" s="14">
        <f>35.8495 * CHOOSE(CONTROL!$C$15, $E$9, 100%, $G$9) + CHOOSE(CONTROL!$C$38, 0.034, 0)</f>
        <v>35.883499999999998</v>
      </c>
      <c r="C431" s="14">
        <f>33.902 * CHOOSE(CONTROL!$C$15, $E$9, 100%, $G$9) + CHOOSE(CONTROL!$C$38, 0.0342, 0)</f>
        <v>33.936199999999999</v>
      </c>
      <c r="D431" s="14">
        <f>33.8941 * CHOOSE(CONTROL!$C$15, $E$9, 100%, $G$9) + CHOOSE(CONTROL!$C$38, 0.0342, 0)</f>
        <v>33.9283</v>
      </c>
      <c r="E431" s="14">
        <f>33.8941 * CHOOSE(CONTROL!$C$15, $E$9, 100%, $G$9) + CHOOSE(CONTROL!$C$38, 0.0342, 0)</f>
        <v>33.9283</v>
      </c>
      <c r="F431" s="45">
        <f>35.8495 * CHOOSE(CONTROL!$C$15, $E$9, 100%, $G$9) + CHOOSE(CONTROL!$C$38, 0.034, 0)</f>
        <v>35.883499999999998</v>
      </c>
      <c r="G431" s="14">
        <f>33.9004 * CHOOSE(CONTROL!$C$15, $E$9, 100%, $G$9) + CHOOSE(CONTROL!$C$38, 0.0342, 0)</f>
        <v>33.934599999999996</v>
      </c>
      <c r="H431" s="14">
        <f>33.9004 * CHOOSE(CONTROL!$C$15, $E$9, 100%, $G$9) + CHOOSE(CONTROL!$C$38, 0.0342, 0)</f>
        <v>33.934599999999996</v>
      </c>
      <c r="I431" s="14">
        <f>33.902 * CHOOSE(CONTROL!$C$15, $E$9, 100%, $G$9) + CHOOSE(CONTROL!$C$38, 0.0342, 0)</f>
        <v>33.936199999999999</v>
      </c>
      <c r="J431" s="44">
        <f>237.4687</f>
        <v>237.46870000000001</v>
      </c>
    </row>
    <row r="432" spans="1:10" ht="15.75" x14ac:dyDescent="0.25">
      <c r="A432" s="33">
        <v>54088</v>
      </c>
      <c r="B432" s="14">
        <f>37.1608 * CHOOSE(CONTROL!$C$15, $E$9, 100%, $G$9) + CHOOSE(CONTROL!$C$38, 0.034, 0)</f>
        <v>37.194800000000001</v>
      </c>
      <c r="C432" s="14">
        <f>35.1832 * CHOOSE(CONTROL!$C$15, $E$9, 100%, $G$9) + CHOOSE(CONTROL!$C$38, 0.0342, 0)</f>
        <v>35.217399999999998</v>
      </c>
      <c r="D432" s="14">
        <f>35.1754 * CHOOSE(CONTROL!$C$15, $E$9, 100%, $G$9) + CHOOSE(CONTROL!$C$38, 0.0342, 0)</f>
        <v>35.209600000000002</v>
      </c>
      <c r="E432" s="14">
        <f>35.1754 * CHOOSE(CONTROL!$C$15, $E$9, 100%, $G$9) + CHOOSE(CONTROL!$C$38, 0.0342, 0)</f>
        <v>35.209600000000002</v>
      </c>
      <c r="F432" s="45">
        <f>37.1608 * CHOOSE(CONTROL!$C$15, $E$9, 100%, $G$9) + CHOOSE(CONTROL!$C$38, 0.034, 0)</f>
        <v>37.194800000000001</v>
      </c>
      <c r="G432" s="14">
        <f>35.1817 * CHOOSE(CONTROL!$C$15, $E$9, 100%, $G$9) + CHOOSE(CONTROL!$C$38, 0.0342, 0)</f>
        <v>35.215899999999998</v>
      </c>
      <c r="H432" s="14">
        <f>35.1817 * CHOOSE(CONTROL!$C$15, $E$9, 100%, $G$9) + CHOOSE(CONTROL!$C$38, 0.0342, 0)</f>
        <v>35.215899999999998</v>
      </c>
      <c r="I432" s="14">
        <f>35.1832 * CHOOSE(CONTROL!$C$15, $E$9, 100%, $G$9) + CHOOSE(CONTROL!$C$38, 0.0342, 0)</f>
        <v>35.217399999999998</v>
      </c>
      <c r="J432" s="44">
        <f>237.2973</f>
        <v>237.29730000000001</v>
      </c>
    </row>
    <row r="433" spans="1:10" ht="15.75" x14ac:dyDescent="0.25">
      <c r="A433" s="33">
        <v>54116</v>
      </c>
      <c r="B433" s="14">
        <f>37.5051 * CHOOSE(CONTROL!$C$15, $E$9, 100%, $G$9) + CHOOSE(CONTROL!$C$38, 0.034, 0)</f>
        <v>37.539099999999998</v>
      </c>
      <c r="C433" s="14">
        <f>35.5275 * CHOOSE(CONTROL!$C$15, $E$9, 100%, $G$9) + CHOOSE(CONTROL!$C$38, 0.0342, 0)</f>
        <v>35.561700000000002</v>
      </c>
      <c r="D433" s="14">
        <f>35.5197 * CHOOSE(CONTROL!$C$15, $E$9, 100%, $G$9) + CHOOSE(CONTROL!$C$38, 0.0342, 0)</f>
        <v>35.553899999999999</v>
      </c>
      <c r="E433" s="14">
        <f>35.5197 * CHOOSE(CONTROL!$C$15, $E$9, 100%, $G$9) + CHOOSE(CONTROL!$C$38, 0.0342, 0)</f>
        <v>35.553899999999999</v>
      </c>
      <c r="F433" s="45">
        <f>37.5051 * CHOOSE(CONTROL!$C$15, $E$9, 100%, $G$9) + CHOOSE(CONTROL!$C$38, 0.034, 0)</f>
        <v>37.539099999999998</v>
      </c>
      <c r="G433" s="14">
        <f>35.526 * CHOOSE(CONTROL!$C$15, $E$9, 100%, $G$9) + CHOOSE(CONTROL!$C$38, 0.0342, 0)</f>
        <v>35.560200000000002</v>
      </c>
      <c r="H433" s="14">
        <f>35.526 * CHOOSE(CONTROL!$C$15, $E$9, 100%, $G$9) + CHOOSE(CONTROL!$C$38, 0.0342, 0)</f>
        <v>35.560200000000002</v>
      </c>
      <c r="I433" s="14">
        <f>35.5275 * CHOOSE(CONTROL!$C$15, $E$9, 100%, $G$9) + CHOOSE(CONTROL!$C$38, 0.0342, 0)</f>
        <v>35.561700000000002</v>
      </c>
      <c r="J433" s="44">
        <f>236.6377</f>
        <v>236.6377</v>
      </c>
    </row>
    <row r="434" spans="1:10" ht="15.75" x14ac:dyDescent="0.25">
      <c r="A434" s="33">
        <v>54148</v>
      </c>
      <c r="B434" s="14">
        <f>36.7081 * CHOOSE(CONTROL!$C$15, $E$9, 100%, $G$9) + CHOOSE(CONTROL!$C$38, 0.034, 0)</f>
        <v>36.742100000000001</v>
      </c>
      <c r="C434" s="14">
        <f>34.7305 * CHOOSE(CONTROL!$C$15, $E$9, 100%, $G$9) + CHOOSE(CONTROL!$C$38, 0.0342, 0)</f>
        <v>34.764699999999998</v>
      </c>
      <c r="D434" s="14">
        <f>34.7227 * CHOOSE(CONTROL!$C$15, $E$9, 100%, $G$9) + CHOOSE(CONTROL!$C$38, 0.0342, 0)</f>
        <v>34.756900000000002</v>
      </c>
      <c r="E434" s="14">
        <f>34.7227 * CHOOSE(CONTROL!$C$15, $E$9, 100%, $G$9) + CHOOSE(CONTROL!$C$38, 0.0342, 0)</f>
        <v>34.756900000000002</v>
      </c>
      <c r="F434" s="45">
        <f>36.7081 * CHOOSE(CONTROL!$C$15, $E$9, 100%, $G$9) + CHOOSE(CONTROL!$C$38, 0.034, 0)</f>
        <v>36.742100000000001</v>
      </c>
      <c r="G434" s="14">
        <f>34.7289 * CHOOSE(CONTROL!$C$15, $E$9, 100%, $G$9) + CHOOSE(CONTROL!$C$38, 0.0342, 0)</f>
        <v>34.763100000000001</v>
      </c>
      <c r="H434" s="14">
        <f>34.7289 * CHOOSE(CONTROL!$C$15, $E$9, 100%, $G$9) + CHOOSE(CONTROL!$C$38, 0.0342, 0)</f>
        <v>34.763100000000001</v>
      </c>
      <c r="I434" s="14">
        <f>34.7305 * CHOOSE(CONTROL!$C$15, $E$9, 100%, $G$9) + CHOOSE(CONTROL!$C$38, 0.0342, 0)</f>
        <v>34.764699999999998</v>
      </c>
      <c r="J434" s="44">
        <f>249.1099</f>
        <v>249.10990000000001</v>
      </c>
    </row>
    <row r="435" spans="1:10" ht="15.75" x14ac:dyDescent="0.25">
      <c r="A435" s="33">
        <v>54178</v>
      </c>
      <c r="B435" s="14">
        <f>35.9358 * CHOOSE(CONTROL!$C$15, $E$9, 100%, $G$9) + CHOOSE(CONTROL!$C$38, 0.034, 0)</f>
        <v>35.969799999999999</v>
      </c>
      <c r="C435" s="14">
        <f>33.9582 * CHOOSE(CONTROL!$C$15, $E$9, 100%, $G$9) + CHOOSE(CONTROL!$C$38, 0.0342, 0)</f>
        <v>33.992399999999996</v>
      </c>
      <c r="D435" s="14">
        <f>33.9504 * CHOOSE(CONTROL!$C$15, $E$9, 100%, $G$9) + CHOOSE(CONTROL!$C$38, 0.0342, 0)</f>
        <v>33.9846</v>
      </c>
      <c r="E435" s="14">
        <f>33.9504 * CHOOSE(CONTROL!$C$15, $E$9, 100%, $G$9) + CHOOSE(CONTROL!$C$38, 0.0342, 0)</f>
        <v>33.9846</v>
      </c>
      <c r="F435" s="45">
        <f>35.9358 * CHOOSE(CONTROL!$C$15, $E$9, 100%, $G$9) + CHOOSE(CONTROL!$C$38, 0.034, 0)</f>
        <v>35.969799999999999</v>
      </c>
      <c r="G435" s="14">
        <f>33.9566 * CHOOSE(CONTROL!$C$15, $E$9, 100%, $G$9) + CHOOSE(CONTROL!$C$38, 0.0342, 0)</f>
        <v>33.9908</v>
      </c>
      <c r="H435" s="14">
        <f>33.9566 * CHOOSE(CONTROL!$C$15, $E$9, 100%, $G$9) + CHOOSE(CONTROL!$C$38, 0.0342, 0)</f>
        <v>33.9908</v>
      </c>
      <c r="I435" s="14">
        <f>33.9582 * CHOOSE(CONTROL!$C$15, $E$9, 100%, $G$9) + CHOOSE(CONTROL!$C$38, 0.0342, 0)</f>
        <v>33.992399999999996</v>
      </c>
      <c r="J435" s="44">
        <f>265.2833</f>
        <v>265.2833</v>
      </c>
    </row>
    <row r="436" spans="1:10" ht="15.75" x14ac:dyDescent="0.25">
      <c r="A436" s="33">
        <v>54209</v>
      </c>
      <c r="B436" s="14">
        <f>35.1308 * CHOOSE(CONTROL!$C$15, $E$9, 100%, $G$9) + CHOOSE(CONTROL!$C$38, 0.0353, 0)</f>
        <v>35.1661</v>
      </c>
      <c r="C436" s="14">
        <f>33.1532 * CHOOSE(CONTROL!$C$15, $E$9, 100%, $G$9) + CHOOSE(CONTROL!$C$38, 0.0354, 0)</f>
        <v>33.188600000000001</v>
      </c>
      <c r="D436" s="14">
        <f>33.1454 * CHOOSE(CONTROL!$C$15, $E$9, 100%, $G$9) + CHOOSE(CONTROL!$C$38, 0.0354, 0)</f>
        <v>33.180800000000005</v>
      </c>
      <c r="E436" s="14">
        <f>33.1454 * CHOOSE(CONTROL!$C$15, $E$9, 100%, $G$9) + CHOOSE(CONTROL!$C$38, 0.0354, 0)</f>
        <v>33.180800000000005</v>
      </c>
      <c r="F436" s="45">
        <f>35.1308 * CHOOSE(CONTROL!$C$15, $E$9, 100%, $G$9) + CHOOSE(CONTROL!$C$38, 0.0353, 0)</f>
        <v>35.1661</v>
      </c>
      <c r="G436" s="14">
        <f>33.1517 * CHOOSE(CONTROL!$C$15, $E$9, 100%, $G$9) + CHOOSE(CONTROL!$C$38, 0.0354, 0)</f>
        <v>33.187100000000001</v>
      </c>
      <c r="H436" s="14">
        <f>33.1517 * CHOOSE(CONTROL!$C$15, $E$9, 100%, $G$9) + CHOOSE(CONTROL!$C$38, 0.0354, 0)</f>
        <v>33.187100000000001</v>
      </c>
      <c r="I436" s="14">
        <f>33.1532 * CHOOSE(CONTROL!$C$15, $E$9, 100%, $G$9) + CHOOSE(CONTROL!$C$38, 0.0354, 0)</f>
        <v>33.188600000000001</v>
      </c>
      <c r="J436" s="44">
        <f>274.1857</f>
        <v>274.1857</v>
      </c>
    </row>
    <row r="437" spans="1:10" ht="15.75" x14ac:dyDescent="0.25">
      <c r="A437" s="33">
        <v>54239</v>
      </c>
      <c r="B437" s="14">
        <f>34.5665 * CHOOSE(CONTROL!$C$15, $E$9, 100%, $G$9) + CHOOSE(CONTROL!$C$38, 0.0353, 0)</f>
        <v>34.601799999999997</v>
      </c>
      <c r="C437" s="14">
        <f>32.5889 * CHOOSE(CONTROL!$C$15, $E$9, 100%, $G$9) + CHOOSE(CONTROL!$C$38, 0.0354, 0)</f>
        <v>32.624300000000005</v>
      </c>
      <c r="D437" s="14">
        <f>32.5811 * CHOOSE(CONTROL!$C$15, $E$9, 100%, $G$9) + CHOOSE(CONTROL!$C$38, 0.0354, 0)</f>
        <v>32.616500000000002</v>
      </c>
      <c r="E437" s="14">
        <f>32.5811 * CHOOSE(CONTROL!$C$15, $E$9, 100%, $G$9) + CHOOSE(CONTROL!$C$38, 0.0354, 0)</f>
        <v>32.616500000000002</v>
      </c>
      <c r="F437" s="45">
        <f>34.5665 * CHOOSE(CONTROL!$C$15, $E$9, 100%, $G$9) + CHOOSE(CONTROL!$C$38, 0.0353, 0)</f>
        <v>34.601799999999997</v>
      </c>
      <c r="G437" s="14">
        <f>32.5873 * CHOOSE(CONTROL!$C$15, $E$9, 100%, $G$9) + CHOOSE(CONTROL!$C$38, 0.0354, 0)</f>
        <v>32.622700000000002</v>
      </c>
      <c r="H437" s="14">
        <f>32.5873 * CHOOSE(CONTROL!$C$15, $E$9, 100%, $G$9) + CHOOSE(CONTROL!$C$38, 0.0354, 0)</f>
        <v>32.622700000000002</v>
      </c>
      <c r="I437" s="14">
        <f>32.5889 * CHOOSE(CONTROL!$C$15, $E$9, 100%, $G$9) + CHOOSE(CONTROL!$C$38, 0.0354, 0)</f>
        <v>32.624300000000005</v>
      </c>
      <c r="J437" s="44">
        <f>278.1364</f>
        <v>278.13639999999998</v>
      </c>
    </row>
    <row r="438" spans="1:10" ht="15.75" x14ac:dyDescent="0.25">
      <c r="A438" s="33">
        <v>54270</v>
      </c>
      <c r="B438" s="14">
        <f>34.2444 * CHOOSE(CONTROL!$C$15, $E$9, 100%, $G$9) + CHOOSE(CONTROL!$C$38, 0.0353, 0)</f>
        <v>34.279699999999998</v>
      </c>
      <c r="C438" s="14">
        <f>32.2668 * CHOOSE(CONTROL!$C$15, $E$9, 100%, $G$9) + CHOOSE(CONTROL!$C$38, 0.0354, 0)</f>
        <v>32.302200000000006</v>
      </c>
      <c r="D438" s="14">
        <f>32.259 * CHOOSE(CONTROL!$C$15, $E$9, 100%, $G$9) + CHOOSE(CONTROL!$C$38, 0.0354, 0)</f>
        <v>32.294400000000003</v>
      </c>
      <c r="E438" s="14">
        <f>32.259 * CHOOSE(CONTROL!$C$15, $E$9, 100%, $G$9) + CHOOSE(CONTROL!$C$38, 0.0354, 0)</f>
        <v>32.294400000000003</v>
      </c>
      <c r="F438" s="45">
        <f>34.2444 * CHOOSE(CONTROL!$C$15, $E$9, 100%, $G$9) + CHOOSE(CONTROL!$C$38, 0.0353, 0)</f>
        <v>34.279699999999998</v>
      </c>
      <c r="G438" s="14">
        <f>32.2653 * CHOOSE(CONTROL!$C$15, $E$9, 100%, $G$9) + CHOOSE(CONTROL!$C$38, 0.0354, 0)</f>
        <v>32.300700000000006</v>
      </c>
      <c r="H438" s="14">
        <f>32.2653 * CHOOSE(CONTROL!$C$15, $E$9, 100%, $G$9) + CHOOSE(CONTROL!$C$38, 0.0354, 0)</f>
        <v>32.300700000000006</v>
      </c>
      <c r="I438" s="14">
        <f>32.2668 * CHOOSE(CONTROL!$C$15, $E$9, 100%, $G$9) + CHOOSE(CONTROL!$C$38, 0.0354, 0)</f>
        <v>32.302200000000006</v>
      </c>
      <c r="J438" s="44">
        <f>276.8356</f>
        <v>276.8356</v>
      </c>
    </row>
    <row r="439" spans="1:10" ht="15.75" x14ac:dyDescent="0.25">
      <c r="A439" s="33">
        <v>54301</v>
      </c>
      <c r="B439" s="14">
        <f>34.4034 * CHOOSE(CONTROL!$C$15, $E$9, 100%, $G$9) + CHOOSE(CONTROL!$C$38, 0.0353, 0)</f>
        <v>34.438699999999997</v>
      </c>
      <c r="C439" s="14">
        <f>32.4258 * CHOOSE(CONTROL!$C$15, $E$9, 100%, $G$9) + CHOOSE(CONTROL!$C$38, 0.0354, 0)</f>
        <v>32.461200000000005</v>
      </c>
      <c r="D439" s="14">
        <f>32.418 * CHOOSE(CONTROL!$C$15, $E$9, 100%, $G$9) + CHOOSE(CONTROL!$C$38, 0.0354, 0)</f>
        <v>32.453400000000002</v>
      </c>
      <c r="E439" s="14">
        <f>32.418 * CHOOSE(CONTROL!$C$15, $E$9, 100%, $G$9) + CHOOSE(CONTROL!$C$38, 0.0354, 0)</f>
        <v>32.453400000000002</v>
      </c>
      <c r="F439" s="45">
        <f>34.4034 * CHOOSE(CONTROL!$C$15, $E$9, 100%, $G$9) + CHOOSE(CONTROL!$C$38, 0.0353, 0)</f>
        <v>34.438699999999997</v>
      </c>
      <c r="G439" s="14">
        <f>32.4242 * CHOOSE(CONTROL!$C$15, $E$9, 100%, $G$9) + CHOOSE(CONTROL!$C$38, 0.0354, 0)</f>
        <v>32.459600000000002</v>
      </c>
      <c r="H439" s="14">
        <f>32.4242 * CHOOSE(CONTROL!$C$15, $E$9, 100%, $G$9) + CHOOSE(CONTROL!$C$38, 0.0354, 0)</f>
        <v>32.459600000000002</v>
      </c>
      <c r="I439" s="14">
        <f>32.4258 * CHOOSE(CONTROL!$C$15, $E$9, 100%, $G$9) + CHOOSE(CONTROL!$C$38, 0.0354, 0)</f>
        <v>32.461200000000005</v>
      </c>
      <c r="J439" s="44">
        <f>270.391</f>
        <v>270.39100000000002</v>
      </c>
    </row>
    <row r="440" spans="1:10" ht="15.75" x14ac:dyDescent="0.25">
      <c r="A440" s="33">
        <v>54331</v>
      </c>
      <c r="B440" s="14">
        <f>34.8351 * CHOOSE(CONTROL!$C$15, $E$9, 100%, $G$9) + CHOOSE(CONTROL!$C$38, 0.0353, 0)</f>
        <v>34.870399999999997</v>
      </c>
      <c r="C440" s="14">
        <f>32.8575 * CHOOSE(CONTROL!$C$15, $E$9, 100%, $G$9) + CHOOSE(CONTROL!$C$38, 0.0354, 0)</f>
        <v>32.892900000000004</v>
      </c>
      <c r="D440" s="14">
        <f>32.8497 * CHOOSE(CONTROL!$C$15, $E$9, 100%, $G$9) + CHOOSE(CONTROL!$C$38, 0.0354, 0)</f>
        <v>32.885100000000001</v>
      </c>
      <c r="E440" s="14">
        <f>32.8497 * CHOOSE(CONTROL!$C$15, $E$9, 100%, $G$9) + CHOOSE(CONTROL!$C$38, 0.0354, 0)</f>
        <v>32.885100000000001</v>
      </c>
      <c r="F440" s="45">
        <f>34.8351 * CHOOSE(CONTROL!$C$15, $E$9, 100%, $G$9) + CHOOSE(CONTROL!$C$38, 0.0353, 0)</f>
        <v>34.870399999999997</v>
      </c>
      <c r="G440" s="14">
        <f>32.8559 * CHOOSE(CONTROL!$C$15, $E$9, 100%, $G$9) + CHOOSE(CONTROL!$C$38, 0.0354, 0)</f>
        <v>32.891300000000001</v>
      </c>
      <c r="H440" s="14">
        <f>32.8559 * CHOOSE(CONTROL!$C$15, $E$9, 100%, $G$9) + CHOOSE(CONTROL!$C$38, 0.0354, 0)</f>
        <v>32.891300000000001</v>
      </c>
      <c r="I440" s="14">
        <f>32.8575 * CHOOSE(CONTROL!$C$15, $E$9, 100%, $G$9) + CHOOSE(CONTROL!$C$38, 0.0354, 0)</f>
        <v>32.892900000000004</v>
      </c>
      <c r="J440" s="44">
        <f>261.4037</f>
        <v>261.40370000000001</v>
      </c>
    </row>
    <row r="441" spans="1:10" ht="15.75" x14ac:dyDescent="0.25">
      <c r="A441" s="33">
        <v>54362</v>
      </c>
      <c r="B441" s="14">
        <f>35.1967 * CHOOSE(CONTROL!$C$15, $E$9, 100%, $G$9) + CHOOSE(CONTROL!$C$38, 0.034, 0)</f>
        <v>35.230699999999999</v>
      </c>
      <c r="C441" s="14">
        <f>33.2191 * CHOOSE(CONTROL!$C$15, $E$9, 100%, $G$9) + CHOOSE(CONTROL!$C$38, 0.0342, 0)</f>
        <v>33.253299999999996</v>
      </c>
      <c r="D441" s="14">
        <f>33.2112 * CHOOSE(CONTROL!$C$15, $E$9, 100%, $G$9) + CHOOSE(CONTROL!$C$38, 0.0342, 0)</f>
        <v>33.245399999999997</v>
      </c>
      <c r="E441" s="14">
        <f>33.2112 * CHOOSE(CONTROL!$C$15, $E$9, 100%, $G$9) + CHOOSE(CONTROL!$C$38, 0.0342, 0)</f>
        <v>33.245399999999997</v>
      </c>
      <c r="F441" s="45">
        <f>35.1967 * CHOOSE(CONTROL!$C$15, $E$9, 100%, $G$9) + CHOOSE(CONTROL!$C$38, 0.034, 0)</f>
        <v>35.230699999999999</v>
      </c>
      <c r="G441" s="14">
        <f>33.2175 * CHOOSE(CONTROL!$C$15, $E$9, 100%, $G$9) + CHOOSE(CONTROL!$C$38, 0.0342, 0)</f>
        <v>33.2517</v>
      </c>
      <c r="H441" s="14">
        <f>33.2175 * CHOOSE(CONTROL!$C$15, $E$9, 100%, $G$9) + CHOOSE(CONTROL!$C$38, 0.0342, 0)</f>
        <v>33.2517</v>
      </c>
      <c r="I441" s="14">
        <f>33.2191 * CHOOSE(CONTROL!$C$15, $E$9, 100%, $G$9) + CHOOSE(CONTROL!$C$38, 0.0342, 0)</f>
        <v>33.253299999999996</v>
      </c>
      <c r="J441" s="44">
        <f>252.3641</f>
        <v>252.36410000000001</v>
      </c>
    </row>
    <row r="442" spans="1:10" ht="15.75" x14ac:dyDescent="0.25">
      <c r="A442" s="33">
        <v>54392</v>
      </c>
      <c r="B442" s="14">
        <f>35.4984 * CHOOSE(CONTROL!$C$15, $E$9, 100%, $G$9) + CHOOSE(CONTROL!$C$38, 0.034, 0)</f>
        <v>35.532399999999996</v>
      </c>
      <c r="C442" s="14">
        <f>33.5208 * CHOOSE(CONTROL!$C$15, $E$9, 100%, $G$9) + CHOOSE(CONTROL!$C$38, 0.0342, 0)</f>
        <v>33.555</v>
      </c>
      <c r="D442" s="14">
        <f>33.5129 * CHOOSE(CONTROL!$C$15, $E$9, 100%, $G$9) + CHOOSE(CONTROL!$C$38, 0.0342, 0)</f>
        <v>33.5471</v>
      </c>
      <c r="E442" s="14">
        <f>33.5129 * CHOOSE(CONTROL!$C$15, $E$9, 100%, $G$9) + CHOOSE(CONTROL!$C$38, 0.0342, 0)</f>
        <v>33.5471</v>
      </c>
      <c r="F442" s="45">
        <f>35.4984 * CHOOSE(CONTROL!$C$15, $E$9, 100%, $G$9) + CHOOSE(CONTROL!$C$38, 0.034, 0)</f>
        <v>35.532399999999996</v>
      </c>
      <c r="G442" s="14">
        <f>33.5192 * CHOOSE(CONTROL!$C$15, $E$9, 100%, $G$9) + CHOOSE(CONTROL!$C$38, 0.0342, 0)</f>
        <v>33.553399999999996</v>
      </c>
      <c r="H442" s="14">
        <f>33.5192 * CHOOSE(CONTROL!$C$15, $E$9, 100%, $G$9) + CHOOSE(CONTROL!$C$38, 0.0342, 0)</f>
        <v>33.553399999999996</v>
      </c>
      <c r="I442" s="14">
        <f>33.5208 * CHOOSE(CONTROL!$C$15, $E$9, 100%, $G$9) + CHOOSE(CONTROL!$C$38, 0.0342, 0)</f>
        <v>33.555</v>
      </c>
      <c r="J442" s="44">
        <f>250.5659</f>
        <v>250.5659</v>
      </c>
    </row>
    <row r="443" spans="1:10" ht="15.75" x14ac:dyDescent="0.25">
      <c r="A443" s="33">
        <v>54423</v>
      </c>
      <c r="B443" s="14">
        <f>36.428 * CHOOSE(CONTROL!$C$15, $E$9, 100%, $G$9) + CHOOSE(CONTROL!$C$38, 0.034, 0)</f>
        <v>36.461999999999996</v>
      </c>
      <c r="C443" s="14">
        <f>34.4504 * CHOOSE(CONTROL!$C$15, $E$9, 100%, $G$9) + CHOOSE(CONTROL!$C$38, 0.0342, 0)</f>
        <v>34.4846</v>
      </c>
      <c r="D443" s="14">
        <f>34.4426 * CHOOSE(CONTROL!$C$15, $E$9, 100%, $G$9) + CHOOSE(CONTROL!$C$38, 0.0342, 0)</f>
        <v>34.476799999999997</v>
      </c>
      <c r="E443" s="14">
        <f>34.4426 * CHOOSE(CONTROL!$C$15, $E$9, 100%, $G$9) + CHOOSE(CONTROL!$C$38, 0.0342, 0)</f>
        <v>34.476799999999997</v>
      </c>
      <c r="F443" s="45">
        <f>36.428 * CHOOSE(CONTROL!$C$15, $E$9, 100%, $G$9) + CHOOSE(CONTROL!$C$38, 0.034, 0)</f>
        <v>36.461999999999996</v>
      </c>
      <c r="G443" s="14">
        <f>34.4489 * CHOOSE(CONTROL!$C$15, $E$9, 100%, $G$9) + CHOOSE(CONTROL!$C$38, 0.0342, 0)</f>
        <v>34.4831</v>
      </c>
      <c r="H443" s="14">
        <f>34.4489 * CHOOSE(CONTROL!$C$15, $E$9, 100%, $G$9) + CHOOSE(CONTROL!$C$38, 0.0342, 0)</f>
        <v>34.4831</v>
      </c>
      <c r="I443" s="14">
        <f>34.4504 * CHOOSE(CONTROL!$C$15, $E$9, 100%, $G$9) + CHOOSE(CONTROL!$C$38, 0.0342, 0)</f>
        <v>34.4846</v>
      </c>
      <c r="J443" s="44">
        <f>243.1304</f>
        <v>243.13040000000001</v>
      </c>
    </row>
    <row r="444" spans="1:10" ht="15.75" x14ac:dyDescent="0.25">
      <c r="A444" s="33">
        <v>54454</v>
      </c>
      <c r="B444" s="14">
        <f>37.7491 * CHOOSE(CONTROL!$C$15, $E$9, 100%, $G$9) + CHOOSE(CONTROL!$C$38, 0.034, 0)</f>
        <v>37.783099999999997</v>
      </c>
      <c r="C444" s="14">
        <f>35.7409 * CHOOSE(CONTROL!$C$15, $E$9, 100%, $G$9) + CHOOSE(CONTROL!$C$38, 0.0342, 0)</f>
        <v>35.775100000000002</v>
      </c>
      <c r="D444" s="14">
        <f>35.7331 * CHOOSE(CONTROL!$C$15, $E$9, 100%, $G$9) + CHOOSE(CONTROL!$C$38, 0.0342, 0)</f>
        <v>35.767299999999999</v>
      </c>
      <c r="E444" s="14">
        <f>35.7331 * CHOOSE(CONTROL!$C$15, $E$9, 100%, $G$9) + CHOOSE(CONTROL!$C$38, 0.0342, 0)</f>
        <v>35.767299999999999</v>
      </c>
      <c r="F444" s="45">
        <f>37.7491 * CHOOSE(CONTROL!$C$15, $E$9, 100%, $G$9) + CHOOSE(CONTROL!$C$38, 0.034, 0)</f>
        <v>37.783099999999997</v>
      </c>
      <c r="G444" s="14">
        <f>35.7393 * CHOOSE(CONTROL!$C$15, $E$9, 100%, $G$9) + CHOOSE(CONTROL!$C$38, 0.0342, 0)</f>
        <v>35.773499999999999</v>
      </c>
      <c r="H444" s="14">
        <f>35.7393 * CHOOSE(CONTROL!$C$15, $E$9, 100%, $G$9) + CHOOSE(CONTROL!$C$38, 0.0342, 0)</f>
        <v>35.773499999999999</v>
      </c>
      <c r="I444" s="14">
        <f>35.7409 * CHOOSE(CONTROL!$C$15, $E$9, 100%, $G$9) + CHOOSE(CONTROL!$C$38, 0.0342, 0)</f>
        <v>35.775100000000002</v>
      </c>
      <c r="J444" s="44">
        <f>242.9548</f>
        <v>242.95480000000001</v>
      </c>
    </row>
    <row r="445" spans="1:10" ht="15.75" x14ac:dyDescent="0.25">
      <c r="A445" s="33">
        <v>54482</v>
      </c>
      <c r="B445" s="14">
        <f>38.0934 * CHOOSE(CONTROL!$C$15, $E$9, 100%, $G$9) + CHOOSE(CONTROL!$C$38, 0.034, 0)</f>
        <v>38.127400000000002</v>
      </c>
      <c r="C445" s="14">
        <f>36.0852 * CHOOSE(CONTROL!$C$15, $E$9, 100%, $G$9) + CHOOSE(CONTROL!$C$38, 0.0342, 0)</f>
        <v>36.119399999999999</v>
      </c>
      <c r="D445" s="14">
        <f>36.0774 * CHOOSE(CONTROL!$C$15, $E$9, 100%, $G$9) + CHOOSE(CONTROL!$C$38, 0.0342, 0)</f>
        <v>36.111599999999996</v>
      </c>
      <c r="E445" s="14">
        <f>36.0774 * CHOOSE(CONTROL!$C$15, $E$9, 100%, $G$9) + CHOOSE(CONTROL!$C$38, 0.0342, 0)</f>
        <v>36.111599999999996</v>
      </c>
      <c r="F445" s="45">
        <f>38.0934 * CHOOSE(CONTROL!$C$15, $E$9, 100%, $G$9) + CHOOSE(CONTROL!$C$38, 0.034, 0)</f>
        <v>38.127400000000002</v>
      </c>
      <c r="G445" s="14">
        <f>36.0837 * CHOOSE(CONTROL!$C$15, $E$9, 100%, $G$9) + CHOOSE(CONTROL!$C$38, 0.0342, 0)</f>
        <v>36.117899999999999</v>
      </c>
      <c r="H445" s="14">
        <f>36.0837 * CHOOSE(CONTROL!$C$15, $E$9, 100%, $G$9) + CHOOSE(CONTROL!$C$38, 0.0342, 0)</f>
        <v>36.117899999999999</v>
      </c>
      <c r="I445" s="14">
        <f>36.0852 * CHOOSE(CONTROL!$C$15, $E$9, 100%, $G$9) + CHOOSE(CONTROL!$C$38, 0.0342, 0)</f>
        <v>36.119399999999999</v>
      </c>
      <c r="J445" s="44">
        <f>242.2795</f>
        <v>242.27950000000001</v>
      </c>
    </row>
    <row r="446" spans="1:10" ht="15.75" x14ac:dyDescent="0.25">
      <c r="A446" s="33">
        <v>54513</v>
      </c>
      <c r="B446" s="14">
        <f>37.2964 * CHOOSE(CONTROL!$C$15, $E$9, 100%, $G$9) + CHOOSE(CONTROL!$C$38, 0.034, 0)</f>
        <v>37.330399999999997</v>
      </c>
      <c r="C446" s="14">
        <f>35.2882 * CHOOSE(CONTROL!$C$15, $E$9, 100%, $G$9) + CHOOSE(CONTROL!$C$38, 0.0342, 0)</f>
        <v>35.322400000000002</v>
      </c>
      <c r="D446" s="14">
        <f>35.2804 * CHOOSE(CONTROL!$C$15, $E$9, 100%, $G$9) + CHOOSE(CONTROL!$C$38, 0.0342, 0)</f>
        <v>35.314599999999999</v>
      </c>
      <c r="E446" s="14">
        <f>35.2804 * CHOOSE(CONTROL!$C$15, $E$9, 100%, $G$9) + CHOOSE(CONTROL!$C$38, 0.0342, 0)</f>
        <v>35.314599999999999</v>
      </c>
      <c r="F446" s="45">
        <f>37.2964 * CHOOSE(CONTROL!$C$15, $E$9, 100%, $G$9) + CHOOSE(CONTROL!$C$38, 0.034, 0)</f>
        <v>37.330399999999997</v>
      </c>
      <c r="G446" s="14">
        <f>35.2866 * CHOOSE(CONTROL!$C$15, $E$9, 100%, $G$9) + CHOOSE(CONTROL!$C$38, 0.0342, 0)</f>
        <v>35.320799999999998</v>
      </c>
      <c r="H446" s="14">
        <f>35.2866 * CHOOSE(CONTROL!$C$15, $E$9, 100%, $G$9) + CHOOSE(CONTROL!$C$38, 0.0342, 0)</f>
        <v>35.320799999999998</v>
      </c>
      <c r="I446" s="14">
        <f>35.2882 * CHOOSE(CONTROL!$C$15, $E$9, 100%, $G$9) + CHOOSE(CONTROL!$C$38, 0.0342, 0)</f>
        <v>35.322400000000002</v>
      </c>
      <c r="J446" s="44">
        <f>255.049</f>
        <v>255.04900000000001</v>
      </c>
    </row>
    <row r="447" spans="1:10" ht="15.75" x14ac:dyDescent="0.25">
      <c r="A447" s="33">
        <v>54543</v>
      </c>
      <c r="B447" s="14">
        <f>36.5241 * CHOOSE(CONTROL!$C$15, $E$9, 100%, $G$9) + CHOOSE(CONTROL!$C$38, 0.034, 0)</f>
        <v>36.558099999999996</v>
      </c>
      <c r="C447" s="14">
        <f>34.5159 * CHOOSE(CONTROL!$C$15, $E$9, 100%, $G$9) + CHOOSE(CONTROL!$C$38, 0.0342, 0)</f>
        <v>34.5501</v>
      </c>
      <c r="D447" s="14">
        <f>34.5081 * CHOOSE(CONTROL!$C$15, $E$9, 100%, $G$9) + CHOOSE(CONTROL!$C$38, 0.0342, 0)</f>
        <v>34.542299999999997</v>
      </c>
      <c r="E447" s="14">
        <f>34.5081 * CHOOSE(CONTROL!$C$15, $E$9, 100%, $G$9) + CHOOSE(CONTROL!$C$38, 0.0342, 0)</f>
        <v>34.542299999999997</v>
      </c>
      <c r="F447" s="45">
        <f>36.5241 * CHOOSE(CONTROL!$C$15, $E$9, 100%, $G$9) + CHOOSE(CONTROL!$C$38, 0.034, 0)</f>
        <v>36.558099999999996</v>
      </c>
      <c r="G447" s="14">
        <f>34.5143 * CHOOSE(CONTROL!$C$15, $E$9, 100%, $G$9) + CHOOSE(CONTROL!$C$38, 0.0342, 0)</f>
        <v>34.548499999999997</v>
      </c>
      <c r="H447" s="14">
        <f>34.5143 * CHOOSE(CONTROL!$C$15, $E$9, 100%, $G$9) + CHOOSE(CONTROL!$C$38, 0.0342, 0)</f>
        <v>34.548499999999997</v>
      </c>
      <c r="I447" s="14">
        <f>34.5159 * CHOOSE(CONTROL!$C$15, $E$9, 100%, $G$9) + CHOOSE(CONTROL!$C$38, 0.0342, 0)</f>
        <v>34.5501</v>
      </c>
      <c r="J447" s="44">
        <f>271.608</f>
        <v>271.608</v>
      </c>
    </row>
    <row r="448" spans="1:10" ht="15.75" x14ac:dyDescent="0.25">
      <c r="A448" s="33">
        <v>54574</v>
      </c>
      <c r="B448" s="14">
        <f>35.7191 * CHOOSE(CONTROL!$C$15, $E$9, 100%, $G$9) + CHOOSE(CONTROL!$C$38, 0.0353, 0)</f>
        <v>35.754399999999997</v>
      </c>
      <c r="C448" s="14">
        <f>33.7109 * CHOOSE(CONTROL!$C$15, $E$9, 100%, $G$9) + CHOOSE(CONTROL!$C$38, 0.0354, 0)</f>
        <v>33.746300000000005</v>
      </c>
      <c r="D448" s="14">
        <f>33.7031 * CHOOSE(CONTROL!$C$15, $E$9, 100%, $G$9) + CHOOSE(CONTROL!$C$38, 0.0354, 0)</f>
        <v>33.738500000000002</v>
      </c>
      <c r="E448" s="14">
        <f>33.7031 * CHOOSE(CONTROL!$C$15, $E$9, 100%, $G$9) + CHOOSE(CONTROL!$C$38, 0.0354, 0)</f>
        <v>33.738500000000002</v>
      </c>
      <c r="F448" s="45">
        <f>35.7191 * CHOOSE(CONTROL!$C$15, $E$9, 100%, $G$9) + CHOOSE(CONTROL!$C$38, 0.0353, 0)</f>
        <v>35.754399999999997</v>
      </c>
      <c r="G448" s="14">
        <f>33.7093 * CHOOSE(CONTROL!$C$15, $E$9, 100%, $G$9) + CHOOSE(CONTROL!$C$38, 0.0354, 0)</f>
        <v>33.744700000000002</v>
      </c>
      <c r="H448" s="14">
        <f>33.7093 * CHOOSE(CONTROL!$C$15, $E$9, 100%, $G$9) + CHOOSE(CONTROL!$C$38, 0.0354, 0)</f>
        <v>33.744700000000002</v>
      </c>
      <c r="I448" s="14">
        <f>33.7109 * CHOOSE(CONTROL!$C$15, $E$9, 100%, $G$9) + CHOOSE(CONTROL!$C$38, 0.0354, 0)</f>
        <v>33.746300000000005</v>
      </c>
      <c r="J448" s="44">
        <f>280.7227</f>
        <v>280.72269999999997</v>
      </c>
    </row>
    <row r="449" spans="1:10" ht="15.75" x14ac:dyDescent="0.25">
      <c r="A449" s="33">
        <v>54604</v>
      </c>
      <c r="B449" s="14">
        <f>35.1548 * CHOOSE(CONTROL!$C$15, $E$9, 100%, $G$9) + CHOOSE(CONTROL!$C$38, 0.0353, 0)</f>
        <v>35.190100000000001</v>
      </c>
      <c r="C449" s="14">
        <f>33.1466 * CHOOSE(CONTROL!$C$15, $E$9, 100%, $G$9) + CHOOSE(CONTROL!$C$38, 0.0354, 0)</f>
        <v>33.182000000000002</v>
      </c>
      <c r="D449" s="14">
        <f>33.1388 * CHOOSE(CONTROL!$C$15, $E$9, 100%, $G$9) + CHOOSE(CONTROL!$C$38, 0.0354, 0)</f>
        <v>33.174200000000006</v>
      </c>
      <c r="E449" s="14">
        <f>33.1388 * CHOOSE(CONTROL!$C$15, $E$9, 100%, $G$9) + CHOOSE(CONTROL!$C$38, 0.0354, 0)</f>
        <v>33.174200000000006</v>
      </c>
      <c r="F449" s="45">
        <f>35.1548 * CHOOSE(CONTROL!$C$15, $E$9, 100%, $G$9) + CHOOSE(CONTROL!$C$38, 0.0353, 0)</f>
        <v>35.190100000000001</v>
      </c>
      <c r="G449" s="14">
        <f>33.145 * CHOOSE(CONTROL!$C$15, $E$9, 100%, $G$9) + CHOOSE(CONTROL!$C$38, 0.0354, 0)</f>
        <v>33.180400000000006</v>
      </c>
      <c r="H449" s="14">
        <f>33.145 * CHOOSE(CONTROL!$C$15, $E$9, 100%, $G$9) + CHOOSE(CONTROL!$C$38, 0.0354, 0)</f>
        <v>33.180400000000006</v>
      </c>
      <c r="I449" s="14">
        <f>33.1466 * CHOOSE(CONTROL!$C$15, $E$9, 100%, $G$9) + CHOOSE(CONTROL!$C$38, 0.0354, 0)</f>
        <v>33.182000000000002</v>
      </c>
      <c r="J449" s="44">
        <f>284.7676</f>
        <v>284.76760000000002</v>
      </c>
    </row>
    <row r="450" spans="1:10" ht="15.75" x14ac:dyDescent="0.25">
      <c r="A450" s="33">
        <v>54635</v>
      </c>
      <c r="B450" s="14">
        <f>34.8327 * CHOOSE(CONTROL!$C$15, $E$9, 100%, $G$9) + CHOOSE(CONTROL!$C$38, 0.0353, 0)</f>
        <v>34.868000000000002</v>
      </c>
      <c r="C450" s="14">
        <f>32.8245 * CHOOSE(CONTROL!$C$15, $E$9, 100%, $G$9) + CHOOSE(CONTROL!$C$38, 0.0354, 0)</f>
        <v>32.859900000000003</v>
      </c>
      <c r="D450" s="14">
        <f>32.8167 * CHOOSE(CONTROL!$C$15, $E$9, 100%, $G$9) + CHOOSE(CONTROL!$C$38, 0.0354, 0)</f>
        <v>32.8521</v>
      </c>
      <c r="E450" s="14">
        <f>32.8167 * CHOOSE(CONTROL!$C$15, $E$9, 100%, $G$9) + CHOOSE(CONTROL!$C$38, 0.0354, 0)</f>
        <v>32.8521</v>
      </c>
      <c r="F450" s="45">
        <f>34.8327 * CHOOSE(CONTROL!$C$15, $E$9, 100%, $G$9) + CHOOSE(CONTROL!$C$38, 0.0353, 0)</f>
        <v>34.868000000000002</v>
      </c>
      <c r="G450" s="14">
        <f>32.823 * CHOOSE(CONTROL!$C$15, $E$9, 100%, $G$9) + CHOOSE(CONTROL!$C$38, 0.0354, 0)</f>
        <v>32.858400000000003</v>
      </c>
      <c r="H450" s="14">
        <f>32.823 * CHOOSE(CONTROL!$C$15, $E$9, 100%, $G$9) + CHOOSE(CONTROL!$C$38, 0.0354, 0)</f>
        <v>32.858400000000003</v>
      </c>
      <c r="I450" s="14">
        <f>32.8245 * CHOOSE(CONTROL!$C$15, $E$9, 100%, $G$9) + CHOOSE(CONTROL!$C$38, 0.0354, 0)</f>
        <v>32.859900000000003</v>
      </c>
      <c r="J450" s="44">
        <f>283.4358</f>
        <v>283.43579999999997</v>
      </c>
    </row>
    <row r="451" spans="1:10" ht="15.75" x14ac:dyDescent="0.25">
      <c r="A451" s="33">
        <v>54666</v>
      </c>
      <c r="B451" s="14">
        <f>34.9917 * CHOOSE(CONTROL!$C$15, $E$9, 100%, $G$9) + CHOOSE(CONTROL!$C$38, 0.0353, 0)</f>
        <v>35.027000000000001</v>
      </c>
      <c r="C451" s="14">
        <f>32.9835 * CHOOSE(CONTROL!$C$15, $E$9, 100%, $G$9) + CHOOSE(CONTROL!$C$38, 0.0354, 0)</f>
        <v>33.018900000000002</v>
      </c>
      <c r="D451" s="14">
        <f>32.9756 * CHOOSE(CONTROL!$C$15, $E$9, 100%, $G$9) + CHOOSE(CONTROL!$C$38, 0.0354, 0)</f>
        <v>33.011000000000003</v>
      </c>
      <c r="E451" s="14">
        <f>32.9756 * CHOOSE(CONTROL!$C$15, $E$9, 100%, $G$9) + CHOOSE(CONTROL!$C$38, 0.0354, 0)</f>
        <v>33.011000000000003</v>
      </c>
      <c r="F451" s="45">
        <f>34.9917 * CHOOSE(CONTROL!$C$15, $E$9, 100%, $G$9) + CHOOSE(CONTROL!$C$38, 0.0353, 0)</f>
        <v>35.027000000000001</v>
      </c>
      <c r="G451" s="14">
        <f>32.9819 * CHOOSE(CONTROL!$C$15, $E$9, 100%, $G$9) + CHOOSE(CONTROL!$C$38, 0.0354, 0)</f>
        <v>33.017300000000006</v>
      </c>
      <c r="H451" s="14">
        <f>32.9819 * CHOOSE(CONTROL!$C$15, $E$9, 100%, $G$9) + CHOOSE(CONTROL!$C$38, 0.0354, 0)</f>
        <v>33.017300000000006</v>
      </c>
      <c r="I451" s="14">
        <f>32.9835 * CHOOSE(CONTROL!$C$15, $E$9, 100%, $G$9) + CHOOSE(CONTROL!$C$38, 0.0354, 0)</f>
        <v>33.018900000000002</v>
      </c>
      <c r="J451" s="44">
        <f>276.8375</f>
        <v>276.83749999999998</v>
      </c>
    </row>
    <row r="452" spans="1:10" ht="15.75" x14ac:dyDescent="0.25">
      <c r="A452" s="33">
        <v>54696</v>
      </c>
      <c r="B452" s="14">
        <f>35.4234 * CHOOSE(CONTROL!$C$15, $E$9, 100%, $G$9) + CHOOSE(CONTROL!$C$38, 0.0353, 0)</f>
        <v>35.4587</v>
      </c>
      <c r="C452" s="14">
        <f>33.4152 * CHOOSE(CONTROL!$C$15, $E$9, 100%, $G$9) + CHOOSE(CONTROL!$C$38, 0.0354, 0)</f>
        <v>33.450600000000001</v>
      </c>
      <c r="D452" s="14">
        <f>33.4074 * CHOOSE(CONTROL!$C$15, $E$9, 100%, $G$9) + CHOOSE(CONTROL!$C$38, 0.0354, 0)</f>
        <v>33.442800000000005</v>
      </c>
      <c r="E452" s="14">
        <f>33.4074 * CHOOSE(CONTROL!$C$15, $E$9, 100%, $G$9) + CHOOSE(CONTROL!$C$38, 0.0354, 0)</f>
        <v>33.442800000000005</v>
      </c>
      <c r="F452" s="45">
        <f>35.4234 * CHOOSE(CONTROL!$C$15, $E$9, 100%, $G$9) + CHOOSE(CONTROL!$C$38, 0.0353, 0)</f>
        <v>35.4587</v>
      </c>
      <c r="G452" s="14">
        <f>33.4136 * CHOOSE(CONTROL!$C$15, $E$9, 100%, $G$9) + CHOOSE(CONTROL!$C$38, 0.0354, 0)</f>
        <v>33.449000000000005</v>
      </c>
      <c r="H452" s="14">
        <f>33.4136 * CHOOSE(CONTROL!$C$15, $E$9, 100%, $G$9) + CHOOSE(CONTROL!$C$38, 0.0354, 0)</f>
        <v>33.449000000000005</v>
      </c>
      <c r="I452" s="14">
        <f>33.4152 * CHOOSE(CONTROL!$C$15, $E$9, 100%, $G$9) + CHOOSE(CONTROL!$C$38, 0.0354, 0)</f>
        <v>33.450600000000001</v>
      </c>
      <c r="J452" s="44">
        <f>267.6359</f>
        <v>267.63589999999999</v>
      </c>
    </row>
    <row r="453" spans="1:10" ht="15.75" x14ac:dyDescent="0.25">
      <c r="A453" s="33">
        <v>54727</v>
      </c>
      <c r="B453" s="14">
        <f>35.7849 * CHOOSE(CONTROL!$C$15, $E$9, 100%, $G$9) + CHOOSE(CONTROL!$C$38, 0.034, 0)</f>
        <v>35.818899999999999</v>
      </c>
      <c r="C453" s="14">
        <f>33.7767 * CHOOSE(CONTROL!$C$15, $E$9, 100%, $G$9) + CHOOSE(CONTROL!$C$38, 0.0342, 0)</f>
        <v>33.810899999999997</v>
      </c>
      <c r="D453" s="14">
        <f>33.7689 * CHOOSE(CONTROL!$C$15, $E$9, 100%, $G$9) + CHOOSE(CONTROL!$C$38, 0.0342, 0)</f>
        <v>33.803100000000001</v>
      </c>
      <c r="E453" s="14">
        <f>33.7689 * CHOOSE(CONTROL!$C$15, $E$9, 100%, $G$9) + CHOOSE(CONTROL!$C$38, 0.0342, 0)</f>
        <v>33.803100000000001</v>
      </c>
      <c r="F453" s="45">
        <f>35.7849 * CHOOSE(CONTROL!$C$15, $E$9, 100%, $G$9) + CHOOSE(CONTROL!$C$38, 0.034, 0)</f>
        <v>35.818899999999999</v>
      </c>
      <c r="G453" s="14">
        <f>33.7752 * CHOOSE(CONTROL!$C$15, $E$9, 100%, $G$9) + CHOOSE(CONTROL!$C$38, 0.0342, 0)</f>
        <v>33.809399999999997</v>
      </c>
      <c r="H453" s="14">
        <f>33.7752 * CHOOSE(CONTROL!$C$15, $E$9, 100%, $G$9) + CHOOSE(CONTROL!$C$38, 0.0342, 0)</f>
        <v>33.809399999999997</v>
      </c>
      <c r="I453" s="14">
        <f>33.7767 * CHOOSE(CONTROL!$C$15, $E$9, 100%, $G$9) + CHOOSE(CONTROL!$C$38, 0.0342, 0)</f>
        <v>33.810899999999997</v>
      </c>
      <c r="J453" s="44">
        <f>258.3808</f>
        <v>258.38080000000002</v>
      </c>
    </row>
    <row r="454" spans="1:10" ht="15.75" x14ac:dyDescent="0.25">
      <c r="A454" s="33">
        <v>54757</v>
      </c>
      <c r="B454" s="14">
        <f>36.0866 * CHOOSE(CONTROL!$C$15, $E$9, 100%, $G$9) + CHOOSE(CONTROL!$C$38, 0.034, 0)</f>
        <v>36.120599999999996</v>
      </c>
      <c r="C454" s="14">
        <f>34.0784 * CHOOSE(CONTROL!$C$15, $E$9, 100%, $G$9) + CHOOSE(CONTROL!$C$38, 0.0342, 0)</f>
        <v>34.1126</v>
      </c>
      <c r="D454" s="14">
        <f>34.0706 * CHOOSE(CONTROL!$C$15, $E$9, 100%, $G$9) + CHOOSE(CONTROL!$C$38, 0.0342, 0)</f>
        <v>34.104799999999997</v>
      </c>
      <c r="E454" s="14">
        <f>34.0706 * CHOOSE(CONTROL!$C$15, $E$9, 100%, $G$9) + CHOOSE(CONTROL!$C$38, 0.0342, 0)</f>
        <v>34.104799999999997</v>
      </c>
      <c r="F454" s="45">
        <f>36.0866 * CHOOSE(CONTROL!$C$15, $E$9, 100%, $G$9) + CHOOSE(CONTROL!$C$38, 0.034, 0)</f>
        <v>36.120599999999996</v>
      </c>
      <c r="G454" s="14">
        <f>34.0769 * CHOOSE(CONTROL!$C$15, $E$9, 100%, $G$9) + CHOOSE(CONTROL!$C$38, 0.0342, 0)</f>
        <v>34.1111</v>
      </c>
      <c r="H454" s="14">
        <f>34.0769 * CHOOSE(CONTROL!$C$15, $E$9, 100%, $G$9) + CHOOSE(CONTROL!$C$38, 0.0342, 0)</f>
        <v>34.1111</v>
      </c>
      <c r="I454" s="14">
        <f>34.0784 * CHOOSE(CONTROL!$C$15, $E$9, 100%, $G$9) + CHOOSE(CONTROL!$C$38, 0.0342, 0)</f>
        <v>34.1126</v>
      </c>
      <c r="J454" s="44">
        <f>256.5398</f>
        <v>256.53980000000001</v>
      </c>
    </row>
    <row r="455" spans="1:10" ht="15.75" x14ac:dyDescent="0.25">
      <c r="A455" s="33">
        <v>54788</v>
      </c>
      <c r="B455" s="14">
        <f>37.0163 * CHOOSE(CONTROL!$C$15, $E$9, 100%, $G$9) + CHOOSE(CONTROL!$C$38, 0.034, 0)</f>
        <v>37.0503</v>
      </c>
      <c r="C455" s="14">
        <f>35.0081 * CHOOSE(CONTROL!$C$15, $E$9, 100%, $G$9) + CHOOSE(CONTROL!$C$38, 0.0342, 0)</f>
        <v>35.042299999999997</v>
      </c>
      <c r="D455" s="14">
        <f>35.0003 * CHOOSE(CONTROL!$C$15, $E$9, 100%, $G$9) + CHOOSE(CONTROL!$C$38, 0.0342, 0)</f>
        <v>35.034500000000001</v>
      </c>
      <c r="E455" s="14">
        <f>35.0003 * CHOOSE(CONTROL!$C$15, $E$9, 100%, $G$9) + CHOOSE(CONTROL!$C$38, 0.0342, 0)</f>
        <v>35.034500000000001</v>
      </c>
      <c r="F455" s="45">
        <f>37.0163 * CHOOSE(CONTROL!$C$15, $E$9, 100%, $G$9) + CHOOSE(CONTROL!$C$38, 0.034, 0)</f>
        <v>37.0503</v>
      </c>
      <c r="G455" s="14">
        <f>35.0065 * CHOOSE(CONTROL!$C$15, $E$9, 100%, $G$9) + CHOOSE(CONTROL!$C$38, 0.0342, 0)</f>
        <v>35.040700000000001</v>
      </c>
      <c r="H455" s="14">
        <f>35.0065 * CHOOSE(CONTROL!$C$15, $E$9, 100%, $G$9) + CHOOSE(CONTROL!$C$38, 0.0342, 0)</f>
        <v>35.040700000000001</v>
      </c>
      <c r="I455" s="14">
        <f>35.0081 * CHOOSE(CONTROL!$C$15, $E$9, 100%, $G$9) + CHOOSE(CONTROL!$C$38, 0.0342, 0)</f>
        <v>35.042299999999997</v>
      </c>
      <c r="J455" s="44">
        <f>248.9269</f>
        <v>248.92689999999999</v>
      </c>
    </row>
    <row r="456" spans="1:10" ht="15.75" x14ac:dyDescent="0.25">
      <c r="A456" s="33">
        <v>54819</v>
      </c>
      <c r="B456" s="14">
        <f>38.3473 * CHOOSE(CONTROL!$C$15, $E$9, 100%, $G$9) + CHOOSE(CONTROL!$C$38, 0.034, 0)</f>
        <v>38.381299999999996</v>
      </c>
      <c r="C456" s="14">
        <f>36.308 * CHOOSE(CONTROL!$C$15, $E$9, 100%, $G$9) + CHOOSE(CONTROL!$C$38, 0.0342, 0)</f>
        <v>36.342199999999998</v>
      </c>
      <c r="D456" s="14">
        <f>36.3001 * CHOOSE(CONTROL!$C$15, $E$9, 100%, $G$9) + CHOOSE(CONTROL!$C$38, 0.0342, 0)</f>
        <v>36.334299999999999</v>
      </c>
      <c r="E456" s="14">
        <f>36.3001 * CHOOSE(CONTROL!$C$15, $E$9, 100%, $G$9) + CHOOSE(CONTROL!$C$38, 0.0342, 0)</f>
        <v>36.334299999999999</v>
      </c>
      <c r="F456" s="45">
        <f>38.3473 * CHOOSE(CONTROL!$C$15, $E$9, 100%, $G$9) + CHOOSE(CONTROL!$C$38, 0.034, 0)</f>
        <v>38.381299999999996</v>
      </c>
      <c r="G456" s="14">
        <f>36.3064 * CHOOSE(CONTROL!$C$15, $E$9, 100%, $G$9) + CHOOSE(CONTROL!$C$38, 0.0342, 0)</f>
        <v>36.340599999999995</v>
      </c>
      <c r="H456" s="14">
        <f>36.3064 * CHOOSE(CONTROL!$C$15, $E$9, 100%, $G$9) + CHOOSE(CONTROL!$C$38, 0.0342, 0)</f>
        <v>36.340599999999995</v>
      </c>
      <c r="I456" s="14">
        <f>36.308 * CHOOSE(CONTROL!$C$15, $E$9, 100%, $G$9) + CHOOSE(CONTROL!$C$38, 0.0342, 0)</f>
        <v>36.342199999999998</v>
      </c>
      <c r="J456" s="44">
        <f>248.7472</f>
        <v>248.74719999999999</v>
      </c>
    </row>
    <row r="457" spans="1:10" ht="15.75" x14ac:dyDescent="0.25">
      <c r="A457" s="33">
        <v>54847</v>
      </c>
      <c r="B457" s="14">
        <f>38.6916 * CHOOSE(CONTROL!$C$15, $E$9, 100%, $G$9) + CHOOSE(CONTROL!$C$38, 0.034, 0)</f>
        <v>38.7256</v>
      </c>
      <c r="C457" s="14">
        <f>36.6523 * CHOOSE(CONTROL!$C$15, $E$9, 100%, $G$9) + CHOOSE(CONTROL!$C$38, 0.0342, 0)</f>
        <v>36.686499999999995</v>
      </c>
      <c r="D457" s="14">
        <f>36.6445 * CHOOSE(CONTROL!$C$15, $E$9, 100%, $G$9) + CHOOSE(CONTROL!$C$38, 0.0342, 0)</f>
        <v>36.678699999999999</v>
      </c>
      <c r="E457" s="14">
        <f>36.6445 * CHOOSE(CONTROL!$C$15, $E$9, 100%, $G$9) + CHOOSE(CONTROL!$C$38, 0.0342, 0)</f>
        <v>36.678699999999999</v>
      </c>
      <c r="F457" s="45">
        <f>38.6916 * CHOOSE(CONTROL!$C$15, $E$9, 100%, $G$9) + CHOOSE(CONTROL!$C$38, 0.034, 0)</f>
        <v>38.7256</v>
      </c>
      <c r="G457" s="14">
        <f>36.6507 * CHOOSE(CONTROL!$C$15, $E$9, 100%, $G$9) + CHOOSE(CONTROL!$C$38, 0.0342, 0)</f>
        <v>36.684899999999999</v>
      </c>
      <c r="H457" s="14">
        <f>36.6507 * CHOOSE(CONTROL!$C$15, $E$9, 100%, $G$9) + CHOOSE(CONTROL!$C$38, 0.0342, 0)</f>
        <v>36.684899999999999</v>
      </c>
      <c r="I457" s="14">
        <f>36.6523 * CHOOSE(CONTROL!$C$15, $E$9, 100%, $G$9) + CHOOSE(CONTROL!$C$38, 0.0342, 0)</f>
        <v>36.686499999999995</v>
      </c>
      <c r="J457" s="44">
        <f>248.0558</f>
        <v>248.0558</v>
      </c>
    </row>
    <row r="458" spans="1:10" ht="15.75" x14ac:dyDescent="0.25">
      <c r="A458" s="33">
        <v>54878</v>
      </c>
      <c r="B458" s="14">
        <f>37.8945 * CHOOSE(CONTROL!$C$15, $E$9, 100%, $G$9) + CHOOSE(CONTROL!$C$38, 0.034, 0)</f>
        <v>37.9285</v>
      </c>
      <c r="C458" s="14">
        <f>35.8552 * CHOOSE(CONTROL!$C$15, $E$9, 100%, $G$9) + CHOOSE(CONTROL!$C$38, 0.0342, 0)</f>
        <v>35.889400000000002</v>
      </c>
      <c r="D458" s="14">
        <f>35.8474 * CHOOSE(CONTROL!$C$15, $E$9, 100%, $G$9) + CHOOSE(CONTROL!$C$38, 0.0342, 0)</f>
        <v>35.881599999999999</v>
      </c>
      <c r="E458" s="14">
        <f>35.8474 * CHOOSE(CONTROL!$C$15, $E$9, 100%, $G$9) + CHOOSE(CONTROL!$C$38, 0.0342, 0)</f>
        <v>35.881599999999999</v>
      </c>
      <c r="F458" s="45">
        <f>37.8945 * CHOOSE(CONTROL!$C$15, $E$9, 100%, $G$9) + CHOOSE(CONTROL!$C$38, 0.034, 0)</f>
        <v>37.9285</v>
      </c>
      <c r="G458" s="14">
        <f>35.8537 * CHOOSE(CONTROL!$C$15, $E$9, 100%, $G$9) + CHOOSE(CONTROL!$C$38, 0.0342, 0)</f>
        <v>35.887900000000002</v>
      </c>
      <c r="H458" s="14">
        <f>35.8537 * CHOOSE(CONTROL!$C$15, $E$9, 100%, $G$9) + CHOOSE(CONTROL!$C$38, 0.0342, 0)</f>
        <v>35.887900000000002</v>
      </c>
      <c r="I458" s="14">
        <f>35.8552 * CHOOSE(CONTROL!$C$15, $E$9, 100%, $G$9) + CHOOSE(CONTROL!$C$38, 0.0342, 0)</f>
        <v>35.889400000000002</v>
      </c>
      <c r="J458" s="44">
        <f>261.1298</f>
        <v>261.12979999999999</v>
      </c>
    </row>
    <row r="459" spans="1:10" ht="15.75" x14ac:dyDescent="0.25">
      <c r="A459" s="33">
        <v>54908</v>
      </c>
      <c r="B459" s="14">
        <f>37.1222 * CHOOSE(CONTROL!$C$15, $E$9, 100%, $G$9) + CHOOSE(CONTROL!$C$38, 0.034, 0)</f>
        <v>37.156199999999998</v>
      </c>
      <c r="C459" s="14">
        <f>35.0829 * CHOOSE(CONTROL!$C$15, $E$9, 100%, $G$9) + CHOOSE(CONTROL!$C$38, 0.0342, 0)</f>
        <v>35.117100000000001</v>
      </c>
      <c r="D459" s="14">
        <f>35.0751 * CHOOSE(CONTROL!$C$15, $E$9, 100%, $G$9) + CHOOSE(CONTROL!$C$38, 0.0342, 0)</f>
        <v>35.109299999999998</v>
      </c>
      <c r="E459" s="14">
        <f>35.0751 * CHOOSE(CONTROL!$C$15, $E$9, 100%, $G$9) + CHOOSE(CONTROL!$C$38, 0.0342, 0)</f>
        <v>35.109299999999998</v>
      </c>
      <c r="F459" s="45">
        <f>37.1222 * CHOOSE(CONTROL!$C$15, $E$9, 100%, $G$9) + CHOOSE(CONTROL!$C$38, 0.034, 0)</f>
        <v>37.156199999999998</v>
      </c>
      <c r="G459" s="14">
        <f>35.0814 * CHOOSE(CONTROL!$C$15, $E$9, 100%, $G$9) + CHOOSE(CONTROL!$C$38, 0.0342, 0)</f>
        <v>35.115600000000001</v>
      </c>
      <c r="H459" s="14">
        <f>35.0814 * CHOOSE(CONTROL!$C$15, $E$9, 100%, $G$9) + CHOOSE(CONTROL!$C$38, 0.0342, 0)</f>
        <v>35.115600000000001</v>
      </c>
      <c r="I459" s="14">
        <f>35.0829 * CHOOSE(CONTROL!$C$15, $E$9, 100%, $G$9) + CHOOSE(CONTROL!$C$38, 0.0342, 0)</f>
        <v>35.117100000000001</v>
      </c>
      <c r="J459" s="44">
        <f>278.0836</f>
        <v>278.08359999999999</v>
      </c>
    </row>
    <row r="460" spans="1:10" ht="15.75" x14ac:dyDescent="0.25">
      <c r="A460" s="33">
        <v>54939</v>
      </c>
      <c r="B460" s="14">
        <f>36.3173 * CHOOSE(CONTROL!$C$15, $E$9, 100%, $G$9) + CHOOSE(CONTROL!$C$38, 0.0353, 0)</f>
        <v>36.352600000000002</v>
      </c>
      <c r="C460" s="14">
        <f>34.278 * CHOOSE(CONTROL!$C$15, $E$9, 100%, $G$9) + CHOOSE(CONTROL!$C$38, 0.0354, 0)</f>
        <v>34.313400000000001</v>
      </c>
      <c r="D460" s="14">
        <f>34.2701 * CHOOSE(CONTROL!$C$15, $E$9, 100%, $G$9) + CHOOSE(CONTROL!$C$38, 0.0354, 0)</f>
        <v>34.305500000000002</v>
      </c>
      <c r="E460" s="14">
        <f>34.2701 * CHOOSE(CONTROL!$C$15, $E$9, 100%, $G$9) + CHOOSE(CONTROL!$C$38, 0.0354, 0)</f>
        <v>34.305500000000002</v>
      </c>
      <c r="F460" s="45">
        <f>36.3173 * CHOOSE(CONTROL!$C$15, $E$9, 100%, $G$9) + CHOOSE(CONTROL!$C$38, 0.0353, 0)</f>
        <v>36.352600000000002</v>
      </c>
      <c r="G460" s="14">
        <f>34.2764 * CHOOSE(CONTROL!$C$15, $E$9, 100%, $G$9) + CHOOSE(CONTROL!$C$38, 0.0354, 0)</f>
        <v>34.311800000000005</v>
      </c>
      <c r="H460" s="14">
        <f>34.2764 * CHOOSE(CONTROL!$C$15, $E$9, 100%, $G$9) + CHOOSE(CONTROL!$C$38, 0.0354, 0)</f>
        <v>34.311800000000005</v>
      </c>
      <c r="I460" s="14">
        <f>34.278 * CHOOSE(CONTROL!$C$15, $E$9, 100%, $G$9) + CHOOSE(CONTROL!$C$38, 0.0354, 0)</f>
        <v>34.313400000000001</v>
      </c>
      <c r="J460" s="44">
        <f>287.4155</f>
        <v>287.41550000000001</v>
      </c>
    </row>
    <row r="461" spans="1:10" ht="15.75" x14ac:dyDescent="0.25">
      <c r="A461" s="33">
        <v>54969</v>
      </c>
      <c r="B461" s="14">
        <f>35.7529 * CHOOSE(CONTROL!$C$15, $E$9, 100%, $G$9) + CHOOSE(CONTROL!$C$38, 0.0353, 0)</f>
        <v>35.788199999999996</v>
      </c>
      <c r="C461" s="14">
        <f>33.7136 * CHOOSE(CONTROL!$C$15, $E$9, 100%, $G$9) + CHOOSE(CONTROL!$C$38, 0.0354, 0)</f>
        <v>33.749000000000002</v>
      </c>
      <c r="D461" s="14">
        <f>33.7058 * CHOOSE(CONTROL!$C$15, $E$9, 100%, $G$9) + CHOOSE(CONTROL!$C$38, 0.0354, 0)</f>
        <v>33.741200000000006</v>
      </c>
      <c r="E461" s="14">
        <f>33.7058 * CHOOSE(CONTROL!$C$15, $E$9, 100%, $G$9) + CHOOSE(CONTROL!$C$38, 0.0354, 0)</f>
        <v>33.741200000000006</v>
      </c>
      <c r="F461" s="45">
        <f>35.7529 * CHOOSE(CONTROL!$C$15, $E$9, 100%, $G$9) + CHOOSE(CONTROL!$C$38, 0.0353, 0)</f>
        <v>35.788199999999996</v>
      </c>
      <c r="G461" s="14">
        <f>33.7121 * CHOOSE(CONTROL!$C$15, $E$9, 100%, $G$9) + CHOOSE(CONTROL!$C$38, 0.0354, 0)</f>
        <v>33.747500000000002</v>
      </c>
      <c r="H461" s="14">
        <f>33.7121 * CHOOSE(CONTROL!$C$15, $E$9, 100%, $G$9) + CHOOSE(CONTROL!$C$38, 0.0354, 0)</f>
        <v>33.747500000000002</v>
      </c>
      <c r="I461" s="14">
        <f>33.7136 * CHOOSE(CONTROL!$C$15, $E$9, 100%, $G$9) + CHOOSE(CONTROL!$C$38, 0.0354, 0)</f>
        <v>33.749000000000002</v>
      </c>
      <c r="J461" s="44">
        <f>291.5569</f>
        <v>291.55689999999998</v>
      </c>
    </row>
    <row r="462" spans="1:10" ht="15.75" x14ac:dyDescent="0.25">
      <c r="A462" s="33">
        <v>55000</v>
      </c>
      <c r="B462" s="14">
        <f>35.4309 * CHOOSE(CONTROL!$C$15, $E$9, 100%, $G$9) + CHOOSE(CONTROL!$C$38, 0.0353, 0)</f>
        <v>35.466200000000001</v>
      </c>
      <c r="C462" s="14">
        <f>33.3916 * CHOOSE(CONTROL!$C$15, $E$9, 100%, $G$9) + CHOOSE(CONTROL!$C$38, 0.0354, 0)</f>
        <v>33.427</v>
      </c>
      <c r="D462" s="14">
        <f>33.3838 * CHOOSE(CONTROL!$C$15, $E$9, 100%, $G$9) + CHOOSE(CONTROL!$C$38, 0.0354, 0)</f>
        <v>33.419200000000004</v>
      </c>
      <c r="E462" s="14">
        <f>33.3838 * CHOOSE(CONTROL!$C$15, $E$9, 100%, $G$9) + CHOOSE(CONTROL!$C$38, 0.0354, 0)</f>
        <v>33.419200000000004</v>
      </c>
      <c r="F462" s="45">
        <f>35.4309 * CHOOSE(CONTROL!$C$15, $E$9, 100%, $G$9) + CHOOSE(CONTROL!$C$38, 0.0353, 0)</f>
        <v>35.466200000000001</v>
      </c>
      <c r="G462" s="14">
        <f>33.39 * CHOOSE(CONTROL!$C$15, $E$9, 100%, $G$9) + CHOOSE(CONTROL!$C$38, 0.0354, 0)</f>
        <v>33.425400000000003</v>
      </c>
      <c r="H462" s="14">
        <f>33.39 * CHOOSE(CONTROL!$C$15, $E$9, 100%, $G$9) + CHOOSE(CONTROL!$C$38, 0.0354, 0)</f>
        <v>33.425400000000003</v>
      </c>
      <c r="I462" s="14">
        <f>33.3916 * CHOOSE(CONTROL!$C$15, $E$9, 100%, $G$9) + CHOOSE(CONTROL!$C$38, 0.0354, 0)</f>
        <v>33.427</v>
      </c>
      <c r="J462" s="44">
        <f>290.1933</f>
        <v>290.19330000000002</v>
      </c>
    </row>
    <row r="463" spans="1:10" ht="15.75" x14ac:dyDescent="0.25">
      <c r="A463" s="33">
        <v>55031</v>
      </c>
      <c r="B463" s="14">
        <f>35.5898 * CHOOSE(CONTROL!$C$15, $E$9, 100%, $G$9) + CHOOSE(CONTROL!$C$38, 0.0353, 0)</f>
        <v>35.625099999999996</v>
      </c>
      <c r="C463" s="14">
        <f>33.5505 * CHOOSE(CONTROL!$C$15, $E$9, 100%, $G$9) + CHOOSE(CONTROL!$C$38, 0.0354, 0)</f>
        <v>33.585900000000002</v>
      </c>
      <c r="D463" s="14">
        <f>33.5427 * CHOOSE(CONTROL!$C$15, $E$9, 100%, $G$9) + CHOOSE(CONTROL!$C$38, 0.0354, 0)</f>
        <v>33.578100000000006</v>
      </c>
      <c r="E463" s="14">
        <f>33.5427 * CHOOSE(CONTROL!$C$15, $E$9, 100%, $G$9) + CHOOSE(CONTROL!$C$38, 0.0354, 0)</f>
        <v>33.578100000000006</v>
      </c>
      <c r="F463" s="45">
        <f>35.5898 * CHOOSE(CONTROL!$C$15, $E$9, 100%, $G$9) + CHOOSE(CONTROL!$C$38, 0.0353, 0)</f>
        <v>35.625099999999996</v>
      </c>
      <c r="G463" s="14">
        <f>33.549 * CHOOSE(CONTROL!$C$15, $E$9, 100%, $G$9) + CHOOSE(CONTROL!$C$38, 0.0354, 0)</f>
        <v>33.584400000000002</v>
      </c>
      <c r="H463" s="14">
        <f>33.549 * CHOOSE(CONTROL!$C$15, $E$9, 100%, $G$9) + CHOOSE(CONTROL!$C$38, 0.0354, 0)</f>
        <v>33.584400000000002</v>
      </c>
      <c r="I463" s="14">
        <f>33.5505 * CHOOSE(CONTROL!$C$15, $E$9, 100%, $G$9) + CHOOSE(CONTROL!$C$38, 0.0354, 0)</f>
        <v>33.585900000000002</v>
      </c>
      <c r="J463" s="44">
        <f>283.4378</f>
        <v>283.43779999999998</v>
      </c>
    </row>
    <row r="464" spans="1:10" ht="15.75" x14ac:dyDescent="0.25">
      <c r="A464" s="33">
        <v>55061</v>
      </c>
      <c r="B464" s="14">
        <f>36.0215 * CHOOSE(CONTROL!$C$15, $E$9, 100%, $G$9) + CHOOSE(CONTROL!$C$38, 0.0353, 0)</f>
        <v>36.056800000000003</v>
      </c>
      <c r="C464" s="14">
        <f>33.9822 * CHOOSE(CONTROL!$C$15, $E$9, 100%, $G$9) + CHOOSE(CONTROL!$C$38, 0.0354, 0)</f>
        <v>34.017600000000002</v>
      </c>
      <c r="D464" s="14">
        <f>33.9744 * CHOOSE(CONTROL!$C$15, $E$9, 100%, $G$9) + CHOOSE(CONTROL!$C$38, 0.0354, 0)</f>
        <v>34.009800000000006</v>
      </c>
      <c r="E464" s="14">
        <f>33.9744 * CHOOSE(CONTROL!$C$15, $E$9, 100%, $G$9) + CHOOSE(CONTROL!$C$38, 0.0354, 0)</f>
        <v>34.009800000000006</v>
      </c>
      <c r="F464" s="45">
        <f>36.0215 * CHOOSE(CONTROL!$C$15, $E$9, 100%, $G$9) + CHOOSE(CONTROL!$C$38, 0.0353, 0)</f>
        <v>36.056800000000003</v>
      </c>
      <c r="G464" s="14">
        <f>33.9807 * CHOOSE(CONTROL!$C$15, $E$9, 100%, $G$9) + CHOOSE(CONTROL!$C$38, 0.0354, 0)</f>
        <v>34.016100000000002</v>
      </c>
      <c r="H464" s="14">
        <f>33.9807 * CHOOSE(CONTROL!$C$15, $E$9, 100%, $G$9) + CHOOSE(CONTROL!$C$38, 0.0354, 0)</f>
        <v>34.016100000000002</v>
      </c>
      <c r="I464" s="14">
        <f>33.9822 * CHOOSE(CONTROL!$C$15, $E$9, 100%, $G$9) + CHOOSE(CONTROL!$C$38, 0.0354, 0)</f>
        <v>34.017600000000002</v>
      </c>
      <c r="J464" s="44">
        <f>274.0168</f>
        <v>274.01679999999999</v>
      </c>
    </row>
    <row r="465" spans="1:10" ht="15.75" x14ac:dyDescent="0.25">
      <c r="A465" s="33">
        <v>55092</v>
      </c>
      <c r="B465" s="14">
        <f>36.3831 * CHOOSE(CONTROL!$C$15, $E$9, 100%, $G$9) + CHOOSE(CONTROL!$C$38, 0.034, 0)</f>
        <v>36.417099999999998</v>
      </c>
      <c r="C465" s="14">
        <f>34.3438 * CHOOSE(CONTROL!$C$15, $E$9, 100%, $G$9) + CHOOSE(CONTROL!$C$38, 0.0342, 0)</f>
        <v>34.378</v>
      </c>
      <c r="D465" s="14">
        <f>34.336 * CHOOSE(CONTROL!$C$15, $E$9, 100%, $G$9) + CHOOSE(CONTROL!$C$38, 0.0342, 0)</f>
        <v>34.370199999999997</v>
      </c>
      <c r="E465" s="14">
        <f>34.336 * CHOOSE(CONTROL!$C$15, $E$9, 100%, $G$9) + CHOOSE(CONTROL!$C$38, 0.0342, 0)</f>
        <v>34.370199999999997</v>
      </c>
      <c r="F465" s="45">
        <f>36.3831 * CHOOSE(CONTROL!$C$15, $E$9, 100%, $G$9) + CHOOSE(CONTROL!$C$38, 0.034, 0)</f>
        <v>36.417099999999998</v>
      </c>
      <c r="G465" s="14">
        <f>34.3422 * CHOOSE(CONTROL!$C$15, $E$9, 100%, $G$9) + CHOOSE(CONTROL!$C$38, 0.0342, 0)</f>
        <v>34.376399999999997</v>
      </c>
      <c r="H465" s="14">
        <f>34.3422 * CHOOSE(CONTROL!$C$15, $E$9, 100%, $G$9) + CHOOSE(CONTROL!$C$38, 0.0342, 0)</f>
        <v>34.376399999999997</v>
      </c>
      <c r="I465" s="14">
        <f>34.3438 * CHOOSE(CONTROL!$C$15, $E$9, 100%, $G$9) + CHOOSE(CONTROL!$C$38, 0.0342, 0)</f>
        <v>34.378</v>
      </c>
      <c r="J465" s="44">
        <f>264.541</f>
        <v>264.541</v>
      </c>
    </row>
    <row r="466" spans="1:10" ht="15.75" x14ac:dyDescent="0.25">
      <c r="A466" s="33">
        <v>55122</v>
      </c>
      <c r="B466" s="14">
        <f>36.6848 * CHOOSE(CONTROL!$C$15, $E$9, 100%, $G$9) + CHOOSE(CONTROL!$C$38, 0.034, 0)</f>
        <v>36.718800000000002</v>
      </c>
      <c r="C466" s="14">
        <f>34.6455 * CHOOSE(CONTROL!$C$15, $E$9, 100%, $G$9) + CHOOSE(CONTROL!$C$38, 0.0342, 0)</f>
        <v>34.679699999999997</v>
      </c>
      <c r="D466" s="14">
        <f>34.6377 * CHOOSE(CONTROL!$C$15, $E$9, 100%, $G$9) + CHOOSE(CONTROL!$C$38, 0.0342, 0)</f>
        <v>34.671900000000001</v>
      </c>
      <c r="E466" s="14">
        <f>34.6377 * CHOOSE(CONTROL!$C$15, $E$9, 100%, $G$9) + CHOOSE(CONTROL!$C$38, 0.0342, 0)</f>
        <v>34.671900000000001</v>
      </c>
      <c r="F466" s="45">
        <f>36.6848 * CHOOSE(CONTROL!$C$15, $E$9, 100%, $G$9) + CHOOSE(CONTROL!$C$38, 0.034, 0)</f>
        <v>36.718800000000002</v>
      </c>
      <c r="G466" s="14">
        <f>34.6439 * CHOOSE(CONTROL!$C$15, $E$9, 100%, $G$9) + CHOOSE(CONTROL!$C$38, 0.0342, 0)</f>
        <v>34.678100000000001</v>
      </c>
      <c r="H466" s="14">
        <f>34.6439 * CHOOSE(CONTROL!$C$15, $E$9, 100%, $G$9) + CHOOSE(CONTROL!$C$38, 0.0342, 0)</f>
        <v>34.678100000000001</v>
      </c>
      <c r="I466" s="14">
        <f>34.6455 * CHOOSE(CONTROL!$C$15, $E$9, 100%, $G$9) + CHOOSE(CONTROL!$C$38, 0.0342, 0)</f>
        <v>34.679699999999997</v>
      </c>
      <c r="J466" s="44">
        <f>262.6561</f>
        <v>262.65609999999998</v>
      </c>
    </row>
    <row r="467" spans="1:10" ht="15.75" x14ac:dyDescent="0.25">
      <c r="A467" s="33">
        <v>55153</v>
      </c>
      <c r="B467" s="14">
        <f>37.6145 * CHOOSE(CONTROL!$C$15, $E$9, 100%, $G$9) + CHOOSE(CONTROL!$C$38, 0.034, 0)</f>
        <v>37.648499999999999</v>
      </c>
      <c r="C467" s="14">
        <f>35.5752 * CHOOSE(CONTROL!$C$15, $E$9, 100%, $G$9) + CHOOSE(CONTROL!$C$38, 0.0342, 0)</f>
        <v>35.609400000000001</v>
      </c>
      <c r="D467" s="14">
        <f>35.5673 * CHOOSE(CONTROL!$C$15, $E$9, 100%, $G$9) + CHOOSE(CONTROL!$C$38, 0.0342, 0)</f>
        <v>35.601500000000001</v>
      </c>
      <c r="E467" s="14">
        <f>35.5673 * CHOOSE(CONTROL!$C$15, $E$9, 100%, $G$9) + CHOOSE(CONTROL!$C$38, 0.0342, 0)</f>
        <v>35.601500000000001</v>
      </c>
      <c r="F467" s="45">
        <f>37.6145 * CHOOSE(CONTROL!$C$15, $E$9, 100%, $G$9) + CHOOSE(CONTROL!$C$38, 0.034, 0)</f>
        <v>37.648499999999999</v>
      </c>
      <c r="G467" s="14">
        <f>35.5736 * CHOOSE(CONTROL!$C$15, $E$9, 100%, $G$9) + CHOOSE(CONTROL!$C$38, 0.0342, 0)</f>
        <v>35.607799999999997</v>
      </c>
      <c r="H467" s="14">
        <f>35.5736 * CHOOSE(CONTROL!$C$15, $E$9, 100%, $G$9) + CHOOSE(CONTROL!$C$38, 0.0342, 0)</f>
        <v>35.607799999999997</v>
      </c>
      <c r="I467" s="14">
        <f>35.5752 * CHOOSE(CONTROL!$C$15, $E$9, 100%, $G$9) + CHOOSE(CONTROL!$C$38, 0.0342, 0)</f>
        <v>35.609400000000001</v>
      </c>
      <c r="J467" s="44">
        <f>254.8617</f>
        <v>254.86170000000001</v>
      </c>
    </row>
    <row r="468" spans="1:10" ht="15.75" x14ac:dyDescent="0.25">
      <c r="A468" s="33">
        <v>55184</v>
      </c>
      <c r="B468" s="14">
        <f>38.9555 * CHOOSE(CONTROL!$C$15, $E$9, 100%, $G$9) + CHOOSE(CONTROL!$C$38, 0.034, 0)</f>
        <v>38.9895</v>
      </c>
      <c r="C468" s="14">
        <f>36.8845 * CHOOSE(CONTROL!$C$15, $E$9, 100%, $G$9) + CHOOSE(CONTROL!$C$38, 0.0342, 0)</f>
        <v>36.918700000000001</v>
      </c>
      <c r="D468" s="14">
        <f>36.8767 * CHOOSE(CONTROL!$C$15, $E$9, 100%, $G$9) + CHOOSE(CONTROL!$C$38, 0.0342, 0)</f>
        <v>36.910899999999998</v>
      </c>
      <c r="E468" s="14">
        <f>36.8767 * CHOOSE(CONTROL!$C$15, $E$9, 100%, $G$9) + CHOOSE(CONTROL!$C$38, 0.0342, 0)</f>
        <v>36.910899999999998</v>
      </c>
      <c r="F468" s="45">
        <f>38.9555 * CHOOSE(CONTROL!$C$15, $E$9, 100%, $G$9) + CHOOSE(CONTROL!$C$38, 0.034, 0)</f>
        <v>38.9895</v>
      </c>
      <c r="G468" s="14">
        <f>36.883 * CHOOSE(CONTROL!$C$15, $E$9, 100%, $G$9) + CHOOSE(CONTROL!$C$38, 0.0342, 0)</f>
        <v>36.917200000000001</v>
      </c>
      <c r="H468" s="14">
        <f>36.883 * CHOOSE(CONTROL!$C$15, $E$9, 100%, $G$9) + CHOOSE(CONTROL!$C$38, 0.0342, 0)</f>
        <v>36.917200000000001</v>
      </c>
      <c r="I468" s="14">
        <f>36.8845 * CHOOSE(CONTROL!$C$15, $E$9, 100%, $G$9) + CHOOSE(CONTROL!$C$38, 0.0342, 0)</f>
        <v>36.918700000000001</v>
      </c>
      <c r="J468" s="44">
        <f>254.6777</f>
        <v>254.67769999999999</v>
      </c>
    </row>
    <row r="469" spans="1:10" ht="15.75" x14ac:dyDescent="0.25">
      <c r="A469" s="33">
        <v>55212</v>
      </c>
      <c r="B469" s="14">
        <f>39.2998 * CHOOSE(CONTROL!$C$15, $E$9, 100%, $G$9) + CHOOSE(CONTROL!$C$38, 0.034, 0)</f>
        <v>39.333799999999997</v>
      </c>
      <c r="C469" s="14">
        <f>37.2288 * CHOOSE(CONTROL!$C$15, $E$9, 100%, $G$9) + CHOOSE(CONTROL!$C$38, 0.0342, 0)</f>
        <v>37.262999999999998</v>
      </c>
      <c r="D469" s="14">
        <f>37.221 * CHOOSE(CONTROL!$C$15, $E$9, 100%, $G$9) + CHOOSE(CONTROL!$C$38, 0.0342, 0)</f>
        <v>37.255199999999995</v>
      </c>
      <c r="E469" s="14">
        <f>37.221 * CHOOSE(CONTROL!$C$15, $E$9, 100%, $G$9) + CHOOSE(CONTROL!$C$38, 0.0342, 0)</f>
        <v>37.255199999999995</v>
      </c>
      <c r="F469" s="45">
        <f>39.2998 * CHOOSE(CONTROL!$C$15, $E$9, 100%, $G$9) + CHOOSE(CONTROL!$C$38, 0.034, 0)</f>
        <v>39.333799999999997</v>
      </c>
      <c r="G469" s="14">
        <f>37.2273 * CHOOSE(CONTROL!$C$15, $E$9, 100%, $G$9) + CHOOSE(CONTROL!$C$38, 0.0342, 0)</f>
        <v>37.261499999999998</v>
      </c>
      <c r="H469" s="14">
        <f>37.2273 * CHOOSE(CONTROL!$C$15, $E$9, 100%, $G$9) + CHOOSE(CONTROL!$C$38, 0.0342, 0)</f>
        <v>37.261499999999998</v>
      </c>
      <c r="I469" s="14">
        <f>37.2288 * CHOOSE(CONTROL!$C$15, $E$9, 100%, $G$9) + CHOOSE(CONTROL!$C$38, 0.0342, 0)</f>
        <v>37.262999999999998</v>
      </c>
      <c r="J469" s="44">
        <f>253.9698</f>
        <v>253.96979999999999</v>
      </c>
    </row>
    <row r="470" spans="1:10" ht="15.75" x14ac:dyDescent="0.25">
      <c r="A470" s="33">
        <v>55243</v>
      </c>
      <c r="B470" s="14">
        <f>38.5028 * CHOOSE(CONTROL!$C$15, $E$9, 100%, $G$9) + CHOOSE(CONTROL!$C$38, 0.034, 0)</f>
        <v>38.536799999999999</v>
      </c>
      <c r="C470" s="14">
        <f>36.4318 * CHOOSE(CONTROL!$C$15, $E$9, 100%, $G$9) + CHOOSE(CONTROL!$C$38, 0.0342, 0)</f>
        <v>36.466000000000001</v>
      </c>
      <c r="D470" s="14">
        <f>36.424 * CHOOSE(CONTROL!$C$15, $E$9, 100%, $G$9) + CHOOSE(CONTROL!$C$38, 0.0342, 0)</f>
        <v>36.458199999999998</v>
      </c>
      <c r="E470" s="14">
        <f>36.424 * CHOOSE(CONTROL!$C$15, $E$9, 100%, $G$9) + CHOOSE(CONTROL!$C$38, 0.0342, 0)</f>
        <v>36.458199999999998</v>
      </c>
      <c r="F470" s="45">
        <f>38.5028 * CHOOSE(CONTROL!$C$15, $E$9, 100%, $G$9) + CHOOSE(CONTROL!$C$38, 0.034, 0)</f>
        <v>38.536799999999999</v>
      </c>
      <c r="G470" s="14">
        <f>36.4302 * CHOOSE(CONTROL!$C$15, $E$9, 100%, $G$9) + CHOOSE(CONTROL!$C$38, 0.0342, 0)</f>
        <v>36.464399999999998</v>
      </c>
      <c r="H470" s="14">
        <f>36.4302 * CHOOSE(CONTROL!$C$15, $E$9, 100%, $G$9) + CHOOSE(CONTROL!$C$38, 0.0342, 0)</f>
        <v>36.464399999999998</v>
      </c>
      <c r="I470" s="14">
        <f>36.4318 * CHOOSE(CONTROL!$C$15, $E$9, 100%, $G$9) + CHOOSE(CONTROL!$C$38, 0.0342, 0)</f>
        <v>36.466000000000001</v>
      </c>
      <c r="J470" s="44">
        <f>267.3555</f>
        <v>267.35550000000001</v>
      </c>
    </row>
    <row r="471" spans="1:10" ht="15.75" x14ac:dyDescent="0.25">
      <c r="A471" s="33">
        <v>55273</v>
      </c>
      <c r="B471" s="14">
        <f>37.7305 * CHOOSE(CONTROL!$C$15, $E$9, 100%, $G$9) + CHOOSE(CONTROL!$C$38, 0.034, 0)</f>
        <v>37.764499999999998</v>
      </c>
      <c r="C471" s="14">
        <f>35.6595 * CHOOSE(CONTROL!$C$15, $E$9, 100%, $G$9) + CHOOSE(CONTROL!$C$38, 0.0342, 0)</f>
        <v>35.6937</v>
      </c>
      <c r="D471" s="14">
        <f>35.6517 * CHOOSE(CONTROL!$C$15, $E$9, 100%, $G$9) + CHOOSE(CONTROL!$C$38, 0.0342, 0)</f>
        <v>35.685899999999997</v>
      </c>
      <c r="E471" s="14">
        <f>35.6517 * CHOOSE(CONTROL!$C$15, $E$9, 100%, $G$9) + CHOOSE(CONTROL!$C$38, 0.0342, 0)</f>
        <v>35.685899999999997</v>
      </c>
      <c r="F471" s="45">
        <f>37.7305 * CHOOSE(CONTROL!$C$15, $E$9, 100%, $G$9) + CHOOSE(CONTROL!$C$38, 0.034, 0)</f>
        <v>37.764499999999998</v>
      </c>
      <c r="G471" s="14">
        <f>35.6579 * CHOOSE(CONTROL!$C$15, $E$9, 100%, $G$9) + CHOOSE(CONTROL!$C$38, 0.0342, 0)</f>
        <v>35.692099999999996</v>
      </c>
      <c r="H471" s="14">
        <f>35.6579 * CHOOSE(CONTROL!$C$15, $E$9, 100%, $G$9) + CHOOSE(CONTROL!$C$38, 0.0342, 0)</f>
        <v>35.692099999999996</v>
      </c>
      <c r="I471" s="14">
        <f>35.6595 * CHOOSE(CONTROL!$C$15, $E$9, 100%, $G$9) + CHOOSE(CONTROL!$C$38, 0.0342, 0)</f>
        <v>35.6937</v>
      </c>
      <c r="J471" s="44">
        <f>284.7135</f>
        <v>284.71350000000001</v>
      </c>
    </row>
    <row r="472" spans="1:10" ht="15.75" x14ac:dyDescent="0.25">
      <c r="A472" s="33">
        <v>55304</v>
      </c>
      <c r="B472" s="14">
        <f>36.9255 * CHOOSE(CONTROL!$C$15, $E$9, 100%, $G$9) + CHOOSE(CONTROL!$C$38, 0.0353, 0)</f>
        <v>36.960799999999999</v>
      </c>
      <c r="C472" s="14">
        <f>34.8545 * CHOOSE(CONTROL!$C$15, $E$9, 100%, $G$9) + CHOOSE(CONTROL!$C$38, 0.0354, 0)</f>
        <v>34.889900000000004</v>
      </c>
      <c r="D472" s="14">
        <f>34.8467 * CHOOSE(CONTROL!$C$15, $E$9, 100%, $G$9) + CHOOSE(CONTROL!$C$38, 0.0354, 0)</f>
        <v>34.882100000000001</v>
      </c>
      <c r="E472" s="14">
        <f>34.8467 * CHOOSE(CONTROL!$C$15, $E$9, 100%, $G$9) + CHOOSE(CONTROL!$C$38, 0.0354, 0)</f>
        <v>34.882100000000001</v>
      </c>
      <c r="F472" s="45">
        <f>36.9255 * CHOOSE(CONTROL!$C$15, $E$9, 100%, $G$9) + CHOOSE(CONTROL!$C$38, 0.0353, 0)</f>
        <v>36.960799999999999</v>
      </c>
      <c r="G472" s="14">
        <f>34.853 * CHOOSE(CONTROL!$C$15, $E$9, 100%, $G$9) + CHOOSE(CONTROL!$C$38, 0.0354, 0)</f>
        <v>34.888400000000004</v>
      </c>
      <c r="H472" s="14">
        <f>34.853 * CHOOSE(CONTROL!$C$15, $E$9, 100%, $G$9) + CHOOSE(CONTROL!$C$38, 0.0354, 0)</f>
        <v>34.888400000000004</v>
      </c>
      <c r="I472" s="14">
        <f>34.8545 * CHOOSE(CONTROL!$C$15, $E$9, 100%, $G$9) + CHOOSE(CONTROL!$C$38, 0.0354, 0)</f>
        <v>34.889900000000004</v>
      </c>
      <c r="J472" s="44">
        <f>294.2679</f>
        <v>294.2679</v>
      </c>
    </row>
    <row r="473" spans="1:10" ht="15.75" x14ac:dyDescent="0.25">
      <c r="A473" s="33">
        <v>55334</v>
      </c>
      <c r="B473" s="14">
        <f>36.3612 * CHOOSE(CONTROL!$C$15, $E$9, 100%, $G$9) + CHOOSE(CONTROL!$C$38, 0.0353, 0)</f>
        <v>36.396499999999996</v>
      </c>
      <c r="C473" s="14">
        <f>34.2902 * CHOOSE(CONTROL!$C$15, $E$9, 100%, $G$9) + CHOOSE(CONTROL!$C$38, 0.0354, 0)</f>
        <v>34.325600000000001</v>
      </c>
      <c r="D473" s="14">
        <f>34.2824 * CHOOSE(CONTROL!$C$15, $E$9, 100%, $G$9) + CHOOSE(CONTROL!$C$38, 0.0354, 0)</f>
        <v>34.317800000000005</v>
      </c>
      <c r="E473" s="14">
        <f>34.2824 * CHOOSE(CONTROL!$C$15, $E$9, 100%, $G$9) + CHOOSE(CONTROL!$C$38, 0.0354, 0)</f>
        <v>34.317800000000005</v>
      </c>
      <c r="F473" s="45">
        <f>36.3612 * CHOOSE(CONTROL!$C$15, $E$9, 100%, $G$9) + CHOOSE(CONTROL!$C$38, 0.0353, 0)</f>
        <v>36.396499999999996</v>
      </c>
      <c r="G473" s="14">
        <f>34.2886 * CHOOSE(CONTROL!$C$15, $E$9, 100%, $G$9) + CHOOSE(CONTROL!$C$38, 0.0354, 0)</f>
        <v>34.324000000000005</v>
      </c>
      <c r="H473" s="14">
        <f>34.2886 * CHOOSE(CONTROL!$C$15, $E$9, 100%, $G$9) + CHOOSE(CONTROL!$C$38, 0.0354, 0)</f>
        <v>34.324000000000005</v>
      </c>
      <c r="I473" s="14">
        <f>34.2902 * CHOOSE(CONTROL!$C$15, $E$9, 100%, $G$9) + CHOOSE(CONTROL!$C$38, 0.0354, 0)</f>
        <v>34.325600000000001</v>
      </c>
      <c r="J473" s="44">
        <f>298.508</f>
        <v>298.50799999999998</v>
      </c>
    </row>
    <row r="474" spans="1:10" ht="15.75" x14ac:dyDescent="0.25">
      <c r="A474" s="33">
        <v>55365</v>
      </c>
      <c r="B474" s="14">
        <f>36.0391 * CHOOSE(CONTROL!$C$15, $E$9, 100%, $G$9) + CHOOSE(CONTROL!$C$38, 0.0353, 0)</f>
        <v>36.074399999999997</v>
      </c>
      <c r="C474" s="14">
        <f>33.9681 * CHOOSE(CONTROL!$C$15, $E$9, 100%, $G$9) + CHOOSE(CONTROL!$C$38, 0.0354, 0)</f>
        <v>34.003500000000003</v>
      </c>
      <c r="D474" s="14">
        <f>33.9603 * CHOOSE(CONTROL!$C$15, $E$9, 100%, $G$9) + CHOOSE(CONTROL!$C$38, 0.0354, 0)</f>
        <v>33.995699999999999</v>
      </c>
      <c r="E474" s="14">
        <f>33.9603 * CHOOSE(CONTROL!$C$15, $E$9, 100%, $G$9) + CHOOSE(CONTROL!$C$38, 0.0354, 0)</f>
        <v>33.995699999999999</v>
      </c>
      <c r="F474" s="45">
        <f>36.0391 * CHOOSE(CONTROL!$C$15, $E$9, 100%, $G$9) + CHOOSE(CONTROL!$C$38, 0.0353, 0)</f>
        <v>36.074399999999997</v>
      </c>
      <c r="G474" s="14">
        <f>33.9666 * CHOOSE(CONTROL!$C$15, $E$9, 100%, $G$9) + CHOOSE(CONTROL!$C$38, 0.0354, 0)</f>
        <v>34.002000000000002</v>
      </c>
      <c r="H474" s="14">
        <f>33.9666 * CHOOSE(CONTROL!$C$15, $E$9, 100%, $G$9) + CHOOSE(CONTROL!$C$38, 0.0354, 0)</f>
        <v>34.002000000000002</v>
      </c>
      <c r="I474" s="14">
        <f>33.9681 * CHOOSE(CONTROL!$C$15, $E$9, 100%, $G$9) + CHOOSE(CONTROL!$C$38, 0.0354, 0)</f>
        <v>34.003500000000003</v>
      </c>
      <c r="J474" s="44">
        <f>297.112</f>
        <v>297.11200000000002</v>
      </c>
    </row>
    <row r="475" spans="1:10" ht="15.75" x14ac:dyDescent="0.25">
      <c r="A475" s="33">
        <v>55396</v>
      </c>
      <c r="B475" s="14">
        <f>36.198 * CHOOSE(CONTROL!$C$15, $E$9, 100%, $G$9) + CHOOSE(CONTROL!$C$38, 0.0353, 0)</f>
        <v>36.2333</v>
      </c>
      <c r="C475" s="14">
        <f>34.1271 * CHOOSE(CONTROL!$C$15, $E$9, 100%, $G$9) + CHOOSE(CONTROL!$C$38, 0.0354, 0)</f>
        <v>34.162500000000001</v>
      </c>
      <c r="D475" s="14">
        <f>34.1193 * CHOOSE(CONTROL!$C$15, $E$9, 100%, $G$9) + CHOOSE(CONTROL!$C$38, 0.0354, 0)</f>
        <v>34.154700000000005</v>
      </c>
      <c r="E475" s="14">
        <f>34.1193 * CHOOSE(CONTROL!$C$15, $E$9, 100%, $G$9) + CHOOSE(CONTROL!$C$38, 0.0354, 0)</f>
        <v>34.154700000000005</v>
      </c>
      <c r="F475" s="45">
        <f>36.198 * CHOOSE(CONTROL!$C$15, $E$9, 100%, $G$9) + CHOOSE(CONTROL!$C$38, 0.0353, 0)</f>
        <v>36.2333</v>
      </c>
      <c r="G475" s="14">
        <f>34.1255 * CHOOSE(CONTROL!$C$15, $E$9, 100%, $G$9) + CHOOSE(CONTROL!$C$38, 0.0354, 0)</f>
        <v>34.160900000000005</v>
      </c>
      <c r="H475" s="14">
        <f>34.1255 * CHOOSE(CONTROL!$C$15, $E$9, 100%, $G$9) + CHOOSE(CONTROL!$C$38, 0.0354, 0)</f>
        <v>34.160900000000005</v>
      </c>
      <c r="I475" s="14">
        <f>34.1271 * CHOOSE(CONTROL!$C$15, $E$9, 100%, $G$9) + CHOOSE(CONTROL!$C$38, 0.0354, 0)</f>
        <v>34.162500000000001</v>
      </c>
      <c r="J475" s="44">
        <f>290.1954</f>
        <v>290.19540000000001</v>
      </c>
    </row>
    <row r="476" spans="1:10" ht="15.75" x14ac:dyDescent="0.25">
      <c r="A476" s="33">
        <v>55426</v>
      </c>
      <c r="B476" s="14">
        <f>36.6298 * CHOOSE(CONTROL!$C$15, $E$9, 100%, $G$9) + CHOOSE(CONTROL!$C$38, 0.0353, 0)</f>
        <v>36.665100000000002</v>
      </c>
      <c r="C476" s="14">
        <f>34.5588 * CHOOSE(CONTROL!$C$15, $E$9, 100%, $G$9) + CHOOSE(CONTROL!$C$38, 0.0354, 0)</f>
        <v>34.594200000000001</v>
      </c>
      <c r="D476" s="14">
        <f>34.551 * CHOOSE(CONTROL!$C$15, $E$9, 100%, $G$9) + CHOOSE(CONTROL!$C$38, 0.0354, 0)</f>
        <v>34.586400000000005</v>
      </c>
      <c r="E476" s="14">
        <f>34.551 * CHOOSE(CONTROL!$C$15, $E$9, 100%, $G$9) + CHOOSE(CONTROL!$C$38, 0.0354, 0)</f>
        <v>34.586400000000005</v>
      </c>
      <c r="F476" s="45">
        <f>36.6298 * CHOOSE(CONTROL!$C$15, $E$9, 100%, $G$9) + CHOOSE(CONTROL!$C$38, 0.0353, 0)</f>
        <v>36.665100000000002</v>
      </c>
      <c r="G476" s="14">
        <f>34.5572 * CHOOSE(CONTROL!$C$15, $E$9, 100%, $G$9) + CHOOSE(CONTROL!$C$38, 0.0354, 0)</f>
        <v>34.592600000000004</v>
      </c>
      <c r="H476" s="14">
        <f>34.5572 * CHOOSE(CONTROL!$C$15, $E$9, 100%, $G$9) + CHOOSE(CONTROL!$C$38, 0.0354, 0)</f>
        <v>34.592600000000004</v>
      </c>
      <c r="I476" s="14">
        <f>34.5588 * CHOOSE(CONTROL!$C$15, $E$9, 100%, $G$9) + CHOOSE(CONTROL!$C$38, 0.0354, 0)</f>
        <v>34.594200000000001</v>
      </c>
      <c r="J476" s="44">
        <f>280.5498</f>
        <v>280.5498</v>
      </c>
    </row>
    <row r="477" spans="1:10" ht="15.75" x14ac:dyDescent="0.25">
      <c r="A477" s="33">
        <v>55457</v>
      </c>
      <c r="B477" s="14">
        <f>36.9913 * CHOOSE(CONTROL!$C$15, $E$9, 100%, $G$9) + CHOOSE(CONTROL!$C$38, 0.034, 0)</f>
        <v>37.025300000000001</v>
      </c>
      <c r="C477" s="14">
        <f>34.9204 * CHOOSE(CONTROL!$C$15, $E$9, 100%, $G$9) + CHOOSE(CONTROL!$C$38, 0.0342, 0)</f>
        <v>34.954599999999999</v>
      </c>
      <c r="D477" s="14">
        <f>34.9126 * CHOOSE(CONTROL!$C$15, $E$9, 100%, $G$9) + CHOOSE(CONTROL!$C$38, 0.0342, 0)</f>
        <v>34.946799999999996</v>
      </c>
      <c r="E477" s="14">
        <f>34.9126 * CHOOSE(CONTROL!$C$15, $E$9, 100%, $G$9) + CHOOSE(CONTROL!$C$38, 0.0342, 0)</f>
        <v>34.946799999999996</v>
      </c>
      <c r="F477" s="45">
        <f>36.9913 * CHOOSE(CONTROL!$C$15, $E$9, 100%, $G$9) + CHOOSE(CONTROL!$C$38, 0.034, 0)</f>
        <v>37.025300000000001</v>
      </c>
      <c r="G477" s="14">
        <f>34.9188 * CHOOSE(CONTROL!$C$15, $E$9, 100%, $G$9) + CHOOSE(CONTROL!$C$38, 0.0342, 0)</f>
        <v>34.952999999999996</v>
      </c>
      <c r="H477" s="14">
        <f>34.9188 * CHOOSE(CONTROL!$C$15, $E$9, 100%, $G$9) + CHOOSE(CONTROL!$C$38, 0.0342, 0)</f>
        <v>34.952999999999996</v>
      </c>
      <c r="I477" s="14">
        <f>34.9204 * CHOOSE(CONTROL!$C$15, $E$9, 100%, $G$9) + CHOOSE(CONTROL!$C$38, 0.0342, 0)</f>
        <v>34.954599999999999</v>
      </c>
      <c r="J477" s="44">
        <f>270.8481</f>
        <v>270.84809999999999</v>
      </c>
    </row>
    <row r="478" spans="1:10" ht="15.75" x14ac:dyDescent="0.25">
      <c r="A478" s="33">
        <v>55487</v>
      </c>
      <c r="B478" s="14">
        <f>37.293 * CHOOSE(CONTROL!$C$15, $E$9, 100%, $G$9) + CHOOSE(CONTROL!$C$38, 0.034, 0)</f>
        <v>37.326999999999998</v>
      </c>
      <c r="C478" s="14">
        <f>35.2221 * CHOOSE(CONTROL!$C$15, $E$9, 100%, $G$9) + CHOOSE(CONTROL!$C$38, 0.0342, 0)</f>
        <v>35.256299999999996</v>
      </c>
      <c r="D478" s="14">
        <f>35.2143 * CHOOSE(CONTROL!$C$15, $E$9, 100%, $G$9) + CHOOSE(CONTROL!$C$38, 0.0342, 0)</f>
        <v>35.2485</v>
      </c>
      <c r="E478" s="14">
        <f>35.2143 * CHOOSE(CONTROL!$C$15, $E$9, 100%, $G$9) + CHOOSE(CONTROL!$C$38, 0.0342, 0)</f>
        <v>35.2485</v>
      </c>
      <c r="F478" s="45">
        <f>37.293 * CHOOSE(CONTROL!$C$15, $E$9, 100%, $G$9) + CHOOSE(CONTROL!$C$38, 0.034, 0)</f>
        <v>37.326999999999998</v>
      </c>
      <c r="G478" s="14">
        <f>35.2205 * CHOOSE(CONTROL!$C$15, $E$9, 100%, $G$9) + CHOOSE(CONTROL!$C$38, 0.0342, 0)</f>
        <v>35.2547</v>
      </c>
      <c r="H478" s="14">
        <f>35.2205 * CHOOSE(CONTROL!$C$15, $E$9, 100%, $G$9) + CHOOSE(CONTROL!$C$38, 0.0342, 0)</f>
        <v>35.2547</v>
      </c>
      <c r="I478" s="14">
        <f>35.2221 * CHOOSE(CONTROL!$C$15, $E$9, 100%, $G$9) + CHOOSE(CONTROL!$C$38, 0.0342, 0)</f>
        <v>35.256299999999996</v>
      </c>
      <c r="J478" s="44">
        <f>268.9182</f>
        <v>268.91820000000001</v>
      </c>
    </row>
    <row r="479" spans="1:10" ht="15.75" x14ac:dyDescent="0.25">
      <c r="A479" s="33">
        <v>55518</v>
      </c>
      <c r="B479" s="14">
        <f>38.2227 * CHOOSE(CONTROL!$C$15, $E$9, 100%, $G$9) + CHOOSE(CONTROL!$C$38, 0.034, 0)</f>
        <v>38.256700000000002</v>
      </c>
      <c r="C479" s="14">
        <f>36.1517 * CHOOSE(CONTROL!$C$15, $E$9, 100%, $G$9) + CHOOSE(CONTROL!$C$38, 0.0342, 0)</f>
        <v>36.185899999999997</v>
      </c>
      <c r="D479" s="14">
        <f>36.1439 * CHOOSE(CONTROL!$C$15, $E$9, 100%, $G$9) + CHOOSE(CONTROL!$C$38, 0.0342, 0)</f>
        <v>36.178100000000001</v>
      </c>
      <c r="E479" s="14">
        <f>36.1439 * CHOOSE(CONTROL!$C$15, $E$9, 100%, $G$9) + CHOOSE(CONTROL!$C$38, 0.0342, 0)</f>
        <v>36.178100000000001</v>
      </c>
      <c r="F479" s="45">
        <f>38.2227 * CHOOSE(CONTROL!$C$15, $E$9, 100%, $G$9) + CHOOSE(CONTROL!$C$38, 0.034, 0)</f>
        <v>38.256700000000002</v>
      </c>
      <c r="G479" s="14">
        <f>36.1502 * CHOOSE(CONTROL!$C$15, $E$9, 100%, $G$9) + CHOOSE(CONTROL!$C$38, 0.0342, 0)</f>
        <v>36.184399999999997</v>
      </c>
      <c r="H479" s="14">
        <f>36.1502 * CHOOSE(CONTROL!$C$15, $E$9, 100%, $G$9) + CHOOSE(CONTROL!$C$38, 0.0342, 0)</f>
        <v>36.184399999999997</v>
      </c>
      <c r="I479" s="14">
        <f>36.1517 * CHOOSE(CONTROL!$C$15, $E$9, 100%, $G$9) + CHOOSE(CONTROL!$C$38, 0.0342, 0)</f>
        <v>36.185899999999997</v>
      </c>
      <c r="J479" s="44">
        <f>260.938</f>
        <v>260.93799999999999</v>
      </c>
    </row>
    <row r="480" spans="1:10" ht="15.75" x14ac:dyDescent="0.25">
      <c r="A480" s="33">
        <v>55549</v>
      </c>
      <c r="B480" s="14">
        <f>39.5739 * CHOOSE(CONTROL!$C$15, $E$9, 100%, $G$9) + CHOOSE(CONTROL!$C$38, 0.034, 0)</f>
        <v>39.607900000000001</v>
      </c>
      <c r="C480" s="14">
        <f>37.4708 * CHOOSE(CONTROL!$C$15, $E$9, 100%, $G$9) + CHOOSE(CONTROL!$C$38, 0.0342, 0)</f>
        <v>37.504999999999995</v>
      </c>
      <c r="D480" s="14">
        <f>37.463 * CHOOSE(CONTROL!$C$15, $E$9, 100%, $G$9) + CHOOSE(CONTROL!$C$38, 0.0342, 0)</f>
        <v>37.497199999999999</v>
      </c>
      <c r="E480" s="14">
        <f>37.463 * CHOOSE(CONTROL!$C$15, $E$9, 100%, $G$9) + CHOOSE(CONTROL!$C$38, 0.0342, 0)</f>
        <v>37.497199999999999</v>
      </c>
      <c r="F480" s="45">
        <f>39.5739 * CHOOSE(CONTROL!$C$15, $E$9, 100%, $G$9) + CHOOSE(CONTROL!$C$38, 0.034, 0)</f>
        <v>39.607900000000001</v>
      </c>
      <c r="G480" s="14">
        <f>37.4692 * CHOOSE(CONTROL!$C$15, $E$9, 100%, $G$9) + CHOOSE(CONTROL!$C$38, 0.0342, 0)</f>
        <v>37.503399999999999</v>
      </c>
      <c r="H480" s="14">
        <f>37.4692 * CHOOSE(CONTROL!$C$15, $E$9, 100%, $G$9) + CHOOSE(CONTROL!$C$38, 0.0342, 0)</f>
        <v>37.503399999999999</v>
      </c>
      <c r="I480" s="14">
        <f>37.4708 * CHOOSE(CONTROL!$C$15, $E$9, 100%, $G$9) + CHOOSE(CONTROL!$C$38, 0.0342, 0)</f>
        <v>37.504999999999995</v>
      </c>
      <c r="J480" s="44">
        <f>260.7496</f>
        <v>260.74959999999999</v>
      </c>
    </row>
    <row r="481" spans="1:10" ht="15.75" x14ac:dyDescent="0.25">
      <c r="A481" s="33">
        <v>55577</v>
      </c>
      <c r="B481" s="14">
        <f>39.9182 * CHOOSE(CONTROL!$C$15, $E$9, 100%, $G$9) + CHOOSE(CONTROL!$C$38, 0.034, 0)</f>
        <v>39.952199999999998</v>
      </c>
      <c r="C481" s="14">
        <f>37.8151 * CHOOSE(CONTROL!$C$15, $E$9, 100%, $G$9) + CHOOSE(CONTROL!$C$38, 0.0342, 0)</f>
        <v>37.849299999999999</v>
      </c>
      <c r="D481" s="14">
        <f>37.8073 * CHOOSE(CONTROL!$C$15, $E$9, 100%, $G$9) + CHOOSE(CONTROL!$C$38, 0.0342, 0)</f>
        <v>37.841499999999996</v>
      </c>
      <c r="E481" s="14">
        <f>37.8073 * CHOOSE(CONTROL!$C$15, $E$9, 100%, $G$9) + CHOOSE(CONTROL!$C$38, 0.0342, 0)</f>
        <v>37.841499999999996</v>
      </c>
      <c r="F481" s="45">
        <f>39.9182 * CHOOSE(CONTROL!$C$15, $E$9, 100%, $G$9) + CHOOSE(CONTROL!$C$38, 0.034, 0)</f>
        <v>39.952199999999998</v>
      </c>
      <c r="G481" s="14">
        <f>37.8135 * CHOOSE(CONTROL!$C$15, $E$9, 100%, $G$9) + CHOOSE(CONTROL!$C$38, 0.0342, 0)</f>
        <v>37.847699999999996</v>
      </c>
      <c r="H481" s="14">
        <f>37.8135 * CHOOSE(CONTROL!$C$15, $E$9, 100%, $G$9) + CHOOSE(CONTROL!$C$38, 0.0342, 0)</f>
        <v>37.847699999999996</v>
      </c>
      <c r="I481" s="14">
        <f>37.8151 * CHOOSE(CONTROL!$C$15, $E$9, 100%, $G$9) + CHOOSE(CONTROL!$C$38, 0.0342, 0)</f>
        <v>37.849299999999999</v>
      </c>
      <c r="J481" s="44">
        <f>260.0248</f>
        <v>260.02480000000003</v>
      </c>
    </row>
    <row r="482" spans="1:10" ht="15.75" x14ac:dyDescent="0.25">
      <c r="A482" s="33">
        <v>55609</v>
      </c>
      <c r="B482" s="14">
        <f>39.1212 * CHOOSE(CONTROL!$C$15, $E$9, 100%, $G$9) + CHOOSE(CONTROL!$C$38, 0.034, 0)</f>
        <v>39.155200000000001</v>
      </c>
      <c r="C482" s="14">
        <f>37.0181 * CHOOSE(CONTROL!$C$15, $E$9, 100%, $G$9) + CHOOSE(CONTROL!$C$38, 0.0342, 0)</f>
        <v>37.052299999999995</v>
      </c>
      <c r="D482" s="14">
        <f>37.0103 * CHOOSE(CONTROL!$C$15, $E$9, 100%, $G$9) + CHOOSE(CONTROL!$C$38, 0.0342, 0)</f>
        <v>37.044499999999999</v>
      </c>
      <c r="E482" s="14">
        <f>37.0103 * CHOOSE(CONTROL!$C$15, $E$9, 100%, $G$9) + CHOOSE(CONTROL!$C$38, 0.0342, 0)</f>
        <v>37.044499999999999</v>
      </c>
      <c r="F482" s="45">
        <f>39.1212 * CHOOSE(CONTROL!$C$15, $E$9, 100%, $G$9) + CHOOSE(CONTROL!$C$38, 0.034, 0)</f>
        <v>39.155200000000001</v>
      </c>
      <c r="G482" s="14">
        <f>37.0165 * CHOOSE(CONTROL!$C$15, $E$9, 100%, $G$9) + CHOOSE(CONTROL!$C$38, 0.0342, 0)</f>
        <v>37.050699999999999</v>
      </c>
      <c r="H482" s="14">
        <f>37.0165 * CHOOSE(CONTROL!$C$15, $E$9, 100%, $G$9) + CHOOSE(CONTROL!$C$38, 0.0342, 0)</f>
        <v>37.050699999999999</v>
      </c>
      <c r="I482" s="14">
        <f>37.0181 * CHOOSE(CONTROL!$C$15, $E$9, 100%, $G$9) + CHOOSE(CONTROL!$C$38, 0.0342, 0)</f>
        <v>37.052299999999995</v>
      </c>
      <c r="J482" s="44">
        <f>273.7297</f>
        <v>273.72969999999998</v>
      </c>
    </row>
    <row r="483" spans="1:10" ht="15.75" x14ac:dyDescent="0.25">
      <c r="A483" s="33">
        <v>55639</v>
      </c>
      <c r="B483" s="14">
        <f>38.3489 * CHOOSE(CONTROL!$C$15, $E$9, 100%, $G$9) + CHOOSE(CONTROL!$C$38, 0.034, 0)</f>
        <v>38.382899999999999</v>
      </c>
      <c r="C483" s="14">
        <f>36.2458 * CHOOSE(CONTROL!$C$15, $E$9, 100%, $G$9) + CHOOSE(CONTROL!$C$38, 0.0342, 0)</f>
        <v>36.28</v>
      </c>
      <c r="D483" s="14">
        <f>36.238 * CHOOSE(CONTROL!$C$15, $E$9, 100%, $G$9) + CHOOSE(CONTROL!$C$38, 0.0342, 0)</f>
        <v>36.272199999999998</v>
      </c>
      <c r="E483" s="14">
        <f>36.238 * CHOOSE(CONTROL!$C$15, $E$9, 100%, $G$9) + CHOOSE(CONTROL!$C$38, 0.0342, 0)</f>
        <v>36.272199999999998</v>
      </c>
      <c r="F483" s="45">
        <f>38.3489 * CHOOSE(CONTROL!$C$15, $E$9, 100%, $G$9) + CHOOSE(CONTROL!$C$38, 0.034, 0)</f>
        <v>38.382899999999999</v>
      </c>
      <c r="G483" s="14">
        <f>36.2442 * CHOOSE(CONTROL!$C$15, $E$9, 100%, $G$9) + CHOOSE(CONTROL!$C$38, 0.0342, 0)</f>
        <v>36.278399999999998</v>
      </c>
      <c r="H483" s="14">
        <f>36.2442 * CHOOSE(CONTROL!$C$15, $E$9, 100%, $G$9) + CHOOSE(CONTROL!$C$38, 0.0342, 0)</f>
        <v>36.278399999999998</v>
      </c>
      <c r="I483" s="14">
        <f>36.2458 * CHOOSE(CONTROL!$C$15, $E$9, 100%, $G$9) + CHOOSE(CONTROL!$C$38, 0.0342, 0)</f>
        <v>36.28</v>
      </c>
      <c r="J483" s="44">
        <f>291.5015</f>
        <v>291.50150000000002</v>
      </c>
    </row>
    <row r="484" spans="1:10" ht="15.75" x14ac:dyDescent="0.25">
      <c r="A484" s="33">
        <v>55670</v>
      </c>
      <c r="B484" s="14">
        <f>37.5439 * CHOOSE(CONTROL!$C$15, $E$9, 100%, $G$9) + CHOOSE(CONTROL!$C$38, 0.0353, 0)</f>
        <v>37.5792</v>
      </c>
      <c r="C484" s="14">
        <f>35.4408 * CHOOSE(CONTROL!$C$15, $E$9, 100%, $G$9) + CHOOSE(CONTROL!$C$38, 0.0354, 0)</f>
        <v>35.476200000000006</v>
      </c>
      <c r="D484" s="14">
        <f>35.433 * CHOOSE(CONTROL!$C$15, $E$9, 100%, $G$9) + CHOOSE(CONTROL!$C$38, 0.0354, 0)</f>
        <v>35.468400000000003</v>
      </c>
      <c r="E484" s="14">
        <f>35.433 * CHOOSE(CONTROL!$C$15, $E$9, 100%, $G$9) + CHOOSE(CONTROL!$C$38, 0.0354, 0)</f>
        <v>35.468400000000003</v>
      </c>
      <c r="F484" s="45">
        <f>37.5439 * CHOOSE(CONTROL!$C$15, $E$9, 100%, $G$9) + CHOOSE(CONTROL!$C$38, 0.0353, 0)</f>
        <v>37.5792</v>
      </c>
      <c r="G484" s="14">
        <f>35.4392 * CHOOSE(CONTROL!$C$15, $E$9, 100%, $G$9) + CHOOSE(CONTROL!$C$38, 0.0354, 0)</f>
        <v>35.474600000000002</v>
      </c>
      <c r="H484" s="14">
        <f>35.4392 * CHOOSE(CONTROL!$C$15, $E$9, 100%, $G$9) + CHOOSE(CONTROL!$C$38, 0.0354, 0)</f>
        <v>35.474600000000002</v>
      </c>
      <c r="I484" s="14">
        <f>35.4408 * CHOOSE(CONTROL!$C$15, $E$9, 100%, $G$9) + CHOOSE(CONTROL!$C$38, 0.0354, 0)</f>
        <v>35.476200000000006</v>
      </c>
      <c r="J484" s="44">
        <f>301.2837</f>
        <v>301.28370000000001</v>
      </c>
    </row>
    <row r="485" spans="1:10" ht="15.75" x14ac:dyDescent="0.25">
      <c r="A485" s="33">
        <v>55700</v>
      </c>
      <c r="B485" s="14">
        <f>36.9796 * CHOOSE(CONTROL!$C$15, $E$9, 100%, $G$9) + CHOOSE(CONTROL!$C$38, 0.0353, 0)</f>
        <v>37.014899999999997</v>
      </c>
      <c r="C485" s="14">
        <f>34.8765 * CHOOSE(CONTROL!$C$15, $E$9, 100%, $G$9) + CHOOSE(CONTROL!$C$38, 0.0354, 0)</f>
        <v>34.911900000000003</v>
      </c>
      <c r="D485" s="14">
        <f>34.8687 * CHOOSE(CONTROL!$C$15, $E$9, 100%, $G$9) + CHOOSE(CONTROL!$C$38, 0.0354, 0)</f>
        <v>34.9041</v>
      </c>
      <c r="E485" s="14">
        <f>34.8687 * CHOOSE(CONTROL!$C$15, $E$9, 100%, $G$9) + CHOOSE(CONTROL!$C$38, 0.0354, 0)</f>
        <v>34.9041</v>
      </c>
      <c r="F485" s="45">
        <f>36.9796 * CHOOSE(CONTROL!$C$15, $E$9, 100%, $G$9) + CHOOSE(CONTROL!$C$38, 0.0353, 0)</f>
        <v>37.014899999999997</v>
      </c>
      <c r="G485" s="14">
        <f>34.8749 * CHOOSE(CONTROL!$C$15, $E$9, 100%, $G$9) + CHOOSE(CONTROL!$C$38, 0.0354, 0)</f>
        <v>34.910299999999999</v>
      </c>
      <c r="H485" s="14">
        <f>34.8749 * CHOOSE(CONTROL!$C$15, $E$9, 100%, $G$9) + CHOOSE(CONTROL!$C$38, 0.0354, 0)</f>
        <v>34.910299999999999</v>
      </c>
      <c r="I485" s="14">
        <f>34.8765 * CHOOSE(CONTROL!$C$15, $E$9, 100%, $G$9) + CHOOSE(CONTROL!$C$38, 0.0354, 0)</f>
        <v>34.911900000000003</v>
      </c>
      <c r="J485" s="44">
        <f>305.6249</f>
        <v>305.62490000000003</v>
      </c>
    </row>
    <row r="486" spans="1:10" ht="15.75" x14ac:dyDescent="0.25">
      <c r="A486" s="33">
        <v>55731</v>
      </c>
      <c r="B486" s="14">
        <f>36.6575 * CHOOSE(CONTROL!$C$15, $E$9, 100%, $G$9) + CHOOSE(CONTROL!$C$38, 0.0353, 0)</f>
        <v>36.692799999999998</v>
      </c>
      <c r="C486" s="14">
        <f>34.5544 * CHOOSE(CONTROL!$C$15, $E$9, 100%, $G$9) + CHOOSE(CONTROL!$C$38, 0.0354, 0)</f>
        <v>34.589800000000004</v>
      </c>
      <c r="D486" s="14">
        <f>34.5466 * CHOOSE(CONTROL!$C$15, $E$9, 100%, $G$9) + CHOOSE(CONTROL!$C$38, 0.0354, 0)</f>
        <v>34.582000000000001</v>
      </c>
      <c r="E486" s="14">
        <f>34.5466 * CHOOSE(CONTROL!$C$15, $E$9, 100%, $G$9) + CHOOSE(CONTROL!$C$38, 0.0354, 0)</f>
        <v>34.582000000000001</v>
      </c>
      <c r="F486" s="45">
        <f>36.6575 * CHOOSE(CONTROL!$C$15, $E$9, 100%, $G$9) + CHOOSE(CONTROL!$C$38, 0.0353, 0)</f>
        <v>36.692799999999998</v>
      </c>
      <c r="G486" s="14">
        <f>34.5528 * CHOOSE(CONTROL!$C$15, $E$9, 100%, $G$9) + CHOOSE(CONTROL!$C$38, 0.0354, 0)</f>
        <v>34.588200000000001</v>
      </c>
      <c r="H486" s="14">
        <f>34.5528 * CHOOSE(CONTROL!$C$15, $E$9, 100%, $G$9) + CHOOSE(CONTROL!$C$38, 0.0354, 0)</f>
        <v>34.588200000000001</v>
      </c>
      <c r="I486" s="14">
        <f>34.5544 * CHOOSE(CONTROL!$C$15, $E$9, 100%, $G$9) + CHOOSE(CONTROL!$C$38, 0.0354, 0)</f>
        <v>34.589800000000004</v>
      </c>
      <c r="J486" s="44">
        <f>304.1956</f>
        <v>304.19560000000001</v>
      </c>
    </row>
    <row r="487" spans="1:10" ht="15.75" x14ac:dyDescent="0.25">
      <c r="A487" s="33">
        <v>55762</v>
      </c>
      <c r="B487" s="14">
        <f>36.8165 * CHOOSE(CONTROL!$C$15, $E$9, 100%, $G$9) + CHOOSE(CONTROL!$C$38, 0.0353, 0)</f>
        <v>36.851799999999997</v>
      </c>
      <c r="C487" s="14">
        <f>34.7134 * CHOOSE(CONTROL!$C$15, $E$9, 100%, $G$9) + CHOOSE(CONTROL!$C$38, 0.0354, 0)</f>
        <v>34.748800000000003</v>
      </c>
      <c r="D487" s="14">
        <f>34.7055 * CHOOSE(CONTROL!$C$15, $E$9, 100%, $G$9) + CHOOSE(CONTROL!$C$38, 0.0354, 0)</f>
        <v>34.740900000000003</v>
      </c>
      <c r="E487" s="14">
        <f>34.7055 * CHOOSE(CONTROL!$C$15, $E$9, 100%, $G$9) + CHOOSE(CONTROL!$C$38, 0.0354, 0)</f>
        <v>34.740900000000003</v>
      </c>
      <c r="F487" s="45">
        <f>36.8165 * CHOOSE(CONTROL!$C$15, $E$9, 100%, $G$9) + CHOOSE(CONTROL!$C$38, 0.0353, 0)</f>
        <v>36.851799999999997</v>
      </c>
      <c r="G487" s="14">
        <f>34.7118 * CHOOSE(CONTROL!$C$15, $E$9, 100%, $G$9) + CHOOSE(CONTROL!$C$38, 0.0354, 0)</f>
        <v>34.747199999999999</v>
      </c>
      <c r="H487" s="14">
        <f>34.7118 * CHOOSE(CONTROL!$C$15, $E$9, 100%, $G$9) + CHOOSE(CONTROL!$C$38, 0.0354, 0)</f>
        <v>34.747199999999999</v>
      </c>
      <c r="I487" s="14">
        <f>34.7134 * CHOOSE(CONTROL!$C$15, $E$9, 100%, $G$9) + CHOOSE(CONTROL!$C$38, 0.0354, 0)</f>
        <v>34.748800000000003</v>
      </c>
      <c r="J487" s="44">
        <f>297.114</f>
        <v>297.11399999999998</v>
      </c>
    </row>
    <row r="488" spans="1:10" ht="15.75" x14ac:dyDescent="0.25">
      <c r="A488" s="33">
        <v>55792</v>
      </c>
      <c r="B488" s="14">
        <f>37.2482 * CHOOSE(CONTROL!$C$15, $E$9, 100%, $G$9) + CHOOSE(CONTROL!$C$38, 0.0353, 0)</f>
        <v>37.283499999999997</v>
      </c>
      <c r="C488" s="14">
        <f>35.1451 * CHOOSE(CONTROL!$C$15, $E$9, 100%, $G$9) + CHOOSE(CONTROL!$C$38, 0.0354, 0)</f>
        <v>35.180500000000002</v>
      </c>
      <c r="D488" s="14">
        <f>35.1373 * CHOOSE(CONTROL!$C$15, $E$9, 100%, $G$9) + CHOOSE(CONTROL!$C$38, 0.0354, 0)</f>
        <v>35.172700000000006</v>
      </c>
      <c r="E488" s="14">
        <f>35.1373 * CHOOSE(CONTROL!$C$15, $E$9, 100%, $G$9) + CHOOSE(CONTROL!$C$38, 0.0354, 0)</f>
        <v>35.172700000000006</v>
      </c>
      <c r="F488" s="45">
        <f>37.2482 * CHOOSE(CONTROL!$C$15, $E$9, 100%, $G$9) + CHOOSE(CONTROL!$C$38, 0.0353, 0)</f>
        <v>37.283499999999997</v>
      </c>
      <c r="G488" s="14">
        <f>35.1435 * CHOOSE(CONTROL!$C$15, $E$9, 100%, $G$9) + CHOOSE(CONTROL!$C$38, 0.0354, 0)</f>
        <v>35.178900000000006</v>
      </c>
      <c r="H488" s="14">
        <f>35.1435 * CHOOSE(CONTROL!$C$15, $E$9, 100%, $G$9) + CHOOSE(CONTROL!$C$38, 0.0354, 0)</f>
        <v>35.178900000000006</v>
      </c>
      <c r="I488" s="14">
        <f>35.1451 * CHOOSE(CONTROL!$C$15, $E$9, 100%, $G$9) + CHOOSE(CONTROL!$C$38, 0.0354, 0)</f>
        <v>35.180500000000002</v>
      </c>
      <c r="J488" s="44">
        <f>287.2385</f>
        <v>287.23849999999999</v>
      </c>
    </row>
    <row r="489" spans="1:10" ht="15.75" x14ac:dyDescent="0.25">
      <c r="A489" s="33">
        <v>55823</v>
      </c>
      <c r="B489" s="14">
        <f>37.6097 * CHOOSE(CONTROL!$C$15, $E$9, 100%, $G$9) + CHOOSE(CONTROL!$C$38, 0.034, 0)</f>
        <v>37.643699999999995</v>
      </c>
      <c r="C489" s="14">
        <f>35.5066 * CHOOSE(CONTROL!$C$15, $E$9, 100%, $G$9) + CHOOSE(CONTROL!$C$38, 0.0342, 0)</f>
        <v>35.540799999999997</v>
      </c>
      <c r="D489" s="14">
        <f>35.4988 * CHOOSE(CONTROL!$C$15, $E$9, 100%, $G$9) + CHOOSE(CONTROL!$C$38, 0.0342, 0)</f>
        <v>35.533000000000001</v>
      </c>
      <c r="E489" s="14">
        <f>35.4988 * CHOOSE(CONTROL!$C$15, $E$9, 100%, $G$9) + CHOOSE(CONTROL!$C$38, 0.0342, 0)</f>
        <v>35.533000000000001</v>
      </c>
      <c r="F489" s="45">
        <f>37.6097 * CHOOSE(CONTROL!$C$15, $E$9, 100%, $G$9) + CHOOSE(CONTROL!$C$38, 0.034, 0)</f>
        <v>37.643699999999995</v>
      </c>
      <c r="G489" s="14">
        <f>35.5051 * CHOOSE(CONTROL!$C$15, $E$9, 100%, $G$9) + CHOOSE(CONTROL!$C$38, 0.0342, 0)</f>
        <v>35.539299999999997</v>
      </c>
      <c r="H489" s="14">
        <f>35.5051 * CHOOSE(CONTROL!$C$15, $E$9, 100%, $G$9) + CHOOSE(CONTROL!$C$38, 0.0342, 0)</f>
        <v>35.539299999999997</v>
      </c>
      <c r="I489" s="14">
        <f>35.5066 * CHOOSE(CONTROL!$C$15, $E$9, 100%, $G$9) + CHOOSE(CONTROL!$C$38, 0.0342, 0)</f>
        <v>35.540799999999997</v>
      </c>
      <c r="J489" s="44">
        <f>277.3055</f>
        <v>277.30549999999999</v>
      </c>
    </row>
    <row r="490" spans="1:10" ht="15.75" x14ac:dyDescent="0.25">
      <c r="A490" s="33">
        <v>55853</v>
      </c>
      <c r="B490" s="14">
        <f>37.9114 * CHOOSE(CONTROL!$C$15, $E$9, 100%, $G$9) + CHOOSE(CONTROL!$C$38, 0.034, 0)</f>
        <v>37.945399999999999</v>
      </c>
      <c r="C490" s="14">
        <f>35.8083 * CHOOSE(CONTROL!$C$15, $E$9, 100%, $G$9) + CHOOSE(CONTROL!$C$38, 0.0342, 0)</f>
        <v>35.842500000000001</v>
      </c>
      <c r="D490" s="14">
        <f>35.8005 * CHOOSE(CONTROL!$C$15, $E$9, 100%, $G$9) + CHOOSE(CONTROL!$C$38, 0.0342, 0)</f>
        <v>35.834699999999998</v>
      </c>
      <c r="E490" s="14">
        <f>35.8005 * CHOOSE(CONTROL!$C$15, $E$9, 100%, $G$9) + CHOOSE(CONTROL!$C$38, 0.0342, 0)</f>
        <v>35.834699999999998</v>
      </c>
      <c r="F490" s="45">
        <f>37.9114 * CHOOSE(CONTROL!$C$15, $E$9, 100%, $G$9) + CHOOSE(CONTROL!$C$38, 0.034, 0)</f>
        <v>37.945399999999999</v>
      </c>
      <c r="G490" s="14">
        <f>35.8068 * CHOOSE(CONTROL!$C$15, $E$9, 100%, $G$9) + CHOOSE(CONTROL!$C$38, 0.0342, 0)</f>
        <v>35.841000000000001</v>
      </c>
      <c r="H490" s="14">
        <f>35.8068 * CHOOSE(CONTROL!$C$15, $E$9, 100%, $G$9) + CHOOSE(CONTROL!$C$38, 0.0342, 0)</f>
        <v>35.841000000000001</v>
      </c>
      <c r="I490" s="14">
        <f>35.8083 * CHOOSE(CONTROL!$C$15, $E$9, 100%, $G$9) + CHOOSE(CONTROL!$C$38, 0.0342, 0)</f>
        <v>35.842500000000001</v>
      </c>
      <c r="J490" s="44">
        <f>275.3296</f>
        <v>275.32960000000003</v>
      </c>
    </row>
    <row r="491" spans="1:10" ht="15.75" x14ac:dyDescent="0.25">
      <c r="A491" s="33">
        <v>55884</v>
      </c>
      <c r="B491" s="14">
        <f>38.8411 * CHOOSE(CONTROL!$C$15, $E$9, 100%, $G$9) + CHOOSE(CONTROL!$C$38, 0.034, 0)</f>
        <v>38.875099999999996</v>
      </c>
      <c r="C491" s="14">
        <f>36.738 * CHOOSE(CONTROL!$C$15, $E$9, 100%, $G$9) + CHOOSE(CONTROL!$C$38, 0.0342, 0)</f>
        <v>36.772199999999998</v>
      </c>
      <c r="D491" s="14">
        <f>36.7302 * CHOOSE(CONTROL!$C$15, $E$9, 100%, $G$9) + CHOOSE(CONTROL!$C$38, 0.0342, 0)</f>
        <v>36.764400000000002</v>
      </c>
      <c r="E491" s="14">
        <f>36.7302 * CHOOSE(CONTROL!$C$15, $E$9, 100%, $G$9) + CHOOSE(CONTROL!$C$38, 0.0342, 0)</f>
        <v>36.764400000000002</v>
      </c>
      <c r="F491" s="45">
        <f>38.8411 * CHOOSE(CONTROL!$C$15, $E$9, 100%, $G$9) + CHOOSE(CONTROL!$C$38, 0.034, 0)</f>
        <v>38.875099999999996</v>
      </c>
      <c r="G491" s="14">
        <f>36.7364 * CHOOSE(CONTROL!$C$15, $E$9, 100%, $G$9) + CHOOSE(CONTROL!$C$38, 0.0342, 0)</f>
        <v>36.770600000000002</v>
      </c>
      <c r="H491" s="14">
        <f>36.7364 * CHOOSE(CONTROL!$C$15, $E$9, 100%, $G$9) + CHOOSE(CONTROL!$C$38, 0.0342, 0)</f>
        <v>36.770600000000002</v>
      </c>
      <c r="I491" s="14">
        <f>36.738 * CHOOSE(CONTROL!$C$15, $E$9, 100%, $G$9) + CHOOSE(CONTROL!$C$38, 0.0342, 0)</f>
        <v>36.772199999999998</v>
      </c>
      <c r="J491" s="44">
        <f>267.1592</f>
        <v>267.1592</v>
      </c>
    </row>
    <row r="492" spans="1:10" ht="15.75" x14ac:dyDescent="0.25">
      <c r="A492" s="33">
        <v>55915</v>
      </c>
      <c r="B492" s="14">
        <f>40.2027 * CHOOSE(CONTROL!$C$15, $E$9, 100%, $G$9) + CHOOSE(CONTROL!$C$38, 0.034, 0)</f>
        <v>40.236699999999999</v>
      </c>
      <c r="C492" s="14">
        <f>38.0669 * CHOOSE(CONTROL!$C$15, $E$9, 100%, $G$9) + CHOOSE(CONTROL!$C$38, 0.0342, 0)</f>
        <v>38.101099999999995</v>
      </c>
      <c r="D492" s="14">
        <f>38.0591 * CHOOSE(CONTROL!$C$15, $E$9, 100%, $G$9) + CHOOSE(CONTROL!$C$38, 0.0342, 0)</f>
        <v>38.093299999999999</v>
      </c>
      <c r="E492" s="14">
        <f>38.0591 * CHOOSE(CONTROL!$C$15, $E$9, 100%, $G$9) + CHOOSE(CONTROL!$C$38, 0.0342, 0)</f>
        <v>38.093299999999999</v>
      </c>
      <c r="F492" s="45">
        <f>40.2027 * CHOOSE(CONTROL!$C$15, $E$9, 100%, $G$9) + CHOOSE(CONTROL!$C$38, 0.034, 0)</f>
        <v>40.236699999999999</v>
      </c>
      <c r="G492" s="14">
        <f>38.0653 * CHOOSE(CONTROL!$C$15, $E$9, 100%, $G$9) + CHOOSE(CONTROL!$C$38, 0.0342, 0)</f>
        <v>38.099499999999999</v>
      </c>
      <c r="H492" s="14">
        <f>38.0653 * CHOOSE(CONTROL!$C$15, $E$9, 100%, $G$9) + CHOOSE(CONTROL!$C$38, 0.0342, 0)</f>
        <v>38.099499999999999</v>
      </c>
      <c r="I492" s="14">
        <f>38.0669 * CHOOSE(CONTROL!$C$15, $E$9, 100%, $G$9) + CHOOSE(CONTROL!$C$38, 0.0342, 0)</f>
        <v>38.101099999999995</v>
      </c>
      <c r="J492" s="44">
        <f>266.9663</f>
        <v>266.96629999999999</v>
      </c>
    </row>
    <row r="493" spans="1:10" ht="15.75" x14ac:dyDescent="0.25">
      <c r="A493" s="33">
        <v>55943</v>
      </c>
      <c r="B493" s="14">
        <f>40.547 * CHOOSE(CONTROL!$C$15, $E$9, 100%, $G$9) + CHOOSE(CONTROL!$C$38, 0.034, 0)</f>
        <v>40.580999999999996</v>
      </c>
      <c r="C493" s="14">
        <f>38.4112 * CHOOSE(CONTROL!$C$15, $E$9, 100%, $G$9) + CHOOSE(CONTROL!$C$38, 0.0342, 0)</f>
        <v>38.445399999999999</v>
      </c>
      <c r="D493" s="14">
        <f>38.4034 * CHOOSE(CONTROL!$C$15, $E$9, 100%, $G$9) + CHOOSE(CONTROL!$C$38, 0.0342, 0)</f>
        <v>38.437599999999996</v>
      </c>
      <c r="E493" s="14">
        <f>38.4034 * CHOOSE(CONTROL!$C$15, $E$9, 100%, $G$9) + CHOOSE(CONTROL!$C$38, 0.0342, 0)</f>
        <v>38.437599999999996</v>
      </c>
      <c r="F493" s="45">
        <f>40.547 * CHOOSE(CONTROL!$C$15, $E$9, 100%, $G$9) + CHOOSE(CONTROL!$C$38, 0.034, 0)</f>
        <v>40.580999999999996</v>
      </c>
      <c r="G493" s="14">
        <f>38.4097 * CHOOSE(CONTROL!$C$15, $E$9, 100%, $G$9) + CHOOSE(CONTROL!$C$38, 0.0342, 0)</f>
        <v>38.443899999999999</v>
      </c>
      <c r="H493" s="14">
        <f>38.4097 * CHOOSE(CONTROL!$C$15, $E$9, 100%, $G$9) + CHOOSE(CONTROL!$C$38, 0.0342, 0)</f>
        <v>38.443899999999999</v>
      </c>
      <c r="I493" s="14">
        <f>38.4112 * CHOOSE(CONTROL!$C$15, $E$9, 100%, $G$9) + CHOOSE(CONTROL!$C$38, 0.0342, 0)</f>
        <v>38.445399999999999</v>
      </c>
      <c r="J493" s="44">
        <f>266.2242</f>
        <v>266.2242</v>
      </c>
    </row>
    <row r="494" spans="1:10" ht="15.75" x14ac:dyDescent="0.25">
      <c r="A494" s="33">
        <v>55974</v>
      </c>
      <c r="B494" s="14">
        <f>39.75 * CHOOSE(CONTROL!$C$15, $E$9, 100%, $G$9) + CHOOSE(CONTROL!$C$38, 0.034, 0)</f>
        <v>39.783999999999999</v>
      </c>
      <c r="C494" s="14">
        <f>37.6142 * CHOOSE(CONTROL!$C$15, $E$9, 100%, $G$9) + CHOOSE(CONTROL!$C$38, 0.0342, 0)</f>
        <v>37.648399999999995</v>
      </c>
      <c r="D494" s="14">
        <f>37.6064 * CHOOSE(CONTROL!$C$15, $E$9, 100%, $G$9) + CHOOSE(CONTROL!$C$38, 0.0342, 0)</f>
        <v>37.640599999999999</v>
      </c>
      <c r="E494" s="14">
        <f>37.6064 * CHOOSE(CONTROL!$C$15, $E$9, 100%, $G$9) + CHOOSE(CONTROL!$C$38, 0.0342, 0)</f>
        <v>37.640599999999999</v>
      </c>
      <c r="F494" s="45">
        <f>39.75 * CHOOSE(CONTROL!$C$15, $E$9, 100%, $G$9) + CHOOSE(CONTROL!$C$38, 0.034, 0)</f>
        <v>39.783999999999999</v>
      </c>
      <c r="G494" s="14">
        <f>37.6126 * CHOOSE(CONTROL!$C$15, $E$9, 100%, $G$9) + CHOOSE(CONTROL!$C$38, 0.0342, 0)</f>
        <v>37.646799999999999</v>
      </c>
      <c r="H494" s="14">
        <f>37.6126 * CHOOSE(CONTROL!$C$15, $E$9, 100%, $G$9) + CHOOSE(CONTROL!$C$38, 0.0342, 0)</f>
        <v>37.646799999999999</v>
      </c>
      <c r="I494" s="14">
        <f>37.6142 * CHOOSE(CONTROL!$C$15, $E$9, 100%, $G$9) + CHOOSE(CONTROL!$C$38, 0.0342, 0)</f>
        <v>37.648399999999995</v>
      </c>
      <c r="J494" s="44">
        <f>280.2558</f>
        <v>280.25580000000002</v>
      </c>
    </row>
    <row r="495" spans="1:10" ht="15.75" x14ac:dyDescent="0.25">
      <c r="A495" s="33">
        <v>56004</v>
      </c>
      <c r="B495" s="14">
        <f>38.9777 * CHOOSE(CONTROL!$C$15, $E$9, 100%, $G$9) + CHOOSE(CONTROL!$C$38, 0.034, 0)</f>
        <v>39.011699999999998</v>
      </c>
      <c r="C495" s="14">
        <f>36.8419 * CHOOSE(CONTROL!$C$15, $E$9, 100%, $G$9) + CHOOSE(CONTROL!$C$38, 0.0342, 0)</f>
        <v>36.876100000000001</v>
      </c>
      <c r="D495" s="14">
        <f>36.8341 * CHOOSE(CONTROL!$C$15, $E$9, 100%, $G$9) + CHOOSE(CONTROL!$C$38, 0.0342, 0)</f>
        <v>36.868299999999998</v>
      </c>
      <c r="E495" s="14">
        <f>36.8341 * CHOOSE(CONTROL!$C$15, $E$9, 100%, $G$9) + CHOOSE(CONTROL!$C$38, 0.0342, 0)</f>
        <v>36.868299999999998</v>
      </c>
      <c r="F495" s="45">
        <f>38.9777 * CHOOSE(CONTROL!$C$15, $E$9, 100%, $G$9) + CHOOSE(CONTROL!$C$38, 0.034, 0)</f>
        <v>39.011699999999998</v>
      </c>
      <c r="G495" s="14">
        <f>36.8403 * CHOOSE(CONTROL!$C$15, $E$9, 100%, $G$9) + CHOOSE(CONTROL!$C$38, 0.0342, 0)</f>
        <v>36.874499999999998</v>
      </c>
      <c r="H495" s="14">
        <f>36.8403 * CHOOSE(CONTROL!$C$15, $E$9, 100%, $G$9) + CHOOSE(CONTROL!$C$38, 0.0342, 0)</f>
        <v>36.874499999999998</v>
      </c>
      <c r="I495" s="14">
        <f>36.8419 * CHOOSE(CONTROL!$C$15, $E$9, 100%, $G$9) + CHOOSE(CONTROL!$C$38, 0.0342, 0)</f>
        <v>36.876100000000001</v>
      </c>
      <c r="J495" s="44">
        <f>298.4514</f>
        <v>298.45139999999998</v>
      </c>
    </row>
    <row r="496" spans="1:10" ht="15.75" x14ac:dyDescent="0.25">
      <c r="A496" s="33">
        <v>56035</v>
      </c>
      <c r="B496" s="14">
        <f>38.1727 * CHOOSE(CONTROL!$C$15, $E$9, 100%, $G$9) + CHOOSE(CONTROL!$C$38, 0.0353, 0)</f>
        <v>38.207999999999998</v>
      </c>
      <c r="C496" s="14">
        <f>36.0369 * CHOOSE(CONTROL!$C$15, $E$9, 100%, $G$9) + CHOOSE(CONTROL!$C$38, 0.0354, 0)</f>
        <v>36.072300000000006</v>
      </c>
      <c r="D496" s="14">
        <f>36.0291 * CHOOSE(CONTROL!$C$15, $E$9, 100%, $G$9) + CHOOSE(CONTROL!$C$38, 0.0354, 0)</f>
        <v>36.064500000000002</v>
      </c>
      <c r="E496" s="14">
        <f>36.0291 * CHOOSE(CONTROL!$C$15, $E$9, 100%, $G$9) + CHOOSE(CONTROL!$C$38, 0.0354, 0)</f>
        <v>36.064500000000002</v>
      </c>
      <c r="F496" s="45">
        <f>38.1727 * CHOOSE(CONTROL!$C$15, $E$9, 100%, $G$9) + CHOOSE(CONTROL!$C$38, 0.0353, 0)</f>
        <v>38.207999999999998</v>
      </c>
      <c r="G496" s="14">
        <f>36.0354 * CHOOSE(CONTROL!$C$15, $E$9, 100%, $G$9) + CHOOSE(CONTROL!$C$38, 0.0354, 0)</f>
        <v>36.070800000000006</v>
      </c>
      <c r="H496" s="14">
        <f>36.0354 * CHOOSE(CONTROL!$C$15, $E$9, 100%, $G$9) + CHOOSE(CONTROL!$C$38, 0.0354, 0)</f>
        <v>36.070800000000006</v>
      </c>
      <c r="I496" s="14">
        <f>36.0369 * CHOOSE(CONTROL!$C$15, $E$9, 100%, $G$9) + CHOOSE(CONTROL!$C$38, 0.0354, 0)</f>
        <v>36.072300000000006</v>
      </c>
      <c r="J496" s="44">
        <f>308.4668</f>
        <v>308.46679999999998</v>
      </c>
    </row>
    <row r="497" spans="1:10" ht="15.75" x14ac:dyDescent="0.25">
      <c r="A497" s="33">
        <v>56065</v>
      </c>
      <c r="B497" s="14">
        <f>37.6084 * CHOOSE(CONTROL!$C$15, $E$9, 100%, $G$9) + CHOOSE(CONTROL!$C$38, 0.0353, 0)</f>
        <v>37.643700000000003</v>
      </c>
      <c r="C497" s="14">
        <f>35.4726 * CHOOSE(CONTROL!$C$15, $E$9, 100%, $G$9) + CHOOSE(CONTROL!$C$38, 0.0354, 0)</f>
        <v>35.508000000000003</v>
      </c>
      <c r="D497" s="14">
        <f>35.4648 * CHOOSE(CONTROL!$C$15, $E$9, 100%, $G$9) + CHOOSE(CONTROL!$C$38, 0.0354, 0)</f>
        <v>35.5002</v>
      </c>
      <c r="E497" s="14">
        <f>35.4648 * CHOOSE(CONTROL!$C$15, $E$9, 100%, $G$9) + CHOOSE(CONTROL!$C$38, 0.0354, 0)</f>
        <v>35.5002</v>
      </c>
      <c r="F497" s="45">
        <f>37.6084 * CHOOSE(CONTROL!$C$15, $E$9, 100%, $G$9) + CHOOSE(CONTROL!$C$38, 0.0353, 0)</f>
        <v>37.643700000000003</v>
      </c>
      <c r="G497" s="14">
        <f>35.471 * CHOOSE(CONTROL!$C$15, $E$9, 100%, $G$9) + CHOOSE(CONTROL!$C$38, 0.0354, 0)</f>
        <v>35.506399999999999</v>
      </c>
      <c r="H497" s="14">
        <f>35.471 * CHOOSE(CONTROL!$C$15, $E$9, 100%, $G$9) + CHOOSE(CONTROL!$C$38, 0.0354, 0)</f>
        <v>35.506399999999999</v>
      </c>
      <c r="I497" s="14">
        <f>35.4726 * CHOOSE(CONTROL!$C$15, $E$9, 100%, $G$9) + CHOOSE(CONTROL!$C$38, 0.0354, 0)</f>
        <v>35.508000000000003</v>
      </c>
      <c r="J497" s="44">
        <f>312.9115</f>
        <v>312.91149999999999</v>
      </c>
    </row>
    <row r="498" spans="1:10" ht="15.75" x14ac:dyDescent="0.25">
      <c r="A498" s="33">
        <v>56096</v>
      </c>
      <c r="B498" s="14">
        <f>37.2864 * CHOOSE(CONTROL!$C$15, $E$9, 100%, $G$9) + CHOOSE(CONTROL!$C$38, 0.0353, 0)</f>
        <v>37.3217</v>
      </c>
      <c r="C498" s="14">
        <f>35.1505 * CHOOSE(CONTROL!$C$15, $E$9, 100%, $G$9) + CHOOSE(CONTROL!$C$38, 0.0354, 0)</f>
        <v>35.185900000000004</v>
      </c>
      <c r="D498" s="14">
        <f>35.1427 * CHOOSE(CONTROL!$C$15, $E$9, 100%, $G$9) + CHOOSE(CONTROL!$C$38, 0.0354, 0)</f>
        <v>35.178100000000001</v>
      </c>
      <c r="E498" s="14">
        <f>35.1427 * CHOOSE(CONTROL!$C$15, $E$9, 100%, $G$9) + CHOOSE(CONTROL!$C$38, 0.0354, 0)</f>
        <v>35.178100000000001</v>
      </c>
      <c r="F498" s="45">
        <f>37.2864 * CHOOSE(CONTROL!$C$15, $E$9, 100%, $G$9) + CHOOSE(CONTROL!$C$38, 0.0353, 0)</f>
        <v>37.3217</v>
      </c>
      <c r="G498" s="14">
        <f>35.149 * CHOOSE(CONTROL!$C$15, $E$9, 100%, $G$9) + CHOOSE(CONTROL!$C$38, 0.0354, 0)</f>
        <v>35.184400000000004</v>
      </c>
      <c r="H498" s="14">
        <f>35.149 * CHOOSE(CONTROL!$C$15, $E$9, 100%, $G$9) + CHOOSE(CONTROL!$C$38, 0.0354, 0)</f>
        <v>35.184400000000004</v>
      </c>
      <c r="I498" s="14">
        <f>35.1505 * CHOOSE(CONTROL!$C$15, $E$9, 100%, $G$9) + CHOOSE(CONTROL!$C$38, 0.0354, 0)</f>
        <v>35.185900000000004</v>
      </c>
      <c r="J498" s="44">
        <f>311.4481</f>
        <v>311.44810000000001</v>
      </c>
    </row>
    <row r="499" spans="1:10" ht="15.75" x14ac:dyDescent="0.25">
      <c r="A499" s="33">
        <v>56127</v>
      </c>
      <c r="B499" s="14">
        <f>37.4453 * CHOOSE(CONTROL!$C$15, $E$9, 100%, $G$9) + CHOOSE(CONTROL!$C$38, 0.0353, 0)</f>
        <v>37.480600000000003</v>
      </c>
      <c r="C499" s="14">
        <f>35.3095 * CHOOSE(CONTROL!$C$15, $E$9, 100%, $G$9) + CHOOSE(CONTROL!$C$38, 0.0354, 0)</f>
        <v>35.344900000000003</v>
      </c>
      <c r="D499" s="14">
        <f>35.3017 * CHOOSE(CONTROL!$C$15, $E$9, 100%, $G$9) + CHOOSE(CONTROL!$C$38, 0.0354, 0)</f>
        <v>35.3371</v>
      </c>
      <c r="E499" s="14">
        <f>35.3017 * CHOOSE(CONTROL!$C$15, $E$9, 100%, $G$9) + CHOOSE(CONTROL!$C$38, 0.0354, 0)</f>
        <v>35.3371</v>
      </c>
      <c r="F499" s="45">
        <f>37.4453 * CHOOSE(CONTROL!$C$15, $E$9, 100%, $G$9) + CHOOSE(CONTROL!$C$38, 0.0353, 0)</f>
        <v>37.480600000000003</v>
      </c>
      <c r="G499" s="14">
        <f>35.3079 * CHOOSE(CONTROL!$C$15, $E$9, 100%, $G$9) + CHOOSE(CONTROL!$C$38, 0.0354, 0)</f>
        <v>35.343299999999999</v>
      </c>
      <c r="H499" s="14">
        <f>35.3079 * CHOOSE(CONTROL!$C$15, $E$9, 100%, $G$9) + CHOOSE(CONTROL!$C$38, 0.0354, 0)</f>
        <v>35.343299999999999</v>
      </c>
      <c r="I499" s="14">
        <f>35.3095 * CHOOSE(CONTROL!$C$15, $E$9, 100%, $G$9) + CHOOSE(CONTROL!$C$38, 0.0354, 0)</f>
        <v>35.344900000000003</v>
      </c>
      <c r="J499" s="44">
        <f>304.1977</f>
        <v>304.1977</v>
      </c>
    </row>
    <row r="500" spans="1:10" ht="15.75" x14ac:dyDescent="0.25">
      <c r="A500" s="33">
        <v>56157</v>
      </c>
      <c r="B500" s="14">
        <f>37.877 * CHOOSE(CONTROL!$C$15, $E$9, 100%, $G$9) + CHOOSE(CONTROL!$C$38, 0.0353, 0)</f>
        <v>37.912300000000002</v>
      </c>
      <c r="C500" s="14">
        <f>35.7412 * CHOOSE(CONTROL!$C$15, $E$9, 100%, $G$9) + CHOOSE(CONTROL!$C$38, 0.0354, 0)</f>
        <v>35.776600000000002</v>
      </c>
      <c r="D500" s="14">
        <f>35.7334 * CHOOSE(CONTROL!$C$15, $E$9, 100%, $G$9) + CHOOSE(CONTROL!$C$38, 0.0354, 0)</f>
        <v>35.768800000000006</v>
      </c>
      <c r="E500" s="14">
        <f>35.7334 * CHOOSE(CONTROL!$C$15, $E$9, 100%, $G$9) + CHOOSE(CONTROL!$C$38, 0.0354, 0)</f>
        <v>35.768800000000006</v>
      </c>
      <c r="F500" s="45">
        <f>37.877 * CHOOSE(CONTROL!$C$15, $E$9, 100%, $G$9) + CHOOSE(CONTROL!$C$38, 0.0353, 0)</f>
        <v>37.912300000000002</v>
      </c>
      <c r="G500" s="14">
        <f>35.7396 * CHOOSE(CONTROL!$C$15, $E$9, 100%, $G$9) + CHOOSE(CONTROL!$C$38, 0.0354, 0)</f>
        <v>35.775000000000006</v>
      </c>
      <c r="H500" s="14">
        <f>35.7396 * CHOOSE(CONTROL!$C$15, $E$9, 100%, $G$9) + CHOOSE(CONTROL!$C$38, 0.0354, 0)</f>
        <v>35.775000000000006</v>
      </c>
      <c r="I500" s="14">
        <f>35.7412 * CHOOSE(CONTROL!$C$15, $E$9, 100%, $G$9) + CHOOSE(CONTROL!$C$38, 0.0354, 0)</f>
        <v>35.776600000000002</v>
      </c>
      <c r="J500" s="44">
        <f>294.0867</f>
        <v>294.08670000000001</v>
      </c>
    </row>
    <row r="501" spans="1:10" ht="15.75" x14ac:dyDescent="0.25">
      <c r="A501" s="33">
        <v>56188</v>
      </c>
      <c r="B501" s="14">
        <f>38.2386 * CHOOSE(CONTROL!$C$15, $E$9, 100%, $G$9) + CHOOSE(CONTROL!$C$38, 0.034, 0)</f>
        <v>38.272599999999997</v>
      </c>
      <c r="C501" s="14">
        <f>36.1027 * CHOOSE(CONTROL!$C$15, $E$9, 100%, $G$9) + CHOOSE(CONTROL!$C$38, 0.0342, 0)</f>
        <v>36.136899999999997</v>
      </c>
      <c r="D501" s="14">
        <f>36.0949 * CHOOSE(CONTROL!$C$15, $E$9, 100%, $G$9) + CHOOSE(CONTROL!$C$38, 0.0342, 0)</f>
        <v>36.129100000000001</v>
      </c>
      <c r="E501" s="14">
        <f>36.0949 * CHOOSE(CONTROL!$C$15, $E$9, 100%, $G$9) + CHOOSE(CONTROL!$C$38, 0.0342, 0)</f>
        <v>36.129100000000001</v>
      </c>
      <c r="F501" s="45">
        <f>38.2386 * CHOOSE(CONTROL!$C$15, $E$9, 100%, $G$9) + CHOOSE(CONTROL!$C$38, 0.034, 0)</f>
        <v>38.272599999999997</v>
      </c>
      <c r="G501" s="14">
        <f>36.1012 * CHOOSE(CONTROL!$C$15, $E$9, 100%, $G$9) + CHOOSE(CONTROL!$C$38, 0.0342, 0)</f>
        <v>36.135399999999997</v>
      </c>
      <c r="H501" s="14">
        <f>36.1012 * CHOOSE(CONTROL!$C$15, $E$9, 100%, $G$9) + CHOOSE(CONTROL!$C$38, 0.0342, 0)</f>
        <v>36.135399999999997</v>
      </c>
      <c r="I501" s="14">
        <f>36.1027 * CHOOSE(CONTROL!$C$15, $E$9, 100%, $G$9) + CHOOSE(CONTROL!$C$38, 0.0342, 0)</f>
        <v>36.136899999999997</v>
      </c>
      <c r="J501" s="44">
        <f>283.9169</f>
        <v>283.9169</v>
      </c>
    </row>
    <row r="502" spans="1:10" ht="15.75" x14ac:dyDescent="0.25">
      <c r="A502" s="33">
        <v>56218</v>
      </c>
      <c r="B502" s="14">
        <f>38.5403 * CHOOSE(CONTROL!$C$15, $E$9, 100%, $G$9) + CHOOSE(CONTROL!$C$38, 0.034, 0)</f>
        <v>38.574300000000001</v>
      </c>
      <c r="C502" s="14">
        <f>36.4044 * CHOOSE(CONTROL!$C$15, $E$9, 100%, $G$9) + CHOOSE(CONTROL!$C$38, 0.0342, 0)</f>
        <v>36.438600000000001</v>
      </c>
      <c r="D502" s="14">
        <f>36.3966 * CHOOSE(CONTROL!$C$15, $E$9, 100%, $G$9) + CHOOSE(CONTROL!$C$38, 0.0342, 0)</f>
        <v>36.430799999999998</v>
      </c>
      <c r="E502" s="14">
        <f>36.3966 * CHOOSE(CONTROL!$C$15, $E$9, 100%, $G$9) + CHOOSE(CONTROL!$C$38, 0.0342, 0)</f>
        <v>36.430799999999998</v>
      </c>
      <c r="F502" s="45">
        <f>38.5403 * CHOOSE(CONTROL!$C$15, $E$9, 100%, $G$9) + CHOOSE(CONTROL!$C$38, 0.034, 0)</f>
        <v>38.574300000000001</v>
      </c>
      <c r="G502" s="14">
        <f>36.4029 * CHOOSE(CONTROL!$C$15, $E$9, 100%, $G$9) + CHOOSE(CONTROL!$C$38, 0.0342, 0)</f>
        <v>36.437100000000001</v>
      </c>
      <c r="H502" s="14">
        <f>36.4029 * CHOOSE(CONTROL!$C$15, $E$9, 100%, $G$9) + CHOOSE(CONTROL!$C$38, 0.0342, 0)</f>
        <v>36.437100000000001</v>
      </c>
      <c r="I502" s="14">
        <f>36.4044 * CHOOSE(CONTROL!$C$15, $E$9, 100%, $G$9) + CHOOSE(CONTROL!$C$38, 0.0342, 0)</f>
        <v>36.438600000000001</v>
      </c>
      <c r="J502" s="44">
        <f>281.8939</f>
        <v>281.89389999999997</v>
      </c>
    </row>
    <row r="503" spans="1:10" ht="15.75" x14ac:dyDescent="0.25">
      <c r="A503" s="33">
        <v>56249</v>
      </c>
      <c r="B503" s="14">
        <f>39.4699 * CHOOSE(CONTROL!$C$15, $E$9, 100%, $G$9) + CHOOSE(CONTROL!$C$38, 0.034, 0)</f>
        <v>39.503900000000002</v>
      </c>
      <c r="C503" s="14">
        <f>37.3341 * CHOOSE(CONTROL!$C$15, $E$9, 100%, $G$9) + CHOOSE(CONTROL!$C$38, 0.0342, 0)</f>
        <v>37.368299999999998</v>
      </c>
      <c r="D503" s="14">
        <f>37.3263 * CHOOSE(CONTROL!$C$15, $E$9, 100%, $G$9) + CHOOSE(CONTROL!$C$38, 0.0342, 0)</f>
        <v>37.360500000000002</v>
      </c>
      <c r="E503" s="14">
        <f>37.3263 * CHOOSE(CONTROL!$C$15, $E$9, 100%, $G$9) + CHOOSE(CONTROL!$C$38, 0.0342, 0)</f>
        <v>37.360500000000002</v>
      </c>
      <c r="F503" s="45">
        <f>39.4699 * CHOOSE(CONTROL!$C$15, $E$9, 100%, $G$9) + CHOOSE(CONTROL!$C$38, 0.034, 0)</f>
        <v>39.503900000000002</v>
      </c>
      <c r="G503" s="14">
        <f>37.3325 * CHOOSE(CONTROL!$C$15, $E$9, 100%, $G$9) + CHOOSE(CONTROL!$C$38, 0.0342, 0)</f>
        <v>37.366700000000002</v>
      </c>
      <c r="H503" s="14">
        <f>37.3325 * CHOOSE(CONTROL!$C$15, $E$9, 100%, $G$9) + CHOOSE(CONTROL!$C$38, 0.0342, 0)</f>
        <v>37.366700000000002</v>
      </c>
      <c r="I503" s="14">
        <f>37.3341 * CHOOSE(CONTROL!$C$15, $E$9, 100%, $G$9) + CHOOSE(CONTROL!$C$38, 0.0342, 0)</f>
        <v>37.368299999999998</v>
      </c>
      <c r="J503" s="44">
        <f>273.5287</f>
        <v>273.52870000000001</v>
      </c>
    </row>
    <row r="504" spans="1:10" ht="15.75" x14ac:dyDescent="0.25">
      <c r="A504" s="33">
        <v>56280</v>
      </c>
      <c r="B504" s="14">
        <f>40.8421 * CHOOSE(CONTROL!$C$15, $E$9, 100%, $G$9) + CHOOSE(CONTROL!$C$38, 0.034, 0)</f>
        <v>40.876100000000001</v>
      </c>
      <c r="C504" s="14">
        <f>38.673 * CHOOSE(CONTROL!$C$15, $E$9, 100%, $G$9) + CHOOSE(CONTROL!$C$38, 0.0342, 0)</f>
        <v>38.7072</v>
      </c>
      <c r="D504" s="14">
        <f>38.6652 * CHOOSE(CONTROL!$C$15, $E$9, 100%, $G$9) + CHOOSE(CONTROL!$C$38, 0.0342, 0)</f>
        <v>38.699399999999997</v>
      </c>
      <c r="E504" s="14">
        <f>38.6652 * CHOOSE(CONTROL!$C$15, $E$9, 100%, $G$9) + CHOOSE(CONTROL!$C$38, 0.0342, 0)</f>
        <v>38.699399999999997</v>
      </c>
      <c r="F504" s="45">
        <f>40.8421 * CHOOSE(CONTROL!$C$15, $E$9, 100%, $G$9) + CHOOSE(CONTROL!$C$38, 0.034, 0)</f>
        <v>40.876100000000001</v>
      </c>
      <c r="G504" s="14">
        <f>38.6715 * CHOOSE(CONTROL!$C$15, $E$9, 100%, $G$9) + CHOOSE(CONTROL!$C$38, 0.0342, 0)</f>
        <v>38.7057</v>
      </c>
      <c r="H504" s="14">
        <f>38.6715 * CHOOSE(CONTROL!$C$15, $E$9, 100%, $G$9) + CHOOSE(CONTROL!$C$38, 0.0342, 0)</f>
        <v>38.7057</v>
      </c>
      <c r="I504" s="14">
        <f>38.673 * CHOOSE(CONTROL!$C$15, $E$9, 100%, $G$9) + CHOOSE(CONTROL!$C$38, 0.0342, 0)</f>
        <v>38.7072</v>
      </c>
      <c r="J504" s="44">
        <f>273.3312</f>
        <v>273.33120000000002</v>
      </c>
    </row>
    <row r="505" spans="1:10" ht="15.75" x14ac:dyDescent="0.25">
      <c r="A505" s="33">
        <v>56308</v>
      </c>
      <c r="B505" s="14">
        <f>41.1864 * CHOOSE(CONTROL!$C$15, $E$9, 100%, $G$9) + CHOOSE(CONTROL!$C$38, 0.034, 0)</f>
        <v>41.220399999999998</v>
      </c>
      <c r="C505" s="14">
        <f>39.0174 * CHOOSE(CONTROL!$C$15, $E$9, 100%, $G$9) + CHOOSE(CONTROL!$C$38, 0.0342, 0)</f>
        <v>39.051600000000001</v>
      </c>
      <c r="D505" s="14">
        <f>39.0095 * CHOOSE(CONTROL!$C$15, $E$9, 100%, $G$9) + CHOOSE(CONTROL!$C$38, 0.0342, 0)</f>
        <v>39.043700000000001</v>
      </c>
      <c r="E505" s="14">
        <f>39.0095 * CHOOSE(CONTROL!$C$15, $E$9, 100%, $G$9) + CHOOSE(CONTROL!$C$38, 0.0342, 0)</f>
        <v>39.043700000000001</v>
      </c>
      <c r="F505" s="45">
        <f>41.1864 * CHOOSE(CONTROL!$C$15, $E$9, 100%, $G$9) + CHOOSE(CONTROL!$C$38, 0.034, 0)</f>
        <v>41.220399999999998</v>
      </c>
      <c r="G505" s="14">
        <f>39.0158 * CHOOSE(CONTROL!$C$15, $E$9, 100%, $G$9) + CHOOSE(CONTROL!$C$38, 0.0342, 0)</f>
        <v>39.049999999999997</v>
      </c>
      <c r="H505" s="14">
        <f>39.0158 * CHOOSE(CONTROL!$C$15, $E$9, 100%, $G$9) + CHOOSE(CONTROL!$C$38, 0.0342, 0)</f>
        <v>39.049999999999997</v>
      </c>
      <c r="I505" s="14">
        <f>39.0174 * CHOOSE(CONTROL!$C$15, $E$9, 100%, $G$9) + CHOOSE(CONTROL!$C$38, 0.0342, 0)</f>
        <v>39.051600000000001</v>
      </c>
      <c r="J505" s="44">
        <f>272.5714</f>
        <v>272.57139999999998</v>
      </c>
    </row>
    <row r="506" spans="1:10" ht="15.75" x14ac:dyDescent="0.25">
      <c r="A506" s="33">
        <v>56339</v>
      </c>
      <c r="B506" s="14">
        <f>40.3894 * CHOOSE(CONTROL!$C$15, $E$9, 100%, $G$9) + CHOOSE(CONTROL!$C$38, 0.034, 0)</f>
        <v>40.423400000000001</v>
      </c>
      <c r="C506" s="14">
        <f>38.2203 * CHOOSE(CONTROL!$C$15, $E$9, 100%, $G$9) + CHOOSE(CONTROL!$C$38, 0.0342, 0)</f>
        <v>38.2545</v>
      </c>
      <c r="D506" s="14">
        <f>38.2125 * CHOOSE(CONTROL!$C$15, $E$9, 100%, $G$9) + CHOOSE(CONTROL!$C$38, 0.0342, 0)</f>
        <v>38.246699999999997</v>
      </c>
      <c r="E506" s="14">
        <f>38.2125 * CHOOSE(CONTROL!$C$15, $E$9, 100%, $G$9) + CHOOSE(CONTROL!$C$38, 0.0342, 0)</f>
        <v>38.246699999999997</v>
      </c>
      <c r="F506" s="45">
        <f>40.3894 * CHOOSE(CONTROL!$C$15, $E$9, 100%, $G$9) + CHOOSE(CONTROL!$C$38, 0.034, 0)</f>
        <v>40.423400000000001</v>
      </c>
      <c r="G506" s="14">
        <f>38.2188 * CHOOSE(CONTROL!$C$15, $E$9, 100%, $G$9) + CHOOSE(CONTROL!$C$38, 0.0342, 0)</f>
        <v>38.253</v>
      </c>
      <c r="H506" s="14">
        <f>38.2188 * CHOOSE(CONTROL!$C$15, $E$9, 100%, $G$9) + CHOOSE(CONTROL!$C$38, 0.0342, 0)</f>
        <v>38.253</v>
      </c>
      <c r="I506" s="14">
        <f>38.2203 * CHOOSE(CONTROL!$C$15, $E$9, 100%, $G$9) + CHOOSE(CONTROL!$C$38, 0.0342, 0)</f>
        <v>38.2545</v>
      </c>
      <c r="J506" s="44">
        <f>286.9375</f>
        <v>286.9375</v>
      </c>
    </row>
    <row r="507" spans="1:10" ht="15.75" x14ac:dyDescent="0.25">
      <c r="A507" s="33">
        <v>56369</v>
      </c>
      <c r="B507" s="14">
        <f>39.6171 * CHOOSE(CONTROL!$C$15, $E$9, 100%, $G$9) + CHOOSE(CONTROL!$C$38, 0.034, 0)</f>
        <v>39.6511</v>
      </c>
      <c r="C507" s="14">
        <f>37.448 * CHOOSE(CONTROL!$C$15, $E$9, 100%, $G$9) + CHOOSE(CONTROL!$C$38, 0.0342, 0)</f>
        <v>37.482199999999999</v>
      </c>
      <c r="D507" s="14">
        <f>37.4402 * CHOOSE(CONTROL!$C$15, $E$9, 100%, $G$9) + CHOOSE(CONTROL!$C$38, 0.0342, 0)</f>
        <v>37.474399999999996</v>
      </c>
      <c r="E507" s="14">
        <f>37.4402 * CHOOSE(CONTROL!$C$15, $E$9, 100%, $G$9) + CHOOSE(CONTROL!$C$38, 0.0342, 0)</f>
        <v>37.474399999999996</v>
      </c>
      <c r="F507" s="45">
        <f>39.6171 * CHOOSE(CONTROL!$C$15, $E$9, 100%, $G$9) + CHOOSE(CONTROL!$C$38, 0.034, 0)</f>
        <v>39.6511</v>
      </c>
      <c r="G507" s="14">
        <f>37.4464 * CHOOSE(CONTROL!$C$15, $E$9, 100%, $G$9) + CHOOSE(CONTROL!$C$38, 0.0342, 0)</f>
        <v>37.480599999999995</v>
      </c>
      <c r="H507" s="14">
        <f>37.4464 * CHOOSE(CONTROL!$C$15, $E$9, 100%, $G$9) + CHOOSE(CONTROL!$C$38, 0.0342, 0)</f>
        <v>37.480599999999995</v>
      </c>
      <c r="I507" s="14">
        <f>37.448 * CHOOSE(CONTROL!$C$15, $E$9, 100%, $G$9) + CHOOSE(CONTROL!$C$38, 0.0342, 0)</f>
        <v>37.482199999999999</v>
      </c>
      <c r="J507" s="44">
        <f>305.5669</f>
        <v>305.56689999999998</v>
      </c>
    </row>
    <row r="508" spans="1:10" ht="15.75" x14ac:dyDescent="0.25">
      <c r="A508" s="33">
        <v>56400</v>
      </c>
      <c r="B508" s="14">
        <f>38.8121 * CHOOSE(CONTROL!$C$15, $E$9, 100%, $G$9) + CHOOSE(CONTROL!$C$38, 0.0353, 0)</f>
        <v>38.8474</v>
      </c>
      <c r="C508" s="14">
        <f>36.643 * CHOOSE(CONTROL!$C$15, $E$9, 100%, $G$9) + CHOOSE(CONTROL!$C$38, 0.0354, 0)</f>
        <v>36.678400000000003</v>
      </c>
      <c r="D508" s="14">
        <f>36.6352 * CHOOSE(CONTROL!$C$15, $E$9, 100%, $G$9) + CHOOSE(CONTROL!$C$38, 0.0354, 0)</f>
        <v>36.6706</v>
      </c>
      <c r="E508" s="14">
        <f>36.6352 * CHOOSE(CONTROL!$C$15, $E$9, 100%, $G$9) + CHOOSE(CONTROL!$C$38, 0.0354, 0)</f>
        <v>36.6706</v>
      </c>
      <c r="F508" s="45">
        <f>38.8121 * CHOOSE(CONTROL!$C$15, $E$9, 100%, $G$9) + CHOOSE(CONTROL!$C$38, 0.0353, 0)</f>
        <v>38.8474</v>
      </c>
      <c r="G508" s="14">
        <f>36.6415 * CHOOSE(CONTROL!$C$15, $E$9, 100%, $G$9) + CHOOSE(CONTROL!$C$38, 0.0354, 0)</f>
        <v>36.676900000000003</v>
      </c>
      <c r="H508" s="14">
        <f>36.6415 * CHOOSE(CONTROL!$C$15, $E$9, 100%, $G$9) + CHOOSE(CONTROL!$C$38, 0.0354, 0)</f>
        <v>36.676900000000003</v>
      </c>
      <c r="I508" s="14">
        <f>36.643 * CHOOSE(CONTROL!$C$15, $E$9, 100%, $G$9) + CHOOSE(CONTROL!$C$38, 0.0354, 0)</f>
        <v>36.678400000000003</v>
      </c>
      <c r="J508" s="44">
        <f>315.8211</f>
        <v>315.8211</v>
      </c>
    </row>
    <row r="509" spans="1:10" ht="15.75" x14ac:dyDescent="0.25">
      <c r="A509" s="33">
        <v>56430</v>
      </c>
      <c r="B509" s="14">
        <f>38.2478 * CHOOSE(CONTROL!$C$15, $E$9, 100%, $G$9) + CHOOSE(CONTROL!$C$38, 0.0353, 0)</f>
        <v>38.283099999999997</v>
      </c>
      <c r="C509" s="14">
        <f>36.0787 * CHOOSE(CONTROL!$C$15, $E$9, 100%, $G$9) + CHOOSE(CONTROL!$C$38, 0.0354, 0)</f>
        <v>36.114100000000001</v>
      </c>
      <c r="D509" s="14">
        <f>36.0709 * CHOOSE(CONTROL!$C$15, $E$9, 100%, $G$9) + CHOOSE(CONTROL!$C$38, 0.0354, 0)</f>
        <v>36.106300000000005</v>
      </c>
      <c r="E509" s="14">
        <f>36.0709 * CHOOSE(CONTROL!$C$15, $E$9, 100%, $G$9) + CHOOSE(CONTROL!$C$38, 0.0354, 0)</f>
        <v>36.106300000000005</v>
      </c>
      <c r="F509" s="45">
        <f>38.2478 * CHOOSE(CONTROL!$C$15, $E$9, 100%, $G$9) + CHOOSE(CONTROL!$C$38, 0.0353, 0)</f>
        <v>38.283099999999997</v>
      </c>
      <c r="G509" s="14">
        <f>36.0771 * CHOOSE(CONTROL!$C$15, $E$9, 100%, $G$9) + CHOOSE(CONTROL!$C$38, 0.0354, 0)</f>
        <v>36.112500000000004</v>
      </c>
      <c r="H509" s="14">
        <f>36.0771 * CHOOSE(CONTROL!$C$15, $E$9, 100%, $G$9) + CHOOSE(CONTROL!$C$38, 0.0354, 0)</f>
        <v>36.112500000000004</v>
      </c>
      <c r="I509" s="14">
        <f>36.0787 * CHOOSE(CONTROL!$C$15, $E$9, 100%, $G$9) + CHOOSE(CONTROL!$C$38, 0.0354, 0)</f>
        <v>36.114100000000001</v>
      </c>
      <c r="J509" s="44">
        <f>320.3717</f>
        <v>320.37169999999998</v>
      </c>
    </row>
    <row r="510" spans="1:10" ht="15.75" x14ac:dyDescent="0.25">
      <c r="A510" s="33">
        <v>56461</v>
      </c>
      <c r="B510" s="14">
        <f>37.9257 * CHOOSE(CONTROL!$C$15, $E$9, 100%, $G$9) + CHOOSE(CONTROL!$C$38, 0.0353, 0)</f>
        <v>37.960999999999999</v>
      </c>
      <c r="C510" s="14">
        <f>35.7567 * CHOOSE(CONTROL!$C$15, $E$9, 100%, $G$9) + CHOOSE(CONTROL!$C$38, 0.0354, 0)</f>
        <v>35.792100000000005</v>
      </c>
      <c r="D510" s="14">
        <f>35.7488 * CHOOSE(CONTROL!$C$15, $E$9, 100%, $G$9) + CHOOSE(CONTROL!$C$38, 0.0354, 0)</f>
        <v>35.784200000000006</v>
      </c>
      <c r="E510" s="14">
        <f>35.7488 * CHOOSE(CONTROL!$C$15, $E$9, 100%, $G$9) + CHOOSE(CONTROL!$C$38, 0.0354, 0)</f>
        <v>35.784200000000006</v>
      </c>
      <c r="F510" s="45">
        <f>37.9257 * CHOOSE(CONTROL!$C$15, $E$9, 100%, $G$9) + CHOOSE(CONTROL!$C$38, 0.0353, 0)</f>
        <v>37.960999999999999</v>
      </c>
      <c r="G510" s="14">
        <f>35.7551 * CHOOSE(CONTROL!$C$15, $E$9, 100%, $G$9) + CHOOSE(CONTROL!$C$38, 0.0354, 0)</f>
        <v>35.790500000000002</v>
      </c>
      <c r="H510" s="14">
        <f>35.7551 * CHOOSE(CONTROL!$C$15, $E$9, 100%, $G$9) + CHOOSE(CONTROL!$C$38, 0.0354, 0)</f>
        <v>35.790500000000002</v>
      </c>
      <c r="I510" s="14">
        <f>35.7567 * CHOOSE(CONTROL!$C$15, $E$9, 100%, $G$9) + CHOOSE(CONTROL!$C$38, 0.0354, 0)</f>
        <v>35.792100000000005</v>
      </c>
      <c r="J510" s="44">
        <f>318.8735</f>
        <v>318.87349999999998</v>
      </c>
    </row>
    <row r="511" spans="1:10" ht="15.75" x14ac:dyDescent="0.25">
      <c r="A511" s="33">
        <v>56492</v>
      </c>
      <c r="B511" s="14">
        <f>38.0847 * CHOOSE(CONTROL!$C$15, $E$9, 100%, $G$9) + CHOOSE(CONTROL!$C$38, 0.0353, 0)</f>
        <v>38.119999999999997</v>
      </c>
      <c r="C511" s="14">
        <f>35.9156 * CHOOSE(CONTROL!$C$15, $E$9, 100%, $G$9) + CHOOSE(CONTROL!$C$38, 0.0354, 0)</f>
        <v>35.951000000000001</v>
      </c>
      <c r="D511" s="14">
        <f>35.9078 * CHOOSE(CONTROL!$C$15, $E$9, 100%, $G$9) + CHOOSE(CONTROL!$C$38, 0.0354, 0)</f>
        <v>35.943200000000004</v>
      </c>
      <c r="E511" s="14">
        <f>35.9078 * CHOOSE(CONTROL!$C$15, $E$9, 100%, $G$9) + CHOOSE(CONTROL!$C$38, 0.0354, 0)</f>
        <v>35.943200000000004</v>
      </c>
      <c r="F511" s="45">
        <f>38.0847 * CHOOSE(CONTROL!$C$15, $E$9, 100%, $G$9) + CHOOSE(CONTROL!$C$38, 0.0353, 0)</f>
        <v>38.119999999999997</v>
      </c>
      <c r="G511" s="14">
        <f>35.914 * CHOOSE(CONTROL!$C$15, $E$9, 100%, $G$9) + CHOOSE(CONTROL!$C$38, 0.0354, 0)</f>
        <v>35.949400000000004</v>
      </c>
      <c r="H511" s="14">
        <f>35.914 * CHOOSE(CONTROL!$C$15, $E$9, 100%, $G$9) + CHOOSE(CONTROL!$C$38, 0.0354, 0)</f>
        <v>35.949400000000004</v>
      </c>
      <c r="I511" s="14">
        <f>35.9156 * CHOOSE(CONTROL!$C$15, $E$9, 100%, $G$9) + CHOOSE(CONTROL!$C$38, 0.0354, 0)</f>
        <v>35.951000000000001</v>
      </c>
      <c r="J511" s="44">
        <f>311.4502</f>
        <v>311.4502</v>
      </c>
    </row>
    <row r="512" spans="1:10" ht="15.75" x14ac:dyDescent="0.25">
      <c r="A512" s="33">
        <v>56522</v>
      </c>
      <c r="B512" s="14">
        <f>38.5164 * CHOOSE(CONTROL!$C$15, $E$9, 100%, $G$9) + CHOOSE(CONTROL!$C$38, 0.0353, 0)</f>
        <v>38.551699999999997</v>
      </c>
      <c r="C512" s="14">
        <f>36.3473 * CHOOSE(CONTROL!$C$15, $E$9, 100%, $G$9) + CHOOSE(CONTROL!$C$38, 0.0354, 0)</f>
        <v>36.3827</v>
      </c>
      <c r="D512" s="14">
        <f>36.3395 * CHOOSE(CONTROL!$C$15, $E$9, 100%, $G$9) + CHOOSE(CONTROL!$C$38, 0.0354, 0)</f>
        <v>36.374900000000004</v>
      </c>
      <c r="E512" s="14">
        <f>36.3395 * CHOOSE(CONTROL!$C$15, $E$9, 100%, $G$9) + CHOOSE(CONTROL!$C$38, 0.0354, 0)</f>
        <v>36.374900000000004</v>
      </c>
      <c r="F512" s="45">
        <f>38.5164 * CHOOSE(CONTROL!$C$15, $E$9, 100%, $G$9) + CHOOSE(CONTROL!$C$38, 0.0353, 0)</f>
        <v>38.551699999999997</v>
      </c>
      <c r="G512" s="14">
        <f>36.3457 * CHOOSE(CONTROL!$C$15, $E$9, 100%, $G$9) + CHOOSE(CONTROL!$C$38, 0.0354, 0)</f>
        <v>36.381100000000004</v>
      </c>
      <c r="H512" s="14">
        <f>36.3457 * CHOOSE(CONTROL!$C$15, $E$9, 100%, $G$9) + CHOOSE(CONTROL!$C$38, 0.0354, 0)</f>
        <v>36.381100000000004</v>
      </c>
      <c r="I512" s="14">
        <f>36.3473 * CHOOSE(CONTROL!$C$15, $E$9, 100%, $G$9) + CHOOSE(CONTROL!$C$38, 0.0354, 0)</f>
        <v>36.3827</v>
      </c>
      <c r="J512" s="44">
        <f>301.0981</f>
        <v>301.09809999999999</v>
      </c>
    </row>
    <row r="513" spans="1:10" ht="15.75" x14ac:dyDescent="0.25">
      <c r="A513" s="33">
        <v>56553</v>
      </c>
      <c r="B513" s="14">
        <f>38.878 * CHOOSE(CONTROL!$C$15, $E$9, 100%, $G$9) + CHOOSE(CONTROL!$C$38, 0.034, 0)</f>
        <v>38.911999999999999</v>
      </c>
      <c r="C513" s="14">
        <f>36.7089 * CHOOSE(CONTROL!$C$15, $E$9, 100%, $G$9) + CHOOSE(CONTROL!$C$38, 0.0342, 0)</f>
        <v>36.743099999999998</v>
      </c>
      <c r="D513" s="14">
        <f>36.7011 * CHOOSE(CONTROL!$C$15, $E$9, 100%, $G$9) + CHOOSE(CONTROL!$C$38, 0.0342, 0)</f>
        <v>36.735299999999995</v>
      </c>
      <c r="E513" s="14">
        <f>36.7011 * CHOOSE(CONTROL!$C$15, $E$9, 100%, $G$9) + CHOOSE(CONTROL!$C$38, 0.0342, 0)</f>
        <v>36.735299999999995</v>
      </c>
      <c r="F513" s="45">
        <f>38.878 * CHOOSE(CONTROL!$C$15, $E$9, 100%, $G$9) + CHOOSE(CONTROL!$C$38, 0.034, 0)</f>
        <v>38.911999999999999</v>
      </c>
      <c r="G513" s="14">
        <f>36.7073 * CHOOSE(CONTROL!$C$15, $E$9, 100%, $G$9) + CHOOSE(CONTROL!$C$38, 0.0342, 0)</f>
        <v>36.741499999999995</v>
      </c>
      <c r="H513" s="14">
        <f>36.7073 * CHOOSE(CONTROL!$C$15, $E$9, 100%, $G$9) + CHOOSE(CONTROL!$C$38, 0.0342, 0)</f>
        <v>36.741499999999995</v>
      </c>
      <c r="I513" s="14">
        <f>36.7089 * CHOOSE(CONTROL!$C$15, $E$9, 100%, $G$9) + CHOOSE(CONTROL!$C$38, 0.0342, 0)</f>
        <v>36.743099999999998</v>
      </c>
      <c r="J513" s="44">
        <f>290.6859</f>
        <v>290.6859</v>
      </c>
    </row>
    <row r="514" spans="1:10" ht="15.75" x14ac:dyDescent="0.25">
      <c r="A514" s="33">
        <v>56583</v>
      </c>
      <c r="B514" s="14">
        <f>39.1797 * CHOOSE(CONTROL!$C$15, $E$9, 100%, $G$9) + CHOOSE(CONTROL!$C$38, 0.034, 0)</f>
        <v>39.213699999999996</v>
      </c>
      <c r="C514" s="14">
        <f>37.0106 * CHOOSE(CONTROL!$C$15, $E$9, 100%, $G$9) + CHOOSE(CONTROL!$C$38, 0.0342, 0)</f>
        <v>37.044799999999995</v>
      </c>
      <c r="D514" s="14">
        <f>37.0028 * CHOOSE(CONTROL!$C$15, $E$9, 100%, $G$9) + CHOOSE(CONTROL!$C$38, 0.0342, 0)</f>
        <v>37.036999999999999</v>
      </c>
      <c r="E514" s="14">
        <f>37.0028 * CHOOSE(CONTROL!$C$15, $E$9, 100%, $G$9) + CHOOSE(CONTROL!$C$38, 0.0342, 0)</f>
        <v>37.036999999999999</v>
      </c>
      <c r="F514" s="45">
        <f>39.1797 * CHOOSE(CONTROL!$C$15, $E$9, 100%, $G$9) + CHOOSE(CONTROL!$C$38, 0.034, 0)</f>
        <v>39.213699999999996</v>
      </c>
      <c r="G514" s="14">
        <f>37.009 * CHOOSE(CONTROL!$C$15, $E$9, 100%, $G$9) + CHOOSE(CONTROL!$C$38, 0.0342, 0)</f>
        <v>37.043199999999999</v>
      </c>
      <c r="H514" s="14">
        <f>37.009 * CHOOSE(CONTROL!$C$15, $E$9, 100%, $G$9) + CHOOSE(CONTROL!$C$38, 0.0342, 0)</f>
        <v>37.043199999999999</v>
      </c>
      <c r="I514" s="14">
        <f>37.0106 * CHOOSE(CONTROL!$C$15, $E$9, 100%, $G$9) + CHOOSE(CONTROL!$C$38, 0.0342, 0)</f>
        <v>37.044799999999995</v>
      </c>
      <c r="J514" s="44">
        <f>288.6147</f>
        <v>288.61470000000003</v>
      </c>
    </row>
    <row r="515" spans="1:10" ht="15.75" x14ac:dyDescent="0.25">
      <c r="A515" s="33">
        <v>56614</v>
      </c>
      <c r="B515" s="14">
        <f>40.1093 * CHOOSE(CONTROL!$C$15, $E$9, 100%, $G$9) + CHOOSE(CONTROL!$C$38, 0.034, 0)</f>
        <v>40.143299999999996</v>
      </c>
      <c r="C515" s="14">
        <f>37.9402 * CHOOSE(CONTROL!$C$15, $E$9, 100%, $G$9) + CHOOSE(CONTROL!$C$38, 0.0342, 0)</f>
        <v>37.974399999999996</v>
      </c>
      <c r="D515" s="14">
        <f>37.9324 * CHOOSE(CONTROL!$C$15, $E$9, 100%, $G$9) + CHOOSE(CONTROL!$C$38, 0.0342, 0)</f>
        <v>37.9666</v>
      </c>
      <c r="E515" s="14">
        <f>37.9324 * CHOOSE(CONTROL!$C$15, $E$9, 100%, $G$9) + CHOOSE(CONTROL!$C$38, 0.0342, 0)</f>
        <v>37.9666</v>
      </c>
      <c r="F515" s="45">
        <f>40.1093 * CHOOSE(CONTROL!$C$15, $E$9, 100%, $G$9) + CHOOSE(CONTROL!$C$38, 0.034, 0)</f>
        <v>40.143299999999996</v>
      </c>
      <c r="G515" s="14">
        <f>37.9387 * CHOOSE(CONTROL!$C$15, $E$9, 100%, $G$9) + CHOOSE(CONTROL!$C$38, 0.0342, 0)</f>
        <v>37.972899999999996</v>
      </c>
      <c r="H515" s="14">
        <f>37.9387 * CHOOSE(CONTROL!$C$15, $E$9, 100%, $G$9) + CHOOSE(CONTROL!$C$38, 0.0342, 0)</f>
        <v>37.972899999999996</v>
      </c>
      <c r="I515" s="14">
        <f>37.9402 * CHOOSE(CONTROL!$C$15, $E$9, 100%, $G$9) + CHOOSE(CONTROL!$C$38, 0.0342, 0)</f>
        <v>37.974399999999996</v>
      </c>
      <c r="J515" s="44">
        <f>280.05</f>
        <v>280.05</v>
      </c>
    </row>
    <row r="516" spans="1:10" ht="15.75" x14ac:dyDescent="0.25">
      <c r="A516" s="32">
        <v>56645</v>
      </c>
      <c r="B516" s="14">
        <f>41.4922 * CHOOSE(CONTROL!$C$15, $E$9, 100%, $G$9) + CHOOSE(CONTROL!$C$38, 0.034, 0)</f>
        <v>41.526199999999996</v>
      </c>
      <c r="C516" s="14">
        <f>39.2893 * CHOOSE(CONTROL!$C$15, $E$9, 100%, $G$9) + CHOOSE(CONTROL!$C$38, 0.0342, 0)</f>
        <v>39.323499999999996</v>
      </c>
      <c r="D516" s="14">
        <f>39.2815 * CHOOSE(CONTROL!$C$15, $E$9, 100%, $G$9) + CHOOSE(CONTROL!$C$38, 0.0342, 0)</f>
        <v>39.3157</v>
      </c>
      <c r="E516" s="14">
        <f>39.2815 * CHOOSE(CONTROL!$C$15, $E$9, 100%, $G$9) + CHOOSE(CONTROL!$C$38, 0.0342, 0)</f>
        <v>39.3157</v>
      </c>
      <c r="F516" s="45">
        <f>41.4922 * CHOOSE(CONTROL!$C$15, $E$9, 100%, $G$9) + CHOOSE(CONTROL!$C$38, 0.034, 0)</f>
        <v>41.526199999999996</v>
      </c>
      <c r="G516" s="14">
        <f>39.2878 * CHOOSE(CONTROL!$C$15, $E$9, 100%, $G$9) + CHOOSE(CONTROL!$C$38, 0.0342, 0)</f>
        <v>39.321999999999996</v>
      </c>
      <c r="H516" s="14">
        <f>39.2878 * CHOOSE(CONTROL!$C$15, $E$9, 100%, $G$9) + CHOOSE(CONTROL!$C$38, 0.0342, 0)</f>
        <v>39.321999999999996</v>
      </c>
      <c r="I516" s="14">
        <f>39.2893 * CHOOSE(CONTROL!$C$15, $E$9, 100%, $G$9) + CHOOSE(CONTROL!$C$38, 0.0342, 0)</f>
        <v>39.323499999999996</v>
      </c>
      <c r="J516" s="44">
        <f>279.8478</f>
        <v>279.84780000000001</v>
      </c>
    </row>
    <row r="517" spans="1:10" ht="15.75" x14ac:dyDescent="0.25">
      <c r="A517" s="32">
        <v>56673</v>
      </c>
      <c r="B517" s="14">
        <f>41.8366 * CHOOSE(CONTROL!$C$15, $E$9, 100%, $G$9) + CHOOSE(CONTROL!$C$38, 0.034, 0)</f>
        <v>41.870599999999996</v>
      </c>
      <c r="C517" s="14">
        <f>39.6337 * CHOOSE(CONTROL!$C$15, $E$9, 100%, $G$9) + CHOOSE(CONTROL!$C$38, 0.0342, 0)</f>
        <v>39.667899999999996</v>
      </c>
      <c r="D517" s="14">
        <f>39.6259 * CHOOSE(CONTROL!$C$15, $E$9, 100%, $G$9) + CHOOSE(CONTROL!$C$38, 0.0342, 0)</f>
        <v>39.6601</v>
      </c>
      <c r="E517" s="14">
        <f>39.6259 * CHOOSE(CONTROL!$C$15, $E$9, 100%, $G$9) + CHOOSE(CONTROL!$C$38, 0.0342, 0)</f>
        <v>39.6601</v>
      </c>
      <c r="F517" s="45">
        <f>41.8366 * CHOOSE(CONTROL!$C$15, $E$9, 100%, $G$9) + CHOOSE(CONTROL!$C$38, 0.034, 0)</f>
        <v>41.870599999999996</v>
      </c>
      <c r="G517" s="14">
        <f>39.6321 * CHOOSE(CONTROL!$C$15, $E$9, 100%, $G$9) + CHOOSE(CONTROL!$C$38, 0.0342, 0)</f>
        <v>39.6663</v>
      </c>
      <c r="H517" s="14">
        <f>39.6321 * CHOOSE(CONTROL!$C$15, $E$9, 100%, $G$9) + CHOOSE(CONTROL!$C$38, 0.0342, 0)</f>
        <v>39.6663</v>
      </c>
      <c r="I517" s="14">
        <f>39.6337 * CHOOSE(CONTROL!$C$15, $E$9, 100%, $G$9) + CHOOSE(CONTROL!$C$38, 0.0342, 0)</f>
        <v>39.667899999999996</v>
      </c>
      <c r="J517" s="44">
        <f>279.0699</f>
        <v>279.06990000000002</v>
      </c>
    </row>
    <row r="518" spans="1:10" ht="15.75" x14ac:dyDescent="0.25">
      <c r="A518" s="32">
        <v>56704</v>
      </c>
      <c r="B518" s="14">
        <f>41.0395 * CHOOSE(CONTROL!$C$15, $E$9, 100%, $G$9) + CHOOSE(CONTROL!$C$38, 0.034, 0)</f>
        <v>41.073499999999996</v>
      </c>
      <c r="C518" s="14">
        <f>38.8366 * CHOOSE(CONTROL!$C$15, $E$9, 100%, $G$9) + CHOOSE(CONTROL!$C$38, 0.0342, 0)</f>
        <v>38.870799999999996</v>
      </c>
      <c r="D518" s="14">
        <f>38.8288 * CHOOSE(CONTROL!$C$15, $E$9, 100%, $G$9) + CHOOSE(CONTROL!$C$38, 0.0342, 0)</f>
        <v>38.863</v>
      </c>
      <c r="E518" s="14">
        <f>38.8288 * CHOOSE(CONTROL!$C$15, $E$9, 100%, $G$9) + CHOOSE(CONTROL!$C$38, 0.0342, 0)</f>
        <v>38.863</v>
      </c>
      <c r="F518" s="45">
        <f>41.0395 * CHOOSE(CONTROL!$C$15, $E$9, 100%, $G$9) + CHOOSE(CONTROL!$C$38, 0.034, 0)</f>
        <v>41.073499999999996</v>
      </c>
      <c r="G518" s="14">
        <f>38.8351 * CHOOSE(CONTROL!$C$15, $E$9, 100%, $G$9) + CHOOSE(CONTROL!$C$38, 0.0342, 0)</f>
        <v>38.869299999999996</v>
      </c>
      <c r="H518" s="14">
        <f>38.8351 * CHOOSE(CONTROL!$C$15, $E$9, 100%, $G$9) + CHOOSE(CONTROL!$C$38, 0.0342, 0)</f>
        <v>38.869299999999996</v>
      </c>
      <c r="I518" s="14">
        <f>38.8366 * CHOOSE(CONTROL!$C$15, $E$9, 100%, $G$9) + CHOOSE(CONTROL!$C$38, 0.0342, 0)</f>
        <v>38.870799999999996</v>
      </c>
      <c r="J518" s="44">
        <f>293.7785</f>
        <v>293.77850000000001</v>
      </c>
    </row>
    <row r="519" spans="1:10" ht="15.75" x14ac:dyDescent="0.25">
      <c r="A519" s="32">
        <v>56734</v>
      </c>
      <c r="B519" s="14">
        <f>40.2672 * CHOOSE(CONTROL!$C$15, $E$9, 100%, $G$9) + CHOOSE(CONTROL!$C$38, 0.034, 0)</f>
        <v>40.301200000000001</v>
      </c>
      <c r="C519" s="14">
        <f>38.0643 * CHOOSE(CONTROL!$C$15, $E$9, 100%, $G$9) + CHOOSE(CONTROL!$C$38, 0.0342, 0)</f>
        <v>38.098500000000001</v>
      </c>
      <c r="D519" s="14">
        <f>38.0565 * CHOOSE(CONTROL!$C$15, $E$9, 100%, $G$9) + CHOOSE(CONTROL!$C$38, 0.0342, 0)</f>
        <v>38.090699999999998</v>
      </c>
      <c r="E519" s="14">
        <f>38.0565 * CHOOSE(CONTROL!$C$15, $E$9, 100%, $G$9) + CHOOSE(CONTROL!$C$38, 0.0342, 0)</f>
        <v>38.090699999999998</v>
      </c>
      <c r="F519" s="45">
        <f>40.2672 * CHOOSE(CONTROL!$C$15, $E$9, 100%, $G$9) + CHOOSE(CONTROL!$C$38, 0.034, 0)</f>
        <v>40.301200000000001</v>
      </c>
      <c r="G519" s="14">
        <f>38.0628 * CHOOSE(CONTROL!$C$15, $E$9, 100%, $G$9) + CHOOSE(CONTROL!$C$38, 0.0342, 0)</f>
        <v>38.097000000000001</v>
      </c>
      <c r="H519" s="14">
        <f>38.0628 * CHOOSE(CONTROL!$C$15, $E$9, 100%, $G$9) + CHOOSE(CONTROL!$C$38, 0.0342, 0)</f>
        <v>38.097000000000001</v>
      </c>
      <c r="I519" s="14">
        <f>38.0643 * CHOOSE(CONTROL!$C$15, $E$9, 100%, $G$9) + CHOOSE(CONTROL!$C$38, 0.0342, 0)</f>
        <v>38.098500000000001</v>
      </c>
      <c r="J519" s="44">
        <f>312.8521</f>
        <v>312.85210000000001</v>
      </c>
    </row>
    <row r="520" spans="1:10" ht="15.75" x14ac:dyDescent="0.25">
      <c r="A520" s="32">
        <v>56765</v>
      </c>
      <c r="B520" s="14">
        <f>39.4623 * CHOOSE(CONTROL!$C$15, $E$9, 100%, $G$9) + CHOOSE(CONTROL!$C$38, 0.0353, 0)</f>
        <v>39.497599999999998</v>
      </c>
      <c r="C520" s="14">
        <f>37.2594 * CHOOSE(CONTROL!$C$15, $E$9, 100%, $G$9) + CHOOSE(CONTROL!$C$38, 0.0354, 0)</f>
        <v>37.294800000000002</v>
      </c>
      <c r="D520" s="14">
        <f>37.2515 * CHOOSE(CONTROL!$C$15, $E$9, 100%, $G$9) + CHOOSE(CONTROL!$C$38, 0.0354, 0)</f>
        <v>37.286900000000003</v>
      </c>
      <c r="E520" s="14">
        <f>37.2515 * CHOOSE(CONTROL!$C$15, $E$9, 100%, $G$9) + CHOOSE(CONTROL!$C$38, 0.0354, 0)</f>
        <v>37.286900000000003</v>
      </c>
      <c r="F520" s="45">
        <f>39.4623 * CHOOSE(CONTROL!$C$15, $E$9, 100%, $G$9) + CHOOSE(CONTROL!$C$38, 0.0353, 0)</f>
        <v>39.497599999999998</v>
      </c>
      <c r="G520" s="14">
        <f>37.2578 * CHOOSE(CONTROL!$C$15, $E$9, 100%, $G$9) + CHOOSE(CONTROL!$C$38, 0.0354, 0)</f>
        <v>37.293200000000006</v>
      </c>
      <c r="H520" s="14">
        <f>37.2578 * CHOOSE(CONTROL!$C$15, $E$9, 100%, $G$9) + CHOOSE(CONTROL!$C$38, 0.0354, 0)</f>
        <v>37.293200000000006</v>
      </c>
      <c r="I520" s="14">
        <f>37.2594 * CHOOSE(CONTROL!$C$15, $E$9, 100%, $G$9) + CHOOSE(CONTROL!$C$38, 0.0354, 0)</f>
        <v>37.294800000000002</v>
      </c>
      <c r="J520" s="44">
        <f>323.3507</f>
        <v>323.35070000000002</v>
      </c>
    </row>
    <row r="521" spans="1:10" ht="15.75" x14ac:dyDescent="0.25">
      <c r="A521" s="32">
        <v>56795</v>
      </c>
      <c r="B521" s="14">
        <f>38.8979 * CHOOSE(CONTROL!$C$15, $E$9, 100%, $G$9) + CHOOSE(CONTROL!$C$38, 0.0353, 0)</f>
        <v>38.933199999999999</v>
      </c>
      <c r="C521" s="14">
        <f>36.695 * CHOOSE(CONTROL!$C$15, $E$9, 100%, $G$9) + CHOOSE(CONTROL!$C$38, 0.0354, 0)</f>
        <v>36.730400000000003</v>
      </c>
      <c r="D521" s="14">
        <f>36.6872 * CHOOSE(CONTROL!$C$15, $E$9, 100%, $G$9) + CHOOSE(CONTROL!$C$38, 0.0354, 0)</f>
        <v>36.7226</v>
      </c>
      <c r="E521" s="14">
        <f>36.6872 * CHOOSE(CONTROL!$C$15, $E$9, 100%, $G$9) + CHOOSE(CONTROL!$C$38, 0.0354, 0)</f>
        <v>36.7226</v>
      </c>
      <c r="F521" s="45">
        <f>38.8979 * CHOOSE(CONTROL!$C$15, $E$9, 100%, $G$9) + CHOOSE(CONTROL!$C$38, 0.0353, 0)</f>
        <v>38.933199999999999</v>
      </c>
      <c r="G521" s="14">
        <f>36.6935 * CHOOSE(CONTROL!$C$15, $E$9, 100%, $G$9) + CHOOSE(CONTROL!$C$38, 0.0354, 0)</f>
        <v>36.728900000000003</v>
      </c>
      <c r="H521" s="14">
        <f>36.6935 * CHOOSE(CONTROL!$C$15, $E$9, 100%, $G$9) + CHOOSE(CONTROL!$C$38, 0.0354, 0)</f>
        <v>36.728900000000003</v>
      </c>
      <c r="I521" s="14">
        <f>36.695 * CHOOSE(CONTROL!$C$15, $E$9, 100%, $G$9) + CHOOSE(CONTROL!$C$38, 0.0354, 0)</f>
        <v>36.730400000000003</v>
      </c>
      <c r="J521" s="44">
        <f>328.0099</f>
        <v>328.00990000000002</v>
      </c>
    </row>
    <row r="522" spans="1:10" ht="15.75" x14ac:dyDescent="0.25">
      <c r="A522" s="32">
        <v>56826</v>
      </c>
      <c r="B522" s="14">
        <f>38.5759 * CHOOSE(CONTROL!$C$15, $E$9, 100%, $G$9) + CHOOSE(CONTROL!$C$38, 0.0353, 0)</f>
        <v>38.611199999999997</v>
      </c>
      <c r="C522" s="14">
        <f>36.373 * CHOOSE(CONTROL!$C$15, $E$9, 100%, $G$9) + CHOOSE(CONTROL!$C$38, 0.0354, 0)</f>
        <v>36.4084</v>
      </c>
      <c r="D522" s="14">
        <f>36.3652 * CHOOSE(CONTROL!$C$15, $E$9, 100%, $G$9) + CHOOSE(CONTROL!$C$38, 0.0354, 0)</f>
        <v>36.400600000000004</v>
      </c>
      <c r="E522" s="14">
        <f>36.3652 * CHOOSE(CONTROL!$C$15, $E$9, 100%, $G$9) + CHOOSE(CONTROL!$C$38, 0.0354, 0)</f>
        <v>36.400600000000004</v>
      </c>
      <c r="F522" s="45">
        <f>38.5759 * CHOOSE(CONTROL!$C$15, $E$9, 100%, $G$9) + CHOOSE(CONTROL!$C$38, 0.0353, 0)</f>
        <v>38.611199999999997</v>
      </c>
      <c r="G522" s="14">
        <f>36.3714 * CHOOSE(CONTROL!$C$15, $E$9, 100%, $G$9) + CHOOSE(CONTROL!$C$38, 0.0354, 0)</f>
        <v>36.406800000000004</v>
      </c>
      <c r="H522" s="14">
        <f>36.3714 * CHOOSE(CONTROL!$C$15, $E$9, 100%, $G$9) + CHOOSE(CONTROL!$C$38, 0.0354, 0)</f>
        <v>36.406800000000004</v>
      </c>
      <c r="I522" s="14">
        <f>36.373 * CHOOSE(CONTROL!$C$15, $E$9, 100%, $G$9) + CHOOSE(CONTROL!$C$38, 0.0354, 0)</f>
        <v>36.4084</v>
      </c>
      <c r="J522" s="44">
        <f>326.4759</f>
        <v>326.47590000000002</v>
      </c>
    </row>
    <row r="523" spans="1:10" ht="15.75" x14ac:dyDescent="0.25">
      <c r="A523" s="32">
        <v>56857</v>
      </c>
      <c r="B523" s="14">
        <f>38.7348 * CHOOSE(CONTROL!$C$15, $E$9, 100%, $G$9) + CHOOSE(CONTROL!$C$38, 0.0353, 0)</f>
        <v>38.770099999999999</v>
      </c>
      <c r="C523" s="14">
        <f>36.5319 * CHOOSE(CONTROL!$C$15, $E$9, 100%, $G$9) + CHOOSE(CONTROL!$C$38, 0.0354, 0)</f>
        <v>36.567300000000003</v>
      </c>
      <c r="D523" s="14">
        <f>36.5241 * CHOOSE(CONTROL!$C$15, $E$9, 100%, $G$9) + CHOOSE(CONTROL!$C$38, 0.0354, 0)</f>
        <v>36.5595</v>
      </c>
      <c r="E523" s="14">
        <f>36.5241 * CHOOSE(CONTROL!$C$15, $E$9, 100%, $G$9) + CHOOSE(CONTROL!$C$38, 0.0354, 0)</f>
        <v>36.5595</v>
      </c>
      <c r="F523" s="45">
        <f>38.7348 * CHOOSE(CONTROL!$C$15, $E$9, 100%, $G$9) + CHOOSE(CONTROL!$C$38, 0.0353, 0)</f>
        <v>38.770099999999999</v>
      </c>
      <c r="G523" s="14">
        <f>36.5303 * CHOOSE(CONTROL!$C$15, $E$9, 100%, $G$9) + CHOOSE(CONTROL!$C$38, 0.0354, 0)</f>
        <v>36.5657</v>
      </c>
      <c r="H523" s="14">
        <f>36.5303 * CHOOSE(CONTROL!$C$15, $E$9, 100%, $G$9) + CHOOSE(CONTROL!$C$38, 0.0354, 0)</f>
        <v>36.5657</v>
      </c>
      <c r="I523" s="14">
        <f>36.5319 * CHOOSE(CONTROL!$C$15, $E$9, 100%, $G$9) + CHOOSE(CONTROL!$C$38, 0.0354, 0)</f>
        <v>36.567300000000003</v>
      </c>
      <c r="J523" s="44">
        <f>318.8757</f>
        <v>318.87569999999999</v>
      </c>
    </row>
    <row r="524" spans="1:10" ht="15.75" x14ac:dyDescent="0.25">
      <c r="A524" s="32">
        <v>56887</v>
      </c>
      <c r="B524" s="14">
        <f>39.1665 * CHOOSE(CONTROL!$C$15, $E$9, 100%, $G$9) + CHOOSE(CONTROL!$C$38, 0.0353, 0)</f>
        <v>39.201799999999999</v>
      </c>
      <c r="C524" s="14">
        <f>36.9636 * CHOOSE(CONTROL!$C$15, $E$9, 100%, $G$9) + CHOOSE(CONTROL!$C$38, 0.0354, 0)</f>
        <v>36.999000000000002</v>
      </c>
      <c r="D524" s="14">
        <f>36.9558 * CHOOSE(CONTROL!$C$15, $E$9, 100%, $G$9) + CHOOSE(CONTROL!$C$38, 0.0354, 0)</f>
        <v>36.991200000000006</v>
      </c>
      <c r="E524" s="14">
        <f>36.9558 * CHOOSE(CONTROL!$C$15, $E$9, 100%, $G$9) + CHOOSE(CONTROL!$C$38, 0.0354, 0)</f>
        <v>36.991200000000006</v>
      </c>
      <c r="F524" s="45">
        <f>39.1665 * CHOOSE(CONTROL!$C$15, $E$9, 100%, $G$9) + CHOOSE(CONTROL!$C$38, 0.0353, 0)</f>
        <v>39.201799999999999</v>
      </c>
      <c r="G524" s="14">
        <f>36.9621 * CHOOSE(CONTROL!$C$15, $E$9, 100%, $G$9) + CHOOSE(CONTROL!$C$38, 0.0354, 0)</f>
        <v>36.997500000000002</v>
      </c>
      <c r="H524" s="14">
        <f>36.9621 * CHOOSE(CONTROL!$C$15, $E$9, 100%, $G$9) + CHOOSE(CONTROL!$C$38, 0.0354, 0)</f>
        <v>36.997500000000002</v>
      </c>
      <c r="I524" s="14">
        <f>36.9636 * CHOOSE(CONTROL!$C$15, $E$9, 100%, $G$9) + CHOOSE(CONTROL!$C$38, 0.0354, 0)</f>
        <v>36.999000000000002</v>
      </c>
      <c r="J524" s="44">
        <f>308.2768</f>
        <v>308.27679999999998</v>
      </c>
    </row>
    <row r="525" spans="1:10" ht="15.75" x14ac:dyDescent="0.25">
      <c r="A525" s="32">
        <v>56918</v>
      </c>
      <c r="B525" s="14">
        <f>39.5281 * CHOOSE(CONTROL!$C$15, $E$9, 100%, $G$9) + CHOOSE(CONTROL!$C$38, 0.034, 0)</f>
        <v>39.562100000000001</v>
      </c>
      <c r="C525" s="14">
        <f>37.3252 * CHOOSE(CONTROL!$C$15, $E$9, 100%, $G$9) + CHOOSE(CONTROL!$C$38, 0.0342, 0)</f>
        <v>37.359400000000001</v>
      </c>
      <c r="D525" s="14">
        <f>37.3174 * CHOOSE(CONTROL!$C$15, $E$9, 100%, $G$9) + CHOOSE(CONTROL!$C$38, 0.0342, 0)</f>
        <v>37.351599999999998</v>
      </c>
      <c r="E525" s="14">
        <f>37.3174 * CHOOSE(CONTROL!$C$15, $E$9, 100%, $G$9) + CHOOSE(CONTROL!$C$38, 0.0342, 0)</f>
        <v>37.351599999999998</v>
      </c>
      <c r="F525" s="45">
        <f>39.5281 * CHOOSE(CONTROL!$C$15, $E$9, 100%, $G$9) + CHOOSE(CONTROL!$C$38, 0.034, 0)</f>
        <v>39.562100000000001</v>
      </c>
      <c r="G525" s="14">
        <f>37.3236 * CHOOSE(CONTROL!$C$15, $E$9, 100%, $G$9) + CHOOSE(CONTROL!$C$38, 0.0342, 0)</f>
        <v>37.357799999999997</v>
      </c>
      <c r="H525" s="14">
        <f>37.3236 * CHOOSE(CONTROL!$C$15, $E$9, 100%, $G$9) + CHOOSE(CONTROL!$C$38, 0.0342, 0)</f>
        <v>37.357799999999997</v>
      </c>
      <c r="I525" s="14">
        <f>37.3252 * CHOOSE(CONTROL!$C$15, $E$9, 100%, $G$9) + CHOOSE(CONTROL!$C$38, 0.0342, 0)</f>
        <v>37.359400000000001</v>
      </c>
      <c r="J525" s="44">
        <f>297.6163</f>
        <v>297.61630000000002</v>
      </c>
    </row>
    <row r="526" spans="1:10" ht="15.75" x14ac:dyDescent="0.25">
      <c r="A526" s="32">
        <v>56948</v>
      </c>
      <c r="B526" s="14">
        <f>39.8298 * CHOOSE(CONTROL!$C$15, $E$9, 100%, $G$9) + CHOOSE(CONTROL!$C$38, 0.034, 0)</f>
        <v>39.863799999999998</v>
      </c>
      <c r="C526" s="14">
        <f>37.6269 * CHOOSE(CONTROL!$C$15, $E$9, 100%, $G$9) + CHOOSE(CONTROL!$C$38, 0.0342, 0)</f>
        <v>37.661099999999998</v>
      </c>
      <c r="D526" s="14">
        <f>37.6191 * CHOOSE(CONTROL!$C$15, $E$9, 100%, $G$9) + CHOOSE(CONTROL!$C$38, 0.0342, 0)</f>
        <v>37.653300000000002</v>
      </c>
      <c r="E526" s="14">
        <f>37.6191 * CHOOSE(CONTROL!$C$15, $E$9, 100%, $G$9) + CHOOSE(CONTROL!$C$38, 0.0342, 0)</f>
        <v>37.653300000000002</v>
      </c>
      <c r="F526" s="45">
        <f>39.8298 * CHOOSE(CONTROL!$C$15, $E$9, 100%, $G$9) + CHOOSE(CONTROL!$C$38, 0.034, 0)</f>
        <v>39.863799999999998</v>
      </c>
      <c r="G526" s="14">
        <f>37.6253 * CHOOSE(CONTROL!$C$15, $E$9, 100%, $G$9) + CHOOSE(CONTROL!$C$38, 0.0342, 0)</f>
        <v>37.659500000000001</v>
      </c>
      <c r="H526" s="14">
        <f>37.6253 * CHOOSE(CONTROL!$C$15, $E$9, 100%, $G$9) + CHOOSE(CONTROL!$C$38, 0.0342, 0)</f>
        <v>37.659500000000001</v>
      </c>
      <c r="I526" s="14">
        <f>37.6269 * CHOOSE(CONTROL!$C$15, $E$9, 100%, $G$9) + CHOOSE(CONTROL!$C$38, 0.0342, 0)</f>
        <v>37.661099999999998</v>
      </c>
      <c r="J526" s="44">
        <f>295.4957</f>
        <v>295.4957</v>
      </c>
    </row>
    <row r="527" spans="1:10" ht="15.75" x14ac:dyDescent="0.25">
      <c r="A527" s="32">
        <v>56979</v>
      </c>
      <c r="B527" s="14">
        <f>40.7594 * CHOOSE(CONTROL!$C$15, $E$9, 100%, $G$9) + CHOOSE(CONTROL!$C$38, 0.034, 0)</f>
        <v>40.793399999999998</v>
      </c>
      <c r="C527" s="14">
        <f>38.5565 * CHOOSE(CONTROL!$C$15, $E$9, 100%, $G$9) + CHOOSE(CONTROL!$C$38, 0.0342, 0)</f>
        <v>38.590699999999998</v>
      </c>
      <c r="D527" s="14">
        <f>38.5487 * CHOOSE(CONTROL!$C$15, $E$9, 100%, $G$9) + CHOOSE(CONTROL!$C$38, 0.0342, 0)</f>
        <v>38.582899999999995</v>
      </c>
      <c r="E527" s="14">
        <f>38.5487 * CHOOSE(CONTROL!$C$15, $E$9, 100%, $G$9) + CHOOSE(CONTROL!$C$38, 0.0342, 0)</f>
        <v>38.582899999999995</v>
      </c>
      <c r="F527" s="45">
        <f>40.7594 * CHOOSE(CONTROL!$C$15, $E$9, 100%, $G$9) + CHOOSE(CONTROL!$C$38, 0.034, 0)</f>
        <v>40.793399999999998</v>
      </c>
      <c r="G527" s="14">
        <f>38.555 * CHOOSE(CONTROL!$C$15, $E$9, 100%, $G$9) + CHOOSE(CONTROL!$C$38, 0.0342, 0)</f>
        <v>38.589199999999998</v>
      </c>
      <c r="H527" s="14">
        <f>38.555 * CHOOSE(CONTROL!$C$15, $E$9, 100%, $G$9) + CHOOSE(CONTROL!$C$38, 0.0342, 0)</f>
        <v>38.589199999999998</v>
      </c>
      <c r="I527" s="14">
        <f>38.5565 * CHOOSE(CONTROL!$C$15, $E$9, 100%, $G$9) + CHOOSE(CONTROL!$C$38, 0.0342, 0)</f>
        <v>38.590699999999998</v>
      </c>
      <c r="J527" s="44">
        <f>286.7268</f>
        <v>286.72680000000003</v>
      </c>
    </row>
    <row r="528" spans="1:10" ht="15.75" x14ac:dyDescent="0.25">
      <c r="A528" s="32">
        <v>57010</v>
      </c>
      <c r="B528" s="14">
        <f>42.1533 * CHOOSE(CONTROL!$C$15, $E$9, 100%, $G$9) + CHOOSE(CONTROL!$C$38, 0.034, 0)</f>
        <v>42.1873</v>
      </c>
      <c r="C528" s="14">
        <f>39.916 * CHOOSE(CONTROL!$C$15, $E$9, 100%, $G$9) + CHOOSE(CONTROL!$C$38, 0.0342, 0)</f>
        <v>39.950199999999995</v>
      </c>
      <c r="D528" s="14">
        <f>39.9082 * CHOOSE(CONTROL!$C$15, $E$9, 100%, $G$9) + CHOOSE(CONTROL!$C$38, 0.0342, 0)</f>
        <v>39.942399999999999</v>
      </c>
      <c r="E528" s="14">
        <f>39.9082 * CHOOSE(CONTROL!$C$15, $E$9, 100%, $G$9) + CHOOSE(CONTROL!$C$38, 0.0342, 0)</f>
        <v>39.942399999999999</v>
      </c>
      <c r="F528" s="45">
        <f>42.1533 * CHOOSE(CONTROL!$C$15, $E$9, 100%, $G$9) + CHOOSE(CONTROL!$C$38, 0.034, 0)</f>
        <v>42.1873</v>
      </c>
      <c r="G528" s="14">
        <f>39.9145 * CHOOSE(CONTROL!$C$15, $E$9, 100%, $G$9) + CHOOSE(CONTROL!$C$38, 0.0342, 0)</f>
        <v>39.948699999999995</v>
      </c>
      <c r="H528" s="14">
        <f>39.9145 * CHOOSE(CONTROL!$C$15, $E$9, 100%, $G$9) + CHOOSE(CONTROL!$C$38, 0.0342, 0)</f>
        <v>39.948699999999995</v>
      </c>
      <c r="I528" s="14">
        <f>39.916 * CHOOSE(CONTROL!$C$15, $E$9, 100%, $G$9) + CHOOSE(CONTROL!$C$38, 0.0342, 0)</f>
        <v>39.950199999999995</v>
      </c>
      <c r="J528" s="44">
        <f>286.5198</f>
        <v>286.51979999999998</v>
      </c>
    </row>
    <row r="529" spans="1:10" ht="15.75" x14ac:dyDescent="0.25">
      <c r="A529" s="32">
        <v>57038</v>
      </c>
      <c r="B529" s="14">
        <f>42.4976 * CHOOSE(CONTROL!$C$15, $E$9, 100%, $G$9) + CHOOSE(CONTROL!$C$38, 0.034, 0)</f>
        <v>42.531599999999997</v>
      </c>
      <c r="C529" s="14">
        <f>40.2603 * CHOOSE(CONTROL!$C$15, $E$9, 100%, $G$9) + CHOOSE(CONTROL!$C$38, 0.0342, 0)</f>
        <v>40.294499999999999</v>
      </c>
      <c r="D529" s="14">
        <f>40.2525 * CHOOSE(CONTROL!$C$15, $E$9, 100%, $G$9) + CHOOSE(CONTROL!$C$38, 0.0342, 0)</f>
        <v>40.286699999999996</v>
      </c>
      <c r="E529" s="14">
        <f>40.2525 * CHOOSE(CONTROL!$C$15, $E$9, 100%, $G$9) + CHOOSE(CONTROL!$C$38, 0.0342, 0)</f>
        <v>40.286699999999996</v>
      </c>
      <c r="F529" s="45">
        <f>42.4976 * CHOOSE(CONTROL!$C$15, $E$9, 100%, $G$9) + CHOOSE(CONTROL!$C$38, 0.034, 0)</f>
        <v>42.531599999999997</v>
      </c>
      <c r="G529" s="14">
        <f>40.2588 * CHOOSE(CONTROL!$C$15, $E$9, 100%, $G$9) + CHOOSE(CONTROL!$C$38, 0.0342, 0)</f>
        <v>40.292999999999999</v>
      </c>
      <c r="H529" s="14">
        <f>40.2588 * CHOOSE(CONTROL!$C$15, $E$9, 100%, $G$9) + CHOOSE(CONTROL!$C$38, 0.0342, 0)</f>
        <v>40.292999999999999</v>
      </c>
      <c r="I529" s="14">
        <f>40.2603 * CHOOSE(CONTROL!$C$15, $E$9, 100%, $G$9) + CHOOSE(CONTROL!$C$38, 0.0342, 0)</f>
        <v>40.294499999999999</v>
      </c>
      <c r="J529" s="44">
        <f>285.7234</f>
        <v>285.72340000000003</v>
      </c>
    </row>
    <row r="530" spans="1:10" ht="15.75" x14ac:dyDescent="0.25">
      <c r="A530" s="32">
        <v>57070</v>
      </c>
      <c r="B530" s="14">
        <f>41.7006 * CHOOSE(CONTROL!$C$15, $E$9, 100%, $G$9) + CHOOSE(CONTROL!$C$38, 0.034, 0)</f>
        <v>41.7346</v>
      </c>
      <c r="C530" s="14">
        <f>39.4633 * CHOOSE(CONTROL!$C$15, $E$9, 100%, $G$9) + CHOOSE(CONTROL!$C$38, 0.0342, 0)</f>
        <v>39.497499999999995</v>
      </c>
      <c r="D530" s="14">
        <f>39.4555 * CHOOSE(CONTROL!$C$15, $E$9, 100%, $G$9) + CHOOSE(CONTROL!$C$38, 0.0342, 0)</f>
        <v>39.489699999999999</v>
      </c>
      <c r="E530" s="14">
        <f>39.4555 * CHOOSE(CONTROL!$C$15, $E$9, 100%, $G$9) + CHOOSE(CONTROL!$C$38, 0.0342, 0)</f>
        <v>39.489699999999999</v>
      </c>
      <c r="F530" s="45">
        <f>41.7006 * CHOOSE(CONTROL!$C$15, $E$9, 100%, $G$9) + CHOOSE(CONTROL!$C$38, 0.034, 0)</f>
        <v>41.7346</v>
      </c>
      <c r="G530" s="14">
        <f>39.4617 * CHOOSE(CONTROL!$C$15, $E$9, 100%, $G$9) + CHOOSE(CONTROL!$C$38, 0.0342, 0)</f>
        <v>39.495899999999999</v>
      </c>
      <c r="H530" s="14">
        <f>39.4617 * CHOOSE(CONTROL!$C$15, $E$9, 100%, $G$9) + CHOOSE(CONTROL!$C$38, 0.0342, 0)</f>
        <v>39.495899999999999</v>
      </c>
      <c r="I530" s="14">
        <f>39.4633 * CHOOSE(CONTROL!$C$15, $E$9, 100%, $G$9) + CHOOSE(CONTROL!$C$38, 0.0342, 0)</f>
        <v>39.497499999999995</v>
      </c>
      <c r="J530" s="44">
        <f>300.7826</f>
        <v>300.7826</v>
      </c>
    </row>
    <row r="531" spans="1:10" ht="15.75" x14ac:dyDescent="0.25">
      <c r="A531" s="32">
        <v>57100</v>
      </c>
      <c r="B531" s="14">
        <f>40.9283 * CHOOSE(CONTROL!$C$15, $E$9, 100%, $G$9) + CHOOSE(CONTROL!$C$38, 0.034, 0)</f>
        <v>40.962299999999999</v>
      </c>
      <c r="C531" s="14">
        <f>38.691 * CHOOSE(CONTROL!$C$15, $E$9, 100%, $G$9) + CHOOSE(CONTROL!$C$38, 0.0342, 0)</f>
        <v>38.725200000000001</v>
      </c>
      <c r="D531" s="14">
        <f>38.6832 * CHOOSE(CONTROL!$C$15, $E$9, 100%, $G$9) + CHOOSE(CONTROL!$C$38, 0.0342, 0)</f>
        <v>38.717399999999998</v>
      </c>
      <c r="E531" s="14">
        <f>38.6832 * CHOOSE(CONTROL!$C$15, $E$9, 100%, $G$9) + CHOOSE(CONTROL!$C$38, 0.0342, 0)</f>
        <v>38.717399999999998</v>
      </c>
      <c r="F531" s="45">
        <f>40.9283 * CHOOSE(CONTROL!$C$15, $E$9, 100%, $G$9) + CHOOSE(CONTROL!$C$38, 0.034, 0)</f>
        <v>40.962299999999999</v>
      </c>
      <c r="G531" s="14">
        <f>38.6894 * CHOOSE(CONTROL!$C$15, $E$9, 100%, $G$9) + CHOOSE(CONTROL!$C$38, 0.0342, 0)</f>
        <v>38.723599999999998</v>
      </c>
      <c r="H531" s="14">
        <f>38.6894 * CHOOSE(CONTROL!$C$15, $E$9, 100%, $G$9) + CHOOSE(CONTROL!$C$38, 0.0342, 0)</f>
        <v>38.723599999999998</v>
      </c>
      <c r="I531" s="14">
        <f>38.691 * CHOOSE(CONTROL!$C$15, $E$9, 100%, $G$9) + CHOOSE(CONTROL!$C$38, 0.0342, 0)</f>
        <v>38.725200000000001</v>
      </c>
      <c r="J531" s="44">
        <f>320.3109</f>
        <v>320.3109</v>
      </c>
    </row>
    <row r="532" spans="1:10" ht="15.75" x14ac:dyDescent="0.25">
      <c r="A532" s="32">
        <v>57131</v>
      </c>
      <c r="B532" s="14">
        <f>40.1233 * CHOOSE(CONTROL!$C$15, $E$9, 100%, $G$9) + CHOOSE(CONTROL!$C$38, 0.0353, 0)</f>
        <v>40.1586</v>
      </c>
      <c r="C532" s="14">
        <f>37.886 * CHOOSE(CONTROL!$C$15, $E$9, 100%, $G$9) + CHOOSE(CONTROL!$C$38, 0.0354, 0)</f>
        <v>37.921400000000006</v>
      </c>
      <c r="D532" s="14">
        <f>37.8782 * CHOOSE(CONTROL!$C$15, $E$9, 100%, $G$9) + CHOOSE(CONTROL!$C$38, 0.0354, 0)</f>
        <v>37.913600000000002</v>
      </c>
      <c r="E532" s="14">
        <f>37.8782 * CHOOSE(CONTROL!$C$15, $E$9, 100%, $G$9) + CHOOSE(CONTROL!$C$38, 0.0354, 0)</f>
        <v>37.913600000000002</v>
      </c>
      <c r="F532" s="45">
        <f>40.1233 * CHOOSE(CONTROL!$C$15, $E$9, 100%, $G$9) + CHOOSE(CONTROL!$C$38, 0.0353, 0)</f>
        <v>40.1586</v>
      </c>
      <c r="G532" s="14">
        <f>37.8845 * CHOOSE(CONTROL!$C$15, $E$9, 100%, $G$9) + CHOOSE(CONTROL!$C$38, 0.0354, 0)</f>
        <v>37.919900000000005</v>
      </c>
      <c r="H532" s="14">
        <f>37.8845 * CHOOSE(CONTROL!$C$15, $E$9, 100%, $G$9) + CHOOSE(CONTROL!$C$38, 0.0354, 0)</f>
        <v>37.919900000000005</v>
      </c>
      <c r="I532" s="14">
        <f>37.886 * CHOOSE(CONTROL!$C$15, $E$9, 100%, $G$9) + CHOOSE(CONTROL!$C$38, 0.0354, 0)</f>
        <v>37.921400000000006</v>
      </c>
      <c r="J532" s="44">
        <f>331.0599</f>
        <v>331.05990000000003</v>
      </c>
    </row>
    <row r="533" spans="1:10" ht="15.75" x14ac:dyDescent="0.25">
      <c r="A533" s="32">
        <v>57161</v>
      </c>
      <c r="B533" s="14">
        <f>39.559 * CHOOSE(CONTROL!$C$15, $E$9, 100%, $G$9) + CHOOSE(CONTROL!$C$38, 0.0353, 0)</f>
        <v>39.594299999999997</v>
      </c>
      <c r="C533" s="14">
        <f>37.3217 * CHOOSE(CONTROL!$C$15, $E$9, 100%, $G$9) + CHOOSE(CONTROL!$C$38, 0.0354, 0)</f>
        <v>37.357100000000003</v>
      </c>
      <c r="D533" s="14">
        <f>37.3139 * CHOOSE(CONTROL!$C$15, $E$9, 100%, $G$9) + CHOOSE(CONTROL!$C$38, 0.0354, 0)</f>
        <v>37.349299999999999</v>
      </c>
      <c r="E533" s="14">
        <f>37.3139 * CHOOSE(CONTROL!$C$15, $E$9, 100%, $G$9) + CHOOSE(CONTROL!$C$38, 0.0354, 0)</f>
        <v>37.349299999999999</v>
      </c>
      <c r="F533" s="45">
        <f>39.559 * CHOOSE(CONTROL!$C$15, $E$9, 100%, $G$9) + CHOOSE(CONTROL!$C$38, 0.0353, 0)</f>
        <v>39.594299999999997</v>
      </c>
      <c r="G533" s="14">
        <f>37.3201 * CHOOSE(CONTROL!$C$15, $E$9, 100%, $G$9) + CHOOSE(CONTROL!$C$38, 0.0354, 0)</f>
        <v>37.355499999999999</v>
      </c>
      <c r="H533" s="14">
        <f>37.3201 * CHOOSE(CONTROL!$C$15, $E$9, 100%, $G$9) + CHOOSE(CONTROL!$C$38, 0.0354, 0)</f>
        <v>37.355499999999999</v>
      </c>
      <c r="I533" s="14">
        <f>37.3217 * CHOOSE(CONTROL!$C$15, $E$9, 100%, $G$9) + CHOOSE(CONTROL!$C$38, 0.0354, 0)</f>
        <v>37.357100000000003</v>
      </c>
      <c r="J533" s="44">
        <f>335.8301</f>
        <v>335.83010000000002</v>
      </c>
    </row>
    <row r="534" spans="1:10" ht="15.75" x14ac:dyDescent="0.25">
      <c r="A534" s="32">
        <v>57192</v>
      </c>
      <c r="B534" s="14">
        <f>39.2369 * CHOOSE(CONTROL!$C$15, $E$9, 100%, $G$9) + CHOOSE(CONTROL!$C$38, 0.0353, 0)</f>
        <v>39.272199999999998</v>
      </c>
      <c r="C534" s="14">
        <f>36.9996 * CHOOSE(CONTROL!$C$15, $E$9, 100%, $G$9) + CHOOSE(CONTROL!$C$38, 0.0354, 0)</f>
        <v>37.035000000000004</v>
      </c>
      <c r="D534" s="14">
        <f>36.9918 * CHOOSE(CONTROL!$C$15, $E$9, 100%, $G$9) + CHOOSE(CONTROL!$C$38, 0.0354, 0)</f>
        <v>37.027200000000001</v>
      </c>
      <c r="E534" s="14">
        <f>36.9918 * CHOOSE(CONTROL!$C$15, $E$9, 100%, $G$9) + CHOOSE(CONTROL!$C$38, 0.0354, 0)</f>
        <v>37.027200000000001</v>
      </c>
      <c r="F534" s="45">
        <f>39.2369 * CHOOSE(CONTROL!$C$15, $E$9, 100%, $G$9) + CHOOSE(CONTROL!$C$38, 0.0353, 0)</f>
        <v>39.272199999999998</v>
      </c>
      <c r="G534" s="14">
        <f>36.9981 * CHOOSE(CONTROL!$C$15, $E$9, 100%, $G$9) + CHOOSE(CONTROL!$C$38, 0.0354, 0)</f>
        <v>37.033500000000004</v>
      </c>
      <c r="H534" s="14">
        <f>36.9981 * CHOOSE(CONTROL!$C$15, $E$9, 100%, $G$9) + CHOOSE(CONTROL!$C$38, 0.0354, 0)</f>
        <v>37.033500000000004</v>
      </c>
      <c r="I534" s="14">
        <f>36.9996 * CHOOSE(CONTROL!$C$15, $E$9, 100%, $G$9) + CHOOSE(CONTROL!$C$38, 0.0354, 0)</f>
        <v>37.035000000000004</v>
      </c>
      <c r="J534" s="44">
        <f>334.2596</f>
        <v>334.25959999999998</v>
      </c>
    </row>
    <row r="535" spans="1:10" ht="15.75" x14ac:dyDescent="0.25">
      <c r="A535" s="32">
        <v>57223</v>
      </c>
      <c r="B535" s="14">
        <f>39.3959 * CHOOSE(CONTROL!$C$15, $E$9, 100%, $G$9) + CHOOSE(CONTROL!$C$38, 0.0353, 0)</f>
        <v>39.431199999999997</v>
      </c>
      <c r="C535" s="14">
        <f>37.1586 * CHOOSE(CONTROL!$C$15, $E$9, 100%, $G$9) + CHOOSE(CONTROL!$C$38, 0.0354, 0)</f>
        <v>37.194000000000003</v>
      </c>
      <c r="D535" s="14">
        <f>37.1508 * CHOOSE(CONTROL!$C$15, $E$9, 100%, $G$9) + CHOOSE(CONTROL!$C$38, 0.0354, 0)</f>
        <v>37.186199999999999</v>
      </c>
      <c r="E535" s="14">
        <f>37.1508 * CHOOSE(CONTROL!$C$15, $E$9, 100%, $G$9) + CHOOSE(CONTROL!$C$38, 0.0354, 0)</f>
        <v>37.186199999999999</v>
      </c>
      <c r="F535" s="45">
        <f>39.3959 * CHOOSE(CONTROL!$C$15, $E$9, 100%, $G$9) + CHOOSE(CONTROL!$C$38, 0.0353, 0)</f>
        <v>39.431199999999997</v>
      </c>
      <c r="G535" s="14">
        <f>37.157 * CHOOSE(CONTROL!$C$15, $E$9, 100%, $G$9) + CHOOSE(CONTROL!$C$38, 0.0354, 0)</f>
        <v>37.192399999999999</v>
      </c>
      <c r="H535" s="14">
        <f>37.157 * CHOOSE(CONTROL!$C$15, $E$9, 100%, $G$9) + CHOOSE(CONTROL!$C$38, 0.0354, 0)</f>
        <v>37.192399999999999</v>
      </c>
      <c r="I535" s="14">
        <f>37.1586 * CHOOSE(CONTROL!$C$15, $E$9, 100%, $G$9) + CHOOSE(CONTROL!$C$38, 0.0354, 0)</f>
        <v>37.194000000000003</v>
      </c>
      <c r="J535" s="44">
        <f>326.4781</f>
        <v>326.47809999999998</v>
      </c>
    </row>
    <row r="536" spans="1:10" ht="15.75" x14ac:dyDescent="0.25">
      <c r="A536" s="32">
        <v>57253</v>
      </c>
      <c r="B536" s="14">
        <f>39.8276 * CHOOSE(CONTROL!$C$15, $E$9, 100%, $G$9) + CHOOSE(CONTROL!$C$38, 0.0353, 0)</f>
        <v>39.862899999999996</v>
      </c>
      <c r="C536" s="14">
        <f>37.5903 * CHOOSE(CONTROL!$C$15, $E$9, 100%, $G$9) + CHOOSE(CONTROL!$C$38, 0.0354, 0)</f>
        <v>37.625700000000002</v>
      </c>
      <c r="D536" s="14">
        <f>37.5825 * CHOOSE(CONTROL!$C$15, $E$9, 100%, $G$9) + CHOOSE(CONTROL!$C$38, 0.0354, 0)</f>
        <v>37.617900000000006</v>
      </c>
      <c r="E536" s="14">
        <f>37.5825 * CHOOSE(CONTROL!$C$15, $E$9, 100%, $G$9) + CHOOSE(CONTROL!$C$38, 0.0354, 0)</f>
        <v>37.617900000000006</v>
      </c>
      <c r="F536" s="45">
        <f>39.8276 * CHOOSE(CONTROL!$C$15, $E$9, 100%, $G$9) + CHOOSE(CONTROL!$C$38, 0.0353, 0)</f>
        <v>39.862899999999996</v>
      </c>
      <c r="G536" s="14">
        <f>37.5887 * CHOOSE(CONTROL!$C$15, $E$9, 100%, $G$9) + CHOOSE(CONTROL!$C$38, 0.0354, 0)</f>
        <v>37.624100000000006</v>
      </c>
      <c r="H536" s="14">
        <f>37.5887 * CHOOSE(CONTROL!$C$15, $E$9, 100%, $G$9) + CHOOSE(CONTROL!$C$38, 0.0354, 0)</f>
        <v>37.624100000000006</v>
      </c>
      <c r="I536" s="14">
        <f>37.5903 * CHOOSE(CONTROL!$C$15, $E$9, 100%, $G$9) + CHOOSE(CONTROL!$C$38, 0.0354, 0)</f>
        <v>37.625700000000002</v>
      </c>
      <c r="J536" s="44">
        <f>315.6266</f>
        <v>315.6266</v>
      </c>
    </row>
    <row r="537" spans="1:10" ht="15.75" x14ac:dyDescent="0.25">
      <c r="A537" s="32">
        <v>57284</v>
      </c>
      <c r="B537" s="14">
        <f>40.1891 * CHOOSE(CONTROL!$C$15, $E$9, 100%, $G$9) + CHOOSE(CONTROL!$C$38, 0.034, 0)</f>
        <v>40.223100000000002</v>
      </c>
      <c r="C537" s="14">
        <f>37.9518 * CHOOSE(CONTROL!$C$15, $E$9, 100%, $G$9) + CHOOSE(CONTROL!$C$38, 0.0342, 0)</f>
        <v>37.985999999999997</v>
      </c>
      <c r="D537" s="14">
        <f>37.944 * CHOOSE(CONTROL!$C$15, $E$9, 100%, $G$9) + CHOOSE(CONTROL!$C$38, 0.0342, 0)</f>
        <v>37.978200000000001</v>
      </c>
      <c r="E537" s="14">
        <f>37.944 * CHOOSE(CONTROL!$C$15, $E$9, 100%, $G$9) + CHOOSE(CONTROL!$C$38, 0.0342, 0)</f>
        <v>37.978200000000001</v>
      </c>
      <c r="F537" s="45">
        <f>40.1891 * CHOOSE(CONTROL!$C$15, $E$9, 100%, $G$9) + CHOOSE(CONTROL!$C$38, 0.034, 0)</f>
        <v>40.223100000000002</v>
      </c>
      <c r="G537" s="14">
        <f>37.9503 * CHOOSE(CONTROL!$C$15, $E$9, 100%, $G$9) + CHOOSE(CONTROL!$C$38, 0.0342, 0)</f>
        <v>37.984499999999997</v>
      </c>
      <c r="H537" s="14">
        <f>37.9503 * CHOOSE(CONTROL!$C$15, $E$9, 100%, $G$9) + CHOOSE(CONTROL!$C$38, 0.0342, 0)</f>
        <v>37.984499999999997</v>
      </c>
      <c r="I537" s="14">
        <f>37.9518 * CHOOSE(CONTROL!$C$15, $E$9, 100%, $G$9) + CHOOSE(CONTROL!$C$38, 0.0342, 0)</f>
        <v>37.985999999999997</v>
      </c>
      <c r="J537" s="44">
        <f>304.7119</f>
        <v>304.71190000000001</v>
      </c>
    </row>
    <row r="538" spans="1:10" ht="15.75" x14ac:dyDescent="0.25">
      <c r="A538" s="32">
        <v>57314</v>
      </c>
      <c r="B538" s="14">
        <f>40.4908 * CHOOSE(CONTROL!$C$15, $E$9, 100%, $G$9) + CHOOSE(CONTROL!$C$38, 0.034, 0)</f>
        <v>40.524799999999999</v>
      </c>
      <c r="C538" s="14">
        <f>38.2535 * CHOOSE(CONTROL!$C$15, $E$9, 100%, $G$9) + CHOOSE(CONTROL!$C$38, 0.0342, 0)</f>
        <v>38.287700000000001</v>
      </c>
      <c r="D538" s="14">
        <f>38.2457 * CHOOSE(CONTROL!$C$15, $E$9, 100%, $G$9) + CHOOSE(CONTROL!$C$38, 0.0342, 0)</f>
        <v>38.279899999999998</v>
      </c>
      <c r="E538" s="14">
        <f>38.2457 * CHOOSE(CONTROL!$C$15, $E$9, 100%, $G$9) + CHOOSE(CONTROL!$C$38, 0.0342, 0)</f>
        <v>38.279899999999998</v>
      </c>
      <c r="F538" s="45">
        <f>40.4908 * CHOOSE(CONTROL!$C$15, $E$9, 100%, $G$9) + CHOOSE(CONTROL!$C$38, 0.034, 0)</f>
        <v>40.524799999999999</v>
      </c>
      <c r="G538" s="14">
        <f>38.252 * CHOOSE(CONTROL!$C$15, $E$9, 100%, $G$9) + CHOOSE(CONTROL!$C$38, 0.0342, 0)</f>
        <v>38.286200000000001</v>
      </c>
      <c r="H538" s="14">
        <f>38.252 * CHOOSE(CONTROL!$C$15, $E$9, 100%, $G$9) + CHOOSE(CONTROL!$C$38, 0.0342, 0)</f>
        <v>38.286200000000001</v>
      </c>
      <c r="I538" s="14">
        <f>38.2535 * CHOOSE(CONTROL!$C$15, $E$9, 100%, $G$9) + CHOOSE(CONTROL!$C$38, 0.0342, 0)</f>
        <v>38.287700000000001</v>
      </c>
      <c r="J538" s="44">
        <f>302.5407</f>
        <v>302.54070000000002</v>
      </c>
    </row>
    <row r="539" spans="1:10" ht="15.75" x14ac:dyDescent="0.25">
      <c r="A539" s="32">
        <v>57345</v>
      </c>
      <c r="B539" s="14">
        <f>41.4205 * CHOOSE(CONTROL!$C$15, $E$9, 100%, $G$9) + CHOOSE(CONTROL!$C$38, 0.034, 0)</f>
        <v>41.454499999999996</v>
      </c>
      <c r="C539" s="14">
        <f>39.1832 * CHOOSE(CONTROL!$C$15, $E$9, 100%, $G$9) + CHOOSE(CONTROL!$C$38, 0.0342, 0)</f>
        <v>39.217399999999998</v>
      </c>
      <c r="D539" s="14">
        <f>39.1754 * CHOOSE(CONTROL!$C$15, $E$9, 100%, $G$9) + CHOOSE(CONTROL!$C$38, 0.0342, 0)</f>
        <v>39.209600000000002</v>
      </c>
      <c r="E539" s="14">
        <f>39.1754 * CHOOSE(CONTROL!$C$15, $E$9, 100%, $G$9) + CHOOSE(CONTROL!$C$38, 0.0342, 0)</f>
        <v>39.209600000000002</v>
      </c>
      <c r="F539" s="45">
        <f>41.4205 * CHOOSE(CONTROL!$C$15, $E$9, 100%, $G$9) + CHOOSE(CONTROL!$C$38, 0.034, 0)</f>
        <v>41.454499999999996</v>
      </c>
      <c r="G539" s="14">
        <f>39.1817 * CHOOSE(CONTROL!$C$15, $E$9, 100%, $G$9) + CHOOSE(CONTROL!$C$38, 0.0342, 0)</f>
        <v>39.215899999999998</v>
      </c>
      <c r="H539" s="14">
        <f>39.1817 * CHOOSE(CONTROL!$C$15, $E$9, 100%, $G$9) + CHOOSE(CONTROL!$C$38, 0.0342, 0)</f>
        <v>39.215899999999998</v>
      </c>
      <c r="I539" s="14">
        <f>39.1832 * CHOOSE(CONTROL!$C$15, $E$9, 100%, $G$9) + CHOOSE(CONTROL!$C$38, 0.0342, 0)</f>
        <v>39.217399999999998</v>
      </c>
      <c r="J539" s="44">
        <f>293.5628</f>
        <v>293.56279999999998</v>
      </c>
    </row>
    <row r="540" spans="1:10" ht="15.75" x14ac:dyDescent="0.25">
      <c r="A540" s="32">
        <v>57376</v>
      </c>
      <c r="B540" s="14">
        <f>42.8254 * CHOOSE(CONTROL!$C$15, $E$9, 100%, $G$9) + CHOOSE(CONTROL!$C$38, 0.034, 0)</f>
        <v>42.859400000000001</v>
      </c>
      <c r="C540" s="14">
        <f>40.5532 * CHOOSE(CONTROL!$C$15, $E$9, 100%, $G$9) + CHOOSE(CONTROL!$C$38, 0.0342, 0)</f>
        <v>40.587399999999995</v>
      </c>
      <c r="D540" s="14">
        <f>40.5454 * CHOOSE(CONTROL!$C$15, $E$9, 100%, $G$9) + CHOOSE(CONTROL!$C$38, 0.0342, 0)</f>
        <v>40.579599999999999</v>
      </c>
      <c r="E540" s="14">
        <f>40.5454 * CHOOSE(CONTROL!$C$15, $E$9, 100%, $G$9) + CHOOSE(CONTROL!$C$38, 0.0342, 0)</f>
        <v>40.579599999999999</v>
      </c>
      <c r="F540" s="45">
        <f>42.8254 * CHOOSE(CONTROL!$C$15, $E$9, 100%, $G$9) + CHOOSE(CONTROL!$C$38, 0.034, 0)</f>
        <v>42.859400000000001</v>
      </c>
      <c r="G540" s="14">
        <f>40.5516 * CHOOSE(CONTROL!$C$15, $E$9, 100%, $G$9) + CHOOSE(CONTROL!$C$38, 0.0342, 0)</f>
        <v>40.585799999999999</v>
      </c>
      <c r="H540" s="14">
        <f>40.5516 * CHOOSE(CONTROL!$C$15, $E$9, 100%, $G$9) + CHOOSE(CONTROL!$C$38, 0.0342, 0)</f>
        <v>40.585799999999999</v>
      </c>
      <c r="I540" s="14">
        <f>40.5532 * CHOOSE(CONTROL!$C$15, $E$9, 100%, $G$9) + CHOOSE(CONTROL!$C$38, 0.0342, 0)</f>
        <v>40.587399999999995</v>
      </c>
      <c r="J540" s="44">
        <f>293.3509</f>
        <v>293.35090000000002</v>
      </c>
    </row>
    <row r="541" spans="1:10" ht="15.75" x14ac:dyDescent="0.25">
      <c r="A541" s="32">
        <v>57404</v>
      </c>
      <c r="B541" s="14">
        <f>43.1698 * CHOOSE(CONTROL!$C$15, $E$9, 100%, $G$9) + CHOOSE(CONTROL!$C$38, 0.034, 0)</f>
        <v>43.203800000000001</v>
      </c>
      <c r="C541" s="14">
        <f>40.8975 * CHOOSE(CONTROL!$C$15, $E$9, 100%, $G$9) + CHOOSE(CONTROL!$C$38, 0.0342, 0)</f>
        <v>40.931699999999999</v>
      </c>
      <c r="D541" s="14">
        <f>40.8897 * CHOOSE(CONTROL!$C$15, $E$9, 100%, $G$9) + CHOOSE(CONTROL!$C$38, 0.0342, 0)</f>
        <v>40.923899999999996</v>
      </c>
      <c r="E541" s="14">
        <f>40.8897 * CHOOSE(CONTROL!$C$15, $E$9, 100%, $G$9) + CHOOSE(CONTROL!$C$38, 0.0342, 0)</f>
        <v>40.923899999999996</v>
      </c>
      <c r="F541" s="45">
        <f>43.1698 * CHOOSE(CONTROL!$C$15, $E$9, 100%, $G$9) + CHOOSE(CONTROL!$C$38, 0.034, 0)</f>
        <v>43.203800000000001</v>
      </c>
      <c r="G541" s="14">
        <f>40.896 * CHOOSE(CONTROL!$C$15, $E$9, 100%, $G$9) + CHOOSE(CONTROL!$C$38, 0.0342, 0)</f>
        <v>40.930199999999999</v>
      </c>
      <c r="H541" s="14">
        <f>40.896 * CHOOSE(CONTROL!$C$15, $E$9, 100%, $G$9) + CHOOSE(CONTROL!$C$38, 0.0342, 0)</f>
        <v>40.930199999999999</v>
      </c>
      <c r="I541" s="14">
        <f>40.8975 * CHOOSE(CONTROL!$C$15, $E$9, 100%, $G$9) + CHOOSE(CONTROL!$C$38, 0.0342, 0)</f>
        <v>40.931699999999999</v>
      </c>
      <c r="J541" s="44">
        <f>292.5354</f>
        <v>292.53539999999998</v>
      </c>
    </row>
    <row r="542" spans="1:10" ht="15.75" x14ac:dyDescent="0.25">
      <c r="A542" s="32">
        <v>57435</v>
      </c>
      <c r="B542" s="14">
        <f>42.3727 * CHOOSE(CONTROL!$C$15, $E$9, 100%, $G$9) + CHOOSE(CONTROL!$C$38, 0.034, 0)</f>
        <v>42.406700000000001</v>
      </c>
      <c r="C542" s="14">
        <f>40.1005 * CHOOSE(CONTROL!$C$15, $E$9, 100%, $G$9) + CHOOSE(CONTROL!$C$38, 0.0342, 0)</f>
        <v>40.134699999999995</v>
      </c>
      <c r="D542" s="14">
        <f>40.0927 * CHOOSE(CONTROL!$C$15, $E$9, 100%, $G$9) + CHOOSE(CONTROL!$C$38, 0.0342, 0)</f>
        <v>40.126899999999999</v>
      </c>
      <c r="E542" s="14">
        <f>40.0927 * CHOOSE(CONTROL!$C$15, $E$9, 100%, $G$9) + CHOOSE(CONTROL!$C$38, 0.0342, 0)</f>
        <v>40.126899999999999</v>
      </c>
      <c r="F542" s="45">
        <f>42.3727 * CHOOSE(CONTROL!$C$15, $E$9, 100%, $G$9) + CHOOSE(CONTROL!$C$38, 0.034, 0)</f>
        <v>42.406700000000001</v>
      </c>
      <c r="G542" s="14">
        <f>40.0989 * CHOOSE(CONTROL!$C$15, $E$9, 100%, $G$9) + CHOOSE(CONTROL!$C$38, 0.0342, 0)</f>
        <v>40.133099999999999</v>
      </c>
      <c r="H542" s="14">
        <f>40.0989 * CHOOSE(CONTROL!$C$15, $E$9, 100%, $G$9) + CHOOSE(CONTROL!$C$38, 0.0342, 0)</f>
        <v>40.133099999999999</v>
      </c>
      <c r="I542" s="14">
        <f>40.1005 * CHOOSE(CONTROL!$C$15, $E$9, 100%, $G$9) + CHOOSE(CONTROL!$C$38, 0.0342, 0)</f>
        <v>40.134699999999995</v>
      </c>
      <c r="J542" s="44">
        <f>307.9537</f>
        <v>307.95370000000003</v>
      </c>
    </row>
    <row r="543" spans="1:10" ht="15.75" x14ac:dyDescent="0.25">
      <c r="A543" s="32">
        <v>57465</v>
      </c>
      <c r="B543" s="14">
        <f>41.6004 * CHOOSE(CONTROL!$C$15, $E$9, 100%, $G$9) + CHOOSE(CONTROL!$C$38, 0.034, 0)</f>
        <v>41.634399999999999</v>
      </c>
      <c r="C543" s="14">
        <f>39.3282 * CHOOSE(CONTROL!$C$15, $E$9, 100%, $G$9) + CHOOSE(CONTROL!$C$38, 0.0342, 0)</f>
        <v>39.362400000000001</v>
      </c>
      <c r="D543" s="14">
        <f>39.3204 * CHOOSE(CONTROL!$C$15, $E$9, 100%, $G$9) + CHOOSE(CONTROL!$C$38, 0.0342, 0)</f>
        <v>39.354599999999998</v>
      </c>
      <c r="E543" s="14">
        <f>39.3204 * CHOOSE(CONTROL!$C$15, $E$9, 100%, $G$9) + CHOOSE(CONTROL!$C$38, 0.0342, 0)</f>
        <v>39.354599999999998</v>
      </c>
      <c r="F543" s="45">
        <f>41.6004 * CHOOSE(CONTROL!$C$15, $E$9, 100%, $G$9) + CHOOSE(CONTROL!$C$38, 0.034, 0)</f>
        <v>41.634399999999999</v>
      </c>
      <c r="G543" s="14">
        <f>39.3266 * CHOOSE(CONTROL!$C$15, $E$9, 100%, $G$9) + CHOOSE(CONTROL!$C$38, 0.0342, 0)</f>
        <v>39.360799999999998</v>
      </c>
      <c r="H543" s="14">
        <f>39.3266 * CHOOSE(CONTROL!$C$15, $E$9, 100%, $G$9) + CHOOSE(CONTROL!$C$38, 0.0342, 0)</f>
        <v>39.360799999999998</v>
      </c>
      <c r="I543" s="14">
        <f>39.3282 * CHOOSE(CONTROL!$C$15, $E$9, 100%, $G$9) + CHOOSE(CONTROL!$C$38, 0.0342, 0)</f>
        <v>39.362400000000001</v>
      </c>
      <c r="J543" s="44">
        <f>327.9476</f>
        <v>327.94760000000002</v>
      </c>
    </row>
    <row r="544" spans="1:10" ht="15.75" x14ac:dyDescent="0.25">
      <c r="A544" s="32">
        <v>57496</v>
      </c>
      <c r="B544" s="14">
        <f>40.7955 * CHOOSE(CONTROL!$C$15, $E$9, 100%, $G$9) + CHOOSE(CONTROL!$C$38, 0.0353, 0)</f>
        <v>40.830799999999996</v>
      </c>
      <c r="C544" s="14">
        <f>38.5232 * CHOOSE(CONTROL!$C$15, $E$9, 100%, $G$9) + CHOOSE(CONTROL!$C$38, 0.0354, 0)</f>
        <v>38.558600000000006</v>
      </c>
      <c r="D544" s="14">
        <f>38.5154 * CHOOSE(CONTROL!$C$15, $E$9, 100%, $G$9) + CHOOSE(CONTROL!$C$38, 0.0354, 0)</f>
        <v>38.550800000000002</v>
      </c>
      <c r="E544" s="14">
        <f>38.5154 * CHOOSE(CONTROL!$C$15, $E$9, 100%, $G$9) + CHOOSE(CONTROL!$C$38, 0.0354, 0)</f>
        <v>38.550800000000002</v>
      </c>
      <c r="F544" s="45">
        <f>40.7955 * CHOOSE(CONTROL!$C$15, $E$9, 100%, $G$9) + CHOOSE(CONTROL!$C$38, 0.0353, 0)</f>
        <v>40.830799999999996</v>
      </c>
      <c r="G544" s="14">
        <f>38.5216 * CHOOSE(CONTROL!$C$15, $E$9, 100%, $G$9) + CHOOSE(CONTROL!$C$38, 0.0354, 0)</f>
        <v>38.557000000000002</v>
      </c>
      <c r="H544" s="14">
        <f>38.5216 * CHOOSE(CONTROL!$C$15, $E$9, 100%, $G$9) + CHOOSE(CONTROL!$C$38, 0.0354, 0)</f>
        <v>38.557000000000002</v>
      </c>
      <c r="I544" s="14">
        <f>38.5232 * CHOOSE(CONTROL!$C$15, $E$9, 100%, $G$9) + CHOOSE(CONTROL!$C$38, 0.0354, 0)</f>
        <v>38.558600000000006</v>
      </c>
      <c r="J544" s="44">
        <f>338.9529</f>
        <v>338.9529</v>
      </c>
    </row>
    <row r="545" spans="1:10" ht="15.75" x14ac:dyDescent="0.25">
      <c r="A545" s="32">
        <v>57526</v>
      </c>
      <c r="B545" s="14">
        <f>40.2311 * CHOOSE(CONTROL!$C$15, $E$9, 100%, $G$9) + CHOOSE(CONTROL!$C$38, 0.0353, 0)</f>
        <v>40.266399999999997</v>
      </c>
      <c r="C545" s="14">
        <f>37.9589 * CHOOSE(CONTROL!$C$15, $E$9, 100%, $G$9) + CHOOSE(CONTROL!$C$38, 0.0354, 0)</f>
        <v>37.994300000000003</v>
      </c>
      <c r="D545" s="14">
        <f>37.9511 * CHOOSE(CONTROL!$C$15, $E$9, 100%, $G$9) + CHOOSE(CONTROL!$C$38, 0.0354, 0)</f>
        <v>37.986499999999999</v>
      </c>
      <c r="E545" s="14">
        <f>37.9511 * CHOOSE(CONTROL!$C$15, $E$9, 100%, $G$9) + CHOOSE(CONTROL!$C$38, 0.0354, 0)</f>
        <v>37.986499999999999</v>
      </c>
      <c r="F545" s="45">
        <f>40.2311 * CHOOSE(CONTROL!$C$15, $E$9, 100%, $G$9) + CHOOSE(CONTROL!$C$38, 0.0353, 0)</f>
        <v>40.266399999999997</v>
      </c>
      <c r="G545" s="14">
        <f>37.9573 * CHOOSE(CONTROL!$C$15, $E$9, 100%, $G$9) + CHOOSE(CONTROL!$C$38, 0.0354, 0)</f>
        <v>37.992699999999999</v>
      </c>
      <c r="H545" s="14">
        <f>37.9573 * CHOOSE(CONTROL!$C$15, $E$9, 100%, $G$9) + CHOOSE(CONTROL!$C$38, 0.0354, 0)</f>
        <v>37.992699999999999</v>
      </c>
      <c r="I545" s="14">
        <f>37.9589 * CHOOSE(CONTROL!$C$15, $E$9, 100%, $G$9) + CHOOSE(CONTROL!$C$38, 0.0354, 0)</f>
        <v>37.994300000000003</v>
      </c>
      <c r="J545" s="44">
        <f>343.8368</f>
        <v>343.83679999999998</v>
      </c>
    </row>
    <row r="546" spans="1:10" ht="15.75" x14ac:dyDescent="0.25">
      <c r="A546" s="32">
        <v>57557</v>
      </c>
      <c r="B546" s="14">
        <f>39.9091 * CHOOSE(CONTROL!$C$15, $E$9, 100%, $G$9) + CHOOSE(CONTROL!$C$38, 0.0353, 0)</f>
        <v>39.944400000000002</v>
      </c>
      <c r="C546" s="14">
        <f>37.6368 * CHOOSE(CONTROL!$C$15, $E$9, 100%, $G$9) + CHOOSE(CONTROL!$C$38, 0.0354, 0)</f>
        <v>37.672200000000004</v>
      </c>
      <c r="D546" s="14">
        <f>37.629 * CHOOSE(CONTROL!$C$15, $E$9, 100%, $G$9) + CHOOSE(CONTROL!$C$38, 0.0354, 0)</f>
        <v>37.664400000000001</v>
      </c>
      <c r="E546" s="14">
        <f>37.629 * CHOOSE(CONTROL!$C$15, $E$9, 100%, $G$9) + CHOOSE(CONTROL!$C$38, 0.0354, 0)</f>
        <v>37.664400000000001</v>
      </c>
      <c r="F546" s="45">
        <f>39.9091 * CHOOSE(CONTROL!$C$15, $E$9, 100%, $G$9) + CHOOSE(CONTROL!$C$38, 0.0353, 0)</f>
        <v>39.944400000000002</v>
      </c>
      <c r="G546" s="14">
        <f>37.6353 * CHOOSE(CONTROL!$C$15, $E$9, 100%, $G$9) + CHOOSE(CONTROL!$C$38, 0.0354, 0)</f>
        <v>37.670700000000004</v>
      </c>
      <c r="H546" s="14">
        <f>37.6353 * CHOOSE(CONTROL!$C$15, $E$9, 100%, $G$9) + CHOOSE(CONTROL!$C$38, 0.0354, 0)</f>
        <v>37.670700000000004</v>
      </c>
      <c r="I546" s="14">
        <f>37.6368 * CHOOSE(CONTROL!$C$15, $E$9, 100%, $G$9) + CHOOSE(CONTROL!$C$38, 0.0354, 0)</f>
        <v>37.672200000000004</v>
      </c>
      <c r="J546" s="44">
        <f>342.2288</f>
        <v>342.22879999999998</v>
      </c>
    </row>
    <row r="547" spans="1:10" ht="15.75" x14ac:dyDescent="0.25">
      <c r="A547" s="32">
        <v>57588</v>
      </c>
      <c r="B547" s="14">
        <f>40.068 * CHOOSE(CONTROL!$C$15, $E$9, 100%, $G$9) + CHOOSE(CONTROL!$C$38, 0.0353, 0)</f>
        <v>40.103299999999997</v>
      </c>
      <c r="C547" s="14">
        <f>37.7958 * CHOOSE(CONTROL!$C$15, $E$9, 100%, $G$9) + CHOOSE(CONTROL!$C$38, 0.0354, 0)</f>
        <v>37.831200000000003</v>
      </c>
      <c r="D547" s="14">
        <f>37.788 * CHOOSE(CONTROL!$C$15, $E$9, 100%, $G$9) + CHOOSE(CONTROL!$C$38, 0.0354, 0)</f>
        <v>37.823399999999999</v>
      </c>
      <c r="E547" s="14">
        <f>37.788 * CHOOSE(CONTROL!$C$15, $E$9, 100%, $G$9) + CHOOSE(CONTROL!$C$38, 0.0354, 0)</f>
        <v>37.823399999999999</v>
      </c>
      <c r="F547" s="45">
        <f>40.068 * CHOOSE(CONTROL!$C$15, $E$9, 100%, $G$9) + CHOOSE(CONTROL!$C$38, 0.0353, 0)</f>
        <v>40.103299999999997</v>
      </c>
      <c r="G547" s="14">
        <f>37.7942 * CHOOSE(CONTROL!$C$15, $E$9, 100%, $G$9) + CHOOSE(CONTROL!$C$38, 0.0354, 0)</f>
        <v>37.829599999999999</v>
      </c>
      <c r="H547" s="14">
        <f>37.7942 * CHOOSE(CONTROL!$C$15, $E$9, 100%, $G$9) + CHOOSE(CONTROL!$C$38, 0.0354, 0)</f>
        <v>37.829599999999999</v>
      </c>
      <c r="I547" s="14">
        <f>37.7958 * CHOOSE(CONTROL!$C$15, $E$9, 100%, $G$9) + CHOOSE(CONTROL!$C$38, 0.0354, 0)</f>
        <v>37.831200000000003</v>
      </c>
      <c r="J547" s="44">
        <f>334.2619</f>
        <v>334.26190000000003</v>
      </c>
    </row>
    <row r="548" spans="1:10" ht="15.75" x14ac:dyDescent="0.25">
      <c r="A548" s="32">
        <v>57618</v>
      </c>
      <c r="B548" s="14">
        <f>40.4997 * CHOOSE(CONTROL!$C$15, $E$9, 100%, $G$9) + CHOOSE(CONTROL!$C$38, 0.0353, 0)</f>
        <v>40.534999999999997</v>
      </c>
      <c r="C548" s="14">
        <f>38.2275 * CHOOSE(CONTROL!$C$15, $E$9, 100%, $G$9) + CHOOSE(CONTROL!$C$38, 0.0354, 0)</f>
        <v>38.262900000000002</v>
      </c>
      <c r="D548" s="14">
        <f>38.2197 * CHOOSE(CONTROL!$C$15, $E$9, 100%, $G$9) + CHOOSE(CONTROL!$C$38, 0.0354, 0)</f>
        <v>38.255100000000006</v>
      </c>
      <c r="E548" s="14">
        <f>38.2197 * CHOOSE(CONTROL!$C$15, $E$9, 100%, $G$9) + CHOOSE(CONTROL!$C$38, 0.0354, 0)</f>
        <v>38.255100000000006</v>
      </c>
      <c r="F548" s="45">
        <f>40.4997 * CHOOSE(CONTROL!$C$15, $E$9, 100%, $G$9) + CHOOSE(CONTROL!$C$38, 0.0353, 0)</f>
        <v>40.534999999999997</v>
      </c>
      <c r="G548" s="14">
        <f>38.2259 * CHOOSE(CONTROL!$C$15, $E$9, 100%, $G$9) + CHOOSE(CONTROL!$C$38, 0.0354, 0)</f>
        <v>38.261300000000006</v>
      </c>
      <c r="H548" s="14">
        <f>38.2259 * CHOOSE(CONTROL!$C$15, $E$9, 100%, $G$9) + CHOOSE(CONTROL!$C$38, 0.0354, 0)</f>
        <v>38.261300000000006</v>
      </c>
      <c r="I548" s="14">
        <f>38.2275 * CHOOSE(CONTROL!$C$15, $E$9, 100%, $G$9) + CHOOSE(CONTROL!$C$38, 0.0354, 0)</f>
        <v>38.262900000000002</v>
      </c>
      <c r="J548" s="44">
        <f>323.1516</f>
        <v>323.15159999999997</v>
      </c>
    </row>
    <row r="549" spans="1:10" ht="15.75" x14ac:dyDescent="0.25">
      <c r="A549" s="32">
        <v>57649</v>
      </c>
      <c r="B549" s="14">
        <f>40.8613 * CHOOSE(CONTROL!$C$15, $E$9, 100%, $G$9) + CHOOSE(CONTROL!$C$38, 0.034, 0)</f>
        <v>40.895299999999999</v>
      </c>
      <c r="C549" s="14">
        <f>38.589 * CHOOSE(CONTROL!$C$15, $E$9, 100%, $G$9) + CHOOSE(CONTROL!$C$38, 0.0342, 0)</f>
        <v>38.623199999999997</v>
      </c>
      <c r="D549" s="14">
        <f>38.5812 * CHOOSE(CONTROL!$C$15, $E$9, 100%, $G$9) + CHOOSE(CONTROL!$C$38, 0.0342, 0)</f>
        <v>38.615400000000001</v>
      </c>
      <c r="E549" s="14">
        <f>38.5812 * CHOOSE(CONTROL!$C$15, $E$9, 100%, $G$9) + CHOOSE(CONTROL!$C$38, 0.0342, 0)</f>
        <v>38.615400000000001</v>
      </c>
      <c r="F549" s="45">
        <f>40.8613 * CHOOSE(CONTROL!$C$15, $E$9, 100%, $G$9) + CHOOSE(CONTROL!$C$38, 0.034, 0)</f>
        <v>40.895299999999999</v>
      </c>
      <c r="G549" s="14">
        <f>38.5875 * CHOOSE(CONTROL!$C$15, $E$9, 100%, $G$9) + CHOOSE(CONTROL!$C$38, 0.0342, 0)</f>
        <v>38.621699999999997</v>
      </c>
      <c r="H549" s="14">
        <f>38.5875 * CHOOSE(CONTROL!$C$15, $E$9, 100%, $G$9) + CHOOSE(CONTROL!$C$38, 0.0342, 0)</f>
        <v>38.621699999999997</v>
      </c>
      <c r="I549" s="14">
        <f>38.589 * CHOOSE(CONTROL!$C$15, $E$9, 100%, $G$9) + CHOOSE(CONTROL!$C$38, 0.0342, 0)</f>
        <v>38.623199999999997</v>
      </c>
      <c r="J549" s="44">
        <f>311.9767</f>
        <v>311.97669999999999</v>
      </c>
    </row>
    <row r="550" spans="1:10" ht="15.75" x14ac:dyDescent="0.25">
      <c r="A550" s="32">
        <v>57679</v>
      </c>
      <c r="B550" s="14">
        <f>41.163 * CHOOSE(CONTROL!$C$15, $E$9, 100%, $G$9) + CHOOSE(CONTROL!$C$38, 0.034, 0)</f>
        <v>41.196999999999996</v>
      </c>
      <c r="C550" s="14">
        <f>38.8907 * CHOOSE(CONTROL!$C$15, $E$9, 100%, $G$9) + CHOOSE(CONTROL!$C$38, 0.0342, 0)</f>
        <v>38.924900000000001</v>
      </c>
      <c r="D550" s="14">
        <f>38.8829 * CHOOSE(CONTROL!$C$15, $E$9, 100%, $G$9) + CHOOSE(CONTROL!$C$38, 0.0342, 0)</f>
        <v>38.917099999999998</v>
      </c>
      <c r="E550" s="14">
        <f>38.8829 * CHOOSE(CONTROL!$C$15, $E$9, 100%, $G$9) + CHOOSE(CONTROL!$C$38, 0.0342, 0)</f>
        <v>38.917099999999998</v>
      </c>
      <c r="F550" s="45">
        <f>41.163 * CHOOSE(CONTROL!$C$15, $E$9, 100%, $G$9) + CHOOSE(CONTROL!$C$38, 0.034, 0)</f>
        <v>41.196999999999996</v>
      </c>
      <c r="G550" s="14">
        <f>38.8892 * CHOOSE(CONTROL!$C$15, $E$9, 100%, $G$9) + CHOOSE(CONTROL!$C$38, 0.0342, 0)</f>
        <v>38.923400000000001</v>
      </c>
      <c r="H550" s="14">
        <f>38.8892 * CHOOSE(CONTROL!$C$15, $E$9, 100%, $G$9) + CHOOSE(CONTROL!$C$38, 0.0342, 0)</f>
        <v>38.923400000000001</v>
      </c>
      <c r="I550" s="14">
        <f>38.8907 * CHOOSE(CONTROL!$C$15, $E$9, 100%, $G$9) + CHOOSE(CONTROL!$C$38, 0.0342, 0)</f>
        <v>38.924900000000001</v>
      </c>
      <c r="J550" s="44">
        <f>309.7537</f>
        <v>309.75369999999998</v>
      </c>
    </row>
    <row r="551" spans="1:10" ht="15.75" x14ac:dyDescent="0.25">
      <c r="A551" s="32">
        <v>57710</v>
      </c>
      <c r="B551" s="14">
        <f>42.0926 * CHOOSE(CONTROL!$C$15, $E$9, 100%, $G$9) + CHOOSE(CONTROL!$C$38, 0.034, 0)</f>
        <v>42.126599999999996</v>
      </c>
      <c r="C551" s="14">
        <f>39.8204 * CHOOSE(CONTROL!$C$15, $E$9, 100%, $G$9) + CHOOSE(CONTROL!$C$38, 0.0342, 0)</f>
        <v>39.854599999999998</v>
      </c>
      <c r="D551" s="14">
        <f>39.8126 * CHOOSE(CONTROL!$C$15, $E$9, 100%, $G$9) + CHOOSE(CONTROL!$C$38, 0.0342, 0)</f>
        <v>39.846800000000002</v>
      </c>
      <c r="E551" s="14">
        <f>39.8126 * CHOOSE(CONTROL!$C$15, $E$9, 100%, $G$9) + CHOOSE(CONTROL!$C$38, 0.0342, 0)</f>
        <v>39.846800000000002</v>
      </c>
      <c r="F551" s="45">
        <f>42.0926 * CHOOSE(CONTROL!$C$15, $E$9, 100%, $G$9) + CHOOSE(CONTROL!$C$38, 0.034, 0)</f>
        <v>42.126599999999996</v>
      </c>
      <c r="G551" s="14">
        <f>39.8188 * CHOOSE(CONTROL!$C$15, $E$9, 100%, $G$9) + CHOOSE(CONTROL!$C$38, 0.0342, 0)</f>
        <v>39.853000000000002</v>
      </c>
      <c r="H551" s="14">
        <f>39.8188 * CHOOSE(CONTROL!$C$15, $E$9, 100%, $G$9) + CHOOSE(CONTROL!$C$38, 0.0342, 0)</f>
        <v>39.853000000000002</v>
      </c>
      <c r="I551" s="14">
        <f>39.8204 * CHOOSE(CONTROL!$C$15, $E$9, 100%, $G$9) + CHOOSE(CONTROL!$C$38, 0.0342, 0)</f>
        <v>39.854599999999998</v>
      </c>
      <c r="J551" s="44">
        <f>300.5618</f>
        <v>300.56180000000001</v>
      </c>
    </row>
    <row r="552" spans="1:10" ht="15.75" x14ac:dyDescent="0.25">
      <c r="A552" s="32">
        <v>57741</v>
      </c>
      <c r="B552" s="14">
        <f>43.5089 * CHOOSE(CONTROL!$C$15, $E$9, 100%, $G$9) + CHOOSE(CONTROL!$C$38, 0.034, 0)</f>
        <v>43.542899999999996</v>
      </c>
      <c r="C552" s="14">
        <f>41.2011 * CHOOSE(CONTROL!$C$15, $E$9, 100%, $G$9) + CHOOSE(CONTROL!$C$38, 0.0342, 0)</f>
        <v>41.235299999999995</v>
      </c>
      <c r="D552" s="14">
        <f>41.1933 * CHOOSE(CONTROL!$C$15, $E$9, 100%, $G$9) + CHOOSE(CONTROL!$C$38, 0.0342, 0)</f>
        <v>41.227499999999999</v>
      </c>
      <c r="E552" s="14">
        <f>41.1933 * CHOOSE(CONTROL!$C$15, $E$9, 100%, $G$9) + CHOOSE(CONTROL!$C$38, 0.0342, 0)</f>
        <v>41.227499999999999</v>
      </c>
      <c r="F552" s="45">
        <f>43.5089 * CHOOSE(CONTROL!$C$15, $E$9, 100%, $G$9) + CHOOSE(CONTROL!$C$38, 0.034, 0)</f>
        <v>43.542899999999996</v>
      </c>
      <c r="G552" s="14">
        <f>41.1995 * CHOOSE(CONTROL!$C$15, $E$9, 100%, $G$9) + CHOOSE(CONTROL!$C$38, 0.0342, 0)</f>
        <v>41.233699999999999</v>
      </c>
      <c r="H552" s="14">
        <f>41.1995 * CHOOSE(CONTROL!$C$15, $E$9, 100%, $G$9) + CHOOSE(CONTROL!$C$38, 0.0342, 0)</f>
        <v>41.233699999999999</v>
      </c>
      <c r="I552" s="14">
        <f>41.2011 * CHOOSE(CONTROL!$C$15, $E$9, 100%, $G$9) + CHOOSE(CONTROL!$C$38, 0.0342, 0)</f>
        <v>41.235299999999995</v>
      </c>
      <c r="J552" s="44">
        <f>300.3448</f>
        <v>300.34480000000002</v>
      </c>
    </row>
    <row r="553" spans="1:10" ht="15.75" x14ac:dyDescent="0.25">
      <c r="A553" s="32">
        <v>57769</v>
      </c>
      <c r="B553" s="14">
        <f>43.8532 * CHOOSE(CONTROL!$C$15, $E$9, 100%, $G$9) + CHOOSE(CONTROL!$C$38, 0.034, 0)</f>
        <v>43.8872</v>
      </c>
      <c r="C553" s="14">
        <f>41.5454 * CHOOSE(CONTROL!$C$15, $E$9, 100%, $G$9) + CHOOSE(CONTROL!$C$38, 0.0342, 0)</f>
        <v>41.579599999999999</v>
      </c>
      <c r="D553" s="14">
        <f>41.5376 * CHOOSE(CONTROL!$C$15, $E$9, 100%, $G$9) + CHOOSE(CONTROL!$C$38, 0.0342, 0)</f>
        <v>41.571799999999996</v>
      </c>
      <c r="E553" s="14">
        <f>41.5376 * CHOOSE(CONTROL!$C$15, $E$9, 100%, $G$9) + CHOOSE(CONTROL!$C$38, 0.0342, 0)</f>
        <v>41.571799999999996</v>
      </c>
      <c r="F553" s="45">
        <f>43.8532 * CHOOSE(CONTROL!$C$15, $E$9, 100%, $G$9) + CHOOSE(CONTROL!$C$38, 0.034, 0)</f>
        <v>43.8872</v>
      </c>
      <c r="G553" s="14">
        <f>41.5439 * CHOOSE(CONTROL!$C$15, $E$9, 100%, $G$9) + CHOOSE(CONTROL!$C$38, 0.0342, 0)</f>
        <v>41.578099999999999</v>
      </c>
      <c r="H553" s="14">
        <f>41.5439 * CHOOSE(CONTROL!$C$15, $E$9, 100%, $G$9) + CHOOSE(CONTROL!$C$38, 0.0342, 0)</f>
        <v>41.578099999999999</v>
      </c>
      <c r="I553" s="14">
        <f>41.5454 * CHOOSE(CONTROL!$C$15, $E$9, 100%, $G$9) + CHOOSE(CONTROL!$C$38, 0.0342, 0)</f>
        <v>41.579599999999999</v>
      </c>
      <c r="J553" s="44">
        <f>299.5099</f>
        <v>299.50990000000002</v>
      </c>
    </row>
    <row r="554" spans="1:10" ht="15.75" x14ac:dyDescent="0.25">
      <c r="A554" s="32">
        <v>57800</v>
      </c>
      <c r="B554" s="14">
        <f>43.0562 * CHOOSE(CONTROL!$C$15, $E$9, 100%, $G$9) + CHOOSE(CONTROL!$C$38, 0.034, 0)</f>
        <v>43.090199999999996</v>
      </c>
      <c r="C554" s="14">
        <f>40.7484 * CHOOSE(CONTROL!$C$15, $E$9, 100%, $G$9) + CHOOSE(CONTROL!$C$38, 0.0342, 0)</f>
        <v>40.782599999999995</v>
      </c>
      <c r="D554" s="14">
        <f>40.7406 * CHOOSE(CONTROL!$C$15, $E$9, 100%, $G$9) + CHOOSE(CONTROL!$C$38, 0.0342, 0)</f>
        <v>40.774799999999999</v>
      </c>
      <c r="E554" s="14">
        <f>40.7406 * CHOOSE(CONTROL!$C$15, $E$9, 100%, $G$9) + CHOOSE(CONTROL!$C$38, 0.0342, 0)</f>
        <v>40.774799999999999</v>
      </c>
      <c r="F554" s="45">
        <f>43.0562 * CHOOSE(CONTROL!$C$15, $E$9, 100%, $G$9) + CHOOSE(CONTROL!$C$38, 0.034, 0)</f>
        <v>43.090199999999996</v>
      </c>
      <c r="G554" s="14">
        <f>40.7468 * CHOOSE(CONTROL!$C$15, $E$9, 100%, $G$9) + CHOOSE(CONTROL!$C$38, 0.0342, 0)</f>
        <v>40.780999999999999</v>
      </c>
      <c r="H554" s="14">
        <f>40.7468 * CHOOSE(CONTROL!$C$15, $E$9, 100%, $G$9) + CHOOSE(CONTROL!$C$38, 0.0342, 0)</f>
        <v>40.780999999999999</v>
      </c>
      <c r="I554" s="14">
        <f>40.7484 * CHOOSE(CONTROL!$C$15, $E$9, 100%, $G$9) + CHOOSE(CONTROL!$C$38, 0.0342, 0)</f>
        <v>40.782599999999995</v>
      </c>
      <c r="J554" s="44">
        <f>315.2958</f>
        <v>315.29579999999999</v>
      </c>
    </row>
    <row r="555" spans="1:10" ht="15.75" x14ac:dyDescent="0.25">
      <c r="A555" s="32">
        <v>57830</v>
      </c>
      <c r="B555" s="14">
        <f>42.2839 * CHOOSE(CONTROL!$C$15, $E$9, 100%, $G$9) + CHOOSE(CONTROL!$C$38, 0.034, 0)</f>
        <v>42.317900000000002</v>
      </c>
      <c r="C555" s="14">
        <f>39.9761 * CHOOSE(CONTROL!$C$15, $E$9, 100%, $G$9) + CHOOSE(CONTROL!$C$38, 0.0342, 0)</f>
        <v>40.010300000000001</v>
      </c>
      <c r="D555" s="14">
        <f>39.9683 * CHOOSE(CONTROL!$C$15, $E$9, 100%, $G$9) + CHOOSE(CONTROL!$C$38, 0.0342, 0)</f>
        <v>40.002499999999998</v>
      </c>
      <c r="E555" s="14">
        <f>39.9683 * CHOOSE(CONTROL!$C$15, $E$9, 100%, $G$9) + CHOOSE(CONTROL!$C$38, 0.0342, 0)</f>
        <v>40.002499999999998</v>
      </c>
      <c r="F555" s="45">
        <f>42.2839 * CHOOSE(CONTROL!$C$15, $E$9, 100%, $G$9) + CHOOSE(CONTROL!$C$38, 0.034, 0)</f>
        <v>42.317900000000002</v>
      </c>
      <c r="G555" s="14">
        <f>39.9745 * CHOOSE(CONTROL!$C$15, $E$9, 100%, $G$9) + CHOOSE(CONTROL!$C$38, 0.0342, 0)</f>
        <v>40.008699999999997</v>
      </c>
      <c r="H555" s="14">
        <f>39.9745 * CHOOSE(CONTROL!$C$15, $E$9, 100%, $G$9) + CHOOSE(CONTROL!$C$38, 0.0342, 0)</f>
        <v>40.008699999999997</v>
      </c>
      <c r="I555" s="14">
        <f>39.9761 * CHOOSE(CONTROL!$C$15, $E$9, 100%, $G$9) + CHOOSE(CONTROL!$C$38, 0.0342, 0)</f>
        <v>40.010300000000001</v>
      </c>
      <c r="J555" s="44">
        <f>335.7664</f>
        <v>335.76639999999998</v>
      </c>
    </row>
    <row r="556" spans="1:10" ht="15.75" x14ac:dyDescent="0.25">
      <c r="A556" s="32">
        <v>57861</v>
      </c>
      <c r="B556" s="14">
        <f>41.4789 * CHOOSE(CONTROL!$C$15, $E$9, 100%, $G$9) + CHOOSE(CONTROL!$C$38, 0.0353, 0)</f>
        <v>41.514200000000002</v>
      </c>
      <c r="C556" s="14">
        <f>39.1711 * CHOOSE(CONTROL!$C$15, $E$9, 100%, $G$9) + CHOOSE(CONTROL!$C$38, 0.0354, 0)</f>
        <v>39.206500000000005</v>
      </c>
      <c r="D556" s="14">
        <f>39.1633 * CHOOSE(CONTROL!$C$15, $E$9, 100%, $G$9) + CHOOSE(CONTROL!$C$38, 0.0354, 0)</f>
        <v>39.198700000000002</v>
      </c>
      <c r="E556" s="14">
        <f>39.1633 * CHOOSE(CONTROL!$C$15, $E$9, 100%, $G$9) + CHOOSE(CONTROL!$C$38, 0.0354, 0)</f>
        <v>39.198700000000002</v>
      </c>
      <c r="F556" s="45">
        <f>41.4789 * CHOOSE(CONTROL!$C$15, $E$9, 100%, $G$9) + CHOOSE(CONTROL!$C$38, 0.0353, 0)</f>
        <v>41.514200000000002</v>
      </c>
      <c r="G556" s="14">
        <f>39.1695 * CHOOSE(CONTROL!$C$15, $E$9, 100%, $G$9) + CHOOSE(CONTROL!$C$38, 0.0354, 0)</f>
        <v>39.204900000000002</v>
      </c>
      <c r="H556" s="14">
        <f>39.1695 * CHOOSE(CONTROL!$C$15, $E$9, 100%, $G$9) + CHOOSE(CONTROL!$C$38, 0.0354, 0)</f>
        <v>39.204900000000002</v>
      </c>
      <c r="I556" s="14">
        <f>39.1711 * CHOOSE(CONTROL!$C$15, $E$9, 100%, $G$9) + CHOOSE(CONTROL!$C$38, 0.0354, 0)</f>
        <v>39.206500000000005</v>
      </c>
      <c r="J556" s="44">
        <f>347.034</f>
        <v>347.03399999999999</v>
      </c>
    </row>
    <row r="557" spans="1:10" ht="15.75" x14ac:dyDescent="0.25">
      <c r="A557" s="32">
        <v>57891</v>
      </c>
      <c r="B557" s="14">
        <f>40.9146 * CHOOSE(CONTROL!$C$15, $E$9, 100%, $G$9) + CHOOSE(CONTROL!$C$38, 0.0353, 0)</f>
        <v>40.9499</v>
      </c>
      <c r="C557" s="14">
        <f>38.6068 * CHOOSE(CONTROL!$C$15, $E$9, 100%, $G$9) + CHOOSE(CONTROL!$C$38, 0.0354, 0)</f>
        <v>38.642200000000003</v>
      </c>
      <c r="D557" s="14">
        <f>38.599 * CHOOSE(CONTROL!$C$15, $E$9, 100%, $G$9) + CHOOSE(CONTROL!$C$38, 0.0354, 0)</f>
        <v>38.634399999999999</v>
      </c>
      <c r="E557" s="14">
        <f>38.599 * CHOOSE(CONTROL!$C$15, $E$9, 100%, $G$9) + CHOOSE(CONTROL!$C$38, 0.0354, 0)</f>
        <v>38.634399999999999</v>
      </c>
      <c r="F557" s="45">
        <f>40.9146 * CHOOSE(CONTROL!$C$15, $E$9, 100%, $G$9) + CHOOSE(CONTROL!$C$38, 0.0353, 0)</f>
        <v>40.9499</v>
      </c>
      <c r="G557" s="14">
        <f>38.6052 * CHOOSE(CONTROL!$C$15, $E$9, 100%, $G$9) + CHOOSE(CONTROL!$C$38, 0.0354, 0)</f>
        <v>38.640600000000006</v>
      </c>
      <c r="H557" s="14">
        <f>38.6052 * CHOOSE(CONTROL!$C$15, $E$9, 100%, $G$9) + CHOOSE(CONTROL!$C$38, 0.0354, 0)</f>
        <v>38.640600000000006</v>
      </c>
      <c r="I557" s="14">
        <f>38.6068 * CHOOSE(CONTROL!$C$15, $E$9, 100%, $G$9) + CHOOSE(CONTROL!$C$38, 0.0354, 0)</f>
        <v>38.642200000000003</v>
      </c>
      <c r="J557" s="44">
        <f>352.0344</f>
        <v>352.03440000000001</v>
      </c>
    </row>
    <row r="558" spans="1:10" ht="15.75" x14ac:dyDescent="0.25">
      <c r="A558" s="32">
        <v>57922</v>
      </c>
      <c r="B558" s="14">
        <f>40.5925 * CHOOSE(CONTROL!$C$15, $E$9, 100%, $G$9) + CHOOSE(CONTROL!$C$38, 0.0353, 0)</f>
        <v>40.627800000000001</v>
      </c>
      <c r="C558" s="14">
        <f>38.2847 * CHOOSE(CONTROL!$C$15, $E$9, 100%, $G$9) + CHOOSE(CONTROL!$C$38, 0.0354, 0)</f>
        <v>38.320100000000004</v>
      </c>
      <c r="D558" s="14">
        <f>38.2769 * CHOOSE(CONTROL!$C$15, $E$9, 100%, $G$9) + CHOOSE(CONTROL!$C$38, 0.0354, 0)</f>
        <v>38.3123</v>
      </c>
      <c r="E558" s="14">
        <f>38.2769 * CHOOSE(CONTROL!$C$15, $E$9, 100%, $G$9) + CHOOSE(CONTROL!$C$38, 0.0354, 0)</f>
        <v>38.3123</v>
      </c>
      <c r="F558" s="45">
        <f>40.5925 * CHOOSE(CONTROL!$C$15, $E$9, 100%, $G$9) + CHOOSE(CONTROL!$C$38, 0.0353, 0)</f>
        <v>40.627800000000001</v>
      </c>
      <c r="G558" s="14">
        <f>38.2832 * CHOOSE(CONTROL!$C$15, $E$9, 100%, $G$9) + CHOOSE(CONTROL!$C$38, 0.0354, 0)</f>
        <v>38.318600000000004</v>
      </c>
      <c r="H558" s="14">
        <f>38.2832 * CHOOSE(CONTROL!$C$15, $E$9, 100%, $G$9) + CHOOSE(CONTROL!$C$38, 0.0354, 0)</f>
        <v>38.318600000000004</v>
      </c>
      <c r="I558" s="14">
        <f>38.2847 * CHOOSE(CONTROL!$C$15, $E$9, 100%, $G$9) + CHOOSE(CONTROL!$C$38, 0.0354, 0)</f>
        <v>38.320100000000004</v>
      </c>
      <c r="J558" s="44">
        <f>350.388</f>
        <v>350.38799999999998</v>
      </c>
    </row>
    <row r="559" spans="1:10" ht="15.75" x14ac:dyDescent="0.25">
      <c r="A559" s="32">
        <v>57953</v>
      </c>
      <c r="B559" s="14">
        <f>40.7514 * CHOOSE(CONTROL!$C$15, $E$9, 100%, $G$9) + CHOOSE(CONTROL!$C$38, 0.0353, 0)</f>
        <v>40.786699999999996</v>
      </c>
      <c r="C559" s="14">
        <f>38.4437 * CHOOSE(CONTROL!$C$15, $E$9, 100%, $G$9) + CHOOSE(CONTROL!$C$38, 0.0354, 0)</f>
        <v>38.479100000000003</v>
      </c>
      <c r="D559" s="14">
        <f>38.4358 * CHOOSE(CONTROL!$C$15, $E$9, 100%, $G$9) + CHOOSE(CONTROL!$C$38, 0.0354, 0)</f>
        <v>38.471200000000003</v>
      </c>
      <c r="E559" s="14">
        <f>38.4358 * CHOOSE(CONTROL!$C$15, $E$9, 100%, $G$9) + CHOOSE(CONTROL!$C$38, 0.0354, 0)</f>
        <v>38.471200000000003</v>
      </c>
      <c r="F559" s="45">
        <f>40.7514 * CHOOSE(CONTROL!$C$15, $E$9, 100%, $G$9) + CHOOSE(CONTROL!$C$38, 0.0353, 0)</f>
        <v>40.786699999999996</v>
      </c>
      <c r="G559" s="14">
        <f>38.4421 * CHOOSE(CONTROL!$C$15, $E$9, 100%, $G$9) + CHOOSE(CONTROL!$C$38, 0.0354, 0)</f>
        <v>38.477500000000006</v>
      </c>
      <c r="H559" s="14">
        <f>38.4421 * CHOOSE(CONTROL!$C$15, $E$9, 100%, $G$9) + CHOOSE(CONTROL!$C$38, 0.0354, 0)</f>
        <v>38.477500000000006</v>
      </c>
      <c r="I559" s="14">
        <f>38.4437 * CHOOSE(CONTROL!$C$15, $E$9, 100%, $G$9) + CHOOSE(CONTROL!$C$38, 0.0354, 0)</f>
        <v>38.479100000000003</v>
      </c>
      <c r="J559" s="44">
        <f>342.2312</f>
        <v>342.2312</v>
      </c>
    </row>
    <row r="560" spans="1:10" ht="15.75" x14ac:dyDescent="0.25">
      <c r="A560" s="32">
        <v>57983</v>
      </c>
      <c r="B560" s="14">
        <f>41.1832 * CHOOSE(CONTROL!$C$15, $E$9, 100%, $G$9) + CHOOSE(CONTROL!$C$38, 0.0353, 0)</f>
        <v>41.218499999999999</v>
      </c>
      <c r="C560" s="14">
        <f>38.8754 * CHOOSE(CONTROL!$C$15, $E$9, 100%, $G$9) + CHOOSE(CONTROL!$C$38, 0.0354, 0)</f>
        <v>38.910800000000002</v>
      </c>
      <c r="D560" s="14">
        <f>38.8676 * CHOOSE(CONTROL!$C$15, $E$9, 100%, $G$9) + CHOOSE(CONTROL!$C$38, 0.0354, 0)</f>
        <v>38.903000000000006</v>
      </c>
      <c r="E560" s="14">
        <f>38.8676 * CHOOSE(CONTROL!$C$15, $E$9, 100%, $G$9) + CHOOSE(CONTROL!$C$38, 0.0354, 0)</f>
        <v>38.903000000000006</v>
      </c>
      <c r="F560" s="45">
        <f>41.1832 * CHOOSE(CONTROL!$C$15, $E$9, 100%, $G$9) + CHOOSE(CONTROL!$C$38, 0.0353, 0)</f>
        <v>41.218499999999999</v>
      </c>
      <c r="G560" s="14">
        <f>38.8738 * CHOOSE(CONTROL!$C$15, $E$9, 100%, $G$9) + CHOOSE(CONTROL!$C$38, 0.0354, 0)</f>
        <v>38.909200000000006</v>
      </c>
      <c r="H560" s="14">
        <f>38.8738 * CHOOSE(CONTROL!$C$15, $E$9, 100%, $G$9) + CHOOSE(CONTROL!$C$38, 0.0354, 0)</f>
        <v>38.909200000000006</v>
      </c>
      <c r="I560" s="14">
        <f>38.8754 * CHOOSE(CONTROL!$C$15, $E$9, 100%, $G$9) + CHOOSE(CONTROL!$C$38, 0.0354, 0)</f>
        <v>38.910800000000002</v>
      </c>
      <c r="J560" s="44">
        <f>330.856</f>
        <v>330.85599999999999</v>
      </c>
    </row>
    <row r="561" spans="1:10" ht="15.75" x14ac:dyDescent="0.25">
      <c r="A561" s="32">
        <v>58014</v>
      </c>
      <c r="B561" s="14">
        <f>41.5447 * CHOOSE(CONTROL!$C$15, $E$9, 100%, $G$9) + CHOOSE(CONTROL!$C$38, 0.034, 0)</f>
        <v>41.578699999999998</v>
      </c>
      <c r="C561" s="14">
        <f>39.2369 * CHOOSE(CONTROL!$C$15, $E$9, 100%, $G$9) + CHOOSE(CONTROL!$C$38, 0.0342, 0)</f>
        <v>39.271099999999997</v>
      </c>
      <c r="D561" s="14">
        <f>39.2291 * CHOOSE(CONTROL!$C$15, $E$9, 100%, $G$9) + CHOOSE(CONTROL!$C$38, 0.0342, 0)</f>
        <v>39.263300000000001</v>
      </c>
      <c r="E561" s="14">
        <f>39.2291 * CHOOSE(CONTROL!$C$15, $E$9, 100%, $G$9) + CHOOSE(CONTROL!$C$38, 0.0342, 0)</f>
        <v>39.263300000000001</v>
      </c>
      <c r="F561" s="45">
        <f>41.5447 * CHOOSE(CONTROL!$C$15, $E$9, 100%, $G$9) + CHOOSE(CONTROL!$C$38, 0.034, 0)</f>
        <v>41.578699999999998</v>
      </c>
      <c r="G561" s="14">
        <f>39.2354 * CHOOSE(CONTROL!$C$15, $E$9, 100%, $G$9) + CHOOSE(CONTROL!$C$38, 0.0342, 0)</f>
        <v>39.269599999999997</v>
      </c>
      <c r="H561" s="14">
        <f>39.2354 * CHOOSE(CONTROL!$C$15, $E$9, 100%, $G$9) + CHOOSE(CONTROL!$C$38, 0.0342, 0)</f>
        <v>39.269599999999997</v>
      </c>
      <c r="I561" s="14">
        <f>39.2369 * CHOOSE(CONTROL!$C$15, $E$9, 100%, $G$9) + CHOOSE(CONTROL!$C$38, 0.0342, 0)</f>
        <v>39.271099999999997</v>
      </c>
      <c r="J561" s="44">
        <f>319.4146</f>
        <v>319.41460000000001</v>
      </c>
    </row>
    <row r="562" spans="1:10" ht="15.75" x14ac:dyDescent="0.25">
      <c r="A562" s="32">
        <v>58044</v>
      </c>
      <c r="B562" s="14">
        <f>41.8464 * CHOOSE(CONTROL!$C$15, $E$9, 100%, $G$9) + CHOOSE(CONTROL!$C$38, 0.034, 0)</f>
        <v>41.880400000000002</v>
      </c>
      <c r="C562" s="14">
        <f>39.5386 * CHOOSE(CONTROL!$C$15, $E$9, 100%, $G$9) + CHOOSE(CONTROL!$C$38, 0.0342, 0)</f>
        <v>39.572800000000001</v>
      </c>
      <c r="D562" s="14">
        <f>39.5308 * CHOOSE(CONTROL!$C$15, $E$9, 100%, $G$9) + CHOOSE(CONTROL!$C$38, 0.0342, 0)</f>
        <v>39.564999999999998</v>
      </c>
      <c r="E562" s="14">
        <f>39.5308 * CHOOSE(CONTROL!$C$15, $E$9, 100%, $G$9) + CHOOSE(CONTROL!$C$38, 0.0342, 0)</f>
        <v>39.564999999999998</v>
      </c>
      <c r="F562" s="45">
        <f>41.8464 * CHOOSE(CONTROL!$C$15, $E$9, 100%, $G$9) + CHOOSE(CONTROL!$C$38, 0.034, 0)</f>
        <v>41.880400000000002</v>
      </c>
      <c r="G562" s="14">
        <f>39.5371 * CHOOSE(CONTROL!$C$15, $E$9, 100%, $G$9) + CHOOSE(CONTROL!$C$38, 0.0342, 0)</f>
        <v>39.571300000000001</v>
      </c>
      <c r="H562" s="14">
        <f>39.5371 * CHOOSE(CONTROL!$C$15, $E$9, 100%, $G$9) + CHOOSE(CONTROL!$C$38, 0.0342, 0)</f>
        <v>39.571300000000001</v>
      </c>
      <c r="I562" s="14">
        <f>39.5386 * CHOOSE(CONTROL!$C$15, $E$9, 100%, $G$9) + CHOOSE(CONTROL!$C$38, 0.0342, 0)</f>
        <v>39.572800000000001</v>
      </c>
      <c r="J562" s="44">
        <f>317.1387</f>
        <v>317.13869999999997</v>
      </c>
    </row>
    <row r="563" spans="1:10" ht="15.75" x14ac:dyDescent="0.25">
      <c r="A563" s="32">
        <v>58075</v>
      </c>
      <c r="B563" s="14">
        <f>42.7761 * CHOOSE(CONTROL!$C$15, $E$9, 100%, $G$9) + CHOOSE(CONTROL!$C$38, 0.034, 0)</f>
        <v>42.810099999999998</v>
      </c>
      <c r="C563" s="14">
        <f>40.4683 * CHOOSE(CONTROL!$C$15, $E$9, 100%, $G$9) + CHOOSE(CONTROL!$C$38, 0.0342, 0)</f>
        <v>40.502499999999998</v>
      </c>
      <c r="D563" s="14">
        <f>40.4605 * CHOOSE(CONTROL!$C$15, $E$9, 100%, $G$9) + CHOOSE(CONTROL!$C$38, 0.0342, 0)</f>
        <v>40.494700000000002</v>
      </c>
      <c r="E563" s="14">
        <f>40.4605 * CHOOSE(CONTROL!$C$15, $E$9, 100%, $G$9) + CHOOSE(CONTROL!$C$38, 0.0342, 0)</f>
        <v>40.494700000000002</v>
      </c>
      <c r="F563" s="45">
        <f>42.7761 * CHOOSE(CONTROL!$C$15, $E$9, 100%, $G$9) + CHOOSE(CONTROL!$C$38, 0.034, 0)</f>
        <v>42.810099999999998</v>
      </c>
      <c r="G563" s="14">
        <f>40.4667 * CHOOSE(CONTROL!$C$15, $E$9, 100%, $G$9) + CHOOSE(CONTROL!$C$38, 0.0342, 0)</f>
        <v>40.500900000000001</v>
      </c>
      <c r="H563" s="14">
        <f>40.4667 * CHOOSE(CONTROL!$C$15, $E$9, 100%, $G$9) + CHOOSE(CONTROL!$C$38, 0.0342, 0)</f>
        <v>40.500900000000001</v>
      </c>
      <c r="I563" s="14">
        <f>40.4683 * CHOOSE(CONTROL!$C$15, $E$9, 100%, $G$9) + CHOOSE(CONTROL!$C$38, 0.0342, 0)</f>
        <v>40.502499999999998</v>
      </c>
      <c r="J563" s="44">
        <f>307.7276</f>
        <v>307.7276</v>
      </c>
    </row>
    <row r="564" spans="1:10" ht="15.75" x14ac:dyDescent="0.25">
      <c r="A564" s="32">
        <v>58106</v>
      </c>
      <c r="B564" s="14">
        <f>44.2038 * CHOOSE(CONTROL!$C$15, $E$9, 100%, $G$9) + CHOOSE(CONTROL!$C$38, 0.034, 0)</f>
        <v>44.2378</v>
      </c>
      <c r="C564" s="14">
        <f>41.8599 * CHOOSE(CONTROL!$C$15, $E$9, 100%, $G$9) + CHOOSE(CONTROL!$C$38, 0.0342, 0)</f>
        <v>41.894100000000002</v>
      </c>
      <c r="D564" s="14">
        <f>41.8521 * CHOOSE(CONTROL!$C$15, $E$9, 100%, $G$9) + CHOOSE(CONTROL!$C$38, 0.0342, 0)</f>
        <v>41.886299999999999</v>
      </c>
      <c r="E564" s="14">
        <f>41.8521 * CHOOSE(CONTROL!$C$15, $E$9, 100%, $G$9) + CHOOSE(CONTROL!$C$38, 0.0342, 0)</f>
        <v>41.886299999999999</v>
      </c>
      <c r="F564" s="45">
        <f>44.2038 * CHOOSE(CONTROL!$C$15, $E$9, 100%, $G$9) + CHOOSE(CONTROL!$C$38, 0.034, 0)</f>
        <v>44.2378</v>
      </c>
      <c r="G564" s="14">
        <f>41.8583 * CHOOSE(CONTROL!$C$15, $E$9, 100%, $G$9) + CHOOSE(CONTROL!$C$38, 0.0342, 0)</f>
        <v>41.892499999999998</v>
      </c>
      <c r="H564" s="14">
        <f>41.8583 * CHOOSE(CONTROL!$C$15, $E$9, 100%, $G$9) + CHOOSE(CONTROL!$C$38, 0.0342, 0)</f>
        <v>41.892499999999998</v>
      </c>
      <c r="I564" s="14">
        <f>41.8599 * CHOOSE(CONTROL!$C$15, $E$9, 100%, $G$9) + CHOOSE(CONTROL!$C$38, 0.0342, 0)</f>
        <v>41.894100000000002</v>
      </c>
      <c r="J564" s="44">
        <f>307.5054</f>
        <v>307.50540000000001</v>
      </c>
    </row>
    <row r="565" spans="1:10" ht="15.75" x14ac:dyDescent="0.25">
      <c r="A565" s="32">
        <v>58134</v>
      </c>
      <c r="B565" s="14">
        <f>44.5481 * CHOOSE(CONTROL!$C$15, $E$9, 100%, $G$9) + CHOOSE(CONTROL!$C$38, 0.034, 0)</f>
        <v>44.582099999999997</v>
      </c>
      <c r="C565" s="14">
        <f>42.2042 * CHOOSE(CONTROL!$C$15, $E$9, 100%, $G$9) + CHOOSE(CONTROL!$C$38, 0.0342, 0)</f>
        <v>42.238399999999999</v>
      </c>
      <c r="D565" s="14">
        <f>42.1964 * CHOOSE(CONTROL!$C$15, $E$9, 100%, $G$9) + CHOOSE(CONTROL!$C$38, 0.0342, 0)</f>
        <v>42.230599999999995</v>
      </c>
      <c r="E565" s="14">
        <f>42.1964 * CHOOSE(CONTROL!$C$15, $E$9, 100%, $G$9) + CHOOSE(CONTROL!$C$38, 0.0342, 0)</f>
        <v>42.230599999999995</v>
      </c>
      <c r="F565" s="45">
        <f>44.5481 * CHOOSE(CONTROL!$C$15, $E$9, 100%, $G$9) + CHOOSE(CONTROL!$C$38, 0.034, 0)</f>
        <v>44.582099999999997</v>
      </c>
      <c r="G565" s="14">
        <f>42.2026 * CHOOSE(CONTROL!$C$15, $E$9, 100%, $G$9) + CHOOSE(CONTROL!$C$38, 0.0342, 0)</f>
        <v>42.236799999999995</v>
      </c>
      <c r="H565" s="14">
        <f>42.2026 * CHOOSE(CONTROL!$C$15, $E$9, 100%, $G$9) + CHOOSE(CONTROL!$C$38, 0.0342, 0)</f>
        <v>42.236799999999995</v>
      </c>
      <c r="I565" s="14">
        <f>42.2042 * CHOOSE(CONTROL!$C$15, $E$9, 100%, $G$9) + CHOOSE(CONTROL!$C$38, 0.0342, 0)</f>
        <v>42.238399999999999</v>
      </c>
      <c r="J565" s="44">
        <f>306.6507</f>
        <v>306.65069999999997</v>
      </c>
    </row>
    <row r="566" spans="1:10" ht="15.75" x14ac:dyDescent="0.25">
      <c r="A566" s="32">
        <v>58165</v>
      </c>
      <c r="B566" s="14">
        <f>43.7511 * CHOOSE(CONTROL!$C$15, $E$9, 100%, $G$9) + CHOOSE(CONTROL!$C$38, 0.034, 0)</f>
        <v>43.7851</v>
      </c>
      <c r="C566" s="14">
        <f>41.4072 * CHOOSE(CONTROL!$C$15, $E$9, 100%, $G$9) + CHOOSE(CONTROL!$C$38, 0.0342, 0)</f>
        <v>41.441400000000002</v>
      </c>
      <c r="D566" s="14">
        <f>41.3994 * CHOOSE(CONTROL!$C$15, $E$9, 100%, $G$9) + CHOOSE(CONTROL!$C$38, 0.0342, 0)</f>
        <v>41.433599999999998</v>
      </c>
      <c r="E566" s="14">
        <f>41.3994 * CHOOSE(CONTROL!$C$15, $E$9, 100%, $G$9) + CHOOSE(CONTROL!$C$38, 0.0342, 0)</f>
        <v>41.433599999999998</v>
      </c>
      <c r="F566" s="45">
        <f>43.7511 * CHOOSE(CONTROL!$C$15, $E$9, 100%, $G$9) + CHOOSE(CONTROL!$C$38, 0.034, 0)</f>
        <v>43.7851</v>
      </c>
      <c r="G566" s="14">
        <f>41.4056 * CHOOSE(CONTROL!$C$15, $E$9, 100%, $G$9) + CHOOSE(CONTROL!$C$38, 0.0342, 0)</f>
        <v>41.439799999999998</v>
      </c>
      <c r="H566" s="14">
        <f>41.4056 * CHOOSE(CONTROL!$C$15, $E$9, 100%, $G$9) + CHOOSE(CONTROL!$C$38, 0.0342, 0)</f>
        <v>41.439799999999998</v>
      </c>
      <c r="I566" s="14">
        <f>41.4072 * CHOOSE(CONTROL!$C$15, $E$9, 100%, $G$9) + CHOOSE(CONTROL!$C$38, 0.0342, 0)</f>
        <v>41.441400000000002</v>
      </c>
      <c r="J566" s="44">
        <f>322.813</f>
        <v>322.81299999999999</v>
      </c>
    </row>
    <row r="567" spans="1:10" ht="15.75" x14ac:dyDescent="0.25">
      <c r="A567" s="32">
        <v>58195</v>
      </c>
      <c r="B567" s="14">
        <f>42.9788 * CHOOSE(CONTROL!$C$15, $E$9, 100%, $G$9) + CHOOSE(CONTROL!$C$38, 0.034, 0)</f>
        <v>43.012799999999999</v>
      </c>
      <c r="C567" s="14">
        <f>40.6349 * CHOOSE(CONTROL!$C$15, $E$9, 100%, $G$9) + CHOOSE(CONTROL!$C$38, 0.0342, 0)</f>
        <v>40.6691</v>
      </c>
      <c r="D567" s="14">
        <f>40.627 * CHOOSE(CONTROL!$C$15, $E$9, 100%, $G$9) + CHOOSE(CONTROL!$C$38, 0.0342, 0)</f>
        <v>40.661200000000001</v>
      </c>
      <c r="E567" s="14">
        <f>40.627 * CHOOSE(CONTROL!$C$15, $E$9, 100%, $G$9) + CHOOSE(CONTROL!$C$38, 0.0342, 0)</f>
        <v>40.661200000000001</v>
      </c>
      <c r="F567" s="45">
        <f>42.9788 * CHOOSE(CONTROL!$C$15, $E$9, 100%, $G$9) + CHOOSE(CONTROL!$C$38, 0.034, 0)</f>
        <v>43.012799999999999</v>
      </c>
      <c r="G567" s="14">
        <f>40.6333 * CHOOSE(CONTROL!$C$15, $E$9, 100%, $G$9) + CHOOSE(CONTROL!$C$38, 0.0342, 0)</f>
        <v>40.667499999999997</v>
      </c>
      <c r="H567" s="14">
        <f>40.6333 * CHOOSE(CONTROL!$C$15, $E$9, 100%, $G$9) + CHOOSE(CONTROL!$C$38, 0.0342, 0)</f>
        <v>40.667499999999997</v>
      </c>
      <c r="I567" s="14">
        <f>40.6349 * CHOOSE(CONTROL!$C$15, $E$9, 100%, $G$9) + CHOOSE(CONTROL!$C$38, 0.0342, 0)</f>
        <v>40.6691</v>
      </c>
      <c r="J567" s="44">
        <f>343.7715</f>
        <v>343.7715</v>
      </c>
    </row>
    <row r="568" spans="1:10" ht="15.75" x14ac:dyDescent="0.25">
      <c r="A568" s="32">
        <v>58226</v>
      </c>
      <c r="B568" s="14">
        <f>42.1738 * CHOOSE(CONTROL!$C$15, $E$9, 100%, $G$9) + CHOOSE(CONTROL!$C$38, 0.0353, 0)</f>
        <v>42.209099999999999</v>
      </c>
      <c r="C568" s="14">
        <f>39.8299 * CHOOSE(CONTROL!$C$15, $E$9, 100%, $G$9) + CHOOSE(CONTROL!$C$38, 0.0354, 0)</f>
        <v>39.865300000000005</v>
      </c>
      <c r="D568" s="14">
        <f>39.8221 * CHOOSE(CONTROL!$C$15, $E$9, 100%, $G$9) + CHOOSE(CONTROL!$C$38, 0.0354, 0)</f>
        <v>39.857500000000002</v>
      </c>
      <c r="E568" s="14">
        <f>39.8221 * CHOOSE(CONTROL!$C$15, $E$9, 100%, $G$9) + CHOOSE(CONTROL!$C$38, 0.0354, 0)</f>
        <v>39.857500000000002</v>
      </c>
      <c r="F568" s="45">
        <f>42.1738 * CHOOSE(CONTROL!$C$15, $E$9, 100%, $G$9) + CHOOSE(CONTROL!$C$38, 0.0353, 0)</f>
        <v>42.209099999999999</v>
      </c>
      <c r="G568" s="14">
        <f>39.8283 * CHOOSE(CONTROL!$C$15, $E$9, 100%, $G$9) + CHOOSE(CONTROL!$C$38, 0.0354, 0)</f>
        <v>39.863700000000001</v>
      </c>
      <c r="H568" s="14">
        <f>39.8283 * CHOOSE(CONTROL!$C$15, $E$9, 100%, $G$9) + CHOOSE(CONTROL!$C$38, 0.0354, 0)</f>
        <v>39.863700000000001</v>
      </c>
      <c r="I568" s="14">
        <f>39.8299 * CHOOSE(CONTROL!$C$15, $E$9, 100%, $G$9) + CHOOSE(CONTROL!$C$38, 0.0354, 0)</f>
        <v>39.865300000000005</v>
      </c>
      <c r="J568" s="44">
        <f>355.3078</f>
        <v>355.30779999999999</v>
      </c>
    </row>
    <row r="569" spans="1:10" ht="15.75" x14ac:dyDescent="0.25">
      <c r="A569" s="32">
        <v>58256</v>
      </c>
      <c r="B569" s="14">
        <f>41.6095 * CHOOSE(CONTROL!$C$15, $E$9, 100%, $G$9) + CHOOSE(CONTROL!$C$38, 0.0353, 0)</f>
        <v>41.644799999999996</v>
      </c>
      <c r="C569" s="14">
        <f>39.2656 * CHOOSE(CONTROL!$C$15, $E$9, 100%, $G$9) + CHOOSE(CONTROL!$C$38, 0.0354, 0)</f>
        <v>39.301000000000002</v>
      </c>
      <c r="D569" s="14">
        <f>39.2577 * CHOOSE(CONTROL!$C$15, $E$9, 100%, $G$9) + CHOOSE(CONTROL!$C$38, 0.0354, 0)</f>
        <v>39.293100000000003</v>
      </c>
      <c r="E569" s="14">
        <f>39.2577 * CHOOSE(CONTROL!$C$15, $E$9, 100%, $G$9) + CHOOSE(CONTROL!$C$38, 0.0354, 0)</f>
        <v>39.293100000000003</v>
      </c>
      <c r="F569" s="45">
        <f>41.6095 * CHOOSE(CONTROL!$C$15, $E$9, 100%, $G$9) + CHOOSE(CONTROL!$C$38, 0.0353, 0)</f>
        <v>41.644799999999996</v>
      </c>
      <c r="G569" s="14">
        <f>39.264 * CHOOSE(CONTROL!$C$15, $E$9, 100%, $G$9) + CHOOSE(CONTROL!$C$38, 0.0354, 0)</f>
        <v>39.299400000000006</v>
      </c>
      <c r="H569" s="14">
        <f>39.264 * CHOOSE(CONTROL!$C$15, $E$9, 100%, $G$9) + CHOOSE(CONTROL!$C$38, 0.0354, 0)</f>
        <v>39.299400000000006</v>
      </c>
      <c r="I569" s="14">
        <f>39.2656 * CHOOSE(CONTROL!$C$15, $E$9, 100%, $G$9) + CHOOSE(CONTROL!$C$38, 0.0354, 0)</f>
        <v>39.301000000000002</v>
      </c>
      <c r="J569" s="44">
        <f>360.4274</f>
        <v>360.42739999999998</v>
      </c>
    </row>
    <row r="570" spans="1:10" ht="15.75" x14ac:dyDescent="0.25">
      <c r="A570" s="32">
        <v>58287</v>
      </c>
      <c r="B570" s="14">
        <f>41.2874 * CHOOSE(CONTROL!$C$15, $E$9, 100%, $G$9) + CHOOSE(CONTROL!$C$38, 0.0353, 0)</f>
        <v>41.322699999999998</v>
      </c>
      <c r="C570" s="14">
        <f>38.9435 * CHOOSE(CONTROL!$C$15, $E$9, 100%, $G$9) + CHOOSE(CONTROL!$C$38, 0.0354, 0)</f>
        <v>38.978900000000003</v>
      </c>
      <c r="D570" s="14">
        <f>38.9357 * CHOOSE(CONTROL!$C$15, $E$9, 100%, $G$9) + CHOOSE(CONTROL!$C$38, 0.0354, 0)</f>
        <v>38.9711</v>
      </c>
      <c r="E570" s="14">
        <f>38.9357 * CHOOSE(CONTROL!$C$15, $E$9, 100%, $G$9) + CHOOSE(CONTROL!$C$38, 0.0354, 0)</f>
        <v>38.9711</v>
      </c>
      <c r="F570" s="45">
        <f>41.2874 * CHOOSE(CONTROL!$C$15, $E$9, 100%, $G$9) + CHOOSE(CONTROL!$C$38, 0.0353, 0)</f>
        <v>41.322699999999998</v>
      </c>
      <c r="G570" s="14">
        <f>38.9419 * CHOOSE(CONTROL!$C$15, $E$9, 100%, $G$9) + CHOOSE(CONTROL!$C$38, 0.0354, 0)</f>
        <v>38.9773</v>
      </c>
      <c r="H570" s="14">
        <f>38.9419 * CHOOSE(CONTROL!$C$15, $E$9, 100%, $G$9) + CHOOSE(CONTROL!$C$38, 0.0354, 0)</f>
        <v>38.9773</v>
      </c>
      <c r="I570" s="14">
        <f>38.9435 * CHOOSE(CONTROL!$C$15, $E$9, 100%, $G$9) + CHOOSE(CONTROL!$C$38, 0.0354, 0)</f>
        <v>38.978900000000003</v>
      </c>
      <c r="J570" s="44">
        <f>358.7418</f>
        <v>358.74180000000001</v>
      </c>
    </row>
    <row r="571" spans="1:10" ht="15.75" x14ac:dyDescent="0.25">
      <c r="A571" s="32">
        <v>58318</v>
      </c>
      <c r="B571" s="14">
        <f>41.4464 * CHOOSE(CONTROL!$C$15, $E$9, 100%, $G$9) + CHOOSE(CONTROL!$C$38, 0.0353, 0)</f>
        <v>41.481699999999996</v>
      </c>
      <c r="C571" s="14">
        <f>39.1024 * CHOOSE(CONTROL!$C$15, $E$9, 100%, $G$9) + CHOOSE(CONTROL!$C$38, 0.0354, 0)</f>
        <v>39.137800000000006</v>
      </c>
      <c r="D571" s="14">
        <f>39.0946 * CHOOSE(CONTROL!$C$15, $E$9, 100%, $G$9) + CHOOSE(CONTROL!$C$38, 0.0354, 0)</f>
        <v>39.130000000000003</v>
      </c>
      <c r="E571" s="14">
        <f>39.0946 * CHOOSE(CONTROL!$C$15, $E$9, 100%, $G$9) + CHOOSE(CONTROL!$C$38, 0.0354, 0)</f>
        <v>39.130000000000003</v>
      </c>
      <c r="F571" s="45">
        <f>41.4464 * CHOOSE(CONTROL!$C$15, $E$9, 100%, $G$9) + CHOOSE(CONTROL!$C$38, 0.0353, 0)</f>
        <v>41.481699999999996</v>
      </c>
      <c r="G571" s="14">
        <f>39.1009 * CHOOSE(CONTROL!$C$15, $E$9, 100%, $G$9) + CHOOSE(CONTROL!$C$38, 0.0354, 0)</f>
        <v>39.136300000000006</v>
      </c>
      <c r="H571" s="14">
        <f>39.1009 * CHOOSE(CONTROL!$C$15, $E$9, 100%, $G$9) + CHOOSE(CONTROL!$C$38, 0.0354, 0)</f>
        <v>39.136300000000006</v>
      </c>
      <c r="I571" s="14">
        <f>39.1024 * CHOOSE(CONTROL!$C$15, $E$9, 100%, $G$9) + CHOOSE(CONTROL!$C$38, 0.0354, 0)</f>
        <v>39.137800000000006</v>
      </c>
      <c r="J571" s="44">
        <f>350.3905</f>
        <v>350.39049999999997</v>
      </c>
    </row>
    <row r="572" spans="1:10" ht="15.75" x14ac:dyDescent="0.25">
      <c r="A572" s="32">
        <v>58348</v>
      </c>
      <c r="B572" s="14">
        <f>41.8781 * CHOOSE(CONTROL!$C$15, $E$9, 100%, $G$9) + CHOOSE(CONTROL!$C$38, 0.0353, 0)</f>
        <v>41.913400000000003</v>
      </c>
      <c r="C572" s="14">
        <f>39.5342 * CHOOSE(CONTROL!$C$15, $E$9, 100%, $G$9) + CHOOSE(CONTROL!$C$38, 0.0354, 0)</f>
        <v>39.569600000000001</v>
      </c>
      <c r="D572" s="14">
        <f>39.5263 * CHOOSE(CONTROL!$C$15, $E$9, 100%, $G$9) + CHOOSE(CONTROL!$C$38, 0.0354, 0)</f>
        <v>39.561700000000002</v>
      </c>
      <c r="E572" s="14">
        <f>39.5263 * CHOOSE(CONTROL!$C$15, $E$9, 100%, $G$9) + CHOOSE(CONTROL!$C$38, 0.0354, 0)</f>
        <v>39.561700000000002</v>
      </c>
      <c r="F572" s="45">
        <f>41.8781 * CHOOSE(CONTROL!$C$15, $E$9, 100%, $G$9) + CHOOSE(CONTROL!$C$38, 0.0353, 0)</f>
        <v>41.913400000000003</v>
      </c>
      <c r="G572" s="14">
        <f>39.5326 * CHOOSE(CONTROL!$C$15, $E$9, 100%, $G$9) + CHOOSE(CONTROL!$C$38, 0.0354, 0)</f>
        <v>39.568000000000005</v>
      </c>
      <c r="H572" s="14">
        <f>39.5326 * CHOOSE(CONTROL!$C$15, $E$9, 100%, $G$9) + CHOOSE(CONTROL!$C$38, 0.0354, 0)</f>
        <v>39.568000000000005</v>
      </c>
      <c r="I572" s="14">
        <f>39.5342 * CHOOSE(CONTROL!$C$15, $E$9, 100%, $G$9) + CHOOSE(CONTROL!$C$38, 0.0354, 0)</f>
        <v>39.569600000000001</v>
      </c>
      <c r="J572" s="44">
        <f>338.7441</f>
        <v>338.7441</v>
      </c>
    </row>
    <row r="573" spans="1:10" ht="15.75" x14ac:dyDescent="0.25">
      <c r="A573" s="32">
        <v>58379</v>
      </c>
      <c r="B573" s="14">
        <f>42.2396 * CHOOSE(CONTROL!$C$15, $E$9, 100%, $G$9) + CHOOSE(CONTROL!$C$38, 0.034, 0)</f>
        <v>42.273600000000002</v>
      </c>
      <c r="C573" s="14">
        <f>39.8957 * CHOOSE(CONTROL!$C$15, $E$9, 100%, $G$9) + CHOOSE(CONTROL!$C$38, 0.0342, 0)</f>
        <v>39.929899999999996</v>
      </c>
      <c r="D573" s="14">
        <f>39.8879 * CHOOSE(CONTROL!$C$15, $E$9, 100%, $G$9) + CHOOSE(CONTROL!$C$38, 0.0342, 0)</f>
        <v>39.9221</v>
      </c>
      <c r="E573" s="14">
        <f>39.8879 * CHOOSE(CONTROL!$C$15, $E$9, 100%, $G$9) + CHOOSE(CONTROL!$C$38, 0.0342, 0)</f>
        <v>39.9221</v>
      </c>
      <c r="F573" s="45">
        <f>42.2396 * CHOOSE(CONTROL!$C$15, $E$9, 100%, $G$9) + CHOOSE(CONTROL!$C$38, 0.034, 0)</f>
        <v>42.273600000000002</v>
      </c>
      <c r="G573" s="14">
        <f>39.8942 * CHOOSE(CONTROL!$C$15, $E$9, 100%, $G$9) + CHOOSE(CONTROL!$C$38, 0.0342, 0)</f>
        <v>39.928399999999996</v>
      </c>
      <c r="H573" s="14">
        <f>39.8942 * CHOOSE(CONTROL!$C$15, $E$9, 100%, $G$9) + CHOOSE(CONTROL!$C$38, 0.0342, 0)</f>
        <v>39.928399999999996</v>
      </c>
      <c r="I573" s="14">
        <f>39.8957 * CHOOSE(CONTROL!$C$15, $E$9, 100%, $G$9) + CHOOSE(CONTROL!$C$38, 0.0342, 0)</f>
        <v>39.929899999999996</v>
      </c>
      <c r="J573" s="44">
        <f>327.03</f>
        <v>327.02999999999997</v>
      </c>
    </row>
    <row r="574" spans="1:10" ht="15.75" x14ac:dyDescent="0.25">
      <c r="A574" s="32">
        <v>58409</v>
      </c>
      <c r="B574" s="14">
        <f>42.5414 * CHOOSE(CONTROL!$C$15, $E$9, 100%, $G$9) + CHOOSE(CONTROL!$C$38, 0.034, 0)</f>
        <v>42.575400000000002</v>
      </c>
      <c r="C574" s="14">
        <f>40.1974 * CHOOSE(CONTROL!$C$15, $E$9, 100%, $G$9) + CHOOSE(CONTROL!$C$38, 0.0342, 0)</f>
        <v>40.2316</v>
      </c>
      <c r="D574" s="14">
        <f>40.1896 * CHOOSE(CONTROL!$C$15, $E$9, 100%, $G$9) + CHOOSE(CONTROL!$C$38, 0.0342, 0)</f>
        <v>40.223799999999997</v>
      </c>
      <c r="E574" s="14">
        <f>40.1896 * CHOOSE(CONTROL!$C$15, $E$9, 100%, $G$9) + CHOOSE(CONTROL!$C$38, 0.0342, 0)</f>
        <v>40.223799999999997</v>
      </c>
      <c r="F574" s="45">
        <f>42.5414 * CHOOSE(CONTROL!$C$15, $E$9, 100%, $G$9) + CHOOSE(CONTROL!$C$38, 0.034, 0)</f>
        <v>42.575400000000002</v>
      </c>
      <c r="G574" s="14">
        <f>40.1959 * CHOOSE(CONTROL!$C$15, $E$9, 100%, $G$9) + CHOOSE(CONTROL!$C$38, 0.0342, 0)</f>
        <v>40.2301</v>
      </c>
      <c r="H574" s="14">
        <f>40.1959 * CHOOSE(CONTROL!$C$15, $E$9, 100%, $G$9) + CHOOSE(CONTROL!$C$38, 0.0342, 0)</f>
        <v>40.2301</v>
      </c>
      <c r="I574" s="14">
        <f>40.1974 * CHOOSE(CONTROL!$C$15, $E$9, 100%, $G$9) + CHOOSE(CONTROL!$C$38, 0.0342, 0)</f>
        <v>40.2316</v>
      </c>
      <c r="J574" s="44">
        <f>324.6998</f>
        <v>324.69979999999998</v>
      </c>
    </row>
    <row r="575" spans="1:10" ht="15.75" x14ac:dyDescent="0.25">
      <c r="A575" s="32">
        <v>58440</v>
      </c>
      <c r="B575" s="14">
        <f>43.471 * CHOOSE(CONTROL!$C$15, $E$9, 100%, $G$9) + CHOOSE(CONTROL!$C$38, 0.034, 0)</f>
        <v>43.504999999999995</v>
      </c>
      <c r="C575" s="14">
        <f>41.1271 * CHOOSE(CONTROL!$C$15, $E$9, 100%, $G$9) + CHOOSE(CONTROL!$C$38, 0.0342, 0)</f>
        <v>41.161299999999997</v>
      </c>
      <c r="D575" s="14">
        <f>41.1193 * CHOOSE(CONTROL!$C$15, $E$9, 100%, $G$9) + CHOOSE(CONTROL!$C$38, 0.0342, 0)</f>
        <v>41.153500000000001</v>
      </c>
      <c r="E575" s="14">
        <f>41.1193 * CHOOSE(CONTROL!$C$15, $E$9, 100%, $G$9) + CHOOSE(CONTROL!$C$38, 0.0342, 0)</f>
        <v>41.153500000000001</v>
      </c>
      <c r="F575" s="45">
        <f>43.471 * CHOOSE(CONTROL!$C$15, $E$9, 100%, $G$9) + CHOOSE(CONTROL!$C$38, 0.034, 0)</f>
        <v>43.504999999999995</v>
      </c>
      <c r="G575" s="14">
        <f>41.1255 * CHOOSE(CONTROL!$C$15, $E$9, 100%, $G$9) + CHOOSE(CONTROL!$C$38, 0.0342, 0)</f>
        <v>41.159700000000001</v>
      </c>
      <c r="H575" s="14">
        <f>41.1255 * CHOOSE(CONTROL!$C$15, $E$9, 100%, $G$9) + CHOOSE(CONTROL!$C$38, 0.0342, 0)</f>
        <v>41.159700000000001</v>
      </c>
      <c r="I575" s="14">
        <f>41.1271 * CHOOSE(CONTROL!$C$15, $E$9, 100%, $G$9) + CHOOSE(CONTROL!$C$38, 0.0342, 0)</f>
        <v>41.161299999999997</v>
      </c>
      <c r="J575" s="44">
        <f>315.0643</f>
        <v>315.0643</v>
      </c>
    </row>
    <row r="576" spans="1:10" ht="15.75" x14ac:dyDescent="0.25">
      <c r="A576" s="32">
        <v>58471</v>
      </c>
      <c r="B576" s="14">
        <f>44.9104 * CHOOSE(CONTROL!$C$15, $E$9, 100%, $G$9) + CHOOSE(CONTROL!$C$38, 0.034, 0)</f>
        <v>44.944400000000002</v>
      </c>
      <c r="C576" s="14">
        <f>42.5297 * CHOOSE(CONTROL!$C$15, $E$9, 100%, $G$9) + CHOOSE(CONTROL!$C$38, 0.0342, 0)</f>
        <v>42.563899999999997</v>
      </c>
      <c r="D576" s="14">
        <f>42.5219 * CHOOSE(CONTROL!$C$15, $E$9, 100%, $G$9) + CHOOSE(CONTROL!$C$38, 0.0342, 0)</f>
        <v>42.556100000000001</v>
      </c>
      <c r="E576" s="14">
        <f>42.5219 * CHOOSE(CONTROL!$C$15, $E$9, 100%, $G$9) + CHOOSE(CONTROL!$C$38, 0.0342, 0)</f>
        <v>42.556100000000001</v>
      </c>
      <c r="F576" s="45">
        <f>44.9104 * CHOOSE(CONTROL!$C$15, $E$9, 100%, $G$9) + CHOOSE(CONTROL!$C$38, 0.034, 0)</f>
        <v>44.944400000000002</v>
      </c>
      <c r="G576" s="14">
        <f>42.5282 * CHOOSE(CONTROL!$C$15, $E$9, 100%, $G$9) + CHOOSE(CONTROL!$C$38, 0.0342, 0)</f>
        <v>42.562399999999997</v>
      </c>
      <c r="H576" s="14">
        <f>42.5282 * CHOOSE(CONTROL!$C$15, $E$9, 100%, $G$9) + CHOOSE(CONTROL!$C$38, 0.0342, 0)</f>
        <v>42.562399999999997</v>
      </c>
      <c r="I576" s="14">
        <f>42.5297 * CHOOSE(CONTROL!$C$15, $E$9, 100%, $G$9) + CHOOSE(CONTROL!$C$38, 0.0342, 0)</f>
        <v>42.563899999999997</v>
      </c>
      <c r="J576" s="44">
        <f>314.8368</f>
        <v>314.83679999999998</v>
      </c>
    </row>
    <row r="577" spans="1:10" ht="15.75" x14ac:dyDescent="0.25">
      <c r="A577" s="32">
        <v>58499</v>
      </c>
      <c r="B577" s="14">
        <f>45.2547 * CHOOSE(CONTROL!$C$15, $E$9, 100%, $G$9) + CHOOSE(CONTROL!$C$38, 0.034, 0)</f>
        <v>45.288699999999999</v>
      </c>
      <c r="C577" s="14">
        <f>42.874 * CHOOSE(CONTROL!$C$15, $E$9, 100%, $G$9) + CHOOSE(CONTROL!$C$38, 0.0342, 0)</f>
        <v>42.908200000000001</v>
      </c>
      <c r="D577" s="14">
        <f>42.8662 * CHOOSE(CONTROL!$C$15, $E$9, 100%, $G$9) + CHOOSE(CONTROL!$C$38, 0.0342, 0)</f>
        <v>42.900399999999998</v>
      </c>
      <c r="E577" s="14">
        <f>42.8662 * CHOOSE(CONTROL!$C$15, $E$9, 100%, $G$9) + CHOOSE(CONTROL!$C$38, 0.0342, 0)</f>
        <v>42.900399999999998</v>
      </c>
      <c r="F577" s="45">
        <f>45.2547 * CHOOSE(CONTROL!$C$15, $E$9, 100%, $G$9) + CHOOSE(CONTROL!$C$38, 0.034, 0)</f>
        <v>45.288699999999999</v>
      </c>
      <c r="G577" s="14">
        <f>42.8725 * CHOOSE(CONTROL!$C$15, $E$9, 100%, $G$9) + CHOOSE(CONTROL!$C$38, 0.0342, 0)</f>
        <v>42.906700000000001</v>
      </c>
      <c r="H577" s="14">
        <f>42.8725 * CHOOSE(CONTROL!$C$15, $E$9, 100%, $G$9) + CHOOSE(CONTROL!$C$38, 0.0342, 0)</f>
        <v>42.906700000000001</v>
      </c>
      <c r="I577" s="14">
        <f>42.874 * CHOOSE(CONTROL!$C$15, $E$9, 100%, $G$9) + CHOOSE(CONTROL!$C$38, 0.0342, 0)</f>
        <v>42.908200000000001</v>
      </c>
      <c r="J577" s="44">
        <f>313.9617</f>
        <v>313.96170000000001</v>
      </c>
    </row>
    <row r="578" spans="1:10" ht="15.75" x14ac:dyDescent="0.25">
      <c r="A578" s="32">
        <v>58531</v>
      </c>
      <c r="B578" s="14">
        <f>44.4577 * CHOOSE(CONTROL!$C$15, $E$9, 100%, $G$9) + CHOOSE(CONTROL!$C$38, 0.034, 0)</f>
        <v>44.491700000000002</v>
      </c>
      <c r="C578" s="14">
        <f>42.077 * CHOOSE(CONTROL!$C$15, $E$9, 100%, $G$9) + CHOOSE(CONTROL!$C$38, 0.0342, 0)</f>
        <v>42.111199999999997</v>
      </c>
      <c r="D578" s="14">
        <f>42.0692 * CHOOSE(CONTROL!$C$15, $E$9, 100%, $G$9) + CHOOSE(CONTROL!$C$38, 0.0342, 0)</f>
        <v>42.103400000000001</v>
      </c>
      <c r="E578" s="14">
        <f>42.0692 * CHOOSE(CONTROL!$C$15, $E$9, 100%, $G$9) + CHOOSE(CONTROL!$C$38, 0.0342, 0)</f>
        <v>42.103400000000001</v>
      </c>
      <c r="F578" s="45">
        <f>44.4577 * CHOOSE(CONTROL!$C$15, $E$9, 100%, $G$9) + CHOOSE(CONTROL!$C$38, 0.034, 0)</f>
        <v>44.491700000000002</v>
      </c>
      <c r="G578" s="14">
        <f>42.0754 * CHOOSE(CONTROL!$C$15, $E$9, 100%, $G$9) + CHOOSE(CONTROL!$C$38, 0.0342, 0)</f>
        <v>42.1096</v>
      </c>
      <c r="H578" s="14">
        <f>42.0754 * CHOOSE(CONTROL!$C$15, $E$9, 100%, $G$9) + CHOOSE(CONTROL!$C$38, 0.0342, 0)</f>
        <v>42.1096</v>
      </c>
      <c r="I578" s="14">
        <f>42.077 * CHOOSE(CONTROL!$C$15, $E$9, 100%, $G$9) + CHOOSE(CONTROL!$C$38, 0.0342, 0)</f>
        <v>42.111199999999997</v>
      </c>
      <c r="J578" s="44">
        <f>330.5093</f>
        <v>330.5093</v>
      </c>
    </row>
    <row r="579" spans="1:10" ht="15.75" x14ac:dyDescent="0.25">
      <c r="A579" s="32">
        <v>58561</v>
      </c>
      <c r="B579" s="14">
        <f>43.6854 * CHOOSE(CONTROL!$C$15, $E$9, 100%, $G$9) + CHOOSE(CONTROL!$C$38, 0.034, 0)</f>
        <v>43.7194</v>
      </c>
      <c r="C579" s="14">
        <f>41.3047 * CHOOSE(CONTROL!$C$15, $E$9, 100%, $G$9) + CHOOSE(CONTROL!$C$38, 0.0342, 0)</f>
        <v>41.338899999999995</v>
      </c>
      <c r="D579" s="14">
        <f>41.2969 * CHOOSE(CONTROL!$C$15, $E$9, 100%, $G$9) + CHOOSE(CONTROL!$C$38, 0.0342, 0)</f>
        <v>41.331099999999999</v>
      </c>
      <c r="E579" s="14">
        <f>41.2969 * CHOOSE(CONTROL!$C$15, $E$9, 100%, $G$9) + CHOOSE(CONTROL!$C$38, 0.0342, 0)</f>
        <v>41.331099999999999</v>
      </c>
      <c r="F579" s="45">
        <f>43.6854 * CHOOSE(CONTROL!$C$15, $E$9, 100%, $G$9) + CHOOSE(CONTROL!$C$38, 0.034, 0)</f>
        <v>43.7194</v>
      </c>
      <c r="G579" s="14">
        <f>41.3031 * CHOOSE(CONTROL!$C$15, $E$9, 100%, $G$9) + CHOOSE(CONTROL!$C$38, 0.0342, 0)</f>
        <v>41.337299999999999</v>
      </c>
      <c r="H579" s="14">
        <f>41.3031 * CHOOSE(CONTROL!$C$15, $E$9, 100%, $G$9) + CHOOSE(CONTROL!$C$38, 0.0342, 0)</f>
        <v>41.337299999999999</v>
      </c>
      <c r="I579" s="14">
        <f>41.3047 * CHOOSE(CONTROL!$C$15, $E$9, 100%, $G$9) + CHOOSE(CONTROL!$C$38, 0.0342, 0)</f>
        <v>41.338899999999995</v>
      </c>
      <c r="J579" s="44">
        <f>351.9676</f>
        <v>351.9676</v>
      </c>
    </row>
    <row r="580" spans="1:10" ht="15.75" x14ac:dyDescent="0.25">
      <c r="A580" s="32">
        <v>58592</v>
      </c>
      <c r="B580" s="14">
        <f>42.8804 * CHOOSE(CONTROL!$C$15, $E$9, 100%, $G$9) + CHOOSE(CONTROL!$C$38, 0.0353, 0)</f>
        <v>42.915700000000001</v>
      </c>
      <c r="C580" s="14">
        <f>40.4997 * CHOOSE(CONTROL!$C$15, $E$9, 100%, $G$9) + CHOOSE(CONTROL!$C$38, 0.0354, 0)</f>
        <v>40.5351</v>
      </c>
      <c r="D580" s="14">
        <f>40.4919 * CHOOSE(CONTROL!$C$15, $E$9, 100%, $G$9) + CHOOSE(CONTROL!$C$38, 0.0354, 0)</f>
        <v>40.527300000000004</v>
      </c>
      <c r="E580" s="14">
        <f>40.4919 * CHOOSE(CONTROL!$C$15, $E$9, 100%, $G$9) + CHOOSE(CONTROL!$C$38, 0.0354, 0)</f>
        <v>40.527300000000004</v>
      </c>
      <c r="F580" s="45">
        <f>42.8804 * CHOOSE(CONTROL!$C$15, $E$9, 100%, $G$9) + CHOOSE(CONTROL!$C$38, 0.0353, 0)</f>
        <v>42.915700000000001</v>
      </c>
      <c r="G580" s="14">
        <f>40.4982 * CHOOSE(CONTROL!$C$15, $E$9, 100%, $G$9) + CHOOSE(CONTROL!$C$38, 0.0354, 0)</f>
        <v>40.5336</v>
      </c>
      <c r="H580" s="14">
        <f>40.4982 * CHOOSE(CONTROL!$C$15, $E$9, 100%, $G$9) + CHOOSE(CONTROL!$C$38, 0.0354, 0)</f>
        <v>40.5336</v>
      </c>
      <c r="I580" s="14">
        <f>40.4997 * CHOOSE(CONTROL!$C$15, $E$9, 100%, $G$9) + CHOOSE(CONTROL!$C$38, 0.0354, 0)</f>
        <v>40.5351</v>
      </c>
      <c r="J580" s="44">
        <f>363.7789</f>
        <v>363.77890000000002</v>
      </c>
    </row>
    <row r="581" spans="1:10" ht="15.75" x14ac:dyDescent="0.25">
      <c r="A581" s="32">
        <v>58622</v>
      </c>
      <c r="B581" s="14">
        <f>42.3161 * CHOOSE(CONTROL!$C$15, $E$9, 100%, $G$9) + CHOOSE(CONTROL!$C$38, 0.0353, 0)</f>
        <v>42.351399999999998</v>
      </c>
      <c r="C581" s="14">
        <f>39.9354 * CHOOSE(CONTROL!$C$15, $E$9, 100%, $G$9) + CHOOSE(CONTROL!$C$38, 0.0354, 0)</f>
        <v>39.970800000000004</v>
      </c>
      <c r="D581" s="14">
        <f>39.9276 * CHOOSE(CONTROL!$C$15, $E$9, 100%, $G$9) + CHOOSE(CONTROL!$C$38, 0.0354, 0)</f>
        <v>39.963000000000001</v>
      </c>
      <c r="E581" s="14">
        <f>39.9276 * CHOOSE(CONTROL!$C$15, $E$9, 100%, $G$9) + CHOOSE(CONTROL!$C$38, 0.0354, 0)</f>
        <v>39.963000000000001</v>
      </c>
      <c r="F581" s="45">
        <f>42.3161 * CHOOSE(CONTROL!$C$15, $E$9, 100%, $G$9) + CHOOSE(CONTROL!$C$38, 0.0353, 0)</f>
        <v>42.351399999999998</v>
      </c>
      <c r="G581" s="14">
        <f>39.9338 * CHOOSE(CONTROL!$C$15, $E$9, 100%, $G$9) + CHOOSE(CONTROL!$C$38, 0.0354, 0)</f>
        <v>39.969200000000001</v>
      </c>
      <c r="H581" s="14">
        <f>39.9338 * CHOOSE(CONTROL!$C$15, $E$9, 100%, $G$9) + CHOOSE(CONTROL!$C$38, 0.0354, 0)</f>
        <v>39.969200000000001</v>
      </c>
      <c r="I581" s="14">
        <f>39.9354 * CHOOSE(CONTROL!$C$15, $E$9, 100%, $G$9) + CHOOSE(CONTROL!$C$38, 0.0354, 0)</f>
        <v>39.970800000000004</v>
      </c>
      <c r="J581" s="44">
        <f>369.0206</f>
        <v>369.0206</v>
      </c>
    </row>
    <row r="582" spans="1:10" ht="15.75" x14ac:dyDescent="0.25">
      <c r="A582" s="32">
        <v>58653</v>
      </c>
      <c r="B582" s="14">
        <f>41.994 * CHOOSE(CONTROL!$C$15, $E$9, 100%, $G$9) + CHOOSE(CONTROL!$C$38, 0.0353, 0)</f>
        <v>42.029299999999999</v>
      </c>
      <c r="C582" s="14">
        <f>39.6133 * CHOOSE(CONTROL!$C$15, $E$9, 100%, $G$9) + CHOOSE(CONTROL!$C$38, 0.0354, 0)</f>
        <v>39.648700000000005</v>
      </c>
      <c r="D582" s="14">
        <f>39.6055 * CHOOSE(CONTROL!$C$15, $E$9, 100%, $G$9) + CHOOSE(CONTROL!$C$38, 0.0354, 0)</f>
        <v>39.640900000000002</v>
      </c>
      <c r="E582" s="14">
        <f>39.6055 * CHOOSE(CONTROL!$C$15, $E$9, 100%, $G$9) + CHOOSE(CONTROL!$C$38, 0.0354, 0)</f>
        <v>39.640900000000002</v>
      </c>
      <c r="F582" s="45">
        <f>41.994 * CHOOSE(CONTROL!$C$15, $E$9, 100%, $G$9) + CHOOSE(CONTROL!$C$38, 0.0353, 0)</f>
        <v>42.029299999999999</v>
      </c>
      <c r="G582" s="14">
        <f>39.6118 * CHOOSE(CONTROL!$C$15, $E$9, 100%, $G$9) + CHOOSE(CONTROL!$C$38, 0.0354, 0)</f>
        <v>39.647200000000005</v>
      </c>
      <c r="H582" s="14">
        <f>39.6118 * CHOOSE(CONTROL!$C$15, $E$9, 100%, $G$9) + CHOOSE(CONTROL!$C$38, 0.0354, 0)</f>
        <v>39.647200000000005</v>
      </c>
      <c r="I582" s="14">
        <f>39.6133 * CHOOSE(CONTROL!$C$15, $E$9, 100%, $G$9) + CHOOSE(CONTROL!$C$38, 0.0354, 0)</f>
        <v>39.648700000000005</v>
      </c>
      <c r="J582" s="44">
        <f>367.2948</f>
        <v>367.29480000000001</v>
      </c>
    </row>
    <row r="583" spans="1:10" ht="15.75" x14ac:dyDescent="0.25">
      <c r="A583" s="32">
        <v>58684</v>
      </c>
      <c r="B583" s="14">
        <f>42.153 * CHOOSE(CONTROL!$C$15, $E$9, 100%, $G$9) + CHOOSE(CONTROL!$C$38, 0.0353, 0)</f>
        <v>42.188299999999998</v>
      </c>
      <c r="C583" s="14">
        <f>39.7723 * CHOOSE(CONTROL!$C$15, $E$9, 100%, $G$9) + CHOOSE(CONTROL!$C$38, 0.0354, 0)</f>
        <v>39.807700000000004</v>
      </c>
      <c r="D583" s="14">
        <f>39.7645 * CHOOSE(CONTROL!$C$15, $E$9, 100%, $G$9) + CHOOSE(CONTROL!$C$38, 0.0354, 0)</f>
        <v>39.799900000000001</v>
      </c>
      <c r="E583" s="14">
        <f>39.7645 * CHOOSE(CONTROL!$C$15, $E$9, 100%, $G$9) + CHOOSE(CONTROL!$C$38, 0.0354, 0)</f>
        <v>39.799900000000001</v>
      </c>
      <c r="F583" s="45">
        <f>42.153 * CHOOSE(CONTROL!$C$15, $E$9, 100%, $G$9) + CHOOSE(CONTROL!$C$38, 0.0353, 0)</f>
        <v>42.188299999999998</v>
      </c>
      <c r="G583" s="14">
        <f>39.7707 * CHOOSE(CONTROL!$C$15, $E$9, 100%, $G$9) + CHOOSE(CONTROL!$C$38, 0.0354, 0)</f>
        <v>39.806100000000001</v>
      </c>
      <c r="H583" s="14">
        <f>39.7707 * CHOOSE(CONTROL!$C$15, $E$9, 100%, $G$9) + CHOOSE(CONTROL!$C$38, 0.0354, 0)</f>
        <v>39.806100000000001</v>
      </c>
      <c r="I583" s="14">
        <f>39.7723 * CHOOSE(CONTROL!$C$15, $E$9, 100%, $G$9) + CHOOSE(CONTROL!$C$38, 0.0354, 0)</f>
        <v>39.807700000000004</v>
      </c>
      <c r="J583" s="44">
        <f>358.7443</f>
        <v>358.74430000000001</v>
      </c>
    </row>
    <row r="584" spans="1:10" ht="15.75" x14ac:dyDescent="0.25">
      <c r="A584" s="32">
        <v>58714</v>
      </c>
      <c r="B584" s="14">
        <f>42.5847 * CHOOSE(CONTROL!$C$15, $E$9, 100%, $G$9) + CHOOSE(CONTROL!$C$38, 0.0353, 0)</f>
        <v>42.62</v>
      </c>
      <c r="C584" s="14">
        <f>40.204 * CHOOSE(CONTROL!$C$15, $E$9, 100%, $G$9) + CHOOSE(CONTROL!$C$38, 0.0354, 0)</f>
        <v>40.239400000000003</v>
      </c>
      <c r="D584" s="14">
        <f>40.1962 * CHOOSE(CONTROL!$C$15, $E$9, 100%, $G$9) + CHOOSE(CONTROL!$C$38, 0.0354, 0)</f>
        <v>40.2316</v>
      </c>
      <c r="E584" s="14">
        <f>40.1962 * CHOOSE(CONTROL!$C$15, $E$9, 100%, $G$9) + CHOOSE(CONTROL!$C$38, 0.0354, 0)</f>
        <v>40.2316</v>
      </c>
      <c r="F584" s="45">
        <f>42.5847 * CHOOSE(CONTROL!$C$15, $E$9, 100%, $G$9) + CHOOSE(CONTROL!$C$38, 0.0353, 0)</f>
        <v>42.62</v>
      </c>
      <c r="G584" s="14">
        <f>40.2024 * CHOOSE(CONTROL!$C$15, $E$9, 100%, $G$9) + CHOOSE(CONTROL!$C$38, 0.0354, 0)</f>
        <v>40.2378</v>
      </c>
      <c r="H584" s="14">
        <f>40.2024 * CHOOSE(CONTROL!$C$15, $E$9, 100%, $G$9) + CHOOSE(CONTROL!$C$38, 0.0354, 0)</f>
        <v>40.2378</v>
      </c>
      <c r="I584" s="14">
        <f>40.204 * CHOOSE(CONTROL!$C$15, $E$9, 100%, $G$9) + CHOOSE(CONTROL!$C$38, 0.0354, 0)</f>
        <v>40.239400000000003</v>
      </c>
      <c r="J584" s="44">
        <f>346.8203</f>
        <v>346.82029999999997</v>
      </c>
    </row>
    <row r="585" spans="1:10" ht="15.75" x14ac:dyDescent="0.25">
      <c r="A585" s="32">
        <v>58745</v>
      </c>
      <c r="B585" s="14">
        <f>42.9463 * CHOOSE(CONTROL!$C$15, $E$9, 100%, $G$9) + CHOOSE(CONTROL!$C$38, 0.034, 0)</f>
        <v>42.9803</v>
      </c>
      <c r="C585" s="14">
        <f>40.5656 * CHOOSE(CONTROL!$C$15, $E$9, 100%, $G$9) + CHOOSE(CONTROL!$C$38, 0.0342, 0)</f>
        <v>40.599800000000002</v>
      </c>
      <c r="D585" s="14">
        <f>40.5578 * CHOOSE(CONTROL!$C$15, $E$9, 100%, $G$9) + CHOOSE(CONTROL!$C$38, 0.0342, 0)</f>
        <v>40.591999999999999</v>
      </c>
      <c r="E585" s="14">
        <f>40.5578 * CHOOSE(CONTROL!$C$15, $E$9, 100%, $G$9) + CHOOSE(CONTROL!$C$38, 0.0342, 0)</f>
        <v>40.591999999999999</v>
      </c>
      <c r="F585" s="45">
        <f>42.9463 * CHOOSE(CONTROL!$C$15, $E$9, 100%, $G$9) + CHOOSE(CONTROL!$C$38, 0.034, 0)</f>
        <v>42.9803</v>
      </c>
      <c r="G585" s="14">
        <f>40.564 * CHOOSE(CONTROL!$C$15, $E$9, 100%, $G$9) + CHOOSE(CONTROL!$C$38, 0.0342, 0)</f>
        <v>40.598199999999999</v>
      </c>
      <c r="H585" s="14">
        <f>40.564 * CHOOSE(CONTROL!$C$15, $E$9, 100%, $G$9) + CHOOSE(CONTROL!$C$38, 0.0342, 0)</f>
        <v>40.598199999999999</v>
      </c>
      <c r="I585" s="14">
        <f>40.5656 * CHOOSE(CONTROL!$C$15, $E$9, 100%, $G$9) + CHOOSE(CONTROL!$C$38, 0.0342, 0)</f>
        <v>40.599800000000002</v>
      </c>
      <c r="J585" s="44">
        <f>334.8269</f>
        <v>334.82690000000002</v>
      </c>
    </row>
    <row r="586" spans="1:10" ht="15.75" x14ac:dyDescent="0.25">
      <c r="A586" s="32">
        <v>58775</v>
      </c>
      <c r="B586" s="14">
        <f>43.248 * CHOOSE(CONTROL!$C$15, $E$9, 100%, $G$9) + CHOOSE(CONTROL!$C$38, 0.034, 0)</f>
        <v>43.281999999999996</v>
      </c>
      <c r="C586" s="14">
        <f>40.8673 * CHOOSE(CONTROL!$C$15, $E$9, 100%, $G$9) + CHOOSE(CONTROL!$C$38, 0.0342, 0)</f>
        <v>40.901499999999999</v>
      </c>
      <c r="D586" s="14">
        <f>40.8595 * CHOOSE(CONTROL!$C$15, $E$9, 100%, $G$9) + CHOOSE(CONTROL!$C$38, 0.0342, 0)</f>
        <v>40.893699999999995</v>
      </c>
      <c r="E586" s="14">
        <f>40.8595 * CHOOSE(CONTROL!$C$15, $E$9, 100%, $G$9) + CHOOSE(CONTROL!$C$38, 0.0342, 0)</f>
        <v>40.893699999999995</v>
      </c>
      <c r="F586" s="45">
        <f>43.248 * CHOOSE(CONTROL!$C$15, $E$9, 100%, $G$9) + CHOOSE(CONTROL!$C$38, 0.034, 0)</f>
        <v>43.281999999999996</v>
      </c>
      <c r="G586" s="14">
        <f>40.8657 * CHOOSE(CONTROL!$C$15, $E$9, 100%, $G$9) + CHOOSE(CONTROL!$C$38, 0.0342, 0)</f>
        <v>40.899899999999995</v>
      </c>
      <c r="H586" s="14">
        <f>40.8657 * CHOOSE(CONTROL!$C$15, $E$9, 100%, $G$9) + CHOOSE(CONTROL!$C$38, 0.0342, 0)</f>
        <v>40.899899999999995</v>
      </c>
      <c r="I586" s="14">
        <f>40.8673 * CHOOSE(CONTROL!$C$15, $E$9, 100%, $G$9) + CHOOSE(CONTROL!$C$38, 0.0342, 0)</f>
        <v>40.901499999999999</v>
      </c>
      <c r="J586" s="44">
        <f>332.4411</f>
        <v>332.44110000000001</v>
      </c>
    </row>
    <row r="587" spans="1:10" ht="15.75" x14ac:dyDescent="0.25">
      <c r="A587" s="32">
        <v>58806</v>
      </c>
      <c r="B587" s="14">
        <f>44.1776 * CHOOSE(CONTROL!$C$15, $E$9, 100%, $G$9) + CHOOSE(CONTROL!$C$38, 0.034, 0)</f>
        <v>44.211599999999997</v>
      </c>
      <c r="C587" s="14">
        <f>41.7969 * CHOOSE(CONTROL!$C$15, $E$9, 100%, $G$9) + CHOOSE(CONTROL!$C$38, 0.0342, 0)</f>
        <v>41.831099999999999</v>
      </c>
      <c r="D587" s="14">
        <f>41.7891 * CHOOSE(CONTROL!$C$15, $E$9, 100%, $G$9) + CHOOSE(CONTROL!$C$38, 0.0342, 0)</f>
        <v>41.823299999999996</v>
      </c>
      <c r="E587" s="14">
        <f>41.7891 * CHOOSE(CONTROL!$C$15, $E$9, 100%, $G$9) + CHOOSE(CONTROL!$C$38, 0.0342, 0)</f>
        <v>41.823299999999996</v>
      </c>
      <c r="F587" s="45">
        <f>44.1776 * CHOOSE(CONTROL!$C$15, $E$9, 100%, $G$9) + CHOOSE(CONTROL!$C$38, 0.034, 0)</f>
        <v>44.211599999999997</v>
      </c>
      <c r="G587" s="14">
        <f>41.7954 * CHOOSE(CONTROL!$C$15, $E$9, 100%, $G$9) + CHOOSE(CONTROL!$C$38, 0.0342, 0)</f>
        <v>41.829599999999999</v>
      </c>
      <c r="H587" s="14">
        <f>41.7954 * CHOOSE(CONTROL!$C$15, $E$9, 100%, $G$9) + CHOOSE(CONTROL!$C$38, 0.0342, 0)</f>
        <v>41.829599999999999</v>
      </c>
      <c r="I587" s="14">
        <f>41.7969 * CHOOSE(CONTROL!$C$15, $E$9, 100%, $G$9) + CHOOSE(CONTROL!$C$38, 0.0342, 0)</f>
        <v>41.831099999999999</v>
      </c>
      <c r="J587" s="44">
        <f>322.5759</f>
        <v>322.57589999999999</v>
      </c>
    </row>
    <row r="588" spans="1:10" ht="15.75" x14ac:dyDescent="0.25">
      <c r="A588" s="32">
        <v>58837</v>
      </c>
      <c r="B588" s="14">
        <f>45.6289 * CHOOSE(CONTROL!$C$15, $E$9, 100%, $G$9) + CHOOSE(CONTROL!$C$38, 0.034, 0)</f>
        <v>45.6629</v>
      </c>
      <c r="C588" s="14">
        <f>43.2108 * CHOOSE(CONTROL!$C$15, $E$9, 100%, $G$9) + CHOOSE(CONTROL!$C$38, 0.0342, 0)</f>
        <v>43.244999999999997</v>
      </c>
      <c r="D588" s="14">
        <f>43.203 * CHOOSE(CONTROL!$C$15, $E$9, 100%, $G$9) + CHOOSE(CONTROL!$C$38, 0.0342, 0)</f>
        <v>43.237200000000001</v>
      </c>
      <c r="E588" s="14">
        <f>43.203 * CHOOSE(CONTROL!$C$15, $E$9, 100%, $G$9) + CHOOSE(CONTROL!$C$38, 0.0342, 0)</f>
        <v>43.237200000000001</v>
      </c>
      <c r="F588" s="45">
        <f>45.6289 * CHOOSE(CONTROL!$C$15, $E$9, 100%, $G$9) + CHOOSE(CONTROL!$C$38, 0.034, 0)</f>
        <v>45.6629</v>
      </c>
      <c r="G588" s="14">
        <f>43.2093 * CHOOSE(CONTROL!$C$15, $E$9, 100%, $G$9) + CHOOSE(CONTROL!$C$38, 0.0342, 0)</f>
        <v>43.243499999999997</v>
      </c>
      <c r="H588" s="14">
        <f>43.2093 * CHOOSE(CONTROL!$C$15, $E$9, 100%, $G$9) + CHOOSE(CONTROL!$C$38, 0.0342, 0)</f>
        <v>43.243499999999997</v>
      </c>
      <c r="I588" s="14">
        <f>43.2108 * CHOOSE(CONTROL!$C$15, $E$9, 100%, $G$9) + CHOOSE(CONTROL!$C$38, 0.0342, 0)</f>
        <v>43.244999999999997</v>
      </c>
      <c r="J588" s="44">
        <f>322.343</f>
        <v>322.34300000000002</v>
      </c>
    </row>
    <row r="589" spans="1:10" ht="15.75" x14ac:dyDescent="0.25">
      <c r="A589" s="32">
        <v>58865</v>
      </c>
      <c r="B589" s="14">
        <f>45.9732 * CHOOSE(CONTROL!$C$15, $E$9, 100%, $G$9) + CHOOSE(CONTROL!$C$38, 0.034, 0)</f>
        <v>46.007199999999997</v>
      </c>
      <c r="C589" s="14">
        <f>43.5551 * CHOOSE(CONTROL!$C$15, $E$9, 100%, $G$9) + CHOOSE(CONTROL!$C$38, 0.0342, 0)</f>
        <v>43.589300000000001</v>
      </c>
      <c r="D589" s="14">
        <f>43.5473 * CHOOSE(CONTROL!$C$15, $E$9, 100%, $G$9) + CHOOSE(CONTROL!$C$38, 0.0342, 0)</f>
        <v>43.581499999999998</v>
      </c>
      <c r="E589" s="14">
        <f>43.5473 * CHOOSE(CONTROL!$C$15, $E$9, 100%, $G$9) + CHOOSE(CONTROL!$C$38, 0.0342, 0)</f>
        <v>43.581499999999998</v>
      </c>
      <c r="F589" s="45">
        <f>45.9732 * CHOOSE(CONTROL!$C$15, $E$9, 100%, $G$9) + CHOOSE(CONTROL!$C$38, 0.034, 0)</f>
        <v>46.007199999999997</v>
      </c>
      <c r="G589" s="14">
        <f>43.5536 * CHOOSE(CONTROL!$C$15, $E$9, 100%, $G$9) + CHOOSE(CONTROL!$C$38, 0.0342, 0)</f>
        <v>43.587800000000001</v>
      </c>
      <c r="H589" s="14">
        <f>43.5536 * CHOOSE(CONTROL!$C$15, $E$9, 100%, $G$9) + CHOOSE(CONTROL!$C$38, 0.0342, 0)</f>
        <v>43.587800000000001</v>
      </c>
      <c r="I589" s="14">
        <f>43.5551 * CHOOSE(CONTROL!$C$15, $E$9, 100%, $G$9) + CHOOSE(CONTROL!$C$38, 0.0342, 0)</f>
        <v>43.589300000000001</v>
      </c>
      <c r="J589" s="44">
        <f>321.447</f>
        <v>321.447</v>
      </c>
    </row>
    <row r="590" spans="1:10" ht="15.75" x14ac:dyDescent="0.25">
      <c r="A590" s="32">
        <v>58893</v>
      </c>
      <c r="B590" s="14">
        <f>45.1762 * CHOOSE(CONTROL!$C$15, $E$9, 100%, $G$9) + CHOOSE(CONTROL!$C$38, 0.034, 0)</f>
        <v>45.2102</v>
      </c>
      <c r="C590" s="14">
        <f>42.7581 * CHOOSE(CONTROL!$C$15, $E$9, 100%, $G$9) + CHOOSE(CONTROL!$C$38, 0.0342, 0)</f>
        <v>42.792299999999997</v>
      </c>
      <c r="D590" s="14">
        <f>42.7503 * CHOOSE(CONTROL!$C$15, $E$9, 100%, $G$9) + CHOOSE(CONTROL!$C$38, 0.0342, 0)</f>
        <v>42.784500000000001</v>
      </c>
      <c r="E590" s="14">
        <f>42.7503 * CHOOSE(CONTROL!$C$15, $E$9, 100%, $G$9) + CHOOSE(CONTROL!$C$38, 0.0342, 0)</f>
        <v>42.784500000000001</v>
      </c>
      <c r="F590" s="45">
        <f>45.1762 * CHOOSE(CONTROL!$C$15, $E$9, 100%, $G$9) + CHOOSE(CONTROL!$C$38, 0.034, 0)</f>
        <v>45.2102</v>
      </c>
      <c r="G590" s="14">
        <f>42.7566 * CHOOSE(CONTROL!$C$15, $E$9, 100%, $G$9) + CHOOSE(CONTROL!$C$38, 0.0342, 0)</f>
        <v>42.790799999999997</v>
      </c>
      <c r="H590" s="14">
        <f>42.7566 * CHOOSE(CONTROL!$C$15, $E$9, 100%, $G$9) + CHOOSE(CONTROL!$C$38, 0.0342, 0)</f>
        <v>42.790799999999997</v>
      </c>
      <c r="I590" s="14">
        <f>42.7581 * CHOOSE(CONTROL!$C$15, $E$9, 100%, $G$9) + CHOOSE(CONTROL!$C$38, 0.0342, 0)</f>
        <v>42.792299999999997</v>
      </c>
      <c r="J590" s="44">
        <f>338.3891</f>
        <v>338.38909999999998</v>
      </c>
    </row>
    <row r="591" spans="1:10" ht="15.75" x14ac:dyDescent="0.25">
      <c r="A591" s="32">
        <v>58926</v>
      </c>
      <c r="B591" s="14">
        <f>44.4039 * CHOOSE(CONTROL!$C$15, $E$9, 100%, $G$9) + CHOOSE(CONTROL!$C$38, 0.034, 0)</f>
        <v>44.437899999999999</v>
      </c>
      <c r="C591" s="14">
        <f>41.9858 * CHOOSE(CONTROL!$C$15, $E$9, 100%, $G$9) + CHOOSE(CONTROL!$C$38, 0.0342, 0)</f>
        <v>42.019999999999996</v>
      </c>
      <c r="D591" s="14">
        <f>41.978 * CHOOSE(CONTROL!$C$15, $E$9, 100%, $G$9) + CHOOSE(CONTROL!$C$38, 0.0342, 0)</f>
        <v>42.0122</v>
      </c>
      <c r="E591" s="14">
        <f>41.978 * CHOOSE(CONTROL!$C$15, $E$9, 100%, $G$9) + CHOOSE(CONTROL!$C$38, 0.0342, 0)</f>
        <v>42.0122</v>
      </c>
      <c r="F591" s="45">
        <f>44.4039 * CHOOSE(CONTROL!$C$15, $E$9, 100%, $G$9) + CHOOSE(CONTROL!$C$38, 0.034, 0)</f>
        <v>44.437899999999999</v>
      </c>
      <c r="G591" s="14">
        <f>41.9842 * CHOOSE(CONTROL!$C$15, $E$9, 100%, $G$9) + CHOOSE(CONTROL!$C$38, 0.0342, 0)</f>
        <v>42.0184</v>
      </c>
      <c r="H591" s="14">
        <f>41.9842 * CHOOSE(CONTROL!$C$15, $E$9, 100%, $G$9) + CHOOSE(CONTROL!$C$38, 0.0342, 0)</f>
        <v>42.0184</v>
      </c>
      <c r="I591" s="14">
        <f>41.9858 * CHOOSE(CONTROL!$C$15, $E$9, 100%, $G$9) + CHOOSE(CONTROL!$C$38, 0.0342, 0)</f>
        <v>42.019999999999996</v>
      </c>
      <c r="J591" s="44">
        <f>360.359</f>
        <v>360.35899999999998</v>
      </c>
    </row>
    <row r="592" spans="1:10" ht="15.75" x14ac:dyDescent="0.25">
      <c r="A592" s="32">
        <v>58957</v>
      </c>
      <c r="B592" s="14">
        <f>43.5989 * CHOOSE(CONTROL!$C$15, $E$9, 100%, $G$9) + CHOOSE(CONTROL!$C$38, 0.0353, 0)</f>
        <v>43.6342</v>
      </c>
      <c r="C592" s="14">
        <f>41.1808 * CHOOSE(CONTROL!$C$15, $E$9, 100%, $G$9) + CHOOSE(CONTROL!$C$38, 0.0354, 0)</f>
        <v>41.216200000000001</v>
      </c>
      <c r="D592" s="14">
        <f>41.173 * CHOOSE(CONTROL!$C$15, $E$9, 100%, $G$9) + CHOOSE(CONTROL!$C$38, 0.0354, 0)</f>
        <v>41.208400000000005</v>
      </c>
      <c r="E592" s="14">
        <f>41.173 * CHOOSE(CONTROL!$C$15, $E$9, 100%, $G$9) + CHOOSE(CONTROL!$C$38, 0.0354, 0)</f>
        <v>41.208400000000005</v>
      </c>
      <c r="F592" s="45">
        <f>43.5989 * CHOOSE(CONTROL!$C$15, $E$9, 100%, $G$9) + CHOOSE(CONTROL!$C$38, 0.0353, 0)</f>
        <v>43.6342</v>
      </c>
      <c r="G592" s="14">
        <f>41.1793 * CHOOSE(CONTROL!$C$15, $E$9, 100%, $G$9) + CHOOSE(CONTROL!$C$38, 0.0354, 0)</f>
        <v>41.214700000000001</v>
      </c>
      <c r="H592" s="14">
        <f>41.1793 * CHOOSE(CONTROL!$C$15, $E$9, 100%, $G$9) + CHOOSE(CONTROL!$C$38, 0.0354, 0)</f>
        <v>41.214700000000001</v>
      </c>
      <c r="I592" s="14">
        <f>41.1808 * CHOOSE(CONTROL!$C$15, $E$9, 100%, $G$9) + CHOOSE(CONTROL!$C$38, 0.0354, 0)</f>
        <v>41.216200000000001</v>
      </c>
      <c r="J592" s="44">
        <f>372.4519</f>
        <v>372.45190000000002</v>
      </c>
    </row>
    <row r="593" spans="1:10" ht="15.75" x14ac:dyDescent="0.25">
      <c r="A593" s="32">
        <v>58987</v>
      </c>
      <c r="B593" s="14">
        <f>43.0346 * CHOOSE(CONTROL!$C$15, $E$9, 100%, $G$9) + CHOOSE(CONTROL!$C$38, 0.0353, 0)</f>
        <v>43.069899999999997</v>
      </c>
      <c r="C593" s="14">
        <f>40.6165 * CHOOSE(CONTROL!$C$15, $E$9, 100%, $G$9) + CHOOSE(CONTROL!$C$38, 0.0354, 0)</f>
        <v>40.651900000000005</v>
      </c>
      <c r="D593" s="14">
        <f>40.6087 * CHOOSE(CONTROL!$C$15, $E$9, 100%, $G$9) + CHOOSE(CONTROL!$C$38, 0.0354, 0)</f>
        <v>40.644100000000002</v>
      </c>
      <c r="E593" s="14">
        <f>40.6087 * CHOOSE(CONTROL!$C$15, $E$9, 100%, $G$9) + CHOOSE(CONTROL!$C$38, 0.0354, 0)</f>
        <v>40.644100000000002</v>
      </c>
      <c r="F593" s="45">
        <f>43.0346 * CHOOSE(CONTROL!$C$15, $E$9, 100%, $G$9) + CHOOSE(CONTROL!$C$38, 0.0353, 0)</f>
        <v>43.069899999999997</v>
      </c>
      <c r="G593" s="14">
        <f>40.6149 * CHOOSE(CONTROL!$C$15, $E$9, 100%, $G$9) + CHOOSE(CONTROL!$C$38, 0.0354, 0)</f>
        <v>40.650300000000001</v>
      </c>
      <c r="H593" s="14">
        <f>40.6149 * CHOOSE(CONTROL!$C$15, $E$9, 100%, $G$9) + CHOOSE(CONTROL!$C$38, 0.0354, 0)</f>
        <v>40.650300000000001</v>
      </c>
      <c r="I593" s="14">
        <f>40.6165 * CHOOSE(CONTROL!$C$15, $E$9, 100%, $G$9) + CHOOSE(CONTROL!$C$38, 0.0354, 0)</f>
        <v>40.651900000000005</v>
      </c>
      <c r="J593" s="44">
        <f>377.8186</f>
        <v>377.8186</v>
      </c>
    </row>
    <row r="594" spans="1:10" ht="15.75" x14ac:dyDescent="0.25">
      <c r="A594" s="32">
        <v>59018</v>
      </c>
      <c r="B594" s="14">
        <f>42.7125 * CHOOSE(CONTROL!$C$15, $E$9, 100%, $G$9) + CHOOSE(CONTROL!$C$38, 0.0353, 0)</f>
        <v>42.747799999999998</v>
      </c>
      <c r="C594" s="14">
        <f>40.2945 * CHOOSE(CONTROL!$C$15, $E$9, 100%, $G$9) + CHOOSE(CONTROL!$C$38, 0.0354, 0)</f>
        <v>40.329900000000002</v>
      </c>
      <c r="D594" s="14">
        <f>40.2866 * CHOOSE(CONTROL!$C$15, $E$9, 100%, $G$9) + CHOOSE(CONTROL!$C$38, 0.0354, 0)</f>
        <v>40.322000000000003</v>
      </c>
      <c r="E594" s="14">
        <f>40.2866 * CHOOSE(CONTROL!$C$15, $E$9, 100%, $G$9) + CHOOSE(CONTROL!$C$38, 0.0354, 0)</f>
        <v>40.322000000000003</v>
      </c>
      <c r="F594" s="45">
        <f>42.7125 * CHOOSE(CONTROL!$C$15, $E$9, 100%, $G$9) + CHOOSE(CONTROL!$C$38, 0.0353, 0)</f>
        <v>42.747799999999998</v>
      </c>
      <c r="G594" s="14">
        <f>40.2929 * CHOOSE(CONTROL!$C$15, $E$9, 100%, $G$9) + CHOOSE(CONTROL!$C$38, 0.0354, 0)</f>
        <v>40.328300000000006</v>
      </c>
      <c r="H594" s="14">
        <f>40.2929 * CHOOSE(CONTROL!$C$15, $E$9, 100%, $G$9) + CHOOSE(CONTROL!$C$38, 0.0354, 0)</f>
        <v>40.328300000000006</v>
      </c>
      <c r="I594" s="14">
        <f>40.2945 * CHOOSE(CONTROL!$C$15, $E$9, 100%, $G$9) + CHOOSE(CONTROL!$C$38, 0.0354, 0)</f>
        <v>40.329900000000002</v>
      </c>
      <c r="J594" s="44">
        <f>376.0516</f>
        <v>376.05160000000001</v>
      </c>
    </row>
    <row r="595" spans="1:10" ht="15.75" x14ac:dyDescent="0.25">
      <c r="A595" s="32">
        <v>59049</v>
      </c>
      <c r="B595" s="14">
        <f>42.8714 * CHOOSE(CONTROL!$C$15, $E$9, 100%, $G$9) + CHOOSE(CONTROL!$C$38, 0.0353, 0)</f>
        <v>42.906700000000001</v>
      </c>
      <c r="C595" s="14">
        <f>40.4534 * CHOOSE(CONTROL!$C$15, $E$9, 100%, $G$9) + CHOOSE(CONTROL!$C$38, 0.0354, 0)</f>
        <v>40.488800000000005</v>
      </c>
      <c r="D595" s="14">
        <f>40.4456 * CHOOSE(CONTROL!$C$15, $E$9, 100%, $G$9) + CHOOSE(CONTROL!$C$38, 0.0354, 0)</f>
        <v>40.481000000000002</v>
      </c>
      <c r="E595" s="14">
        <f>40.4456 * CHOOSE(CONTROL!$C$15, $E$9, 100%, $G$9) + CHOOSE(CONTROL!$C$38, 0.0354, 0)</f>
        <v>40.481000000000002</v>
      </c>
      <c r="F595" s="45">
        <f>42.8714 * CHOOSE(CONTROL!$C$15, $E$9, 100%, $G$9) + CHOOSE(CONTROL!$C$38, 0.0353, 0)</f>
        <v>42.906700000000001</v>
      </c>
      <c r="G595" s="14">
        <f>40.4518 * CHOOSE(CONTROL!$C$15, $E$9, 100%, $G$9) + CHOOSE(CONTROL!$C$38, 0.0354, 0)</f>
        <v>40.487200000000001</v>
      </c>
      <c r="H595" s="14">
        <f>40.4518 * CHOOSE(CONTROL!$C$15, $E$9, 100%, $G$9) + CHOOSE(CONTROL!$C$38, 0.0354, 0)</f>
        <v>40.487200000000001</v>
      </c>
      <c r="I595" s="14">
        <f>40.4534 * CHOOSE(CONTROL!$C$15, $E$9, 100%, $G$9) + CHOOSE(CONTROL!$C$38, 0.0354, 0)</f>
        <v>40.488800000000005</v>
      </c>
      <c r="J595" s="44">
        <f>367.2973</f>
        <v>367.29730000000001</v>
      </c>
    </row>
    <row r="596" spans="1:10" ht="15.75" x14ac:dyDescent="0.25">
      <c r="A596" s="32">
        <v>59079</v>
      </c>
      <c r="B596" s="14">
        <f>43.3032 * CHOOSE(CONTROL!$C$15, $E$9, 100%, $G$9) + CHOOSE(CONTROL!$C$38, 0.0353, 0)</f>
        <v>43.338499999999996</v>
      </c>
      <c r="C596" s="14">
        <f>40.8851 * CHOOSE(CONTROL!$C$15, $E$9, 100%, $G$9) + CHOOSE(CONTROL!$C$38, 0.0354, 0)</f>
        <v>40.920500000000004</v>
      </c>
      <c r="D596" s="14">
        <f>40.8773 * CHOOSE(CONTROL!$C$15, $E$9, 100%, $G$9) + CHOOSE(CONTROL!$C$38, 0.0354, 0)</f>
        <v>40.912700000000001</v>
      </c>
      <c r="E596" s="14">
        <f>40.8773 * CHOOSE(CONTROL!$C$15, $E$9, 100%, $G$9) + CHOOSE(CONTROL!$C$38, 0.0354, 0)</f>
        <v>40.912700000000001</v>
      </c>
      <c r="F596" s="45">
        <f>43.3032 * CHOOSE(CONTROL!$C$15, $E$9, 100%, $G$9) + CHOOSE(CONTROL!$C$38, 0.0353, 0)</f>
        <v>43.338499999999996</v>
      </c>
      <c r="G596" s="14">
        <f>40.8835 * CHOOSE(CONTROL!$C$15, $E$9, 100%, $G$9) + CHOOSE(CONTROL!$C$38, 0.0354, 0)</f>
        <v>40.918900000000001</v>
      </c>
      <c r="H596" s="14">
        <f>40.8835 * CHOOSE(CONTROL!$C$15, $E$9, 100%, $G$9) + CHOOSE(CONTROL!$C$38, 0.0354, 0)</f>
        <v>40.918900000000001</v>
      </c>
      <c r="I596" s="14">
        <f>40.8851 * CHOOSE(CONTROL!$C$15, $E$9, 100%, $G$9) + CHOOSE(CONTROL!$C$38, 0.0354, 0)</f>
        <v>40.920500000000004</v>
      </c>
      <c r="J596" s="44">
        <f>355.089</f>
        <v>355.089</v>
      </c>
    </row>
    <row r="597" spans="1:10" ht="15.75" x14ac:dyDescent="0.25">
      <c r="A597" s="32">
        <v>59110</v>
      </c>
      <c r="B597" s="14">
        <f>43.6647 * CHOOSE(CONTROL!$C$15, $E$9, 100%, $G$9) + CHOOSE(CONTROL!$C$38, 0.034, 0)</f>
        <v>43.698700000000002</v>
      </c>
      <c r="C597" s="14">
        <f>41.2467 * CHOOSE(CONTROL!$C$15, $E$9, 100%, $G$9) + CHOOSE(CONTROL!$C$38, 0.0342, 0)</f>
        <v>41.280899999999995</v>
      </c>
      <c r="D597" s="14">
        <f>41.2389 * CHOOSE(CONTROL!$C$15, $E$9, 100%, $G$9) + CHOOSE(CONTROL!$C$38, 0.0342, 0)</f>
        <v>41.273099999999999</v>
      </c>
      <c r="E597" s="14">
        <f>41.2389 * CHOOSE(CONTROL!$C$15, $E$9, 100%, $G$9) + CHOOSE(CONTROL!$C$38, 0.0342, 0)</f>
        <v>41.273099999999999</v>
      </c>
      <c r="F597" s="45">
        <f>43.6647 * CHOOSE(CONTROL!$C$15, $E$9, 100%, $G$9) + CHOOSE(CONTROL!$C$38, 0.034, 0)</f>
        <v>43.698700000000002</v>
      </c>
      <c r="G597" s="14">
        <f>41.2451 * CHOOSE(CONTROL!$C$15, $E$9, 100%, $G$9) + CHOOSE(CONTROL!$C$38, 0.0342, 0)</f>
        <v>41.279299999999999</v>
      </c>
      <c r="H597" s="14">
        <f>41.2451 * CHOOSE(CONTROL!$C$15, $E$9, 100%, $G$9) + CHOOSE(CONTROL!$C$38, 0.0342, 0)</f>
        <v>41.279299999999999</v>
      </c>
      <c r="I597" s="14">
        <f>41.2467 * CHOOSE(CONTROL!$C$15, $E$9, 100%, $G$9) + CHOOSE(CONTROL!$C$38, 0.0342, 0)</f>
        <v>41.280899999999995</v>
      </c>
      <c r="J597" s="44">
        <f>342.8096</f>
        <v>342.80959999999999</v>
      </c>
    </row>
    <row r="598" spans="1:10" ht="15.75" x14ac:dyDescent="0.25">
      <c r="A598" s="32">
        <v>59140</v>
      </c>
      <c r="B598" s="14">
        <f>43.9664 * CHOOSE(CONTROL!$C$15, $E$9, 100%, $G$9) + CHOOSE(CONTROL!$C$38, 0.034, 0)</f>
        <v>44.000399999999999</v>
      </c>
      <c r="C598" s="14">
        <f>41.5484 * CHOOSE(CONTROL!$C$15, $E$9, 100%, $G$9) + CHOOSE(CONTROL!$C$38, 0.0342, 0)</f>
        <v>41.582599999999999</v>
      </c>
      <c r="D598" s="14">
        <f>41.5406 * CHOOSE(CONTROL!$C$15, $E$9, 100%, $G$9) + CHOOSE(CONTROL!$C$38, 0.0342, 0)</f>
        <v>41.574799999999996</v>
      </c>
      <c r="E598" s="14">
        <f>41.5406 * CHOOSE(CONTROL!$C$15, $E$9, 100%, $G$9) + CHOOSE(CONTROL!$C$38, 0.0342, 0)</f>
        <v>41.574799999999996</v>
      </c>
      <c r="F598" s="45">
        <f>43.9664 * CHOOSE(CONTROL!$C$15, $E$9, 100%, $G$9) + CHOOSE(CONTROL!$C$38, 0.034, 0)</f>
        <v>44.000399999999999</v>
      </c>
      <c r="G598" s="14">
        <f>41.5468 * CHOOSE(CONTROL!$C$15, $E$9, 100%, $G$9) + CHOOSE(CONTROL!$C$38, 0.0342, 0)</f>
        <v>41.580999999999996</v>
      </c>
      <c r="H598" s="14">
        <f>41.5468 * CHOOSE(CONTROL!$C$15, $E$9, 100%, $G$9) + CHOOSE(CONTROL!$C$38, 0.0342, 0)</f>
        <v>41.580999999999996</v>
      </c>
      <c r="I598" s="14">
        <f>41.5484 * CHOOSE(CONTROL!$C$15, $E$9, 100%, $G$9) + CHOOSE(CONTROL!$C$38, 0.0342, 0)</f>
        <v>41.582599999999999</v>
      </c>
      <c r="J598" s="44">
        <f>340.367</f>
        <v>340.36700000000002</v>
      </c>
    </row>
    <row r="599" spans="1:10" ht="15.75" x14ac:dyDescent="0.25">
      <c r="A599" s="32">
        <v>59171</v>
      </c>
      <c r="B599" s="14">
        <f>44.8961 * CHOOSE(CONTROL!$C$15, $E$9, 100%, $G$9) + CHOOSE(CONTROL!$C$38, 0.034, 0)</f>
        <v>44.930099999999996</v>
      </c>
      <c r="C599" s="14">
        <f>42.478 * CHOOSE(CONTROL!$C$15, $E$9, 100%, $G$9) + CHOOSE(CONTROL!$C$38, 0.0342, 0)</f>
        <v>42.5122</v>
      </c>
      <c r="D599" s="14">
        <f>42.4702 * CHOOSE(CONTROL!$C$15, $E$9, 100%, $G$9) + CHOOSE(CONTROL!$C$38, 0.0342, 0)</f>
        <v>42.504399999999997</v>
      </c>
      <c r="E599" s="14">
        <f>42.4702 * CHOOSE(CONTROL!$C$15, $E$9, 100%, $G$9) + CHOOSE(CONTROL!$C$38, 0.0342, 0)</f>
        <v>42.504399999999997</v>
      </c>
      <c r="F599" s="45">
        <f>44.8961 * CHOOSE(CONTROL!$C$15, $E$9, 100%, $G$9) + CHOOSE(CONTROL!$C$38, 0.034, 0)</f>
        <v>44.930099999999996</v>
      </c>
      <c r="G599" s="14">
        <f>42.4765 * CHOOSE(CONTROL!$C$15, $E$9, 100%, $G$9) + CHOOSE(CONTROL!$C$38, 0.0342, 0)</f>
        <v>42.5107</v>
      </c>
      <c r="H599" s="14">
        <f>42.4765 * CHOOSE(CONTROL!$C$15, $E$9, 100%, $G$9) + CHOOSE(CONTROL!$C$38, 0.0342, 0)</f>
        <v>42.5107</v>
      </c>
      <c r="I599" s="14">
        <f>42.478 * CHOOSE(CONTROL!$C$15, $E$9, 100%, $G$9) + CHOOSE(CONTROL!$C$38, 0.0342, 0)</f>
        <v>42.5122</v>
      </c>
      <c r="J599" s="44">
        <f>330.2666</f>
        <v>330.26659999999998</v>
      </c>
    </row>
    <row r="600" spans="1:10" ht="15.75" x14ac:dyDescent="0.25">
      <c r="A600" s="32">
        <v>59202</v>
      </c>
      <c r="B600" s="14">
        <f>41.2937 * CHOOSE(CONTROL!$C$15, $E$9, 100%, $G$9) + CHOOSE(CONTROL!$C$38, 0.034, 0)</f>
        <v>41.3277</v>
      </c>
      <c r="C600" s="14">
        <f>39.0217 * CHOOSE(CONTROL!$C$15, $E$9, 100%, $G$9) + CHOOSE(CONTROL!$C$38, 0.0342, 0)</f>
        <v>39.055900000000001</v>
      </c>
      <c r="D600" s="14">
        <f>39.0139 * CHOOSE(CONTROL!$C$15, $E$9, 100%, $G$9) + CHOOSE(CONTROL!$C$38, 0.0342, 0)</f>
        <v>39.048099999999998</v>
      </c>
      <c r="E600" s="14">
        <f>39.0139 * CHOOSE(CONTROL!$C$15, $E$9, 100%, $G$9) + CHOOSE(CONTROL!$C$38, 0.0342, 0)</f>
        <v>39.048099999999998</v>
      </c>
      <c r="F600" s="45">
        <f>41.2937 * CHOOSE(CONTROL!$C$15, $E$9, 100%, $G$9) + CHOOSE(CONTROL!$C$38, 0.034, 0)</f>
        <v>41.3277</v>
      </c>
      <c r="G600" s="14">
        <f>39.0202 * CHOOSE(CONTROL!$C$15, $E$9, 100%, $G$9) + CHOOSE(CONTROL!$C$38, 0.0342, 0)</f>
        <v>39.054400000000001</v>
      </c>
      <c r="H600" s="14">
        <f>39.0202 * CHOOSE(CONTROL!$C$15, $E$9, 100%, $G$9) + CHOOSE(CONTROL!$C$38, 0.0342, 0)</f>
        <v>39.054400000000001</v>
      </c>
      <c r="I600" s="14">
        <f>39.0217 * CHOOSE(CONTROL!$C$15, $E$9, 100%, $G$9) + CHOOSE(CONTROL!$C$38, 0.0342, 0)</f>
        <v>39.055900000000001</v>
      </c>
      <c r="J600" s="44">
        <f>330.0282</f>
        <v>330.02820000000003</v>
      </c>
    </row>
    <row r="601" spans="1:10" ht="15.75" x14ac:dyDescent="0.25">
      <c r="A601" s="32">
        <v>59230</v>
      </c>
      <c r="B601" s="14">
        <f>41.1806 * CHOOSE(CONTROL!$C$15, $E$9, 100%, $G$9) + CHOOSE(CONTROL!$C$38, 0.034, 0)</f>
        <v>41.214599999999997</v>
      </c>
      <c r="C601" s="14">
        <f>38.9145 * CHOOSE(CONTROL!$C$15, $E$9, 100%, $G$9) + CHOOSE(CONTROL!$C$38, 0.0342, 0)</f>
        <v>38.948699999999995</v>
      </c>
      <c r="D601" s="14">
        <f>38.9067 * CHOOSE(CONTROL!$C$15, $E$9, 100%, $G$9) + CHOOSE(CONTROL!$C$38, 0.0342, 0)</f>
        <v>38.940899999999999</v>
      </c>
      <c r="E601" s="14">
        <f>38.9067 * CHOOSE(CONTROL!$C$15, $E$9, 100%, $G$9) + CHOOSE(CONTROL!$C$38, 0.0342, 0)</f>
        <v>38.940899999999999</v>
      </c>
      <c r="F601" s="45">
        <f>41.1806 * CHOOSE(CONTROL!$C$15, $E$9, 100%, $G$9) + CHOOSE(CONTROL!$C$38, 0.034, 0)</f>
        <v>41.214599999999997</v>
      </c>
      <c r="G601" s="14">
        <f>38.913 * CHOOSE(CONTROL!$C$15, $E$9, 100%, $G$9) + CHOOSE(CONTROL!$C$38, 0.0342, 0)</f>
        <v>38.947199999999995</v>
      </c>
      <c r="H601" s="14">
        <f>38.913 * CHOOSE(CONTROL!$C$15, $E$9, 100%, $G$9) + CHOOSE(CONTROL!$C$38, 0.0342, 0)</f>
        <v>38.947199999999995</v>
      </c>
      <c r="I601" s="14">
        <f>38.9145 * CHOOSE(CONTROL!$C$15, $E$9, 100%, $G$9) + CHOOSE(CONTROL!$C$38, 0.0342, 0)</f>
        <v>38.948699999999995</v>
      </c>
      <c r="J601" s="44">
        <f>329.1108</f>
        <v>329.11079999999998</v>
      </c>
    </row>
    <row r="602" spans="1:10" ht="15.75" x14ac:dyDescent="0.25">
      <c r="A602" s="32">
        <v>59261</v>
      </c>
      <c r="B602" s="14">
        <f>43.3185 * CHOOSE(CONTROL!$C$15, $E$9, 100%, $G$9) + CHOOSE(CONTROL!$C$38, 0.034, 0)</f>
        <v>43.352499999999999</v>
      </c>
      <c r="C602" s="14">
        <f>40.9413 * CHOOSE(CONTROL!$C$15, $E$9, 100%, $G$9) + CHOOSE(CONTROL!$C$38, 0.0342, 0)</f>
        <v>40.975499999999997</v>
      </c>
      <c r="D602" s="14">
        <f>40.9335 * CHOOSE(CONTROL!$C$15, $E$9, 100%, $G$9) + CHOOSE(CONTROL!$C$38, 0.0342, 0)</f>
        <v>40.967700000000001</v>
      </c>
      <c r="E602" s="14">
        <f>40.9335 * CHOOSE(CONTROL!$C$15, $E$9, 100%, $G$9) + CHOOSE(CONTROL!$C$38, 0.0342, 0)</f>
        <v>40.967700000000001</v>
      </c>
      <c r="F602" s="45">
        <f>43.3185 * CHOOSE(CONTROL!$C$15, $E$9, 100%, $G$9) + CHOOSE(CONTROL!$C$38, 0.034, 0)</f>
        <v>43.352499999999999</v>
      </c>
      <c r="G602" s="14">
        <f>40.9397 * CHOOSE(CONTROL!$C$15, $E$9, 100%, $G$9) + CHOOSE(CONTROL!$C$38, 0.0342, 0)</f>
        <v>40.9739</v>
      </c>
      <c r="H602" s="14">
        <f>40.9397 * CHOOSE(CONTROL!$C$15, $E$9, 100%, $G$9) + CHOOSE(CONTROL!$C$38, 0.0342, 0)</f>
        <v>40.9739</v>
      </c>
      <c r="I602" s="14">
        <f>40.9413 * CHOOSE(CONTROL!$C$15, $E$9, 100%, $G$9) + CHOOSE(CONTROL!$C$38, 0.0342, 0)</f>
        <v>40.975499999999997</v>
      </c>
      <c r="J602" s="44">
        <f>346.4568</f>
        <v>346.45679999999999</v>
      </c>
    </row>
    <row r="603" spans="1:10" ht="15.75" x14ac:dyDescent="0.25">
      <c r="A603" s="32">
        <v>59291</v>
      </c>
      <c r="B603" s="14">
        <f>46.0909 * CHOOSE(CONTROL!$C$15, $E$9, 100%, $G$9) + CHOOSE(CONTROL!$C$38, 0.034, 0)</f>
        <v>46.124899999999997</v>
      </c>
      <c r="C603" s="14">
        <f>43.5694 * CHOOSE(CONTROL!$C$15, $E$9, 100%, $G$9) + CHOOSE(CONTROL!$C$38, 0.0342, 0)</f>
        <v>43.6036</v>
      </c>
      <c r="D603" s="14">
        <f>43.5616 * CHOOSE(CONTROL!$C$15, $E$9, 100%, $G$9) + CHOOSE(CONTROL!$C$38, 0.0342, 0)</f>
        <v>43.595799999999997</v>
      </c>
      <c r="E603" s="14">
        <f>43.5616 * CHOOSE(CONTROL!$C$15, $E$9, 100%, $G$9) + CHOOSE(CONTROL!$C$38, 0.0342, 0)</f>
        <v>43.595799999999997</v>
      </c>
      <c r="F603" s="45">
        <f>46.0909 * CHOOSE(CONTROL!$C$15, $E$9, 100%, $G$9) + CHOOSE(CONTROL!$C$38, 0.034, 0)</f>
        <v>46.124899999999997</v>
      </c>
      <c r="G603" s="14">
        <f>43.5679 * CHOOSE(CONTROL!$C$15, $E$9, 100%, $G$9) + CHOOSE(CONTROL!$C$38, 0.0342, 0)</f>
        <v>43.6021</v>
      </c>
      <c r="H603" s="14">
        <f>43.5679 * CHOOSE(CONTROL!$C$15, $E$9, 100%, $G$9) + CHOOSE(CONTROL!$C$38, 0.0342, 0)</f>
        <v>43.6021</v>
      </c>
      <c r="I603" s="14">
        <f>43.5694 * CHOOSE(CONTROL!$C$15, $E$9, 100%, $G$9) + CHOOSE(CONTROL!$C$38, 0.0342, 0)</f>
        <v>43.6036</v>
      </c>
      <c r="J603" s="44">
        <f>368.9505</f>
        <v>368.95049999999998</v>
      </c>
    </row>
    <row r="604" spans="1:10" ht="15.75" x14ac:dyDescent="0.25">
      <c r="A604" s="32">
        <v>59322</v>
      </c>
      <c r="B604" s="14">
        <f>47.6169 * CHOOSE(CONTROL!$C$15, $E$9, 100%, $G$9) + CHOOSE(CONTROL!$C$38, 0.0353, 0)</f>
        <v>47.652200000000001</v>
      </c>
      <c r="C604" s="14">
        <f>45.0161 * CHOOSE(CONTROL!$C$15, $E$9, 100%, $G$9) + CHOOSE(CONTROL!$C$38, 0.0354, 0)</f>
        <v>45.051500000000004</v>
      </c>
      <c r="D604" s="14">
        <f>45.0083 * CHOOSE(CONTROL!$C$15, $E$9, 100%, $G$9) + CHOOSE(CONTROL!$C$38, 0.0354, 0)</f>
        <v>45.043700000000001</v>
      </c>
      <c r="E604" s="14">
        <f>45.0083 * CHOOSE(CONTROL!$C$15, $E$9, 100%, $G$9) + CHOOSE(CONTROL!$C$38, 0.0354, 0)</f>
        <v>45.043700000000001</v>
      </c>
      <c r="F604" s="45">
        <f>47.6169 * CHOOSE(CONTROL!$C$15, $E$9, 100%, $G$9) + CHOOSE(CONTROL!$C$38, 0.0353, 0)</f>
        <v>47.652200000000001</v>
      </c>
      <c r="G604" s="14">
        <f>45.0145 * CHOOSE(CONTROL!$C$15, $E$9, 100%, $G$9) + CHOOSE(CONTROL!$C$38, 0.0354, 0)</f>
        <v>45.049900000000001</v>
      </c>
      <c r="H604" s="14">
        <f>45.0145 * CHOOSE(CONTROL!$C$15, $E$9, 100%, $G$9) + CHOOSE(CONTROL!$C$38, 0.0354, 0)</f>
        <v>45.049900000000001</v>
      </c>
      <c r="I604" s="14">
        <f>45.0161 * CHOOSE(CONTROL!$C$15, $E$9, 100%, $G$9) + CHOOSE(CONTROL!$C$38, 0.0354, 0)</f>
        <v>45.051500000000004</v>
      </c>
      <c r="J604" s="44">
        <f>381.3318</f>
        <v>381.33179999999999</v>
      </c>
    </row>
    <row r="605" spans="1:10" ht="15.75" x14ac:dyDescent="0.25">
      <c r="A605" s="32">
        <v>59352</v>
      </c>
      <c r="B605" s="14">
        <f>48.2941 * CHOOSE(CONTROL!$C$15, $E$9, 100%, $G$9) + CHOOSE(CONTROL!$C$38, 0.0353, 0)</f>
        <v>48.3294</v>
      </c>
      <c r="C605" s="14">
        <f>45.6581 * CHOOSE(CONTROL!$C$15, $E$9, 100%, $G$9) + CHOOSE(CONTROL!$C$38, 0.0354, 0)</f>
        <v>45.6935</v>
      </c>
      <c r="D605" s="14">
        <f>45.6503 * CHOOSE(CONTROL!$C$15, $E$9, 100%, $G$9) + CHOOSE(CONTROL!$C$38, 0.0354, 0)</f>
        <v>45.685700000000004</v>
      </c>
      <c r="E605" s="14">
        <f>45.6503 * CHOOSE(CONTROL!$C$15, $E$9, 100%, $G$9) + CHOOSE(CONTROL!$C$38, 0.0354, 0)</f>
        <v>45.685700000000004</v>
      </c>
      <c r="F605" s="45">
        <f>48.2941 * CHOOSE(CONTROL!$C$15, $E$9, 100%, $G$9) + CHOOSE(CONTROL!$C$38, 0.0353, 0)</f>
        <v>48.3294</v>
      </c>
      <c r="G605" s="14">
        <f>45.6565 * CHOOSE(CONTROL!$C$15, $E$9, 100%, $G$9) + CHOOSE(CONTROL!$C$38, 0.0354, 0)</f>
        <v>45.691900000000004</v>
      </c>
      <c r="H605" s="14">
        <f>45.6565 * CHOOSE(CONTROL!$C$15, $E$9, 100%, $G$9) + CHOOSE(CONTROL!$C$38, 0.0354, 0)</f>
        <v>45.691900000000004</v>
      </c>
      <c r="I605" s="14">
        <f>45.6581 * CHOOSE(CONTROL!$C$15, $E$9, 100%, $G$9) + CHOOSE(CONTROL!$C$38, 0.0354, 0)</f>
        <v>45.6935</v>
      </c>
      <c r="J605" s="44">
        <f>386.8263</f>
        <v>386.8263</v>
      </c>
    </row>
    <row r="606" spans="1:10" ht="15.75" x14ac:dyDescent="0.25">
      <c r="A606" s="32">
        <v>59383</v>
      </c>
      <c r="B606" s="14">
        <f>48.0712 * CHOOSE(CONTROL!$C$15, $E$9, 100%, $G$9) + CHOOSE(CONTROL!$C$38, 0.0353, 0)</f>
        <v>48.106499999999997</v>
      </c>
      <c r="C606" s="14">
        <f>45.4467 * CHOOSE(CONTROL!$C$15, $E$9, 100%, $G$9) + CHOOSE(CONTROL!$C$38, 0.0354, 0)</f>
        <v>45.482100000000003</v>
      </c>
      <c r="D606" s="14">
        <f>45.4389 * CHOOSE(CONTROL!$C$15, $E$9, 100%, $G$9) + CHOOSE(CONTROL!$C$38, 0.0354, 0)</f>
        <v>45.474299999999999</v>
      </c>
      <c r="E606" s="14">
        <f>45.4389 * CHOOSE(CONTROL!$C$15, $E$9, 100%, $G$9) + CHOOSE(CONTROL!$C$38, 0.0354, 0)</f>
        <v>45.474299999999999</v>
      </c>
      <c r="F606" s="45">
        <f>48.0712 * CHOOSE(CONTROL!$C$15, $E$9, 100%, $G$9) + CHOOSE(CONTROL!$C$38, 0.0353, 0)</f>
        <v>48.106499999999997</v>
      </c>
      <c r="G606" s="14">
        <f>45.4451 * CHOOSE(CONTROL!$C$15, $E$9, 100%, $G$9) + CHOOSE(CONTROL!$C$38, 0.0354, 0)</f>
        <v>45.480499999999999</v>
      </c>
      <c r="H606" s="14">
        <f>45.4451 * CHOOSE(CONTROL!$C$15, $E$9, 100%, $G$9) + CHOOSE(CONTROL!$C$38, 0.0354, 0)</f>
        <v>45.480499999999999</v>
      </c>
      <c r="I606" s="14">
        <f>45.4467 * CHOOSE(CONTROL!$C$15, $E$9, 100%, $G$9) + CHOOSE(CONTROL!$C$38, 0.0354, 0)</f>
        <v>45.482100000000003</v>
      </c>
      <c r="J606" s="44">
        <f>385.0173</f>
        <v>385.01729999999998</v>
      </c>
    </row>
    <row r="607" spans="1:10" ht="15.75" x14ac:dyDescent="0.25">
      <c r="A607" s="32">
        <v>59414</v>
      </c>
      <c r="B607" s="14">
        <f>46.9665 * CHOOSE(CONTROL!$C$15, $E$9, 100%, $G$9) + CHOOSE(CONTROL!$C$38, 0.0353, 0)</f>
        <v>47.001800000000003</v>
      </c>
      <c r="C607" s="14">
        <f>44.3994 * CHOOSE(CONTROL!$C$15, $E$9, 100%, $G$9) + CHOOSE(CONTROL!$C$38, 0.0354, 0)</f>
        <v>44.434800000000003</v>
      </c>
      <c r="D607" s="14">
        <f>44.3916 * CHOOSE(CONTROL!$C$15, $E$9, 100%, $G$9) + CHOOSE(CONTROL!$C$38, 0.0354, 0)</f>
        <v>44.427</v>
      </c>
      <c r="E607" s="14">
        <f>44.3916 * CHOOSE(CONTROL!$C$15, $E$9, 100%, $G$9) + CHOOSE(CONTROL!$C$38, 0.0354, 0)</f>
        <v>44.427</v>
      </c>
      <c r="F607" s="45">
        <f>46.9665 * CHOOSE(CONTROL!$C$15, $E$9, 100%, $G$9) + CHOOSE(CONTROL!$C$38, 0.0353, 0)</f>
        <v>47.001800000000003</v>
      </c>
      <c r="G607" s="14">
        <f>44.3979 * CHOOSE(CONTROL!$C$15, $E$9, 100%, $G$9) + CHOOSE(CONTROL!$C$38, 0.0354, 0)</f>
        <v>44.433300000000003</v>
      </c>
      <c r="H607" s="14">
        <f>44.3979 * CHOOSE(CONTROL!$C$15, $E$9, 100%, $G$9) + CHOOSE(CONTROL!$C$38, 0.0354, 0)</f>
        <v>44.433300000000003</v>
      </c>
      <c r="I607" s="14">
        <f>44.3994 * CHOOSE(CONTROL!$C$15, $E$9, 100%, $G$9) + CHOOSE(CONTROL!$C$38, 0.0354, 0)</f>
        <v>44.434800000000003</v>
      </c>
      <c r="J607" s="44">
        <f>376.0542</f>
        <v>376.05419999999998</v>
      </c>
    </row>
    <row r="608" spans="1:10" ht="15.75" x14ac:dyDescent="0.25">
      <c r="A608" s="32">
        <v>59444</v>
      </c>
      <c r="B608" s="14">
        <f>45.4259 * CHOOSE(CONTROL!$C$15, $E$9, 100%, $G$9) + CHOOSE(CONTROL!$C$38, 0.0353, 0)</f>
        <v>45.461199999999998</v>
      </c>
      <c r="C608" s="14">
        <f>42.939 * CHOOSE(CONTROL!$C$15, $E$9, 100%, $G$9) + CHOOSE(CONTROL!$C$38, 0.0354, 0)</f>
        <v>42.974400000000003</v>
      </c>
      <c r="D608" s="14">
        <f>42.9312 * CHOOSE(CONTROL!$C$15, $E$9, 100%, $G$9) + CHOOSE(CONTROL!$C$38, 0.0354, 0)</f>
        <v>42.9666</v>
      </c>
      <c r="E608" s="14">
        <f>42.9312 * CHOOSE(CONTROL!$C$15, $E$9, 100%, $G$9) + CHOOSE(CONTROL!$C$38, 0.0354, 0)</f>
        <v>42.9666</v>
      </c>
      <c r="F608" s="45">
        <f>45.4259 * CHOOSE(CONTROL!$C$15, $E$9, 100%, $G$9) + CHOOSE(CONTROL!$C$38, 0.0353, 0)</f>
        <v>45.461199999999998</v>
      </c>
      <c r="G608" s="14">
        <f>42.9374 * CHOOSE(CONTROL!$C$15, $E$9, 100%, $G$9) + CHOOSE(CONTROL!$C$38, 0.0354, 0)</f>
        <v>42.972799999999999</v>
      </c>
      <c r="H608" s="14">
        <f>42.9374 * CHOOSE(CONTROL!$C$15, $E$9, 100%, $G$9) + CHOOSE(CONTROL!$C$38, 0.0354, 0)</f>
        <v>42.972799999999999</v>
      </c>
      <c r="I608" s="14">
        <f>42.939 * CHOOSE(CONTROL!$C$15, $E$9, 100%, $G$9) + CHOOSE(CONTROL!$C$38, 0.0354, 0)</f>
        <v>42.974400000000003</v>
      </c>
      <c r="J608" s="44">
        <f>363.5548</f>
        <v>363.5548</v>
      </c>
    </row>
    <row r="609" spans="1:10" ht="15.75" x14ac:dyDescent="0.25">
      <c r="A609" s="32">
        <v>59475</v>
      </c>
      <c r="B609" s="14">
        <f>43.8764 * CHOOSE(CONTROL!$C$15, $E$9, 100%, $G$9) + CHOOSE(CONTROL!$C$38, 0.034, 0)</f>
        <v>43.910399999999996</v>
      </c>
      <c r="C609" s="14">
        <f>41.4701 * CHOOSE(CONTROL!$C$15, $E$9, 100%, $G$9) + CHOOSE(CONTROL!$C$38, 0.0342, 0)</f>
        <v>41.504300000000001</v>
      </c>
      <c r="D609" s="14">
        <f>41.4623 * CHOOSE(CONTROL!$C$15, $E$9, 100%, $G$9) + CHOOSE(CONTROL!$C$38, 0.0342, 0)</f>
        <v>41.496499999999997</v>
      </c>
      <c r="E609" s="14">
        <f>41.4623 * CHOOSE(CONTROL!$C$15, $E$9, 100%, $G$9) + CHOOSE(CONTROL!$C$38, 0.0342, 0)</f>
        <v>41.496499999999997</v>
      </c>
      <c r="F609" s="45">
        <f>43.8764 * CHOOSE(CONTROL!$C$15, $E$9, 100%, $G$9) + CHOOSE(CONTROL!$C$38, 0.034, 0)</f>
        <v>43.910399999999996</v>
      </c>
      <c r="G609" s="14">
        <f>41.4685 * CHOOSE(CONTROL!$C$15, $E$9, 100%, $G$9) + CHOOSE(CONTROL!$C$38, 0.0342, 0)</f>
        <v>41.502699999999997</v>
      </c>
      <c r="H609" s="14">
        <f>41.4685 * CHOOSE(CONTROL!$C$15, $E$9, 100%, $G$9) + CHOOSE(CONTROL!$C$38, 0.0342, 0)</f>
        <v>41.502699999999997</v>
      </c>
      <c r="I609" s="14">
        <f>41.4701 * CHOOSE(CONTROL!$C$15, $E$9, 100%, $G$9) + CHOOSE(CONTROL!$C$38, 0.0342, 0)</f>
        <v>41.504300000000001</v>
      </c>
      <c r="J609" s="44">
        <f>350.9827</f>
        <v>350.98270000000002</v>
      </c>
    </row>
    <row r="610" spans="1:10" ht="15.75" x14ac:dyDescent="0.25">
      <c r="A610" s="32">
        <v>59505</v>
      </c>
      <c r="B610" s="14">
        <f>43.5681 * CHOOSE(CONTROL!$C$15, $E$9, 100%, $G$9) + CHOOSE(CONTROL!$C$38, 0.034, 0)</f>
        <v>43.6021</v>
      </c>
      <c r="C610" s="14">
        <f>41.1779 * CHOOSE(CONTROL!$C$15, $E$9, 100%, $G$9) + CHOOSE(CONTROL!$C$38, 0.0342, 0)</f>
        <v>41.2121</v>
      </c>
      <c r="D610" s="14">
        <f>41.1701 * CHOOSE(CONTROL!$C$15, $E$9, 100%, $G$9) + CHOOSE(CONTROL!$C$38, 0.0342, 0)</f>
        <v>41.204299999999996</v>
      </c>
      <c r="E610" s="14">
        <f>41.1701 * CHOOSE(CONTROL!$C$15, $E$9, 100%, $G$9) + CHOOSE(CONTROL!$C$38, 0.0342, 0)</f>
        <v>41.204299999999996</v>
      </c>
      <c r="F610" s="45">
        <f>43.5681 * CHOOSE(CONTROL!$C$15, $E$9, 100%, $G$9) + CHOOSE(CONTROL!$C$38, 0.034, 0)</f>
        <v>43.6021</v>
      </c>
      <c r="G610" s="14">
        <f>41.1763 * CHOOSE(CONTROL!$C$15, $E$9, 100%, $G$9) + CHOOSE(CONTROL!$C$38, 0.0342, 0)</f>
        <v>41.210499999999996</v>
      </c>
      <c r="H610" s="14">
        <f>41.1763 * CHOOSE(CONTROL!$C$15, $E$9, 100%, $G$9) + CHOOSE(CONTROL!$C$38, 0.0342, 0)</f>
        <v>41.210499999999996</v>
      </c>
      <c r="I610" s="14">
        <f>41.1779 * CHOOSE(CONTROL!$C$15, $E$9, 100%, $G$9) + CHOOSE(CONTROL!$C$38, 0.0342, 0)</f>
        <v>41.2121</v>
      </c>
      <c r="J610" s="44">
        <f>348.4819</f>
        <v>348.4819</v>
      </c>
    </row>
    <row r="611" spans="1:10" ht="15.75" x14ac:dyDescent="0.25">
      <c r="A611" s="32">
        <v>59536</v>
      </c>
      <c r="B611" s="14">
        <f>42.2936 * CHOOSE(CONTROL!$C$15, $E$9, 100%, $G$9) + CHOOSE(CONTROL!$C$38, 0.034, 0)</f>
        <v>42.327599999999997</v>
      </c>
      <c r="C611" s="14">
        <f>39.9696 * CHOOSE(CONTROL!$C$15, $E$9, 100%, $G$9) + CHOOSE(CONTROL!$C$38, 0.0342, 0)</f>
        <v>40.003799999999998</v>
      </c>
      <c r="D611" s="14">
        <f>39.9618 * CHOOSE(CONTROL!$C$15, $E$9, 100%, $G$9) + CHOOSE(CONTROL!$C$38, 0.0342, 0)</f>
        <v>39.995999999999995</v>
      </c>
      <c r="E611" s="14">
        <f>39.9618 * CHOOSE(CONTROL!$C$15, $E$9, 100%, $G$9) + CHOOSE(CONTROL!$C$38, 0.0342, 0)</f>
        <v>39.995999999999995</v>
      </c>
      <c r="F611" s="45">
        <f>42.2936 * CHOOSE(CONTROL!$C$15, $E$9, 100%, $G$9) + CHOOSE(CONTROL!$C$38, 0.034, 0)</f>
        <v>42.327599999999997</v>
      </c>
      <c r="G611" s="14">
        <f>39.968 * CHOOSE(CONTROL!$C$15, $E$9, 100%, $G$9) + CHOOSE(CONTROL!$C$38, 0.0342, 0)</f>
        <v>40.002200000000002</v>
      </c>
      <c r="H611" s="14">
        <f>39.968 * CHOOSE(CONTROL!$C$15, $E$9, 100%, $G$9) + CHOOSE(CONTROL!$C$38, 0.0342, 0)</f>
        <v>40.002200000000002</v>
      </c>
      <c r="I611" s="14">
        <f>39.9696 * CHOOSE(CONTROL!$C$15, $E$9, 100%, $G$9) + CHOOSE(CONTROL!$C$38, 0.0342, 0)</f>
        <v>40.003799999999998</v>
      </c>
      <c r="J611" s="44">
        <f>338.1407</f>
        <v>338.14069999999998</v>
      </c>
    </row>
    <row r="612" spans="1:10" ht="15.75" x14ac:dyDescent="0.25">
      <c r="A612" s="32">
        <v>59567</v>
      </c>
      <c r="B612" s="14">
        <f>41.977 * CHOOSE(CONTROL!$C$15, $E$9, 100%, $G$9) + CHOOSE(CONTROL!$C$38, 0.034, 0)</f>
        <v>42.010999999999996</v>
      </c>
      <c r="C612" s="14">
        <f>39.6695 * CHOOSE(CONTROL!$C$15, $E$9, 100%, $G$9) + CHOOSE(CONTROL!$C$38, 0.0342, 0)</f>
        <v>39.703699999999998</v>
      </c>
      <c r="D612" s="14">
        <f>39.6617 * CHOOSE(CONTROL!$C$15, $E$9, 100%, $G$9) + CHOOSE(CONTROL!$C$38, 0.0342, 0)</f>
        <v>39.695900000000002</v>
      </c>
      <c r="E612" s="14">
        <f>39.6617 * CHOOSE(CONTROL!$C$15, $E$9, 100%, $G$9) + CHOOSE(CONTROL!$C$38, 0.0342, 0)</f>
        <v>39.695900000000002</v>
      </c>
      <c r="F612" s="45">
        <f>41.977 * CHOOSE(CONTROL!$C$15, $E$9, 100%, $G$9) + CHOOSE(CONTROL!$C$38, 0.034, 0)</f>
        <v>42.010999999999996</v>
      </c>
      <c r="G612" s="14">
        <f>39.668 * CHOOSE(CONTROL!$C$15, $E$9, 100%, $G$9) + CHOOSE(CONTROL!$C$38, 0.0342, 0)</f>
        <v>39.702199999999998</v>
      </c>
      <c r="H612" s="14">
        <f>39.668 * CHOOSE(CONTROL!$C$15, $E$9, 100%, $G$9) + CHOOSE(CONTROL!$C$38, 0.0342, 0)</f>
        <v>39.702199999999998</v>
      </c>
      <c r="I612" s="14">
        <f>39.6695 * CHOOSE(CONTROL!$C$15, $E$9, 100%, $G$9) + CHOOSE(CONTROL!$C$38, 0.0342, 0)</f>
        <v>39.703699999999998</v>
      </c>
      <c r="J612" s="44">
        <f>337.8965</f>
        <v>337.8965</v>
      </c>
    </row>
    <row r="613" spans="1:10" ht="15.75" x14ac:dyDescent="0.25">
      <c r="A613" s="32">
        <v>59595</v>
      </c>
      <c r="B613" s="14">
        <f>41.8621 * CHOOSE(CONTROL!$C$15, $E$9, 100%, $G$9) + CHOOSE(CONTROL!$C$38, 0.034, 0)</f>
        <v>41.896099999999997</v>
      </c>
      <c r="C613" s="14">
        <f>39.5605 * CHOOSE(CONTROL!$C$15, $E$9, 100%, $G$9) + CHOOSE(CONTROL!$C$38, 0.0342, 0)</f>
        <v>39.594699999999996</v>
      </c>
      <c r="D613" s="14">
        <f>39.5527 * CHOOSE(CONTROL!$C$15, $E$9, 100%, $G$9) + CHOOSE(CONTROL!$C$38, 0.0342, 0)</f>
        <v>39.5869</v>
      </c>
      <c r="E613" s="14">
        <f>39.5527 * CHOOSE(CONTROL!$C$15, $E$9, 100%, $G$9) + CHOOSE(CONTROL!$C$38, 0.0342, 0)</f>
        <v>39.5869</v>
      </c>
      <c r="F613" s="45">
        <f>41.8621 * CHOOSE(CONTROL!$C$15, $E$9, 100%, $G$9) + CHOOSE(CONTROL!$C$38, 0.034, 0)</f>
        <v>41.896099999999997</v>
      </c>
      <c r="G613" s="14">
        <f>39.559 * CHOOSE(CONTROL!$C$15, $E$9, 100%, $G$9) + CHOOSE(CONTROL!$C$38, 0.0342, 0)</f>
        <v>39.593199999999996</v>
      </c>
      <c r="H613" s="14">
        <f>39.559 * CHOOSE(CONTROL!$C$15, $E$9, 100%, $G$9) + CHOOSE(CONTROL!$C$38, 0.0342, 0)</f>
        <v>39.593199999999996</v>
      </c>
      <c r="I613" s="14">
        <f>39.5605 * CHOOSE(CONTROL!$C$15, $E$9, 100%, $G$9) + CHOOSE(CONTROL!$C$38, 0.0342, 0)</f>
        <v>39.594699999999996</v>
      </c>
      <c r="J613" s="44">
        <f>336.9573</f>
        <v>336.95729999999998</v>
      </c>
    </row>
    <row r="614" spans="1:10" ht="15.75" x14ac:dyDescent="0.25">
      <c r="A614" s="32">
        <v>59626</v>
      </c>
      <c r="B614" s="14">
        <f>44.0359 * CHOOSE(CONTROL!$C$15, $E$9, 100%, $G$9) + CHOOSE(CONTROL!$C$38, 0.034, 0)</f>
        <v>44.069899999999997</v>
      </c>
      <c r="C614" s="14">
        <f>41.6213 * CHOOSE(CONTROL!$C$15, $E$9, 100%, $G$9) + CHOOSE(CONTROL!$C$38, 0.0342, 0)</f>
        <v>41.655499999999996</v>
      </c>
      <c r="D614" s="14">
        <f>41.6135 * CHOOSE(CONTROL!$C$15, $E$9, 100%, $G$9) + CHOOSE(CONTROL!$C$38, 0.0342, 0)</f>
        <v>41.6477</v>
      </c>
      <c r="E614" s="14">
        <f>41.6135 * CHOOSE(CONTROL!$C$15, $E$9, 100%, $G$9) + CHOOSE(CONTROL!$C$38, 0.0342, 0)</f>
        <v>41.6477</v>
      </c>
      <c r="F614" s="45">
        <f>44.0359 * CHOOSE(CONTROL!$C$15, $E$9, 100%, $G$9) + CHOOSE(CONTROL!$C$38, 0.034, 0)</f>
        <v>44.069899999999997</v>
      </c>
      <c r="G614" s="14">
        <f>41.6198 * CHOOSE(CONTROL!$C$15, $E$9, 100%, $G$9) + CHOOSE(CONTROL!$C$38, 0.0342, 0)</f>
        <v>41.653999999999996</v>
      </c>
      <c r="H614" s="14">
        <f>41.6198 * CHOOSE(CONTROL!$C$15, $E$9, 100%, $G$9) + CHOOSE(CONTROL!$C$38, 0.0342, 0)</f>
        <v>41.653999999999996</v>
      </c>
      <c r="I614" s="14">
        <f>41.6213 * CHOOSE(CONTROL!$C$15, $E$9, 100%, $G$9) + CHOOSE(CONTROL!$C$38, 0.0342, 0)</f>
        <v>41.655499999999996</v>
      </c>
      <c r="J614" s="44">
        <f>354.7169</f>
        <v>354.71690000000001</v>
      </c>
    </row>
    <row r="615" spans="1:10" ht="15.75" x14ac:dyDescent="0.25">
      <c r="A615" s="32">
        <v>59656</v>
      </c>
      <c r="B615" s="14">
        <f>46.8549 * CHOOSE(CONTROL!$C$15, $E$9, 100%, $G$9) + CHOOSE(CONTROL!$C$38, 0.034, 0)</f>
        <v>46.8889</v>
      </c>
      <c r="C615" s="14">
        <f>44.2937 * CHOOSE(CONTROL!$C$15, $E$9, 100%, $G$9) + CHOOSE(CONTROL!$C$38, 0.0342, 0)</f>
        <v>44.3279</v>
      </c>
      <c r="D615" s="14">
        <f>44.2858 * CHOOSE(CONTROL!$C$15, $E$9, 100%, $G$9) + CHOOSE(CONTROL!$C$38, 0.0342, 0)</f>
        <v>44.32</v>
      </c>
      <c r="E615" s="14">
        <f>44.2858 * CHOOSE(CONTROL!$C$15, $E$9, 100%, $G$9) + CHOOSE(CONTROL!$C$38, 0.0342, 0)</f>
        <v>44.32</v>
      </c>
      <c r="F615" s="45">
        <f>46.8549 * CHOOSE(CONTROL!$C$15, $E$9, 100%, $G$9) + CHOOSE(CONTROL!$C$38, 0.034, 0)</f>
        <v>46.8889</v>
      </c>
      <c r="G615" s="14">
        <f>44.2921 * CHOOSE(CONTROL!$C$15, $E$9, 100%, $G$9) + CHOOSE(CONTROL!$C$38, 0.0342, 0)</f>
        <v>44.326299999999996</v>
      </c>
      <c r="H615" s="14">
        <f>44.2921 * CHOOSE(CONTROL!$C$15, $E$9, 100%, $G$9) + CHOOSE(CONTROL!$C$38, 0.0342, 0)</f>
        <v>44.326299999999996</v>
      </c>
      <c r="I615" s="14">
        <f>44.2937 * CHOOSE(CONTROL!$C$15, $E$9, 100%, $G$9) + CHOOSE(CONTROL!$C$38, 0.0342, 0)</f>
        <v>44.3279</v>
      </c>
      <c r="J615" s="44">
        <f>377.7468</f>
        <v>377.74680000000001</v>
      </c>
    </row>
    <row r="616" spans="1:10" ht="15.75" x14ac:dyDescent="0.25">
      <c r="A616" s="32">
        <v>59687</v>
      </c>
      <c r="B616" s="14">
        <f>48.4065 * CHOOSE(CONTROL!$C$15, $E$9, 100%, $G$9) + CHOOSE(CONTROL!$C$38, 0.0353, 0)</f>
        <v>48.441800000000001</v>
      </c>
      <c r="C616" s="14">
        <f>45.7646 * CHOOSE(CONTROL!$C$15, $E$9, 100%, $G$9) + CHOOSE(CONTROL!$C$38, 0.0354, 0)</f>
        <v>45.800000000000004</v>
      </c>
      <c r="D616" s="14">
        <f>45.7568 * CHOOSE(CONTROL!$C$15, $E$9, 100%, $G$9) + CHOOSE(CONTROL!$C$38, 0.0354, 0)</f>
        <v>45.792200000000001</v>
      </c>
      <c r="E616" s="14">
        <f>45.7568 * CHOOSE(CONTROL!$C$15, $E$9, 100%, $G$9) + CHOOSE(CONTROL!$C$38, 0.0354, 0)</f>
        <v>45.792200000000001</v>
      </c>
      <c r="F616" s="45">
        <f>48.4065 * CHOOSE(CONTROL!$C$15, $E$9, 100%, $G$9) + CHOOSE(CONTROL!$C$38, 0.0353, 0)</f>
        <v>48.441800000000001</v>
      </c>
      <c r="G616" s="14">
        <f>45.763 * CHOOSE(CONTROL!$C$15, $E$9, 100%, $G$9) + CHOOSE(CONTROL!$C$38, 0.0354, 0)</f>
        <v>45.798400000000001</v>
      </c>
      <c r="H616" s="14">
        <f>45.763 * CHOOSE(CONTROL!$C$15, $E$9, 100%, $G$9) + CHOOSE(CONTROL!$C$38, 0.0354, 0)</f>
        <v>45.798400000000001</v>
      </c>
      <c r="I616" s="14">
        <f>45.7646 * CHOOSE(CONTROL!$C$15, $E$9, 100%, $G$9) + CHOOSE(CONTROL!$C$38, 0.0354, 0)</f>
        <v>45.800000000000004</v>
      </c>
      <c r="J616" s="44">
        <f>390.4233</f>
        <v>390.42329999999998</v>
      </c>
    </row>
    <row r="617" spans="1:10" ht="15.75" x14ac:dyDescent="0.25">
      <c r="A617" s="32">
        <v>59717</v>
      </c>
      <c r="B617" s="14">
        <f>49.0951 * CHOOSE(CONTROL!$C$15, $E$9, 100%, $G$9) + CHOOSE(CONTROL!$C$38, 0.0353, 0)</f>
        <v>49.130400000000002</v>
      </c>
      <c r="C617" s="14">
        <f>46.4174 * CHOOSE(CONTROL!$C$15, $E$9, 100%, $G$9) + CHOOSE(CONTROL!$C$38, 0.0354, 0)</f>
        <v>46.452800000000003</v>
      </c>
      <c r="D617" s="14">
        <f>46.4096 * CHOOSE(CONTROL!$C$15, $E$9, 100%, $G$9) + CHOOSE(CONTROL!$C$38, 0.0354, 0)</f>
        <v>46.445</v>
      </c>
      <c r="E617" s="14">
        <f>46.4096 * CHOOSE(CONTROL!$C$15, $E$9, 100%, $G$9) + CHOOSE(CONTROL!$C$38, 0.0354, 0)</f>
        <v>46.445</v>
      </c>
      <c r="F617" s="45">
        <f>49.0951 * CHOOSE(CONTROL!$C$15, $E$9, 100%, $G$9) + CHOOSE(CONTROL!$C$38, 0.0353, 0)</f>
        <v>49.130400000000002</v>
      </c>
      <c r="G617" s="14">
        <f>46.4158 * CHOOSE(CONTROL!$C$15, $E$9, 100%, $G$9) + CHOOSE(CONTROL!$C$38, 0.0354, 0)</f>
        <v>46.4512</v>
      </c>
      <c r="H617" s="14">
        <f>46.4158 * CHOOSE(CONTROL!$C$15, $E$9, 100%, $G$9) + CHOOSE(CONTROL!$C$38, 0.0354, 0)</f>
        <v>46.4512</v>
      </c>
      <c r="I617" s="14">
        <f>46.4174 * CHOOSE(CONTROL!$C$15, $E$9, 100%, $G$9) + CHOOSE(CONTROL!$C$38, 0.0354, 0)</f>
        <v>46.452800000000003</v>
      </c>
      <c r="J617" s="44">
        <f>396.0489</f>
        <v>396.0489</v>
      </c>
    </row>
    <row r="618" spans="1:10" ht="15.75" x14ac:dyDescent="0.25">
      <c r="A618" s="32">
        <v>59748</v>
      </c>
      <c r="B618" s="14">
        <f>48.8684 * CHOOSE(CONTROL!$C$15, $E$9, 100%, $G$9) + CHOOSE(CONTROL!$C$38, 0.0353, 0)</f>
        <v>48.903700000000001</v>
      </c>
      <c r="C618" s="14">
        <f>46.2024 * CHOOSE(CONTROL!$C$15, $E$9, 100%, $G$9) + CHOOSE(CONTROL!$C$38, 0.0354, 0)</f>
        <v>46.2378</v>
      </c>
      <c r="D618" s="14">
        <f>46.1946 * CHOOSE(CONTROL!$C$15, $E$9, 100%, $G$9) + CHOOSE(CONTROL!$C$38, 0.0354, 0)</f>
        <v>46.230000000000004</v>
      </c>
      <c r="E618" s="14">
        <f>46.1946 * CHOOSE(CONTROL!$C$15, $E$9, 100%, $G$9) + CHOOSE(CONTROL!$C$38, 0.0354, 0)</f>
        <v>46.230000000000004</v>
      </c>
      <c r="F618" s="45">
        <f>48.8684 * CHOOSE(CONTROL!$C$15, $E$9, 100%, $G$9) + CHOOSE(CONTROL!$C$38, 0.0353, 0)</f>
        <v>48.903700000000001</v>
      </c>
      <c r="G618" s="14">
        <f>46.2009 * CHOOSE(CONTROL!$C$15, $E$9, 100%, $G$9) + CHOOSE(CONTROL!$C$38, 0.0354, 0)</f>
        <v>46.2363</v>
      </c>
      <c r="H618" s="14">
        <f>46.2009 * CHOOSE(CONTROL!$C$15, $E$9, 100%, $G$9) + CHOOSE(CONTROL!$C$38, 0.0354, 0)</f>
        <v>46.2363</v>
      </c>
      <c r="I618" s="14">
        <f>46.2024 * CHOOSE(CONTROL!$C$15, $E$9, 100%, $G$9) + CHOOSE(CONTROL!$C$38, 0.0354, 0)</f>
        <v>46.2378</v>
      </c>
      <c r="J618" s="44">
        <f>394.1967</f>
        <v>394.19670000000002</v>
      </c>
    </row>
    <row r="619" spans="1:10" ht="15.75" x14ac:dyDescent="0.25">
      <c r="A619" s="32">
        <v>59779</v>
      </c>
      <c r="B619" s="14">
        <f>47.7451 * CHOOSE(CONTROL!$C$15, $E$9, 100%, $G$9) + CHOOSE(CONTROL!$C$38, 0.0353, 0)</f>
        <v>47.7804</v>
      </c>
      <c r="C619" s="14">
        <f>45.1376 * CHOOSE(CONTROL!$C$15, $E$9, 100%, $G$9) + CHOOSE(CONTROL!$C$38, 0.0354, 0)</f>
        <v>45.173000000000002</v>
      </c>
      <c r="D619" s="14">
        <f>45.1298 * CHOOSE(CONTROL!$C$15, $E$9, 100%, $G$9) + CHOOSE(CONTROL!$C$38, 0.0354, 0)</f>
        <v>45.165200000000006</v>
      </c>
      <c r="E619" s="14">
        <f>45.1298 * CHOOSE(CONTROL!$C$15, $E$9, 100%, $G$9) + CHOOSE(CONTROL!$C$38, 0.0354, 0)</f>
        <v>45.165200000000006</v>
      </c>
      <c r="F619" s="45">
        <f>47.7451 * CHOOSE(CONTROL!$C$15, $E$9, 100%, $G$9) + CHOOSE(CONTROL!$C$38, 0.0353, 0)</f>
        <v>47.7804</v>
      </c>
      <c r="G619" s="14">
        <f>45.136 * CHOOSE(CONTROL!$C$15, $E$9, 100%, $G$9) + CHOOSE(CONTROL!$C$38, 0.0354, 0)</f>
        <v>45.171400000000006</v>
      </c>
      <c r="H619" s="14">
        <f>45.136 * CHOOSE(CONTROL!$C$15, $E$9, 100%, $G$9) + CHOOSE(CONTROL!$C$38, 0.0354, 0)</f>
        <v>45.171400000000006</v>
      </c>
      <c r="I619" s="14">
        <f>45.1376 * CHOOSE(CONTROL!$C$15, $E$9, 100%, $G$9) + CHOOSE(CONTROL!$C$38, 0.0354, 0)</f>
        <v>45.173000000000002</v>
      </c>
      <c r="J619" s="44">
        <f>385.0199</f>
        <v>385.01990000000001</v>
      </c>
    </row>
    <row r="620" spans="1:10" ht="15.75" x14ac:dyDescent="0.25">
      <c r="A620" s="32">
        <v>59809</v>
      </c>
      <c r="B620" s="14">
        <f>46.1787 * CHOOSE(CONTROL!$C$15, $E$9, 100%, $G$9) + CHOOSE(CONTROL!$C$38, 0.0353, 0)</f>
        <v>46.213999999999999</v>
      </c>
      <c r="C620" s="14">
        <f>43.6526 * CHOOSE(CONTROL!$C$15, $E$9, 100%, $G$9) + CHOOSE(CONTROL!$C$38, 0.0354, 0)</f>
        <v>43.688000000000002</v>
      </c>
      <c r="D620" s="14">
        <f>43.6448 * CHOOSE(CONTROL!$C$15, $E$9, 100%, $G$9) + CHOOSE(CONTROL!$C$38, 0.0354, 0)</f>
        <v>43.680199999999999</v>
      </c>
      <c r="E620" s="14">
        <f>43.6448 * CHOOSE(CONTROL!$C$15, $E$9, 100%, $G$9) + CHOOSE(CONTROL!$C$38, 0.0354, 0)</f>
        <v>43.680199999999999</v>
      </c>
      <c r="F620" s="45">
        <f>46.1787 * CHOOSE(CONTROL!$C$15, $E$9, 100%, $G$9) + CHOOSE(CONTROL!$C$38, 0.0353, 0)</f>
        <v>46.213999999999999</v>
      </c>
      <c r="G620" s="14">
        <f>43.6511 * CHOOSE(CONTROL!$C$15, $E$9, 100%, $G$9) + CHOOSE(CONTROL!$C$38, 0.0354, 0)</f>
        <v>43.686500000000002</v>
      </c>
      <c r="H620" s="14">
        <f>43.6511 * CHOOSE(CONTROL!$C$15, $E$9, 100%, $G$9) + CHOOSE(CONTROL!$C$38, 0.0354, 0)</f>
        <v>43.686500000000002</v>
      </c>
      <c r="I620" s="14">
        <f>43.6526 * CHOOSE(CONTROL!$C$15, $E$9, 100%, $G$9) + CHOOSE(CONTROL!$C$38, 0.0354, 0)</f>
        <v>43.688000000000002</v>
      </c>
      <c r="J620" s="44">
        <f>372.2225</f>
        <v>372.22250000000003</v>
      </c>
    </row>
    <row r="621" spans="1:10" ht="15.75" x14ac:dyDescent="0.25">
      <c r="A621" s="32">
        <v>59840</v>
      </c>
      <c r="B621" s="14">
        <f>44.6031 * CHOOSE(CONTROL!$C$15, $E$9, 100%, $G$9) + CHOOSE(CONTROL!$C$38, 0.034, 0)</f>
        <v>44.637099999999997</v>
      </c>
      <c r="C621" s="14">
        <f>42.159 * CHOOSE(CONTROL!$C$15, $E$9, 100%, $G$9) + CHOOSE(CONTROL!$C$38, 0.0342, 0)</f>
        <v>42.193199999999997</v>
      </c>
      <c r="D621" s="14">
        <f>42.1512 * CHOOSE(CONTROL!$C$15, $E$9, 100%, $G$9) + CHOOSE(CONTROL!$C$38, 0.0342, 0)</f>
        <v>42.185400000000001</v>
      </c>
      <c r="E621" s="14">
        <f>42.1512 * CHOOSE(CONTROL!$C$15, $E$9, 100%, $G$9) + CHOOSE(CONTROL!$C$38, 0.0342, 0)</f>
        <v>42.185400000000001</v>
      </c>
      <c r="F621" s="45">
        <f>44.6031 * CHOOSE(CONTROL!$C$15, $E$9, 100%, $G$9) + CHOOSE(CONTROL!$C$38, 0.034, 0)</f>
        <v>44.637099999999997</v>
      </c>
      <c r="G621" s="14">
        <f>42.1575 * CHOOSE(CONTROL!$C$15, $E$9, 100%, $G$9) + CHOOSE(CONTROL!$C$38, 0.0342, 0)</f>
        <v>42.191699999999997</v>
      </c>
      <c r="H621" s="14">
        <f>42.1575 * CHOOSE(CONTROL!$C$15, $E$9, 100%, $G$9) + CHOOSE(CONTROL!$C$38, 0.0342, 0)</f>
        <v>42.191699999999997</v>
      </c>
      <c r="I621" s="14">
        <f>42.159 * CHOOSE(CONTROL!$C$15, $E$9, 100%, $G$9) + CHOOSE(CONTROL!$C$38, 0.0342, 0)</f>
        <v>42.193199999999997</v>
      </c>
      <c r="J621" s="44">
        <f>359.3507</f>
        <v>359.35070000000002</v>
      </c>
    </row>
    <row r="622" spans="1:10" ht="15.75" x14ac:dyDescent="0.25">
      <c r="A622" s="32">
        <v>59870</v>
      </c>
      <c r="B622" s="14">
        <f>44.2897 * CHOOSE(CONTROL!$C$15, $E$9, 100%, $G$9) + CHOOSE(CONTROL!$C$38, 0.034, 0)</f>
        <v>44.323700000000002</v>
      </c>
      <c r="C622" s="14">
        <f>41.8619 * CHOOSE(CONTROL!$C$15, $E$9, 100%, $G$9) + CHOOSE(CONTROL!$C$38, 0.0342, 0)</f>
        <v>41.896099999999997</v>
      </c>
      <c r="D622" s="14">
        <f>41.8541 * CHOOSE(CONTROL!$C$15, $E$9, 100%, $G$9) + CHOOSE(CONTROL!$C$38, 0.0342, 0)</f>
        <v>41.888300000000001</v>
      </c>
      <c r="E622" s="14">
        <f>41.8541 * CHOOSE(CONTROL!$C$15, $E$9, 100%, $G$9) + CHOOSE(CONTROL!$C$38, 0.0342, 0)</f>
        <v>41.888300000000001</v>
      </c>
      <c r="F622" s="45">
        <f>44.2897 * CHOOSE(CONTROL!$C$15, $E$9, 100%, $G$9) + CHOOSE(CONTROL!$C$38, 0.034, 0)</f>
        <v>44.323700000000002</v>
      </c>
      <c r="G622" s="14">
        <f>41.8603 * CHOOSE(CONTROL!$C$15, $E$9, 100%, $G$9) + CHOOSE(CONTROL!$C$38, 0.0342, 0)</f>
        <v>41.894500000000001</v>
      </c>
      <c r="H622" s="14">
        <f>41.8603 * CHOOSE(CONTROL!$C$15, $E$9, 100%, $G$9) + CHOOSE(CONTROL!$C$38, 0.0342, 0)</f>
        <v>41.894500000000001</v>
      </c>
      <c r="I622" s="14">
        <f>41.8619 * CHOOSE(CONTROL!$C$15, $E$9, 100%, $G$9) + CHOOSE(CONTROL!$C$38, 0.0342, 0)</f>
        <v>41.896099999999997</v>
      </c>
      <c r="J622" s="44">
        <f>356.7902</f>
        <v>356.79020000000003</v>
      </c>
    </row>
    <row r="623" spans="1:10" ht="15.75" x14ac:dyDescent="0.25">
      <c r="A623" s="32">
        <v>59901</v>
      </c>
      <c r="B623" s="14">
        <f>42.9937 * CHOOSE(CONTROL!$C$15, $E$9, 100%, $G$9) + CHOOSE(CONTROL!$C$38, 0.034, 0)</f>
        <v>43.027699999999996</v>
      </c>
      <c r="C623" s="14">
        <f>40.6333 * CHOOSE(CONTROL!$C$15, $E$9, 100%, $G$9) + CHOOSE(CONTROL!$C$38, 0.0342, 0)</f>
        <v>40.667499999999997</v>
      </c>
      <c r="D623" s="14">
        <f>40.6255 * CHOOSE(CONTROL!$C$15, $E$9, 100%, $G$9) + CHOOSE(CONTROL!$C$38, 0.0342, 0)</f>
        <v>40.659700000000001</v>
      </c>
      <c r="E623" s="14">
        <f>40.6255 * CHOOSE(CONTROL!$C$15, $E$9, 100%, $G$9) + CHOOSE(CONTROL!$C$38, 0.0342, 0)</f>
        <v>40.659700000000001</v>
      </c>
      <c r="F623" s="45">
        <f>42.9937 * CHOOSE(CONTROL!$C$15, $E$9, 100%, $G$9) + CHOOSE(CONTROL!$C$38, 0.034, 0)</f>
        <v>43.027699999999996</v>
      </c>
      <c r="G623" s="14">
        <f>40.6318 * CHOOSE(CONTROL!$C$15, $E$9, 100%, $G$9) + CHOOSE(CONTROL!$C$38, 0.0342, 0)</f>
        <v>40.665999999999997</v>
      </c>
      <c r="H623" s="14">
        <f>40.6318 * CHOOSE(CONTROL!$C$15, $E$9, 100%, $G$9) + CHOOSE(CONTROL!$C$38, 0.0342, 0)</f>
        <v>40.665999999999997</v>
      </c>
      <c r="I623" s="14">
        <f>40.6333 * CHOOSE(CONTROL!$C$15, $E$9, 100%, $G$9) + CHOOSE(CONTROL!$C$38, 0.0342, 0)</f>
        <v>40.667499999999997</v>
      </c>
      <c r="J623" s="44">
        <f>346.2024</f>
        <v>346.20240000000001</v>
      </c>
    </row>
    <row r="624" spans="1:10" ht="15.75" x14ac:dyDescent="0.25">
      <c r="A624" s="32">
        <v>59932</v>
      </c>
      <c r="B624" s="14">
        <f>42.6719 * CHOOSE(CONTROL!$C$15, $E$9, 100%, $G$9) + CHOOSE(CONTROL!$C$38, 0.034, 0)</f>
        <v>42.7059</v>
      </c>
      <c r="C624" s="14">
        <f>40.3282 * CHOOSE(CONTROL!$C$15, $E$9, 100%, $G$9) + CHOOSE(CONTROL!$C$38, 0.0342, 0)</f>
        <v>40.362400000000001</v>
      </c>
      <c r="D624" s="14">
        <f>40.3204 * CHOOSE(CONTROL!$C$15, $E$9, 100%, $G$9) + CHOOSE(CONTROL!$C$38, 0.0342, 0)</f>
        <v>40.354599999999998</v>
      </c>
      <c r="E624" s="14">
        <f>40.3204 * CHOOSE(CONTROL!$C$15, $E$9, 100%, $G$9) + CHOOSE(CONTROL!$C$38, 0.0342, 0)</f>
        <v>40.354599999999998</v>
      </c>
      <c r="F624" s="45">
        <f>42.6719 * CHOOSE(CONTROL!$C$15, $E$9, 100%, $G$9) + CHOOSE(CONTROL!$C$38, 0.034, 0)</f>
        <v>42.7059</v>
      </c>
      <c r="G624" s="14">
        <f>40.3267 * CHOOSE(CONTROL!$C$15, $E$9, 100%, $G$9) + CHOOSE(CONTROL!$C$38, 0.0342, 0)</f>
        <v>40.360900000000001</v>
      </c>
      <c r="H624" s="14">
        <f>40.3267 * CHOOSE(CONTROL!$C$15, $E$9, 100%, $G$9) + CHOOSE(CONTROL!$C$38, 0.0342, 0)</f>
        <v>40.360900000000001</v>
      </c>
      <c r="I624" s="14">
        <f>40.3282 * CHOOSE(CONTROL!$C$15, $E$9, 100%, $G$9) + CHOOSE(CONTROL!$C$38, 0.0342, 0)</f>
        <v>40.362400000000001</v>
      </c>
      <c r="J624" s="44">
        <f>345.9525</f>
        <v>345.95249999999999</v>
      </c>
    </row>
    <row r="625" spans="1:10" ht="15.75" x14ac:dyDescent="0.25">
      <c r="A625" s="32">
        <v>59961</v>
      </c>
      <c r="B625" s="14">
        <f>42.555 * CHOOSE(CONTROL!$C$15, $E$9, 100%, $G$9) + CHOOSE(CONTROL!$C$38, 0.034, 0)</f>
        <v>42.588999999999999</v>
      </c>
      <c r="C625" s="14">
        <f>40.2174 * CHOOSE(CONTROL!$C$15, $E$9, 100%, $G$9) + CHOOSE(CONTROL!$C$38, 0.0342, 0)</f>
        <v>40.251599999999996</v>
      </c>
      <c r="D625" s="14">
        <f>40.2096 * CHOOSE(CONTROL!$C$15, $E$9, 100%, $G$9) + CHOOSE(CONTROL!$C$38, 0.0342, 0)</f>
        <v>40.2438</v>
      </c>
      <c r="E625" s="14">
        <f>40.2096 * CHOOSE(CONTROL!$C$15, $E$9, 100%, $G$9) + CHOOSE(CONTROL!$C$38, 0.0342, 0)</f>
        <v>40.2438</v>
      </c>
      <c r="F625" s="45">
        <f>42.555 * CHOOSE(CONTROL!$C$15, $E$9, 100%, $G$9) + CHOOSE(CONTROL!$C$38, 0.034, 0)</f>
        <v>42.588999999999999</v>
      </c>
      <c r="G625" s="14">
        <f>40.2158 * CHOOSE(CONTROL!$C$15, $E$9, 100%, $G$9) + CHOOSE(CONTROL!$C$38, 0.0342, 0)</f>
        <v>40.25</v>
      </c>
      <c r="H625" s="14">
        <f>40.2158 * CHOOSE(CONTROL!$C$15, $E$9, 100%, $G$9) + CHOOSE(CONTROL!$C$38, 0.0342, 0)</f>
        <v>40.25</v>
      </c>
      <c r="I625" s="14">
        <f>40.2174 * CHOOSE(CONTROL!$C$15, $E$9, 100%, $G$9) + CHOOSE(CONTROL!$C$38, 0.0342, 0)</f>
        <v>40.251599999999996</v>
      </c>
      <c r="J625" s="44">
        <f>344.9909</f>
        <v>344.99090000000001</v>
      </c>
    </row>
    <row r="626" spans="1:10" ht="15.75" x14ac:dyDescent="0.25">
      <c r="A626" s="32">
        <v>59992</v>
      </c>
      <c r="B626" s="14">
        <f>44.7653 * CHOOSE(CONTROL!$C$15, $E$9, 100%, $G$9) + CHOOSE(CONTROL!$C$38, 0.034, 0)</f>
        <v>44.799300000000002</v>
      </c>
      <c r="C626" s="14">
        <f>42.3128 * CHOOSE(CONTROL!$C$15, $E$9, 100%, $G$9) + CHOOSE(CONTROL!$C$38, 0.0342, 0)</f>
        <v>42.347000000000001</v>
      </c>
      <c r="D626" s="14">
        <f>42.305 * CHOOSE(CONTROL!$C$15, $E$9, 100%, $G$9) + CHOOSE(CONTROL!$C$38, 0.0342, 0)</f>
        <v>42.339199999999998</v>
      </c>
      <c r="E626" s="14">
        <f>42.305 * CHOOSE(CONTROL!$C$15, $E$9, 100%, $G$9) + CHOOSE(CONTROL!$C$38, 0.0342, 0)</f>
        <v>42.339199999999998</v>
      </c>
      <c r="F626" s="45">
        <f>44.7653 * CHOOSE(CONTROL!$C$15, $E$9, 100%, $G$9) + CHOOSE(CONTROL!$C$38, 0.034, 0)</f>
        <v>44.799300000000002</v>
      </c>
      <c r="G626" s="14">
        <f>42.3112 * CHOOSE(CONTROL!$C$15, $E$9, 100%, $G$9) + CHOOSE(CONTROL!$C$38, 0.0342, 0)</f>
        <v>42.345399999999998</v>
      </c>
      <c r="H626" s="14">
        <f>42.3112 * CHOOSE(CONTROL!$C$15, $E$9, 100%, $G$9) + CHOOSE(CONTROL!$C$38, 0.0342, 0)</f>
        <v>42.345399999999998</v>
      </c>
      <c r="I626" s="14">
        <f>42.3128 * CHOOSE(CONTROL!$C$15, $E$9, 100%, $G$9) + CHOOSE(CONTROL!$C$38, 0.0342, 0)</f>
        <v>42.347000000000001</v>
      </c>
      <c r="J626" s="44">
        <f>363.1739</f>
        <v>363.1739</v>
      </c>
    </row>
    <row r="627" spans="1:10" ht="15.75" x14ac:dyDescent="0.25">
      <c r="A627" s="32">
        <v>60022</v>
      </c>
      <c r="B627" s="14">
        <f>47.6317 * CHOOSE(CONTROL!$C$15, $E$9, 100%, $G$9) + CHOOSE(CONTROL!$C$38, 0.034, 0)</f>
        <v>47.665700000000001</v>
      </c>
      <c r="C627" s="14">
        <f>45.03 * CHOOSE(CONTROL!$C$15, $E$9, 100%, $G$9) + CHOOSE(CONTROL!$C$38, 0.0342, 0)</f>
        <v>45.0642</v>
      </c>
      <c r="D627" s="14">
        <f>45.0222 * CHOOSE(CONTROL!$C$15, $E$9, 100%, $G$9) + CHOOSE(CONTROL!$C$38, 0.0342, 0)</f>
        <v>45.056399999999996</v>
      </c>
      <c r="E627" s="14">
        <f>45.0222 * CHOOSE(CONTROL!$C$15, $E$9, 100%, $G$9) + CHOOSE(CONTROL!$C$38, 0.0342, 0)</f>
        <v>45.056399999999996</v>
      </c>
      <c r="F627" s="45">
        <f>47.6317 * CHOOSE(CONTROL!$C$15, $E$9, 100%, $G$9) + CHOOSE(CONTROL!$C$38, 0.034, 0)</f>
        <v>47.665700000000001</v>
      </c>
      <c r="G627" s="14">
        <f>45.0285 * CHOOSE(CONTROL!$C$15, $E$9, 100%, $G$9) + CHOOSE(CONTROL!$C$38, 0.0342, 0)</f>
        <v>45.0627</v>
      </c>
      <c r="H627" s="14">
        <f>45.0285 * CHOOSE(CONTROL!$C$15, $E$9, 100%, $G$9) + CHOOSE(CONTROL!$C$38, 0.0342, 0)</f>
        <v>45.0627</v>
      </c>
      <c r="I627" s="14">
        <f>45.03 * CHOOSE(CONTROL!$C$15, $E$9, 100%, $G$9) + CHOOSE(CONTROL!$C$38, 0.0342, 0)</f>
        <v>45.0642</v>
      </c>
      <c r="J627" s="44">
        <f>386.7529</f>
        <v>386.75290000000001</v>
      </c>
    </row>
    <row r="628" spans="1:10" ht="15.75" x14ac:dyDescent="0.25">
      <c r="A628" s="32">
        <v>60053</v>
      </c>
      <c r="B628" s="14">
        <f>49.2094 * CHOOSE(CONTROL!$C$15, $E$9, 100%, $G$9) + CHOOSE(CONTROL!$C$38, 0.0353, 0)</f>
        <v>49.244700000000002</v>
      </c>
      <c r="C628" s="14">
        <f>46.5257 * CHOOSE(CONTROL!$C$15, $E$9, 100%, $G$9) + CHOOSE(CONTROL!$C$38, 0.0354, 0)</f>
        <v>46.561100000000003</v>
      </c>
      <c r="D628" s="14">
        <f>46.5179 * CHOOSE(CONTROL!$C$15, $E$9, 100%, $G$9) + CHOOSE(CONTROL!$C$38, 0.0354, 0)</f>
        <v>46.5533</v>
      </c>
      <c r="E628" s="14">
        <f>46.5179 * CHOOSE(CONTROL!$C$15, $E$9, 100%, $G$9) + CHOOSE(CONTROL!$C$38, 0.0354, 0)</f>
        <v>46.5533</v>
      </c>
      <c r="F628" s="45">
        <f>49.2094 * CHOOSE(CONTROL!$C$15, $E$9, 100%, $G$9) + CHOOSE(CONTROL!$C$38, 0.0353, 0)</f>
        <v>49.244700000000002</v>
      </c>
      <c r="G628" s="14">
        <f>46.5241 * CHOOSE(CONTROL!$C$15, $E$9, 100%, $G$9) + CHOOSE(CONTROL!$C$38, 0.0354, 0)</f>
        <v>46.5595</v>
      </c>
      <c r="H628" s="14">
        <f>46.5241 * CHOOSE(CONTROL!$C$15, $E$9, 100%, $G$9) + CHOOSE(CONTROL!$C$38, 0.0354, 0)</f>
        <v>46.5595</v>
      </c>
      <c r="I628" s="14">
        <f>46.5257 * CHOOSE(CONTROL!$C$15, $E$9, 100%, $G$9) + CHOOSE(CONTROL!$C$38, 0.0354, 0)</f>
        <v>46.561100000000003</v>
      </c>
      <c r="J628" s="44">
        <f>399.7316</f>
        <v>399.73160000000001</v>
      </c>
    </row>
    <row r="629" spans="1:10" ht="15.75" x14ac:dyDescent="0.25">
      <c r="A629" s="32">
        <v>60083</v>
      </c>
      <c r="B629" s="14">
        <f>49.9095 * CHOOSE(CONTROL!$C$15, $E$9, 100%, $G$9) + CHOOSE(CONTROL!$C$38, 0.0353, 0)</f>
        <v>49.944800000000001</v>
      </c>
      <c r="C629" s="14">
        <f>47.1894 * CHOOSE(CONTROL!$C$15, $E$9, 100%, $G$9) + CHOOSE(CONTROL!$C$38, 0.0354, 0)</f>
        <v>47.224800000000002</v>
      </c>
      <c r="D629" s="14">
        <f>47.1816 * CHOOSE(CONTROL!$C$15, $E$9, 100%, $G$9) + CHOOSE(CONTROL!$C$38, 0.0354, 0)</f>
        <v>47.217000000000006</v>
      </c>
      <c r="E629" s="14">
        <f>47.1816 * CHOOSE(CONTROL!$C$15, $E$9, 100%, $G$9) + CHOOSE(CONTROL!$C$38, 0.0354, 0)</f>
        <v>47.217000000000006</v>
      </c>
      <c r="F629" s="45">
        <f>49.9095 * CHOOSE(CONTROL!$C$15, $E$9, 100%, $G$9) + CHOOSE(CONTROL!$C$38, 0.0353, 0)</f>
        <v>49.944800000000001</v>
      </c>
      <c r="G629" s="14">
        <f>47.1879 * CHOOSE(CONTROL!$C$15, $E$9, 100%, $G$9) + CHOOSE(CONTROL!$C$38, 0.0354, 0)</f>
        <v>47.223300000000002</v>
      </c>
      <c r="H629" s="14">
        <f>47.1879 * CHOOSE(CONTROL!$C$15, $E$9, 100%, $G$9) + CHOOSE(CONTROL!$C$38, 0.0354, 0)</f>
        <v>47.223300000000002</v>
      </c>
      <c r="I629" s="14">
        <f>47.1894 * CHOOSE(CONTROL!$C$15, $E$9, 100%, $G$9) + CHOOSE(CONTROL!$C$38, 0.0354, 0)</f>
        <v>47.224800000000002</v>
      </c>
      <c r="J629" s="44">
        <f>405.4913</f>
        <v>405.49130000000002</v>
      </c>
    </row>
    <row r="630" spans="1:10" ht="15.75" x14ac:dyDescent="0.25">
      <c r="A630" s="32">
        <v>60114</v>
      </c>
      <c r="B630" s="14">
        <f>49.679 * CHOOSE(CONTROL!$C$15, $E$9, 100%, $G$9) + CHOOSE(CONTROL!$C$38, 0.0353, 0)</f>
        <v>49.714300000000001</v>
      </c>
      <c r="C630" s="14">
        <f>46.9709 * CHOOSE(CONTROL!$C$15, $E$9, 100%, $G$9) + CHOOSE(CONTROL!$C$38, 0.0354, 0)</f>
        <v>47.006300000000003</v>
      </c>
      <c r="D630" s="14">
        <f>46.9631 * CHOOSE(CONTROL!$C$15, $E$9, 100%, $G$9) + CHOOSE(CONTROL!$C$38, 0.0354, 0)</f>
        <v>46.9985</v>
      </c>
      <c r="E630" s="14">
        <f>46.9631 * CHOOSE(CONTROL!$C$15, $E$9, 100%, $G$9) + CHOOSE(CONTROL!$C$38, 0.0354, 0)</f>
        <v>46.9985</v>
      </c>
      <c r="F630" s="45">
        <f>49.679 * CHOOSE(CONTROL!$C$15, $E$9, 100%, $G$9) + CHOOSE(CONTROL!$C$38, 0.0353, 0)</f>
        <v>49.714300000000001</v>
      </c>
      <c r="G630" s="14">
        <f>46.9693 * CHOOSE(CONTROL!$C$15, $E$9, 100%, $G$9) + CHOOSE(CONTROL!$C$38, 0.0354, 0)</f>
        <v>47.0047</v>
      </c>
      <c r="H630" s="14">
        <f>46.9693 * CHOOSE(CONTROL!$C$15, $E$9, 100%, $G$9) + CHOOSE(CONTROL!$C$38, 0.0354, 0)</f>
        <v>47.0047</v>
      </c>
      <c r="I630" s="14">
        <f>46.9709 * CHOOSE(CONTROL!$C$15, $E$9, 100%, $G$9) + CHOOSE(CONTROL!$C$38, 0.0354, 0)</f>
        <v>47.006300000000003</v>
      </c>
      <c r="J630" s="44">
        <f>403.5949</f>
        <v>403.5949</v>
      </c>
    </row>
    <row r="631" spans="1:10" ht="15.75" x14ac:dyDescent="0.25">
      <c r="A631" s="32">
        <v>60145</v>
      </c>
      <c r="B631" s="14">
        <f>48.5369 * CHOOSE(CONTROL!$C$15, $E$9, 100%, $G$9) + CHOOSE(CONTROL!$C$38, 0.0353, 0)</f>
        <v>48.572200000000002</v>
      </c>
      <c r="C631" s="14">
        <f>45.8882 * CHOOSE(CONTROL!$C$15, $E$9, 100%, $G$9) + CHOOSE(CONTROL!$C$38, 0.0354, 0)</f>
        <v>45.9236</v>
      </c>
      <c r="D631" s="14">
        <f>45.8803 * CHOOSE(CONTROL!$C$15, $E$9, 100%, $G$9) + CHOOSE(CONTROL!$C$38, 0.0354, 0)</f>
        <v>45.915700000000001</v>
      </c>
      <c r="E631" s="14">
        <f>45.8803 * CHOOSE(CONTROL!$C$15, $E$9, 100%, $G$9) + CHOOSE(CONTROL!$C$38, 0.0354, 0)</f>
        <v>45.915700000000001</v>
      </c>
      <c r="F631" s="45">
        <f>48.5369 * CHOOSE(CONTROL!$C$15, $E$9, 100%, $G$9) + CHOOSE(CONTROL!$C$38, 0.0353, 0)</f>
        <v>48.572200000000002</v>
      </c>
      <c r="G631" s="14">
        <f>45.8866 * CHOOSE(CONTROL!$C$15, $E$9, 100%, $G$9) + CHOOSE(CONTROL!$C$38, 0.0354, 0)</f>
        <v>45.922000000000004</v>
      </c>
      <c r="H631" s="14">
        <f>45.8866 * CHOOSE(CONTROL!$C$15, $E$9, 100%, $G$9) + CHOOSE(CONTROL!$C$38, 0.0354, 0)</f>
        <v>45.922000000000004</v>
      </c>
      <c r="I631" s="14">
        <f>45.8882 * CHOOSE(CONTROL!$C$15, $E$9, 100%, $G$9) + CHOOSE(CONTROL!$C$38, 0.0354, 0)</f>
        <v>45.9236</v>
      </c>
      <c r="J631" s="44">
        <f>394.1994</f>
        <v>394.19940000000003</v>
      </c>
    </row>
    <row r="632" spans="1:10" ht="15.75" x14ac:dyDescent="0.25">
      <c r="A632" s="32">
        <v>60175</v>
      </c>
      <c r="B632" s="14">
        <f>46.9441 * CHOOSE(CONTROL!$C$15, $E$9, 100%, $G$9) + CHOOSE(CONTROL!$C$38, 0.0353, 0)</f>
        <v>46.979399999999998</v>
      </c>
      <c r="C632" s="14">
        <f>44.3782 * CHOOSE(CONTROL!$C$15, $E$9, 100%, $G$9) + CHOOSE(CONTROL!$C$38, 0.0354, 0)</f>
        <v>44.413600000000002</v>
      </c>
      <c r="D632" s="14">
        <f>44.3704 * CHOOSE(CONTROL!$C$15, $E$9, 100%, $G$9) + CHOOSE(CONTROL!$C$38, 0.0354, 0)</f>
        <v>44.405799999999999</v>
      </c>
      <c r="E632" s="14">
        <f>44.3704 * CHOOSE(CONTROL!$C$15, $E$9, 100%, $G$9) + CHOOSE(CONTROL!$C$38, 0.0354, 0)</f>
        <v>44.405799999999999</v>
      </c>
      <c r="F632" s="45">
        <f>46.9441 * CHOOSE(CONTROL!$C$15, $E$9, 100%, $G$9) + CHOOSE(CONTROL!$C$38, 0.0353, 0)</f>
        <v>46.979399999999998</v>
      </c>
      <c r="G632" s="14">
        <f>44.3767 * CHOOSE(CONTROL!$C$15, $E$9, 100%, $G$9) + CHOOSE(CONTROL!$C$38, 0.0354, 0)</f>
        <v>44.412100000000002</v>
      </c>
      <c r="H632" s="14">
        <f>44.3767 * CHOOSE(CONTROL!$C$15, $E$9, 100%, $G$9) + CHOOSE(CONTROL!$C$38, 0.0354, 0)</f>
        <v>44.412100000000002</v>
      </c>
      <c r="I632" s="14">
        <f>44.3782 * CHOOSE(CONTROL!$C$15, $E$9, 100%, $G$9) + CHOOSE(CONTROL!$C$38, 0.0354, 0)</f>
        <v>44.413600000000002</v>
      </c>
      <c r="J632" s="44">
        <f>381.0969</f>
        <v>381.09690000000001</v>
      </c>
    </row>
    <row r="633" spans="1:10" ht="15.75" x14ac:dyDescent="0.25">
      <c r="A633" s="32">
        <v>60206</v>
      </c>
      <c r="B633" s="14">
        <f>45.3421 * CHOOSE(CONTROL!$C$15, $E$9, 100%, $G$9) + CHOOSE(CONTROL!$C$38, 0.034, 0)</f>
        <v>45.376100000000001</v>
      </c>
      <c r="C633" s="14">
        <f>42.8595 * CHOOSE(CONTROL!$C$15, $E$9, 100%, $G$9) + CHOOSE(CONTROL!$C$38, 0.0342, 0)</f>
        <v>42.893699999999995</v>
      </c>
      <c r="D633" s="14">
        <f>42.8517 * CHOOSE(CONTROL!$C$15, $E$9, 100%, $G$9) + CHOOSE(CONTROL!$C$38, 0.0342, 0)</f>
        <v>42.885899999999999</v>
      </c>
      <c r="E633" s="14">
        <f>42.8517 * CHOOSE(CONTROL!$C$15, $E$9, 100%, $G$9) + CHOOSE(CONTROL!$C$38, 0.0342, 0)</f>
        <v>42.885899999999999</v>
      </c>
      <c r="F633" s="45">
        <f>45.3421 * CHOOSE(CONTROL!$C$15, $E$9, 100%, $G$9) + CHOOSE(CONTROL!$C$38, 0.034, 0)</f>
        <v>45.376100000000001</v>
      </c>
      <c r="G633" s="14">
        <f>42.858 * CHOOSE(CONTROL!$C$15, $E$9, 100%, $G$9) + CHOOSE(CONTROL!$C$38, 0.0342, 0)</f>
        <v>42.892199999999995</v>
      </c>
      <c r="H633" s="14">
        <f>42.858 * CHOOSE(CONTROL!$C$15, $E$9, 100%, $G$9) + CHOOSE(CONTROL!$C$38, 0.0342, 0)</f>
        <v>42.892199999999995</v>
      </c>
      <c r="I633" s="14">
        <f>42.8595 * CHOOSE(CONTROL!$C$15, $E$9, 100%, $G$9) + CHOOSE(CONTROL!$C$38, 0.0342, 0)</f>
        <v>42.893699999999995</v>
      </c>
      <c r="J633" s="44">
        <f>367.9181</f>
        <v>367.91809999999998</v>
      </c>
    </row>
    <row r="634" spans="1:10" ht="15.75" x14ac:dyDescent="0.25">
      <c r="A634" s="32">
        <v>60236</v>
      </c>
      <c r="B634" s="14">
        <f>45.0234 * CHOOSE(CONTROL!$C$15, $E$9, 100%, $G$9) + CHOOSE(CONTROL!$C$38, 0.034, 0)</f>
        <v>45.057400000000001</v>
      </c>
      <c r="C634" s="14">
        <f>42.5574 * CHOOSE(CONTROL!$C$15, $E$9, 100%, $G$9) + CHOOSE(CONTROL!$C$38, 0.0342, 0)</f>
        <v>42.5916</v>
      </c>
      <c r="D634" s="14">
        <f>42.5496 * CHOOSE(CONTROL!$C$15, $E$9, 100%, $G$9) + CHOOSE(CONTROL!$C$38, 0.0342, 0)</f>
        <v>42.583799999999997</v>
      </c>
      <c r="E634" s="14">
        <f>42.5496 * CHOOSE(CONTROL!$C$15, $E$9, 100%, $G$9) + CHOOSE(CONTROL!$C$38, 0.0342, 0)</f>
        <v>42.583799999999997</v>
      </c>
      <c r="F634" s="45">
        <f>45.0234 * CHOOSE(CONTROL!$C$15, $E$9, 100%, $G$9) + CHOOSE(CONTROL!$C$38, 0.034, 0)</f>
        <v>45.057400000000001</v>
      </c>
      <c r="G634" s="14">
        <f>42.5559 * CHOOSE(CONTROL!$C$15, $E$9, 100%, $G$9) + CHOOSE(CONTROL!$C$38, 0.0342, 0)</f>
        <v>42.5901</v>
      </c>
      <c r="H634" s="14">
        <f>42.5559 * CHOOSE(CONTROL!$C$15, $E$9, 100%, $G$9) + CHOOSE(CONTROL!$C$38, 0.0342, 0)</f>
        <v>42.5901</v>
      </c>
      <c r="I634" s="14">
        <f>42.5574 * CHOOSE(CONTROL!$C$15, $E$9, 100%, $G$9) + CHOOSE(CONTROL!$C$38, 0.0342, 0)</f>
        <v>42.5916</v>
      </c>
      <c r="J634" s="44">
        <f>365.2966</f>
        <v>365.29660000000001</v>
      </c>
    </row>
    <row r="635" spans="1:10" ht="15.75" x14ac:dyDescent="0.25">
      <c r="A635" s="32">
        <v>60267</v>
      </c>
      <c r="B635" s="14">
        <f>43.7056 * CHOOSE(CONTROL!$C$15, $E$9, 100%, $G$9) + CHOOSE(CONTROL!$C$38, 0.034, 0)</f>
        <v>43.739599999999996</v>
      </c>
      <c r="C635" s="14">
        <f>41.3082 * CHOOSE(CONTROL!$C$15, $E$9, 100%, $G$9) + CHOOSE(CONTROL!$C$38, 0.0342, 0)</f>
        <v>41.342399999999998</v>
      </c>
      <c r="D635" s="14">
        <f>41.3004 * CHOOSE(CONTROL!$C$15, $E$9, 100%, $G$9) + CHOOSE(CONTROL!$C$38, 0.0342, 0)</f>
        <v>41.334600000000002</v>
      </c>
      <c r="E635" s="14">
        <f>41.3004 * CHOOSE(CONTROL!$C$15, $E$9, 100%, $G$9) + CHOOSE(CONTROL!$C$38, 0.0342, 0)</f>
        <v>41.334600000000002</v>
      </c>
      <c r="F635" s="45">
        <f>43.7056 * CHOOSE(CONTROL!$C$15, $E$9, 100%, $G$9) + CHOOSE(CONTROL!$C$38, 0.034, 0)</f>
        <v>43.739599999999996</v>
      </c>
      <c r="G635" s="14">
        <f>41.3067 * CHOOSE(CONTROL!$C$15, $E$9, 100%, $G$9) + CHOOSE(CONTROL!$C$38, 0.0342, 0)</f>
        <v>41.340899999999998</v>
      </c>
      <c r="H635" s="14">
        <f>41.3067 * CHOOSE(CONTROL!$C$15, $E$9, 100%, $G$9) + CHOOSE(CONTROL!$C$38, 0.0342, 0)</f>
        <v>41.340899999999998</v>
      </c>
      <c r="I635" s="14">
        <f>41.3082 * CHOOSE(CONTROL!$C$15, $E$9, 100%, $G$9) + CHOOSE(CONTROL!$C$38, 0.0342, 0)</f>
        <v>41.342399999999998</v>
      </c>
      <c r="J635" s="44">
        <f>354.4564</f>
        <v>354.45639999999997</v>
      </c>
    </row>
    <row r="636" spans="1:10" ht="15.75" x14ac:dyDescent="0.25">
      <c r="A636" s="32">
        <v>60298</v>
      </c>
      <c r="B636" s="14">
        <f>43.3784 * CHOOSE(CONTROL!$C$15, $E$9, 100%, $G$9) + CHOOSE(CONTROL!$C$38, 0.034, 0)</f>
        <v>43.412399999999998</v>
      </c>
      <c r="C636" s="14">
        <f>40.998 * CHOOSE(CONTROL!$C$15, $E$9, 100%, $G$9) + CHOOSE(CONTROL!$C$38, 0.0342, 0)</f>
        <v>41.032199999999996</v>
      </c>
      <c r="D636" s="14">
        <f>40.9902 * CHOOSE(CONTROL!$C$15, $E$9, 100%, $G$9) + CHOOSE(CONTROL!$C$38, 0.0342, 0)</f>
        <v>41.0244</v>
      </c>
      <c r="E636" s="14">
        <f>40.9902 * CHOOSE(CONTROL!$C$15, $E$9, 100%, $G$9) + CHOOSE(CONTROL!$C$38, 0.0342, 0)</f>
        <v>41.0244</v>
      </c>
      <c r="F636" s="45">
        <f>43.3784 * CHOOSE(CONTROL!$C$15, $E$9, 100%, $G$9) + CHOOSE(CONTROL!$C$38, 0.034, 0)</f>
        <v>43.412399999999998</v>
      </c>
      <c r="G636" s="14">
        <f>40.9964 * CHOOSE(CONTROL!$C$15, $E$9, 100%, $G$9) + CHOOSE(CONTROL!$C$38, 0.0342, 0)</f>
        <v>41.0306</v>
      </c>
      <c r="H636" s="14">
        <f>40.9964 * CHOOSE(CONTROL!$C$15, $E$9, 100%, $G$9) + CHOOSE(CONTROL!$C$38, 0.0342, 0)</f>
        <v>41.0306</v>
      </c>
      <c r="I636" s="14">
        <f>40.998 * CHOOSE(CONTROL!$C$15, $E$9, 100%, $G$9) + CHOOSE(CONTROL!$C$38, 0.0342, 0)</f>
        <v>41.032199999999996</v>
      </c>
      <c r="J636" s="44">
        <f>354.2005</f>
        <v>354.20049999999998</v>
      </c>
    </row>
    <row r="637" spans="1:10" ht="15.75" x14ac:dyDescent="0.25">
      <c r="A637" s="32">
        <v>60326</v>
      </c>
      <c r="B637" s="14">
        <f>43.2595 * CHOOSE(CONTROL!$C$15, $E$9, 100%, $G$9) + CHOOSE(CONTROL!$C$38, 0.034, 0)</f>
        <v>43.293500000000002</v>
      </c>
      <c r="C637" s="14">
        <f>40.8853 * CHOOSE(CONTROL!$C$15, $E$9, 100%, $G$9) + CHOOSE(CONTROL!$C$38, 0.0342, 0)</f>
        <v>40.919499999999999</v>
      </c>
      <c r="D637" s="14">
        <f>40.8775 * CHOOSE(CONTROL!$C$15, $E$9, 100%, $G$9) + CHOOSE(CONTROL!$C$38, 0.0342, 0)</f>
        <v>40.911699999999996</v>
      </c>
      <c r="E637" s="14">
        <f>40.8775 * CHOOSE(CONTROL!$C$15, $E$9, 100%, $G$9) + CHOOSE(CONTROL!$C$38, 0.0342, 0)</f>
        <v>40.911699999999996</v>
      </c>
      <c r="F637" s="45">
        <f>43.2595 * CHOOSE(CONTROL!$C$15, $E$9, 100%, $G$9) + CHOOSE(CONTROL!$C$38, 0.034, 0)</f>
        <v>43.293500000000002</v>
      </c>
      <c r="G637" s="14">
        <f>40.8837 * CHOOSE(CONTROL!$C$15, $E$9, 100%, $G$9) + CHOOSE(CONTROL!$C$38, 0.0342, 0)</f>
        <v>40.917899999999996</v>
      </c>
      <c r="H637" s="14">
        <f>40.8837 * CHOOSE(CONTROL!$C$15, $E$9, 100%, $G$9) + CHOOSE(CONTROL!$C$38, 0.0342, 0)</f>
        <v>40.917899999999996</v>
      </c>
      <c r="I637" s="14">
        <f>40.8853 * CHOOSE(CONTROL!$C$15, $E$9, 100%, $G$9) + CHOOSE(CONTROL!$C$38, 0.0342, 0)</f>
        <v>40.919499999999999</v>
      </c>
      <c r="J637" s="44">
        <f>353.216</f>
        <v>353.21600000000001</v>
      </c>
    </row>
    <row r="638" spans="1:10" ht="15.75" x14ac:dyDescent="0.25">
      <c r="A638" s="32">
        <v>60357</v>
      </c>
      <c r="B638" s="14">
        <f>45.507 * CHOOSE(CONTROL!$C$15, $E$9, 100%, $G$9) + CHOOSE(CONTROL!$C$38, 0.034, 0)</f>
        <v>45.540999999999997</v>
      </c>
      <c r="C638" s="14">
        <f>43.0159 * CHOOSE(CONTROL!$C$15, $E$9, 100%, $G$9) + CHOOSE(CONTROL!$C$38, 0.0342, 0)</f>
        <v>43.0501</v>
      </c>
      <c r="D638" s="14">
        <f>43.0081 * CHOOSE(CONTROL!$C$15, $E$9, 100%, $G$9) + CHOOSE(CONTROL!$C$38, 0.0342, 0)</f>
        <v>43.042299999999997</v>
      </c>
      <c r="E638" s="14">
        <f>43.0081 * CHOOSE(CONTROL!$C$15, $E$9, 100%, $G$9) + CHOOSE(CONTROL!$C$38, 0.0342, 0)</f>
        <v>43.042299999999997</v>
      </c>
      <c r="F638" s="45">
        <f>45.507 * CHOOSE(CONTROL!$C$15, $E$9, 100%, $G$9) + CHOOSE(CONTROL!$C$38, 0.034, 0)</f>
        <v>45.540999999999997</v>
      </c>
      <c r="G638" s="14">
        <f>43.0143 * CHOOSE(CONTROL!$C$15, $E$9, 100%, $G$9) + CHOOSE(CONTROL!$C$38, 0.0342, 0)</f>
        <v>43.048499999999997</v>
      </c>
      <c r="H638" s="14">
        <f>43.0143 * CHOOSE(CONTROL!$C$15, $E$9, 100%, $G$9) + CHOOSE(CONTROL!$C$38, 0.0342, 0)</f>
        <v>43.048499999999997</v>
      </c>
      <c r="I638" s="14">
        <f>43.0159 * CHOOSE(CONTROL!$C$15, $E$9, 100%, $G$9) + CHOOSE(CONTROL!$C$38, 0.0342, 0)</f>
        <v>43.0501</v>
      </c>
      <c r="J638" s="44">
        <f>371.8325</f>
        <v>371.83249999999998</v>
      </c>
    </row>
    <row r="639" spans="1:10" ht="15.75" x14ac:dyDescent="0.25">
      <c r="A639" s="32">
        <v>60387</v>
      </c>
      <c r="B639" s="14">
        <f>48.4215 * CHOOSE(CONTROL!$C$15, $E$9, 100%, $G$9) + CHOOSE(CONTROL!$C$38, 0.034, 0)</f>
        <v>48.455500000000001</v>
      </c>
      <c r="C639" s="14">
        <f>45.7788 * CHOOSE(CONTROL!$C$15, $E$9, 100%, $G$9) + CHOOSE(CONTROL!$C$38, 0.0342, 0)</f>
        <v>45.812999999999995</v>
      </c>
      <c r="D639" s="14">
        <f>45.771 * CHOOSE(CONTROL!$C$15, $E$9, 100%, $G$9) + CHOOSE(CONTROL!$C$38, 0.0342, 0)</f>
        <v>45.805199999999999</v>
      </c>
      <c r="E639" s="14">
        <f>45.771 * CHOOSE(CONTROL!$C$15, $E$9, 100%, $G$9) + CHOOSE(CONTROL!$C$38, 0.0342, 0)</f>
        <v>45.805199999999999</v>
      </c>
      <c r="F639" s="45">
        <f>48.4215 * CHOOSE(CONTROL!$C$15, $E$9, 100%, $G$9) + CHOOSE(CONTROL!$C$38, 0.034, 0)</f>
        <v>48.455500000000001</v>
      </c>
      <c r="G639" s="14">
        <f>45.7772 * CHOOSE(CONTROL!$C$15, $E$9, 100%, $G$9) + CHOOSE(CONTROL!$C$38, 0.0342, 0)</f>
        <v>45.811399999999999</v>
      </c>
      <c r="H639" s="14">
        <f>45.7772 * CHOOSE(CONTROL!$C$15, $E$9, 100%, $G$9) + CHOOSE(CONTROL!$C$38, 0.0342, 0)</f>
        <v>45.811399999999999</v>
      </c>
      <c r="I639" s="14">
        <f>45.7788 * CHOOSE(CONTROL!$C$15, $E$9, 100%, $G$9) + CHOOSE(CONTROL!$C$38, 0.0342, 0)</f>
        <v>45.812999999999995</v>
      </c>
      <c r="J639" s="44">
        <f>395.9737</f>
        <v>395.97370000000001</v>
      </c>
    </row>
    <row r="640" spans="1:10" ht="15.75" x14ac:dyDescent="0.25">
      <c r="A640" s="32">
        <v>60418</v>
      </c>
      <c r="B640" s="14">
        <f>50.0257 * CHOOSE(CONTROL!$C$15, $E$9, 100%, $G$9) + CHOOSE(CONTROL!$C$38, 0.0353, 0)</f>
        <v>50.061</v>
      </c>
      <c r="C640" s="14">
        <f>47.2996 * CHOOSE(CONTROL!$C$15, $E$9, 100%, $G$9) + CHOOSE(CONTROL!$C$38, 0.0354, 0)</f>
        <v>47.335000000000001</v>
      </c>
      <c r="D640" s="14">
        <f>47.2917 * CHOOSE(CONTROL!$C$15, $E$9, 100%, $G$9) + CHOOSE(CONTROL!$C$38, 0.0354, 0)</f>
        <v>47.327100000000002</v>
      </c>
      <c r="E640" s="14">
        <f>47.2917 * CHOOSE(CONTROL!$C$15, $E$9, 100%, $G$9) + CHOOSE(CONTROL!$C$38, 0.0354, 0)</f>
        <v>47.327100000000002</v>
      </c>
      <c r="F640" s="45">
        <f>50.0257 * CHOOSE(CONTROL!$C$15, $E$9, 100%, $G$9) + CHOOSE(CONTROL!$C$38, 0.0353, 0)</f>
        <v>50.061</v>
      </c>
      <c r="G640" s="14">
        <f>47.298 * CHOOSE(CONTROL!$C$15, $E$9, 100%, $G$9) + CHOOSE(CONTROL!$C$38, 0.0354, 0)</f>
        <v>47.333400000000005</v>
      </c>
      <c r="H640" s="14">
        <f>47.298 * CHOOSE(CONTROL!$C$15, $E$9, 100%, $G$9) + CHOOSE(CONTROL!$C$38, 0.0354, 0)</f>
        <v>47.333400000000005</v>
      </c>
      <c r="I640" s="14">
        <f>47.2996 * CHOOSE(CONTROL!$C$15, $E$9, 100%, $G$9) + CHOOSE(CONTROL!$C$38, 0.0354, 0)</f>
        <v>47.335000000000001</v>
      </c>
      <c r="J640" s="44">
        <f>409.2618</f>
        <v>409.26179999999999</v>
      </c>
    </row>
    <row r="641" spans="1:10" ht="15.75" x14ac:dyDescent="0.25">
      <c r="A641" s="32">
        <v>60448</v>
      </c>
      <c r="B641" s="14">
        <f>50.7376 * CHOOSE(CONTROL!$C$15, $E$9, 100%, $G$9) + CHOOSE(CONTROL!$C$38, 0.0353, 0)</f>
        <v>50.7729</v>
      </c>
      <c r="C641" s="14">
        <f>47.9745 * CHOOSE(CONTROL!$C$15, $E$9, 100%, $G$9) + CHOOSE(CONTROL!$C$38, 0.0354, 0)</f>
        <v>48.009900000000002</v>
      </c>
      <c r="D641" s="14">
        <f>47.9666 * CHOOSE(CONTROL!$C$15, $E$9, 100%, $G$9) + CHOOSE(CONTROL!$C$38, 0.0354, 0)</f>
        <v>48.002000000000002</v>
      </c>
      <c r="E641" s="14">
        <f>47.9666 * CHOOSE(CONTROL!$C$15, $E$9, 100%, $G$9) + CHOOSE(CONTROL!$C$38, 0.0354, 0)</f>
        <v>48.002000000000002</v>
      </c>
      <c r="F641" s="45">
        <f>50.7376 * CHOOSE(CONTROL!$C$15, $E$9, 100%, $G$9) + CHOOSE(CONTROL!$C$38, 0.0353, 0)</f>
        <v>50.7729</v>
      </c>
      <c r="G641" s="14">
        <f>47.9729 * CHOOSE(CONTROL!$C$15, $E$9, 100%, $G$9) + CHOOSE(CONTROL!$C$38, 0.0354, 0)</f>
        <v>48.008300000000006</v>
      </c>
      <c r="H641" s="14">
        <f>47.9729 * CHOOSE(CONTROL!$C$15, $E$9, 100%, $G$9) + CHOOSE(CONTROL!$C$38, 0.0354, 0)</f>
        <v>48.008300000000006</v>
      </c>
      <c r="I641" s="14">
        <f>47.9745 * CHOOSE(CONTROL!$C$15, $E$9, 100%, $G$9) + CHOOSE(CONTROL!$C$38, 0.0354, 0)</f>
        <v>48.009900000000002</v>
      </c>
      <c r="J641" s="44">
        <f>415.1588</f>
        <v>415.15879999999999</v>
      </c>
    </row>
    <row r="642" spans="1:10" ht="15.75" x14ac:dyDescent="0.25">
      <c r="A642" s="32">
        <v>60479</v>
      </c>
      <c r="B642" s="14">
        <f>50.5032 * CHOOSE(CONTROL!$C$15, $E$9, 100%, $G$9) + CHOOSE(CONTROL!$C$38, 0.0353, 0)</f>
        <v>50.538499999999999</v>
      </c>
      <c r="C642" s="14">
        <f>47.7522 * CHOOSE(CONTROL!$C$15, $E$9, 100%, $G$9) + CHOOSE(CONTROL!$C$38, 0.0354, 0)</f>
        <v>47.787600000000005</v>
      </c>
      <c r="D642" s="14">
        <f>47.7444 * CHOOSE(CONTROL!$C$15, $E$9, 100%, $G$9) + CHOOSE(CONTROL!$C$38, 0.0354, 0)</f>
        <v>47.779800000000002</v>
      </c>
      <c r="E642" s="14">
        <f>47.7444 * CHOOSE(CONTROL!$C$15, $E$9, 100%, $G$9) + CHOOSE(CONTROL!$C$38, 0.0354, 0)</f>
        <v>47.779800000000002</v>
      </c>
      <c r="F642" s="45">
        <f>50.5032 * CHOOSE(CONTROL!$C$15, $E$9, 100%, $G$9) + CHOOSE(CONTROL!$C$38, 0.0353, 0)</f>
        <v>50.538499999999999</v>
      </c>
      <c r="G642" s="14">
        <f>47.7507 * CHOOSE(CONTROL!$C$15, $E$9, 100%, $G$9) + CHOOSE(CONTROL!$C$38, 0.0354, 0)</f>
        <v>47.786100000000005</v>
      </c>
      <c r="H642" s="14">
        <f>47.7507 * CHOOSE(CONTROL!$C$15, $E$9, 100%, $G$9) + CHOOSE(CONTROL!$C$38, 0.0354, 0)</f>
        <v>47.786100000000005</v>
      </c>
      <c r="I642" s="14">
        <f>47.7522 * CHOOSE(CONTROL!$C$15, $E$9, 100%, $G$9) + CHOOSE(CONTROL!$C$38, 0.0354, 0)</f>
        <v>47.787600000000005</v>
      </c>
      <c r="J642" s="44">
        <f>413.2172</f>
        <v>413.21719999999999</v>
      </c>
    </row>
    <row r="643" spans="1:10" ht="15.75" x14ac:dyDescent="0.25">
      <c r="A643" s="32">
        <v>60510</v>
      </c>
      <c r="B643" s="14">
        <f>49.3419 * CHOOSE(CONTROL!$C$15, $E$9, 100%, $G$9) + CHOOSE(CONTROL!$C$38, 0.0353, 0)</f>
        <v>49.377200000000002</v>
      </c>
      <c r="C643" s="14">
        <f>46.6513 * CHOOSE(CONTROL!$C$15, $E$9, 100%, $G$9) + CHOOSE(CONTROL!$C$38, 0.0354, 0)</f>
        <v>46.686700000000002</v>
      </c>
      <c r="D643" s="14">
        <f>46.6435 * CHOOSE(CONTROL!$C$15, $E$9, 100%, $G$9) + CHOOSE(CONTROL!$C$38, 0.0354, 0)</f>
        <v>46.678900000000006</v>
      </c>
      <c r="E643" s="14">
        <f>46.6435 * CHOOSE(CONTROL!$C$15, $E$9, 100%, $G$9) + CHOOSE(CONTROL!$C$38, 0.0354, 0)</f>
        <v>46.678900000000006</v>
      </c>
      <c r="F643" s="45">
        <f>49.3419 * CHOOSE(CONTROL!$C$15, $E$9, 100%, $G$9) + CHOOSE(CONTROL!$C$38, 0.0353, 0)</f>
        <v>49.377200000000002</v>
      </c>
      <c r="G643" s="14">
        <f>46.6498 * CHOOSE(CONTROL!$C$15, $E$9, 100%, $G$9) + CHOOSE(CONTROL!$C$38, 0.0354, 0)</f>
        <v>46.685200000000002</v>
      </c>
      <c r="H643" s="14">
        <f>46.6498 * CHOOSE(CONTROL!$C$15, $E$9, 100%, $G$9) + CHOOSE(CONTROL!$C$38, 0.0354, 0)</f>
        <v>46.685200000000002</v>
      </c>
      <c r="I643" s="14">
        <f>46.6513 * CHOOSE(CONTROL!$C$15, $E$9, 100%, $G$9) + CHOOSE(CONTROL!$C$38, 0.0354, 0)</f>
        <v>46.686700000000002</v>
      </c>
      <c r="J643" s="44">
        <f>403.5977</f>
        <v>403.59769999999997</v>
      </c>
    </row>
    <row r="644" spans="1:10" ht="15.75" x14ac:dyDescent="0.25">
      <c r="A644" s="32">
        <v>60540</v>
      </c>
      <c r="B644" s="14">
        <f>47.7224 * CHOOSE(CONTROL!$C$15, $E$9, 100%, $G$9) + CHOOSE(CONTROL!$C$38, 0.0353, 0)</f>
        <v>47.7577</v>
      </c>
      <c r="C644" s="14">
        <f>45.116 * CHOOSE(CONTROL!$C$15, $E$9, 100%, $G$9) + CHOOSE(CONTROL!$C$38, 0.0354, 0)</f>
        <v>45.151400000000002</v>
      </c>
      <c r="D644" s="14">
        <f>45.1082 * CHOOSE(CONTROL!$C$15, $E$9, 100%, $G$9) + CHOOSE(CONTROL!$C$38, 0.0354, 0)</f>
        <v>45.143599999999999</v>
      </c>
      <c r="E644" s="14">
        <f>45.1082 * CHOOSE(CONTROL!$C$15, $E$9, 100%, $G$9) + CHOOSE(CONTROL!$C$38, 0.0354, 0)</f>
        <v>45.143599999999999</v>
      </c>
      <c r="F644" s="45">
        <f>47.7224 * CHOOSE(CONTROL!$C$15, $E$9, 100%, $G$9) + CHOOSE(CONTROL!$C$38, 0.0353, 0)</f>
        <v>47.7577</v>
      </c>
      <c r="G644" s="14">
        <f>45.1145 * CHOOSE(CONTROL!$C$15, $E$9, 100%, $G$9) + CHOOSE(CONTROL!$C$38, 0.0354, 0)</f>
        <v>45.149900000000002</v>
      </c>
      <c r="H644" s="14">
        <f>45.1145 * CHOOSE(CONTROL!$C$15, $E$9, 100%, $G$9) + CHOOSE(CONTROL!$C$38, 0.0354, 0)</f>
        <v>45.149900000000002</v>
      </c>
      <c r="I644" s="14">
        <f>45.116 * CHOOSE(CONTROL!$C$15, $E$9, 100%, $G$9) + CHOOSE(CONTROL!$C$38, 0.0354, 0)</f>
        <v>45.151400000000002</v>
      </c>
      <c r="J644" s="44">
        <f>390.1828</f>
        <v>390.18279999999999</v>
      </c>
    </row>
    <row r="645" spans="1:10" ht="15.75" x14ac:dyDescent="0.25">
      <c r="A645" s="32">
        <v>60571</v>
      </c>
      <c r="B645" s="14">
        <f>46.0934 * CHOOSE(CONTROL!$C$15, $E$9, 100%, $G$9) + CHOOSE(CONTROL!$C$38, 0.034, 0)</f>
        <v>46.127400000000002</v>
      </c>
      <c r="C645" s="14">
        <f>43.5718 * CHOOSE(CONTROL!$C$15, $E$9, 100%, $G$9) + CHOOSE(CONTROL!$C$38, 0.0342, 0)</f>
        <v>43.606000000000002</v>
      </c>
      <c r="D645" s="14">
        <f>43.564 * CHOOSE(CONTROL!$C$15, $E$9, 100%, $G$9) + CHOOSE(CONTROL!$C$38, 0.0342, 0)</f>
        <v>43.598199999999999</v>
      </c>
      <c r="E645" s="14">
        <f>43.564 * CHOOSE(CONTROL!$C$15, $E$9, 100%, $G$9) + CHOOSE(CONTROL!$C$38, 0.0342, 0)</f>
        <v>43.598199999999999</v>
      </c>
      <c r="F645" s="45">
        <f>46.0934 * CHOOSE(CONTROL!$C$15, $E$9, 100%, $G$9) + CHOOSE(CONTROL!$C$38, 0.034, 0)</f>
        <v>46.127400000000002</v>
      </c>
      <c r="G645" s="14">
        <f>43.5703 * CHOOSE(CONTROL!$C$15, $E$9, 100%, $G$9) + CHOOSE(CONTROL!$C$38, 0.0342, 0)</f>
        <v>43.604500000000002</v>
      </c>
      <c r="H645" s="14">
        <f>43.5703 * CHOOSE(CONTROL!$C$15, $E$9, 100%, $G$9) + CHOOSE(CONTROL!$C$38, 0.0342, 0)</f>
        <v>43.604500000000002</v>
      </c>
      <c r="I645" s="14">
        <f>43.5718 * CHOOSE(CONTROL!$C$15, $E$9, 100%, $G$9) + CHOOSE(CONTROL!$C$38, 0.0342, 0)</f>
        <v>43.606000000000002</v>
      </c>
      <c r="J645" s="44">
        <f>376.6899</f>
        <v>376.68990000000002</v>
      </c>
    </row>
    <row r="646" spans="1:10" ht="15.75" x14ac:dyDescent="0.25">
      <c r="A646" s="32">
        <v>60601</v>
      </c>
      <c r="B646" s="14">
        <f>45.7694 * CHOOSE(CONTROL!$C$15, $E$9, 100%, $G$9) + CHOOSE(CONTROL!$C$38, 0.034, 0)</f>
        <v>45.803399999999996</v>
      </c>
      <c r="C646" s="14">
        <f>43.2646 * CHOOSE(CONTROL!$C$15, $E$9, 100%, $G$9) + CHOOSE(CONTROL!$C$38, 0.0342, 0)</f>
        <v>43.2988</v>
      </c>
      <c r="D646" s="14">
        <f>43.2568 * CHOOSE(CONTROL!$C$15, $E$9, 100%, $G$9) + CHOOSE(CONTROL!$C$38, 0.0342, 0)</f>
        <v>43.290999999999997</v>
      </c>
      <c r="E646" s="14">
        <f>43.2568 * CHOOSE(CONTROL!$C$15, $E$9, 100%, $G$9) + CHOOSE(CONTROL!$C$38, 0.0342, 0)</f>
        <v>43.290999999999997</v>
      </c>
      <c r="F646" s="45">
        <f>45.7694 * CHOOSE(CONTROL!$C$15, $E$9, 100%, $G$9) + CHOOSE(CONTROL!$C$38, 0.034, 0)</f>
        <v>45.803399999999996</v>
      </c>
      <c r="G646" s="14">
        <f>43.2631 * CHOOSE(CONTROL!$C$15, $E$9, 100%, $G$9) + CHOOSE(CONTROL!$C$38, 0.0342, 0)</f>
        <v>43.2973</v>
      </c>
      <c r="H646" s="14">
        <f>43.2631 * CHOOSE(CONTROL!$C$15, $E$9, 100%, $G$9) + CHOOSE(CONTROL!$C$38, 0.0342, 0)</f>
        <v>43.2973</v>
      </c>
      <c r="I646" s="14">
        <f>43.2646 * CHOOSE(CONTROL!$C$15, $E$9, 100%, $G$9) + CHOOSE(CONTROL!$C$38, 0.0342, 0)</f>
        <v>43.2988</v>
      </c>
      <c r="J646" s="44">
        <f>374.0059</f>
        <v>374.0059</v>
      </c>
    </row>
    <row r="647" spans="1:10" ht="15.75" x14ac:dyDescent="0.25">
      <c r="A647" s="32">
        <v>60632</v>
      </c>
      <c r="B647" s="14">
        <f>44.4295 * CHOOSE(CONTROL!$C$15, $E$9, 100%, $G$9) + CHOOSE(CONTROL!$C$38, 0.034, 0)</f>
        <v>44.463499999999996</v>
      </c>
      <c r="C647" s="14">
        <f>41.9944 * CHOOSE(CONTROL!$C$15, $E$9, 100%, $G$9) + CHOOSE(CONTROL!$C$38, 0.0342, 0)</f>
        <v>42.028599999999997</v>
      </c>
      <c r="D647" s="14">
        <f>41.9866 * CHOOSE(CONTROL!$C$15, $E$9, 100%, $G$9) + CHOOSE(CONTROL!$C$38, 0.0342, 0)</f>
        <v>42.020800000000001</v>
      </c>
      <c r="E647" s="14">
        <f>41.9866 * CHOOSE(CONTROL!$C$15, $E$9, 100%, $G$9) + CHOOSE(CONTROL!$C$38, 0.0342, 0)</f>
        <v>42.020800000000001</v>
      </c>
      <c r="F647" s="45">
        <f>44.4295 * CHOOSE(CONTROL!$C$15, $E$9, 100%, $G$9) + CHOOSE(CONTROL!$C$38, 0.034, 0)</f>
        <v>44.463499999999996</v>
      </c>
      <c r="G647" s="14">
        <f>41.9929 * CHOOSE(CONTROL!$C$15, $E$9, 100%, $G$9) + CHOOSE(CONTROL!$C$38, 0.0342, 0)</f>
        <v>42.027099999999997</v>
      </c>
      <c r="H647" s="14">
        <f>41.9929 * CHOOSE(CONTROL!$C$15, $E$9, 100%, $G$9) + CHOOSE(CONTROL!$C$38, 0.0342, 0)</f>
        <v>42.027099999999997</v>
      </c>
      <c r="I647" s="14">
        <f>41.9944 * CHOOSE(CONTROL!$C$15, $E$9, 100%, $G$9) + CHOOSE(CONTROL!$C$38, 0.0342, 0)</f>
        <v>42.028599999999997</v>
      </c>
      <c r="J647" s="44">
        <f>362.9072</f>
        <v>362.90719999999999</v>
      </c>
    </row>
    <row r="648" spans="1:10" ht="15.75" x14ac:dyDescent="0.25">
      <c r="A648" s="32">
        <v>60663</v>
      </c>
      <c r="B648" s="14">
        <f>44.0968 * CHOOSE(CONTROL!$C$15, $E$9, 100%, $G$9) + CHOOSE(CONTROL!$C$38, 0.034, 0)</f>
        <v>44.130800000000001</v>
      </c>
      <c r="C648" s="14">
        <f>41.679 * CHOOSE(CONTROL!$C$15, $E$9, 100%, $G$9) + CHOOSE(CONTROL!$C$38, 0.0342, 0)</f>
        <v>41.713200000000001</v>
      </c>
      <c r="D648" s="14">
        <f>41.6712 * CHOOSE(CONTROL!$C$15, $E$9, 100%, $G$9) + CHOOSE(CONTROL!$C$38, 0.0342, 0)</f>
        <v>41.705399999999997</v>
      </c>
      <c r="E648" s="14">
        <f>41.6712 * CHOOSE(CONTROL!$C$15, $E$9, 100%, $G$9) + CHOOSE(CONTROL!$C$38, 0.0342, 0)</f>
        <v>41.705399999999997</v>
      </c>
      <c r="F648" s="45">
        <f>44.0968 * CHOOSE(CONTROL!$C$15, $E$9, 100%, $G$9) + CHOOSE(CONTROL!$C$38, 0.034, 0)</f>
        <v>44.130800000000001</v>
      </c>
      <c r="G648" s="14">
        <f>41.6774 * CHOOSE(CONTROL!$C$15, $E$9, 100%, $G$9) + CHOOSE(CONTROL!$C$38, 0.0342, 0)</f>
        <v>41.711599999999997</v>
      </c>
      <c r="H648" s="14">
        <f>41.6774 * CHOOSE(CONTROL!$C$15, $E$9, 100%, $G$9) + CHOOSE(CONTROL!$C$38, 0.0342, 0)</f>
        <v>41.711599999999997</v>
      </c>
      <c r="I648" s="14">
        <f>41.679 * CHOOSE(CONTROL!$C$15, $E$9, 100%, $G$9) + CHOOSE(CONTROL!$C$38, 0.0342, 0)</f>
        <v>41.713200000000001</v>
      </c>
      <c r="J648" s="44">
        <f>362.6452</f>
        <v>362.64519999999999</v>
      </c>
    </row>
    <row r="649" spans="1:10" ht="15.75" x14ac:dyDescent="0.25">
      <c r="A649" s="32">
        <v>60691</v>
      </c>
      <c r="B649" s="14">
        <f>43.9759 * CHOOSE(CONTROL!$C$15, $E$9, 100%, $G$9) + CHOOSE(CONTROL!$C$38, 0.034, 0)</f>
        <v>44.009900000000002</v>
      </c>
      <c r="C649" s="14">
        <f>41.5644 * CHOOSE(CONTROL!$C$15, $E$9, 100%, $G$9) + CHOOSE(CONTROL!$C$38, 0.0342, 0)</f>
        <v>41.598599999999998</v>
      </c>
      <c r="D649" s="14">
        <f>41.5566 * CHOOSE(CONTROL!$C$15, $E$9, 100%, $G$9) + CHOOSE(CONTROL!$C$38, 0.0342, 0)</f>
        <v>41.590800000000002</v>
      </c>
      <c r="E649" s="14">
        <f>41.5566 * CHOOSE(CONTROL!$C$15, $E$9, 100%, $G$9) + CHOOSE(CONTROL!$C$38, 0.0342, 0)</f>
        <v>41.590800000000002</v>
      </c>
      <c r="F649" s="45">
        <f>43.9759 * CHOOSE(CONTROL!$C$15, $E$9, 100%, $G$9) + CHOOSE(CONTROL!$C$38, 0.034, 0)</f>
        <v>44.009900000000002</v>
      </c>
      <c r="G649" s="14">
        <f>41.5629 * CHOOSE(CONTROL!$C$15, $E$9, 100%, $G$9) + CHOOSE(CONTROL!$C$38, 0.0342, 0)</f>
        <v>41.597099999999998</v>
      </c>
      <c r="H649" s="14">
        <f>41.5629 * CHOOSE(CONTROL!$C$15, $E$9, 100%, $G$9) + CHOOSE(CONTROL!$C$38, 0.0342, 0)</f>
        <v>41.597099999999998</v>
      </c>
      <c r="I649" s="14">
        <f>41.5644 * CHOOSE(CONTROL!$C$15, $E$9, 100%, $G$9) + CHOOSE(CONTROL!$C$38, 0.0342, 0)</f>
        <v>41.598599999999998</v>
      </c>
      <c r="J649" s="44">
        <f>361.6372</f>
        <v>361.63720000000001</v>
      </c>
    </row>
    <row r="650" spans="1:10" ht="15.75" x14ac:dyDescent="0.25">
      <c r="A650" s="32">
        <v>60722</v>
      </c>
      <c r="B650" s="14">
        <f>46.2612 * CHOOSE(CONTROL!$C$15, $E$9, 100%, $G$9) + CHOOSE(CONTROL!$C$38, 0.034, 0)</f>
        <v>46.295200000000001</v>
      </c>
      <c r="C650" s="14">
        <f>43.7308 * CHOOSE(CONTROL!$C$15, $E$9, 100%, $G$9) + CHOOSE(CONTROL!$C$38, 0.0342, 0)</f>
        <v>43.765000000000001</v>
      </c>
      <c r="D650" s="14">
        <f>43.723 * CHOOSE(CONTROL!$C$15, $E$9, 100%, $G$9) + CHOOSE(CONTROL!$C$38, 0.0342, 0)</f>
        <v>43.757199999999997</v>
      </c>
      <c r="E650" s="14">
        <f>43.723 * CHOOSE(CONTROL!$C$15, $E$9, 100%, $G$9) + CHOOSE(CONTROL!$C$38, 0.0342, 0)</f>
        <v>43.757199999999997</v>
      </c>
      <c r="F650" s="45">
        <f>46.2612 * CHOOSE(CONTROL!$C$15, $E$9, 100%, $G$9) + CHOOSE(CONTROL!$C$38, 0.034, 0)</f>
        <v>46.295200000000001</v>
      </c>
      <c r="G650" s="14">
        <f>43.7293 * CHOOSE(CONTROL!$C$15, $E$9, 100%, $G$9) + CHOOSE(CONTROL!$C$38, 0.0342, 0)</f>
        <v>43.763500000000001</v>
      </c>
      <c r="H650" s="14">
        <f>43.7293 * CHOOSE(CONTROL!$C$15, $E$9, 100%, $G$9) + CHOOSE(CONTROL!$C$38, 0.0342, 0)</f>
        <v>43.763500000000001</v>
      </c>
      <c r="I650" s="14">
        <f>43.7308 * CHOOSE(CONTROL!$C$15, $E$9, 100%, $G$9) + CHOOSE(CONTROL!$C$38, 0.0342, 0)</f>
        <v>43.765000000000001</v>
      </c>
      <c r="J650" s="44">
        <f>380.6975</f>
        <v>380.69749999999999</v>
      </c>
    </row>
    <row r="651" spans="1:10" ht="15.75" x14ac:dyDescent="0.25">
      <c r="A651" s="32">
        <v>60752</v>
      </c>
      <c r="B651" s="14">
        <f>49.2246 * CHOOSE(CONTROL!$C$15, $E$9, 100%, $G$9) + CHOOSE(CONTROL!$C$38, 0.034, 0)</f>
        <v>49.258600000000001</v>
      </c>
      <c r="C651" s="14">
        <f>46.5401 * CHOOSE(CONTROL!$C$15, $E$9, 100%, $G$9) + CHOOSE(CONTROL!$C$38, 0.0342, 0)</f>
        <v>46.574300000000001</v>
      </c>
      <c r="D651" s="14">
        <f>46.5323 * CHOOSE(CONTROL!$C$15, $E$9, 100%, $G$9) + CHOOSE(CONTROL!$C$38, 0.0342, 0)</f>
        <v>46.566499999999998</v>
      </c>
      <c r="E651" s="14">
        <f>46.5323 * CHOOSE(CONTROL!$C$15, $E$9, 100%, $G$9) + CHOOSE(CONTROL!$C$38, 0.0342, 0)</f>
        <v>46.566499999999998</v>
      </c>
      <c r="F651" s="45">
        <f>49.2246 * CHOOSE(CONTROL!$C$15, $E$9, 100%, $G$9) + CHOOSE(CONTROL!$C$38, 0.034, 0)</f>
        <v>49.258600000000001</v>
      </c>
      <c r="G651" s="14">
        <f>46.5385 * CHOOSE(CONTROL!$C$15, $E$9, 100%, $G$9) + CHOOSE(CONTROL!$C$38, 0.0342, 0)</f>
        <v>46.572699999999998</v>
      </c>
      <c r="H651" s="14">
        <f>46.5385 * CHOOSE(CONTROL!$C$15, $E$9, 100%, $G$9) + CHOOSE(CONTROL!$C$38, 0.0342, 0)</f>
        <v>46.572699999999998</v>
      </c>
      <c r="I651" s="14">
        <f>46.5401 * CHOOSE(CONTROL!$C$15, $E$9, 100%, $G$9) + CHOOSE(CONTROL!$C$38, 0.0342, 0)</f>
        <v>46.574300000000001</v>
      </c>
      <c r="J651" s="44">
        <f>405.4143</f>
        <v>405.41430000000003</v>
      </c>
    </row>
    <row r="652" spans="1:10" ht="15.75" x14ac:dyDescent="0.25">
      <c r="A652" s="32">
        <v>60783</v>
      </c>
      <c r="B652" s="14">
        <f>50.8558 * CHOOSE(CONTROL!$C$15, $E$9, 100%, $G$9) + CHOOSE(CONTROL!$C$38, 0.0353, 0)</f>
        <v>50.891100000000002</v>
      </c>
      <c r="C652" s="14">
        <f>48.0864 * CHOOSE(CONTROL!$C$15, $E$9, 100%, $G$9) + CHOOSE(CONTROL!$C$38, 0.0354, 0)</f>
        <v>48.1218</v>
      </c>
      <c r="D652" s="14">
        <f>48.0786 * CHOOSE(CONTROL!$C$15, $E$9, 100%, $G$9) + CHOOSE(CONTROL!$C$38, 0.0354, 0)</f>
        <v>48.114000000000004</v>
      </c>
      <c r="E652" s="14">
        <f>48.0786 * CHOOSE(CONTROL!$C$15, $E$9, 100%, $G$9) + CHOOSE(CONTROL!$C$38, 0.0354, 0)</f>
        <v>48.114000000000004</v>
      </c>
      <c r="F652" s="45">
        <f>50.8558 * CHOOSE(CONTROL!$C$15, $E$9, 100%, $G$9) + CHOOSE(CONTROL!$C$38, 0.0353, 0)</f>
        <v>50.891100000000002</v>
      </c>
      <c r="G652" s="14">
        <f>48.0849 * CHOOSE(CONTROL!$C$15, $E$9, 100%, $G$9) + CHOOSE(CONTROL!$C$38, 0.0354, 0)</f>
        <v>48.1203</v>
      </c>
      <c r="H652" s="14">
        <f>48.0849 * CHOOSE(CONTROL!$C$15, $E$9, 100%, $G$9) + CHOOSE(CONTROL!$C$38, 0.0354, 0)</f>
        <v>48.1203</v>
      </c>
      <c r="I652" s="14">
        <f>48.0864 * CHOOSE(CONTROL!$C$15, $E$9, 100%, $G$9) + CHOOSE(CONTROL!$C$38, 0.0354, 0)</f>
        <v>48.1218</v>
      </c>
      <c r="J652" s="44">
        <f>419.0192</f>
        <v>419.01920000000001</v>
      </c>
    </row>
    <row r="653" spans="1:10" ht="15.75" x14ac:dyDescent="0.25">
      <c r="A653" s="32">
        <v>60813</v>
      </c>
      <c r="B653" s="14">
        <f>51.5796 * CHOOSE(CONTROL!$C$15, $E$9, 100%, $G$9) + CHOOSE(CONTROL!$C$38, 0.0353, 0)</f>
        <v>51.614899999999999</v>
      </c>
      <c r="C653" s="14">
        <f>48.7727 * CHOOSE(CONTROL!$C$15, $E$9, 100%, $G$9) + CHOOSE(CONTROL!$C$38, 0.0354, 0)</f>
        <v>48.808100000000003</v>
      </c>
      <c r="D653" s="14">
        <f>48.7649 * CHOOSE(CONTROL!$C$15, $E$9, 100%, $G$9) + CHOOSE(CONTROL!$C$38, 0.0354, 0)</f>
        <v>48.8003</v>
      </c>
      <c r="E653" s="14">
        <f>48.7649 * CHOOSE(CONTROL!$C$15, $E$9, 100%, $G$9) + CHOOSE(CONTROL!$C$38, 0.0354, 0)</f>
        <v>48.8003</v>
      </c>
      <c r="F653" s="45">
        <f>51.5796 * CHOOSE(CONTROL!$C$15, $E$9, 100%, $G$9) + CHOOSE(CONTROL!$C$38, 0.0353, 0)</f>
        <v>51.614899999999999</v>
      </c>
      <c r="G653" s="14">
        <f>48.7711 * CHOOSE(CONTROL!$C$15, $E$9, 100%, $G$9) + CHOOSE(CONTROL!$C$38, 0.0354, 0)</f>
        <v>48.8065</v>
      </c>
      <c r="H653" s="14">
        <f>48.7711 * CHOOSE(CONTROL!$C$15, $E$9, 100%, $G$9) + CHOOSE(CONTROL!$C$38, 0.0354, 0)</f>
        <v>48.8065</v>
      </c>
      <c r="I653" s="14">
        <f>48.7727 * CHOOSE(CONTROL!$C$15, $E$9, 100%, $G$9) + CHOOSE(CONTROL!$C$38, 0.0354, 0)</f>
        <v>48.808100000000003</v>
      </c>
      <c r="J653" s="44">
        <f>425.0568</f>
        <v>425.05680000000001</v>
      </c>
    </row>
    <row r="654" spans="1:10" ht="15.75" x14ac:dyDescent="0.25">
      <c r="A654" s="32">
        <v>60844</v>
      </c>
      <c r="B654" s="14">
        <f>51.3413 * CHOOSE(CONTROL!$C$15, $E$9, 100%, $G$9) + CHOOSE(CONTROL!$C$38, 0.0353, 0)</f>
        <v>51.376599999999996</v>
      </c>
      <c r="C654" s="14">
        <f>48.5467 * CHOOSE(CONTROL!$C$15, $E$9, 100%, $G$9) + CHOOSE(CONTROL!$C$38, 0.0354, 0)</f>
        <v>48.582100000000004</v>
      </c>
      <c r="D654" s="14">
        <f>48.5389 * CHOOSE(CONTROL!$C$15, $E$9, 100%, $G$9) + CHOOSE(CONTROL!$C$38, 0.0354, 0)</f>
        <v>48.574300000000001</v>
      </c>
      <c r="E654" s="14">
        <f>48.5389 * CHOOSE(CONTROL!$C$15, $E$9, 100%, $G$9) + CHOOSE(CONTROL!$C$38, 0.0354, 0)</f>
        <v>48.574300000000001</v>
      </c>
      <c r="F654" s="45">
        <f>51.3413 * CHOOSE(CONTROL!$C$15, $E$9, 100%, $G$9) + CHOOSE(CONTROL!$C$38, 0.0353, 0)</f>
        <v>51.376599999999996</v>
      </c>
      <c r="G654" s="14">
        <f>48.5452 * CHOOSE(CONTROL!$C$15, $E$9, 100%, $G$9) + CHOOSE(CONTROL!$C$38, 0.0354, 0)</f>
        <v>48.580600000000004</v>
      </c>
      <c r="H654" s="14">
        <f>48.5452 * CHOOSE(CONTROL!$C$15, $E$9, 100%, $G$9) + CHOOSE(CONTROL!$C$38, 0.0354, 0)</f>
        <v>48.580600000000004</v>
      </c>
      <c r="I654" s="14">
        <f>48.5467 * CHOOSE(CONTROL!$C$15, $E$9, 100%, $G$9) + CHOOSE(CONTROL!$C$38, 0.0354, 0)</f>
        <v>48.582100000000004</v>
      </c>
      <c r="J654" s="44">
        <f>423.0689</f>
        <v>423.06889999999999</v>
      </c>
    </row>
    <row r="655" spans="1:10" ht="15.75" x14ac:dyDescent="0.25">
      <c r="A655" s="32">
        <v>60875</v>
      </c>
      <c r="B655" s="14">
        <f>50.1605 * CHOOSE(CONTROL!$C$15, $E$9, 100%, $G$9) + CHOOSE(CONTROL!$C$38, 0.0353, 0)</f>
        <v>50.195799999999998</v>
      </c>
      <c r="C655" s="14">
        <f>47.4273 * CHOOSE(CONTROL!$C$15, $E$9, 100%, $G$9) + CHOOSE(CONTROL!$C$38, 0.0354, 0)</f>
        <v>47.462700000000005</v>
      </c>
      <c r="D655" s="14">
        <f>47.4195 * CHOOSE(CONTROL!$C$15, $E$9, 100%, $G$9) + CHOOSE(CONTROL!$C$38, 0.0354, 0)</f>
        <v>47.454900000000002</v>
      </c>
      <c r="E655" s="14">
        <f>47.4195 * CHOOSE(CONTROL!$C$15, $E$9, 100%, $G$9) + CHOOSE(CONTROL!$C$38, 0.0354, 0)</f>
        <v>47.454900000000002</v>
      </c>
      <c r="F655" s="45">
        <f>50.1605 * CHOOSE(CONTROL!$C$15, $E$9, 100%, $G$9) + CHOOSE(CONTROL!$C$38, 0.0353, 0)</f>
        <v>50.195799999999998</v>
      </c>
      <c r="G655" s="14">
        <f>47.4258 * CHOOSE(CONTROL!$C$15, $E$9, 100%, $G$9) + CHOOSE(CONTROL!$C$38, 0.0354, 0)</f>
        <v>47.461200000000005</v>
      </c>
      <c r="H655" s="14">
        <f>47.4258 * CHOOSE(CONTROL!$C$15, $E$9, 100%, $G$9) + CHOOSE(CONTROL!$C$38, 0.0354, 0)</f>
        <v>47.461200000000005</v>
      </c>
      <c r="I655" s="14">
        <f>47.4273 * CHOOSE(CONTROL!$C$15, $E$9, 100%, $G$9) + CHOOSE(CONTROL!$C$38, 0.0354, 0)</f>
        <v>47.462700000000005</v>
      </c>
      <c r="J655" s="44">
        <f>413.22</f>
        <v>413.22</v>
      </c>
    </row>
    <row r="656" spans="1:10" ht="15.75" x14ac:dyDescent="0.25">
      <c r="A656" s="32">
        <v>60905</v>
      </c>
      <c r="B656" s="14">
        <f>48.5137 * CHOOSE(CONTROL!$C$15, $E$9, 100%, $G$9) + CHOOSE(CONTROL!$C$38, 0.0353, 0)</f>
        <v>48.548999999999999</v>
      </c>
      <c r="C656" s="14">
        <f>45.8662 * CHOOSE(CONTROL!$C$15, $E$9, 100%, $G$9) + CHOOSE(CONTROL!$C$38, 0.0354, 0)</f>
        <v>45.901600000000002</v>
      </c>
      <c r="D656" s="14">
        <f>45.8584 * CHOOSE(CONTROL!$C$15, $E$9, 100%, $G$9) + CHOOSE(CONTROL!$C$38, 0.0354, 0)</f>
        <v>45.893800000000006</v>
      </c>
      <c r="E656" s="14">
        <f>45.8584 * CHOOSE(CONTROL!$C$15, $E$9, 100%, $G$9) + CHOOSE(CONTROL!$C$38, 0.0354, 0)</f>
        <v>45.893800000000006</v>
      </c>
      <c r="F656" s="45">
        <f>48.5137 * CHOOSE(CONTROL!$C$15, $E$9, 100%, $G$9) + CHOOSE(CONTROL!$C$38, 0.0353, 0)</f>
        <v>48.548999999999999</v>
      </c>
      <c r="G656" s="14">
        <f>45.8647 * CHOOSE(CONTROL!$C$15, $E$9, 100%, $G$9) + CHOOSE(CONTROL!$C$38, 0.0354, 0)</f>
        <v>45.900100000000002</v>
      </c>
      <c r="H656" s="14">
        <f>45.8647 * CHOOSE(CONTROL!$C$15, $E$9, 100%, $G$9) + CHOOSE(CONTROL!$C$38, 0.0354, 0)</f>
        <v>45.900100000000002</v>
      </c>
      <c r="I656" s="14">
        <f>45.8662 * CHOOSE(CONTROL!$C$15, $E$9, 100%, $G$9) + CHOOSE(CONTROL!$C$38, 0.0354, 0)</f>
        <v>45.901600000000002</v>
      </c>
      <c r="J656" s="44">
        <f>399.4853</f>
        <v>399.4853</v>
      </c>
    </row>
    <row r="657" spans="1:10" ht="15.75" x14ac:dyDescent="0.25">
      <c r="A657" s="32">
        <v>60936</v>
      </c>
      <c r="B657" s="14">
        <f>46.8574 * CHOOSE(CONTROL!$C$15, $E$9, 100%, $G$9) + CHOOSE(CONTROL!$C$38, 0.034, 0)</f>
        <v>46.891399999999997</v>
      </c>
      <c r="C657" s="14">
        <f>44.2961 * CHOOSE(CONTROL!$C$15, $E$9, 100%, $G$9) + CHOOSE(CONTROL!$C$38, 0.0342, 0)</f>
        <v>44.330300000000001</v>
      </c>
      <c r="D657" s="14">
        <f>44.2883 * CHOOSE(CONTROL!$C$15, $E$9, 100%, $G$9) + CHOOSE(CONTROL!$C$38, 0.0342, 0)</f>
        <v>44.322499999999998</v>
      </c>
      <c r="E657" s="14">
        <f>44.2883 * CHOOSE(CONTROL!$C$15, $E$9, 100%, $G$9) + CHOOSE(CONTROL!$C$38, 0.0342, 0)</f>
        <v>44.322499999999998</v>
      </c>
      <c r="F657" s="45">
        <f>46.8574 * CHOOSE(CONTROL!$C$15, $E$9, 100%, $G$9) + CHOOSE(CONTROL!$C$38, 0.034, 0)</f>
        <v>46.891399999999997</v>
      </c>
      <c r="G657" s="14">
        <f>44.2945 * CHOOSE(CONTROL!$C$15, $E$9, 100%, $G$9) + CHOOSE(CONTROL!$C$38, 0.0342, 0)</f>
        <v>44.328699999999998</v>
      </c>
      <c r="H657" s="14">
        <f>44.2945 * CHOOSE(CONTROL!$C$15, $E$9, 100%, $G$9) + CHOOSE(CONTROL!$C$38, 0.0342, 0)</f>
        <v>44.328699999999998</v>
      </c>
      <c r="I657" s="14">
        <f>44.2961 * CHOOSE(CONTROL!$C$15, $E$9, 100%, $G$9) + CHOOSE(CONTROL!$C$38, 0.0342, 0)</f>
        <v>44.330300000000001</v>
      </c>
      <c r="J657" s="44">
        <f>385.6707</f>
        <v>385.67070000000001</v>
      </c>
    </row>
    <row r="658" spans="1:10" ht="15.75" x14ac:dyDescent="0.25">
      <c r="A658" s="32">
        <v>60966</v>
      </c>
      <c r="B658" s="14">
        <f>46.5279 * CHOOSE(CONTROL!$C$15, $E$9, 100%, $G$9) + CHOOSE(CONTROL!$C$38, 0.034, 0)</f>
        <v>46.561900000000001</v>
      </c>
      <c r="C658" s="14">
        <f>43.9837 * CHOOSE(CONTROL!$C$15, $E$9, 100%, $G$9) + CHOOSE(CONTROL!$C$38, 0.0342, 0)</f>
        <v>44.017899999999997</v>
      </c>
      <c r="D658" s="14">
        <f>43.9759 * CHOOSE(CONTROL!$C$15, $E$9, 100%, $G$9) + CHOOSE(CONTROL!$C$38, 0.0342, 0)</f>
        <v>44.010100000000001</v>
      </c>
      <c r="E658" s="14">
        <f>43.9759 * CHOOSE(CONTROL!$C$15, $E$9, 100%, $G$9) + CHOOSE(CONTROL!$C$38, 0.0342, 0)</f>
        <v>44.010100000000001</v>
      </c>
      <c r="F658" s="45">
        <f>46.5279 * CHOOSE(CONTROL!$C$15, $E$9, 100%, $G$9) + CHOOSE(CONTROL!$C$38, 0.034, 0)</f>
        <v>46.561900000000001</v>
      </c>
      <c r="G658" s="14">
        <f>43.9822 * CHOOSE(CONTROL!$C$15, $E$9, 100%, $G$9) + CHOOSE(CONTROL!$C$38, 0.0342, 0)</f>
        <v>44.016399999999997</v>
      </c>
      <c r="H658" s="14">
        <f>43.9822 * CHOOSE(CONTROL!$C$15, $E$9, 100%, $G$9) + CHOOSE(CONTROL!$C$38, 0.0342, 0)</f>
        <v>44.016399999999997</v>
      </c>
      <c r="I658" s="14">
        <f>43.9837 * CHOOSE(CONTROL!$C$15, $E$9, 100%, $G$9) + CHOOSE(CONTROL!$C$38, 0.0342, 0)</f>
        <v>44.017899999999997</v>
      </c>
      <c r="J658" s="44">
        <f>382.9227</f>
        <v>382.92270000000002</v>
      </c>
    </row>
    <row r="659" spans="1:10" ht="15.75" x14ac:dyDescent="0.25">
      <c r="A659" s="32">
        <v>60997</v>
      </c>
      <c r="B659" s="14">
        <f>45.1655 * CHOOSE(CONTROL!$C$15, $E$9, 100%, $G$9) + CHOOSE(CONTROL!$C$38, 0.034, 0)</f>
        <v>45.1995</v>
      </c>
      <c r="C659" s="14">
        <f>42.6922 * CHOOSE(CONTROL!$C$15, $E$9, 100%, $G$9) + CHOOSE(CONTROL!$C$38, 0.0342, 0)</f>
        <v>42.726399999999998</v>
      </c>
      <c r="D659" s="14">
        <f>42.6844 * CHOOSE(CONTROL!$C$15, $E$9, 100%, $G$9) + CHOOSE(CONTROL!$C$38, 0.0342, 0)</f>
        <v>42.718599999999995</v>
      </c>
      <c r="E659" s="14">
        <f>42.6844 * CHOOSE(CONTROL!$C$15, $E$9, 100%, $G$9) + CHOOSE(CONTROL!$C$38, 0.0342, 0)</f>
        <v>42.718599999999995</v>
      </c>
      <c r="F659" s="45">
        <f>45.1655 * CHOOSE(CONTROL!$C$15, $E$9, 100%, $G$9) + CHOOSE(CONTROL!$C$38, 0.034, 0)</f>
        <v>45.1995</v>
      </c>
      <c r="G659" s="14">
        <f>42.6906 * CHOOSE(CONTROL!$C$15, $E$9, 100%, $G$9) + CHOOSE(CONTROL!$C$38, 0.0342, 0)</f>
        <v>42.724800000000002</v>
      </c>
      <c r="H659" s="14">
        <f>42.6906 * CHOOSE(CONTROL!$C$15, $E$9, 100%, $G$9) + CHOOSE(CONTROL!$C$38, 0.0342, 0)</f>
        <v>42.724800000000002</v>
      </c>
      <c r="I659" s="14">
        <f>42.6922 * CHOOSE(CONTROL!$C$15, $E$9, 100%, $G$9) + CHOOSE(CONTROL!$C$38, 0.0342, 0)</f>
        <v>42.726399999999998</v>
      </c>
      <c r="J659" s="44">
        <f>371.5594</f>
        <v>371.55939999999998</v>
      </c>
    </row>
    <row r="660" spans="1:10" ht="15.75" x14ac:dyDescent="0.25">
      <c r="A660" s="32">
        <v>61028</v>
      </c>
      <c r="B660" s="14">
        <f>44.8272 * CHOOSE(CONTROL!$C$15, $E$9, 100%, $G$9) + CHOOSE(CONTROL!$C$38, 0.034, 0)</f>
        <v>44.861199999999997</v>
      </c>
      <c r="C660" s="14">
        <f>42.3715 * CHOOSE(CONTROL!$C$15, $E$9, 100%, $G$9) + CHOOSE(CONTROL!$C$38, 0.0342, 0)</f>
        <v>42.405699999999996</v>
      </c>
      <c r="D660" s="14">
        <f>42.3636 * CHOOSE(CONTROL!$C$15, $E$9, 100%, $G$9) + CHOOSE(CONTROL!$C$38, 0.0342, 0)</f>
        <v>42.397799999999997</v>
      </c>
      <c r="E660" s="14">
        <f>42.3636 * CHOOSE(CONTROL!$C$15, $E$9, 100%, $G$9) + CHOOSE(CONTROL!$C$38, 0.0342, 0)</f>
        <v>42.397799999999997</v>
      </c>
      <c r="F660" s="45">
        <f>44.8272 * CHOOSE(CONTROL!$C$15, $E$9, 100%, $G$9) + CHOOSE(CONTROL!$C$38, 0.034, 0)</f>
        <v>44.861199999999997</v>
      </c>
      <c r="G660" s="14">
        <f>42.3699 * CHOOSE(CONTROL!$C$15, $E$9, 100%, $G$9) + CHOOSE(CONTROL!$C$38, 0.0342, 0)</f>
        <v>42.4041</v>
      </c>
      <c r="H660" s="14">
        <f>42.3699 * CHOOSE(CONTROL!$C$15, $E$9, 100%, $G$9) + CHOOSE(CONTROL!$C$38, 0.0342, 0)</f>
        <v>42.4041</v>
      </c>
      <c r="I660" s="14">
        <f>42.3715 * CHOOSE(CONTROL!$C$15, $E$9, 100%, $G$9) + CHOOSE(CONTROL!$C$38, 0.0342, 0)</f>
        <v>42.405699999999996</v>
      </c>
      <c r="J660" s="44">
        <f>371.2912</f>
        <v>371.2912</v>
      </c>
    </row>
    <row r="661" spans="1:10" ht="15.75" x14ac:dyDescent="0.25">
      <c r="A661" s="32">
        <v>61056</v>
      </c>
      <c r="B661" s="14">
        <f>44.7043 * CHOOSE(CONTROL!$C$15, $E$9, 100%, $G$9) + CHOOSE(CONTROL!$C$38, 0.034, 0)</f>
        <v>44.738300000000002</v>
      </c>
      <c r="C661" s="14">
        <f>42.255 * CHOOSE(CONTROL!$C$15, $E$9, 100%, $G$9) + CHOOSE(CONTROL!$C$38, 0.0342, 0)</f>
        <v>42.289200000000001</v>
      </c>
      <c r="D661" s="14">
        <f>42.2471 * CHOOSE(CONTROL!$C$15, $E$9, 100%, $G$9) + CHOOSE(CONTROL!$C$38, 0.0342, 0)</f>
        <v>42.281300000000002</v>
      </c>
      <c r="E661" s="14">
        <f>42.2471 * CHOOSE(CONTROL!$C$15, $E$9, 100%, $G$9) + CHOOSE(CONTROL!$C$38, 0.0342, 0)</f>
        <v>42.281300000000002</v>
      </c>
      <c r="F661" s="45">
        <f>44.7043 * CHOOSE(CONTROL!$C$15, $E$9, 100%, $G$9) + CHOOSE(CONTROL!$C$38, 0.034, 0)</f>
        <v>44.738300000000002</v>
      </c>
      <c r="G661" s="14">
        <f>42.2534 * CHOOSE(CONTROL!$C$15, $E$9, 100%, $G$9) + CHOOSE(CONTROL!$C$38, 0.0342, 0)</f>
        <v>42.287599999999998</v>
      </c>
      <c r="H661" s="14">
        <f>42.2534 * CHOOSE(CONTROL!$C$15, $E$9, 100%, $G$9) + CHOOSE(CONTROL!$C$38, 0.0342, 0)</f>
        <v>42.287599999999998</v>
      </c>
      <c r="I661" s="14">
        <f>42.255 * CHOOSE(CONTROL!$C$15, $E$9, 100%, $G$9) + CHOOSE(CONTROL!$C$38, 0.0342, 0)</f>
        <v>42.289200000000001</v>
      </c>
      <c r="J661" s="44">
        <f>370.2591</f>
        <v>370.25909999999999</v>
      </c>
    </row>
    <row r="662" spans="1:10" ht="15.75" x14ac:dyDescent="0.25">
      <c r="A662" s="32">
        <v>61087</v>
      </c>
      <c r="B662" s="14">
        <f>47.028 * CHOOSE(CONTROL!$C$15, $E$9, 100%, $G$9) + CHOOSE(CONTROL!$C$38, 0.034, 0)</f>
        <v>47.061999999999998</v>
      </c>
      <c r="C662" s="14">
        <f>44.4577 * CHOOSE(CONTROL!$C$15, $E$9, 100%, $G$9) + CHOOSE(CONTROL!$C$38, 0.0342, 0)</f>
        <v>44.491900000000001</v>
      </c>
      <c r="D662" s="14">
        <f>44.4499 * CHOOSE(CONTROL!$C$15, $E$9, 100%, $G$9) + CHOOSE(CONTROL!$C$38, 0.0342, 0)</f>
        <v>44.484099999999998</v>
      </c>
      <c r="E662" s="14">
        <f>44.4499 * CHOOSE(CONTROL!$C$15, $E$9, 100%, $G$9) + CHOOSE(CONTROL!$C$38, 0.0342, 0)</f>
        <v>44.484099999999998</v>
      </c>
      <c r="F662" s="45">
        <f>47.028 * CHOOSE(CONTROL!$C$15, $E$9, 100%, $G$9) + CHOOSE(CONTROL!$C$38, 0.034, 0)</f>
        <v>47.061999999999998</v>
      </c>
      <c r="G662" s="14">
        <f>44.4562 * CHOOSE(CONTROL!$C$15, $E$9, 100%, $G$9) + CHOOSE(CONTROL!$C$38, 0.0342, 0)</f>
        <v>44.490400000000001</v>
      </c>
      <c r="H662" s="14">
        <f>44.4562 * CHOOSE(CONTROL!$C$15, $E$9, 100%, $G$9) + CHOOSE(CONTROL!$C$38, 0.0342, 0)</f>
        <v>44.490400000000001</v>
      </c>
      <c r="I662" s="14">
        <f>44.4577 * CHOOSE(CONTROL!$C$15, $E$9, 100%, $G$9) + CHOOSE(CONTROL!$C$38, 0.0342, 0)</f>
        <v>44.491900000000001</v>
      </c>
      <c r="J662" s="44">
        <f>389.7739</f>
        <v>389.77390000000003</v>
      </c>
    </row>
    <row r="663" spans="1:10" ht="15.75" x14ac:dyDescent="0.25">
      <c r="A663" s="32">
        <v>61117</v>
      </c>
      <c r="B663" s="14">
        <f>50.0412 * CHOOSE(CONTROL!$C$15, $E$9, 100%, $G$9) + CHOOSE(CONTROL!$C$38, 0.034, 0)</f>
        <v>50.075200000000002</v>
      </c>
      <c r="C663" s="14">
        <f>47.3142 * CHOOSE(CONTROL!$C$15, $E$9, 100%, $G$9) + CHOOSE(CONTROL!$C$38, 0.0342, 0)</f>
        <v>47.348399999999998</v>
      </c>
      <c r="D663" s="14">
        <f>47.3064 * CHOOSE(CONTROL!$C$15, $E$9, 100%, $G$9) + CHOOSE(CONTROL!$C$38, 0.0342, 0)</f>
        <v>47.340599999999995</v>
      </c>
      <c r="E663" s="14">
        <f>47.3064 * CHOOSE(CONTROL!$C$15, $E$9, 100%, $G$9) + CHOOSE(CONTROL!$C$38, 0.0342, 0)</f>
        <v>47.340599999999995</v>
      </c>
      <c r="F663" s="45">
        <f>50.0412 * CHOOSE(CONTROL!$C$15, $E$9, 100%, $G$9) + CHOOSE(CONTROL!$C$38, 0.034, 0)</f>
        <v>50.075200000000002</v>
      </c>
      <c r="G663" s="14">
        <f>47.3127 * CHOOSE(CONTROL!$C$15, $E$9, 100%, $G$9) + CHOOSE(CONTROL!$C$38, 0.0342, 0)</f>
        <v>47.346899999999998</v>
      </c>
      <c r="H663" s="14">
        <f>47.3127 * CHOOSE(CONTROL!$C$15, $E$9, 100%, $G$9) + CHOOSE(CONTROL!$C$38, 0.0342, 0)</f>
        <v>47.346899999999998</v>
      </c>
      <c r="I663" s="14">
        <f>47.3142 * CHOOSE(CONTROL!$C$15, $E$9, 100%, $G$9) + CHOOSE(CONTROL!$C$38, 0.0342, 0)</f>
        <v>47.348399999999998</v>
      </c>
      <c r="J663" s="44">
        <f>415.08</f>
        <v>415.08</v>
      </c>
    </row>
    <row r="664" spans="1:10" ht="15.75" x14ac:dyDescent="0.25">
      <c r="A664" s="32">
        <v>61148</v>
      </c>
      <c r="B664" s="14">
        <f>51.6997 * CHOOSE(CONTROL!$C$15, $E$9, 100%, $G$9) + CHOOSE(CONTROL!$C$38, 0.0353, 0)</f>
        <v>51.734999999999999</v>
      </c>
      <c r="C664" s="14">
        <f>48.8865 * CHOOSE(CONTROL!$C$15, $E$9, 100%, $G$9) + CHOOSE(CONTROL!$C$38, 0.0354, 0)</f>
        <v>48.921900000000001</v>
      </c>
      <c r="D664" s="14">
        <f>48.8787 * CHOOSE(CONTROL!$C$15, $E$9, 100%, $G$9) + CHOOSE(CONTROL!$C$38, 0.0354, 0)</f>
        <v>48.914100000000005</v>
      </c>
      <c r="E664" s="14">
        <f>48.8787 * CHOOSE(CONTROL!$C$15, $E$9, 100%, $G$9) + CHOOSE(CONTROL!$C$38, 0.0354, 0)</f>
        <v>48.914100000000005</v>
      </c>
      <c r="F664" s="45">
        <f>51.6997 * CHOOSE(CONTROL!$C$15, $E$9, 100%, $G$9) + CHOOSE(CONTROL!$C$38, 0.0353, 0)</f>
        <v>51.734999999999999</v>
      </c>
      <c r="G664" s="14">
        <f>48.885 * CHOOSE(CONTROL!$C$15, $E$9, 100%, $G$9) + CHOOSE(CONTROL!$C$38, 0.0354, 0)</f>
        <v>48.920400000000001</v>
      </c>
      <c r="H664" s="14">
        <f>48.885 * CHOOSE(CONTROL!$C$15, $E$9, 100%, $G$9) + CHOOSE(CONTROL!$C$38, 0.0354, 0)</f>
        <v>48.920400000000001</v>
      </c>
      <c r="I664" s="14">
        <f>48.8865 * CHOOSE(CONTROL!$C$15, $E$9, 100%, $G$9) + CHOOSE(CONTROL!$C$38, 0.0354, 0)</f>
        <v>48.921900000000001</v>
      </c>
      <c r="J664" s="44">
        <f>429.0092</f>
        <v>429.00920000000002</v>
      </c>
    </row>
    <row r="665" spans="1:10" ht="15.75" x14ac:dyDescent="0.25">
      <c r="A665" s="32">
        <v>61178</v>
      </c>
      <c r="B665" s="14">
        <f>52.4358 * CHOOSE(CONTROL!$C$15, $E$9, 100%, $G$9) + CHOOSE(CONTROL!$C$38, 0.0353, 0)</f>
        <v>52.4711</v>
      </c>
      <c r="C665" s="14">
        <f>49.5843 * CHOOSE(CONTROL!$C$15, $E$9, 100%, $G$9) + CHOOSE(CONTROL!$C$38, 0.0354, 0)</f>
        <v>49.619700000000002</v>
      </c>
      <c r="D665" s="14">
        <f>49.5765 * CHOOSE(CONTROL!$C$15, $E$9, 100%, $G$9) + CHOOSE(CONTROL!$C$38, 0.0354, 0)</f>
        <v>49.611900000000006</v>
      </c>
      <c r="E665" s="14">
        <f>49.5765 * CHOOSE(CONTROL!$C$15, $E$9, 100%, $G$9) + CHOOSE(CONTROL!$C$38, 0.0354, 0)</f>
        <v>49.611900000000006</v>
      </c>
      <c r="F665" s="45">
        <f>52.4358 * CHOOSE(CONTROL!$C$15, $E$9, 100%, $G$9) + CHOOSE(CONTROL!$C$38, 0.0353, 0)</f>
        <v>52.4711</v>
      </c>
      <c r="G665" s="14">
        <f>49.5827 * CHOOSE(CONTROL!$C$15, $E$9, 100%, $G$9) + CHOOSE(CONTROL!$C$38, 0.0354, 0)</f>
        <v>49.618100000000005</v>
      </c>
      <c r="H665" s="14">
        <f>49.5827 * CHOOSE(CONTROL!$C$15, $E$9, 100%, $G$9) + CHOOSE(CONTROL!$C$38, 0.0354, 0)</f>
        <v>49.618100000000005</v>
      </c>
      <c r="I665" s="14">
        <f>49.5843 * CHOOSE(CONTROL!$C$15, $E$9, 100%, $G$9) + CHOOSE(CONTROL!$C$38, 0.0354, 0)</f>
        <v>49.619700000000002</v>
      </c>
      <c r="J665" s="44">
        <f>435.1908</f>
        <v>435.19080000000002</v>
      </c>
    </row>
    <row r="666" spans="1:10" ht="15.75" x14ac:dyDescent="0.25">
      <c r="A666" s="32">
        <v>61209</v>
      </c>
      <c r="B666" s="14">
        <f>52.1935 * CHOOSE(CONTROL!$C$15, $E$9, 100%, $G$9) + CHOOSE(CONTROL!$C$38, 0.0353, 0)</f>
        <v>52.2288</v>
      </c>
      <c r="C666" s="14">
        <f>49.3546 * CHOOSE(CONTROL!$C$15, $E$9, 100%, $G$9) + CHOOSE(CONTROL!$C$38, 0.0354, 0)</f>
        <v>49.39</v>
      </c>
      <c r="D666" s="14">
        <f>49.3467 * CHOOSE(CONTROL!$C$15, $E$9, 100%, $G$9) + CHOOSE(CONTROL!$C$38, 0.0354, 0)</f>
        <v>49.382100000000001</v>
      </c>
      <c r="E666" s="14">
        <f>49.3467 * CHOOSE(CONTROL!$C$15, $E$9, 100%, $G$9) + CHOOSE(CONTROL!$C$38, 0.0354, 0)</f>
        <v>49.382100000000001</v>
      </c>
      <c r="F666" s="45">
        <f>52.1935 * CHOOSE(CONTROL!$C$15, $E$9, 100%, $G$9) + CHOOSE(CONTROL!$C$38, 0.0353, 0)</f>
        <v>52.2288</v>
      </c>
      <c r="G666" s="14">
        <f>49.353 * CHOOSE(CONTROL!$C$15, $E$9, 100%, $G$9) + CHOOSE(CONTROL!$C$38, 0.0354, 0)</f>
        <v>49.388400000000004</v>
      </c>
      <c r="H666" s="14">
        <f>49.353 * CHOOSE(CONTROL!$C$15, $E$9, 100%, $G$9) + CHOOSE(CONTROL!$C$38, 0.0354, 0)</f>
        <v>49.388400000000004</v>
      </c>
      <c r="I666" s="14">
        <f>49.3546 * CHOOSE(CONTROL!$C$15, $E$9, 100%, $G$9) + CHOOSE(CONTROL!$C$38, 0.0354, 0)</f>
        <v>49.39</v>
      </c>
      <c r="J666" s="44">
        <f>433.1555</f>
        <v>433.15550000000002</v>
      </c>
    </row>
    <row r="667" spans="1:10" ht="15.75" x14ac:dyDescent="0.25">
      <c r="A667" s="32">
        <v>61240</v>
      </c>
      <c r="B667" s="14">
        <f>50.9928 * CHOOSE(CONTROL!$C$15, $E$9, 100%, $G$9) + CHOOSE(CONTROL!$C$38, 0.0353, 0)</f>
        <v>51.028100000000002</v>
      </c>
      <c r="C667" s="14">
        <f>48.2163 * CHOOSE(CONTROL!$C$15, $E$9, 100%, $G$9) + CHOOSE(CONTROL!$C$38, 0.0354, 0)</f>
        <v>48.2517</v>
      </c>
      <c r="D667" s="14">
        <f>48.2085 * CHOOSE(CONTROL!$C$15, $E$9, 100%, $G$9) + CHOOSE(CONTROL!$C$38, 0.0354, 0)</f>
        <v>48.243900000000004</v>
      </c>
      <c r="E667" s="14">
        <f>48.2085 * CHOOSE(CONTROL!$C$15, $E$9, 100%, $G$9) + CHOOSE(CONTROL!$C$38, 0.0354, 0)</f>
        <v>48.243900000000004</v>
      </c>
      <c r="F667" s="45">
        <f>50.9928 * CHOOSE(CONTROL!$C$15, $E$9, 100%, $G$9) + CHOOSE(CONTROL!$C$38, 0.0353, 0)</f>
        <v>51.028100000000002</v>
      </c>
      <c r="G667" s="14">
        <f>48.2148 * CHOOSE(CONTROL!$C$15, $E$9, 100%, $G$9) + CHOOSE(CONTROL!$C$38, 0.0354, 0)</f>
        <v>48.2502</v>
      </c>
      <c r="H667" s="14">
        <f>48.2148 * CHOOSE(CONTROL!$C$15, $E$9, 100%, $G$9) + CHOOSE(CONTROL!$C$38, 0.0354, 0)</f>
        <v>48.2502</v>
      </c>
      <c r="I667" s="14">
        <f>48.2163 * CHOOSE(CONTROL!$C$15, $E$9, 100%, $G$9) + CHOOSE(CONTROL!$C$38, 0.0354, 0)</f>
        <v>48.2517</v>
      </c>
      <c r="J667" s="44">
        <f>423.0718</f>
        <v>423.0718</v>
      </c>
    </row>
    <row r="668" spans="1:10" ht="15.75" x14ac:dyDescent="0.25">
      <c r="A668" s="32">
        <v>61270</v>
      </c>
      <c r="B668" s="14">
        <f>49.3184 * CHOOSE(CONTROL!$C$15, $E$9, 100%, $G$9) + CHOOSE(CONTROL!$C$38, 0.0353, 0)</f>
        <v>49.353699999999996</v>
      </c>
      <c r="C668" s="14">
        <f>46.629 * CHOOSE(CONTROL!$C$15, $E$9, 100%, $G$9) + CHOOSE(CONTROL!$C$38, 0.0354, 0)</f>
        <v>46.664400000000001</v>
      </c>
      <c r="D668" s="14">
        <f>46.6212 * CHOOSE(CONTROL!$C$15, $E$9, 100%, $G$9) + CHOOSE(CONTROL!$C$38, 0.0354, 0)</f>
        <v>46.656600000000005</v>
      </c>
      <c r="E668" s="14">
        <f>46.6212 * CHOOSE(CONTROL!$C$15, $E$9, 100%, $G$9) + CHOOSE(CONTROL!$C$38, 0.0354, 0)</f>
        <v>46.656600000000005</v>
      </c>
      <c r="F668" s="45">
        <f>49.3184 * CHOOSE(CONTROL!$C$15, $E$9, 100%, $G$9) + CHOOSE(CONTROL!$C$38, 0.0353, 0)</f>
        <v>49.353699999999996</v>
      </c>
      <c r="G668" s="14">
        <f>46.6275 * CHOOSE(CONTROL!$C$15, $E$9, 100%, $G$9) + CHOOSE(CONTROL!$C$38, 0.0354, 0)</f>
        <v>46.6629</v>
      </c>
      <c r="H668" s="14">
        <f>46.6275 * CHOOSE(CONTROL!$C$15, $E$9, 100%, $G$9) + CHOOSE(CONTROL!$C$38, 0.0354, 0)</f>
        <v>46.6629</v>
      </c>
      <c r="I668" s="14">
        <f>46.629 * CHOOSE(CONTROL!$C$15, $E$9, 100%, $G$9) + CHOOSE(CONTROL!$C$38, 0.0354, 0)</f>
        <v>46.664400000000001</v>
      </c>
      <c r="J668" s="44">
        <f>409.0097</f>
        <v>409.00970000000001</v>
      </c>
    </row>
    <row r="669" spans="1:10" ht="15.75" x14ac:dyDescent="0.25">
      <c r="A669" s="32">
        <v>61301</v>
      </c>
      <c r="B669" s="14">
        <f>47.6342 * CHOOSE(CONTROL!$C$15, $E$9, 100%, $G$9) + CHOOSE(CONTROL!$C$38, 0.034, 0)</f>
        <v>47.668199999999999</v>
      </c>
      <c r="C669" s="14">
        <f>45.0325 * CHOOSE(CONTROL!$C$15, $E$9, 100%, $G$9) + CHOOSE(CONTROL!$C$38, 0.0342, 0)</f>
        <v>45.066699999999997</v>
      </c>
      <c r="D669" s="14">
        <f>45.0247 * CHOOSE(CONTROL!$C$15, $E$9, 100%, $G$9) + CHOOSE(CONTROL!$C$38, 0.0342, 0)</f>
        <v>45.058900000000001</v>
      </c>
      <c r="E669" s="14">
        <f>45.0247 * CHOOSE(CONTROL!$C$15, $E$9, 100%, $G$9) + CHOOSE(CONTROL!$C$38, 0.0342, 0)</f>
        <v>45.058900000000001</v>
      </c>
      <c r="F669" s="45">
        <f>47.6342 * CHOOSE(CONTROL!$C$15, $E$9, 100%, $G$9) + CHOOSE(CONTROL!$C$38, 0.034, 0)</f>
        <v>47.668199999999999</v>
      </c>
      <c r="G669" s="14">
        <f>45.0309 * CHOOSE(CONTROL!$C$15, $E$9, 100%, $G$9) + CHOOSE(CONTROL!$C$38, 0.0342, 0)</f>
        <v>45.065100000000001</v>
      </c>
      <c r="H669" s="14">
        <f>45.0309 * CHOOSE(CONTROL!$C$15, $E$9, 100%, $G$9) + CHOOSE(CONTROL!$C$38, 0.0342, 0)</f>
        <v>45.065100000000001</v>
      </c>
      <c r="I669" s="14">
        <f>45.0325 * CHOOSE(CONTROL!$C$15, $E$9, 100%, $G$9) + CHOOSE(CONTROL!$C$38, 0.0342, 0)</f>
        <v>45.066699999999997</v>
      </c>
      <c r="J669" s="44">
        <f>394.8657</f>
        <v>394.8657</v>
      </c>
    </row>
    <row r="670" spans="1:10" ht="15.75" x14ac:dyDescent="0.25">
      <c r="A670" s="32">
        <v>61331</v>
      </c>
      <c r="B670" s="14">
        <f>47.2992 * CHOOSE(CONTROL!$C$15, $E$9, 100%, $G$9) + CHOOSE(CONTROL!$C$38, 0.034, 0)</f>
        <v>47.333199999999998</v>
      </c>
      <c r="C670" s="14">
        <f>44.7149 * CHOOSE(CONTROL!$C$15, $E$9, 100%, $G$9) + CHOOSE(CONTROL!$C$38, 0.0342, 0)</f>
        <v>44.749099999999999</v>
      </c>
      <c r="D670" s="14">
        <f>44.7071 * CHOOSE(CONTROL!$C$15, $E$9, 100%, $G$9) + CHOOSE(CONTROL!$C$38, 0.0342, 0)</f>
        <v>44.741299999999995</v>
      </c>
      <c r="E670" s="14">
        <f>44.7071 * CHOOSE(CONTROL!$C$15, $E$9, 100%, $G$9) + CHOOSE(CONTROL!$C$38, 0.0342, 0)</f>
        <v>44.741299999999995</v>
      </c>
      <c r="F670" s="45">
        <f>47.2992 * CHOOSE(CONTROL!$C$15, $E$9, 100%, $G$9) + CHOOSE(CONTROL!$C$38, 0.034, 0)</f>
        <v>47.333199999999998</v>
      </c>
      <c r="G670" s="14">
        <f>44.7133 * CHOOSE(CONTROL!$C$15, $E$9, 100%, $G$9) + CHOOSE(CONTROL!$C$38, 0.0342, 0)</f>
        <v>44.747499999999995</v>
      </c>
      <c r="H670" s="14">
        <f>44.7133 * CHOOSE(CONTROL!$C$15, $E$9, 100%, $G$9) + CHOOSE(CONTROL!$C$38, 0.0342, 0)</f>
        <v>44.747499999999995</v>
      </c>
      <c r="I670" s="14">
        <f>44.7149 * CHOOSE(CONTROL!$C$15, $E$9, 100%, $G$9) + CHOOSE(CONTROL!$C$38, 0.0342, 0)</f>
        <v>44.749099999999999</v>
      </c>
      <c r="J670" s="44">
        <f>392.0522</f>
        <v>392.05220000000003</v>
      </c>
    </row>
    <row r="671" spans="1:10" ht="15.75" x14ac:dyDescent="0.25">
      <c r="A671" s="32">
        <v>61362</v>
      </c>
      <c r="B671" s="14">
        <f>45.9139 * CHOOSE(CONTROL!$C$15, $E$9, 100%, $G$9) + CHOOSE(CONTROL!$C$38, 0.034, 0)</f>
        <v>45.947899999999997</v>
      </c>
      <c r="C671" s="14">
        <f>43.4017 * CHOOSE(CONTROL!$C$15, $E$9, 100%, $G$9) + CHOOSE(CONTROL!$C$38, 0.0342, 0)</f>
        <v>43.435899999999997</v>
      </c>
      <c r="D671" s="14">
        <f>43.3939 * CHOOSE(CONTROL!$C$15, $E$9, 100%, $G$9) + CHOOSE(CONTROL!$C$38, 0.0342, 0)</f>
        <v>43.428100000000001</v>
      </c>
      <c r="E671" s="14">
        <f>43.3939 * CHOOSE(CONTROL!$C$15, $E$9, 100%, $G$9) + CHOOSE(CONTROL!$C$38, 0.0342, 0)</f>
        <v>43.428100000000001</v>
      </c>
      <c r="F671" s="45">
        <f>45.9139 * CHOOSE(CONTROL!$C$15, $E$9, 100%, $G$9) + CHOOSE(CONTROL!$C$38, 0.034, 0)</f>
        <v>45.947899999999997</v>
      </c>
      <c r="G671" s="14">
        <f>43.4001 * CHOOSE(CONTROL!$C$15, $E$9, 100%, $G$9) + CHOOSE(CONTROL!$C$38, 0.0342, 0)</f>
        <v>43.4343</v>
      </c>
      <c r="H671" s="14">
        <f>43.4001 * CHOOSE(CONTROL!$C$15, $E$9, 100%, $G$9) + CHOOSE(CONTROL!$C$38, 0.0342, 0)</f>
        <v>43.4343</v>
      </c>
      <c r="I671" s="14">
        <f>43.4017 * CHOOSE(CONTROL!$C$15, $E$9, 100%, $G$9) + CHOOSE(CONTROL!$C$38, 0.0342, 0)</f>
        <v>43.435899999999997</v>
      </c>
      <c r="J671" s="44">
        <f>380.418</f>
        <v>380.41800000000001</v>
      </c>
    </row>
    <row r="672" spans="1:10" ht="15.75" x14ac:dyDescent="0.25">
      <c r="A672" s="32">
        <v>61393</v>
      </c>
      <c r="B672" s="14">
        <f>45.5699 * CHOOSE(CONTROL!$C$15, $E$9, 100%, $G$9) + CHOOSE(CONTROL!$C$38, 0.034, 0)</f>
        <v>45.603899999999996</v>
      </c>
      <c r="C672" s="14">
        <f>43.0755 * CHOOSE(CONTROL!$C$15, $E$9, 100%, $G$9) + CHOOSE(CONTROL!$C$38, 0.0342, 0)</f>
        <v>43.109699999999997</v>
      </c>
      <c r="D672" s="14">
        <f>43.0677 * CHOOSE(CONTROL!$C$15, $E$9, 100%, $G$9) + CHOOSE(CONTROL!$C$38, 0.0342, 0)</f>
        <v>43.101900000000001</v>
      </c>
      <c r="E672" s="14">
        <f>43.0677 * CHOOSE(CONTROL!$C$15, $E$9, 100%, $G$9) + CHOOSE(CONTROL!$C$38, 0.0342, 0)</f>
        <v>43.101900000000001</v>
      </c>
      <c r="F672" s="45">
        <f>45.5699 * CHOOSE(CONTROL!$C$15, $E$9, 100%, $G$9) + CHOOSE(CONTROL!$C$38, 0.034, 0)</f>
        <v>45.603899999999996</v>
      </c>
      <c r="G672" s="14">
        <f>43.074 * CHOOSE(CONTROL!$C$15, $E$9, 100%, $G$9) + CHOOSE(CONTROL!$C$38, 0.0342, 0)</f>
        <v>43.108199999999997</v>
      </c>
      <c r="H672" s="14">
        <f>43.074 * CHOOSE(CONTROL!$C$15, $E$9, 100%, $G$9) + CHOOSE(CONTROL!$C$38, 0.0342, 0)</f>
        <v>43.108199999999997</v>
      </c>
      <c r="I672" s="14">
        <f>43.0755 * CHOOSE(CONTROL!$C$15, $E$9, 100%, $G$9) + CHOOSE(CONTROL!$C$38, 0.0342, 0)</f>
        <v>43.109699999999997</v>
      </c>
      <c r="J672" s="44">
        <f>380.1433</f>
        <v>380.14330000000001</v>
      </c>
    </row>
    <row r="673" spans="1:10" ht="15.75" x14ac:dyDescent="0.25">
      <c r="A673" s="32">
        <v>61422</v>
      </c>
      <c r="B673" s="14">
        <f>45.445 * CHOOSE(CONTROL!$C$15, $E$9, 100%, $G$9) + CHOOSE(CONTROL!$C$38, 0.034, 0)</f>
        <v>45.478999999999999</v>
      </c>
      <c r="C673" s="14">
        <f>42.9571 * CHOOSE(CONTROL!$C$15, $E$9, 100%, $G$9) + CHOOSE(CONTROL!$C$38, 0.0342, 0)</f>
        <v>42.991299999999995</v>
      </c>
      <c r="D673" s="14">
        <f>42.9493 * CHOOSE(CONTROL!$C$15, $E$9, 100%, $G$9) + CHOOSE(CONTROL!$C$38, 0.0342, 0)</f>
        <v>42.983499999999999</v>
      </c>
      <c r="E673" s="14">
        <f>42.9493 * CHOOSE(CONTROL!$C$15, $E$9, 100%, $G$9) + CHOOSE(CONTROL!$C$38, 0.0342, 0)</f>
        <v>42.983499999999999</v>
      </c>
      <c r="F673" s="45">
        <f>45.445 * CHOOSE(CONTROL!$C$15, $E$9, 100%, $G$9) + CHOOSE(CONTROL!$C$38, 0.034, 0)</f>
        <v>45.478999999999999</v>
      </c>
      <c r="G673" s="14">
        <f>42.9555 * CHOOSE(CONTROL!$C$15, $E$9, 100%, $G$9) + CHOOSE(CONTROL!$C$38, 0.0342, 0)</f>
        <v>42.989699999999999</v>
      </c>
      <c r="H673" s="14">
        <f>42.9555 * CHOOSE(CONTROL!$C$15, $E$9, 100%, $G$9) + CHOOSE(CONTROL!$C$38, 0.0342, 0)</f>
        <v>42.989699999999999</v>
      </c>
      <c r="I673" s="14">
        <f>42.9571 * CHOOSE(CONTROL!$C$15, $E$9, 100%, $G$9) + CHOOSE(CONTROL!$C$38, 0.0342, 0)</f>
        <v>42.991299999999995</v>
      </c>
      <c r="J673" s="44">
        <f>379.0867</f>
        <v>379.08670000000001</v>
      </c>
    </row>
    <row r="674" spans="1:10" ht="15.75" x14ac:dyDescent="0.25">
      <c r="A674" s="32">
        <v>61453</v>
      </c>
      <c r="B674" s="14">
        <f>47.8077 * CHOOSE(CONTROL!$C$15, $E$9, 100%, $G$9) + CHOOSE(CONTROL!$C$38, 0.034, 0)</f>
        <v>47.841699999999996</v>
      </c>
      <c r="C674" s="14">
        <f>45.1969 * CHOOSE(CONTROL!$C$15, $E$9, 100%, $G$9) + CHOOSE(CONTROL!$C$38, 0.0342, 0)</f>
        <v>45.231099999999998</v>
      </c>
      <c r="D674" s="14">
        <f>45.1891 * CHOOSE(CONTROL!$C$15, $E$9, 100%, $G$9) + CHOOSE(CONTROL!$C$38, 0.0342, 0)</f>
        <v>45.223300000000002</v>
      </c>
      <c r="E674" s="14">
        <f>45.1891 * CHOOSE(CONTROL!$C$15, $E$9, 100%, $G$9) + CHOOSE(CONTROL!$C$38, 0.0342, 0)</f>
        <v>45.223300000000002</v>
      </c>
      <c r="F674" s="45">
        <f>47.8077 * CHOOSE(CONTROL!$C$15, $E$9, 100%, $G$9) + CHOOSE(CONTROL!$C$38, 0.034, 0)</f>
        <v>47.841699999999996</v>
      </c>
      <c r="G674" s="14">
        <f>45.1953 * CHOOSE(CONTROL!$C$15, $E$9, 100%, $G$9) + CHOOSE(CONTROL!$C$38, 0.0342, 0)</f>
        <v>45.229500000000002</v>
      </c>
      <c r="H674" s="14">
        <f>45.1953 * CHOOSE(CONTROL!$C$15, $E$9, 100%, $G$9) + CHOOSE(CONTROL!$C$38, 0.0342, 0)</f>
        <v>45.229500000000002</v>
      </c>
      <c r="I674" s="14">
        <f>45.1969 * CHOOSE(CONTROL!$C$15, $E$9, 100%, $G$9) + CHOOSE(CONTROL!$C$38, 0.0342, 0)</f>
        <v>45.231099999999998</v>
      </c>
      <c r="J674" s="44">
        <f>399.0667</f>
        <v>399.06670000000003</v>
      </c>
    </row>
    <row r="675" spans="1:10" ht="15.75" x14ac:dyDescent="0.25">
      <c r="A675" s="32">
        <v>61483</v>
      </c>
      <c r="B675" s="14">
        <f>50.8715 * CHOOSE(CONTROL!$C$15, $E$9, 100%, $G$9) + CHOOSE(CONTROL!$C$38, 0.034, 0)</f>
        <v>50.905499999999996</v>
      </c>
      <c r="C675" s="14">
        <f>48.1014 * CHOOSE(CONTROL!$C$15, $E$9, 100%, $G$9) + CHOOSE(CONTROL!$C$38, 0.0342, 0)</f>
        <v>48.135599999999997</v>
      </c>
      <c r="D675" s="14">
        <f>48.0935 * CHOOSE(CONTROL!$C$15, $E$9, 100%, $G$9) + CHOOSE(CONTROL!$C$38, 0.0342, 0)</f>
        <v>48.127699999999997</v>
      </c>
      <c r="E675" s="14">
        <f>48.0935 * CHOOSE(CONTROL!$C$15, $E$9, 100%, $G$9) + CHOOSE(CONTROL!$C$38, 0.0342, 0)</f>
        <v>48.127699999999997</v>
      </c>
      <c r="F675" s="45">
        <f>50.8715 * CHOOSE(CONTROL!$C$15, $E$9, 100%, $G$9) + CHOOSE(CONTROL!$C$38, 0.034, 0)</f>
        <v>50.905499999999996</v>
      </c>
      <c r="G675" s="14">
        <f>48.0998 * CHOOSE(CONTROL!$C$15, $E$9, 100%, $G$9) + CHOOSE(CONTROL!$C$38, 0.0342, 0)</f>
        <v>48.134</v>
      </c>
      <c r="H675" s="14">
        <f>48.0998 * CHOOSE(CONTROL!$C$15, $E$9, 100%, $G$9) + CHOOSE(CONTROL!$C$38, 0.0342, 0)</f>
        <v>48.134</v>
      </c>
      <c r="I675" s="14">
        <f>48.1014 * CHOOSE(CONTROL!$C$15, $E$9, 100%, $G$9) + CHOOSE(CONTROL!$C$38, 0.0342, 0)</f>
        <v>48.135599999999997</v>
      </c>
      <c r="J675" s="44">
        <f>424.9761</f>
        <v>424.97609999999997</v>
      </c>
    </row>
    <row r="676" spans="1:10" ht="15.75" x14ac:dyDescent="0.25">
      <c r="A676" s="32">
        <v>61514</v>
      </c>
      <c r="B676" s="14">
        <f>52.5579 * CHOOSE(CONTROL!$C$15, $E$9, 100%, $G$9) + CHOOSE(CONTROL!$C$38, 0.0353, 0)</f>
        <v>52.593199999999996</v>
      </c>
      <c r="C676" s="14">
        <f>49.7001 * CHOOSE(CONTROL!$C$15, $E$9, 100%, $G$9) + CHOOSE(CONTROL!$C$38, 0.0354, 0)</f>
        <v>49.735500000000002</v>
      </c>
      <c r="D676" s="14">
        <f>49.6923 * CHOOSE(CONTROL!$C$15, $E$9, 100%, $G$9) + CHOOSE(CONTROL!$C$38, 0.0354, 0)</f>
        <v>49.727700000000006</v>
      </c>
      <c r="E676" s="14">
        <f>49.6923 * CHOOSE(CONTROL!$C$15, $E$9, 100%, $G$9) + CHOOSE(CONTROL!$C$38, 0.0354, 0)</f>
        <v>49.727700000000006</v>
      </c>
      <c r="F676" s="45">
        <f>52.5579 * CHOOSE(CONTROL!$C$15, $E$9, 100%, $G$9) + CHOOSE(CONTROL!$C$38, 0.0353, 0)</f>
        <v>52.593199999999996</v>
      </c>
      <c r="G676" s="14">
        <f>49.6985 * CHOOSE(CONTROL!$C$15, $E$9, 100%, $G$9) + CHOOSE(CONTROL!$C$38, 0.0354, 0)</f>
        <v>49.733900000000006</v>
      </c>
      <c r="H676" s="14">
        <f>49.6985 * CHOOSE(CONTROL!$C$15, $E$9, 100%, $G$9) + CHOOSE(CONTROL!$C$38, 0.0354, 0)</f>
        <v>49.733900000000006</v>
      </c>
      <c r="I676" s="14">
        <f>49.7001 * CHOOSE(CONTROL!$C$15, $E$9, 100%, $G$9) + CHOOSE(CONTROL!$C$38, 0.0354, 0)</f>
        <v>49.735500000000002</v>
      </c>
      <c r="J676" s="44">
        <f>439.2374</f>
        <v>439.23739999999998</v>
      </c>
    </row>
    <row r="677" spans="1:10" ht="15.75" x14ac:dyDescent="0.25">
      <c r="A677" s="32">
        <v>61544</v>
      </c>
      <c r="B677" s="14">
        <f>53.3063 * CHOOSE(CONTROL!$C$15, $E$9, 100%, $G$9) + CHOOSE(CONTROL!$C$38, 0.0353, 0)</f>
        <v>53.3416</v>
      </c>
      <c r="C677" s="14">
        <f>50.4096 * CHOOSE(CONTROL!$C$15, $E$9, 100%, $G$9) + CHOOSE(CONTROL!$C$38, 0.0354, 0)</f>
        <v>50.445</v>
      </c>
      <c r="D677" s="14">
        <f>50.4017 * CHOOSE(CONTROL!$C$15, $E$9, 100%, $G$9) + CHOOSE(CONTROL!$C$38, 0.0354, 0)</f>
        <v>50.437100000000001</v>
      </c>
      <c r="E677" s="14">
        <f>50.4017 * CHOOSE(CONTROL!$C$15, $E$9, 100%, $G$9) + CHOOSE(CONTROL!$C$38, 0.0354, 0)</f>
        <v>50.437100000000001</v>
      </c>
      <c r="F677" s="45">
        <f>53.3063 * CHOOSE(CONTROL!$C$15, $E$9, 100%, $G$9) + CHOOSE(CONTROL!$C$38, 0.0353, 0)</f>
        <v>53.3416</v>
      </c>
      <c r="G677" s="14">
        <f>50.408 * CHOOSE(CONTROL!$C$15, $E$9, 100%, $G$9) + CHOOSE(CONTROL!$C$38, 0.0354, 0)</f>
        <v>50.443400000000004</v>
      </c>
      <c r="H677" s="14">
        <f>50.408 * CHOOSE(CONTROL!$C$15, $E$9, 100%, $G$9) + CHOOSE(CONTROL!$C$38, 0.0354, 0)</f>
        <v>50.443400000000004</v>
      </c>
      <c r="I677" s="14">
        <f>50.4096 * CHOOSE(CONTROL!$C$15, $E$9, 100%, $G$9) + CHOOSE(CONTROL!$C$38, 0.0354, 0)</f>
        <v>50.445</v>
      </c>
      <c r="J677" s="44">
        <f>445.5664</f>
        <v>445.56639999999999</v>
      </c>
    </row>
    <row r="678" spans="1:10" ht="15.75" x14ac:dyDescent="0.25">
      <c r="A678" s="32">
        <v>61575</v>
      </c>
      <c r="B678" s="14">
        <f>53.0599 * CHOOSE(CONTROL!$C$15, $E$9, 100%, $G$9) + CHOOSE(CONTROL!$C$38, 0.0353, 0)</f>
        <v>53.095199999999998</v>
      </c>
      <c r="C678" s="14">
        <f>50.176 * CHOOSE(CONTROL!$C$15, $E$9, 100%, $G$9) + CHOOSE(CONTROL!$C$38, 0.0354, 0)</f>
        <v>50.211400000000005</v>
      </c>
      <c r="D678" s="14">
        <f>50.1681 * CHOOSE(CONTROL!$C$15, $E$9, 100%, $G$9) + CHOOSE(CONTROL!$C$38, 0.0354, 0)</f>
        <v>50.203500000000005</v>
      </c>
      <c r="E678" s="14">
        <f>50.1681 * CHOOSE(CONTROL!$C$15, $E$9, 100%, $G$9) + CHOOSE(CONTROL!$C$38, 0.0354, 0)</f>
        <v>50.203500000000005</v>
      </c>
      <c r="F678" s="45">
        <f>53.0599 * CHOOSE(CONTROL!$C$15, $E$9, 100%, $G$9) + CHOOSE(CONTROL!$C$38, 0.0353, 0)</f>
        <v>53.095199999999998</v>
      </c>
      <c r="G678" s="14">
        <f>50.1744 * CHOOSE(CONTROL!$C$15, $E$9, 100%, $G$9) + CHOOSE(CONTROL!$C$38, 0.0354, 0)</f>
        <v>50.209800000000001</v>
      </c>
      <c r="H678" s="14">
        <f>50.1744 * CHOOSE(CONTROL!$C$15, $E$9, 100%, $G$9) + CHOOSE(CONTROL!$C$38, 0.0354, 0)</f>
        <v>50.209800000000001</v>
      </c>
      <c r="I678" s="14">
        <f>50.176 * CHOOSE(CONTROL!$C$15, $E$9, 100%, $G$9) + CHOOSE(CONTROL!$C$38, 0.0354, 0)</f>
        <v>50.211400000000005</v>
      </c>
      <c r="J678" s="44">
        <f>443.4826</f>
        <v>443.48259999999999</v>
      </c>
    </row>
    <row r="679" spans="1:10" ht="15.75" x14ac:dyDescent="0.25">
      <c r="A679" s="32">
        <v>61606</v>
      </c>
      <c r="B679" s="14">
        <f>51.8391 * CHOOSE(CONTROL!$C$15, $E$9, 100%, $G$9) + CHOOSE(CONTROL!$C$38, 0.0353, 0)</f>
        <v>51.874400000000001</v>
      </c>
      <c r="C679" s="14">
        <f>49.0186 * CHOOSE(CONTROL!$C$15, $E$9, 100%, $G$9) + CHOOSE(CONTROL!$C$38, 0.0354, 0)</f>
        <v>49.054000000000002</v>
      </c>
      <c r="D679" s="14">
        <f>49.0108 * CHOOSE(CONTROL!$C$15, $E$9, 100%, $G$9) + CHOOSE(CONTROL!$C$38, 0.0354, 0)</f>
        <v>49.046200000000006</v>
      </c>
      <c r="E679" s="14">
        <f>49.0108 * CHOOSE(CONTROL!$C$15, $E$9, 100%, $G$9) + CHOOSE(CONTROL!$C$38, 0.0354, 0)</f>
        <v>49.046200000000006</v>
      </c>
      <c r="F679" s="45">
        <f>51.8391 * CHOOSE(CONTROL!$C$15, $E$9, 100%, $G$9) + CHOOSE(CONTROL!$C$38, 0.0353, 0)</f>
        <v>51.874400000000001</v>
      </c>
      <c r="G679" s="14">
        <f>49.0171 * CHOOSE(CONTROL!$C$15, $E$9, 100%, $G$9) + CHOOSE(CONTROL!$C$38, 0.0354, 0)</f>
        <v>49.052500000000002</v>
      </c>
      <c r="H679" s="14">
        <f>49.0171 * CHOOSE(CONTROL!$C$15, $E$9, 100%, $G$9) + CHOOSE(CONTROL!$C$38, 0.0354, 0)</f>
        <v>49.052500000000002</v>
      </c>
      <c r="I679" s="14">
        <f>49.0186 * CHOOSE(CONTROL!$C$15, $E$9, 100%, $G$9) + CHOOSE(CONTROL!$C$38, 0.0354, 0)</f>
        <v>49.054000000000002</v>
      </c>
      <c r="J679" s="44">
        <f>433.1585</f>
        <v>433.1585</v>
      </c>
    </row>
    <row r="680" spans="1:10" ht="15.75" x14ac:dyDescent="0.25">
      <c r="A680" s="32">
        <v>61636</v>
      </c>
      <c r="B680" s="14">
        <f>50.1365 * CHOOSE(CONTROL!$C$15, $E$9, 100%, $G$9) + CHOOSE(CONTROL!$C$38, 0.0353, 0)</f>
        <v>50.171799999999998</v>
      </c>
      <c r="C680" s="14">
        <f>47.4046 * CHOOSE(CONTROL!$C$15, $E$9, 100%, $G$9) + CHOOSE(CONTROL!$C$38, 0.0354, 0)</f>
        <v>47.440000000000005</v>
      </c>
      <c r="D680" s="14">
        <f>47.3968 * CHOOSE(CONTROL!$C$15, $E$9, 100%, $G$9) + CHOOSE(CONTROL!$C$38, 0.0354, 0)</f>
        <v>47.432200000000002</v>
      </c>
      <c r="E680" s="14">
        <f>47.3968 * CHOOSE(CONTROL!$C$15, $E$9, 100%, $G$9) + CHOOSE(CONTROL!$C$38, 0.0354, 0)</f>
        <v>47.432200000000002</v>
      </c>
      <c r="F680" s="45">
        <f>50.1365 * CHOOSE(CONTROL!$C$15, $E$9, 100%, $G$9) + CHOOSE(CONTROL!$C$38, 0.0353, 0)</f>
        <v>50.171799999999998</v>
      </c>
      <c r="G680" s="14">
        <f>47.4031 * CHOOSE(CONTROL!$C$15, $E$9, 100%, $G$9) + CHOOSE(CONTROL!$C$38, 0.0354, 0)</f>
        <v>47.438500000000005</v>
      </c>
      <c r="H680" s="14">
        <f>47.4031 * CHOOSE(CONTROL!$C$15, $E$9, 100%, $G$9) + CHOOSE(CONTROL!$C$38, 0.0354, 0)</f>
        <v>47.438500000000005</v>
      </c>
      <c r="I680" s="14">
        <f>47.4046 * CHOOSE(CONTROL!$C$15, $E$9, 100%, $G$9) + CHOOSE(CONTROL!$C$38, 0.0354, 0)</f>
        <v>47.440000000000005</v>
      </c>
      <c r="J680" s="44">
        <f>418.7611</f>
        <v>418.7611</v>
      </c>
    </row>
    <row r="681" spans="1:10" ht="15.75" x14ac:dyDescent="0.25">
      <c r="A681" s="32">
        <v>61667</v>
      </c>
      <c r="B681" s="14">
        <f>48.4241 * CHOOSE(CONTROL!$C$15, $E$9, 100%, $G$9) + CHOOSE(CONTROL!$C$38, 0.034, 0)</f>
        <v>48.458100000000002</v>
      </c>
      <c r="C681" s="14">
        <f>45.7813 * CHOOSE(CONTROL!$C$15, $E$9, 100%, $G$9) + CHOOSE(CONTROL!$C$38, 0.0342, 0)</f>
        <v>45.8155</v>
      </c>
      <c r="D681" s="14">
        <f>45.7735 * CHOOSE(CONTROL!$C$15, $E$9, 100%, $G$9) + CHOOSE(CONTROL!$C$38, 0.0342, 0)</f>
        <v>45.807699999999997</v>
      </c>
      <c r="E681" s="14">
        <f>45.7735 * CHOOSE(CONTROL!$C$15, $E$9, 100%, $G$9) + CHOOSE(CONTROL!$C$38, 0.0342, 0)</f>
        <v>45.807699999999997</v>
      </c>
      <c r="F681" s="45">
        <f>48.4241 * CHOOSE(CONTROL!$C$15, $E$9, 100%, $G$9) + CHOOSE(CONTROL!$C$38, 0.034, 0)</f>
        <v>48.458100000000002</v>
      </c>
      <c r="G681" s="14">
        <f>45.7797 * CHOOSE(CONTROL!$C$15, $E$9, 100%, $G$9) + CHOOSE(CONTROL!$C$38, 0.0342, 0)</f>
        <v>45.813899999999997</v>
      </c>
      <c r="H681" s="14">
        <f>45.7797 * CHOOSE(CONTROL!$C$15, $E$9, 100%, $G$9) + CHOOSE(CONTROL!$C$38, 0.0342, 0)</f>
        <v>45.813899999999997</v>
      </c>
      <c r="I681" s="14">
        <f>45.7813 * CHOOSE(CONTROL!$C$15, $E$9, 100%, $G$9) + CHOOSE(CONTROL!$C$38, 0.0342, 0)</f>
        <v>45.8155</v>
      </c>
      <c r="J681" s="44">
        <f>404.2799</f>
        <v>404.2799</v>
      </c>
    </row>
    <row r="682" spans="1:10" ht="15.75" x14ac:dyDescent="0.25">
      <c r="A682" s="32">
        <v>61697</v>
      </c>
      <c r="B682" s="14">
        <f>48.0835 * CHOOSE(CONTROL!$C$15, $E$9, 100%, $G$9) + CHOOSE(CONTROL!$C$38, 0.034, 0)</f>
        <v>48.1175</v>
      </c>
      <c r="C682" s="14">
        <f>45.4584 * CHOOSE(CONTROL!$C$15, $E$9, 100%, $G$9) + CHOOSE(CONTROL!$C$38, 0.0342, 0)</f>
        <v>45.492599999999996</v>
      </c>
      <c r="D682" s="14">
        <f>45.4505 * CHOOSE(CONTROL!$C$15, $E$9, 100%, $G$9) + CHOOSE(CONTROL!$C$38, 0.0342, 0)</f>
        <v>45.484699999999997</v>
      </c>
      <c r="E682" s="14">
        <f>45.4505 * CHOOSE(CONTROL!$C$15, $E$9, 100%, $G$9) + CHOOSE(CONTROL!$C$38, 0.0342, 0)</f>
        <v>45.484699999999997</v>
      </c>
      <c r="F682" s="45">
        <f>48.0835 * CHOOSE(CONTROL!$C$15, $E$9, 100%, $G$9) + CHOOSE(CONTROL!$C$38, 0.034, 0)</f>
        <v>48.1175</v>
      </c>
      <c r="G682" s="14">
        <f>45.4568 * CHOOSE(CONTROL!$C$15, $E$9, 100%, $G$9) + CHOOSE(CONTROL!$C$38, 0.0342, 0)</f>
        <v>45.491</v>
      </c>
      <c r="H682" s="14">
        <f>45.4568 * CHOOSE(CONTROL!$C$15, $E$9, 100%, $G$9) + CHOOSE(CONTROL!$C$38, 0.0342, 0)</f>
        <v>45.491</v>
      </c>
      <c r="I682" s="14">
        <f>45.4584 * CHOOSE(CONTROL!$C$15, $E$9, 100%, $G$9) + CHOOSE(CONTROL!$C$38, 0.0342, 0)</f>
        <v>45.492599999999996</v>
      </c>
      <c r="J682" s="44">
        <f>401.3993</f>
        <v>401.39929999999998</v>
      </c>
    </row>
    <row r="683" spans="1:10" ht="15.75" x14ac:dyDescent="0.25">
      <c r="A683" s="32">
        <v>61728</v>
      </c>
      <c r="B683" s="14">
        <f>46.6749 * CHOOSE(CONTROL!$C$15, $E$9, 100%, $G$9) + CHOOSE(CONTROL!$C$38, 0.034, 0)</f>
        <v>46.7089</v>
      </c>
      <c r="C683" s="14">
        <f>44.1231 * CHOOSE(CONTROL!$C$15, $E$9, 100%, $G$9) + CHOOSE(CONTROL!$C$38, 0.0342, 0)</f>
        <v>44.157299999999999</v>
      </c>
      <c r="D683" s="14">
        <f>44.1152 * CHOOSE(CONTROL!$C$15, $E$9, 100%, $G$9) + CHOOSE(CONTROL!$C$38, 0.0342, 0)</f>
        <v>44.1494</v>
      </c>
      <c r="E683" s="14">
        <f>44.1152 * CHOOSE(CONTROL!$C$15, $E$9, 100%, $G$9) + CHOOSE(CONTROL!$C$38, 0.0342, 0)</f>
        <v>44.1494</v>
      </c>
      <c r="F683" s="45">
        <f>46.6749 * CHOOSE(CONTROL!$C$15, $E$9, 100%, $G$9) + CHOOSE(CONTROL!$C$38, 0.034, 0)</f>
        <v>46.7089</v>
      </c>
      <c r="G683" s="14">
        <f>44.1215 * CHOOSE(CONTROL!$C$15, $E$9, 100%, $G$9) + CHOOSE(CONTROL!$C$38, 0.0342, 0)</f>
        <v>44.155699999999996</v>
      </c>
      <c r="H683" s="14">
        <f>44.1215 * CHOOSE(CONTROL!$C$15, $E$9, 100%, $G$9) + CHOOSE(CONTROL!$C$38, 0.0342, 0)</f>
        <v>44.155699999999996</v>
      </c>
      <c r="I683" s="14">
        <f>44.1231 * CHOOSE(CONTROL!$C$15, $E$9, 100%, $G$9) + CHOOSE(CONTROL!$C$38, 0.0342, 0)</f>
        <v>44.157299999999999</v>
      </c>
      <c r="J683" s="44">
        <f>389.4877</f>
        <v>389.48770000000002</v>
      </c>
    </row>
    <row r="684" spans="1:10" ht="15.75" x14ac:dyDescent="0.25">
      <c r="A684" s="32">
        <v>61759</v>
      </c>
      <c r="B684" s="14">
        <f>46.3251 * CHOOSE(CONTROL!$C$15, $E$9, 100%, $G$9) + CHOOSE(CONTROL!$C$38, 0.034, 0)</f>
        <v>46.359099999999998</v>
      </c>
      <c r="C684" s="14">
        <f>43.7915 * CHOOSE(CONTROL!$C$15, $E$9, 100%, $G$9) + CHOOSE(CONTROL!$C$38, 0.0342, 0)</f>
        <v>43.825699999999998</v>
      </c>
      <c r="D684" s="14">
        <f>43.7836 * CHOOSE(CONTROL!$C$15, $E$9, 100%, $G$9) + CHOOSE(CONTROL!$C$38, 0.0342, 0)</f>
        <v>43.817799999999998</v>
      </c>
      <c r="E684" s="14">
        <f>43.7836 * CHOOSE(CONTROL!$C$15, $E$9, 100%, $G$9) + CHOOSE(CONTROL!$C$38, 0.0342, 0)</f>
        <v>43.817799999999998</v>
      </c>
      <c r="F684" s="45">
        <f>46.3251 * CHOOSE(CONTROL!$C$15, $E$9, 100%, $G$9) + CHOOSE(CONTROL!$C$38, 0.034, 0)</f>
        <v>46.359099999999998</v>
      </c>
      <c r="G684" s="14">
        <f>43.7899 * CHOOSE(CONTROL!$C$15, $E$9, 100%, $G$9) + CHOOSE(CONTROL!$C$38, 0.0342, 0)</f>
        <v>43.824100000000001</v>
      </c>
      <c r="H684" s="14">
        <f>43.7899 * CHOOSE(CONTROL!$C$15, $E$9, 100%, $G$9) + CHOOSE(CONTROL!$C$38, 0.0342, 0)</f>
        <v>43.824100000000001</v>
      </c>
      <c r="I684" s="14">
        <f>43.7915 * CHOOSE(CONTROL!$C$15, $E$9, 100%, $G$9) + CHOOSE(CONTROL!$C$38, 0.0342, 0)</f>
        <v>43.825699999999998</v>
      </c>
      <c r="J684" s="44">
        <f>389.2065</f>
        <v>389.20650000000001</v>
      </c>
    </row>
    <row r="685" spans="1:10" ht="15.75" x14ac:dyDescent="0.25">
      <c r="A685" s="32">
        <v>61787</v>
      </c>
      <c r="B685" s="14">
        <f>46.1981 * CHOOSE(CONTROL!$C$15, $E$9, 100%, $G$9) + CHOOSE(CONTROL!$C$38, 0.034, 0)</f>
        <v>46.232099999999996</v>
      </c>
      <c r="C685" s="14">
        <f>43.671 * CHOOSE(CONTROL!$C$15, $E$9, 100%, $G$9) + CHOOSE(CONTROL!$C$38, 0.0342, 0)</f>
        <v>43.705199999999998</v>
      </c>
      <c r="D685" s="14">
        <f>43.6632 * CHOOSE(CONTROL!$C$15, $E$9, 100%, $G$9) + CHOOSE(CONTROL!$C$38, 0.0342, 0)</f>
        <v>43.697400000000002</v>
      </c>
      <c r="E685" s="14">
        <f>43.6632 * CHOOSE(CONTROL!$C$15, $E$9, 100%, $G$9) + CHOOSE(CONTROL!$C$38, 0.0342, 0)</f>
        <v>43.697400000000002</v>
      </c>
      <c r="F685" s="45">
        <f>46.1981 * CHOOSE(CONTROL!$C$15, $E$9, 100%, $G$9) + CHOOSE(CONTROL!$C$38, 0.034, 0)</f>
        <v>46.232099999999996</v>
      </c>
      <c r="G685" s="14">
        <f>43.6694 * CHOOSE(CONTROL!$C$15, $E$9, 100%, $G$9) + CHOOSE(CONTROL!$C$38, 0.0342, 0)</f>
        <v>43.703600000000002</v>
      </c>
      <c r="H685" s="14">
        <f>43.6694 * CHOOSE(CONTROL!$C$15, $E$9, 100%, $G$9) + CHOOSE(CONTROL!$C$38, 0.0342, 0)</f>
        <v>43.703600000000002</v>
      </c>
      <c r="I685" s="14">
        <f>43.671 * CHOOSE(CONTROL!$C$15, $E$9, 100%, $G$9) + CHOOSE(CONTROL!$C$38, 0.0342, 0)</f>
        <v>43.705199999999998</v>
      </c>
      <c r="J685" s="44">
        <f>388.1247</f>
        <v>388.12470000000002</v>
      </c>
    </row>
    <row r="686" spans="1:10" ht="15.75" x14ac:dyDescent="0.25">
      <c r="A686" s="32">
        <v>61818</v>
      </c>
      <c r="B686" s="14">
        <f>48.6004 * CHOOSE(CONTROL!$C$15, $E$9, 100%, $G$9) + CHOOSE(CONTROL!$C$38, 0.034, 0)</f>
        <v>48.634399999999999</v>
      </c>
      <c r="C686" s="14">
        <f>45.9484 * CHOOSE(CONTROL!$C$15, $E$9, 100%, $G$9) + CHOOSE(CONTROL!$C$38, 0.0342, 0)</f>
        <v>45.982599999999998</v>
      </c>
      <c r="D686" s="14">
        <f>45.9406 * CHOOSE(CONTROL!$C$15, $E$9, 100%, $G$9) + CHOOSE(CONTROL!$C$38, 0.0342, 0)</f>
        <v>45.974800000000002</v>
      </c>
      <c r="E686" s="14">
        <f>45.9406 * CHOOSE(CONTROL!$C$15, $E$9, 100%, $G$9) + CHOOSE(CONTROL!$C$38, 0.0342, 0)</f>
        <v>45.974800000000002</v>
      </c>
      <c r="F686" s="45">
        <f>48.6004 * CHOOSE(CONTROL!$C$15, $E$9, 100%, $G$9) + CHOOSE(CONTROL!$C$38, 0.034, 0)</f>
        <v>48.634399999999999</v>
      </c>
      <c r="G686" s="14">
        <f>45.9469 * CHOOSE(CONTROL!$C$15, $E$9, 100%, $G$9) + CHOOSE(CONTROL!$C$38, 0.0342, 0)</f>
        <v>45.981099999999998</v>
      </c>
      <c r="H686" s="14">
        <f>45.9469 * CHOOSE(CONTROL!$C$15, $E$9, 100%, $G$9) + CHOOSE(CONTROL!$C$38, 0.0342, 0)</f>
        <v>45.981099999999998</v>
      </c>
      <c r="I686" s="14">
        <f>45.9484 * CHOOSE(CONTROL!$C$15, $E$9, 100%, $G$9) + CHOOSE(CONTROL!$C$38, 0.0342, 0)</f>
        <v>45.982599999999998</v>
      </c>
      <c r="J686" s="44">
        <f>408.5811</f>
        <v>408.58109999999999</v>
      </c>
    </row>
    <row r="687" spans="1:10" ht="15.75" x14ac:dyDescent="0.25">
      <c r="A687" s="32">
        <v>61848</v>
      </c>
      <c r="B687" s="14">
        <f>51.7157 * CHOOSE(CONTROL!$C$15, $E$9, 100%, $G$9) + CHOOSE(CONTROL!$C$38, 0.034, 0)</f>
        <v>51.749699999999997</v>
      </c>
      <c r="C687" s="14">
        <f>48.9017 * CHOOSE(CONTROL!$C$15, $E$9, 100%, $G$9) + CHOOSE(CONTROL!$C$38, 0.0342, 0)</f>
        <v>48.935899999999997</v>
      </c>
      <c r="D687" s="14">
        <f>48.8939 * CHOOSE(CONTROL!$C$15, $E$9, 100%, $G$9) + CHOOSE(CONTROL!$C$38, 0.0342, 0)</f>
        <v>48.928100000000001</v>
      </c>
      <c r="E687" s="14">
        <f>48.8939 * CHOOSE(CONTROL!$C$15, $E$9, 100%, $G$9) + CHOOSE(CONTROL!$C$38, 0.0342, 0)</f>
        <v>48.928100000000001</v>
      </c>
      <c r="F687" s="45">
        <f>51.7157 * CHOOSE(CONTROL!$C$15, $E$9, 100%, $G$9) + CHOOSE(CONTROL!$C$38, 0.034, 0)</f>
        <v>51.749699999999997</v>
      </c>
      <c r="G687" s="14">
        <f>48.9001 * CHOOSE(CONTROL!$C$15, $E$9, 100%, $G$9) + CHOOSE(CONTROL!$C$38, 0.0342, 0)</f>
        <v>48.9343</v>
      </c>
      <c r="H687" s="14">
        <f>48.9001 * CHOOSE(CONTROL!$C$15, $E$9, 100%, $G$9) + CHOOSE(CONTROL!$C$38, 0.0342, 0)</f>
        <v>48.9343</v>
      </c>
      <c r="I687" s="14">
        <f>48.9017 * CHOOSE(CONTROL!$C$15, $E$9, 100%, $G$9) + CHOOSE(CONTROL!$C$38, 0.0342, 0)</f>
        <v>48.935899999999997</v>
      </c>
      <c r="J687" s="44">
        <f>435.1081</f>
        <v>435.10809999999998</v>
      </c>
    </row>
    <row r="688" spans="1:10" ht="15.75" x14ac:dyDescent="0.25">
      <c r="A688" s="32">
        <v>61879</v>
      </c>
      <c r="B688" s="14">
        <f>53.4305 * CHOOSE(CONTROL!$C$15, $E$9, 100%, $G$9) + CHOOSE(CONTROL!$C$38, 0.0353, 0)</f>
        <v>53.465800000000002</v>
      </c>
      <c r="C688" s="14">
        <f>50.5273 * CHOOSE(CONTROL!$C$15, $E$9, 100%, $G$9) + CHOOSE(CONTROL!$C$38, 0.0354, 0)</f>
        <v>50.5627</v>
      </c>
      <c r="D688" s="14">
        <f>50.5195 * CHOOSE(CONTROL!$C$15, $E$9, 100%, $G$9) + CHOOSE(CONTROL!$C$38, 0.0354, 0)</f>
        <v>50.554900000000004</v>
      </c>
      <c r="E688" s="14">
        <f>50.5195 * CHOOSE(CONTROL!$C$15, $E$9, 100%, $G$9) + CHOOSE(CONTROL!$C$38, 0.0354, 0)</f>
        <v>50.554900000000004</v>
      </c>
      <c r="F688" s="45">
        <f>53.4305 * CHOOSE(CONTROL!$C$15, $E$9, 100%, $G$9) + CHOOSE(CONTROL!$C$38, 0.0353, 0)</f>
        <v>53.465800000000002</v>
      </c>
      <c r="G688" s="14">
        <f>50.5257 * CHOOSE(CONTROL!$C$15, $E$9, 100%, $G$9) + CHOOSE(CONTROL!$C$38, 0.0354, 0)</f>
        <v>50.561100000000003</v>
      </c>
      <c r="H688" s="14">
        <f>50.5257 * CHOOSE(CONTROL!$C$15, $E$9, 100%, $G$9) + CHOOSE(CONTROL!$C$38, 0.0354, 0)</f>
        <v>50.561100000000003</v>
      </c>
      <c r="I688" s="14">
        <f>50.5273 * CHOOSE(CONTROL!$C$15, $E$9, 100%, $G$9) + CHOOSE(CONTROL!$C$38, 0.0354, 0)</f>
        <v>50.5627</v>
      </c>
      <c r="J688" s="44">
        <f>449.7095</f>
        <v>449.70949999999999</v>
      </c>
    </row>
    <row r="689" spans="1:10" ht="15.75" x14ac:dyDescent="0.25">
      <c r="A689" s="32">
        <v>61909</v>
      </c>
      <c r="B689" s="14">
        <f>54.1915 * CHOOSE(CONTROL!$C$15, $E$9, 100%, $G$9) + CHOOSE(CONTROL!$C$38, 0.0353, 0)</f>
        <v>54.226799999999997</v>
      </c>
      <c r="C689" s="14">
        <f>51.2487 * CHOOSE(CONTROL!$C$15, $E$9, 100%, $G$9) + CHOOSE(CONTROL!$C$38, 0.0354, 0)</f>
        <v>51.284100000000002</v>
      </c>
      <c r="D689" s="14">
        <f>51.2409 * CHOOSE(CONTROL!$C$15, $E$9, 100%, $G$9) + CHOOSE(CONTROL!$C$38, 0.0354, 0)</f>
        <v>51.276300000000006</v>
      </c>
      <c r="E689" s="14">
        <f>51.2409 * CHOOSE(CONTROL!$C$15, $E$9, 100%, $G$9) + CHOOSE(CONTROL!$C$38, 0.0354, 0)</f>
        <v>51.276300000000006</v>
      </c>
      <c r="F689" s="45">
        <f>54.1915 * CHOOSE(CONTROL!$C$15, $E$9, 100%, $G$9) + CHOOSE(CONTROL!$C$38, 0.0353, 0)</f>
        <v>54.226799999999997</v>
      </c>
      <c r="G689" s="14">
        <f>51.2471 * CHOOSE(CONTROL!$C$15, $E$9, 100%, $G$9) + CHOOSE(CONTROL!$C$38, 0.0354, 0)</f>
        <v>51.282500000000006</v>
      </c>
      <c r="H689" s="14">
        <f>51.2471 * CHOOSE(CONTROL!$C$15, $E$9, 100%, $G$9) + CHOOSE(CONTROL!$C$38, 0.0354, 0)</f>
        <v>51.282500000000006</v>
      </c>
      <c r="I689" s="14">
        <f>51.2487 * CHOOSE(CONTROL!$C$15, $E$9, 100%, $G$9) + CHOOSE(CONTROL!$C$38, 0.0354, 0)</f>
        <v>51.284100000000002</v>
      </c>
      <c r="J689" s="44">
        <f>456.1893</f>
        <v>456.1893</v>
      </c>
    </row>
    <row r="690" spans="1:10" ht="15.75" x14ac:dyDescent="0.25">
      <c r="A690" s="32">
        <v>61940</v>
      </c>
      <c r="B690" s="14">
        <f>53.9409 * CHOOSE(CONTROL!$C$15, $E$9, 100%, $G$9) + CHOOSE(CONTROL!$C$38, 0.0353, 0)</f>
        <v>53.976199999999999</v>
      </c>
      <c r="C690" s="14">
        <f>51.0112 * CHOOSE(CONTROL!$C$15, $E$9, 100%, $G$9) + CHOOSE(CONTROL!$C$38, 0.0354, 0)</f>
        <v>51.046600000000005</v>
      </c>
      <c r="D690" s="14">
        <f>51.0033 * CHOOSE(CONTROL!$C$15, $E$9, 100%, $G$9) + CHOOSE(CONTROL!$C$38, 0.0354, 0)</f>
        <v>51.038700000000006</v>
      </c>
      <c r="E690" s="14">
        <f>51.0033 * CHOOSE(CONTROL!$C$15, $E$9, 100%, $G$9) + CHOOSE(CONTROL!$C$38, 0.0354, 0)</f>
        <v>51.038700000000006</v>
      </c>
      <c r="F690" s="45">
        <f>53.9409 * CHOOSE(CONTROL!$C$15, $E$9, 100%, $G$9) + CHOOSE(CONTROL!$C$38, 0.0353, 0)</f>
        <v>53.976199999999999</v>
      </c>
      <c r="G690" s="14">
        <f>51.0096 * CHOOSE(CONTROL!$C$15, $E$9, 100%, $G$9) + CHOOSE(CONTROL!$C$38, 0.0354, 0)</f>
        <v>51.045000000000002</v>
      </c>
      <c r="H690" s="14">
        <f>51.0096 * CHOOSE(CONTROL!$C$15, $E$9, 100%, $G$9) + CHOOSE(CONTROL!$C$38, 0.0354, 0)</f>
        <v>51.045000000000002</v>
      </c>
      <c r="I690" s="14">
        <f>51.0112 * CHOOSE(CONTROL!$C$15, $E$9, 100%, $G$9) + CHOOSE(CONTROL!$C$38, 0.0354, 0)</f>
        <v>51.046600000000005</v>
      </c>
      <c r="J690" s="44">
        <f>454.0559</f>
        <v>454.05590000000001</v>
      </c>
    </row>
    <row r="691" spans="1:10" ht="15.75" x14ac:dyDescent="0.25">
      <c r="A691" s="32">
        <v>61971</v>
      </c>
      <c r="B691" s="14">
        <f>52.6996 * CHOOSE(CONTROL!$C$15, $E$9, 100%, $G$9) + CHOOSE(CONTROL!$C$38, 0.0353, 0)</f>
        <v>52.734899999999996</v>
      </c>
      <c r="C691" s="14">
        <f>49.8344 * CHOOSE(CONTROL!$C$15, $E$9, 100%, $G$9) + CHOOSE(CONTROL!$C$38, 0.0354, 0)</f>
        <v>49.869800000000005</v>
      </c>
      <c r="D691" s="14">
        <f>49.8266 * CHOOSE(CONTROL!$C$15, $E$9, 100%, $G$9) + CHOOSE(CONTROL!$C$38, 0.0354, 0)</f>
        <v>49.862000000000002</v>
      </c>
      <c r="E691" s="14">
        <f>49.8266 * CHOOSE(CONTROL!$C$15, $E$9, 100%, $G$9) + CHOOSE(CONTROL!$C$38, 0.0354, 0)</f>
        <v>49.862000000000002</v>
      </c>
      <c r="F691" s="45">
        <f>52.6996 * CHOOSE(CONTROL!$C$15, $E$9, 100%, $G$9) + CHOOSE(CONTROL!$C$38, 0.0353, 0)</f>
        <v>52.734899999999996</v>
      </c>
      <c r="G691" s="14">
        <f>49.8328 * CHOOSE(CONTROL!$C$15, $E$9, 100%, $G$9) + CHOOSE(CONTROL!$C$38, 0.0354, 0)</f>
        <v>49.868200000000002</v>
      </c>
      <c r="H691" s="14">
        <f>49.8328 * CHOOSE(CONTROL!$C$15, $E$9, 100%, $G$9) + CHOOSE(CONTROL!$C$38, 0.0354, 0)</f>
        <v>49.868200000000002</v>
      </c>
      <c r="I691" s="14">
        <f>49.8344 * CHOOSE(CONTROL!$C$15, $E$9, 100%, $G$9) + CHOOSE(CONTROL!$C$38, 0.0354, 0)</f>
        <v>49.869800000000005</v>
      </c>
      <c r="J691" s="44">
        <f>443.4857</f>
        <v>443.48570000000001</v>
      </c>
    </row>
    <row r="692" spans="1:10" ht="15.75" x14ac:dyDescent="0.25">
      <c r="A692" s="32">
        <v>62001</v>
      </c>
      <c r="B692" s="14">
        <f>50.9685 * CHOOSE(CONTROL!$C$15, $E$9, 100%, $G$9) + CHOOSE(CONTROL!$C$38, 0.0353, 0)</f>
        <v>51.003799999999998</v>
      </c>
      <c r="C692" s="14">
        <f>48.1933 * CHOOSE(CONTROL!$C$15, $E$9, 100%, $G$9) + CHOOSE(CONTROL!$C$38, 0.0354, 0)</f>
        <v>48.228700000000003</v>
      </c>
      <c r="D692" s="14">
        <f>48.1855 * CHOOSE(CONTROL!$C$15, $E$9, 100%, $G$9) + CHOOSE(CONTROL!$C$38, 0.0354, 0)</f>
        <v>48.2209</v>
      </c>
      <c r="E692" s="14">
        <f>48.1855 * CHOOSE(CONTROL!$C$15, $E$9, 100%, $G$9) + CHOOSE(CONTROL!$C$38, 0.0354, 0)</f>
        <v>48.2209</v>
      </c>
      <c r="F692" s="45">
        <f>50.9685 * CHOOSE(CONTROL!$C$15, $E$9, 100%, $G$9) + CHOOSE(CONTROL!$C$38, 0.0353, 0)</f>
        <v>51.003799999999998</v>
      </c>
      <c r="G692" s="14">
        <f>48.1917 * CHOOSE(CONTROL!$C$15, $E$9, 100%, $G$9) + CHOOSE(CONTROL!$C$38, 0.0354, 0)</f>
        <v>48.2271</v>
      </c>
      <c r="H692" s="14">
        <f>48.1917 * CHOOSE(CONTROL!$C$15, $E$9, 100%, $G$9) + CHOOSE(CONTROL!$C$38, 0.0354, 0)</f>
        <v>48.2271</v>
      </c>
      <c r="I692" s="14">
        <f>48.1933 * CHOOSE(CONTROL!$C$15, $E$9, 100%, $G$9) + CHOOSE(CONTROL!$C$38, 0.0354, 0)</f>
        <v>48.228700000000003</v>
      </c>
      <c r="J692" s="44">
        <f>428.745</f>
        <v>428.745</v>
      </c>
    </row>
    <row r="693" spans="1:10" ht="15.75" x14ac:dyDescent="0.25">
      <c r="A693" s="32">
        <v>62032</v>
      </c>
      <c r="B693" s="14">
        <f>49.2273 * CHOOSE(CONTROL!$C$15, $E$9, 100%, $G$9) + CHOOSE(CONTROL!$C$38, 0.034, 0)</f>
        <v>49.261299999999999</v>
      </c>
      <c r="C693" s="14">
        <f>46.5427 * CHOOSE(CONTROL!$C$15, $E$9, 100%, $G$9) + CHOOSE(CONTROL!$C$38, 0.0342, 0)</f>
        <v>46.576900000000002</v>
      </c>
      <c r="D693" s="14">
        <f>46.5348 * CHOOSE(CONTROL!$C$15, $E$9, 100%, $G$9) + CHOOSE(CONTROL!$C$38, 0.0342, 0)</f>
        <v>46.568999999999996</v>
      </c>
      <c r="E693" s="14">
        <f>46.5348 * CHOOSE(CONTROL!$C$15, $E$9, 100%, $G$9) + CHOOSE(CONTROL!$C$38, 0.0342, 0)</f>
        <v>46.568999999999996</v>
      </c>
      <c r="F693" s="45">
        <f>49.2273 * CHOOSE(CONTROL!$C$15, $E$9, 100%, $G$9) + CHOOSE(CONTROL!$C$38, 0.034, 0)</f>
        <v>49.261299999999999</v>
      </c>
      <c r="G693" s="14">
        <f>46.5411 * CHOOSE(CONTROL!$C$15, $E$9, 100%, $G$9) + CHOOSE(CONTROL!$C$38, 0.0342, 0)</f>
        <v>46.575299999999999</v>
      </c>
      <c r="H693" s="14">
        <f>46.5411 * CHOOSE(CONTROL!$C$15, $E$9, 100%, $G$9) + CHOOSE(CONTROL!$C$38, 0.0342, 0)</f>
        <v>46.575299999999999</v>
      </c>
      <c r="I693" s="14">
        <f>46.5427 * CHOOSE(CONTROL!$C$15, $E$9, 100%, $G$9) + CHOOSE(CONTROL!$C$38, 0.0342, 0)</f>
        <v>46.576900000000002</v>
      </c>
      <c r="J693" s="44">
        <f>413.9185</f>
        <v>413.91849999999999</v>
      </c>
    </row>
    <row r="694" spans="1:10" ht="15.75" x14ac:dyDescent="0.25">
      <c r="A694" s="32">
        <v>62062</v>
      </c>
      <c r="B694" s="14">
        <f>48.8809 * CHOOSE(CONTROL!$C$15, $E$9, 100%, $G$9) + CHOOSE(CONTROL!$C$38, 0.034, 0)</f>
        <v>48.914899999999996</v>
      </c>
      <c r="C694" s="14">
        <f>46.2143 * CHOOSE(CONTROL!$C$15, $E$9, 100%, $G$9) + CHOOSE(CONTROL!$C$38, 0.0342, 0)</f>
        <v>46.2485</v>
      </c>
      <c r="D694" s="14">
        <f>46.2065 * CHOOSE(CONTROL!$C$15, $E$9, 100%, $G$9) + CHOOSE(CONTROL!$C$38, 0.0342, 0)</f>
        <v>46.240699999999997</v>
      </c>
      <c r="E694" s="14">
        <f>46.2065 * CHOOSE(CONTROL!$C$15, $E$9, 100%, $G$9) + CHOOSE(CONTROL!$C$38, 0.0342, 0)</f>
        <v>46.240699999999997</v>
      </c>
      <c r="F694" s="45">
        <f>48.8809 * CHOOSE(CONTROL!$C$15, $E$9, 100%, $G$9) + CHOOSE(CONTROL!$C$38, 0.034, 0)</f>
        <v>48.914899999999996</v>
      </c>
      <c r="G694" s="14">
        <f>46.2127 * CHOOSE(CONTROL!$C$15, $E$9, 100%, $G$9) + CHOOSE(CONTROL!$C$38, 0.0342, 0)</f>
        <v>46.246899999999997</v>
      </c>
      <c r="H694" s="14">
        <f>46.2127 * CHOOSE(CONTROL!$C$15, $E$9, 100%, $G$9) + CHOOSE(CONTROL!$C$38, 0.0342, 0)</f>
        <v>46.246899999999997</v>
      </c>
      <c r="I694" s="14">
        <f>46.2143 * CHOOSE(CONTROL!$C$15, $E$9, 100%, $G$9) + CHOOSE(CONTROL!$C$38, 0.0342, 0)</f>
        <v>46.2485</v>
      </c>
      <c r="J694" s="44">
        <f>410.9692</f>
        <v>410.9692</v>
      </c>
    </row>
    <row r="695" spans="1:10" ht="15.75" x14ac:dyDescent="0.25">
      <c r="A695" s="32">
        <v>62093</v>
      </c>
      <c r="B695" s="14">
        <f>47.4487 * CHOOSE(CONTROL!$C$15, $E$9, 100%, $G$9) + CHOOSE(CONTROL!$C$38, 0.034, 0)</f>
        <v>47.482700000000001</v>
      </c>
      <c r="C695" s="14">
        <f>44.8566 * CHOOSE(CONTROL!$C$15, $E$9, 100%, $G$9) + CHOOSE(CONTROL!$C$38, 0.0342, 0)</f>
        <v>44.890799999999999</v>
      </c>
      <c r="D695" s="14">
        <f>44.8488 * CHOOSE(CONTROL!$C$15, $E$9, 100%, $G$9) + CHOOSE(CONTROL!$C$38, 0.0342, 0)</f>
        <v>44.882999999999996</v>
      </c>
      <c r="E695" s="14">
        <f>44.8488 * CHOOSE(CONTROL!$C$15, $E$9, 100%, $G$9) + CHOOSE(CONTROL!$C$38, 0.0342, 0)</f>
        <v>44.882999999999996</v>
      </c>
      <c r="F695" s="45">
        <f>47.4487 * CHOOSE(CONTROL!$C$15, $E$9, 100%, $G$9) + CHOOSE(CONTROL!$C$38, 0.034, 0)</f>
        <v>47.482700000000001</v>
      </c>
      <c r="G695" s="14">
        <f>44.855 * CHOOSE(CONTROL!$C$15, $E$9, 100%, $G$9) + CHOOSE(CONTROL!$C$38, 0.0342, 0)</f>
        <v>44.889199999999995</v>
      </c>
      <c r="H695" s="14">
        <f>44.855 * CHOOSE(CONTROL!$C$15, $E$9, 100%, $G$9) + CHOOSE(CONTROL!$C$38, 0.0342, 0)</f>
        <v>44.889199999999995</v>
      </c>
      <c r="I695" s="14">
        <f>44.8566 * CHOOSE(CONTROL!$C$15, $E$9, 100%, $G$9) + CHOOSE(CONTROL!$C$38, 0.0342, 0)</f>
        <v>44.890799999999999</v>
      </c>
      <c r="J695" s="44">
        <f>398.7737</f>
        <v>398.77370000000002</v>
      </c>
    </row>
    <row r="696" spans="1:10" ht="15.75" x14ac:dyDescent="0.25">
      <c r="A696" s="32">
        <v>62124</v>
      </c>
      <c r="B696" s="14">
        <f>47.093 * CHOOSE(CONTROL!$C$15, $E$9, 100%, $G$9) + CHOOSE(CONTROL!$C$38, 0.034, 0)</f>
        <v>47.127000000000002</v>
      </c>
      <c r="C696" s="14">
        <f>44.5194 * CHOOSE(CONTROL!$C$15, $E$9, 100%, $G$9) + CHOOSE(CONTROL!$C$38, 0.0342, 0)</f>
        <v>44.553599999999996</v>
      </c>
      <c r="D696" s="14">
        <f>44.5116 * CHOOSE(CONTROL!$C$15, $E$9, 100%, $G$9) + CHOOSE(CONTROL!$C$38, 0.0342, 0)</f>
        <v>44.5458</v>
      </c>
      <c r="E696" s="14">
        <f>44.5116 * CHOOSE(CONTROL!$C$15, $E$9, 100%, $G$9) + CHOOSE(CONTROL!$C$38, 0.0342, 0)</f>
        <v>44.5458</v>
      </c>
      <c r="F696" s="45">
        <f>47.093 * CHOOSE(CONTROL!$C$15, $E$9, 100%, $G$9) + CHOOSE(CONTROL!$C$38, 0.034, 0)</f>
        <v>47.127000000000002</v>
      </c>
      <c r="G696" s="14">
        <f>44.5178 * CHOOSE(CONTROL!$C$15, $E$9, 100%, $G$9) + CHOOSE(CONTROL!$C$38, 0.0342, 0)</f>
        <v>44.552</v>
      </c>
      <c r="H696" s="14">
        <f>44.5178 * CHOOSE(CONTROL!$C$15, $E$9, 100%, $G$9) + CHOOSE(CONTROL!$C$38, 0.0342, 0)</f>
        <v>44.552</v>
      </c>
      <c r="I696" s="14">
        <f>44.5194 * CHOOSE(CONTROL!$C$15, $E$9, 100%, $G$9) + CHOOSE(CONTROL!$C$38, 0.0342, 0)</f>
        <v>44.553599999999996</v>
      </c>
      <c r="J696" s="44">
        <f>398.4858</f>
        <v>398.48579999999998</v>
      </c>
    </row>
    <row r="697" spans="1:10" ht="15.75" x14ac:dyDescent="0.25">
      <c r="A697" s="32">
        <v>62152</v>
      </c>
      <c r="B697" s="14">
        <f>46.9638 * CHOOSE(CONTROL!$C$15, $E$9, 100%, $G$9) + CHOOSE(CONTROL!$C$38, 0.034, 0)</f>
        <v>46.997799999999998</v>
      </c>
      <c r="C697" s="14">
        <f>44.3969 * CHOOSE(CONTROL!$C$15, $E$9, 100%, $G$9) + CHOOSE(CONTROL!$C$38, 0.0342, 0)</f>
        <v>44.431100000000001</v>
      </c>
      <c r="D697" s="14">
        <f>44.3891 * CHOOSE(CONTROL!$C$15, $E$9, 100%, $G$9) + CHOOSE(CONTROL!$C$38, 0.0342, 0)</f>
        <v>44.423299999999998</v>
      </c>
      <c r="E697" s="14">
        <f>44.3891 * CHOOSE(CONTROL!$C$15, $E$9, 100%, $G$9) + CHOOSE(CONTROL!$C$38, 0.0342, 0)</f>
        <v>44.423299999999998</v>
      </c>
      <c r="F697" s="45">
        <f>46.9638 * CHOOSE(CONTROL!$C$15, $E$9, 100%, $G$9) + CHOOSE(CONTROL!$C$38, 0.034, 0)</f>
        <v>46.997799999999998</v>
      </c>
      <c r="G697" s="14">
        <f>44.3954 * CHOOSE(CONTROL!$C$15, $E$9, 100%, $G$9) + CHOOSE(CONTROL!$C$38, 0.0342, 0)</f>
        <v>44.429600000000001</v>
      </c>
      <c r="H697" s="14">
        <f>44.3954 * CHOOSE(CONTROL!$C$15, $E$9, 100%, $G$9) + CHOOSE(CONTROL!$C$38, 0.0342, 0)</f>
        <v>44.429600000000001</v>
      </c>
      <c r="I697" s="14">
        <f>44.3969 * CHOOSE(CONTROL!$C$15, $E$9, 100%, $G$9) + CHOOSE(CONTROL!$C$38, 0.0342, 0)</f>
        <v>44.431100000000001</v>
      </c>
      <c r="J697" s="44">
        <f>397.3781</f>
        <v>397.37810000000002</v>
      </c>
    </row>
    <row r="698" spans="1:10" ht="15.75" x14ac:dyDescent="0.25">
      <c r="A698" s="32">
        <v>62183</v>
      </c>
      <c r="B698" s="14">
        <f>49.4065 * CHOOSE(CONTROL!$C$15, $E$9, 100%, $G$9) + CHOOSE(CONTROL!$C$38, 0.034, 0)</f>
        <v>49.4405</v>
      </c>
      <c r="C698" s="14">
        <f>46.7126 * CHOOSE(CONTROL!$C$15, $E$9, 100%, $G$9) + CHOOSE(CONTROL!$C$38, 0.0342, 0)</f>
        <v>46.7468</v>
      </c>
      <c r="D698" s="14">
        <f>46.7048 * CHOOSE(CONTROL!$C$15, $E$9, 100%, $G$9) + CHOOSE(CONTROL!$C$38, 0.0342, 0)</f>
        <v>46.738999999999997</v>
      </c>
      <c r="E698" s="14">
        <f>46.7048 * CHOOSE(CONTROL!$C$15, $E$9, 100%, $G$9) + CHOOSE(CONTROL!$C$38, 0.0342, 0)</f>
        <v>46.738999999999997</v>
      </c>
      <c r="F698" s="45">
        <f>49.4065 * CHOOSE(CONTROL!$C$15, $E$9, 100%, $G$9) + CHOOSE(CONTROL!$C$38, 0.034, 0)</f>
        <v>49.4405</v>
      </c>
      <c r="G698" s="14">
        <f>46.711 * CHOOSE(CONTROL!$C$15, $E$9, 100%, $G$9) + CHOOSE(CONTROL!$C$38, 0.0342, 0)</f>
        <v>46.745199999999997</v>
      </c>
      <c r="H698" s="14">
        <f>46.711 * CHOOSE(CONTROL!$C$15, $E$9, 100%, $G$9) + CHOOSE(CONTROL!$C$38, 0.0342, 0)</f>
        <v>46.745199999999997</v>
      </c>
      <c r="I698" s="14">
        <f>46.7126 * CHOOSE(CONTROL!$C$15, $E$9, 100%, $G$9) + CHOOSE(CONTROL!$C$38, 0.0342, 0)</f>
        <v>46.7468</v>
      </c>
      <c r="J698" s="44">
        <f>418.3223</f>
        <v>418.32229999999998</v>
      </c>
    </row>
    <row r="699" spans="1:10" ht="15.75" x14ac:dyDescent="0.25">
      <c r="A699" s="32">
        <v>62213</v>
      </c>
      <c r="B699" s="14">
        <f>52.5742 * CHOOSE(CONTROL!$C$15, $E$9, 100%, $G$9) + CHOOSE(CONTROL!$C$38, 0.034, 0)</f>
        <v>52.608199999999997</v>
      </c>
      <c r="C699" s="14">
        <f>49.7155 * CHOOSE(CONTROL!$C$15, $E$9, 100%, $G$9) + CHOOSE(CONTROL!$C$38, 0.0342, 0)</f>
        <v>49.749699999999997</v>
      </c>
      <c r="D699" s="14">
        <f>49.7077 * CHOOSE(CONTROL!$C$15, $E$9, 100%, $G$9) + CHOOSE(CONTROL!$C$38, 0.0342, 0)</f>
        <v>49.741900000000001</v>
      </c>
      <c r="E699" s="14">
        <f>49.7077 * CHOOSE(CONTROL!$C$15, $E$9, 100%, $G$9) + CHOOSE(CONTROL!$C$38, 0.0342, 0)</f>
        <v>49.741900000000001</v>
      </c>
      <c r="F699" s="45">
        <f>52.5742 * CHOOSE(CONTROL!$C$15, $E$9, 100%, $G$9) + CHOOSE(CONTROL!$C$38, 0.034, 0)</f>
        <v>52.608199999999997</v>
      </c>
      <c r="G699" s="14">
        <f>49.7139 * CHOOSE(CONTROL!$C$15, $E$9, 100%, $G$9) + CHOOSE(CONTROL!$C$38, 0.0342, 0)</f>
        <v>49.748100000000001</v>
      </c>
      <c r="H699" s="14">
        <f>49.7139 * CHOOSE(CONTROL!$C$15, $E$9, 100%, $G$9) + CHOOSE(CONTROL!$C$38, 0.0342, 0)</f>
        <v>49.748100000000001</v>
      </c>
      <c r="I699" s="14">
        <f>49.7155 * CHOOSE(CONTROL!$C$15, $E$9, 100%, $G$9) + CHOOSE(CONTROL!$C$38, 0.0342, 0)</f>
        <v>49.749699999999997</v>
      </c>
      <c r="J699" s="44">
        <f>445.4818</f>
        <v>445.48180000000002</v>
      </c>
    </row>
    <row r="700" spans="1:10" ht="15.75" x14ac:dyDescent="0.25">
      <c r="A700" s="32">
        <v>62244</v>
      </c>
      <c r="B700" s="14">
        <f>54.3178 * CHOOSE(CONTROL!$C$15, $E$9, 100%, $G$9) + CHOOSE(CONTROL!$C$38, 0.0353, 0)</f>
        <v>54.353099999999998</v>
      </c>
      <c r="C700" s="14">
        <f>51.3684 * CHOOSE(CONTROL!$C$15, $E$9, 100%, $G$9) + CHOOSE(CONTROL!$C$38, 0.0354, 0)</f>
        <v>51.403800000000004</v>
      </c>
      <c r="D700" s="14">
        <f>51.3606 * CHOOSE(CONTROL!$C$15, $E$9, 100%, $G$9) + CHOOSE(CONTROL!$C$38, 0.0354, 0)</f>
        <v>51.396000000000001</v>
      </c>
      <c r="E700" s="14">
        <f>51.3606 * CHOOSE(CONTROL!$C$15, $E$9, 100%, $G$9) + CHOOSE(CONTROL!$C$38, 0.0354, 0)</f>
        <v>51.396000000000001</v>
      </c>
      <c r="F700" s="45">
        <f>54.3178 * CHOOSE(CONTROL!$C$15, $E$9, 100%, $G$9) + CHOOSE(CONTROL!$C$38, 0.0353, 0)</f>
        <v>54.353099999999998</v>
      </c>
      <c r="G700" s="14">
        <f>51.3668 * CHOOSE(CONTROL!$C$15, $E$9, 100%, $G$9) + CHOOSE(CONTROL!$C$38, 0.0354, 0)</f>
        <v>51.402200000000001</v>
      </c>
      <c r="H700" s="14">
        <f>51.3668 * CHOOSE(CONTROL!$C$15, $E$9, 100%, $G$9) + CHOOSE(CONTROL!$C$38, 0.0354, 0)</f>
        <v>51.402200000000001</v>
      </c>
      <c r="I700" s="14">
        <f>51.3684 * CHOOSE(CONTROL!$C$15, $E$9, 100%, $G$9) + CHOOSE(CONTROL!$C$38, 0.0354, 0)</f>
        <v>51.403800000000004</v>
      </c>
      <c r="J700" s="44">
        <f>460.4313</f>
        <v>460.43130000000002</v>
      </c>
    </row>
    <row r="701" spans="1:10" ht="15.75" x14ac:dyDescent="0.25">
      <c r="A701" s="32">
        <v>62274</v>
      </c>
      <c r="B701" s="14">
        <f>55.0915 * CHOOSE(CONTROL!$C$15, $E$9, 100%, $G$9) + CHOOSE(CONTROL!$C$38, 0.0353, 0)</f>
        <v>55.126800000000003</v>
      </c>
      <c r="C701" s="14">
        <f>52.1019 * CHOOSE(CONTROL!$C$15, $E$9, 100%, $G$9) + CHOOSE(CONTROL!$C$38, 0.0354, 0)</f>
        <v>52.137300000000003</v>
      </c>
      <c r="D701" s="14">
        <f>52.0941 * CHOOSE(CONTROL!$C$15, $E$9, 100%, $G$9) + CHOOSE(CONTROL!$C$38, 0.0354, 0)</f>
        <v>52.1295</v>
      </c>
      <c r="E701" s="14">
        <f>52.0941 * CHOOSE(CONTROL!$C$15, $E$9, 100%, $G$9) + CHOOSE(CONTROL!$C$38, 0.0354, 0)</f>
        <v>52.1295</v>
      </c>
      <c r="F701" s="45">
        <f>55.0915 * CHOOSE(CONTROL!$C$15, $E$9, 100%, $G$9) + CHOOSE(CONTROL!$C$38, 0.0353, 0)</f>
        <v>55.126800000000003</v>
      </c>
      <c r="G701" s="14">
        <f>52.1003 * CHOOSE(CONTROL!$C$15, $E$9, 100%, $G$9) + CHOOSE(CONTROL!$C$38, 0.0354, 0)</f>
        <v>52.1357</v>
      </c>
      <c r="H701" s="14">
        <f>52.1003 * CHOOSE(CONTROL!$C$15, $E$9, 100%, $G$9) + CHOOSE(CONTROL!$C$38, 0.0354, 0)</f>
        <v>52.1357</v>
      </c>
      <c r="I701" s="14">
        <f>52.1019 * CHOOSE(CONTROL!$C$15, $E$9, 100%, $G$9) + CHOOSE(CONTROL!$C$38, 0.0354, 0)</f>
        <v>52.137300000000003</v>
      </c>
      <c r="J701" s="44">
        <f>467.0656</f>
        <v>467.06560000000002</v>
      </c>
    </row>
    <row r="702" spans="1:10" ht="15.75" x14ac:dyDescent="0.25">
      <c r="A702" s="32">
        <v>62305</v>
      </c>
      <c r="B702" s="14">
        <f>54.8368 * CHOOSE(CONTROL!$C$15, $E$9, 100%, $G$9) + CHOOSE(CONTROL!$C$38, 0.0353, 0)</f>
        <v>54.872099999999996</v>
      </c>
      <c r="C702" s="14">
        <f>51.8604 * CHOOSE(CONTROL!$C$15, $E$9, 100%, $G$9) + CHOOSE(CONTROL!$C$38, 0.0354, 0)</f>
        <v>51.895800000000001</v>
      </c>
      <c r="D702" s="14">
        <f>51.8526 * CHOOSE(CONTROL!$C$15, $E$9, 100%, $G$9) + CHOOSE(CONTROL!$C$38, 0.0354, 0)</f>
        <v>51.888000000000005</v>
      </c>
      <c r="E702" s="14">
        <f>51.8526 * CHOOSE(CONTROL!$C$15, $E$9, 100%, $G$9) + CHOOSE(CONTROL!$C$38, 0.0354, 0)</f>
        <v>51.888000000000005</v>
      </c>
      <c r="F702" s="45">
        <f>54.8368 * CHOOSE(CONTROL!$C$15, $E$9, 100%, $G$9) + CHOOSE(CONTROL!$C$38, 0.0353, 0)</f>
        <v>54.872099999999996</v>
      </c>
      <c r="G702" s="14">
        <f>51.8588 * CHOOSE(CONTROL!$C$15, $E$9, 100%, $G$9) + CHOOSE(CONTROL!$C$38, 0.0354, 0)</f>
        <v>51.894200000000005</v>
      </c>
      <c r="H702" s="14">
        <f>51.8588 * CHOOSE(CONTROL!$C$15, $E$9, 100%, $G$9) + CHOOSE(CONTROL!$C$38, 0.0354, 0)</f>
        <v>51.894200000000005</v>
      </c>
      <c r="I702" s="14">
        <f>51.8604 * CHOOSE(CONTROL!$C$15, $E$9, 100%, $G$9) + CHOOSE(CONTROL!$C$38, 0.0354, 0)</f>
        <v>51.895800000000001</v>
      </c>
      <c r="J702" s="44">
        <f>464.8813</f>
        <v>464.88130000000001</v>
      </c>
    </row>
    <row r="703" spans="1:10" ht="15.75" x14ac:dyDescent="0.25">
      <c r="A703" s="32">
        <v>62336</v>
      </c>
      <c r="B703" s="14">
        <f>53.5746 * CHOOSE(CONTROL!$C$15, $E$9, 100%, $G$9) + CHOOSE(CONTROL!$C$38, 0.0353, 0)</f>
        <v>53.609899999999996</v>
      </c>
      <c r="C703" s="14">
        <f>50.6638 * CHOOSE(CONTROL!$C$15, $E$9, 100%, $G$9) + CHOOSE(CONTROL!$C$38, 0.0354, 0)</f>
        <v>50.699200000000005</v>
      </c>
      <c r="D703" s="14">
        <f>50.656 * CHOOSE(CONTROL!$C$15, $E$9, 100%, $G$9) + CHOOSE(CONTROL!$C$38, 0.0354, 0)</f>
        <v>50.691400000000002</v>
      </c>
      <c r="E703" s="14">
        <f>50.656 * CHOOSE(CONTROL!$C$15, $E$9, 100%, $G$9) + CHOOSE(CONTROL!$C$38, 0.0354, 0)</f>
        <v>50.691400000000002</v>
      </c>
      <c r="F703" s="45">
        <f>53.5746 * CHOOSE(CONTROL!$C$15, $E$9, 100%, $G$9) + CHOOSE(CONTROL!$C$38, 0.0353, 0)</f>
        <v>53.609899999999996</v>
      </c>
      <c r="G703" s="14">
        <f>50.6623 * CHOOSE(CONTROL!$C$15, $E$9, 100%, $G$9) + CHOOSE(CONTROL!$C$38, 0.0354, 0)</f>
        <v>50.697700000000005</v>
      </c>
      <c r="H703" s="14">
        <f>50.6623 * CHOOSE(CONTROL!$C$15, $E$9, 100%, $G$9) + CHOOSE(CONTROL!$C$38, 0.0354, 0)</f>
        <v>50.697700000000005</v>
      </c>
      <c r="I703" s="14">
        <f>50.6638 * CHOOSE(CONTROL!$C$15, $E$9, 100%, $G$9) + CHOOSE(CONTROL!$C$38, 0.0354, 0)</f>
        <v>50.699200000000005</v>
      </c>
      <c r="J703" s="44">
        <f>454.059</f>
        <v>454.05900000000003</v>
      </c>
    </row>
    <row r="704" spans="1:10" ht="15.75" x14ac:dyDescent="0.25">
      <c r="A704" s="32">
        <v>62366</v>
      </c>
      <c r="B704" s="14">
        <f>51.8143 * CHOOSE(CONTROL!$C$15, $E$9, 100%, $G$9) + CHOOSE(CONTROL!$C$38, 0.0353, 0)</f>
        <v>51.849600000000002</v>
      </c>
      <c r="C704" s="14">
        <f>48.9952 * CHOOSE(CONTROL!$C$15, $E$9, 100%, $G$9) + CHOOSE(CONTROL!$C$38, 0.0354, 0)</f>
        <v>49.0306</v>
      </c>
      <c r="D704" s="14">
        <f>48.9874 * CHOOSE(CONTROL!$C$15, $E$9, 100%, $G$9) + CHOOSE(CONTROL!$C$38, 0.0354, 0)</f>
        <v>49.022800000000004</v>
      </c>
      <c r="E704" s="14">
        <f>48.9874 * CHOOSE(CONTROL!$C$15, $E$9, 100%, $G$9) + CHOOSE(CONTROL!$C$38, 0.0354, 0)</f>
        <v>49.022800000000004</v>
      </c>
      <c r="F704" s="45">
        <f>51.8143 * CHOOSE(CONTROL!$C$15, $E$9, 100%, $G$9) + CHOOSE(CONTROL!$C$38, 0.0353, 0)</f>
        <v>51.849600000000002</v>
      </c>
      <c r="G704" s="14">
        <f>48.9936 * CHOOSE(CONTROL!$C$15, $E$9, 100%, $G$9) + CHOOSE(CONTROL!$C$38, 0.0354, 0)</f>
        <v>49.029000000000003</v>
      </c>
      <c r="H704" s="14">
        <f>48.9936 * CHOOSE(CONTROL!$C$15, $E$9, 100%, $G$9) + CHOOSE(CONTROL!$C$38, 0.0354, 0)</f>
        <v>49.029000000000003</v>
      </c>
      <c r="I704" s="14">
        <f>48.9952 * CHOOSE(CONTROL!$C$15, $E$9, 100%, $G$9) + CHOOSE(CONTROL!$C$38, 0.0354, 0)</f>
        <v>49.0306</v>
      </c>
      <c r="J704" s="44">
        <f>438.9669</f>
        <v>438.96690000000001</v>
      </c>
    </row>
    <row r="705" spans="1:10" ht="15.75" x14ac:dyDescent="0.25">
      <c r="A705" s="32">
        <v>62397</v>
      </c>
      <c r="B705" s="14">
        <f>50.0439 * CHOOSE(CONTROL!$C$15, $E$9, 100%, $G$9) + CHOOSE(CONTROL!$C$38, 0.034, 0)</f>
        <v>50.0779</v>
      </c>
      <c r="C705" s="14">
        <f>47.3168 * CHOOSE(CONTROL!$C$15, $E$9, 100%, $G$9) + CHOOSE(CONTROL!$C$38, 0.0342, 0)</f>
        <v>47.350999999999999</v>
      </c>
      <c r="D705" s="14">
        <f>47.309 * CHOOSE(CONTROL!$C$15, $E$9, 100%, $G$9) + CHOOSE(CONTROL!$C$38, 0.0342, 0)</f>
        <v>47.343199999999996</v>
      </c>
      <c r="E705" s="14">
        <f>47.309 * CHOOSE(CONTROL!$C$15, $E$9, 100%, $G$9) + CHOOSE(CONTROL!$C$38, 0.0342, 0)</f>
        <v>47.343199999999996</v>
      </c>
      <c r="F705" s="45">
        <f>50.0439 * CHOOSE(CONTROL!$C$15, $E$9, 100%, $G$9) + CHOOSE(CONTROL!$C$38, 0.034, 0)</f>
        <v>50.0779</v>
      </c>
      <c r="G705" s="14">
        <f>47.3152 * CHOOSE(CONTROL!$C$15, $E$9, 100%, $G$9) + CHOOSE(CONTROL!$C$38, 0.0342, 0)</f>
        <v>47.349399999999996</v>
      </c>
      <c r="H705" s="14">
        <f>47.3152 * CHOOSE(CONTROL!$C$15, $E$9, 100%, $G$9) + CHOOSE(CONTROL!$C$38, 0.0342, 0)</f>
        <v>47.349399999999996</v>
      </c>
      <c r="I705" s="14">
        <f>47.3168 * CHOOSE(CONTROL!$C$15, $E$9, 100%, $G$9) + CHOOSE(CONTROL!$C$38, 0.0342, 0)</f>
        <v>47.350999999999999</v>
      </c>
      <c r="J705" s="44">
        <f>423.787</f>
        <v>423.78699999999998</v>
      </c>
    </row>
    <row r="706" spans="1:10" ht="15.75" x14ac:dyDescent="0.25">
      <c r="A706" s="32">
        <v>62427</v>
      </c>
      <c r="B706" s="14">
        <f>49.6917 * CHOOSE(CONTROL!$C$15, $E$9, 100%, $G$9) + CHOOSE(CONTROL!$C$38, 0.034, 0)</f>
        <v>49.725699999999996</v>
      </c>
      <c r="C706" s="14">
        <f>46.983 * CHOOSE(CONTROL!$C$15, $E$9, 100%, $G$9) + CHOOSE(CONTROL!$C$38, 0.0342, 0)</f>
        <v>47.017199999999995</v>
      </c>
      <c r="D706" s="14">
        <f>46.9751 * CHOOSE(CONTROL!$C$15, $E$9, 100%, $G$9) + CHOOSE(CONTROL!$C$38, 0.0342, 0)</f>
        <v>47.009299999999996</v>
      </c>
      <c r="E706" s="14">
        <f>46.9751 * CHOOSE(CONTROL!$C$15, $E$9, 100%, $G$9) + CHOOSE(CONTROL!$C$38, 0.0342, 0)</f>
        <v>47.009299999999996</v>
      </c>
      <c r="F706" s="45">
        <f>49.6917 * CHOOSE(CONTROL!$C$15, $E$9, 100%, $G$9) + CHOOSE(CONTROL!$C$38, 0.034, 0)</f>
        <v>49.725699999999996</v>
      </c>
      <c r="G706" s="14">
        <f>46.9814 * CHOOSE(CONTROL!$C$15, $E$9, 100%, $G$9) + CHOOSE(CONTROL!$C$38, 0.0342, 0)</f>
        <v>47.015599999999999</v>
      </c>
      <c r="H706" s="14">
        <f>46.9814 * CHOOSE(CONTROL!$C$15, $E$9, 100%, $G$9) + CHOOSE(CONTROL!$C$38, 0.0342, 0)</f>
        <v>47.015599999999999</v>
      </c>
      <c r="I706" s="14">
        <f>46.983 * CHOOSE(CONTROL!$C$15, $E$9, 100%, $G$9) + CHOOSE(CONTROL!$C$38, 0.0342, 0)</f>
        <v>47.017199999999995</v>
      </c>
      <c r="J706" s="44">
        <f>420.7674</f>
        <v>420.76740000000001</v>
      </c>
    </row>
    <row r="707" spans="1:10" ht="15.75" x14ac:dyDescent="0.25">
      <c r="A707" s="32">
        <v>62458</v>
      </c>
      <c r="B707" s="14">
        <f>48.2354 * CHOOSE(CONTROL!$C$15, $E$9, 100%, $G$9) + CHOOSE(CONTROL!$C$38, 0.034, 0)</f>
        <v>48.269399999999997</v>
      </c>
      <c r="C707" s="14">
        <f>45.6024 * CHOOSE(CONTROL!$C$15, $E$9, 100%, $G$9) + CHOOSE(CONTROL!$C$38, 0.0342, 0)</f>
        <v>45.636600000000001</v>
      </c>
      <c r="D707" s="14">
        <f>45.5946 * CHOOSE(CONTROL!$C$15, $E$9, 100%, $G$9) + CHOOSE(CONTROL!$C$38, 0.0342, 0)</f>
        <v>45.628799999999998</v>
      </c>
      <c r="E707" s="14">
        <f>45.5946 * CHOOSE(CONTROL!$C$15, $E$9, 100%, $G$9) + CHOOSE(CONTROL!$C$38, 0.0342, 0)</f>
        <v>45.628799999999998</v>
      </c>
      <c r="F707" s="45">
        <f>48.2354 * CHOOSE(CONTROL!$C$15, $E$9, 100%, $G$9) + CHOOSE(CONTROL!$C$38, 0.034, 0)</f>
        <v>48.269399999999997</v>
      </c>
      <c r="G707" s="14">
        <f>45.6008 * CHOOSE(CONTROL!$C$15, $E$9, 100%, $G$9) + CHOOSE(CONTROL!$C$38, 0.0342, 0)</f>
        <v>45.634999999999998</v>
      </c>
      <c r="H707" s="14">
        <f>45.6008 * CHOOSE(CONTROL!$C$15, $E$9, 100%, $G$9) + CHOOSE(CONTROL!$C$38, 0.0342, 0)</f>
        <v>45.634999999999998</v>
      </c>
      <c r="I707" s="14">
        <f>45.6024 * CHOOSE(CONTROL!$C$15, $E$9, 100%, $G$9) + CHOOSE(CONTROL!$C$38, 0.0342, 0)</f>
        <v>45.636600000000001</v>
      </c>
      <c r="J707" s="44">
        <f>408.2811</f>
        <v>408.28109999999998</v>
      </c>
    </row>
    <row r="708" spans="1:10" ht="15.75" x14ac:dyDescent="0.25">
      <c r="A708" s="32">
        <v>62489</v>
      </c>
      <c r="B708" s="14">
        <f>47.8738 * CHOOSE(CONTROL!$C$15, $E$9, 100%, $G$9) + CHOOSE(CONTROL!$C$38, 0.034, 0)</f>
        <v>47.907800000000002</v>
      </c>
      <c r="C708" s="14">
        <f>45.2596 * CHOOSE(CONTROL!$C$15, $E$9, 100%, $G$9) + CHOOSE(CONTROL!$C$38, 0.0342, 0)</f>
        <v>45.293799999999997</v>
      </c>
      <c r="D708" s="14">
        <f>45.2518 * CHOOSE(CONTROL!$C$15, $E$9, 100%, $G$9) + CHOOSE(CONTROL!$C$38, 0.0342, 0)</f>
        <v>45.286000000000001</v>
      </c>
      <c r="E708" s="14">
        <f>45.2518 * CHOOSE(CONTROL!$C$15, $E$9, 100%, $G$9) + CHOOSE(CONTROL!$C$38, 0.0342, 0)</f>
        <v>45.286000000000001</v>
      </c>
      <c r="F708" s="45">
        <f>47.8738 * CHOOSE(CONTROL!$C$15, $E$9, 100%, $G$9) + CHOOSE(CONTROL!$C$38, 0.034, 0)</f>
        <v>47.907800000000002</v>
      </c>
      <c r="G708" s="14">
        <f>45.258 * CHOOSE(CONTROL!$C$15, $E$9, 100%, $G$9) + CHOOSE(CONTROL!$C$38, 0.0342, 0)</f>
        <v>45.292200000000001</v>
      </c>
      <c r="H708" s="14">
        <f>45.258 * CHOOSE(CONTROL!$C$15, $E$9, 100%, $G$9) + CHOOSE(CONTROL!$C$38, 0.0342, 0)</f>
        <v>45.292200000000001</v>
      </c>
      <c r="I708" s="14">
        <f>45.2596 * CHOOSE(CONTROL!$C$15, $E$9, 100%, $G$9) + CHOOSE(CONTROL!$C$38, 0.0342, 0)</f>
        <v>45.293799999999997</v>
      </c>
      <c r="J708" s="44">
        <f>407.9863</f>
        <v>407.98630000000003</v>
      </c>
    </row>
    <row r="709" spans="1:10" ht="15.75" x14ac:dyDescent="0.25">
      <c r="A709" s="32">
        <v>62517</v>
      </c>
      <c r="B709" s="14">
        <f>47.7424 * CHOOSE(CONTROL!$C$15, $E$9, 100%, $G$9) + CHOOSE(CONTROL!$C$38, 0.034, 0)</f>
        <v>47.776400000000002</v>
      </c>
      <c r="C709" s="14">
        <f>45.135 * CHOOSE(CONTROL!$C$15, $E$9, 100%, $G$9) + CHOOSE(CONTROL!$C$38, 0.0342, 0)</f>
        <v>45.169199999999996</v>
      </c>
      <c r="D709" s="14">
        <f>45.1272 * CHOOSE(CONTROL!$C$15, $E$9, 100%, $G$9) + CHOOSE(CONTROL!$C$38, 0.0342, 0)</f>
        <v>45.1614</v>
      </c>
      <c r="E709" s="14">
        <f>45.1272 * CHOOSE(CONTROL!$C$15, $E$9, 100%, $G$9) + CHOOSE(CONTROL!$C$38, 0.0342, 0)</f>
        <v>45.1614</v>
      </c>
      <c r="F709" s="45">
        <f>47.7424 * CHOOSE(CONTROL!$C$15, $E$9, 100%, $G$9) + CHOOSE(CONTROL!$C$38, 0.034, 0)</f>
        <v>47.776400000000002</v>
      </c>
      <c r="G709" s="14">
        <f>45.1335 * CHOOSE(CONTROL!$C$15, $E$9, 100%, $G$9) + CHOOSE(CONTROL!$C$38, 0.0342, 0)</f>
        <v>45.167699999999996</v>
      </c>
      <c r="H709" s="14">
        <f>45.1335 * CHOOSE(CONTROL!$C$15, $E$9, 100%, $G$9) + CHOOSE(CONTROL!$C$38, 0.0342, 0)</f>
        <v>45.167699999999996</v>
      </c>
      <c r="I709" s="14">
        <f>45.135 * CHOOSE(CONTROL!$C$15, $E$9, 100%, $G$9) + CHOOSE(CONTROL!$C$38, 0.0342, 0)</f>
        <v>45.169199999999996</v>
      </c>
      <c r="J709" s="44">
        <f>406.8522</f>
        <v>406.85219999999998</v>
      </c>
    </row>
    <row r="710" spans="1:10" ht="15.75" x14ac:dyDescent="0.25">
      <c r="A710" s="32">
        <v>62548</v>
      </c>
      <c r="B710" s="14">
        <f>50.2262 * CHOOSE(CONTROL!$C$15, $E$9, 100%, $G$9) + CHOOSE(CONTROL!$C$38, 0.034, 0)</f>
        <v>50.260199999999998</v>
      </c>
      <c r="C710" s="14">
        <f>47.4896 * CHOOSE(CONTROL!$C$15, $E$9, 100%, $G$9) + CHOOSE(CONTROL!$C$38, 0.0342, 0)</f>
        <v>47.523800000000001</v>
      </c>
      <c r="D710" s="14">
        <f>47.4818 * CHOOSE(CONTROL!$C$15, $E$9, 100%, $G$9) + CHOOSE(CONTROL!$C$38, 0.0342, 0)</f>
        <v>47.515999999999998</v>
      </c>
      <c r="E710" s="14">
        <f>47.4818 * CHOOSE(CONTROL!$C$15, $E$9, 100%, $G$9) + CHOOSE(CONTROL!$C$38, 0.0342, 0)</f>
        <v>47.515999999999998</v>
      </c>
      <c r="F710" s="45">
        <f>50.2262 * CHOOSE(CONTROL!$C$15, $E$9, 100%, $G$9) + CHOOSE(CONTROL!$C$38, 0.034, 0)</f>
        <v>50.260199999999998</v>
      </c>
      <c r="G710" s="14">
        <f>47.4881 * CHOOSE(CONTROL!$C$15, $E$9, 100%, $G$9) + CHOOSE(CONTROL!$C$38, 0.0342, 0)</f>
        <v>47.522300000000001</v>
      </c>
      <c r="H710" s="14">
        <f>47.4881 * CHOOSE(CONTROL!$C$15, $E$9, 100%, $G$9) + CHOOSE(CONTROL!$C$38, 0.0342, 0)</f>
        <v>47.522300000000001</v>
      </c>
      <c r="I710" s="14">
        <f>47.4896 * CHOOSE(CONTROL!$C$15, $E$9, 100%, $G$9) + CHOOSE(CONTROL!$C$38, 0.0342, 0)</f>
        <v>47.523800000000001</v>
      </c>
      <c r="J710" s="44">
        <f>428.2957</f>
        <v>428.29570000000001</v>
      </c>
    </row>
    <row r="711" spans="1:10" ht="15.75" x14ac:dyDescent="0.25">
      <c r="A711" s="32">
        <v>62578</v>
      </c>
      <c r="B711" s="14">
        <f>53.4471 * CHOOSE(CONTROL!$C$15, $E$9, 100%, $G$9) + CHOOSE(CONTROL!$C$38, 0.034, 0)</f>
        <v>53.481099999999998</v>
      </c>
      <c r="C711" s="14">
        <f>50.543 * CHOOSE(CONTROL!$C$15, $E$9, 100%, $G$9) + CHOOSE(CONTROL!$C$38, 0.0342, 0)</f>
        <v>50.577199999999998</v>
      </c>
      <c r="D711" s="14">
        <f>50.5351 * CHOOSE(CONTROL!$C$15, $E$9, 100%, $G$9) + CHOOSE(CONTROL!$C$38, 0.0342, 0)</f>
        <v>50.569299999999998</v>
      </c>
      <c r="E711" s="14">
        <f>50.5351 * CHOOSE(CONTROL!$C$15, $E$9, 100%, $G$9) + CHOOSE(CONTROL!$C$38, 0.0342, 0)</f>
        <v>50.569299999999998</v>
      </c>
      <c r="F711" s="45">
        <f>53.4471 * CHOOSE(CONTROL!$C$15, $E$9, 100%, $G$9) + CHOOSE(CONTROL!$C$38, 0.034, 0)</f>
        <v>53.481099999999998</v>
      </c>
      <c r="G711" s="14">
        <f>50.5414 * CHOOSE(CONTROL!$C$15, $E$9, 100%, $G$9) + CHOOSE(CONTROL!$C$38, 0.0342, 0)</f>
        <v>50.575600000000001</v>
      </c>
      <c r="H711" s="14">
        <f>50.5414 * CHOOSE(CONTROL!$C$15, $E$9, 100%, $G$9) + CHOOSE(CONTROL!$C$38, 0.0342, 0)</f>
        <v>50.575600000000001</v>
      </c>
      <c r="I711" s="14">
        <f>50.543 * CHOOSE(CONTROL!$C$15, $E$9, 100%, $G$9) + CHOOSE(CONTROL!$C$38, 0.0342, 0)</f>
        <v>50.577199999999998</v>
      </c>
      <c r="J711" s="44">
        <f>456.1027</f>
        <v>456.10270000000003</v>
      </c>
    </row>
    <row r="712" spans="1:10" ht="15.75" x14ac:dyDescent="0.25">
      <c r="A712" s="32">
        <v>62609</v>
      </c>
      <c r="B712" s="14">
        <f>55.2199 * CHOOSE(CONTROL!$C$15, $E$9, 100%, $G$9) + CHOOSE(CONTROL!$C$38, 0.0353, 0)</f>
        <v>55.255200000000002</v>
      </c>
      <c r="C712" s="14">
        <f>52.2236 * CHOOSE(CONTROL!$C$15, $E$9, 100%, $G$9) + CHOOSE(CONTROL!$C$38, 0.0354, 0)</f>
        <v>52.259</v>
      </c>
      <c r="D712" s="14">
        <f>52.2158 * CHOOSE(CONTROL!$C$15, $E$9, 100%, $G$9) + CHOOSE(CONTROL!$C$38, 0.0354, 0)</f>
        <v>52.251200000000004</v>
      </c>
      <c r="E712" s="14">
        <f>52.2158 * CHOOSE(CONTROL!$C$15, $E$9, 100%, $G$9) + CHOOSE(CONTROL!$C$38, 0.0354, 0)</f>
        <v>52.251200000000004</v>
      </c>
      <c r="F712" s="45">
        <f>55.2199 * CHOOSE(CONTROL!$C$15, $E$9, 100%, $G$9) + CHOOSE(CONTROL!$C$38, 0.0353, 0)</f>
        <v>55.255200000000002</v>
      </c>
      <c r="G712" s="14">
        <f>52.222 * CHOOSE(CONTROL!$C$15, $E$9, 100%, $G$9) + CHOOSE(CONTROL!$C$38, 0.0354, 0)</f>
        <v>52.257400000000004</v>
      </c>
      <c r="H712" s="14">
        <f>52.222 * CHOOSE(CONTROL!$C$15, $E$9, 100%, $G$9) + CHOOSE(CONTROL!$C$38, 0.0354, 0)</f>
        <v>52.257400000000004</v>
      </c>
      <c r="I712" s="14">
        <f>52.2236 * CHOOSE(CONTROL!$C$15, $E$9, 100%, $G$9) + CHOOSE(CONTROL!$C$38, 0.0354, 0)</f>
        <v>52.259</v>
      </c>
      <c r="J712" s="44">
        <f>471.4086</f>
        <v>471.40859999999998</v>
      </c>
    </row>
    <row r="713" spans="1:10" ht="15.75" x14ac:dyDescent="0.25">
      <c r="A713" s="32">
        <v>62639</v>
      </c>
      <c r="B713" s="14">
        <f>56.0067 * CHOOSE(CONTROL!$C$15, $E$9, 100%, $G$9) + CHOOSE(CONTROL!$C$38, 0.0353, 0)</f>
        <v>56.042000000000002</v>
      </c>
      <c r="C713" s="14">
        <f>52.9695 * CHOOSE(CONTROL!$C$15, $E$9, 100%, $G$9) + CHOOSE(CONTROL!$C$38, 0.0354, 0)</f>
        <v>53.004899999999999</v>
      </c>
      <c r="D713" s="14">
        <f>52.9616 * CHOOSE(CONTROL!$C$15, $E$9, 100%, $G$9) + CHOOSE(CONTROL!$C$38, 0.0354, 0)</f>
        <v>52.997</v>
      </c>
      <c r="E713" s="14">
        <f>52.9616 * CHOOSE(CONTROL!$C$15, $E$9, 100%, $G$9) + CHOOSE(CONTROL!$C$38, 0.0354, 0)</f>
        <v>52.997</v>
      </c>
      <c r="F713" s="45">
        <f>56.0067 * CHOOSE(CONTROL!$C$15, $E$9, 100%, $G$9) + CHOOSE(CONTROL!$C$38, 0.0353, 0)</f>
        <v>56.042000000000002</v>
      </c>
      <c r="G713" s="14">
        <f>52.9679 * CHOOSE(CONTROL!$C$15, $E$9, 100%, $G$9) + CHOOSE(CONTROL!$C$38, 0.0354, 0)</f>
        <v>53.003300000000003</v>
      </c>
      <c r="H713" s="14">
        <f>52.9679 * CHOOSE(CONTROL!$C$15, $E$9, 100%, $G$9) + CHOOSE(CONTROL!$C$38, 0.0354, 0)</f>
        <v>53.003300000000003</v>
      </c>
      <c r="I713" s="14">
        <f>52.9695 * CHOOSE(CONTROL!$C$15, $E$9, 100%, $G$9) + CHOOSE(CONTROL!$C$38, 0.0354, 0)</f>
        <v>53.004899999999999</v>
      </c>
      <c r="J713" s="44">
        <f>478.2011</f>
        <v>478.2011</v>
      </c>
    </row>
    <row r="714" spans="1:10" ht="15.75" x14ac:dyDescent="0.25">
      <c r="A714" s="32">
        <v>62670</v>
      </c>
      <c r="B714" s="14">
        <f>55.7476 * CHOOSE(CONTROL!$C$15, $E$9, 100%, $G$9) + CHOOSE(CONTROL!$C$38, 0.0353, 0)</f>
        <v>55.782899999999998</v>
      </c>
      <c r="C714" s="14">
        <f>52.7239 * CHOOSE(CONTROL!$C$15, $E$9, 100%, $G$9) + CHOOSE(CONTROL!$C$38, 0.0354, 0)</f>
        <v>52.759300000000003</v>
      </c>
      <c r="D714" s="14">
        <f>52.7161 * CHOOSE(CONTROL!$C$15, $E$9, 100%, $G$9) + CHOOSE(CONTROL!$C$38, 0.0354, 0)</f>
        <v>52.7515</v>
      </c>
      <c r="E714" s="14">
        <f>52.7161 * CHOOSE(CONTROL!$C$15, $E$9, 100%, $G$9) + CHOOSE(CONTROL!$C$38, 0.0354, 0)</f>
        <v>52.7515</v>
      </c>
      <c r="F714" s="45">
        <f>55.7476 * CHOOSE(CONTROL!$C$15, $E$9, 100%, $G$9) + CHOOSE(CONTROL!$C$38, 0.0353, 0)</f>
        <v>55.782899999999998</v>
      </c>
      <c r="G714" s="14">
        <f>52.7223 * CHOOSE(CONTROL!$C$15, $E$9, 100%, $G$9) + CHOOSE(CONTROL!$C$38, 0.0354, 0)</f>
        <v>52.7577</v>
      </c>
      <c r="H714" s="14">
        <f>52.7223 * CHOOSE(CONTROL!$C$15, $E$9, 100%, $G$9) + CHOOSE(CONTROL!$C$38, 0.0354, 0)</f>
        <v>52.7577</v>
      </c>
      <c r="I714" s="14">
        <f>52.7239 * CHOOSE(CONTROL!$C$15, $E$9, 100%, $G$9) + CHOOSE(CONTROL!$C$38, 0.0354, 0)</f>
        <v>52.759300000000003</v>
      </c>
      <c r="J714" s="44">
        <f>475.9647</f>
        <v>475.96469999999999</v>
      </c>
    </row>
    <row r="715" spans="1:10" ht="15.75" x14ac:dyDescent="0.25">
      <c r="A715" s="32">
        <v>62701</v>
      </c>
      <c r="B715" s="14">
        <f>54.4642 * CHOOSE(CONTROL!$C$15, $E$9, 100%, $G$9) + CHOOSE(CONTROL!$C$38, 0.0353, 0)</f>
        <v>54.499499999999998</v>
      </c>
      <c r="C715" s="14">
        <f>51.5072 * CHOOSE(CONTROL!$C$15, $E$9, 100%, $G$9) + CHOOSE(CONTROL!$C$38, 0.0354, 0)</f>
        <v>51.5426</v>
      </c>
      <c r="D715" s="14">
        <f>51.4994 * CHOOSE(CONTROL!$C$15, $E$9, 100%, $G$9) + CHOOSE(CONTROL!$C$38, 0.0354, 0)</f>
        <v>51.534800000000004</v>
      </c>
      <c r="E715" s="14">
        <f>51.4994 * CHOOSE(CONTROL!$C$15, $E$9, 100%, $G$9) + CHOOSE(CONTROL!$C$38, 0.0354, 0)</f>
        <v>51.534800000000004</v>
      </c>
      <c r="F715" s="45">
        <f>54.4642 * CHOOSE(CONTROL!$C$15, $E$9, 100%, $G$9) + CHOOSE(CONTROL!$C$38, 0.0353, 0)</f>
        <v>54.499499999999998</v>
      </c>
      <c r="G715" s="14">
        <f>51.5057 * CHOOSE(CONTROL!$C$15, $E$9, 100%, $G$9) + CHOOSE(CONTROL!$C$38, 0.0354, 0)</f>
        <v>51.5411</v>
      </c>
      <c r="H715" s="14">
        <f>51.5057 * CHOOSE(CONTROL!$C$15, $E$9, 100%, $G$9) + CHOOSE(CONTROL!$C$38, 0.0354, 0)</f>
        <v>51.5411</v>
      </c>
      <c r="I715" s="14">
        <f>51.5072 * CHOOSE(CONTROL!$C$15, $E$9, 100%, $G$9) + CHOOSE(CONTROL!$C$38, 0.0354, 0)</f>
        <v>51.5426</v>
      </c>
      <c r="J715" s="44">
        <f>464.8845</f>
        <v>464.8845</v>
      </c>
    </row>
    <row r="716" spans="1:10" ht="15.75" x14ac:dyDescent="0.25">
      <c r="A716" s="32">
        <v>62731</v>
      </c>
      <c r="B716" s="14">
        <f>52.6744 * CHOOSE(CONTROL!$C$15, $E$9, 100%, $G$9) + CHOOSE(CONTROL!$C$38, 0.0353, 0)</f>
        <v>52.709699999999998</v>
      </c>
      <c r="C716" s="14">
        <f>49.8105 * CHOOSE(CONTROL!$C$15, $E$9, 100%, $G$9) + CHOOSE(CONTROL!$C$38, 0.0354, 0)</f>
        <v>49.8459</v>
      </c>
      <c r="D716" s="14">
        <f>49.8027 * CHOOSE(CONTROL!$C$15, $E$9, 100%, $G$9) + CHOOSE(CONTROL!$C$38, 0.0354, 0)</f>
        <v>49.838100000000004</v>
      </c>
      <c r="E716" s="14">
        <f>49.8027 * CHOOSE(CONTROL!$C$15, $E$9, 100%, $G$9) + CHOOSE(CONTROL!$C$38, 0.0354, 0)</f>
        <v>49.838100000000004</v>
      </c>
      <c r="F716" s="45">
        <f>52.6744 * CHOOSE(CONTROL!$C$15, $E$9, 100%, $G$9) + CHOOSE(CONTROL!$C$38, 0.0353, 0)</f>
        <v>52.709699999999998</v>
      </c>
      <c r="G716" s="14">
        <f>49.809 * CHOOSE(CONTROL!$C$15, $E$9, 100%, $G$9) + CHOOSE(CONTROL!$C$38, 0.0354, 0)</f>
        <v>49.8444</v>
      </c>
      <c r="H716" s="14">
        <f>49.809 * CHOOSE(CONTROL!$C$15, $E$9, 100%, $G$9) + CHOOSE(CONTROL!$C$38, 0.0354, 0)</f>
        <v>49.8444</v>
      </c>
      <c r="I716" s="14">
        <f>49.8105 * CHOOSE(CONTROL!$C$15, $E$9, 100%, $G$9) + CHOOSE(CONTROL!$C$38, 0.0354, 0)</f>
        <v>49.8459</v>
      </c>
      <c r="J716" s="44">
        <f>449.4325</f>
        <v>449.4325</v>
      </c>
    </row>
    <row r="717" spans="1:10" ht="15.75" x14ac:dyDescent="0.25">
      <c r="A717" s="32">
        <v>62762</v>
      </c>
      <c r="B717" s="14">
        <f>50.8743 * CHOOSE(CONTROL!$C$15, $E$9, 100%, $G$9) + CHOOSE(CONTROL!$C$38, 0.034, 0)</f>
        <v>50.908299999999997</v>
      </c>
      <c r="C717" s="14">
        <f>48.104 * CHOOSE(CONTROL!$C$15, $E$9, 100%, $G$9) + CHOOSE(CONTROL!$C$38, 0.0342, 0)</f>
        <v>48.138199999999998</v>
      </c>
      <c r="D717" s="14">
        <f>48.0962 * CHOOSE(CONTROL!$C$15, $E$9, 100%, $G$9) + CHOOSE(CONTROL!$C$38, 0.0342, 0)</f>
        <v>48.130400000000002</v>
      </c>
      <c r="E717" s="14">
        <f>48.0962 * CHOOSE(CONTROL!$C$15, $E$9, 100%, $G$9) + CHOOSE(CONTROL!$C$38, 0.0342, 0)</f>
        <v>48.130400000000002</v>
      </c>
      <c r="F717" s="45">
        <f>50.8743 * CHOOSE(CONTROL!$C$15, $E$9, 100%, $G$9) + CHOOSE(CONTROL!$C$38, 0.034, 0)</f>
        <v>50.908299999999997</v>
      </c>
      <c r="G717" s="14">
        <f>48.1024 * CHOOSE(CONTROL!$C$15, $E$9, 100%, $G$9) + CHOOSE(CONTROL!$C$38, 0.0342, 0)</f>
        <v>48.136600000000001</v>
      </c>
      <c r="H717" s="14">
        <f>48.1024 * CHOOSE(CONTROL!$C$15, $E$9, 100%, $G$9) + CHOOSE(CONTROL!$C$38, 0.0342, 0)</f>
        <v>48.136600000000001</v>
      </c>
      <c r="I717" s="14">
        <f>48.104 * CHOOSE(CONTROL!$C$15, $E$9, 100%, $G$9) + CHOOSE(CONTROL!$C$38, 0.0342, 0)</f>
        <v>48.138199999999998</v>
      </c>
      <c r="J717" s="44">
        <f>433.8907</f>
        <v>433.89069999999998</v>
      </c>
    </row>
    <row r="718" spans="1:10" ht="15.75" x14ac:dyDescent="0.25">
      <c r="A718" s="32">
        <v>62792</v>
      </c>
      <c r="B718" s="14">
        <f>50.5162 * CHOOSE(CONTROL!$C$15, $E$9, 100%, $G$9) + CHOOSE(CONTROL!$C$38, 0.034, 0)</f>
        <v>50.550199999999997</v>
      </c>
      <c r="C718" s="14">
        <f>47.7645 * CHOOSE(CONTROL!$C$15, $E$9, 100%, $G$9) + CHOOSE(CONTROL!$C$38, 0.0342, 0)</f>
        <v>47.798699999999997</v>
      </c>
      <c r="D718" s="14">
        <f>47.7567 * CHOOSE(CONTROL!$C$15, $E$9, 100%, $G$9) + CHOOSE(CONTROL!$C$38, 0.0342, 0)</f>
        <v>47.790900000000001</v>
      </c>
      <c r="E718" s="14">
        <f>47.7567 * CHOOSE(CONTROL!$C$15, $E$9, 100%, $G$9) + CHOOSE(CONTROL!$C$38, 0.0342, 0)</f>
        <v>47.790900000000001</v>
      </c>
      <c r="F718" s="45">
        <f>50.5162 * CHOOSE(CONTROL!$C$15, $E$9, 100%, $G$9) + CHOOSE(CONTROL!$C$38, 0.034, 0)</f>
        <v>50.550199999999997</v>
      </c>
      <c r="G718" s="14">
        <f>47.7629 * CHOOSE(CONTROL!$C$15, $E$9, 100%, $G$9) + CHOOSE(CONTROL!$C$38, 0.0342, 0)</f>
        <v>47.7971</v>
      </c>
      <c r="H718" s="14">
        <f>47.7629 * CHOOSE(CONTROL!$C$15, $E$9, 100%, $G$9) + CHOOSE(CONTROL!$C$38, 0.0342, 0)</f>
        <v>47.7971</v>
      </c>
      <c r="I718" s="14">
        <f>47.7645 * CHOOSE(CONTROL!$C$15, $E$9, 100%, $G$9) + CHOOSE(CONTROL!$C$38, 0.0342, 0)</f>
        <v>47.798699999999997</v>
      </c>
      <c r="J718" s="44">
        <f>430.7991</f>
        <v>430.79910000000001</v>
      </c>
    </row>
    <row r="719" spans="1:10" ht="15.75" x14ac:dyDescent="0.25">
      <c r="A719" s="32">
        <v>62823</v>
      </c>
      <c r="B719" s="14">
        <f>49.0354 * CHOOSE(CONTROL!$C$15, $E$9, 100%, $G$9) + CHOOSE(CONTROL!$C$38, 0.034, 0)</f>
        <v>49.069400000000002</v>
      </c>
      <c r="C719" s="14">
        <f>46.3608 * CHOOSE(CONTROL!$C$15, $E$9, 100%, $G$9) + CHOOSE(CONTROL!$C$38, 0.0342, 0)</f>
        <v>46.394999999999996</v>
      </c>
      <c r="D719" s="14">
        <f>46.353 * CHOOSE(CONTROL!$C$15, $E$9, 100%, $G$9) + CHOOSE(CONTROL!$C$38, 0.0342, 0)</f>
        <v>46.3872</v>
      </c>
      <c r="E719" s="14">
        <f>46.353 * CHOOSE(CONTROL!$C$15, $E$9, 100%, $G$9) + CHOOSE(CONTROL!$C$38, 0.0342, 0)</f>
        <v>46.3872</v>
      </c>
      <c r="F719" s="45">
        <f>49.0354 * CHOOSE(CONTROL!$C$15, $E$9, 100%, $G$9) + CHOOSE(CONTROL!$C$38, 0.034, 0)</f>
        <v>49.069400000000002</v>
      </c>
      <c r="G719" s="14">
        <f>46.3592 * CHOOSE(CONTROL!$C$15, $E$9, 100%, $G$9) + CHOOSE(CONTROL!$C$38, 0.0342, 0)</f>
        <v>46.3934</v>
      </c>
      <c r="H719" s="14">
        <f>46.3592 * CHOOSE(CONTROL!$C$15, $E$9, 100%, $G$9) + CHOOSE(CONTROL!$C$38, 0.0342, 0)</f>
        <v>46.3934</v>
      </c>
      <c r="I719" s="14">
        <f>46.3608 * CHOOSE(CONTROL!$C$15, $E$9, 100%, $G$9) + CHOOSE(CONTROL!$C$38, 0.0342, 0)</f>
        <v>46.394999999999996</v>
      </c>
      <c r="J719" s="44">
        <f>418.0151</f>
        <v>418.01510000000002</v>
      </c>
    </row>
    <row r="720" spans="1:10" ht="15.75" x14ac:dyDescent="0.25">
      <c r="A720" s="32">
        <v>62854</v>
      </c>
      <c r="B720" s="14">
        <f>48.6677 * CHOOSE(CONTROL!$C$15, $E$9, 100%, $G$9) + CHOOSE(CONTROL!$C$38, 0.034, 0)</f>
        <v>48.701700000000002</v>
      </c>
      <c r="C720" s="14">
        <f>46.0122 * CHOOSE(CONTROL!$C$15, $E$9, 100%, $G$9) + CHOOSE(CONTROL!$C$38, 0.0342, 0)</f>
        <v>46.046399999999998</v>
      </c>
      <c r="D720" s="14">
        <f>46.0044 * CHOOSE(CONTROL!$C$15, $E$9, 100%, $G$9) + CHOOSE(CONTROL!$C$38, 0.0342, 0)</f>
        <v>46.038599999999995</v>
      </c>
      <c r="E720" s="14">
        <f>46.0044 * CHOOSE(CONTROL!$C$15, $E$9, 100%, $G$9) + CHOOSE(CONTROL!$C$38, 0.0342, 0)</f>
        <v>46.038599999999995</v>
      </c>
      <c r="F720" s="45">
        <f>48.6677 * CHOOSE(CONTROL!$C$15, $E$9, 100%, $G$9) + CHOOSE(CONTROL!$C$38, 0.034, 0)</f>
        <v>48.701700000000002</v>
      </c>
      <c r="G720" s="14">
        <f>46.0106 * CHOOSE(CONTROL!$C$15, $E$9, 100%, $G$9) + CHOOSE(CONTROL!$C$38, 0.0342, 0)</f>
        <v>46.044799999999995</v>
      </c>
      <c r="H720" s="14">
        <f>46.0106 * CHOOSE(CONTROL!$C$15, $E$9, 100%, $G$9) + CHOOSE(CONTROL!$C$38, 0.0342, 0)</f>
        <v>46.044799999999995</v>
      </c>
      <c r="I720" s="14">
        <f>46.0122 * CHOOSE(CONTROL!$C$15, $E$9, 100%, $G$9) + CHOOSE(CONTROL!$C$38, 0.0342, 0)</f>
        <v>46.046399999999998</v>
      </c>
      <c r="J720" s="44">
        <f>417.7133</f>
        <v>417.7133</v>
      </c>
    </row>
    <row r="721" spans="1:10" ht="15.75" x14ac:dyDescent="0.25">
      <c r="A721" s="32">
        <v>62883</v>
      </c>
      <c r="B721" s="14">
        <f>48.5341 * CHOOSE(CONTROL!$C$15, $E$9, 100%, $G$9) + CHOOSE(CONTROL!$C$38, 0.034, 0)</f>
        <v>48.568100000000001</v>
      </c>
      <c r="C721" s="14">
        <f>45.8856 * CHOOSE(CONTROL!$C$15, $E$9, 100%, $G$9) + CHOOSE(CONTROL!$C$38, 0.0342, 0)</f>
        <v>45.919799999999995</v>
      </c>
      <c r="D721" s="14">
        <f>45.8777 * CHOOSE(CONTROL!$C$15, $E$9, 100%, $G$9) + CHOOSE(CONTROL!$C$38, 0.0342, 0)</f>
        <v>45.911899999999996</v>
      </c>
      <c r="E721" s="14">
        <f>45.8777 * CHOOSE(CONTROL!$C$15, $E$9, 100%, $G$9) + CHOOSE(CONTROL!$C$38, 0.0342, 0)</f>
        <v>45.911899999999996</v>
      </c>
      <c r="F721" s="45">
        <f>48.5341 * CHOOSE(CONTROL!$C$15, $E$9, 100%, $G$9) + CHOOSE(CONTROL!$C$38, 0.034, 0)</f>
        <v>48.568100000000001</v>
      </c>
      <c r="G721" s="14">
        <f>45.884 * CHOOSE(CONTROL!$C$15, $E$9, 100%, $G$9) + CHOOSE(CONTROL!$C$38, 0.0342, 0)</f>
        <v>45.918199999999999</v>
      </c>
      <c r="H721" s="14">
        <f>45.884 * CHOOSE(CONTROL!$C$15, $E$9, 100%, $G$9) + CHOOSE(CONTROL!$C$38, 0.0342, 0)</f>
        <v>45.918199999999999</v>
      </c>
      <c r="I721" s="14">
        <f>45.8856 * CHOOSE(CONTROL!$C$15, $E$9, 100%, $G$9) + CHOOSE(CONTROL!$C$38, 0.0342, 0)</f>
        <v>45.919799999999995</v>
      </c>
      <c r="J721" s="44">
        <f>416.5522</f>
        <v>416.55220000000003</v>
      </c>
    </row>
    <row r="722" spans="1:10" ht="15.75" x14ac:dyDescent="0.25">
      <c r="A722" s="32">
        <v>62914</v>
      </c>
      <c r="B722" s="14">
        <f>51.0596 * CHOOSE(CONTROL!$C$15, $E$9, 100%, $G$9) + CHOOSE(CONTROL!$C$38, 0.034, 0)</f>
        <v>51.093600000000002</v>
      </c>
      <c r="C722" s="14">
        <f>48.2797 * CHOOSE(CONTROL!$C$15, $E$9, 100%, $G$9) + CHOOSE(CONTROL!$C$38, 0.0342, 0)</f>
        <v>48.313899999999997</v>
      </c>
      <c r="D722" s="14">
        <f>48.2719 * CHOOSE(CONTROL!$C$15, $E$9, 100%, $G$9) + CHOOSE(CONTROL!$C$38, 0.0342, 0)</f>
        <v>48.306100000000001</v>
      </c>
      <c r="E722" s="14">
        <f>48.2719 * CHOOSE(CONTROL!$C$15, $E$9, 100%, $G$9) + CHOOSE(CONTROL!$C$38, 0.0342, 0)</f>
        <v>48.306100000000001</v>
      </c>
      <c r="F722" s="45">
        <f>51.0596 * CHOOSE(CONTROL!$C$15, $E$9, 100%, $G$9) + CHOOSE(CONTROL!$C$38, 0.034, 0)</f>
        <v>51.093600000000002</v>
      </c>
      <c r="G722" s="14">
        <f>48.2781 * CHOOSE(CONTROL!$C$15, $E$9, 100%, $G$9) + CHOOSE(CONTROL!$C$38, 0.0342, 0)</f>
        <v>48.3123</v>
      </c>
      <c r="H722" s="14">
        <f>48.2781 * CHOOSE(CONTROL!$C$15, $E$9, 100%, $G$9) + CHOOSE(CONTROL!$C$38, 0.0342, 0)</f>
        <v>48.3123</v>
      </c>
      <c r="I722" s="14">
        <f>48.2797 * CHOOSE(CONTROL!$C$15, $E$9, 100%, $G$9) + CHOOSE(CONTROL!$C$38, 0.0342, 0)</f>
        <v>48.313899999999997</v>
      </c>
      <c r="J722" s="44">
        <f>438.5069</f>
        <v>438.50689999999997</v>
      </c>
    </row>
    <row r="723" spans="1:10" ht="15.75" x14ac:dyDescent="0.25">
      <c r="A723" s="32">
        <v>62944</v>
      </c>
      <c r="B723" s="14">
        <f>54.3346 * CHOOSE(CONTROL!$C$15, $E$9, 100%, $G$9) + CHOOSE(CONTROL!$C$38, 0.034, 0)</f>
        <v>54.368600000000001</v>
      </c>
      <c r="C723" s="14">
        <f>51.3843 * CHOOSE(CONTROL!$C$15, $E$9, 100%, $G$9) + CHOOSE(CONTROL!$C$38, 0.0342, 0)</f>
        <v>51.418500000000002</v>
      </c>
      <c r="D723" s="14">
        <f>51.3765 * CHOOSE(CONTROL!$C$15, $E$9, 100%, $G$9) + CHOOSE(CONTROL!$C$38, 0.0342, 0)</f>
        <v>51.410699999999999</v>
      </c>
      <c r="E723" s="14">
        <f>51.3765 * CHOOSE(CONTROL!$C$15, $E$9, 100%, $G$9) + CHOOSE(CONTROL!$C$38, 0.0342, 0)</f>
        <v>51.410699999999999</v>
      </c>
      <c r="F723" s="45">
        <f>54.3346 * CHOOSE(CONTROL!$C$15, $E$9, 100%, $G$9) + CHOOSE(CONTROL!$C$38, 0.034, 0)</f>
        <v>54.368600000000001</v>
      </c>
      <c r="G723" s="14">
        <f>51.3828 * CHOOSE(CONTROL!$C$15, $E$9, 100%, $G$9) + CHOOSE(CONTROL!$C$38, 0.0342, 0)</f>
        <v>51.417000000000002</v>
      </c>
      <c r="H723" s="14">
        <f>51.3828 * CHOOSE(CONTROL!$C$15, $E$9, 100%, $G$9) + CHOOSE(CONTROL!$C$38, 0.0342, 0)</f>
        <v>51.417000000000002</v>
      </c>
      <c r="I723" s="14">
        <f>51.3843 * CHOOSE(CONTROL!$C$15, $E$9, 100%, $G$9) + CHOOSE(CONTROL!$C$38, 0.0342, 0)</f>
        <v>51.418500000000002</v>
      </c>
      <c r="J723" s="44">
        <f>466.9769</f>
        <v>466.9769</v>
      </c>
    </row>
    <row r="724" spans="1:10" ht="15.75" x14ac:dyDescent="0.25">
      <c r="A724" s="32">
        <v>62975</v>
      </c>
      <c r="B724" s="14">
        <f>56.1372 * CHOOSE(CONTROL!$C$15, $E$9, 100%, $G$9) + CHOOSE(CONTROL!$C$38, 0.0353, 0)</f>
        <v>56.172499999999999</v>
      </c>
      <c r="C724" s="14">
        <f>53.0932 * CHOOSE(CONTROL!$C$15, $E$9, 100%, $G$9) + CHOOSE(CONTROL!$C$38, 0.0354, 0)</f>
        <v>53.128600000000006</v>
      </c>
      <c r="D724" s="14">
        <f>53.0854 * CHOOSE(CONTROL!$C$15, $E$9, 100%, $G$9) + CHOOSE(CONTROL!$C$38, 0.0354, 0)</f>
        <v>53.120800000000003</v>
      </c>
      <c r="E724" s="14">
        <f>53.0854 * CHOOSE(CONTROL!$C$15, $E$9, 100%, $G$9) + CHOOSE(CONTROL!$C$38, 0.0354, 0)</f>
        <v>53.120800000000003</v>
      </c>
      <c r="F724" s="45">
        <f>56.1372 * CHOOSE(CONTROL!$C$15, $E$9, 100%, $G$9) + CHOOSE(CONTROL!$C$38, 0.0353, 0)</f>
        <v>56.172499999999999</v>
      </c>
      <c r="G724" s="14">
        <f>53.0916 * CHOOSE(CONTROL!$C$15, $E$9, 100%, $G$9) + CHOOSE(CONTROL!$C$38, 0.0354, 0)</f>
        <v>53.127000000000002</v>
      </c>
      <c r="H724" s="14">
        <f>53.0916 * CHOOSE(CONTROL!$C$15, $E$9, 100%, $G$9) + CHOOSE(CONTROL!$C$38, 0.0354, 0)</f>
        <v>53.127000000000002</v>
      </c>
      <c r="I724" s="14">
        <f>53.0932 * CHOOSE(CONTROL!$C$15, $E$9, 100%, $G$9) + CHOOSE(CONTROL!$C$38, 0.0354, 0)</f>
        <v>53.128600000000006</v>
      </c>
      <c r="J724" s="44">
        <f>482.6477</f>
        <v>482.64769999999999</v>
      </c>
    </row>
    <row r="725" spans="1:10" ht="15.75" x14ac:dyDescent="0.25">
      <c r="A725" s="32">
        <v>63005</v>
      </c>
      <c r="B725" s="14">
        <f>56.9372 * CHOOSE(CONTROL!$C$15, $E$9, 100%, $G$9) + CHOOSE(CONTROL!$C$38, 0.0353, 0)</f>
        <v>56.972499999999997</v>
      </c>
      <c r="C725" s="14">
        <f>53.8516 * CHOOSE(CONTROL!$C$15, $E$9, 100%, $G$9) + CHOOSE(CONTROL!$C$38, 0.0354, 0)</f>
        <v>53.887</v>
      </c>
      <c r="D725" s="14">
        <f>53.8438 * CHOOSE(CONTROL!$C$15, $E$9, 100%, $G$9) + CHOOSE(CONTROL!$C$38, 0.0354, 0)</f>
        <v>53.879200000000004</v>
      </c>
      <c r="E725" s="14">
        <f>53.8438 * CHOOSE(CONTROL!$C$15, $E$9, 100%, $G$9) + CHOOSE(CONTROL!$C$38, 0.0354, 0)</f>
        <v>53.879200000000004</v>
      </c>
      <c r="F725" s="45">
        <f>56.9372 * CHOOSE(CONTROL!$C$15, $E$9, 100%, $G$9) + CHOOSE(CONTROL!$C$38, 0.0353, 0)</f>
        <v>56.972499999999997</v>
      </c>
      <c r="G725" s="14">
        <f>53.85 * CHOOSE(CONTROL!$C$15, $E$9, 100%, $G$9) + CHOOSE(CONTROL!$C$38, 0.0354, 0)</f>
        <v>53.885400000000004</v>
      </c>
      <c r="H725" s="14">
        <f>53.85 * CHOOSE(CONTROL!$C$15, $E$9, 100%, $G$9) + CHOOSE(CONTROL!$C$38, 0.0354, 0)</f>
        <v>53.885400000000004</v>
      </c>
      <c r="I725" s="14">
        <f>53.8516 * CHOOSE(CONTROL!$C$15, $E$9, 100%, $G$9) + CHOOSE(CONTROL!$C$38, 0.0354, 0)</f>
        <v>53.887</v>
      </c>
      <c r="J725" s="44">
        <f>489.6022</f>
        <v>489.60219999999998</v>
      </c>
    </row>
    <row r="726" spans="1:10" ht="15.75" x14ac:dyDescent="0.25">
      <c r="A726" s="32">
        <v>63036</v>
      </c>
      <c r="B726" s="14">
        <f>56.6738 * CHOOSE(CONTROL!$C$15, $E$9, 100%, $G$9) + CHOOSE(CONTROL!$C$38, 0.0353, 0)</f>
        <v>56.709099999999999</v>
      </c>
      <c r="C726" s="14">
        <f>53.6019 * CHOOSE(CONTROL!$C$15, $E$9, 100%, $G$9) + CHOOSE(CONTROL!$C$38, 0.0354, 0)</f>
        <v>53.637300000000003</v>
      </c>
      <c r="D726" s="14">
        <f>53.5941 * CHOOSE(CONTROL!$C$15, $E$9, 100%, $G$9) + CHOOSE(CONTROL!$C$38, 0.0354, 0)</f>
        <v>53.6295</v>
      </c>
      <c r="E726" s="14">
        <f>53.5941 * CHOOSE(CONTROL!$C$15, $E$9, 100%, $G$9) + CHOOSE(CONTROL!$C$38, 0.0354, 0)</f>
        <v>53.6295</v>
      </c>
      <c r="F726" s="45">
        <f>56.6738 * CHOOSE(CONTROL!$C$15, $E$9, 100%, $G$9) + CHOOSE(CONTROL!$C$38, 0.0353, 0)</f>
        <v>56.709099999999999</v>
      </c>
      <c r="G726" s="14">
        <f>53.6003 * CHOOSE(CONTROL!$C$15, $E$9, 100%, $G$9) + CHOOSE(CONTROL!$C$38, 0.0354, 0)</f>
        <v>53.6357</v>
      </c>
      <c r="H726" s="14">
        <f>53.6003 * CHOOSE(CONTROL!$C$15, $E$9, 100%, $G$9) + CHOOSE(CONTROL!$C$38, 0.0354, 0)</f>
        <v>53.6357</v>
      </c>
      <c r="I726" s="14">
        <f>53.6019 * CHOOSE(CONTROL!$C$15, $E$9, 100%, $G$9) + CHOOSE(CONTROL!$C$38, 0.0354, 0)</f>
        <v>53.637300000000003</v>
      </c>
      <c r="J726" s="44">
        <f>487.3124</f>
        <v>487.31240000000003</v>
      </c>
    </row>
    <row r="727" spans="1:10" ht="15.75" x14ac:dyDescent="0.25">
      <c r="A727" s="32">
        <v>63067</v>
      </c>
      <c r="B727" s="14">
        <f>55.3688 * CHOOSE(CONTROL!$C$15, $E$9, 100%, $G$9) + CHOOSE(CONTROL!$C$38, 0.0353, 0)</f>
        <v>55.4041</v>
      </c>
      <c r="C727" s="14">
        <f>52.3648 * CHOOSE(CONTROL!$C$15, $E$9, 100%, $G$9) + CHOOSE(CONTROL!$C$38, 0.0354, 0)</f>
        <v>52.400200000000005</v>
      </c>
      <c r="D727" s="14">
        <f>52.357 * CHOOSE(CONTROL!$C$15, $E$9, 100%, $G$9) + CHOOSE(CONTROL!$C$38, 0.0354, 0)</f>
        <v>52.392400000000002</v>
      </c>
      <c r="E727" s="14">
        <f>52.357 * CHOOSE(CONTROL!$C$15, $E$9, 100%, $G$9) + CHOOSE(CONTROL!$C$38, 0.0354, 0)</f>
        <v>52.392400000000002</v>
      </c>
      <c r="F727" s="45">
        <f>55.3688 * CHOOSE(CONTROL!$C$15, $E$9, 100%, $G$9) + CHOOSE(CONTROL!$C$38, 0.0353, 0)</f>
        <v>55.4041</v>
      </c>
      <c r="G727" s="14">
        <f>52.3632 * CHOOSE(CONTROL!$C$15, $E$9, 100%, $G$9) + CHOOSE(CONTROL!$C$38, 0.0354, 0)</f>
        <v>52.398600000000002</v>
      </c>
      <c r="H727" s="14">
        <f>52.3632 * CHOOSE(CONTROL!$C$15, $E$9, 100%, $G$9) + CHOOSE(CONTROL!$C$38, 0.0354, 0)</f>
        <v>52.398600000000002</v>
      </c>
      <c r="I727" s="14">
        <f>52.3648 * CHOOSE(CONTROL!$C$15, $E$9, 100%, $G$9) + CHOOSE(CONTROL!$C$38, 0.0354, 0)</f>
        <v>52.400200000000005</v>
      </c>
      <c r="J727" s="44">
        <f>475.968</f>
        <v>475.96800000000002</v>
      </c>
    </row>
    <row r="728" spans="1:10" ht="15.75" x14ac:dyDescent="0.25">
      <c r="A728" s="32">
        <v>63097</v>
      </c>
      <c r="B728" s="14">
        <f>53.549 * CHOOSE(CONTROL!$C$15, $E$9, 100%, $G$9) + CHOOSE(CONTROL!$C$38, 0.0353, 0)</f>
        <v>53.584299999999999</v>
      </c>
      <c r="C728" s="14">
        <f>50.6396 * CHOOSE(CONTROL!$C$15, $E$9, 100%, $G$9) + CHOOSE(CONTROL!$C$38, 0.0354, 0)</f>
        <v>50.675000000000004</v>
      </c>
      <c r="D728" s="14">
        <f>50.6318 * CHOOSE(CONTROL!$C$15, $E$9, 100%, $G$9) + CHOOSE(CONTROL!$C$38, 0.0354, 0)</f>
        <v>50.667200000000001</v>
      </c>
      <c r="E728" s="14">
        <f>50.6318 * CHOOSE(CONTROL!$C$15, $E$9, 100%, $G$9) + CHOOSE(CONTROL!$C$38, 0.0354, 0)</f>
        <v>50.667200000000001</v>
      </c>
      <c r="F728" s="45">
        <f>53.549 * CHOOSE(CONTROL!$C$15, $E$9, 100%, $G$9) + CHOOSE(CONTROL!$C$38, 0.0353, 0)</f>
        <v>53.584299999999999</v>
      </c>
      <c r="G728" s="14">
        <f>50.638 * CHOOSE(CONTROL!$C$15, $E$9, 100%, $G$9) + CHOOSE(CONTROL!$C$38, 0.0354, 0)</f>
        <v>50.673400000000001</v>
      </c>
      <c r="H728" s="14">
        <f>50.638 * CHOOSE(CONTROL!$C$15, $E$9, 100%, $G$9) + CHOOSE(CONTROL!$C$38, 0.0354, 0)</f>
        <v>50.673400000000001</v>
      </c>
      <c r="I728" s="14">
        <f>50.6396 * CHOOSE(CONTROL!$C$15, $E$9, 100%, $G$9) + CHOOSE(CONTROL!$C$38, 0.0354, 0)</f>
        <v>50.675000000000004</v>
      </c>
      <c r="J728" s="44">
        <f>460.1476</f>
        <v>460.14760000000001</v>
      </c>
    </row>
    <row r="729" spans="1:10" ht="15.75" x14ac:dyDescent="0.25">
      <c r="A729" s="32">
        <v>63128</v>
      </c>
      <c r="B729" s="14">
        <f>51.7186 * CHOOSE(CONTROL!$C$15, $E$9, 100%, $G$9) + CHOOSE(CONTROL!$C$38, 0.034, 0)</f>
        <v>51.752600000000001</v>
      </c>
      <c r="C729" s="14">
        <f>48.9044 * CHOOSE(CONTROL!$C$15, $E$9, 100%, $G$9) + CHOOSE(CONTROL!$C$38, 0.0342, 0)</f>
        <v>48.938600000000001</v>
      </c>
      <c r="D729" s="14">
        <f>48.8966 * CHOOSE(CONTROL!$C$15, $E$9, 100%, $G$9) + CHOOSE(CONTROL!$C$38, 0.0342, 0)</f>
        <v>48.930799999999998</v>
      </c>
      <c r="E729" s="14">
        <f>48.8966 * CHOOSE(CONTROL!$C$15, $E$9, 100%, $G$9) + CHOOSE(CONTROL!$C$38, 0.0342, 0)</f>
        <v>48.930799999999998</v>
      </c>
      <c r="F729" s="45">
        <f>51.7186 * CHOOSE(CONTROL!$C$15, $E$9, 100%, $G$9) + CHOOSE(CONTROL!$C$38, 0.034, 0)</f>
        <v>51.752600000000001</v>
      </c>
      <c r="G729" s="14">
        <f>48.9028 * CHOOSE(CONTROL!$C$15, $E$9, 100%, $G$9) + CHOOSE(CONTROL!$C$38, 0.0342, 0)</f>
        <v>48.936999999999998</v>
      </c>
      <c r="H729" s="14">
        <f>48.9028 * CHOOSE(CONTROL!$C$15, $E$9, 100%, $G$9) + CHOOSE(CONTROL!$C$38, 0.0342, 0)</f>
        <v>48.936999999999998</v>
      </c>
      <c r="I729" s="14">
        <f>48.9044 * CHOOSE(CONTROL!$C$15, $E$9, 100%, $G$9) + CHOOSE(CONTROL!$C$38, 0.0342, 0)</f>
        <v>48.938600000000001</v>
      </c>
      <c r="J729" s="44">
        <f>444.2353</f>
        <v>444.2353</v>
      </c>
    </row>
    <row r="730" spans="1:10" ht="15.75" x14ac:dyDescent="0.25">
      <c r="A730" s="32">
        <v>63158</v>
      </c>
      <c r="B730" s="14">
        <f>51.3545 * CHOOSE(CONTROL!$C$15, $E$9, 100%, $G$9) + CHOOSE(CONTROL!$C$38, 0.034, 0)</f>
        <v>51.388500000000001</v>
      </c>
      <c r="C730" s="14">
        <f>48.5592 * CHOOSE(CONTROL!$C$15, $E$9, 100%, $G$9) + CHOOSE(CONTROL!$C$38, 0.0342, 0)</f>
        <v>48.593399999999995</v>
      </c>
      <c r="D730" s="14">
        <f>48.5514 * CHOOSE(CONTROL!$C$15, $E$9, 100%, $G$9) + CHOOSE(CONTROL!$C$38, 0.0342, 0)</f>
        <v>48.585599999999999</v>
      </c>
      <c r="E730" s="14">
        <f>48.5514 * CHOOSE(CONTROL!$C$15, $E$9, 100%, $G$9) + CHOOSE(CONTROL!$C$38, 0.0342, 0)</f>
        <v>48.585599999999999</v>
      </c>
      <c r="F730" s="45">
        <f>51.3545 * CHOOSE(CONTROL!$C$15, $E$9, 100%, $G$9) + CHOOSE(CONTROL!$C$38, 0.034, 0)</f>
        <v>51.388500000000001</v>
      </c>
      <c r="G730" s="14">
        <f>48.5576 * CHOOSE(CONTROL!$C$15, $E$9, 100%, $G$9) + CHOOSE(CONTROL!$C$38, 0.0342, 0)</f>
        <v>48.591799999999999</v>
      </c>
      <c r="H730" s="14">
        <f>48.5576 * CHOOSE(CONTROL!$C$15, $E$9, 100%, $G$9) + CHOOSE(CONTROL!$C$38, 0.0342, 0)</f>
        <v>48.591799999999999</v>
      </c>
      <c r="I730" s="14">
        <f>48.5592 * CHOOSE(CONTROL!$C$15, $E$9, 100%, $G$9) + CHOOSE(CONTROL!$C$38, 0.0342, 0)</f>
        <v>48.593399999999995</v>
      </c>
      <c r="J730" s="44">
        <f>441.07</f>
        <v>441.07</v>
      </c>
    </row>
    <row r="731" spans="1:10" ht="15.75" x14ac:dyDescent="0.25">
      <c r="A731" s="32">
        <v>63189</v>
      </c>
      <c r="B731" s="14">
        <f>49.8488 * CHOOSE(CONTROL!$C$15, $E$9, 100%, $G$9) + CHOOSE(CONTROL!$C$38, 0.034, 0)</f>
        <v>49.882799999999996</v>
      </c>
      <c r="C731" s="14">
        <f>47.1319 * CHOOSE(CONTROL!$C$15, $E$9, 100%, $G$9) + CHOOSE(CONTROL!$C$38, 0.0342, 0)</f>
        <v>47.1661</v>
      </c>
      <c r="D731" s="14">
        <f>47.1241 * CHOOSE(CONTROL!$C$15, $E$9, 100%, $G$9) + CHOOSE(CONTROL!$C$38, 0.0342, 0)</f>
        <v>47.158299999999997</v>
      </c>
      <c r="E731" s="14">
        <f>47.1241 * CHOOSE(CONTROL!$C$15, $E$9, 100%, $G$9) + CHOOSE(CONTROL!$C$38, 0.0342, 0)</f>
        <v>47.158299999999997</v>
      </c>
      <c r="F731" s="45">
        <f>49.8488 * CHOOSE(CONTROL!$C$15, $E$9, 100%, $G$9) + CHOOSE(CONTROL!$C$38, 0.034, 0)</f>
        <v>49.882799999999996</v>
      </c>
      <c r="G731" s="14">
        <f>47.1303 * CHOOSE(CONTROL!$C$15, $E$9, 100%, $G$9) + CHOOSE(CONTROL!$C$38, 0.0342, 0)</f>
        <v>47.164499999999997</v>
      </c>
      <c r="H731" s="14">
        <f>47.1303 * CHOOSE(CONTROL!$C$15, $E$9, 100%, $G$9) + CHOOSE(CONTROL!$C$38, 0.0342, 0)</f>
        <v>47.164499999999997</v>
      </c>
      <c r="I731" s="14">
        <f>47.1319 * CHOOSE(CONTROL!$C$15, $E$9, 100%, $G$9) + CHOOSE(CONTROL!$C$38, 0.0342, 0)</f>
        <v>47.1661</v>
      </c>
      <c r="J731" s="44">
        <f>427.9812</f>
        <v>427.9812</v>
      </c>
    </row>
    <row r="732" spans="1:10" ht="15.75" x14ac:dyDescent="0.25">
      <c r="A732" s="32">
        <v>63220</v>
      </c>
      <c r="B732" s="14">
        <f>49.4749 * CHOOSE(CONTROL!$C$15, $E$9, 100%, $G$9) + CHOOSE(CONTROL!$C$38, 0.034, 0)</f>
        <v>49.508899999999997</v>
      </c>
      <c r="C732" s="14">
        <f>46.7774 * CHOOSE(CONTROL!$C$15, $E$9, 100%, $G$9) + CHOOSE(CONTROL!$C$38, 0.0342, 0)</f>
        <v>46.811599999999999</v>
      </c>
      <c r="D732" s="14">
        <f>46.7696 * CHOOSE(CONTROL!$C$15, $E$9, 100%, $G$9) + CHOOSE(CONTROL!$C$38, 0.0342, 0)</f>
        <v>46.803799999999995</v>
      </c>
      <c r="E732" s="14">
        <f>46.7696 * CHOOSE(CONTROL!$C$15, $E$9, 100%, $G$9) + CHOOSE(CONTROL!$C$38, 0.0342, 0)</f>
        <v>46.803799999999995</v>
      </c>
      <c r="F732" s="45">
        <f>49.4749 * CHOOSE(CONTROL!$C$15, $E$9, 100%, $G$9) + CHOOSE(CONTROL!$C$38, 0.034, 0)</f>
        <v>49.508899999999997</v>
      </c>
      <c r="G732" s="14">
        <f>46.7759 * CHOOSE(CONTROL!$C$15, $E$9, 100%, $G$9) + CHOOSE(CONTROL!$C$38, 0.0342, 0)</f>
        <v>46.810099999999998</v>
      </c>
      <c r="H732" s="14">
        <f>46.7759 * CHOOSE(CONTROL!$C$15, $E$9, 100%, $G$9) + CHOOSE(CONTROL!$C$38, 0.0342, 0)</f>
        <v>46.810099999999998</v>
      </c>
      <c r="I732" s="14">
        <f>46.7774 * CHOOSE(CONTROL!$C$15, $E$9, 100%, $G$9) + CHOOSE(CONTROL!$C$38, 0.0342, 0)</f>
        <v>46.811599999999999</v>
      </c>
      <c r="J732" s="44">
        <f>427.6722</f>
        <v>427.67219999999998</v>
      </c>
    </row>
    <row r="733" spans="1:10" ht="15.75" x14ac:dyDescent="0.25">
      <c r="A733" s="32">
        <v>63248</v>
      </c>
      <c r="B733" s="14">
        <f>49.3391 * CHOOSE(CONTROL!$C$15, $E$9, 100%, $G$9) + CHOOSE(CONTROL!$C$38, 0.034, 0)</f>
        <v>49.373100000000001</v>
      </c>
      <c r="C733" s="14">
        <f>46.6487 * CHOOSE(CONTROL!$C$15, $E$9, 100%, $G$9) + CHOOSE(CONTROL!$C$38, 0.0342, 0)</f>
        <v>46.682899999999997</v>
      </c>
      <c r="D733" s="14">
        <f>46.6409 * CHOOSE(CONTROL!$C$15, $E$9, 100%, $G$9) + CHOOSE(CONTROL!$C$38, 0.0342, 0)</f>
        <v>46.6751</v>
      </c>
      <c r="E733" s="14">
        <f>46.6409 * CHOOSE(CONTROL!$C$15, $E$9, 100%, $G$9) + CHOOSE(CONTROL!$C$38, 0.0342, 0)</f>
        <v>46.6751</v>
      </c>
      <c r="F733" s="45">
        <f>49.3391 * CHOOSE(CONTROL!$C$15, $E$9, 100%, $G$9) + CHOOSE(CONTROL!$C$38, 0.034, 0)</f>
        <v>49.373100000000001</v>
      </c>
      <c r="G733" s="14">
        <f>46.6471 * CHOOSE(CONTROL!$C$15, $E$9, 100%, $G$9) + CHOOSE(CONTROL!$C$38, 0.0342, 0)</f>
        <v>46.6813</v>
      </c>
      <c r="H733" s="14">
        <f>46.6471 * CHOOSE(CONTROL!$C$15, $E$9, 100%, $G$9) + CHOOSE(CONTROL!$C$38, 0.0342, 0)</f>
        <v>46.6813</v>
      </c>
      <c r="I733" s="14">
        <f>46.6487 * CHOOSE(CONTROL!$C$15, $E$9, 100%, $G$9) + CHOOSE(CONTROL!$C$38, 0.0342, 0)</f>
        <v>46.682899999999997</v>
      </c>
      <c r="J733" s="44">
        <f>426.4834</f>
        <v>426.48340000000002</v>
      </c>
    </row>
    <row r="734" spans="1:10" ht="15.75" x14ac:dyDescent="0.25">
      <c r="A734" s="32">
        <v>63279</v>
      </c>
      <c r="B734" s="14">
        <f>51.907 * CHOOSE(CONTROL!$C$15, $E$9, 100%, $G$9) + CHOOSE(CONTROL!$C$38, 0.034, 0)</f>
        <v>51.940999999999995</v>
      </c>
      <c r="C734" s="14">
        <f>49.083 * CHOOSE(CONTROL!$C$15, $E$9, 100%, $G$9) + CHOOSE(CONTROL!$C$38, 0.0342, 0)</f>
        <v>49.117199999999997</v>
      </c>
      <c r="D734" s="14">
        <f>49.0752 * CHOOSE(CONTROL!$C$15, $E$9, 100%, $G$9) + CHOOSE(CONTROL!$C$38, 0.0342, 0)</f>
        <v>49.109400000000001</v>
      </c>
      <c r="E734" s="14">
        <f>49.0752 * CHOOSE(CONTROL!$C$15, $E$9, 100%, $G$9) + CHOOSE(CONTROL!$C$38, 0.0342, 0)</f>
        <v>49.109400000000001</v>
      </c>
      <c r="F734" s="45">
        <f>51.907 * CHOOSE(CONTROL!$C$15, $E$9, 100%, $G$9) + CHOOSE(CONTROL!$C$38, 0.034, 0)</f>
        <v>51.940999999999995</v>
      </c>
      <c r="G734" s="14">
        <f>49.0815 * CHOOSE(CONTROL!$C$15, $E$9, 100%, $G$9) + CHOOSE(CONTROL!$C$38, 0.0342, 0)</f>
        <v>49.115699999999997</v>
      </c>
      <c r="H734" s="14">
        <f>49.0815 * CHOOSE(CONTROL!$C$15, $E$9, 100%, $G$9) + CHOOSE(CONTROL!$C$38, 0.0342, 0)</f>
        <v>49.115699999999997</v>
      </c>
      <c r="I734" s="14">
        <f>49.083 * CHOOSE(CONTROL!$C$15, $E$9, 100%, $G$9) + CHOOSE(CONTROL!$C$38, 0.0342, 0)</f>
        <v>49.117199999999997</v>
      </c>
      <c r="J734" s="44">
        <f>448.9616</f>
        <v>448.96159999999998</v>
      </c>
    </row>
    <row r="735" spans="1:10" ht="15.75" x14ac:dyDescent="0.25">
      <c r="A735" s="32">
        <v>63309</v>
      </c>
      <c r="B735" s="14">
        <f>55.237 * CHOOSE(CONTROL!$C$15, $E$9, 100%, $G$9) + CHOOSE(CONTROL!$C$38, 0.034, 0)</f>
        <v>55.271000000000001</v>
      </c>
      <c r="C735" s="14">
        <f>52.2398 * CHOOSE(CONTROL!$C$15, $E$9, 100%, $G$9) + CHOOSE(CONTROL!$C$38, 0.0342, 0)</f>
        <v>52.274000000000001</v>
      </c>
      <c r="D735" s="14">
        <f>52.232 * CHOOSE(CONTROL!$C$15, $E$9, 100%, $G$9) + CHOOSE(CONTROL!$C$38, 0.0342, 0)</f>
        <v>52.266199999999998</v>
      </c>
      <c r="E735" s="14">
        <f>52.232 * CHOOSE(CONTROL!$C$15, $E$9, 100%, $G$9) + CHOOSE(CONTROL!$C$38, 0.0342, 0)</f>
        <v>52.266199999999998</v>
      </c>
      <c r="F735" s="45">
        <f>55.237 * CHOOSE(CONTROL!$C$15, $E$9, 100%, $G$9) + CHOOSE(CONTROL!$C$38, 0.034, 0)</f>
        <v>55.271000000000001</v>
      </c>
      <c r="G735" s="14">
        <f>52.2383 * CHOOSE(CONTROL!$C$15, $E$9, 100%, $G$9) + CHOOSE(CONTROL!$C$38, 0.0342, 0)</f>
        <v>52.272500000000001</v>
      </c>
      <c r="H735" s="14">
        <f>52.2383 * CHOOSE(CONTROL!$C$15, $E$9, 100%, $G$9) + CHOOSE(CONTROL!$C$38, 0.0342, 0)</f>
        <v>52.272500000000001</v>
      </c>
      <c r="I735" s="14">
        <f>52.2398 * CHOOSE(CONTROL!$C$15, $E$9, 100%, $G$9) + CHOOSE(CONTROL!$C$38, 0.0342, 0)</f>
        <v>52.274000000000001</v>
      </c>
      <c r="J735" s="44">
        <f>478.1103</f>
        <v>478.1103</v>
      </c>
    </row>
    <row r="736" spans="1:10" ht="15.75" x14ac:dyDescent="0.25">
      <c r="A736" s="32">
        <v>63340</v>
      </c>
      <c r="B736" s="14">
        <f>57.07 * CHOOSE(CONTROL!$C$15, $E$9, 100%, $G$9) + CHOOSE(CONTROL!$C$38, 0.0353, 0)</f>
        <v>57.1053</v>
      </c>
      <c r="C736" s="14">
        <f>53.9774 * CHOOSE(CONTROL!$C$15, $E$9, 100%, $G$9) + CHOOSE(CONTROL!$C$38, 0.0354, 0)</f>
        <v>54.012800000000006</v>
      </c>
      <c r="D736" s="14">
        <f>53.9696 * CHOOSE(CONTROL!$C$15, $E$9, 100%, $G$9) + CHOOSE(CONTROL!$C$38, 0.0354, 0)</f>
        <v>54.005000000000003</v>
      </c>
      <c r="E736" s="14">
        <f>53.9696 * CHOOSE(CONTROL!$C$15, $E$9, 100%, $G$9) + CHOOSE(CONTROL!$C$38, 0.0354, 0)</f>
        <v>54.005000000000003</v>
      </c>
      <c r="F736" s="45">
        <f>57.07 * CHOOSE(CONTROL!$C$15, $E$9, 100%, $G$9) + CHOOSE(CONTROL!$C$38, 0.0353, 0)</f>
        <v>57.1053</v>
      </c>
      <c r="G736" s="14">
        <f>53.9759 * CHOOSE(CONTROL!$C$15, $E$9, 100%, $G$9) + CHOOSE(CONTROL!$C$38, 0.0354, 0)</f>
        <v>54.011300000000006</v>
      </c>
      <c r="H736" s="14">
        <f>53.9759 * CHOOSE(CONTROL!$C$15, $E$9, 100%, $G$9) + CHOOSE(CONTROL!$C$38, 0.0354, 0)</f>
        <v>54.011300000000006</v>
      </c>
      <c r="I736" s="14">
        <f>53.9774 * CHOOSE(CONTROL!$C$15, $E$9, 100%, $G$9) + CHOOSE(CONTROL!$C$38, 0.0354, 0)</f>
        <v>54.012800000000006</v>
      </c>
      <c r="J736" s="44">
        <f>494.1548</f>
        <v>494.15480000000002</v>
      </c>
    </row>
    <row r="737" spans="1:10" ht="15.75" x14ac:dyDescent="0.25">
      <c r="A737" s="32">
        <v>63370</v>
      </c>
      <c r="B737" s="14">
        <f>57.8834 * CHOOSE(CONTROL!$C$15, $E$9, 100%, $G$9) + CHOOSE(CONTROL!$C$38, 0.0353, 0)</f>
        <v>57.918700000000001</v>
      </c>
      <c r="C737" s="14">
        <f>54.7485 * CHOOSE(CONTROL!$C$15, $E$9, 100%, $G$9) + CHOOSE(CONTROL!$C$38, 0.0354, 0)</f>
        <v>54.783900000000003</v>
      </c>
      <c r="D737" s="14">
        <f>54.7407 * CHOOSE(CONTROL!$C$15, $E$9, 100%, $G$9) + CHOOSE(CONTROL!$C$38, 0.0354, 0)</f>
        <v>54.7761</v>
      </c>
      <c r="E737" s="14">
        <f>54.7407 * CHOOSE(CONTROL!$C$15, $E$9, 100%, $G$9) + CHOOSE(CONTROL!$C$38, 0.0354, 0)</f>
        <v>54.7761</v>
      </c>
      <c r="F737" s="45">
        <f>57.8834 * CHOOSE(CONTROL!$C$15, $E$9, 100%, $G$9) + CHOOSE(CONTROL!$C$38, 0.0353, 0)</f>
        <v>57.918700000000001</v>
      </c>
      <c r="G737" s="14">
        <f>54.747 * CHOOSE(CONTROL!$C$15, $E$9, 100%, $G$9) + CHOOSE(CONTROL!$C$38, 0.0354, 0)</f>
        <v>54.782400000000003</v>
      </c>
      <c r="H737" s="14">
        <f>54.747 * CHOOSE(CONTROL!$C$15, $E$9, 100%, $G$9) + CHOOSE(CONTROL!$C$38, 0.0354, 0)</f>
        <v>54.782400000000003</v>
      </c>
      <c r="I737" s="14">
        <f>54.7485 * CHOOSE(CONTROL!$C$15, $E$9, 100%, $G$9) + CHOOSE(CONTROL!$C$38, 0.0354, 0)</f>
        <v>54.783900000000003</v>
      </c>
      <c r="J737" s="44">
        <f>501.275</f>
        <v>501.27499999999998</v>
      </c>
    </row>
    <row r="738" spans="1:10" ht="15.75" x14ac:dyDescent="0.25">
      <c r="A738" s="32">
        <v>63401</v>
      </c>
      <c r="B738" s="14">
        <f>57.6156 * CHOOSE(CONTROL!$C$15, $E$9, 100%, $G$9) + CHOOSE(CONTROL!$C$38, 0.0353, 0)</f>
        <v>57.6509</v>
      </c>
      <c r="C738" s="14">
        <f>54.4946 * CHOOSE(CONTROL!$C$15, $E$9, 100%, $G$9) + CHOOSE(CONTROL!$C$38, 0.0354, 0)</f>
        <v>54.53</v>
      </c>
      <c r="D738" s="14">
        <f>54.4868 * CHOOSE(CONTROL!$C$15, $E$9, 100%, $G$9) + CHOOSE(CONTROL!$C$38, 0.0354, 0)</f>
        <v>54.522200000000005</v>
      </c>
      <c r="E738" s="14">
        <f>54.4868 * CHOOSE(CONTROL!$C$15, $E$9, 100%, $G$9) + CHOOSE(CONTROL!$C$38, 0.0354, 0)</f>
        <v>54.522200000000005</v>
      </c>
      <c r="F738" s="45">
        <f>57.6156 * CHOOSE(CONTROL!$C$15, $E$9, 100%, $G$9) + CHOOSE(CONTROL!$C$38, 0.0353, 0)</f>
        <v>57.6509</v>
      </c>
      <c r="G738" s="14">
        <f>54.4931 * CHOOSE(CONTROL!$C$15, $E$9, 100%, $G$9) + CHOOSE(CONTROL!$C$38, 0.0354, 0)</f>
        <v>54.528500000000001</v>
      </c>
      <c r="H738" s="14">
        <f>54.4931 * CHOOSE(CONTROL!$C$15, $E$9, 100%, $G$9) + CHOOSE(CONTROL!$C$38, 0.0354, 0)</f>
        <v>54.528500000000001</v>
      </c>
      <c r="I738" s="14">
        <f>54.4946 * CHOOSE(CONTROL!$C$15, $E$9, 100%, $G$9) + CHOOSE(CONTROL!$C$38, 0.0354, 0)</f>
        <v>54.53</v>
      </c>
      <c r="J738" s="44">
        <f>498.9307</f>
        <v>498.9307</v>
      </c>
    </row>
    <row r="739" spans="1:10" ht="15.75" x14ac:dyDescent="0.25">
      <c r="A739" s="32">
        <v>63432</v>
      </c>
      <c r="B739" s="14">
        <f>56.2887 * CHOOSE(CONTROL!$C$15, $E$9, 100%, $G$9) + CHOOSE(CONTROL!$C$38, 0.0353, 0)</f>
        <v>56.323999999999998</v>
      </c>
      <c r="C739" s="14">
        <f>53.2368 * CHOOSE(CONTROL!$C$15, $E$9, 100%, $G$9) + CHOOSE(CONTROL!$C$38, 0.0354, 0)</f>
        <v>53.272200000000005</v>
      </c>
      <c r="D739" s="14">
        <f>53.229 * CHOOSE(CONTROL!$C$15, $E$9, 100%, $G$9) + CHOOSE(CONTROL!$C$38, 0.0354, 0)</f>
        <v>53.264400000000002</v>
      </c>
      <c r="E739" s="14">
        <f>53.229 * CHOOSE(CONTROL!$C$15, $E$9, 100%, $G$9) + CHOOSE(CONTROL!$C$38, 0.0354, 0)</f>
        <v>53.264400000000002</v>
      </c>
      <c r="F739" s="45">
        <f>56.2887 * CHOOSE(CONTROL!$C$15, $E$9, 100%, $G$9) + CHOOSE(CONTROL!$C$38, 0.0353, 0)</f>
        <v>56.323999999999998</v>
      </c>
      <c r="G739" s="14">
        <f>53.2352 * CHOOSE(CONTROL!$C$15, $E$9, 100%, $G$9) + CHOOSE(CONTROL!$C$38, 0.0354, 0)</f>
        <v>53.270600000000002</v>
      </c>
      <c r="H739" s="14">
        <f>53.2352 * CHOOSE(CONTROL!$C$15, $E$9, 100%, $G$9) + CHOOSE(CONTROL!$C$38, 0.0354, 0)</f>
        <v>53.270600000000002</v>
      </c>
      <c r="I739" s="14">
        <f>53.2368 * CHOOSE(CONTROL!$C$15, $E$9, 100%, $G$9) + CHOOSE(CONTROL!$C$38, 0.0354, 0)</f>
        <v>53.272200000000005</v>
      </c>
      <c r="J739" s="44">
        <f>487.3158</f>
        <v>487.31580000000002</v>
      </c>
    </row>
    <row r="740" spans="1:10" ht="15.75" x14ac:dyDescent="0.25">
      <c r="A740" s="32">
        <v>63462</v>
      </c>
      <c r="B740" s="14">
        <f>54.4382 * CHOOSE(CONTROL!$C$15, $E$9, 100%, $G$9) + CHOOSE(CONTROL!$C$38, 0.0353, 0)</f>
        <v>54.473500000000001</v>
      </c>
      <c r="C740" s="14">
        <f>51.4826 * CHOOSE(CONTROL!$C$15, $E$9, 100%, $G$9) + CHOOSE(CONTROL!$C$38, 0.0354, 0)</f>
        <v>51.518000000000001</v>
      </c>
      <c r="D740" s="14">
        <f>51.4748 * CHOOSE(CONTROL!$C$15, $E$9, 100%, $G$9) + CHOOSE(CONTROL!$C$38, 0.0354, 0)</f>
        <v>51.510200000000005</v>
      </c>
      <c r="E740" s="14">
        <f>51.4748 * CHOOSE(CONTROL!$C$15, $E$9, 100%, $G$9) + CHOOSE(CONTROL!$C$38, 0.0354, 0)</f>
        <v>51.510200000000005</v>
      </c>
      <c r="F740" s="45">
        <f>54.4382 * CHOOSE(CONTROL!$C$15, $E$9, 100%, $G$9) + CHOOSE(CONTROL!$C$38, 0.0353, 0)</f>
        <v>54.473500000000001</v>
      </c>
      <c r="G740" s="14">
        <f>51.481 * CHOOSE(CONTROL!$C$15, $E$9, 100%, $G$9) + CHOOSE(CONTROL!$C$38, 0.0354, 0)</f>
        <v>51.516400000000004</v>
      </c>
      <c r="H740" s="14">
        <f>51.481 * CHOOSE(CONTROL!$C$15, $E$9, 100%, $G$9) + CHOOSE(CONTROL!$C$38, 0.0354, 0)</f>
        <v>51.516400000000004</v>
      </c>
      <c r="I740" s="14">
        <f>51.4826 * CHOOSE(CONTROL!$C$15, $E$9, 100%, $G$9) + CHOOSE(CONTROL!$C$38, 0.0354, 0)</f>
        <v>51.518000000000001</v>
      </c>
      <c r="J740" s="44">
        <f>471.1183</f>
        <v>471.11829999999998</v>
      </c>
    </row>
    <row r="741" spans="1:10" ht="15.75" x14ac:dyDescent="0.25">
      <c r="A741" s="32">
        <v>63493</v>
      </c>
      <c r="B741" s="14">
        <f>52.5771 * CHOOSE(CONTROL!$C$15, $E$9, 100%, $G$9) + CHOOSE(CONTROL!$C$38, 0.034, 0)</f>
        <v>52.6111</v>
      </c>
      <c r="C741" s="14">
        <f>49.7182 * CHOOSE(CONTROL!$C$15, $E$9, 100%, $G$9) + CHOOSE(CONTROL!$C$38, 0.0342, 0)</f>
        <v>49.752400000000002</v>
      </c>
      <c r="D741" s="14">
        <f>49.7104 * CHOOSE(CONTROL!$C$15, $E$9, 100%, $G$9) + CHOOSE(CONTROL!$C$38, 0.0342, 0)</f>
        <v>49.744599999999998</v>
      </c>
      <c r="E741" s="14">
        <f>49.7104 * CHOOSE(CONTROL!$C$15, $E$9, 100%, $G$9) + CHOOSE(CONTROL!$C$38, 0.0342, 0)</f>
        <v>49.744599999999998</v>
      </c>
      <c r="F741" s="45">
        <f>52.5771 * CHOOSE(CONTROL!$C$15, $E$9, 100%, $G$9) + CHOOSE(CONTROL!$C$38, 0.034, 0)</f>
        <v>52.6111</v>
      </c>
      <c r="G741" s="14">
        <f>49.7166 * CHOOSE(CONTROL!$C$15, $E$9, 100%, $G$9) + CHOOSE(CONTROL!$C$38, 0.0342, 0)</f>
        <v>49.750799999999998</v>
      </c>
      <c r="H741" s="14">
        <f>49.7166 * CHOOSE(CONTROL!$C$15, $E$9, 100%, $G$9) + CHOOSE(CONTROL!$C$38, 0.0342, 0)</f>
        <v>49.750799999999998</v>
      </c>
      <c r="I741" s="14">
        <f>49.7182 * CHOOSE(CONTROL!$C$15, $E$9, 100%, $G$9) + CHOOSE(CONTROL!$C$38, 0.0342, 0)</f>
        <v>49.752400000000002</v>
      </c>
      <c r="J741" s="44">
        <f>454.8265</f>
        <v>454.82650000000001</v>
      </c>
    </row>
    <row r="742" spans="1:10" ht="15.75" x14ac:dyDescent="0.25">
      <c r="A742" s="32">
        <v>63523</v>
      </c>
      <c r="B742" s="14">
        <f>52.2068 * CHOOSE(CONTROL!$C$15, $E$9, 100%, $G$9) + CHOOSE(CONTROL!$C$38, 0.034, 0)</f>
        <v>52.2408</v>
      </c>
      <c r="C742" s="14">
        <f>49.3672 * CHOOSE(CONTROL!$C$15, $E$9, 100%, $G$9) + CHOOSE(CONTROL!$C$38, 0.0342, 0)</f>
        <v>49.401399999999995</v>
      </c>
      <c r="D742" s="14">
        <f>49.3594 * CHOOSE(CONTROL!$C$15, $E$9, 100%, $G$9) + CHOOSE(CONTROL!$C$38, 0.0342, 0)</f>
        <v>49.393599999999999</v>
      </c>
      <c r="E742" s="14">
        <f>49.3594 * CHOOSE(CONTROL!$C$15, $E$9, 100%, $G$9) + CHOOSE(CONTROL!$C$38, 0.0342, 0)</f>
        <v>49.393599999999999</v>
      </c>
      <c r="F742" s="45">
        <f>52.2068 * CHOOSE(CONTROL!$C$15, $E$9, 100%, $G$9) + CHOOSE(CONTROL!$C$38, 0.034, 0)</f>
        <v>52.2408</v>
      </c>
      <c r="G742" s="14">
        <f>49.3657 * CHOOSE(CONTROL!$C$15, $E$9, 100%, $G$9) + CHOOSE(CONTROL!$C$38, 0.0342, 0)</f>
        <v>49.399899999999995</v>
      </c>
      <c r="H742" s="14">
        <f>49.3657 * CHOOSE(CONTROL!$C$15, $E$9, 100%, $G$9) + CHOOSE(CONTROL!$C$38, 0.0342, 0)</f>
        <v>49.399899999999995</v>
      </c>
      <c r="I742" s="14">
        <f>49.3672 * CHOOSE(CONTROL!$C$15, $E$9, 100%, $G$9) + CHOOSE(CONTROL!$C$38, 0.0342, 0)</f>
        <v>49.401399999999995</v>
      </c>
      <c r="J742" s="44">
        <f>451.5858</f>
        <v>451.58580000000001</v>
      </c>
    </row>
    <row r="743" spans="1:10" ht="15.75" x14ac:dyDescent="0.25">
      <c r="A743" s="32">
        <v>63554</v>
      </c>
      <c r="B743" s="14">
        <f>50.6759 * CHOOSE(CONTROL!$C$15, $E$9, 100%, $G$9) + CHOOSE(CONTROL!$C$38, 0.034, 0)</f>
        <v>50.709899999999998</v>
      </c>
      <c r="C743" s="14">
        <f>47.9159 * CHOOSE(CONTROL!$C$15, $E$9, 100%, $G$9) + CHOOSE(CONTROL!$C$38, 0.0342, 0)</f>
        <v>47.950099999999999</v>
      </c>
      <c r="D743" s="14">
        <f>47.9081 * CHOOSE(CONTROL!$C$15, $E$9, 100%, $G$9) + CHOOSE(CONTROL!$C$38, 0.0342, 0)</f>
        <v>47.942299999999996</v>
      </c>
      <c r="E743" s="14">
        <f>47.9081 * CHOOSE(CONTROL!$C$15, $E$9, 100%, $G$9) + CHOOSE(CONTROL!$C$38, 0.0342, 0)</f>
        <v>47.942299999999996</v>
      </c>
      <c r="F743" s="45">
        <f>50.6759 * CHOOSE(CONTROL!$C$15, $E$9, 100%, $G$9) + CHOOSE(CONTROL!$C$38, 0.034, 0)</f>
        <v>50.709899999999998</v>
      </c>
      <c r="G743" s="14">
        <f>47.9144 * CHOOSE(CONTROL!$C$15, $E$9, 100%, $G$9) + CHOOSE(CONTROL!$C$38, 0.0342, 0)</f>
        <v>47.948599999999999</v>
      </c>
      <c r="H743" s="14">
        <f>47.9144 * CHOOSE(CONTROL!$C$15, $E$9, 100%, $G$9) + CHOOSE(CONTROL!$C$38, 0.0342, 0)</f>
        <v>47.948599999999999</v>
      </c>
      <c r="I743" s="14">
        <f>47.9159 * CHOOSE(CONTROL!$C$15, $E$9, 100%, $G$9) + CHOOSE(CONTROL!$C$38, 0.0342, 0)</f>
        <v>47.950099999999999</v>
      </c>
      <c r="J743" s="44">
        <f>438.1849</f>
        <v>438.18490000000003</v>
      </c>
    </row>
    <row r="744" spans="1:10" ht="15.75" x14ac:dyDescent="0.25">
      <c r="A744" s="32">
        <v>63585</v>
      </c>
      <c r="B744" s="14">
        <f>50.2957 * CHOOSE(CONTROL!$C$15, $E$9, 100%, $G$9) + CHOOSE(CONTROL!$C$38, 0.034, 0)</f>
        <v>50.329699999999995</v>
      </c>
      <c r="C744" s="14">
        <f>47.5555 * CHOOSE(CONTROL!$C$15, $E$9, 100%, $G$9) + CHOOSE(CONTROL!$C$38, 0.0342, 0)</f>
        <v>47.589700000000001</v>
      </c>
      <c r="D744" s="14">
        <f>47.5477 * CHOOSE(CONTROL!$C$15, $E$9, 100%, $G$9) + CHOOSE(CONTROL!$C$38, 0.0342, 0)</f>
        <v>47.581899999999997</v>
      </c>
      <c r="E744" s="14">
        <f>47.5477 * CHOOSE(CONTROL!$C$15, $E$9, 100%, $G$9) + CHOOSE(CONTROL!$C$38, 0.0342, 0)</f>
        <v>47.581899999999997</v>
      </c>
      <c r="F744" s="45">
        <f>50.2957 * CHOOSE(CONTROL!$C$15, $E$9, 100%, $G$9) + CHOOSE(CONTROL!$C$38, 0.034, 0)</f>
        <v>50.329699999999995</v>
      </c>
      <c r="G744" s="14">
        <f>47.554 * CHOOSE(CONTROL!$C$15, $E$9, 100%, $G$9) + CHOOSE(CONTROL!$C$38, 0.0342, 0)</f>
        <v>47.588200000000001</v>
      </c>
      <c r="H744" s="14">
        <f>47.554 * CHOOSE(CONTROL!$C$15, $E$9, 100%, $G$9) + CHOOSE(CONTROL!$C$38, 0.0342, 0)</f>
        <v>47.588200000000001</v>
      </c>
      <c r="I744" s="14">
        <f>47.5555 * CHOOSE(CONTROL!$C$15, $E$9, 100%, $G$9) + CHOOSE(CONTROL!$C$38, 0.0342, 0)</f>
        <v>47.589700000000001</v>
      </c>
      <c r="J744" s="44">
        <f>437.8685</f>
        <v>437.86849999999998</v>
      </c>
    </row>
    <row r="745" spans="1:10" ht="15.75" x14ac:dyDescent="0.25">
      <c r="A745" s="32">
        <v>63613</v>
      </c>
      <c r="B745" s="14">
        <f>50.1576 * CHOOSE(CONTROL!$C$15, $E$9, 100%, $G$9) + CHOOSE(CONTROL!$C$38, 0.034, 0)</f>
        <v>50.191600000000001</v>
      </c>
      <c r="C745" s="14">
        <f>47.4246 * CHOOSE(CONTROL!$C$15, $E$9, 100%, $G$9) + CHOOSE(CONTROL!$C$38, 0.0342, 0)</f>
        <v>47.458799999999997</v>
      </c>
      <c r="D745" s="14">
        <f>47.4168 * CHOOSE(CONTROL!$C$15, $E$9, 100%, $G$9) + CHOOSE(CONTROL!$C$38, 0.0342, 0)</f>
        <v>47.451000000000001</v>
      </c>
      <c r="E745" s="14">
        <f>47.4168 * CHOOSE(CONTROL!$C$15, $E$9, 100%, $G$9) + CHOOSE(CONTROL!$C$38, 0.0342, 0)</f>
        <v>47.451000000000001</v>
      </c>
      <c r="F745" s="45">
        <f>50.1576 * CHOOSE(CONTROL!$C$15, $E$9, 100%, $G$9) + CHOOSE(CONTROL!$C$38, 0.034, 0)</f>
        <v>50.191600000000001</v>
      </c>
      <c r="G745" s="14">
        <f>47.4231 * CHOOSE(CONTROL!$C$15, $E$9, 100%, $G$9) + CHOOSE(CONTROL!$C$38, 0.0342, 0)</f>
        <v>47.457299999999996</v>
      </c>
      <c r="H745" s="14">
        <f>47.4231 * CHOOSE(CONTROL!$C$15, $E$9, 100%, $G$9) + CHOOSE(CONTROL!$C$38, 0.0342, 0)</f>
        <v>47.457299999999996</v>
      </c>
      <c r="I745" s="14">
        <f>47.4246 * CHOOSE(CONTROL!$C$15, $E$9, 100%, $G$9) + CHOOSE(CONTROL!$C$38, 0.0342, 0)</f>
        <v>47.458799999999997</v>
      </c>
      <c r="J745" s="44">
        <f>436.6514</f>
        <v>436.65140000000002</v>
      </c>
    </row>
    <row r="746" spans="1:10" ht="15.75" x14ac:dyDescent="0.25">
      <c r="A746" s="32">
        <v>63644</v>
      </c>
      <c r="B746" s="14">
        <f>52.7687 * CHOOSE(CONTROL!$C$15, $E$9, 100%, $G$9) + CHOOSE(CONTROL!$C$38, 0.034, 0)</f>
        <v>52.802700000000002</v>
      </c>
      <c r="C746" s="14">
        <f>49.8999 * CHOOSE(CONTROL!$C$15, $E$9, 100%, $G$9) + CHOOSE(CONTROL!$C$38, 0.0342, 0)</f>
        <v>49.934100000000001</v>
      </c>
      <c r="D746" s="14">
        <f>49.8921 * CHOOSE(CONTROL!$C$15, $E$9, 100%, $G$9) + CHOOSE(CONTROL!$C$38, 0.0342, 0)</f>
        <v>49.926299999999998</v>
      </c>
      <c r="E746" s="14">
        <f>49.8921 * CHOOSE(CONTROL!$C$15, $E$9, 100%, $G$9) + CHOOSE(CONTROL!$C$38, 0.0342, 0)</f>
        <v>49.926299999999998</v>
      </c>
      <c r="F746" s="45">
        <f>52.7687 * CHOOSE(CONTROL!$C$15, $E$9, 100%, $G$9) + CHOOSE(CONTROL!$C$38, 0.034, 0)</f>
        <v>52.802700000000002</v>
      </c>
      <c r="G746" s="14">
        <f>49.8983 * CHOOSE(CONTROL!$C$15, $E$9, 100%, $G$9) + CHOOSE(CONTROL!$C$38, 0.0342, 0)</f>
        <v>49.932499999999997</v>
      </c>
      <c r="H746" s="14">
        <f>49.8983 * CHOOSE(CONTROL!$C$15, $E$9, 100%, $G$9) + CHOOSE(CONTROL!$C$38, 0.0342, 0)</f>
        <v>49.932499999999997</v>
      </c>
      <c r="I746" s="14">
        <f>49.8999 * CHOOSE(CONTROL!$C$15, $E$9, 100%, $G$9) + CHOOSE(CONTROL!$C$38, 0.0342, 0)</f>
        <v>49.934100000000001</v>
      </c>
      <c r="J746" s="44">
        <f>459.6655</f>
        <v>459.66550000000001</v>
      </c>
    </row>
    <row r="747" spans="1:10" ht="15.75" x14ac:dyDescent="0.25">
      <c r="A747" s="32">
        <v>63674</v>
      </c>
      <c r="B747" s="14">
        <f>56.1546 * CHOOSE(CONTROL!$C$15, $E$9, 100%, $G$9) + CHOOSE(CONTROL!$C$38, 0.034, 0)</f>
        <v>56.188600000000001</v>
      </c>
      <c r="C747" s="14">
        <f>53.1097 * CHOOSE(CONTROL!$C$15, $E$9, 100%, $G$9) + CHOOSE(CONTROL!$C$38, 0.0342, 0)</f>
        <v>53.143899999999995</v>
      </c>
      <c r="D747" s="14">
        <f>53.1019 * CHOOSE(CONTROL!$C$15, $E$9, 100%, $G$9) + CHOOSE(CONTROL!$C$38, 0.0342, 0)</f>
        <v>53.136099999999999</v>
      </c>
      <c r="E747" s="14">
        <f>53.1019 * CHOOSE(CONTROL!$C$15, $E$9, 100%, $G$9) + CHOOSE(CONTROL!$C$38, 0.0342, 0)</f>
        <v>53.136099999999999</v>
      </c>
      <c r="F747" s="45">
        <f>56.1546 * CHOOSE(CONTROL!$C$15, $E$9, 100%, $G$9) + CHOOSE(CONTROL!$C$38, 0.034, 0)</f>
        <v>56.188600000000001</v>
      </c>
      <c r="G747" s="14">
        <f>53.1081 * CHOOSE(CONTROL!$C$15, $E$9, 100%, $G$9) + CHOOSE(CONTROL!$C$38, 0.0342, 0)</f>
        <v>53.142299999999999</v>
      </c>
      <c r="H747" s="14">
        <f>53.1081 * CHOOSE(CONTROL!$C$15, $E$9, 100%, $G$9) + CHOOSE(CONTROL!$C$38, 0.0342, 0)</f>
        <v>53.142299999999999</v>
      </c>
      <c r="I747" s="14">
        <f>53.1097 * CHOOSE(CONTROL!$C$15, $E$9, 100%, $G$9) + CHOOSE(CONTROL!$C$38, 0.0342, 0)</f>
        <v>53.143899999999995</v>
      </c>
      <c r="J747" s="44">
        <f>489.5092</f>
        <v>489.50920000000002</v>
      </c>
    </row>
    <row r="748" spans="1:10" ht="15.75" x14ac:dyDescent="0.25">
      <c r="A748" s="32">
        <v>63705</v>
      </c>
      <c r="B748" s="14">
        <f>58.0183 * CHOOSE(CONTROL!$C$15, $E$9, 100%, $G$9) + CHOOSE(CONTROL!$C$38, 0.0353, 0)</f>
        <v>58.053600000000003</v>
      </c>
      <c r="C748" s="14">
        <f>54.8765 * CHOOSE(CONTROL!$C$15, $E$9, 100%, $G$9) + CHOOSE(CONTROL!$C$38, 0.0354, 0)</f>
        <v>54.911900000000003</v>
      </c>
      <c r="D748" s="14">
        <f>54.8687 * CHOOSE(CONTROL!$C$15, $E$9, 100%, $G$9) + CHOOSE(CONTROL!$C$38, 0.0354, 0)</f>
        <v>54.9041</v>
      </c>
      <c r="E748" s="14">
        <f>54.8687 * CHOOSE(CONTROL!$C$15, $E$9, 100%, $G$9) + CHOOSE(CONTROL!$C$38, 0.0354, 0)</f>
        <v>54.9041</v>
      </c>
      <c r="F748" s="45">
        <f>58.0183 * CHOOSE(CONTROL!$C$15, $E$9, 100%, $G$9) + CHOOSE(CONTROL!$C$38, 0.0353, 0)</f>
        <v>58.053600000000003</v>
      </c>
      <c r="G748" s="14">
        <f>54.8749 * CHOOSE(CONTROL!$C$15, $E$9, 100%, $G$9) + CHOOSE(CONTROL!$C$38, 0.0354, 0)</f>
        <v>54.910299999999999</v>
      </c>
      <c r="H748" s="14">
        <f>54.8749 * CHOOSE(CONTROL!$C$15, $E$9, 100%, $G$9) + CHOOSE(CONTROL!$C$38, 0.0354, 0)</f>
        <v>54.910299999999999</v>
      </c>
      <c r="I748" s="14">
        <f>54.8765 * CHOOSE(CONTROL!$C$15, $E$9, 100%, $G$9) + CHOOSE(CONTROL!$C$38, 0.0354, 0)</f>
        <v>54.911900000000003</v>
      </c>
      <c r="J748" s="44">
        <f>505.9362</f>
        <v>505.93619999999999</v>
      </c>
    </row>
    <row r="749" spans="1:10" ht="15.75" x14ac:dyDescent="0.25">
      <c r="A749" s="32">
        <v>63735</v>
      </c>
      <c r="B749" s="14">
        <f>58.8454 * CHOOSE(CONTROL!$C$15, $E$9, 100%, $G$9) + CHOOSE(CONTROL!$C$38, 0.0353, 0)</f>
        <v>58.880699999999997</v>
      </c>
      <c r="C749" s="14">
        <f>55.6606 * CHOOSE(CONTROL!$C$15, $E$9, 100%, $G$9) + CHOOSE(CONTROL!$C$38, 0.0354, 0)</f>
        <v>55.696000000000005</v>
      </c>
      <c r="D749" s="14">
        <f>55.6527 * CHOOSE(CONTROL!$C$15, $E$9, 100%, $G$9) + CHOOSE(CONTROL!$C$38, 0.0354, 0)</f>
        <v>55.688100000000006</v>
      </c>
      <c r="E749" s="14">
        <f>55.6527 * CHOOSE(CONTROL!$C$15, $E$9, 100%, $G$9) + CHOOSE(CONTROL!$C$38, 0.0354, 0)</f>
        <v>55.688100000000006</v>
      </c>
      <c r="F749" s="45">
        <f>58.8454 * CHOOSE(CONTROL!$C$15, $E$9, 100%, $G$9) + CHOOSE(CONTROL!$C$38, 0.0353, 0)</f>
        <v>58.880699999999997</v>
      </c>
      <c r="G749" s="14">
        <f>55.659 * CHOOSE(CONTROL!$C$15, $E$9, 100%, $G$9) + CHOOSE(CONTROL!$C$38, 0.0354, 0)</f>
        <v>55.694400000000002</v>
      </c>
      <c r="H749" s="14">
        <f>55.659 * CHOOSE(CONTROL!$C$15, $E$9, 100%, $G$9) + CHOOSE(CONTROL!$C$38, 0.0354, 0)</f>
        <v>55.694400000000002</v>
      </c>
      <c r="I749" s="14">
        <f>55.6606 * CHOOSE(CONTROL!$C$15, $E$9, 100%, $G$9) + CHOOSE(CONTROL!$C$38, 0.0354, 0)</f>
        <v>55.696000000000005</v>
      </c>
      <c r="J749" s="44">
        <f>513.2262</f>
        <v>513.22619999999995</v>
      </c>
    </row>
    <row r="750" spans="1:10" ht="15.75" x14ac:dyDescent="0.25">
      <c r="A750" s="32">
        <v>63766</v>
      </c>
      <c r="B750" s="14">
        <f>58.5731 * CHOOSE(CONTROL!$C$15, $E$9, 100%, $G$9) + CHOOSE(CONTROL!$C$38, 0.0353, 0)</f>
        <v>58.608399999999996</v>
      </c>
      <c r="C750" s="14">
        <f>55.4024 * CHOOSE(CONTROL!$C$15, $E$9, 100%, $G$9) + CHOOSE(CONTROL!$C$38, 0.0354, 0)</f>
        <v>55.437800000000003</v>
      </c>
      <c r="D750" s="14">
        <f>55.3946 * CHOOSE(CONTROL!$C$15, $E$9, 100%, $G$9) + CHOOSE(CONTROL!$C$38, 0.0354, 0)</f>
        <v>55.43</v>
      </c>
      <c r="E750" s="14">
        <f>55.3946 * CHOOSE(CONTROL!$C$15, $E$9, 100%, $G$9) + CHOOSE(CONTROL!$C$38, 0.0354, 0)</f>
        <v>55.43</v>
      </c>
      <c r="F750" s="45">
        <f>58.5731 * CHOOSE(CONTROL!$C$15, $E$9, 100%, $G$9) + CHOOSE(CONTROL!$C$38, 0.0353, 0)</f>
        <v>58.608399999999996</v>
      </c>
      <c r="G750" s="14">
        <f>55.4008 * CHOOSE(CONTROL!$C$15, $E$9, 100%, $G$9) + CHOOSE(CONTROL!$C$38, 0.0354, 0)</f>
        <v>55.436199999999999</v>
      </c>
      <c r="H750" s="14">
        <f>55.4008 * CHOOSE(CONTROL!$C$15, $E$9, 100%, $G$9) + CHOOSE(CONTROL!$C$38, 0.0354, 0)</f>
        <v>55.436199999999999</v>
      </c>
      <c r="I750" s="14">
        <f>55.4024 * CHOOSE(CONTROL!$C$15, $E$9, 100%, $G$9) + CHOOSE(CONTROL!$C$38, 0.0354, 0)</f>
        <v>55.437800000000003</v>
      </c>
      <c r="J750" s="44">
        <f>510.8259</f>
        <v>510.82589999999999</v>
      </c>
    </row>
    <row r="751" spans="1:10" ht="15.75" x14ac:dyDescent="0.25">
      <c r="A751" s="32">
        <v>63797</v>
      </c>
      <c r="B751" s="14">
        <f>57.2239 * CHOOSE(CONTROL!$C$15, $E$9, 100%, $G$9) + CHOOSE(CONTROL!$C$38, 0.0353, 0)</f>
        <v>57.2592</v>
      </c>
      <c r="C751" s="14">
        <f>54.1234 * CHOOSE(CONTROL!$C$15, $E$9, 100%, $G$9) + CHOOSE(CONTROL!$C$38, 0.0354, 0)</f>
        <v>54.158799999999999</v>
      </c>
      <c r="D751" s="14">
        <f>54.1156 * CHOOSE(CONTROL!$C$15, $E$9, 100%, $G$9) + CHOOSE(CONTROL!$C$38, 0.0354, 0)</f>
        <v>54.151000000000003</v>
      </c>
      <c r="E751" s="14">
        <f>54.1156 * CHOOSE(CONTROL!$C$15, $E$9, 100%, $G$9) + CHOOSE(CONTROL!$C$38, 0.0354, 0)</f>
        <v>54.151000000000003</v>
      </c>
      <c r="F751" s="45">
        <f>57.2239 * CHOOSE(CONTROL!$C$15, $E$9, 100%, $G$9) + CHOOSE(CONTROL!$C$38, 0.0353, 0)</f>
        <v>57.2592</v>
      </c>
      <c r="G751" s="14">
        <f>54.1218 * CHOOSE(CONTROL!$C$15, $E$9, 100%, $G$9) + CHOOSE(CONTROL!$C$38, 0.0354, 0)</f>
        <v>54.157200000000003</v>
      </c>
      <c r="H751" s="14">
        <f>54.1218 * CHOOSE(CONTROL!$C$15, $E$9, 100%, $G$9) + CHOOSE(CONTROL!$C$38, 0.0354, 0)</f>
        <v>54.157200000000003</v>
      </c>
      <c r="I751" s="14">
        <f>54.1234 * CHOOSE(CONTROL!$C$15, $E$9, 100%, $G$9) + CHOOSE(CONTROL!$C$38, 0.0354, 0)</f>
        <v>54.158799999999999</v>
      </c>
      <c r="J751" s="44">
        <f>498.9341</f>
        <v>498.9341</v>
      </c>
    </row>
    <row r="752" spans="1:10" ht="15.75" x14ac:dyDescent="0.25">
      <c r="A752" s="32">
        <v>63827</v>
      </c>
      <c r="B752" s="14">
        <f>55.3424 * CHOOSE(CONTROL!$C$15, $E$9, 100%, $G$9) + CHOOSE(CONTROL!$C$38, 0.0353, 0)</f>
        <v>55.377699999999997</v>
      </c>
      <c r="C752" s="14">
        <f>52.3397 * CHOOSE(CONTROL!$C$15, $E$9, 100%, $G$9) + CHOOSE(CONTROL!$C$38, 0.0354, 0)</f>
        <v>52.375100000000003</v>
      </c>
      <c r="D752" s="14">
        <f>52.3319 * CHOOSE(CONTROL!$C$15, $E$9, 100%, $G$9) + CHOOSE(CONTROL!$C$38, 0.0354, 0)</f>
        <v>52.3673</v>
      </c>
      <c r="E752" s="14">
        <f>52.3319 * CHOOSE(CONTROL!$C$15, $E$9, 100%, $G$9) + CHOOSE(CONTROL!$C$38, 0.0354, 0)</f>
        <v>52.3673</v>
      </c>
      <c r="F752" s="45">
        <f>55.3424 * CHOOSE(CONTROL!$C$15, $E$9, 100%, $G$9) + CHOOSE(CONTROL!$C$38, 0.0353, 0)</f>
        <v>55.377699999999997</v>
      </c>
      <c r="G752" s="14">
        <f>52.3382 * CHOOSE(CONTROL!$C$15, $E$9, 100%, $G$9) + CHOOSE(CONTROL!$C$38, 0.0354, 0)</f>
        <v>52.373600000000003</v>
      </c>
      <c r="H752" s="14">
        <f>52.3382 * CHOOSE(CONTROL!$C$15, $E$9, 100%, $G$9) + CHOOSE(CONTROL!$C$38, 0.0354, 0)</f>
        <v>52.373600000000003</v>
      </c>
      <c r="I752" s="14">
        <f>52.3397 * CHOOSE(CONTROL!$C$15, $E$9, 100%, $G$9) + CHOOSE(CONTROL!$C$38, 0.0354, 0)</f>
        <v>52.375100000000003</v>
      </c>
      <c r="J752" s="44">
        <f>482.3504</f>
        <v>482.35039999999998</v>
      </c>
    </row>
    <row r="753" spans="1:10" ht="15.75" x14ac:dyDescent="0.25">
      <c r="A753" s="32">
        <v>63858</v>
      </c>
      <c r="B753" s="14">
        <f>53.45 * CHOOSE(CONTROL!$C$15, $E$9, 100%, $G$9) + CHOOSE(CONTROL!$C$38, 0.034, 0)</f>
        <v>53.484000000000002</v>
      </c>
      <c r="C753" s="14">
        <f>50.5457 * CHOOSE(CONTROL!$C$15, $E$9, 100%, $G$9) + CHOOSE(CONTROL!$C$38, 0.0342, 0)</f>
        <v>50.579899999999995</v>
      </c>
      <c r="D753" s="14">
        <f>50.5379 * CHOOSE(CONTROL!$C$15, $E$9, 100%, $G$9) + CHOOSE(CONTROL!$C$38, 0.0342, 0)</f>
        <v>50.572099999999999</v>
      </c>
      <c r="E753" s="14">
        <f>50.5379 * CHOOSE(CONTROL!$C$15, $E$9, 100%, $G$9) + CHOOSE(CONTROL!$C$38, 0.0342, 0)</f>
        <v>50.572099999999999</v>
      </c>
      <c r="F753" s="45">
        <f>53.45 * CHOOSE(CONTROL!$C$15, $E$9, 100%, $G$9) + CHOOSE(CONTROL!$C$38, 0.034, 0)</f>
        <v>53.484000000000002</v>
      </c>
      <c r="G753" s="14">
        <f>50.5442 * CHOOSE(CONTROL!$C$15, $E$9, 100%, $G$9) + CHOOSE(CONTROL!$C$38, 0.0342, 0)</f>
        <v>50.578399999999995</v>
      </c>
      <c r="H753" s="14">
        <f>50.5442 * CHOOSE(CONTROL!$C$15, $E$9, 100%, $G$9) + CHOOSE(CONTROL!$C$38, 0.0342, 0)</f>
        <v>50.578399999999995</v>
      </c>
      <c r="I753" s="14">
        <f>50.5457 * CHOOSE(CONTROL!$C$15, $E$9, 100%, $G$9) + CHOOSE(CONTROL!$C$38, 0.0342, 0)</f>
        <v>50.579899999999995</v>
      </c>
      <c r="J753" s="44">
        <f>465.6703</f>
        <v>465.6703</v>
      </c>
    </row>
    <row r="754" spans="1:10" ht="15.75" x14ac:dyDescent="0.25">
      <c r="A754" s="32">
        <v>63888</v>
      </c>
      <c r="B754" s="14">
        <f>53.0735 * CHOOSE(CONTROL!$C$15, $E$9, 100%, $G$9) + CHOOSE(CONTROL!$C$38, 0.034, 0)</f>
        <v>53.107500000000002</v>
      </c>
      <c r="C754" s="14">
        <f>50.1889 * CHOOSE(CONTROL!$C$15, $E$9, 100%, $G$9) + CHOOSE(CONTROL!$C$38, 0.0342, 0)</f>
        <v>50.223099999999995</v>
      </c>
      <c r="D754" s="14">
        <f>50.181 * CHOOSE(CONTROL!$C$15, $E$9, 100%, $G$9) + CHOOSE(CONTROL!$C$38, 0.0342, 0)</f>
        <v>50.215199999999996</v>
      </c>
      <c r="E754" s="14">
        <f>50.181 * CHOOSE(CONTROL!$C$15, $E$9, 100%, $G$9) + CHOOSE(CONTROL!$C$38, 0.0342, 0)</f>
        <v>50.215199999999996</v>
      </c>
      <c r="F754" s="45">
        <f>53.0735 * CHOOSE(CONTROL!$C$15, $E$9, 100%, $G$9) + CHOOSE(CONTROL!$C$38, 0.034, 0)</f>
        <v>53.107500000000002</v>
      </c>
      <c r="G754" s="14">
        <f>50.1873 * CHOOSE(CONTROL!$C$15, $E$9, 100%, $G$9) + CHOOSE(CONTROL!$C$38, 0.0342, 0)</f>
        <v>50.221499999999999</v>
      </c>
      <c r="H754" s="14">
        <f>50.1873 * CHOOSE(CONTROL!$C$15, $E$9, 100%, $G$9) + CHOOSE(CONTROL!$C$38, 0.0342, 0)</f>
        <v>50.221499999999999</v>
      </c>
      <c r="I754" s="14">
        <f>50.1889 * CHOOSE(CONTROL!$C$15, $E$9, 100%, $G$9) + CHOOSE(CONTROL!$C$38, 0.0342, 0)</f>
        <v>50.223099999999995</v>
      </c>
      <c r="J754" s="44">
        <f>462.3522</f>
        <v>462.35219999999998</v>
      </c>
    </row>
    <row r="755" spans="1:10" ht="15.75" x14ac:dyDescent="0.25">
      <c r="A755" s="32">
        <v>63919</v>
      </c>
      <c r="B755" s="14">
        <f>51.5169 * CHOOSE(CONTROL!$C$15, $E$9, 100%, $G$9) + CHOOSE(CONTROL!$C$38, 0.034, 0)</f>
        <v>51.550899999999999</v>
      </c>
      <c r="C755" s="14">
        <f>48.7132 * CHOOSE(CONTROL!$C$15, $E$9, 100%, $G$9) + CHOOSE(CONTROL!$C$38, 0.0342, 0)</f>
        <v>48.747399999999999</v>
      </c>
      <c r="D755" s="14">
        <f>48.7054 * CHOOSE(CONTROL!$C$15, $E$9, 100%, $G$9) + CHOOSE(CONTROL!$C$38, 0.0342, 0)</f>
        <v>48.739599999999996</v>
      </c>
      <c r="E755" s="14">
        <f>48.7054 * CHOOSE(CONTROL!$C$15, $E$9, 100%, $G$9) + CHOOSE(CONTROL!$C$38, 0.0342, 0)</f>
        <v>48.739599999999996</v>
      </c>
      <c r="F755" s="45">
        <f>51.5169 * CHOOSE(CONTROL!$C$15, $E$9, 100%, $G$9) + CHOOSE(CONTROL!$C$38, 0.034, 0)</f>
        <v>51.550899999999999</v>
      </c>
      <c r="G755" s="14">
        <f>48.7116 * CHOOSE(CONTROL!$C$15, $E$9, 100%, $G$9) + CHOOSE(CONTROL!$C$38, 0.0342, 0)</f>
        <v>48.745799999999996</v>
      </c>
      <c r="H755" s="14">
        <f>48.7116 * CHOOSE(CONTROL!$C$15, $E$9, 100%, $G$9) + CHOOSE(CONTROL!$C$38, 0.0342, 0)</f>
        <v>48.745799999999996</v>
      </c>
      <c r="I755" s="14">
        <f>48.7132 * CHOOSE(CONTROL!$C$15, $E$9, 100%, $G$9) + CHOOSE(CONTROL!$C$38, 0.0342, 0)</f>
        <v>48.747399999999999</v>
      </c>
      <c r="J755" s="44">
        <f>448.6319</f>
        <v>448.63189999999997</v>
      </c>
    </row>
    <row r="756" spans="1:10" ht="15.75" x14ac:dyDescent="0.25">
      <c r="A756" s="32">
        <v>63950</v>
      </c>
      <c r="B756" s="14">
        <f>51.1303 * CHOOSE(CONTROL!$C$15, $E$9, 100%, $G$9) + CHOOSE(CONTROL!$C$38, 0.034, 0)</f>
        <v>51.164299999999997</v>
      </c>
      <c r="C756" s="14">
        <f>48.3467 * CHOOSE(CONTROL!$C$15, $E$9, 100%, $G$9) + CHOOSE(CONTROL!$C$38, 0.0342, 0)</f>
        <v>48.380899999999997</v>
      </c>
      <c r="D756" s="14">
        <f>48.3389 * CHOOSE(CONTROL!$C$15, $E$9, 100%, $G$9) + CHOOSE(CONTROL!$C$38, 0.0342, 0)</f>
        <v>48.373100000000001</v>
      </c>
      <c r="E756" s="14">
        <f>48.3389 * CHOOSE(CONTROL!$C$15, $E$9, 100%, $G$9) + CHOOSE(CONTROL!$C$38, 0.0342, 0)</f>
        <v>48.373100000000001</v>
      </c>
      <c r="F756" s="45">
        <f>51.1303 * CHOOSE(CONTROL!$C$15, $E$9, 100%, $G$9) + CHOOSE(CONTROL!$C$38, 0.034, 0)</f>
        <v>51.164299999999997</v>
      </c>
      <c r="G756" s="14">
        <f>48.3451 * CHOOSE(CONTROL!$C$15, $E$9, 100%, $G$9) + CHOOSE(CONTROL!$C$38, 0.0342, 0)</f>
        <v>48.379300000000001</v>
      </c>
      <c r="H756" s="14">
        <f>48.3451 * CHOOSE(CONTROL!$C$15, $E$9, 100%, $G$9) + CHOOSE(CONTROL!$C$38, 0.0342, 0)</f>
        <v>48.379300000000001</v>
      </c>
      <c r="I756" s="14">
        <f>48.3467 * CHOOSE(CONTROL!$C$15, $E$9, 100%, $G$9) + CHOOSE(CONTROL!$C$38, 0.0342, 0)</f>
        <v>48.380899999999997</v>
      </c>
      <c r="J756" s="44">
        <f>448.308</f>
        <v>448.30799999999999</v>
      </c>
    </row>
    <row r="757" spans="1:10" ht="15.75" x14ac:dyDescent="0.25">
      <c r="A757" s="32">
        <v>63978</v>
      </c>
      <c r="B757" s="14">
        <f>50.9899 * CHOOSE(CONTROL!$C$15, $E$9, 100%, $G$9) + CHOOSE(CONTROL!$C$38, 0.034, 0)</f>
        <v>51.023899999999998</v>
      </c>
      <c r="C757" s="14">
        <f>48.2136 * CHOOSE(CONTROL!$C$15, $E$9, 100%, $G$9) + CHOOSE(CONTROL!$C$38, 0.0342, 0)</f>
        <v>48.247799999999998</v>
      </c>
      <c r="D757" s="14">
        <f>48.2058 * CHOOSE(CONTROL!$C$15, $E$9, 100%, $G$9) + CHOOSE(CONTROL!$C$38, 0.0342, 0)</f>
        <v>48.24</v>
      </c>
      <c r="E757" s="14">
        <f>48.2058 * CHOOSE(CONTROL!$C$15, $E$9, 100%, $G$9) + CHOOSE(CONTROL!$C$38, 0.0342, 0)</f>
        <v>48.24</v>
      </c>
      <c r="F757" s="45">
        <f>50.9899 * CHOOSE(CONTROL!$C$15, $E$9, 100%, $G$9) + CHOOSE(CONTROL!$C$38, 0.034, 0)</f>
        <v>51.023899999999998</v>
      </c>
      <c r="G757" s="14">
        <f>48.212 * CHOOSE(CONTROL!$C$15, $E$9, 100%, $G$9) + CHOOSE(CONTROL!$C$38, 0.0342, 0)</f>
        <v>48.246200000000002</v>
      </c>
      <c r="H757" s="14">
        <f>48.212 * CHOOSE(CONTROL!$C$15, $E$9, 100%, $G$9) + CHOOSE(CONTROL!$C$38, 0.0342, 0)</f>
        <v>48.246200000000002</v>
      </c>
      <c r="I757" s="14">
        <f>48.2136 * CHOOSE(CONTROL!$C$15, $E$9, 100%, $G$9) + CHOOSE(CONTROL!$C$38, 0.0342, 0)</f>
        <v>48.247799999999998</v>
      </c>
      <c r="J757" s="44">
        <f>447.0618</f>
        <v>447.06180000000001</v>
      </c>
    </row>
    <row r="758" spans="1:10" ht="15.75" x14ac:dyDescent="0.25">
      <c r="A758" s="32">
        <v>64009</v>
      </c>
      <c r="B758" s="14">
        <f>53.6448 * CHOOSE(CONTROL!$C$15, $E$9, 100%, $G$9) + CHOOSE(CONTROL!$C$38, 0.034, 0)</f>
        <v>53.678799999999995</v>
      </c>
      <c r="C758" s="14">
        <f>50.7304 * CHOOSE(CONTROL!$C$15, $E$9, 100%, $G$9) + CHOOSE(CONTROL!$C$38, 0.0342, 0)</f>
        <v>50.764600000000002</v>
      </c>
      <c r="D758" s="14">
        <f>50.7226 * CHOOSE(CONTROL!$C$15, $E$9, 100%, $G$9) + CHOOSE(CONTROL!$C$38, 0.0342, 0)</f>
        <v>50.756799999999998</v>
      </c>
      <c r="E758" s="14">
        <f>50.7226 * CHOOSE(CONTROL!$C$15, $E$9, 100%, $G$9) + CHOOSE(CONTROL!$C$38, 0.0342, 0)</f>
        <v>50.756799999999998</v>
      </c>
      <c r="F758" s="45">
        <f>53.6448 * CHOOSE(CONTROL!$C$15, $E$9, 100%, $G$9) + CHOOSE(CONTROL!$C$38, 0.034, 0)</f>
        <v>53.678799999999995</v>
      </c>
      <c r="G758" s="14">
        <f>50.7289 * CHOOSE(CONTROL!$C$15, $E$9, 100%, $G$9) + CHOOSE(CONTROL!$C$38, 0.0342, 0)</f>
        <v>50.763100000000001</v>
      </c>
      <c r="H758" s="14">
        <f>50.7289 * CHOOSE(CONTROL!$C$15, $E$9, 100%, $G$9) + CHOOSE(CONTROL!$C$38, 0.0342, 0)</f>
        <v>50.763100000000001</v>
      </c>
      <c r="I758" s="14">
        <f>50.7304 * CHOOSE(CONTROL!$C$15, $E$9, 100%, $G$9) + CHOOSE(CONTROL!$C$38, 0.0342, 0)</f>
        <v>50.764600000000002</v>
      </c>
      <c r="J758" s="44">
        <f>470.6246</f>
        <v>470.62459999999999</v>
      </c>
    </row>
    <row r="759" spans="1:10" ht="15.75" x14ac:dyDescent="0.25">
      <c r="A759" s="32">
        <v>64039</v>
      </c>
      <c r="B759" s="14">
        <f>57.0876 * CHOOSE(CONTROL!$C$15, $E$9, 100%, $G$9) + CHOOSE(CONTROL!$C$38, 0.034, 0)</f>
        <v>57.121600000000001</v>
      </c>
      <c r="C759" s="14">
        <f>53.9942 * CHOOSE(CONTROL!$C$15, $E$9, 100%, $G$9) + CHOOSE(CONTROL!$C$38, 0.0342, 0)</f>
        <v>54.028399999999998</v>
      </c>
      <c r="D759" s="14">
        <f>53.9864 * CHOOSE(CONTROL!$C$15, $E$9, 100%, $G$9) + CHOOSE(CONTROL!$C$38, 0.0342, 0)</f>
        <v>54.020600000000002</v>
      </c>
      <c r="E759" s="14">
        <f>53.9864 * CHOOSE(CONTROL!$C$15, $E$9, 100%, $G$9) + CHOOSE(CONTROL!$C$38, 0.0342, 0)</f>
        <v>54.020600000000002</v>
      </c>
      <c r="F759" s="45">
        <f>57.0876 * CHOOSE(CONTROL!$C$15, $E$9, 100%, $G$9) + CHOOSE(CONTROL!$C$38, 0.034, 0)</f>
        <v>57.121600000000001</v>
      </c>
      <c r="G759" s="14">
        <f>53.9926 * CHOOSE(CONTROL!$C$15, $E$9, 100%, $G$9) + CHOOSE(CONTROL!$C$38, 0.0342, 0)</f>
        <v>54.026800000000001</v>
      </c>
      <c r="H759" s="14">
        <f>53.9926 * CHOOSE(CONTROL!$C$15, $E$9, 100%, $G$9) + CHOOSE(CONTROL!$C$38, 0.0342, 0)</f>
        <v>54.026800000000001</v>
      </c>
      <c r="I759" s="14">
        <f>53.9942 * CHOOSE(CONTROL!$C$15, $E$9, 100%, $G$9) + CHOOSE(CONTROL!$C$38, 0.0342, 0)</f>
        <v>54.028399999999998</v>
      </c>
      <c r="J759" s="44">
        <f>501.1798</f>
        <v>501.1798</v>
      </c>
    </row>
    <row r="760" spans="1:10" ht="15.75" x14ac:dyDescent="0.25">
      <c r="A760" s="32">
        <v>64070</v>
      </c>
      <c r="B760" s="14">
        <f>58.9827 * CHOOSE(CONTROL!$C$15, $E$9, 100%, $G$9) + CHOOSE(CONTROL!$C$38, 0.0353, 0)</f>
        <v>59.018000000000001</v>
      </c>
      <c r="C760" s="14">
        <f>55.7907 * CHOOSE(CONTROL!$C$15, $E$9, 100%, $G$9) + CHOOSE(CONTROL!$C$38, 0.0354, 0)</f>
        <v>55.826100000000004</v>
      </c>
      <c r="D760" s="14">
        <f>55.7828 * CHOOSE(CONTROL!$C$15, $E$9, 100%, $G$9) + CHOOSE(CONTROL!$C$38, 0.0354, 0)</f>
        <v>55.818200000000004</v>
      </c>
      <c r="E760" s="14">
        <f>55.7828 * CHOOSE(CONTROL!$C$15, $E$9, 100%, $G$9) + CHOOSE(CONTROL!$C$38, 0.0354, 0)</f>
        <v>55.818200000000004</v>
      </c>
      <c r="F760" s="45">
        <f>58.9827 * CHOOSE(CONTROL!$C$15, $E$9, 100%, $G$9) + CHOOSE(CONTROL!$C$38, 0.0353, 0)</f>
        <v>59.018000000000001</v>
      </c>
      <c r="G760" s="14">
        <f>55.7891 * CHOOSE(CONTROL!$C$15, $E$9, 100%, $G$9) + CHOOSE(CONTROL!$C$38, 0.0354, 0)</f>
        <v>55.8245</v>
      </c>
      <c r="H760" s="14">
        <f>55.7891 * CHOOSE(CONTROL!$C$15, $E$9, 100%, $G$9) + CHOOSE(CONTROL!$C$38, 0.0354, 0)</f>
        <v>55.8245</v>
      </c>
      <c r="I760" s="14">
        <f>55.7907 * CHOOSE(CONTROL!$C$15, $E$9, 100%, $G$9) + CHOOSE(CONTROL!$C$38, 0.0354, 0)</f>
        <v>55.826100000000004</v>
      </c>
      <c r="J760" s="44">
        <f>517.9984</f>
        <v>517.99839999999995</v>
      </c>
    </row>
    <row r="761" spans="1:10" ht="15.75" x14ac:dyDescent="0.25">
      <c r="A761" s="32">
        <v>64100</v>
      </c>
      <c r="B761" s="14">
        <f>59.8237 * CHOOSE(CONTROL!$C$15, $E$9, 100%, $G$9) + CHOOSE(CONTROL!$C$38, 0.0353, 0)</f>
        <v>59.859000000000002</v>
      </c>
      <c r="C761" s="14">
        <f>56.5879 * CHOOSE(CONTROL!$C$15, $E$9, 100%, $G$9) + CHOOSE(CONTROL!$C$38, 0.0354, 0)</f>
        <v>56.6233</v>
      </c>
      <c r="D761" s="14">
        <f>56.5801 * CHOOSE(CONTROL!$C$15, $E$9, 100%, $G$9) + CHOOSE(CONTROL!$C$38, 0.0354, 0)</f>
        <v>56.615500000000004</v>
      </c>
      <c r="E761" s="14">
        <f>56.5801 * CHOOSE(CONTROL!$C$15, $E$9, 100%, $G$9) + CHOOSE(CONTROL!$C$38, 0.0354, 0)</f>
        <v>56.615500000000004</v>
      </c>
      <c r="F761" s="45">
        <f>59.8237 * CHOOSE(CONTROL!$C$15, $E$9, 100%, $G$9) + CHOOSE(CONTROL!$C$38, 0.0353, 0)</f>
        <v>59.859000000000002</v>
      </c>
      <c r="G761" s="14">
        <f>56.5863 * CHOOSE(CONTROL!$C$15, $E$9, 100%, $G$9) + CHOOSE(CONTROL!$C$38, 0.0354, 0)</f>
        <v>56.621700000000004</v>
      </c>
      <c r="H761" s="14">
        <f>56.5863 * CHOOSE(CONTROL!$C$15, $E$9, 100%, $G$9) + CHOOSE(CONTROL!$C$38, 0.0354, 0)</f>
        <v>56.621700000000004</v>
      </c>
      <c r="I761" s="14">
        <f>56.5879 * CHOOSE(CONTROL!$C$15, $E$9, 100%, $G$9) + CHOOSE(CONTROL!$C$38, 0.0354, 0)</f>
        <v>56.6233</v>
      </c>
      <c r="J761" s="44">
        <f>525.4622</f>
        <v>525.46220000000005</v>
      </c>
    </row>
    <row r="762" spans="1:10" ht="15.75" x14ac:dyDescent="0.25">
      <c r="A762" s="32">
        <v>64131</v>
      </c>
      <c r="B762" s="14">
        <f>59.5468 * CHOOSE(CONTROL!$C$15, $E$9, 100%, $G$9) + CHOOSE(CONTROL!$C$38, 0.0353, 0)</f>
        <v>59.582099999999997</v>
      </c>
      <c r="C762" s="14">
        <f>56.3254 * CHOOSE(CONTROL!$C$15, $E$9, 100%, $G$9) + CHOOSE(CONTROL!$C$38, 0.0354, 0)</f>
        <v>56.360800000000005</v>
      </c>
      <c r="D762" s="14">
        <f>56.3176 * CHOOSE(CONTROL!$C$15, $E$9, 100%, $G$9) + CHOOSE(CONTROL!$C$38, 0.0354, 0)</f>
        <v>56.353000000000002</v>
      </c>
      <c r="E762" s="14">
        <f>56.3176 * CHOOSE(CONTROL!$C$15, $E$9, 100%, $G$9) + CHOOSE(CONTROL!$C$38, 0.0354, 0)</f>
        <v>56.353000000000002</v>
      </c>
      <c r="F762" s="45">
        <f>59.5468 * CHOOSE(CONTROL!$C$15, $E$9, 100%, $G$9) + CHOOSE(CONTROL!$C$38, 0.0353, 0)</f>
        <v>59.582099999999997</v>
      </c>
      <c r="G762" s="14">
        <f>56.3238 * CHOOSE(CONTROL!$C$15, $E$9, 100%, $G$9) + CHOOSE(CONTROL!$C$38, 0.0354, 0)</f>
        <v>56.359200000000001</v>
      </c>
      <c r="H762" s="14">
        <f>56.3238 * CHOOSE(CONTROL!$C$15, $E$9, 100%, $G$9) + CHOOSE(CONTROL!$C$38, 0.0354, 0)</f>
        <v>56.359200000000001</v>
      </c>
      <c r="I762" s="14">
        <f>56.3254 * CHOOSE(CONTROL!$C$15, $E$9, 100%, $G$9) + CHOOSE(CONTROL!$C$38, 0.0354, 0)</f>
        <v>56.360800000000005</v>
      </c>
      <c r="J762" s="44">
        <f>523.0048</f>
        <v>523.00480000000005</v>
      </c>
    </row>
    <row r="763" spans="1:10" ht="15.75" x14ac:dyDescent="0.25">
      <c r="A763" s="32">
        <v>64162</v>
      </c>
      <c r="B763" s="14">
        <f>58.1749 * CHOOSE(CONTROL!$C$15, $E$9, 100%, $G$9) + CHOOSE(CONTROL!$C$38, 0.0353, 0)</f>
        <v>58.2102</v>
      </c>
      <c r="C763" s="14">
        <f>55.0249 * CHOOSE(CONTROL!$C$15, $E$9, 100%, $G$9) + CHOOSE(CONTROL!$C$38, 0.0354, 0)</f>
        <v>55.060300000000005</v>
      </c>
      <c r="D763" s="14">
        <f>55.0171 * CHOOSE(CONTROL!$C$15, $E$9, 100%, $G$9) + CHOOSE(CONTROL!$C$38, 0.0354, 0)</f>
        <v>55.052500000000002</v>
      </c>
      <c r="E763" s="14">
        <f>55.0171 * CHOOSE(CONTROL!$C$15, $E$9, 100%, $G$9) + CHOOSE(CONTROL!$C$38, 0.0354, 0)</f>
        <v>55.052500000000002</v>
      </c>
      <c r="F763" s="45">
        <f>58.1749 * CHOOSE(CONTROL!$C$15, $E$9, 100%, $G$9) + CHOOSE(CONTROL!$C$38, 0.0353, 0)</f>
        <v>58.2102</v>
      </c>
      <c r="G763" s="14">
        <f>55.0233 * CHOOSE(CONTROL!$C$15, $E$9, 100%, $G$9) + CHOOSE(CONTROL!$C$38, 0.0354, 0)</f>
        <v>55.058700000000002</v>
      </c>
      <c r="H763" s="14">
        <f>55.0233 * CHOOSE(CONTROL!$C$15, $E$9, 100%, $G$9) + CHOOSE(CONTROL!$C$38, 0.0354, 0)</f>
        <v>55.058700000000002</v>
      </c>
      <c r="I763" s="14">
        <f>55.0249 * CHOOSE(CONTROL!$C$15, $E$9, 100%, $G$9) + CHOOSE(CONTROL!$C$38, 0.0354, 0)</f>
        <v>55.060300000000005</v>
      </c>
      <c r="J763" s="44">
        <f>510.8295</f>
        <v>510.8295</v>
      </c>
    </row>
    <row r="764" spans="1:10" ht="15.75" x14ac:dyDescent="0.25">
      <c r="A764" s="32">
        <v>64192</v>
      </c>
      <c r="B764" s="14">
        <f>56.2618 * CHOOSE(CONTROL!$C$15, $E$9, 100%, $G$9) + CHOOSE(CONTROL!$C$38, 0.0353, 0)</f>
        <v>56.2971</v>
      </c>
      <c r="C764" s="14">
        <f>53.2113 * CHOOSE(CONTROL!$C$15, $E$9, 100%, $G$9) + CHOOSE(CONTROL!$C$38, 0.0354, 0)</f>
        <v>53.246700000000004</v>
      </c>
      <c r="D764" s="14">
        <f>53.2035 * CHOOSE(CONTROL!$C$15, $E$9, 100%, $G$9) + CHOOSE(CONTROL!$C$38, 0.0354, 0)</f>
        <v>53.238900000000001</v>
      </c>
      <c r="E764" s="14">
        <f>53.2035 * CHOOSE(CONTROL!$C$15, $E$9, 100%, $G$9) + CHOOSE(CONTROL!$C$38, 0.0354, 0)</f>
        <v>53.238900000000001</v>
      </c>
      <c r="F764" s="45">
        <f>56.2618 * CHOOSE(CONTROL!$C$15, $E$9, 100%, $G$9) + CHOOSE(CONTROL!$C$38, 0.0353, 0)</f>
        <v>56.2971</v>
      </c>
      <c r="G764" s="14">
        <f>53.2097 * CHOOSE(CONTROL!$C$15, $E$9, 100%, $G$9) + CHOOSE(CONTROL!$C$38, 0.0354, 0)</f>
        <v>53.245100000000001</v>
      </c>
      <c r="H764" s="14">
        <f>53.2097 * CHOOSE(CONTROL!$C$15, $E$9, 100%, $G$9) + CHOOSE(CONTROL!$C$38, 0.0354, 0)</f>
        <v>53.245100000000001</v>
      </c>
      <c r="I764" s="14">
        <f>53.2113 * CHOOSE(CONTROL!$C$15, $E$9, 100%, $G$9) + CHOOSE(CONTROL!$C$38, 0.0354, 0)</f>
        <v>53.246700000000004</v>
      </c>
      <c r="J764" s="44">
        <f>493.8504</f>
        <v>493.85039999999998</v>
      </c>
    </row>
    <row r="765" spans="1:10" ht="15.75" x14ac:dyDescent="0.25">
      <c r="A765" s="32">
        <v>64223</v>
      </c>
      <c r="B765" s="14">
        <f>54.3375 * CHOOSE(CONTROL!$C$15, $E$9, 100%, $G$9) + CHOOSE(CONTROL!$C$38, 0.034, 0)</f>
        <v>54.371499999999997</v>
      </c>
      <c r="C765" s="14">
        <f>51.3871 * CHOOSE(CONTROL!$C$15, $E$9, 100%, $G$9) + CHOOSE(CONTROL!$C$38, 0.0342, 0)</f>
        <v>51.421299999999995</v>
      </c>
      <c r="D765" s="14">
        <f>51.3793 * CHOOSE(CONTROL!$C$15, $E$9, 100%, $G$9) + CHOOSE(CONTROL!$C$38, 0.0342, 0)</f>
        <v>51.413499999999999</v>
      </c>
      <c r="E765" s="14">
        <f>51.3793 * CHOOSE(CONTROL!$C$15, $E$9, 100%, $G$9) + CHOOSE(CONTROL!$C$38, 0.0342, 0)</f>
        <v>51.413499999999999</v>
      </c>
      <c r="F765" s="45">
        <f>54.3375 * CHOOSE(CONTROL!$C$15, $E$9, 100%, $G$9) + CHOOSE(CONTROL!$C$38, 0.034, 0)</f>
        <v>54.371499999999997</v>
      </c>
      <c r="G765" s="14">
        <f>51.3856 * CHOOSE(CONTROL!$C$15, $E$9, 100%, $G$9) + CHOOSE(CONTROL!$C$38, 0.0342, 0)</f>
        <v>51.419799999999995</v>
      </c>
      <c r="H765" s="14">
        <f>51.3856 * CHOOSE(CONTROL!$C$15, $E$9, 100%, $G$9) + CHOOSE(CONTROL!$C$38, 0.0342, 0)</f>
        <v>51.419799999999995</v>
      </c>
      <c r="I765" s="14">
        <f>51.3871 * CHOOSE(CONTROL!$C$15, $E$9, 100%, $G$9) + CHOOSE(CONTROL!$C$38, 0.0342, 0)</f>
        <v>51.421299999999995</v>
      </c>
      <c r="J765" s="44">
        <f>476.7725</f>
        <v>476.77249999999998</v>
      </c>
    </row>
    <row r="766" spans="1:10" ht="15.75" x14ac:dyDescent="0.25">
      <c r="A766" s="32">
        <v>64253</v>
      </c>
      <c r="B766" s="14">
        <f>53.9548 * CHOOSE(CONTROL!$C$15, $E$9, 100%, $G$9) + CHOOSE(CONTROL!$C$38, 0.034, 0)</f>
        <v>53.988799999999998</v>
      </c>
      <c r="C766" s="14">
        <f>51.0243 * CHOOSE(CONTROL!$C$15, $E$9, 100%, $G$9) + CHOOSE(CONTROL!$C$38, 0.0342, 0)</f>
        <v>51.058499999999995</v>
      </c>
      <c r="D766" s="14">
        <f>51.0165 * CHOOSE(CONTROL!$C$15, $E$9, 100%, $G$9) + CHOOSE(CONTROL!$C$38, 0.0342, 0)</f>
        <v>51.050699999999999</v>
      </c>
      <c r="E766" s="14">
        <f>51.0165 * CHOOSE(CONTROL!$C$15, $E$9, 100%, $G$9) + CHOOSE(CONTROL!$C$38, 0.0342, 0)</f>
        <v>51.050699999999999</v>
      </c>
      <c r="F766" s="45">
        <f>53.9548 * CHOOSE(CONTROL!$C$15, $E$9, 100%, $G$9) + CHOOSE(CONTROL!$C$38, 0.034, 0)</f>
        <v>53.988799999999998</v>
      </c>
      <c r="G766" s="14">
        <f>51.0227 * CHOOSE(CONTROL!$C$15, $E$9, 100%, $G$9) + CHOOSE(CONTROL!$C$38, 0.0342, 0)</f>
        <v>51.056899999999999</v>
      </c>
      <c r="H766" s="14">
        <f>51.0227 * CHOOSE(CONTROL!$C$15, $E$9, 100%, $G$9) + CHOOSE(CONTROL!$C$38, 0.0342, 0)</f>
        <v>51.056899999999999</v>
      </c>
      <c r="I766" s="14">
        <f>51.0243 * CHOOSE(CONTROL!$C$15, $E$9, 100%, $G$9) + CHOOSE(CONTROL!$C$38, 0.0342, 0)</f>
        <v>51.058499999999995</v>
      </c>
      <c r="J766" s="44">
        <f>473.3754</f>
        <v>473.37540000000001</v>
      </c>
    </row>
    <row r="767" spans="1:10" ht="15.75" x14ac:dyDescent="0.25">
      <c r="A767" s="32">
        <v>64284</v>
      </c>
      <c r="B767" s="14">
        <f>52.372 * CHOOSE(CONTROL!$C$15, $E$9, 100%, $G$9) + CHOOSE(CONTROL!$C$38, 0.034, 0)</f>
        <v>52.405999999999999</v>
      </c>
      <c r="C767" s="14">
        <f>49.5238 * CHOOSE(CONTROL!$C$15, $E$9, 100%, $G$9) + CHOOSE(CONTROL!$C$38, 0.0342, 0)</f>
        <v>49.558</v>
      </c>
      <c r="D767" s="14">
        <f>49.516 * CHOOSE(CONTROL!$C$15, $E$9, 100%, $G$9) + CHOOSE(CONTROL!$C$38, 0.0342, 0)</f>
        <v>49.550199999999997</v>
      </c>
      <c r="E767" s="14">
        <f>49.516 * CHOOSE(CONTROL!$C$15, $E$9, 100%, $G$9) + CHOOSE(CONTROL!$C$38, 0.0342, 0)</f>
        <v>49.550199999999997</v>
      </c>
      <c r="F767" s="45">
        <f>52.372 * CHOOSE(CONTROL!$C$15, $E$9, 100%, $G$9) + CHOOSE(CONTROL!$C$38, 0.034, 0)</f>
        <v>52.405999999999999</v>
      </c>
      <c r="G767" s="14">
        <f>49.5222 * CHOOSE(CONTROL!$C$15, $E$9, 100%, $G$9) + CHOOSE(CONTROL!$C$38, 0.0342, 0)</f>
        <v>49.556399999999996</v>
      </c>
      <c r="H767" s="14">
        <f>49.5222 * CHOOSE(CONTROL!$C$15, $E$9, 100%, $G$9) + CHOOSE(CONTROL!$C$38, 0.0342, 0)</f>
        <v>49.556399999999996</v>
      </c>
      <c r="I767" s="14">
        <f>49.5238 * CHOOSE(CONTROL!$C$15, $E$9, 100%, $G$9) + CHOOSE(CONTROL!$C$38, 0.0342, 0)</f>
        <v>49.558</v>
      </c>
      <c r="J767" s="44">
        <f>459.3279</f>
        <v>459.3279</v>
      </c>
    </row>
    <row r="768" spans="1:10" ht="15.75" x14ac:dyDescent="0.25">
      <c r="A768" s="32">
        <v>64315</v>
      </c>
      <c r="B768" s="14">
        <f>51.9789 * CHOOSE(CONTROL!$C$15, $E$9, 100%, $G$9) + CHOOSE(CONTROL!$C$38, 0.034, 0)</f>
        <v>52.012900000000002</v>
      </c>
      <c r="C768" s="14">
        <f>49.1512 * CHOOSE(CONTROL!$C$15, $E$9, 100%, $G$9) + CHOOSE(CONTROL!$C$38, 0.0342, 0)</f>
        <v>49.185400000000001</v>
      </c>
      <c r="D768" s="14">
        <f>49.1434 * CHOOSE(CONTROL!$C$15, $E$9, 100%, $G$9) + CHOOSE(CONTROL!$C$38, 0.0342, 0)</f>
        <v>49.177599999999998</v>
      </c>
      <c r="E768" s="14">
        <f>49.1434 * CHOOSE(CONTROL!$C$15, $E$9, 100%, $G$9) + CHOOSE(CONTROL!$C$38, 0.0342, 0)</f>
        <v>49.177599999999998</v>
      </c>
      <c r="F768" s="45">
        <f>51.9789 * CHOOSE(CONTROL!$C$15, $E$9, 100%, $G$9) + CHOOSE(CONTROL!$C$38, 0.034, 0)</f>
        <v>52.012900000000002</v>
      </c>
      <c r="G768" s="14">
        <f>49.1496 * CHOOSE(CONTROL!$C$15, $E$9, 100%, $G$9) + CHOOSE(CONTROL!$C$38, 0.0342, 0)</f>
        <v>49.183799999999998</v>
      </c>
      <c r="H768" s="14">
        <f>49.1496 * CHOOSE(CONTROL!$C$15, $E$9, 100%, $G$9) + CHOOSE(CONTROL!$C$38, 0.0342, 0)</f>
        <v>49.183799999999998</v>
      </c>
      <c r="I768" s="14">
        <f>49.1512 * CHOOSE(CONTROL!$C$15, $E$9, 100%, $G$9) + CHOOSE(CONTROL!$C$38, 0.0342, 0)</f>
        <v>49.185400000000001</v>
      </c>
      <c r="J768" s="44">
        <f>458.9963</f>
        <v>458.99630000000002</v>
      </c>
    </row>
    <row r="769" spans="1:10" ht="15.75" x14ac:dyDescent="0.25">
      <c r="A769" s="32">
        <v>64344</v>
      </c>
      <c r="B769" s="14">
        <f>51.8361 * CHOOSE(CONTROL!$C$15, $E$9, 100%, $G$9) + CHOOSE(CONTROL!$C$38, 0.034, 0)</f>
        <v>51.870100000000001</v>
      </c>
      <c r="C769" s="14">
        <f>49.0158 * CHOOSE(CONTROL!$C$15, $E$9, 100%, $G$9) + CHOOSE(CONTROL!$C$38, 0.0342, 0)</f>
        <v>49.05</v>
      </c>
      <c r="D769" s="14">
        <f>49.008 * CHOOSE(CONTROL!$C$15, $E$9, 100%, $G$9) + CHOOSE(CONTROL!$C$38, 0.0342, 0)</f>
        <v>49.042200000000001</v>
      </c>
      <c r="E769" s="14">
        <f>49.008 * CHOOSE(CONTROL!$C$15, $E$9, 100%, $G$9) + CHOOSE(CONTROL!$C$38, 0.0342, 0)</f>
        <v>49.042200000000001</v>
      </c>
      <c r="F769" s="45">
        <f>51.8361 * CHOOSE(CONTROL!$C$15, $E$9, 100%, $G$9) + CHOOSE(CONTROL!$C$38, 0.034, 0)</f>
        <v>51.870100000000001</v>
      </c>
      <c r="G769" s="14">
        <f>49.0143 * CHOOSE(CONTROL!$C$15, $E$9, 100%, $G$9) + CHOOSE(CONTROL!$C$38, 0.0342, 0)</f>
        <v>49.048499999999997</v>
      </c>
      <c r="H769" s="14">
        <f>49.0143 * CHOOSE(CONTROL!$C$15, $E$9, 100%, $G$9) + CHOOSE(CONTROL!$C$38, 0.0342, 0)</f>
        <v>49.048499999999997</v>
      </c>
      <c r="I769" s="14">
        <f>49.0158 * CHOOSE(CONTROL!$C$15, $E$9, 100%, $G$9) + CHOOSE(CONTROL!$C$38, 0.0342, 0)</f>
        <v>49.05</v>
      </c>
      <c r="J769" s="44">
        <f>457.7205</f>
        <v>457.72050000000002</v>
      </c>
    </row>
    <row r="770" spans="1:10" ht="15.75" x14ac:dyDescent="0.25">
      <c r="A770" s="32">
        <v>64375</v>
      </c>
      <c r="B770" s="14">
        <f>54.5357 * CHOOSE(CONTROL!$C$15, $E$9, 100%, $G$9) + CHOOSE(CONTROL!$C$38, 0.034, 0)</f>
        <v>54.569699999999997</v>
      </c>
      <c r="C770" s="14">
        <f>51.575 * CHOOSE(CONTROL!$C$15, $E$9, 100%, $G$9) + CHOOSE(CONTROL!$C$38, 0.0342, 0)</f>
        <v>51.609200000000001</v>
      </c>
      <c r="D770" s="14">
        <f>51.5671 * CHOOSE(CONTROL!$C$15, $E$9, 100%, $G$9) + CHOOSE(CONTROL!$C$38, 0.0342, 0)</f>
        <v>51.601300000000002</v>
      </c>
      <c r="E770" s="14">
        <f>51.5671 * CHOOSE(CONTROL!$C$15, $E$9, 100%, $G$9) + CHOOSE(CONTROL!$C$38, 0.0342, 0)</f>
        <v>51.601300000000002</v>
      </c>
      <c r="F770" s="45">
        <f>54.5357 * CHOOSE(CONTROL!$C$15, $E$9, 100%, $G$9) + CHOOSE(CONTROL!$C$38, 0.034, 0)</f>
        <v>54.569699999999997</v>
      </c>
      <c r="G770" s="14">
        <f>51.5734 * CHOOSE(CONTROL!$C$15, $E$9, 100%, $G$9) + CHOOSE(CONTROL!$C$38, 0.0342, 0)</f>
        <v>51.607599999999998</v>
      </c>
      <c r="H770" s="14">
        <f>51.5734 * CHOOSE(CONTROL!$C$15, $E$9, 100%, $G$9) + CHOOSE(CONTROL!$C$38, 0.0342, 0)</f>
        <v>51.607599999999998</v>
      </c>
      <c r="I770" s="14">
        <f>51.575 * CHOOSE(CONTROL!$C$15, $E$9, 100%, $G$9) + CHOOSE(CONTROL!$C$38, 0.0342, 0)</f>
        <v>51.609200000000001</v>
      </c>
      <c r="J770" s="44">
        <f>481.845</f>
        <v>481.84500000000003</v>
      </c>
    </row>
    <row r="771" spans="1:10" ht="15.75" x14ac:dyDescent="0.25">
      <c r="A771" s="32">
        <v>64405</v>
      </c>
      <c r="B771" s="14">
        <f>58.0363 * CHOOSE(CONTROL!$C$15, $E$9, 100%, $G$9) + CHOOSE(CONTROL!$C$38, 0.034, 0)</f>
        <v>58.070299999999996</v>
      </c>
      <c r="C771" s="14">
        <f>54.8935 * CHOOSE(CONTROL!$C$15, $E$9, 100%, $G$9) + CHOOSE(CONTROL!$C$38, 0.0342, 0)</f>
        <v>54.927700000000002</v>
      </c>
      <c r="D771" s="14">
        <f>54.8857 * CHOOSE(CONTROL!$C$15, $E$9, 100%, $G$9) + CHOOSE(CONTROL!$C$38, 0.0342, 0)</f>
        <v>54.919899999999998</v>
      </c>
      <c r="E771" s="14">
        <f>54.8857 * CHOOSE(CONTROL!$C$15, $E$9, 100%, $G$9) + CHOOSE(CONTROL!$C$38, 0.0342, 0)</f>
        <v>54.919899999999998</v>
      </c>
      <c r="F771" s="45">
        <f>58.0363 * CHOOSE(CONTROL!$C$15, $E$9, 100%, $G$9) + CHOOSE(CONTROL!$C$38, 0.034, 0)</f>
        <v>58.070299999999996</v>
      </c>
      <c r="G771" s="14">
        <f>54.892 * CHOOSE(CONTROL!$C$15, $E$9, 100%, $G$9) + CHOOSE(CONTROL!$C$38, 0.0342, 0)</f>
        <v>54.926200000000001</v>
      </c>
      <c r="H771" s="14">
        <f>54.892 * CHOOSE(CONTROL!$C$15, $E$9, 100%, $G$9) + CHOOSE(CONTROL!$C$38, 0.0342, 0)</f>
        <v>54.926200000000001</v>
      </c>
      <c r="I771" s="14">
        <f>54.8935 * CHOOSE(CONTROL!$C$15, $E$9, 100%, $G$9) + CHOOSE(CONTROL!$C$38, 0.0342, 0)</f>
        <v>54.927700000000002</v>
      </c>
      <c r="J771" s="44">
        <f>513.1287</f>
        <v>513.12869999999998</v>
      </c>
    </row>
    <row r="772" spans="1:10" ht="15.75" x14ac:dyDescent="0.25">
      <c r="A772" s="32">
        <v>64436</v>
      </c>
      <c r="B772" s="14">
        <f>59.9632 * CHOOSE(CONTROL!$C$15, $E$9, 100%, $G$9) + CHOOSE(CONTROL!$C$38, 0.0353, 0)</f>
        <v>59.9985</v>
      </c>
      <c r="C772" s="14">
        <f>56.7202 * CHOOSE(CONTROL!$C$15, $E$9, 100%, $G$9) + CHOOSE(CONTROL!$C$38, 0.0354, 0)</f>
        <v>56.755600000000001</v>
      </c>
      <c r="D772" s="14">
        <f>56.7124 * CHOOSE(CONTROL!$C$15, $E$9, 100%, $G$9) + CHOOSE(CONTROL!$C$38, 0.0354, 0)</f>
        <v>56.747800000000005</v>
      </c>
      <c r="E772" s="14">
        <f>56.7124 * CHOOSE(CONTROL!$C$15, $E$9, 100%, $G$9) + CHOOSE(CONTROL!$C$38, 0.0354, 0)</f>
        <v>56.747800000000005</v>
      </c>
      <c r="F772" s="45">
        <f>59.9632 * CHOOSE(CONTROL!$C$15, $E$9, 100%, $G$9) + CHOOSE(CONTROL!$C$38, 0.0353, 0)</f>
        <v>59.9985</v>
      </c>
      <c r="G772" s="14">
        <f>56.7186 * CHOOSE(CONTROL!$C$15, $E$9, 100%, $G$9) + CHOOSE(CONTROL!$C$38, 0.0354, 0)</f>
        <v>56.754000000000005</v>
      </c>
      <c r="H772" s="14">
        <f>56.7186 * CHOOSE(CONTROL!$C$15, $E$9, 100%, $G$9) + CHOOSE(CONTROL!$C$38, 0.0354, 0)</f>
        <v>56.754000000000005</v>
      </c>
      <c r="I772" s="14">
        <f>56.7202 * CHOOSE(CONTROL!$C$15, $E$9, 100%, $G$9) + CHOOSE(CONTROL!$C$38, 0.0354, 0)</f>
        <v>56.755600000000001</v>
      </c>
      <c r="J772" s="44">
        <f>530.3483</f>
        <v>530.34829999999999</v>
      </c>
    </row>
    <row r="773" spans="1:10" ht="15.75" x14ac:dyDescent="0.25">
      <c r="A773" s="32">
        <v>64466</v>
      </c>
      <c r="B773" s="14">
        <f>60.8183 * CHOOSE(CONTROL!$C$15, $E$9, 100%, $G$9) + CHOOSE(CONTROL!$C$38, 0.0353, 0)</f>
        <v>60.8536</v>
      </c>
      <c r="C773" s="14">
        <f>57.5308 * CHOOSE(CONTROL!$C$15, $E$9, 100%, $G$9) + CHOOSE(CONTROL!$C$38, 0.0354, 0)</f>
        <v>57.566200000000002</v>
      </c>
      <c r="D773" s="14">
        <f>57.523 * CHOOSE(CONTROL!$C$15, $E$9, 100%, $G$9) + CHOOSE(CONTROL!$C$38, 0.0354, 0)</f>
        <v>57.558400000000006</v>
      </c>
      <c r="E773" s="14">
        <f>57.523 * CHOOSE(CONTROL!$C$15, $E$9, 100%, $G$9) + CHOOSE(CONTROL!$C$38, 0.0354, 0)</f>
        <v>57.558400000000006</v>
      </c>
      <c r="F773" s="45">
        <f>60.8183 * CHOOSE(CONTROL!$C$15, $E$9, 100%, $G$9) + CHOOSE(CONTROL!$C$38, 0.0353, 0)</f>
        <v>60.8536</v>
      </c>
      <c r="G773" s="14">
        <f>57.5292 * CHOOSE(CONTROL!$C$15, $E$9, 100%, $G$9) + CHOOSE(CONTROL!$C$38, 0.0354, 0)</f>
        <v>57.564600000000006</v>
      </c>
      <c r="H773" s="14">
        <f>57.5292 * CHOOSE(CONTROL!$C$15, $E$9, 100%, $G$9) + CHOOSE(CONTROL!$C$38, 0.0354, 0)</f>
        <v>57.564600000000006</v>
      </c>
      <c r="I773" s="14">
        <f>57.5308 * CHOOSE(CONTROL!$C$15, $E$9, 100%, $G$9) + CHOOSE(CONTROL!$C$38, 0.0354, 0)</f>
        <v>57.566200000000002</v>
      </c>
      <c r="J773" s="44">
        <f>537.99</f>
        <v>537.99</v>
      </c>
    </row>
    <row r="774" spans="1:10" ht="15.75" x14ac:dyDescent="0.25">
      <c r="A774" s="32">
        <v>64497</v>
      </c>
      <c r="B774" s="14">
        <f>60.5368 * CHOOSE(CONTROL!$C$15, $E$9, 100%, $G$9) + CHOOSE(CONTROL!$C$38, 0.0353, 0)</f>
        <v>60.572099999999999</v>
      </c>
      <c r="C774" s="14">
        <f>57.2639 * CHOOSE(CONTROL!$C$15, $E$9, 100%, $G$9) + CHOOSE(CONTROL!$C$38, 0.0354, 0)</f>
        <v>57.299300000000002</v>
      </c>
      <c r="D774" s="14">
        <f>57.2561 * CHOOSE(CONTROL!$C$15, $E$9, 100%, $G$9) + CHOOSE(CONTROL!$C$38, 0.0354, 0)</f>
        <v>57.291500000000006</v>
      </c>
      <c r="E774" s="14">
        <f>57.2561 * CHOOSE(CONTROL!$C$15, $E$9, 100%, $G$9) + CHOOSE(CONTROL!$C$38, 0.0354, 0)</f>
        <v>57.291500000000006</v>
      </c>
      <c r="F774" s="45">
        <f>60.5368 * CHOOSE(CONTROL!$C$15, $E$9, 100%, $G$9) + CHOOSE(CONTROL!$C$38, 0.0353, 0)</f>
        <v>60.572099999999999</v>
      </c>
      <c r="G774" s="14">
        <f>57.2624 * CHOOSE(CONTROL!$C$15, $E$9, 100%, $G$9) + CHOOSE(CONTROL!$C$38, 0.0354, 0)</f>
        <v>57.297800000000002</v>
      </c>
      <c r="H774" s="14">
        <f>57.2624 * CHOOSE(CONTROL!$C$15, $E$9, 100%, $G$9) + CHOOSE(CONTROL!$C$38, 0.0354, 0)</f>
        <v>57.297800000000002</v>
      </c>
      <c r="I774" s="14">
        <f>57.2639 * CHOOSE(CONTROL!$C$15, $E$9, 100%, $G$9) + CHOOSE(CONTROL!$C$38, 0.0354, 0)</f>
        <v>57.299300000000002</v>
      </c>
      <c r="J774" s="44">
        <f>535.474</f>
        <v>535.47400000000005</v>
      </c>
    </row>
    <row r="775" spans="1:10" ht="15.75" x14ac:dyDescent="0.25">
      <c r="A775" s="32">
        <v>64528</v>
      </c>
      <c r="B775" s="14">
        <f>59.1419 * CHOOSE(CONTROL!$C$15, $E$9, 100%, $G$9) + CHOOSE(CONTROL!$C$38, 0.0353, 0)</f>
        <v>59.177199999999999</v>
      </c>
      <c r="C775" s="14">
        <f>55.9416 * CHOOSE(CONTROL!$C$15, $E$9, 100%, $G$9) + CHOOSE(CONTROL!$C$38, 0.0354, 0)</f>
        <v>55.977000000000004</v>
      </c>
      <c r="D775" s="14">
        <f>55.9338 * CHOOSE(CONTROL!$C$15, $E$9, 100%, $G$9) + CHOOSE(CONTROL!$C$38, 0.0354, 0)</f>
        <v>55.969200000000001</v>
      </c>
      <c r="E775" s="14">
        <f>55.9338 * CHOOSE(CONTROL!$C$15, $E$9, 100%, $G$9) + CHOOSE(CONTROL!$C$38, 0.0354, 0)</f>
        <v>55.969200000000001</v>
      </c>
      <c r="F775" s="45">
        <f>59.1419 * CHOOSE(CONTROL!$C$15, $E$9, 100%, $G$9) + CHOOSE(CONTROL!$C$38, 0.0353, 0)</f>
        <v>59.177199999999999</v>
      </c>
      <c r="G775" s="14">
        <f>55.94 * CHOOSE(CONTROL!$C$15, $E$9, 100%, $G$9) + CHOOSE(CONTROL!$C$38, 0.0354, 0)</f>
        <v>55.9754</v>
      </c>
      <c r="H775" s="14">
        <f>55.94 * CHOOSE(CONTROL!$C$15, $E$9, 100%, $G$9) + CHOOSE(CONTROL!$C$38, 0.0354, 0)</f>
        <v>55.9754</v>
      </c>
      <c r="I775" s="14">
        <f>55.9416 * CHOOSE(CONTROL!$C$15, $E$9, 100%, $G$9) + CHOOSE(CONTROL!$C$38, 0.0354, 0)</f>
        <v>55.977000000000004</v>
      </c>
      <c r="J775" s="44">
        <f>523.0084</f>
        <v>523.00840000000005</v>
      </c>
    </row>
    <row r="776" spans="1:10" ht="15.75" x14ac:dyDescent="0.25">
      <c r="A776" s="32">
        <v>64558</v>
      </c>
      <c r="B776" s="14">
        <f>57.1966 * CHOOSE(CONTROL!$C$15, $E$9, 100%, $G$9) + CHOOSE(CONTROL!$C$38, 0.0353, 0)</f>
        <v>57.231899999999996</v>
      </c>
      <c r="C776" s="14">
        <f>54.0975 * CHOOSE(CONTROL!$C$15, $E$9, 100%, $G$9) + CHOOSE(CONTROL!$C$38, 0.0354, 0)</f>
        <v>54.132899999999999</v>
      </c>
      <c r="D776" s="14">
        <f>54.0897 * CHOOSE(CONTROL!$C$15, $E$9, 100%, $G$9) + CHOOSE(CONTROL!$C$38, 0.0354, 0)</f>
        <v>54.125100000000003</v>
      </c>
      <c r="E776" s="14">
        <f>54.0897 * CHOOSE(CONTROL!$C$15, $E$9, 100%, $G$9) + CHOOSE(CONTROL!$C$38, 0.0354, 0)</f>
        <v>54.125100000000003</v>
      </c>
      <c r="F776" s="45">
        <f>57.1966 * CHOOSE(CONTROL!$C$15, $E$9, 100%, $G$9) + CHOOSE(CONTROL!$C$38, 0.0353, 0)</f>
        <v>57.231899999999996</v>
      </c>
      <c r="G776" s="14">
        <f>54.0959 * CHOOSE(CONTROL!$C$15, $E$9, 100%, $G$9) + CHOOSE(CONTROL!$C$38, 0.0354, 0)</f>
        <v>54.131300000000003</v>
      </c>
      <c r="H776" s="14">
        <f>54.0959 * CHOOSE(CONTROL!$C$15, $E$9, 100%, $G$9) + CHOOSE(CONTROL!$C$38, 0.0354, 0)</f>
        <v>54.131300000000003</v>
      </c>
      <c r="I776" s="14">
        <f>54.0975 * CHOOSE(CONTROL!$C$15, $E$9, 100%, $G$9) + CHOOSE(CONTROL!$C$38, 0.0354, 0)</f>
        <v>54.132899999999999</v>
      </c>
      <c r="J776" s="44">
        <f>505.6245</f>
        <v>505.62450000000001</v>
      </c>
    </row>
    <row r="777" spans="1:10" ht="15.75" x14ac:dyDescent="0.25">
      <c r="A777" s="32">
        <v>64589</v>
      </c>
      <c r="B777" s="14">
        <f>55.24 * CHOOSE(CONTROL!$C$15, $E$9, 100%, $G$9) + CHOOSE(CONTROL!$C$38, 0.034, 0)</f>
        <v>55.274000000000001</v>
      </c>
      <c r="C777" s="14">
        <f>52.2427 * CHOOSE(CONTROL!$C$15, $E$9, 100%, $G$9) + CHOOSE(CONTROL!$C$38, 0.0342, 0)</f>
        <v>52.276899999999998</v>
      </c>
      <c r="D777" s="14">
        <f>52.2349 * CHOOSE(CONTROL!$C$15, $E$9, 100%, $G$9) + CHOOSE(CONTROL!$C$38, 0.0342, 0)</f>
        <v>52.269100000000002</v>
      </c>
      <c r="E777" s="14">
        <f>52.2349 * CHOOSE(CONTROL!$C$15, $E$9, 100%, $G$9) + CHOOSE(CONTROL!$C$38, 0.0342, 0)</f>
        <v>52.269100000000002</v>
      </c>
      <c r="F777" s="45">
        <f>55.24 * CHOOSE(CONTROL!$C$15, $E$9, 100%, $G$9) + CHOOSE(CONTROL!$C$38, 0.034, 0)</f>
        <v>55.274000000000001</v>
      </c>
      <c r="G777" s="14">
        <f>52.2411 * CHOOSE(CONTROL!$C$15, $E$9, 100%, $G$9) + CHOOSE(CONTROL!$C$38, 0.0342, 0)</f>
        <v>52.275300000000001</v>
      </c>
      <c r="H777" s="14">
        <f>52.2411 * CHOOSE(CONTROL!$C$15, $E$9, 100%, $G$9) + CHOOSE(CONTROL!$C$38, 0.0342, 0)</f>
        <v>52.275300000000001</v>
      </c>
      <c r="I777" s="14">
        <f>52.2427 * CHOOSE(CONTROL!$C$15, $E$9, 100%, $G$9) + CHOOSE(CONTROL!$C$38, 0.0342, 0)</f>
        <v>52.276899999999998</v>
      </c>
      <c r="J777" s="44">
        <f>488.1395</f>
        <v>488.1395</v>
      </c>
    </row>
    <row r="778" spans="1:10" ht="15.75" x14ac:dyDescent="0.25">
      <c r="A778" s="32">
        <v>64619</v>
      </c>
      <c r="B778" s="14">
        <f>54.8508 * CHOOSE(CONTROL!$C$15, $E$9, 100%, $G$9) + CHOOSE(CONTROL!$C$38, 0.034, 0)</f>
        <v>54.884799999999998</v>
      </c>
      <c r="C778" s="14">
        <f>51.8737 * CHOOSE(CONTROL!$C$15, $E$9, 100%, $G$9) + CHOOSE(CONTROL!$C$38, 0.0342, 0)</f>
        <v>51.907899999999998</v>
      </c>
      <c r="D778" s="14">
        <f>51.8659 * CHOOSE(CONTROL!$C$15, $E$9, 100%, $G$9) + CHOOSE(CONTROL!$C$38, 0.0342, 0)</f>
        <v>51.900100000000002</v>
      </c>
      <c r="E778" s="14">
        <f>51.8659 * CHOOSE(CONTROL!$C$15, $E$9, 100%, $G$9) + CHOOSE(CONTROL!$C$38, 0.0342, 0)</f>
        <v>51.900100000000002</v>
      </c>
      <c r="F778" s="45">
        <f>54.8508 * CHOOSE(CONTROL!$C$15, $E$9, 100%, $G$9) + CHOOSE(CONTROL!$C$38, 0.034, 0)</f>
        <v>54.884799999999998</v>
      </c>
      <c r="G778" s="14">
        <f>51.8722 * CHOOSE(CONTROL!$C$15, $E$9, 100%, $G$9) + CHOOSE(CONTROL!$C$38, 0.0342, 0)</f>
        <v>51.906399999999998</v>
      </c>
      <c r="H778" s="14">
        <f>51.8722 * CHOOSE(CONTROL!$C$15, $E$9, 100%, $G$9) + CHOOSE(CONTROL!$C$38, 0.0342, 0)</f>
        <v>51.906399999999998</v>
      </c>
      <c r="I778" s="14">
        <f>51.8737 * CHOOSE(CONTROL!$C$15, $E$9, 100%, $G$9) + CHOOSE(CONTROL!$C$38, 0.0342, 0)</f>
        <v>51.907899999999998</v>
      </c>
      <c r="J778" s="44">
        <f>484.6614</f>
        <v>484.66140000000001</v>
      </c>
    </row>
    <row r="779" spans="1:10" ht="15.75" x14ac:dyDescent="0.25">
      <c r="A779" s="32">
        <v>64650</v>
      </c>
      <c r="B779" s="14">
        <f>53.2414 * CHOOSE(CONTROL!$C$15, $E$9, 100%, $G$9) + CHOOSE(CONTROL!$C$38, 0.034, 0)</f>
        <v>53.275399999999998</v>
      </c>
      <c r="C779" s="14">
        <f>50.348 * CHOOSE(CONTROL!$C$15, $E$9, 100%, $G$9) + CHOOSE(CONTROL!$C$38, 0.0342, 0)</f>
        <v>50.382199999999997</v>
      </c>
      <c r="D779" s="14">
        <f>50.3402 * CHOOSE(CONTROL!$C$15, $E$9, 100%, $G$9) + CHOOSE(CONTROL!$C$38, 0.0342, 0)</f>
        <v>50.374400000000001</v>
      </c>
      <c r="E779" s="14">
        <f>50.3402 * CHOOSE(CONTROL!$C$15, $E$9, 100%, $G$9) + CHOOSE(CONTROL!$C$38, 0.0342, 0)</f>
        <v>50.374400000000001</v>
      </c>
      <c r="F779" s="45">
        <f>53.2414 * CHOOSE(CONTROL!$C$15, $E$9, 100%, $G$9) + CHOOSE(CONTROL!$C$38, 0.034, 0)</f>
        <v>53.275399999999998</v>
      </c>
      <c r="G779" s="14">
        <f>50.3465 * CHOOSE(CONTROL!$C$15, $E$9, 100%, $G$9) + CHOOSE(CONTROL!$C$38, 0.0342, 0)</f>
        <v>50.380699999999997</v>
      </c>
      <c r="H779" s="14">
        <f>50.3465 * CHOOSE(CONTROL!$C$15, $E$9, 100%, $G$9) + CHOOSE(CONTROL!$C$38, 0.0342, 0)</f>
        <v>50.380699999999997</v>
      </c>
      <c r="I779" s="14">
        <f>50.348 * CHOOSE(CONTROL!$C$15, $E$9, 100%, $G$9) + CHOOSE(CONTROL!$C$38, 0.0342, 0)</f>
        <v>50.382199999999997</v>
      </c>
      <c r="J779" s="44">
        <f>470.279</f>
        <v>470.279</v>
      </c>
    </row>
    <row r="780" spans="1:10" ht="15.75" x14ac:dyDescent="0.25">
      <c r="A780" s="32">
        <v>64681</v>
      </c>
      <c r="B780" s="14">
        <f>52.8418 * CHOOSE(CONTROL!$C$15, $E$9, 100%, $G$9) + CHOOSE(CONTROL!$C$38, 0.034, 0)</f>
        <v>52.875799999999998</v>
      </c>
      <c r="C780" s="14">
        <f>49.9692 * CHOOSE(CONTROL!$C$15, $E$9, 100%, $G$9) + CHOOSE(CONTROL!$C$38, 0.0342, 0)</f>
        <v>50.003399999999999</v>
      </c>
      <c r="D780" s="14">
        <f>49.9613 * CHOOSE(CONTROL!$C$15, $E$9, 100%, $G$9) + CHOOSE(CONTROL!$C$38, 0.0342, 0)</f>
        <v>49.9955</v>
      </c>
      <c r="E780" s="14">
        <f>49.9613 * CHOOSE(CONTROL!$C$15, $E$9, 100%, $G$9) + CHOOSE(CONTROL!$C$38, 0.0342, 0)</f>
        <v>49.9955</v>
      </c>
      <c r="F780" s="45">
        <f>52.8418 * CHOOSE(CONTROL!$C$15, $E$9, 100%, $G$9) + CHOOSE(CONTROL!$C$38, 0.034, 0)</f>
        <v>52.875799999999998</v>
      </c>
      <c r="G780" s="14">
        <f>49.9676 * CHOOSE(CONTROL!$C$15, $E$9, 100%, $G$9) + CHOOSE(CONTROL!$C$38, 0.0342, 0)</f>
        <v>50.001799999999996</v>
      </c>
      <c r="H780" s="14">
        <f>49.9676 * CHOOSE(CONTROL!$C$15, $E$9, 100%, $G$9) + CHOOSE(CONTROL!$C$38, 0.0342, 0)</f>
        <v>50.001799999999996</v>
      </c>
      <c r="I780" s="14">
        <f>49.9692 * CHOOSE(CONTROL!$C$15, $E$9, 100%, $G$9) + CHOOSE(CONTROL!$C$38, 0.0342, 0)</f>
        <v>50.003399999999999</v>
      </c>
      <c r="J780" s="44">
        <f>469.9395</f>
        <v>469.93950000000001</v>
      </c>
    </row>
    <row r="781" spans="1:10" ht="15.75" x14ac:dyDescent="0.25">
      <c r="A781" s="32">
        <v>64709</v>
      </c>
      <c r="B781" s="14">
        <f>52.6966 * CHOOSE(CONTROL!$C$15, $E$9, 100%, $G$9) + CHOOSE(CONTROL!$C$38, 0.034, 0)</f>
        <v>52.730599999999995</v>
      </c>
      <c r="C781" s="14">
        <f>49.8315 * CHOOSE(CONTROL!$C$15, $E$9, 100%, $G$9) + CHOOSE(CONTROL!$C$38, 0.0342, 0)</f>
        <v>49.865699999999997</v>
      </c>
      <c r="D781" s="14">
        <f>49.8237 * CHOOSE(CONTROL!$C$15, $E$9, 100%, $G$9) + CHOOSE(CONTROL!$C$38, 0.0342, 0)</f>
        <v>49.857900000000001</v>
      </c>
      <c r="E781" s="14">
        <f>49.8237 * CHOOSE(CONTROL!$C$15, $E$9, 100%, $G$9) + CHOOSE(CONTROL!$C$38, 0.0342, 0)</f>
        <v>49.857900000000001</v>
      </c>
      <c r="F781" s="45">
        <f>52.6966 * CHOOSE(CONTROL!$C$15, $E$9, 100%, $G$9) + CHOOSE(CONTROL!$C$38, 0.034, 0)</f>
        <v>52.730599999999995</v>
      </c>
      <c r="G781" s="14">
        <f>49.83 * CHOOSE(CONTROL!$C$15, $E$9, 100%, $G$9) + CHOOSE(CONTROL!$C$38, 0.0342, 0)</f>
        <v>49.864199999999997</v>
      </c>
      <c r="H781" s="14">
        <f>49.83 * CHOOSE(CONTROL!$C$15, $E$9, 100%, $G$9) + CHOOSE(CONTROL!$C$38, 0.0342, 0)</f>
        <v>49.864199999999997</v>
      </c>
      <c r="I781" s="14">
        <f>49.8315 * CHOOSE(CONTROL!$C$15, $E$9, 100%, $G$9) + CHOOSE(CONTROL!$C$38, 0.0342, 0)</f>
        <v>49.865699999999997</v>
      </c>
      <c r="J781" s="44">
        <f>468.6332</f>
        <v>468.63319999999999</v>
      </c>
    </row>
    <row r="782" spans="1:10" ht="15.75" x14ac:dyDescent="0.25">
      <c r="A782" s="32">
        <v>64740</v>
      </c>
      <c r="B782" s="14">
        <f>55.4415 * CHOOSE(CONTROL!$C$15, $E$9, 100%, $G$9) + CHOOSE(CONTROL!$C$38, 0.034, 0)</f>
        <v>55.475499999999997</v>
      </c>
      <c r="C782" s="14">
        <f>52.4337 * CHOOSE(CONTROL!$C$15, $E$9, 100%, $G$9) + CHOOSE(CONTROL!$C$38, 0.0342, 0)</f>
        <v>52.4679</v>
      </c>
      <c r="D782" s="14">
        <f>52.4258 * CHOOSE(CONTROL!$C$15, $E$9, 100%, $G$9) + CHOOSE(CONTROL!$C$38, 0.0342, 0)</f>
        <v>52.46</v>
      </c>
      <c r="E782" s="14">
        <f>52.4258 * CHOOSE(CONTROL!$C$15, $E$9, 100%, $G$9) + CHOOSE(CONTROL!$C$38, 0.0342, 0)</f>
        <v>52.46</v>
      </c>
      <c r="F782" s="45">
        <f>55.4415 * CHOOSE(CONTROL!$C$15, $E$9, 100%, $G$9) + CHOOSE(CONTROL!$C$38, 0.034, 0)</f>
        <v>55.475499999999997</v>
      </c>
      <c r="G782" s="14">
        <f>52.4321 * CHOOSE(CONTROL!$C$15, $E$9, 100%, $G$9) + CHOOSE(CONTROL!$C$38, 0.0342, 0)</f>
        <v>52.466299999999997</v>
      </c>
      <c r="H782" s="14">
        <f>52.4321 * CHOOSE(CONTROL!$C$15, $E$9, 100%, $G$9) + CHOOSE(CONTROL!$C$38, 0.0342, 0)</f>
        <v>52.466299999999997</v>
      </c>
      <c r="I782" s="14">
        <f>52.4337 * CHOOSE(CONTROL!$C$15, $E$9, 100%, $G$9) + CHOOSE(CONTROL!$C$38, 0.0342, 0)</f>
        <v>52.4679</v>
      </c>
      <c r="J782" s="44">
        <f>493.3329</f>
        <v>493.3329</v>
      </c>
    </row>
    <row r="783" spans="1:10" ht="15.75" x14ac:dyDescent="0.25">
      <c r="A783" s="32">
        <v>64770</v>
      </c>
      <c r="B783" s="14">
        <f>59.001 * CHOOSE(CONTROL!$C$15, $E$9, 100%, $G$9) + CHOOSE(CONTROL!$C$38, 0.034, 0)</f>
        <v>59.034999999999997</v>
      </c>
      <c r="C783" s="14">
        <f>55.808 * CHOOSE(CONTROL!$C$15, $E$9, 100%, $G$9) + CHOOSE(CONTROL!$C$38, 0.0342, 0)</f>
        <v>55.842199999999998</v>
      </c>
      <c r="D783" s="14">
        <f>55.8002 * CHOOSE(CONTROL!$C$15, $E$9, 100%, $G$9) + CHOOSE(CONTROL!$C$38, 0.0342, 0)</f>
        <v>55.834399999999995</v>
      </c>
      <c r="E783" s="14">
        <f>55.8002 * CHOOSE(CONTROL!$C$15, $E$9, 100%, $G$9) + CHOOSE(CONTROL!$C$38, 0.0342, 0)</f>
        <v>55.834399999999995</v>
      </c>
      <c r="F783" s="45">
        <f>59.001 * CHOOSE(CONTROL!$C$15, $E$9, 100%, $G$9) + CHOOSE(CONTROL!$C$38, 0.034, 0)</f>
        <v>59.034999999999997</v>
      </c>
      <c r="G783" s="14">
        <f>55.8064 * CHOOSE(CONTROL!$C$15, $E$9, 100%, $G$9) + CHOOSE(CONTROL!$C$38, 0.0342, 0)</f>
        <v>55.840599999999995</v>
      </c>
      <c r="H783" s="14">
        <f>55.8064 * CHOOSE(CONTROL!$C$15, $E$9, 100%, $G$9) + CHOOSE(CONTROL!$C$38, 0.0342, 0)</f>
        <v>55.840599999999995</v>
      </c>
      <c r="I783" s="14">
        <f>55.808 * CHOOSE(CONTROL!$C$15, $E$9, 100%, $G$9) + CHOOSE(CONTROL!$C$38, 0.0342, 0)</f>
        <v>55.842199999999998</v>
      </c>
      <c r="J783" s="44">
        <f>525.3625</f>
        <v>525.36249999999995</v>
      </c>
    </row>
    <row r="784" spans="1:10" ht="15.75" x14ac:dyDescent="0.25">
      <c r="A784" s="32">
        <v>64801</v>
      </c>
      <c r="B784" s="14">
        <f>60.9602 * CHOOSE(CONTROL!$C$15, $E$9, 100%, $G$9) + CHOOSE(CONTROL!$C$38, 0.0353, 0)</f>
        <v>60.9955</v>
      </c>
      <c r="C784" s="14">
        <f>57.6653 * CHOOSE(CONTROL!$C$15, $E$9, 100%, $G$9) + CHOOSE(CONTROL!$C$38, 0.0354, 0)</f>
        <v>57.700700000000005</v>
      </c>
      <c r="D784" s="14">
        <f>57.6575 * CHOOSE(CONTROL!$C$15, $E$9, 100%, $G$9) + CHOOSE(CONTROL!$C$38, 0.0354, 0)</f>
        <v>57.692900000000002</v>
      </c>
      <c r="E784" s="14">
        <f>57.6575 * CHOOSE(CONTROL!$C$15, $E$9, 100%, $G$9) + CHOOSE(CONTROL!$C$38, 0.0354, 0)</f>
        <v>57.692900000000002</v>
      </c>
      <c r="F784" s="45">
        <f>60.9602 * CHOOSE(CONTROL!$C$15, $E$9, 100%, $G$9) + CHOOSE(CONTROL!$C$38, 0.0353, 0)</f>
        <v>60.9955</v>
      </c>
      <c r="G784" s="14">
        <f>57.6638 * CHOOSE(CONTROL!$C$15, $E$9, 100%, $G$9) + CHOOSE(CONTROL!$C$38, 0.0354, 0)</f>
        <v>57.699200000000005</v>
      </c>
      <c r="H784" s="14">
        <f>57.6638 * CHOOSE(CONTROL!$C$15, $E$9, 100%, $G$9) + CHOOSE(CONTROL!$C$38, 0.0354, 0)</f>
        <v>57.699200000000005</v>
      </c>
      <c r="I784" s="14">
        <f>57.6653 * CHOOSE(CONTROL!$C$15, $E$9, 100%, $G$9) + CHOOSE(CONTROL!$C$38, 0.0354, 0)</f>
        <v>57.700700000000005</v>
      </c>
      <c r="J784" s="44">
        <f>542.9926</f>
        <v>542.99260000000004</v>
      </c>
    </row>
    <row r="785" spans="1:10" ht="15.75" x14ac:dyDescent="0.25">
      <c r="A785" s="32">
        <v>64831</v>
      </c>
      <c r="B785" s="14">
        <f>61.8297 * CHOOSE(CONTROL!$C$15, $E$9, 100%, $G$9) + CHOOSE(CONTROL!$C$38, 0.0353, 0)</f>
        <v>61.865000000000002</v>
      </c>
      <c r="C785" s="14">
        <f>58.4896 * CHOOSE(CONTROL!$C$15, $E$9, 100%, $G$9) + CHOOSE(CONTROL!$C$38, 0.0354, 0)</f>
        <v>58.525000000000006</v>
      </c>
      <c r="D785" s="14">
        <f>58.4818 * CHOOSE(CONTROL!$C$15, $E$9, 100%, $G$9) + CHOOSE(CONTROL!$C$38, 0.0354, 0)</f>
        <v>58.517200000000003</v>
      </c>
      <c r="E785" s="14">
        <f>58.4818 * CHOOSE(CONTROL!$C$15, $E$9, 100%, $G$9) + CHOOSE(CONTROL!$C$38, 0.0354, 0)</f>
        <v>58.517200000000003</v>
      </c>
      <c r="F785" s="45">
        <f>61.8297 * CHOOSE(CONTROL!$C$15, $E$9, 100%, $G$9) + CHOOSE(CONTROL!$C$38, 0.0353, 0)</f>
        <v>61.865000000000002</v>
      </c>
      <c r="G785" s="14">
        <f>58.488 * CHOOSE(CONTROL!$C$15, $E$9, 100%, $G$9) + CHOOSE(CONTROL!$C$38, 0.0354, 0)</f>
        <v>58.523400000000002</v>
      </c>
      <c r="H785" s="14">
        <f>58.488 * CHOOSE(CONTROL!$C$15, $E$9, 100%, $G$9) + CHOOSE(CONTROL!$C$38, 0.0354, 0)</f>
        <v>58.523400000000002</v>
      </c>
      <c r="I785" s="14">
        <f>58.4896 * CHOOSE(CONTROL!$C$15, $E$9, 100%, $G$9) + CHOOSE(CONTROL!$C$38, 0.0354, 0)</f>
        <v>58.525000000000006</v>
      </c>
      <c r="J785" s="44">
        <f>550.8165</f>
        <v>550.81650000000002</v>
      </c>
    </row>
    <row r="786" spans="1:10" ht="15.75" x14ac:dyDescent="0.25">
      <c r="A786" s="32">
        <v>64862</v>
      </c>
      <c r="B786" s="14">
        <f>61.5434 * CHOOSE(CONTROL!$C$15, $E$9, 100%, $G$9) + CHOOSE(CONTROL!$C$38, 0.0353, 0)</f>
        <v>61.578699999999998</v>
      </c>
      <c r="C786" s="14">
        <f>58.2182 * CHOOSE(CONTROL!$C$15, $E$9, 100%, $G$9) + CHOOSE(CONTROL!$C$38, 0.0354, 0)</f>
        <v>58.253600000000006</v>
      </c>
      <c r="D786" s="14">
        <f>58.2104 * CHOOSE(CONTROL!$C$15, $E$9, 100%, $G$9) + CHOOSE(CONTROL!$C$38, 0.0354, 0)</f>
        <v>58.245800000000003</v>
      </c>
      <c r="E786" s="14">
        <f>58.2104 * CHOOSE(CONTROL!$C$15, $E$9, 100%, $G$9) + CHOOSE(CONTROL!$C$38, 0.0354, 0)</f>
        <v>58.245800000000003</v>
      </c>
      <c r="F786" s="45">
        <f>61.5434 * CHOOSE(CONTROL!$C$15, $E$9, 100%, $G$9) + CHOOSE(CONTROL!$C$38, 0.0353, 0)</f>
        <v>61.578699999999998</v>
      </c>
      <c r="G786" s="14">
        <f>58.2166 * CHOOSE(CONTROL!$C$15, $E$9, 100%, $G$9) + CHOOSE(CONTROL!$C$38, 0.0354, 0)</f>
        <v>58.252000000000002</v>
      </c>
      <c r="H786" s="14">
        <f>58.2166 * CHOOSE(CONTROL!$C$15, $E$9, 100%, $G$9) + CHOOSE(CONTROL!$C$38, 0.0354, 0)</f>
        <v>58.252000000000002</v>
      </c>
      <c r="I786" s="14">
        <f>58.2182 * CHOOSE(CONTROL!$C$15, $E$9, 100%, $G$9) + CHOOSE(CONTROL!$C$38, 0.0354, 0)</f>
        <v>58.253600000000006</v>
      </c>
      <c r="J786" s="44">
        <f>548.2405</f>
        <v>548.2405</v>
      </c>
    </row>
    <row r="787" spans="1:10" ht="15.75" x14ac:dyDescent="0.25">
      <c r="A787" s="32">
        <v>64893</v>
      </c>
      <c r="B787" s="14">
        <f>60.1251 * CHOOSE(CONTROL!$C$15, $E$9, 100%, $G$9) + CHOOSE(CONTROL!$C$38, 0.0353, 0)</f>
        <v>60.160400000000003</v>
      </c>
      <c r="C787" s="14">
        <f>56.8736 * CHOOSE(CONTROL!$C$15, $E$9, 100%, $G$9) + CHOOSE(CONTROL!$C$38, 0.0354, 0)</f>
        <v>56.909000000000006</v>
      </c>
      <c r="D787" s="14">
        <f>56.8658 * CHOOSE(CONTROL!$C$15, $E$9, 100%, $G$9) + CHOOSE(CONTROL!$C$38, 0.0354, 0)</f>
        <v>56.901200000000003</v>
      </c>
      <c r="E787" s="14">
        <f>56.8658 * CHOOSE(CONTROL!$C$15, $E$9, 100%, $G$9) + CHOOSE(CONTROL!$C$38, 0.0354, 0)</f>
        <v>56.901200000000003</v>
      </c>
      <c r="F787" s="45">
        <f>60.1251 * CHOOSE(CONTROL!$C$15, $E$9, 100%, $G$9) + CHOOSE(CONTROL!$C$38, 0.0353, 0)</f>
        <v>60.160400000000003</v>
      </c>
      <c r="G787" s="14">
        <f>56.8721 * CHOOSE(CONTROL!$C$15, $E$9, 100%, $G$9) + CHOOSE(CONTROL!$C$38, 0.0354, 0)</f>
        <v>56.907500000000006</v>
      </c>
      <c r="H787" s="14">
        <f>56.8721 * CHOOSE(CONTROL!$C$15, $E$9, 100%, $G$9) + CHOOSE(CONTROL!$C$38, 0.0354, 0)</f>
        <v>56.907500000000006</v>
      </c>
      <c r="I787" s="14">
        <f>56.8736 * CHOOSE(CONTROL!$C$15, $E$9, 100%, $G$9) + CHOOSE(CONTROL!$C$38, 0.0354, 0)</f>
        <v>56.909000000000006</v>
      </c>
      <c r="J787" s="44">
        <f>535.4777</f>
        <v>535.47770000000003</v>
      </c>
    </row>
    <row r="788" spans="1:10" ht="15.75" x14ac:dyDescent="0.25">
      <c r="A788" s="32">
        <v>64923</v>
      </c>
      <c r="B788" s="14">
        <f>58.1471 * CHOOSE(CONTROL!$C$15, $E$9, 100%, $G$9) + CHOOSE(CONTROL!$C$38, 0.0353, 0)</f>
        <v>58.182400000000001</v>
      </c>
      <c r="C788" s="14">
        <f>54.9986 * CHOOSE(CONTROL!$C$15, $E$9, 100%, $G$9) + CHOOSE(CONTROL!$C$38, 0.0354, 0)</f>
        <v>55.034000000000006</v>
      </c>
      <c r="D788" s="14">
        <f>54.9908 * CHOOSE(CONTROL!$C$15, $E$9, 100%, $G$9) + CHOOSE(CONTROL!$C$38, 0.0354, 0)</f>
        <v>55.026200000000003</v>
      </c>
      <c r="E788" s="14">
        <f>54.9908 * CHOOSE(CONTROL!$C$15, $E$9, 100%, $G$9) + CHOOSE(CONTROL!$C$38, 0.0354, 0)</f>
        <v>55.026200000000003</v>
      </c>
      <c r="F788" s="45">
        <f>58.1471 * CHOOSE(CONTROL!$C$15, $E$9, 100%, $G$9) + CHOOSE(CONTROL!$C$38, 0.0353, 0)</f>
        <v>58.182400000000001</v>
      </c>
      <c r="G788" s="14">
        <f>54.997 * CHOOSE(CONTROL!$C$15, $E$9, 100%, $G$9) + CHOOSE(CONTROL!$C$38, 0.0354, 0)</f>
        <v>55.032400000000003</v>
      </c>
      <c r="H788" s="14">
        <f>54.997 * CHOOSE(CONTROL!$C$15, $E$9, 100%, $G$9) + CHOOSE(CONTROL!$C$38, 0.0354, 0)</f>
        <v>55.032400000000003</v>
      </c>
      <c r="I788" s="14">
        <f>54.9986 * CHOOSE(CONTROL!$C$15, $E$9, 100%, $G$9) + CHOOSE(CONTROL!$C$38, 0.0354, 0)</f>
        <v>55.034000000000006</v>
      </c>
      <c r="J788" s="44">
        <f>517.6794</f>
        <v>517.67939999999999</v>
      </c>
    </row>
    <row r="789" spans="1:10" ht="15.75" x14ac:dyDescent="0.25">
      <c r="A789" s="32">
        <v>64954</v>
      </c>
      <c r="B789" s="14">
        <f>56.1577 * CHOOSE(CONTROL!$C$15, $E$9, 100%, $G$9) + CHOOSE(CONTROL!$C$38, 0.034, 0)</f>
        <v>56.191699999999997</v>
      </c>
      <c r="C789" s="14">
        <f>53.1126 * CHOOSE(CONTROL!$C$15, $E$9, 100%, $G$9) + CHOOSE(CONTROL!$C$38, 0.0342, 0)</f>
        <v>53.146799999999999</v>
      </c>
      <c r="D789" s="14">
        <f>53.1048 * CHOOSE(CONTROL!$C$15, $E$9, 100%, $G$9) + CHOOSE(CONTROL!$C$38, 0.0342, 0)</f>
        <v>53.138999999999996</v>
      </c>
      <c r="E789" s="14">
        <f>53.1048 * CHOOSE(CONTROL!$C$15, $E$9, 100%, $G$9) + CHOOSE(CONTROL!$C$38, 0.0342, 0)</f>
        <v>53.138999999999996</v>
      </c>
      <c r="F789" s="45">
        <f>56.1577 * CHOOSE(CONTROL!$C$15, $E$9, 100%, $G$9) + CHOOSE(CONTROL!$C$38, 0.034, 0)</f>
        <v>56.191699999999997</v>
      </c>
      <c r="G789" s="14">
        <f>53.111 * CHOOSE(CONTROL!$C$15, $E$9, 100%, $G$9) + CHOOSE(CONTROL!$C$38, 0.0342, 0)</f>
        <v>53.145199999999996</v>
      </c>
      <c r="H789" s="14">
        <f>53.111 * CHOOSE(CONTROL!$C$15, $E$9, 100%, $G$9) + CHOOSE(CONTROL!$C$38, 0.0342, 0)</f>
        <v>53.145199999999996</v>
      </c>
      <c r="I789" s="14">
        <f>53.1126 * CHOOSE(CONTROL!$C$15, $E$9, 100%, $G$9) + CHOOSE(CONTROL!$C$38, 0.0342, 0)</f>
        <v>53.146799999999999</v>
      </c>
      <c r="J789" s="44">
        <f>499.7775</f>
        <v>499.77749999999997</v>
      </c>
    </row>
    <row r="790" spans="1:10" ht="15.75" x14ac:dyDescent="0.25">
      <c r="A790" s="32">
        <v>64984</v>
      </c>
      <c r="B790" s="14">
        <f>55.7619 * CHOOSE(CONTROL!$C$15, $E$9, 100%, $G$9) + CHOOSE(CONTROL!$C$38, 0.034, 0)</f>
        <v>55.795899999999996</v>
      </c>
      <c r="C790" s="14">
        <f>52.7374 * CHOOSE(CONTROL!$C$15, $E$9, 100%, $G$9) + CHOOSE(CONTROL!$C$38, 0.0342, 0)</f>
        <v>52.771599999999999</v>
      </c>
      <c r="D790" s="14">
        <f>52.7296 * CHOOSE(CONTROL!$C$15, $E$9, 100%, $G$9) + CHOOSE(CONTROL!$C$38, 0.0342, 0)</f>
        <v>52.763799999999996</v>
      </c>
      <c r="E790" s="14">
        <f>52.7296 * CHOOSE(CONTROL!$C$15, $E$9, 100%, $G$9) + CHOOSE(CONTROL!$C$38, 0.0342, 0)</f>
        <v>52.763799999999996</v>
      </c>
      <c r="F790" s="45">
        <f>55.7619 * CHOOSE(CONTROL!$C$15, $E$9, 100%, $G$9) + CHOOSE(CONTROL!$C$38, 0.034, 0)</f>
        <v>55.795899999999996</v>
      </c>
      <c r="G790" s="14">
        <f>52.7359 * CHOOSE(CONTROL!$C$15, $E$9, 100%, $G$9) + CHOOSE(CONTROL!$C$38, 0.0342, 0)</f>
        <v>52.770099999999999</v>
      </c>
      <c r="H790" s="14">
        <f>52.7359 * CHOOSE(CONTROL!$C$15, $E$9, 100%, $G$9) + CHOOSE(CONTROL!$C$38, 0.0342, 0)</f>
        <v>52.770099999999999</v>
      </c>
      <c r="I790" s="14">
        <f>52.7374 * CHOOSE(CONTROL!$C$15, $E$9, 100%, $G$9) + CHOOSE(CONTROL!$C$38, 0.0342, 0)</f>
        <v>52.771599999999999</v>
      </c>
      <c r="J790" s="44">
        <f>496.2164</f>
        <v>496.21640000000002</v>
      </c>
    </row>
    <row r="791" spans="1:10" ht="15.75" x14ac:dyDescent="0.25">
      <c r="A791" s="32">
        <v>65015</v>
      </c>
      <c r="B791" s="14">
        <f>54.1255 * CHOOSE(CONTROL!$C$15, $E$9, 100%, $G$9) + CHOOSE(CONTROL!$C$38, 0.034, 0)</f>
        <v>54.159500000000001</v>
      </c>
      <c r="C791" s="14">
        <f>51.1861 * CHOOSE(CONTROL!$C$15, $E$9, 100%, $G$9) + CHOOSE(CONTROL!$C$38, 0.0342, 0)</f>
        <v>51.220300000000002</v>
      </c>
      <c r="D791" s="14">
        <f>51.1783 * CHOOSE(CONTROL!$C$15, $E$9, 100%, $G$9) + CHOOSE(CONTROL!$C$38, 0.0342, 0)</f>
        <v>51.212499999999999</v>
      </c>
      <c r="E791" s="14">
        <f>51.1783 * CHOOSE(CONTROL!$C$15, $E$9, 100%, $G$9) + CHOOSE(CONTROL!$C$38, 0.0342, 0)</f>
        <v>51.212499999999999</v>
      </c>
      <c r="F791" s="45">
        <f>54.1255 * CHOOSE(CONTROL!$C$15, $E$9, 100%, $G$9) + CHOOSE(CONTROL!$C$38, 0.034, 0)</f>
        <v>54.159500000000001</v>
      </c>
      <c r="G791" s="14">
        <f>51.1846 * CHOOSE(CONTROL!$C$15, $E$9, 100%, $G$9) + CHOOSE(CONTROL!$C$38, 0.0342, 0)</f>
        <v>51.218800000000002</v>
      </c>
      <c r="H791" s="14">
        <f>51.1846 * CHOOSE(CONTROL!$C$15, $E$9, 100%, $G$9) + CHOOSE(CONTROL!$C$38, 0.0342, 0)</f>
        <v>51.218800000000002</v>
      </c>
      <c r="I791" s="14">
        <f>51.1861 * CHOOSE(CONTROL!$C$15, $E$9, 100%, $G$9) + CHOOSE(CONTROL!$C$38, 0.0342, 0)</f>
        <v>51.220300000000002</v>
      </c>
      <c r="J791" s="44">
        <f>481.4912</f>
        <v>481.49119999999999</v>
      </c>
    </row>
    <row r="792" spans="1:10" ht="15.75" x14ac:dyDescent="0.25">
      <c r="A792" s="32">
        <v>65046</v>
      </c>
      <c r="B792" s="14">
        <f>53.7191 * CHOOSE(CONTROL!$C$15, $E$9, 100%, $G$9) + CHOOSE(CONTROL!$C$38, 0.034, 0)</f>
        <v>53.753099999999996</v>
      </c>
      <c r="C792" s="14">
        <f>50.8009 * CHOOSE(CONTROL!$C$15, $E$9, 100%, $G$9) + CHOOSE(CONTROL!$C$38, 0.0342, 0)</f>
        <v>50.835099999999997</v>
      </c>
      <c r="D792" s="14">
        <f>50.7931 * CHOOSE(CONTROL!$C$15, $E$9, 100%, $G$9) + CHOOSE(CONTROL!$C$38, 0.0342, 0)</f>
        <v>50.827300000000001</v>
      </c>
      <c r="E792" s="14">
        <f>50.7931 * CHOOSE(CONTROL!$C$15, $E$9, 100%, $G$9) + CHOOSE(CONTROL!$C$38, 0.0342, 0)</f>
        <v>50.827300000000001</v>
      </c>
      <c r="F792" s="45">
        <f>53.7191 * CHOOSE(CONTROL!$C$15, $E$9, 100%, $G$9) + CHOOSE(CONTROL!$C$38, 0.034, 0)</f>
        <v>53.753099999999996</v>
      </c>
      <c r="G792" s="14">
        <f>50.7993 * CHOOSE(CONTROL!$C$15, $E$9, 100%, $G$9) + CHOOSE(CONTROL!$C$38, 0.0342, 0)</f>
        <v>50.833500000000001</v>
      </c>
      <c r="H792" s="14">
        <f>50.7993 * CHOOSE(CONTROL!$C$15, $E$9, 100%, $G$9) + CHOOSE(CONTROL!$C$38, 0.0342, 0)</f>
        <v>50.833500000000001</v>
      </c>
      <c r="I792" s="14">
        <f>50.8009 * CHOOSE(CONTROL!$C$15, $E$9, 100%, $G$9) + CHOOSE(CONTROL!$C$38, 0.0342, 0)</f>
        <v>50.835099999999997</v>
      </c>
      <c r="J792" s="44">
        <f>481.1435</f>
        <v>481.14350000000002</v>
      </c>
    </row>
    <row r="793" spans="1:10" ht="15.75" x14ac:dyDescent="0.25">
      <c r="A793" s="32">
        <v>65074</v>
      </c>
      <c r="B793" s="14">
        <f>53.5715 * CHOOSE(CONTROL!$C$15, $E$9, 100%, $G$9) + CHOOSE(CONTROL!$C$38, 0.034, 0)</f>
        <v>53.605499999999999</v>
      </c>
      <c r="C793" s="14">
        <f>50.661 * CHOOSE(CONTROL!$C$15, $E$9, 100%, $G$9) + CHOOSE(CONTROL!$C$38, 0.0342, 0)</f>
        <v>50.6952</v>
      </c>
      <c r="D793" s="14">
        <f>50.6531 * CHOOSE(CONTROL!$C$15, $E$9, 100%, $G$9) + CHOOSE(CONTROL!$C$38, 0.0342, 0)</f>
        <v>50.6873</v>
      </c>
      <c r="E793" s="14">
        <f>50.6531 * CHOOSE(CONTROL!$C$15, $E$9, 100%, $G$9) + CHOOSE(CONTROL!$C$38, 0.0342, 0)</f>
        <v>50.6873</v>
      </c>
      <c r="F793" s="45">
        <f>53.5715 * CHOOSE(CONTROL!$C$15, $E$9, 100%, $G$9) + CHOOSE(CONTROL!$C$38, 0.034, 0)</f>
        <v>53.605499999999999</v>
      </c>
      <c r="G793" s="14">
        <f>50.6594 * CHOOSE(CONTROL!$C$15, $E$9, 100%, $G$9) + CHOOSE(CONTROL!$C$38, 0.0342, 0)</f>
        <v>50.693599999999996</v>
      </c>
      <c r="H793" s="14">
        <f>50.6594 * CHOOSE(CONTROL!$C$15, $E$9, 100%, $G$9) + CHOOSE(CONTROL!$C$38, 0.0342, 0)</f>
        <v>50.693599999999996</v>
      </c>
      <c r="I793" s="14">
        <f>50.661 * CHOOSE(CONTROL!$C$15, $E$9, 100%, $G$9) + CHOOSE(CONTROL!$C$38, 0.0342, 0)</f>
        <v>50.6952</v>
      </c>
      <c r="J793" s="44">
        <f>479.8061</f>
        <v>479.80610000000001</v>
      </c>
    </row>
    <row r="794" spans="1:10" ht="15.75" x14ac:dyDescent="0.25">
      <c r="A794" s="32">
        <v>65105</v>
      </c>
      <c r="B794" s="14">
        <f>56.3625 * CHOOSE(CONTROL!$C$15, $E$9, 100%, $G$9) + CHOOSE(CONTROL!$C$38, 0.034, 0)</f>
        <v>56.396499999999996</v>
      </c>
      <c r="C794" s="14">
        <f>53.3068 * CHOOSE(CONTROL!$C$15, $E$9, 100%, $G$9) + CHOOSE(CONTROL!$C$38, 0.0342, 0)</f>
        <v>53.341000000000001</v>
      </c>
      <c r="D794" s="14">
        <f>53.299 * CHOOSE(CONTROL!$C$15, $E$9, 100%, $G$9) + CHOOSE(CONTROL!$C$38, 0.0342, 0)</f>
        <v>53.333199999999998</v>
      </c>
      <c r="E794" s="14">
        <f>53.299 * CHOOSE(CONTROL!$C$15, $E$9, 100%, $G$9) + CHOOSE(CONTROL!$C$38, 0.0342, 0)</f>
        <v>53.333199999999998</v>
      </c>
      <c r="F794" s="45">
        <f>56.3625 * CHOOSE(CONTROL!$C$15, $E$9, 100%, $G$9) + CHOOSE(CONTROL!$C$38, 0.034, 0)</f>
        <v>56.396499999999996</v>
      </c>
      <c r="G794" s="14">
        <f>53.3052 * CHOOSE(CONTROL!$C$15, $E$9, 100%, $G$9) + CHOOSE(CONTROL!$C$38, 0.0342, 0)</f>
        <v>53.339399999999998</v>
      </c>
      <c r="H794" s="14">
        <f>53.3052 * CHOOSE(CONTROL!$C$15, $E$9, 100%, $G$9) + CHOOSE(CONTROL!$C$38, 0.0342, 0)</f>
        <v>53.339399999999998</v>
      </c>
      <c r="I794" s="14">
        <f>53.3068 * CHOOSE(CONTROL!$C$15, $E$9, 100%, $G$9) + CHOOSE(CONTROL!$C$38, 0.0342, 0)</f>
        <v>53.341000000000001</v>
      </c>
      <c r="J794" s="44">
        <f>505.0947</f>
        <v>505.09469999999999</v>
      </c>
    </row>
    <row r="795" spans="1:10" ht="15.75" x14ac:dyDescent="0.25">
      <c r="A795" s="32">
        <v>65135</v>
      </c>
      <c r="B795" s="14">
        <f>59.9818 * CHOOSE(CONTROL!$C$15, $E$9, 100%, $G$9) + CHOOSE(CONTROL!$C$38, 0.034, 0)</f>
        <v>60.015799999999999</v>
      </c>
      <c r="C795" s="14">
        <f>56.7378 * CHOOSE(CONTROL!$C$15, $E$9, 100%, $G$9) + CHOOSE(CONTROL!$C$38, 0.0342, 0)</f>
        <v>56.771999999999998</v>
      </c>
      <c r="D795" s="14">
        <f>56.73 * CHOOSE(CONTROL!$C$15, $E$9, 100%, $G$9) + CHOOSE(CONTROL!$C$38, 0.0342, 0)</f>
        <v>56.764199999999995</v>
      </c>
      <c r="E795" s="14">
        <f>56.73 * CHOOSE(CONTROL!$C$15, $E$9, 100%, $G$9) + CHOOSE(CONTROL!$C$38, 0.0342, 0)</f>
        <v>56.764199999999995</v>
      </c>
      <c r="F795" s="45">
        <f>59.9818 * CHOOSE(CONTROL!$C$15, $E$9, 100%, $G$9) + CHOOSE(CONTROL!$C$38, 0.034, 0)</f>
        <v>60.015799999999999</v>
      </c>
      <c r="G795" s="14">
        <f>56.7362 * CHOOSE(CONTROL!$C$15, $E$9, 100%, $G$9) + CHOOSE(CONTROL!$C$38, 0.0342, 0)</f>
        <v>56.770399999999995</v>
      </c>
      <c r="H795" s="14">
        <f>56.7362 * CHOOSE(CONTROL!$C$15, $E$9, 100%, $G$9) + CHOOSE(CONTROL!$C$38, 0.0342, 0)</f>
        <v>56.770399999999995</v>
      </c>
      <c r="I795" s="14">
        <f>56.7378 * CHOOSE(CONTROL!$C$15, $E$9, 100%, $G$9) + CHOOSE(CONTROL!$C$38, 0.0342, 0)</f>
        <v>56.771999999999998</v>
      </c>
      <c r="J795" s="44">
        <f>537.8879</f>
        <v>537.88789999999995</v>
      </c>
    </row>
    <row r="796" spans="1:10" ht="15.75" x14ac:dyDescent="0.25">
      <c r="A796" s="32">
        <v>65166</v>
      </c>
      <c r="B796" s="14">
        <f>61.9739 * CHOOSE(CONTROL!$C$15, $E$9, 100%, $G$9) + CHOOSE(CONTROL!$C$38, 0.0353, 0)</f>
        <v>62.0092</v>
      </c>
      <c r="C796" s="14">
        <f>58.6263 * CHOOSE(CONTROL!$C$15, $E$9, 100%, $G$9) + CHOOSE(CONTROL!$C$38, 0.0354, 0)</f>
        <v>58.661700000000003</v>
      </c>
      <c r="D796" s="14">
        <f>58.6185 * CHOOSE(CONTROL!$C$15, $E$9, 100%, $G$9) + CHOOSE(CONTROL!$C$38, 0.0354, 0)</f>
        <v>58.6539</v>
      </c>
      <c r="E796" s="14">
        <f>58.6185 * CHOOSE(CONTROL!$C$15, $E$9, 100%, $G$9) + CHOOSE(CONTROL!$C$38, 0.0354, 0)</f>
        <v>58.6539</v>
      </c>
      <c r="F796" s="45">
        <f>61.9739 * CHOOSE(CONTROL!$C$15, $E$9, 100%, $G$9) + CHOOSE(CONTROL!$C$38, 0.0353, 0)</f>
        <v>62.0092</v>
      </c>
      <c r="G796" s="14">
        <f>58.6248 * CHOOSE(CONTROL!$C$15, $E$9, 100%, $G$9) + CHOOSE(CONTROL!$C$38, 0.0354, 0)</f>
        <v>58.660200000000003</v>
      </c>
      <c r="H796" s="14">
        <f>58.6248 * CHOOSE(CONTROL!$C$15, $E$9, 100%, $G$9) + CHOOSE(CONTROL!$C$38, 0.0354, 0)</f>
        <v>58.660200000000003</v>
      </c>
      <c r="I796" s="14">
        <f>58.6263 * CHOOSE(CONTROL!$C$15, $E$9, 100%, $G$9) + CHOOSE(CONTROL!$C$38, 0.0354, 0)</f>
        <v>58.661700000000003</v>
      </c>
      <c r="J796" s="44">
        <f>555.9384</f>
        <v>555.9384</v>
      </c>
    </row>
    <row r="797" spans="1:10" ht="15.75" x14ac:dyDescent="0.25">
      <c r="A797" s="32">
        <v>65196</v>
      </c>
      <c r="B797" s="14">
        <f>62.858 * CHOOSE(CONTROL!$C$15, $E$9, 100%, $G$9) + CHOOSE(CONTROL!$C$38, 0.0353, 0)</f>
        <v>62.893299999999996</v>
      </c>
      <c r="C797" s="14">
        <f>59.4644 * CHOOSE(CONTROL!$C$15, $E$9, 100%, $G$9) + CHOOSE(CONTROL!$C$38, 0.0354, 0)</f>
        <v>59.4998</v>
      </c>
      <c r="D797" s="14">
        <f>59.4566 * CHOOSE(CONTROL!$C$15, $E$9, 100%, $G$9) + CHOOSE(CONTROL!$C$38, 0.0354, 0)</f>
        <v>59.492000000000004</v>
      </c>
      <c r="E797" s="14">
        <f>59.4566 * CHOOSE(CONTROL!$C$15, $E$9, 100%, $G$9) + CHOOSE(CONTROL!$C$38, 0.0354, 0)</f>
        <v>59.492000000000004</v>
      </c>
      <c r="F797" s="45">
        <f>62.858 * CHOOSE(CONTROL!$C$15, $E$9, 100%, $G$9) + CHOOSE(CONTROL!$C$38, 0.0353, 0)</f>
        <v>62.893299999999996</v>
      </c>
      <c r="G797" s="14">
        <f>59.4629 * CHOOSE(CONTROL!$C$15, $E$9, 100%, $G$9) + CHOOSE(CONTROL!$C$38, 0.0354, 0)</f>
        <v>59.4983</v>
      </c>
      <c r="H797" s="14">
        <f>59.4629 * CHOOSE(CONTROL!$C$15, $E$9, 100%, $G$9) + CHOOSE(CONTROL!$C$38, 0.0354, 0)</f>
        <v>59.4983</v>
      </c>
      <c r="I797" s="14">
        <f>59.4644 * CHOOSE(CONTROL!$C$15, $E$9, 100%, $G$9) + CHOOSE(CONTROL!$C$38, 0.0354, 0)</f>
        <v>59.4998</v>
      </c>
      <c r="J797" s="44">
        <f>563.9488</f>
        <v>563.94880000000001</v>
      </c>
    </row>
    <row r="798" spans="1:10" ht="15.75" x14ac:dyDescent="0.25">
      <c r="A798" s="32">
        <v>65227</v>
      </c>
      <c r="B798" s="14">
        <f>62.5669 * CHOOSE(CONTROL!$C$15, $E$9, 100%, $G$9) + CHOOSE(CONTROL!$C$38, 0.0353, 0)</f>
        <v>62.602199999999996</v>
      </c>
      <c r="C798" s="14">
        <f>59.1885 * CHOOSE(CONTROL!$C$15, $E$9, 100%, $G$9) + CHOOSE(CONTROL!$C$38, 0.0354, 0)</f>
        <v>59.2239</v>
      </c>
      <c r="D798" s="14">
        <f>59.1807 * CHOOSE(CONTROL!$C$15, $E$9, 100%, $G$9) + CHOOSE(CONTROL!$C$38, 0.0354, 0)</f>
        <v>59.216100000000004</v>
      </c>
      <c r="E798" s="14">
        <f>59.1807 * CHOOSE(CONTROL!$C$15, $E$9, 100%, $G$9) + CHOOSE(CONTROL!$C$38, 0.0354, 0)</f>
        <v>59.216100000000004</v>
      </c>
      <c r="F798" s="45">
        <f>62.5669 * CHOOSE(CONTROL!$C$15, $E$9, 100%, $G$9) + CHOOSE(CONTROL!$C$38, 0.0353, 0)</f>
        <v>62.602199999999996</v>
      </c>
      <c r="G798" s="14">
        <f>59.1869 * CHOOSE(CONTROL!$C$15, $E$9, 100%, $G$9) + CHOOSE(CONTROL!$C$38, 0.0354, 0)</f>
        <v>59.222300000000004</v>
      </c>
      <c r="H798" s="14">
        <f>59.1869 * CHOOSE(CONTROL!$C$15, $E$9, 100%, $G$9) + CHOOSE(CONTROL!$C$38, 0.0354, 0)</f>
        <v>59.222300000000004</v>
      </c>
      <c r="I798" s="14">
        <f>59.1885 * CHOOSE(CONTROL!$C$15, $E$9, 100%, $G$9) + CHOOSE(CONTROL!$C$38, 0.0354, 0)</f>
        <v>59.2239</v>
      </c>
      <c r="J798" s="44">
        <f>561.3114</f>
        <v>561.31140000000005</v>
      </c>
    </row>
    <row r="799" spans="1:10" ht="15.75" x14ac:dyDescent="0.25">
      <c r="A799" s="32">
        <v>65258</v>
      </c>
      <c r="B799" s="14">
        <f>61.1248 * CHOOSE(CONTROL!$C$15, $E$9, 100%, $G$9) + CHOOSE(CONTROL!$C$38, 0.0353, 0)</f>
        <v>61.1601</v>
      </c>
      <c r="C799" s="14">
        <f>57.8213 * CHOOSE(CONTROL!$C$15, $E$9, 100%, $G$9) + CHOOSE(CONTROL!$C$38, 0.0354, 0)</f>
        <v>57.856700000000004</v>
      </c>
      <c r="D799" s="14">
        <f>57.8135 * CHOOSE(CONTROL!$C$15, $E$9, 100%, $G$9) + CHOOSE(CONTROL!$C$38, 0.0354, 0)</f>
        <v>57.8489</v>
      </c>
      <c r="E799" s="14">
        <f>57.8135 * CHOOSE(CONTROL!$C$15, $E$9, 100%, $G$9) + CHOOSE(CONTROL!$C$38, 0.0354, 0)</f>
        <v>57.8489</v>
      </c>
      <c r="F799" s="45">
        <f>61.1248 * CHOOSE(CONTROL!$C$15, $E$9, 100%, $G$9) + CHOOSE(CONTROL!$C$38, 0.0353, 0)</f>
        <v>61.1601</v>
      </c>
      <c r="G799" s="14">
        <f>57.8198 * CHOOSE(CONTROL!$C$15, $E$9, 100%, $G$9) + CHOOSE(CONTROL!$C$38, 0.0354, 0)</f>
        <v>57.855200000000004</v>
      </c>
      <c r="H799" s="14">
        <f>57.8198 * CHOOSE(CONTROL!$C$15, $E$9, 100%, $G$9) + CHOOSE(CONTROL!$C$38, 0.0354, 0)</f>
        <v>57.855200000000004</v>
      </c>
      <c r="I799" s="14">
        <f>57.8213 * CHOOSE(CONTROL!$C$15, $E$9, 100%, $G$9) + CHOOSE(CONTROL!$C$38, 0.0354, 0)</f>
        <v>57.856700000000004</v>
      </c>
      <c r="J799" s="44">
        <f>548.2443</f>
        <v>548.24429999999995</v>
      </c>
    </row>
    <row r="800" spans="1:10" ht="15.75" x14ac:dyDescent="0.25">
      <c r="A800" s="32">
        <v>65288</v>
      </c>
      <c r="B800" s="14">
        <f>59.1136 * CHOOSE(CONTROL!$C$15, $E$9, 100%, $G$9) + CHOOSE(CONTROL!$C$38, 0.0353, 0)</f>
        <v>59.148899999999998</v>
      </c>
      <c r="C800" s="14">
        <f>55.9148 * CHOOSE(CONTROL!$C$15, $E$9, 100%, $G$9) + CHOOSE(CONTROL!$C$38, 0.0354, 0)</f>
        <v>55.950200000000002</v>
      </c>
      <c r="D800" s="14">
        <f>55.907 * CHOOSE(CONTROL!$C$15, $E$9, 100%, $G$9) + CHOOSE(CONTROL!$C$38, 0.0354, 0)</f>
        <v>55.942399999999999</v>
      </c>
      <c r="E800" s="14">
        <f>55.907 * CHOOSE(CONTROL!$C$15, $E$9, 100%, $G$9) + CHOOSE(CONTROL!$C$38, 0.0354, 0)</f>
        <v>55.942399999999999</v>
      </c>
      <c r="F800" s="45">
        <f>59.1136 * CHOOSE(CONTROL!$C$15, $E$9, 100%, $G$9) + CHOOSE(CONTROL!$C$38, 0.0353, 0)</f>
        <v>59.148899999999998</v>
      </c>
      <c r="G800" s="14">
        <f>55.9132 * CHOOSE(CONTROL!$C$15, $E$9, 100%, $G$9) + CHOOSE(CONTROL!$C$38, 0.0354, 0)</f>
        <v>55.948600000000006</v>
      </c>
      <c r="H800" s="14">
        <f>55.9132 * CHOOSE(CONTROL!$C$15, $E$9, 100%, $G$9) + CHOOSE(CONTROL!$C$38, 0.0354, 0)</f>
        <v>55.948600000000006</v>
      </c>
      <c r="I800" s="14">
        <f>55.9148 * CHOOSE(CONTROL!$C$15, $E$9, 100%, $G$9) + CHOOSE(CONTROL!$C$38, 0.0354, 0)</f>
        <v>55.950200000000002</v>
      </c>
      <c r="J800" s="44">
        <f>530.0216</f>
        <v>530.02160000000003</v>
      </c>
    </row>
    <row r="801" spans="1:10" ht="15.75" x14ac:dyDescent="0.25">
      <c r="A801" s="32">
        <v>65319</v>
      </c>
      <c r="B801" s="14">
        <f>57.0907 * CHOOSE(CONTROL!$C$15, $E$9, 100%, $G$9) + CHOOSE(CONTROL!$C$38, 0.034, 0)</f>
        <v>57.124699999999997</v>
      </c>
      <c r="C801" s="14">
        <f>53.9971 * CHOOSE(CONTROL!$C$15, $E$9, 100%, $G$9) + CHOOSE(CONTROL!$C$38, 0.0342, 0)</f>
        <v>54.031300000000002</v>
      </c>
      <c r="D801" s="14">
        <f>53.9893 * CHOOSE(CONTROL!$C$15, $E$9, 100%, $G$9) + CHOOSE(CONTROL!$C$38, 0.0342, 0)</f>
        <v>54.023499999999999</v>
      </c>
      <c r="E801" s="14">
        <f>53.9893 * CHOOSE(CONTROL!$C$15, $E$9, 100%, $G$9) + CHOOSE(CONTROL!$C$38, 0.0342, 0)</f>
        <v>54.023499999999999</v>
      </c>
      <c r="F801" s="45">
        <f>57.0907 * CHOOSE(CONTROL!$C$15, $E$9, 100%, $G$9) + CHOOSE(CONTROL!$C$38, 0.034, 0)</f>
        <v>57.124699999999997</v>
      </c>
      <c r="G801" s="14">
        <f>53.9956 * CHOOSE(CONTROL!$C$15, $E$9, 100%, $G$9) + CHOOSE(CONTROL!$C$38, 0.0342, 0)</f>
        <v>54.029800000000002</v>
      </c>
      <c r="H801" s="14">
        <f>53.9956 * CHOOSE(CONTROL!$C$15, $E$9, 100%, $G$9) + CHOOSE(CONTROL!$C$38, 0.0342, 0)</f>
        <v>54.029800000000002</v>
      </c>
      <c r="I801" s="14">
        <f>53.9971 * CHOOSE(CONTROL!$C$15, $E$9, 100%, $G$9) + CHOOSE(CONTROL!$C$38, 0.0342, 0)</f>
        <v>54.031300000000002</v>
      </c>
      <c r="J801" s="44">
        <f>511.6929</f>
        <v>511.69290000000001</v>
      </c>
    </row>
    <row r="802" spans="1:10" ht="15.75" x14ac:dyDescent="0.25">
      <c r="A802" s="32">
        <v>65349</v>
      </c>
      <c r="B802" s="14">
        <f>56.6884 * CHOOSE(CONTROL!$C$15, $E$9, 100%, $G$9) + CHOOSE(CONTROL!$C$38, 0.034, 0)</f>
        <v>56.7224</v>
      </c>
      <c r="C802" s="14">
        <f>53.6157 * CHOOSE(CONTROL!$C$15, $E$9, 100%, $G$9) + CHOOSE(CONTROL!$C$38, 0.0342, 0)</f>
        <v>53.649899999999995</v>
      </c>
      <c r="D802" s="14">
        <f>53.6079 * CHOOSE(CONTROL!$C$15, $E$9, 100%, $G$9) + CHOOSE(CONTROL!$C$38, 0.0342, 0)</f>
        <v>53.642099999999999</v>
      </c>
      <c r="E802" s="14">
        <f>53.6079 * CHOOSE(CONTROL!$C$15, $E$9, 100%, $G$9) + CHOOSE(CONTROL!$C$38, 0.0342, 0)</f>
        <v>53.642099999999999</v>
      </c>
      <c r="F802" s="45">
        <f>56.6884 * CHOOSE(CONTROL!$C$15, $E$9, 100%, $G$9) + CHOOSE(CONTROL!$C$38, 0.034, 0)</f>
        <v>56.7224</v>
      </c>
      <c r="G802" s="14">
        <f>53.6141 * CHOOSE(CONTROL!$C$15, $E$9, 100%, $G$9) + CHOOSE(CONTROL!$C$38, 0.0342, 0)</f>
        <v>53.648299999999999</v>
      </c>
      <c r="H802" s="14">
        <f>53.6141 * CHOOSE(CONTROL!$C$15, $E$9, 100%, $G$9) + CHOOSE(CONTROL!$C$38, 0.0342, 0)</f>
        <v>53.648299999999999</v>
      </c>
      <c r="I802" s="14">
        <f>53.6157 * CHOOSE(CONTROL!$C$15, $E$9, 100%, $G$9) + CHOOSE(CONTROL!$C$38, 0.0342, 0)</f>
        <v>53.649899999999995</v>
      </c>
      <c r="J802" s="44">
        <f>508.047</f>
        <v>508.04700000000003</v>
      </c>
    </row>
    <row r="803" spans="1:10" ht="15.75" x14ac:dyDescent="0.25">
      <c r="A803" s="32">
        <v>65380</v>
      </c>
      <c r="B803" s="14">
        <f>55.0244 * CHOOSE(CONTROL!$C$15, $E$9, 100%, $G$9) + CHOOSE(CONTROL!$C$38, 0.034, 0)</f>
        <v>55.058399999999999</v>
      </c>
      <c r="C803" s="14">
        <f>52.0383 * CHOOSE(CONTROL!$C$15, $E$9, 100%, $G$9) + CHOOSE(CONTROL!$C$38, 0.0342, 0)</f>
        <v>52.072499999999998</v>
      </c>
      <c r="D803" s="14">
        <f>52.0305 * CHOOSE(CONTROL!$C$15, $E$9, 100%, $G$9) + CHOOSE(CONTROL!$C$38, 0.0342, 0)</f>
        <v>52.064700000000002</v>
      </c>
      <c r="E803" s="14">
        <f>52.0305 * CHOOSE(CONTROL!$C$15, $E$9, 100%, $G$9) + CHOOSE(CONTROL!$C$38, 0.0342, 0)</f>
        <v>52.064700000000002</v>
      </c>
      <c r="F803" s="45">
        <f>55.0244 * CHOOSE(CONTROL!$C$15, $E$9, 100%, $G$9) + CHOOSE(CONTROL!$C$38, 0.034, 0)</f>
        <v>55.058399999999999</v>
      </c>
      <c r="G803" s="14">
        <f>52.0367 * CHOOSE(CONTROL!$C$15, $E$9, 100%, $G$9) + CHOOSE(CONTROL!$C$38, 0.0342, 0)</f>
        <v>52.070900000000002</v>
      </c>
      <c r="H803" s="14">
        <f>52.0367 * CHOOSE(CONTROL!$C$15, $E$9, 100%, $G$9) + CHOOSE(CONTROL!$C$38, 0.0342, 0)</f>
        <v>52.070900000000002</v>
      </c>
      <c r="I803" s="14">
        <f>52.0383 * CHOOSE(CONTROL!$C$15, $E$9, 100%, $G$9) + CHOOSE(CONTROL!$C$38, 0.0342, 0)</f>
        <v>52.072499999999998</v>
      </c>
      <c r="J803" s="44">
        <f>492.9706</f>
        <v>492.97059999999999</v>
      </c>
    </row>
    <row r="804" spans="1:10" ht="15.75" x14ac:dyDescent="0.25">
      <c r="A804" s="32">
        <v>65411</v>
      </c>
      <c r="B804" s="14">
        <f>54.6112 * CHOOSE(CONTROL!$C$15, $E$9, 100%, $G$9) + CHOOSE(CONTROL!$C$38, 0.034, 0)</f>
        <v>54.645199999999996</v>
      </c>
      <c r="C804" s="14">
        <f>51.6466 * CHOOSE(CONTROL!$C$15, $E$9, 100%, $G$9) + CHOOSE(CONTROL!$C$38, 0.0342, 0)</f>
        <v>51.680799999999998</v>
      </c>
      <c r="D804" s="14">
        <f>51.6388 * CHOOSE(CONTROL!$C$15, $E$9, 100%, $G$9) + CHOOSE(CONTROL!$C$38, 0.0342, 0)</f>
        <v>51.673000000000002</v>
      </c>
      <c r="E804" s="14">
        <f>51.6388 * CHOOSE(CONTROL!$C$15, $E$9, 100%, $G$9) + CHOOSE(CONTROL!$C$38, 0.0342, 0)</f>
        <v>51.673000000000002</v>
      </c>
      <c r="F804" s="45">
        <f>54.6112 * CHOOSE(CONTROL!$C$15, $E$9, 100%, $G$9) + CHOOSE(CONTROL!$C$38, 0.034, 0)</f>
        <v>54.645199999999996</v>
      </c>
      <c r="G804" s="14">
        <f>51.645 * CHOOSE(CONTROL!$C$15, $E$9, 100%, $G$9) + CHOOSE(CONTROL!$C$38, 0.0342, 0)</f>
        <v>51.679200000000002</v>
      </c>
      <c r="H804" s="14">
        <f>51.645 * CHOOSE(CONTROL!$C$15, $E$9, 100%, $G$9) + CHOOSE(CONTROL!$C$38, 0.0342, 0)</f>
        <v>51.679200000000002</v>
      </c>
      <c r="I804" s="14">
        <f>51.6466 * CHOOSE(CONTROL!$C$15, $E$9, 100%, $G$9) + CHOOSE(CONTROL!$C$38, 0.0342, 0)</f>
        <v>51.680799999999998</v>
      </c>
      <c r="J804" s="44">
        <f>492.6147</f>
        <v>492.61470000000003</v>
      </c>
    </row>
    <row r="805" spans="1:10" ht="15.75" x14ac:dyDescent="0.25">
      <c r="A805" s="32">
        <v>65439</v>
      </c>
      <c r="B805" s="14">
        <f>54.4611 * CHOOSE(CONTROL!$C$15, $E$9, 100%, $G$9) + CHOOSE(CONTROL!$C$38, 0.034, 0)</f>
        <v>54.495100000000001</v>
      </c>
      <c r="C805" s="14">
        <f>51.5043 * CHOOSE(CONTROL!$C$15, $E$9, 100%, $G$9) + CHOOSE(CONTROL!$C$38, 0.0342, 0)</f>
        <v>51.538499999999999</v>
      </c>
      <c r="D805" s="14">
        <f>51.4965 * CHOOSE(CONTROL!$C$15, $E$9, 100%, $G$9) + CHOOSE(CONTROL!$C$38, 0.0342, 0)</f>
        <v>51.530699999999996</v>
      </c>
      <c r="E805" s="14">
        <f>51.4965 * CHOOSE(CONTROL!$C$15, $E$9, 100%, $G$9) + CHOOSE(CONTROL!$C$38, 0.0342, 0)</f>
        <v>51.530699999999996</v>
      </c>
      <c r="F805" s="45">
        <f>54.4611 * CHOOSE(CONTROL!$C$15, $E$9, 100%, $G$9) + CHOOSE(CONTROL!$C$38, 0.034, 0)</f>
        <v>54.495100000000001</v>
      </c>
      <c r="G805" s="14">
        <f>51.5027 * CHOOSE(CONTROL!$C$15, $E$9, 100%, $G$9) + CHOOSE(CONTROL!$C$38, 0.0342, 0)</f>
        <v>51.536899999999996</v>
      </c>
      <c r="H805" s="14">
        <f>51.5027 * CHOOSE(CONTROL!$C$15, $E$9, 100%, $G$9) + CHOOSE(CONTROL!$C$38, 0.0342, 0)</f>
        <v>51.536899999999996</v>
      </c>
      <c r="I805" s="14">
        <f>51.5043 * CHOOSE(CONTROL!$C$15, $E$9, 100%, $G$9) + CHOOSE(CONTROL!$C$38, 0.0342, 0)</f>
        <v>51.538499999999999</v>
      </c>
      <c r="J805" s="44">
        <f>491.2454</f>
        <v>491.24540000000002</v>
      </c>
    </row>
    <row r="806" spans="1:10" ht="15.75" x14ac:dyDescent="0.25">
      <c r="A806" s="32">
        <v>65470</v>
      </c>
      <c r="B806" s="14">
        <f>57.299 * CHOOSE(CONTROL!$C$15, $E$9, 100%, $G$9) + CHOOSE(CONTROL!$C$38, 0.034, 0)</f>
        <v>57.332999999999998</v>
      </c>
      <c r="C806" s="14">
        <f>54.1946 * CHOOSE(CONTROL!$C$15, $E$9, 100%, $G$9) + CHOOSE(CONTROL!$C$38, 0.0342, 0)</f>
        <v>54.2288</v>
      </c>
      <c r="D806" s="14">
        <f>54.1868 * CHOOSE(CONTROL!$C$15, $E$9, 100%, $G$9) + CHOOSE(CONTROL!$C$38, 0.0342, 0)</f>
        <v>54.220999999999997</v>
      </c>
      <c r="E806" s="14">
        <f>54.1868 * CHOOSE(CONTROL!$C$15, $E$9, 100%, $G$9) + CHOOSE(CONTROL!$C$38, 0.0342, 0)</f>
        <v>54.220999999999997</v>
      </c>
      <c r="F806" s="45">
        <f>57.299 * CHOOSE(CONTROL!$C$15, $E$9, 100%, $G$9) + CHOOSE(CONTROL!$C$38, 0.034, 0)</f>
        <v>57.332999999999998</v>
      </c>
      <c r="G806" s="14">
        <f>54.193 * CHOOSE(CONTROL!$C$15, $E$9, 100%, $G$9) + CHOOSE(CONTROL!$C$38, 0.0342, 0)</f>
        <v>54.227199999999996</v>
      </c>
      <c r="H806" s="14">
        <f>54.193 * CHOOSE(CONTROL!$C$15, $E$9, 100%, $G$9) + CHOOSE(CONTROL!$C$38, 0.0342, 0)</f>
        <v>54.227199999999996</v>
      </c>
      <c r="I806" s="14">
        <f>54.1946 * CHOOSE(CONTROL!$C$15, $E$9, 100%, $G$9) + CHOOSE(CONTROL!$C$38, 0.0342, 0)</f>
        <v>54.2288</v>
      </c>
      <c r="J806" s="44">
        <f>517.1369</f>
        <v>517.13689999999997</v>
      </c>
    </row>
    <row r="807" spans="1:10" ht="15.75" x14ac:dyDescent="0.25">
      <c r="A807" s="32">
        <v>65500</v>
      </c>
      <c r="B807" s="14">
        <f>60.9791 * CHOOSE(CONTROL!$C$15, $E$9, 100%, $G$9) + CHOOSE(CONTROL!$C$38, 0.034, 0)</f>
        <v>61.013100000000001</v>
      </c>
      <c r="C807" s="14">
        <f>57.6832 * CHOOSE(CONTROL!$C$15, $E$9, 100%, $G$9) + CHOOSE(CONTROL!$C$38, 0.0342, 0)</f>
        <v>57.717399999999998</v>
      </c>
      <c r="D807" s="14">
        <f>57.6754 * CHOOSE(CONTROL!$C$15, $E$9, 100%, $G$9) + CHOOSE(CONTROL!$C$38, 0.0342, 0)</f>
        <v>57.709600000000002</v>
      </c>
      <c r="E807" s="14">
        <f>57.6754 * CHOOSE(CONTROL!$C$15, $E$9, 100%, $G$9) + CHOOSE(CONTROL!$C$38, 0.0342, 0)</f>
        <v>57.709600000000002</v>
      </c>
      <c r="F807" s="45">
        <f>60.9791 * CHOOSE(CONTROL!$C$15, $E$9, 100%, $G$9) + CHOOSE(CONTROL!$C$38, 0.034, 0)</f>
        <v>61.013100000000001</v>
      </c>
      <c r="G807" s="14">
        <f>57.6817 * CHOOSE(CONTROL!$C$15, $E$9, 100%, $G$9) + CHOOSE(CONTROL!$C$38, 0.0342, 0)</f>
        <v>57.715899999999998</v>
      </c>
      <c r="H807" s="14">
        <f>57.6817 * CHOOSE(CONTROL!$C$15, $E$9, 100%, $G$9) + CHOOSE(CONTROL!$C$38, 0.0342, 0)</f>
        <v>57.715899999999998</v>
      </c>
      <c r="I807" s="14">
        <f>57.6832 * CHOOSE(CONTROL!$C$15, $E$9, 100%, $G$9) + CHOOSE(CONTROL!$C$38, 0.0342, 0)</f>
        <v>57.717399999999998</v>
      </c>
      <c r="J807" s="44">
        <f>550.712</f>
        <v>550.71199999999999</v>
      </c>
    </row>
    <row r="808" spans="1:10" ht="15.75" x14ac:dyDescent="0.25">
      <c r="A808" s="32">
        <v>65531</v>
      </c>
      <c r="B808" s="14">
        <f>63.0047 * CHOOSE(CONTROL!$C$15, $E$9, 100%, $G$9) + CHOOSE(CONTROL!$C$38, 0.0353, 0)</f>
        <v>63.04</v>
      </c>
      <c r="C808" s="14">
        <f>59.6035 * CHOOSE(CONTROL!$C$15, $E$9, 100%, $G$9) + CHOOSE(CONTROL!$C$38, 0.0354, 0)</f>
        <v>59.6389</v>
      </c>
      <c r="D808" s="14">
        <f>59.5957 * CHOOSE(CONTROL!$C$15, $E$9, 100%, $G$9) + CHOOSE(CONTROL!$C$38, 0.0354, 0)</f>
        <v>59.631100000000004</v>
      </c>
      <c r="E808" s="14">
        <f>59.5957 * CHOOSE(CONTROL!$C$15, $E$9, 100%, $G$9) + CHOOSE(CONTROL!$C$38, 0.0354, 0)</f>
        <v>59.631100000000004</v>
      </c>
      <c r="F808" s="45">
        <f>63.0047 * CHOOSE(CONTROL!$C$15, $E$9, 100%, $G$9) + CHOOSE(CONTROL!$C$38, 0.0353, 0)</f>
        <v>63.04</v>
      </c>
      <c r="G808" s="14">
        <f>59.6019 * CHOOSE(CONTROL!$C$15, $E$9, 100%, $G$9) + CHOOSE(CONTROL!$C$38, 0.0354, 0)</f>
        <v>59.637300000000003</v>
      </c>
      <c r="H808" s="14">
        <f>59.6019 * CHOOSE(CONTROL!$C$15, $E$9, 100%, $G$9) + CHOOSE(CONTROL!$C$38, 0.0354, 0)</f>
        <v>59.637300000000003</v>
      </c>
      <c r="I808" s="14">
        <f>59.6035 * CHOOSE(CONTROL!$C$15, $E$9, 100%, $G$9) + CHOOSE(CONTROL!$C$38, 0.0354, 0)</f>
        <v>59.6389</v>
      </c>
      <c r="J808" s="44">
        <f>569.1928</f>
        <v>569.19280000000003</v>
      </c>
    </row>
    <row r="809" spans="1:10" ht="15.75" x14ac:dyDescent="0.25">
      <c r="A809" s="32">
        <v>65561</v>
      </c>
      <c r="B809" s="14">
        <f>63.9037 * CHOOSE(CONTROL!$C$15, $E$9, 100%, $G$9) + CHOOSE(CONTROL!$C$38, 0.0353, 0)</f>
        <v>63.939</v>
      </c>
      <c r="C809" s="14">
        <f>60.4557 * CHOOSE(CONTROL!$C$15, $E$9, 100%, $G$9) + CHOOSE(CONTROL!$C$38, 0.0354, 0)</f>
        <v>60.491100000000003</v>
      </c>
      <c r="D809" s="14">
        <f>60.4479 * CHOOSE(CONTROL!$C$15, $E$9, 100%, $G$9) + CHOOSE(CONTROL!$C$38, 0.0354, 0)</f>
        <v>60.4833</v>
      </c>
      <c r="E809" s="14">
        <f>60.4479 * CHOOSE(CONTROL!$C$15, $E$9, 100%, $G$9) + CHOOSE(CONTROL!$C$38, 0.0354, 0)</f>
        <v>60.4833</v>
      </c>
      <c r="F809" s="45">
        <f>63.9037 * CHOOSE(CONTROL!$C$15, $E$9, 100%, $G$9) + CHOOSE(CONTROL!$C$38, 0.0353, 0)</f>
        <v>63.939</v>
      </c>
      <c r="G809" s="14">
        <f>60.4541 * CHOOSE(CONTROL!$C$15, $E$9, 100%, $G$9) + CHOOSE(CONTROL!$C$38, 0.0354, 0)</f>
        <v>60.4895</v>
      </c>
      <c r="H809" s="14">
        <f>60.4541 * CHOOSE(CONTROL!$C$15, $E$9, 100%, $G$9) + CHOOSE(CONTROL!$C$38, 0.0354, 0)</f>
        <v>60.4895</v>
      </c>
      <c r="I809" s="14">
        <f>60.4557 * CHOOSE(CONTROL!$C$15, $E$9, 100%, $G$9) + CHOOSE(CONTROL!$C$38, 0.0354, 0)</f>
        <v>60.491100000000003</v>
      </c>
      <c r="J809" s="44">
        <f>577.3942</f>
        <v>577.39419999999996</v>
      </c>
    </row>
    <row r="810" spans="1:10" ht="15.75" x14ac:dyDescent="0.25">
      <c r="A810" s="32">
        <v>65592</v>
      </c>
      <c r="B810" s="14">
        <f>63.6077 * CHOOSE(CONTROL!$C$15, $E$9, 100%, $G$9) + CHOOSE(CONTROL!$C$38, 0.0353, 0)</f>
        <v>63.643000000000001</v>
      </c>
      <c r="C810" s="14">
        <f>60.1751 * CHOOSE(CONTROL!$C$15, $E$9, 100%, $G$9) + CHOOSE(CONTROL!$C$38, 0.0354, 0)</f>
        <v>60.210500000000003</v>
      </c>
      <c r="D810" s="14">
        <f>60.1673 * CHOOSE(CONTROL!$C$15, $E$9, 100%, $G$9) + CHOOSE(CONTROL!$C$38, 0.0354, 0)</f>
        <v>60.2027</v>
      </c>
      <c r="E810" s="14">
        <f>60.1673 * CHOOSE(CONTROL!$C$15, $E$9, 100%, $G$9) + CHOOSE(CONTROL!$C$38, 0.0354, 0)</f>
        <v>60.2027</v>
      </c>
      <c r="F810" s="45">
        <f>63.6077 * CHOOSE(CONTROL!$C$15, $E$9, 100%, $G$9) + CHOOSE(CONTROL!$C$38, 0.0353, 0)</f>
        <v>63.643000000000001</v>
      </c>
      <c r="G810" s="14">
        <f>60.1735 * CHOOSE(CONTROL!$C$15, $E$9, 100%, $G$9) + CHOOSE(CONTROL!$C$38, 0.0354, 0)</f>
        <v>60.2089</v>
      </c>
      <c r="H810" s="14">
        <f>60.1735 * CHOOSE(CONTROL!$C$15, $E$9, 100%, $G$9) + CHOOSE(CONTROL!$C$38, 0.0354, 0)</f>
        <v>60.2089</v>
      </c>
      <c r="I810" s="14">
        <f>60.1751 * CHOOSE(CONTROL!$C$15, $E$9, 100%, $G$9) + CHOOSE(CONTROL!$C$38, 0.0354, 0)</f>
        <v>60.210500000000003</v>
      </c>
      <c r="J810" s="44">
        <f>574.6939</f>
        <v>574.69389999999999</v>
      </c>
    </row>
    <row r="811" spans="1:10" ht="15.75" x14ac:dyDescent="0.25">
      <c r="A811" s="32">
        <v>65623</v>
      </c>
      <c r="B811" s="14">
        <f>62.1413 * CHOOSE(CONTROL!$C$15, $E$9, 100%, $G$9) + CHOOSE(CONTROL!$C$38, 0.0353, 0)</f>
        <v>62.176600000000001</v>
      </c>
      <c r="C811" s="14">
        <f>58.785 * CHOOSE(CONTROL!$C$15, $E$9, 100%, $G$9) + CHOOSE(CONTROL!$C$38, 0.0354, 0)</f>
        <v>58.820399999999999</v>
      </c>
      <c r="D811" s="14">
        <f>58.7772 * CHOOSE(CONTROL!$C$15, $E$9, 100%, $G$9) + CHOOSE(CONTROL!$C$38, 0.0354, 0)</f>
        <v>58.812600000000003</v>
      </c>
      <c r="E811" s="14">
        <f>58.7772 * CHOOSE(CONTROL!$C$15, $E$9, 100%, $G$9) + CHOOSE(CONTROL!$C$38, 0.0354, 0)</f>
        <v>58.812600000000003</v>
      </c>
      <c r="F811" s="45">
        <f>62.1413 * CHOOSE(CONTROL!$C$15, $E$9, 100%, $G$9) + CHOOSE(CONTROL!$C$38, 0.0353, 0)</f>
        <v>62.176600000000001</v>
      </c>
      <c r="G811" s="14">
        <f>58.7834 * CHOOSE(CONTROL!$C$15, $E$9, 100%, $G$9) + CHOOSE(CONTROL!$C$38, 0.0354, 0)</f>
        <v>58.818800000000003</v>
      </c>
      <c r="H811" s="14">
        <f>58.7834 * CHOOSE(CONTROL!$C$15, $E$9, 100%, $G$9) + CHOOSE(CONTROL!$C$38, 0.0354, 0)</f>
        <v>58.818800000000003</v>
      </c>
      <c r="I811" s="14">
        <f>58.785 * CHOOSE(CONTROL!$C$15, $E$9, 100%, $G$9) + CHOOSE(CONTROL!$C$38, 0.0354, 0)</f>
        <v>58.820399999999999</v>
      </c>
      <c r="J811" s="44">
        <f>561.3153</f>
        <v>561.31529999999998</v>
      </c>
    </row>
    <row r="812" spans="1:10" ht="15.75" x14ac:dyDescent="0.25">
      <c r="A812" s="32">
        <v>65653</v>
      </c>
      <c r="B812" s="14">
        <f>60.0963 * CHOOSE(CONTROL!$C$15, $E$9, 100%, $G$9) + CHOOSE(CONTROL!$C$38, 0.0353, 0)</f>
        <v>60.131599999999999</v>
      </c>
      <c r="C812" s="14">
        <f>56.8464 * CHOOSE(CONTROL!$C$15, $E$9, 100%, $G$9) + CHOOSE(CONTROL!$C$38, 0.0354, 0)</f>
        <v>56.881800000000005</v>
      </c>
      <c r="D812" s="14">
        <f>56.8386 * CHOOSE(CONTROL!$C$15, $E$9, 100%, $G$9) + CHOOSE(CONTROL!$C$38, 0.0354, 0)</f>
        <v>56.874000000000002</v>
      </c>
      <c r="E812" s="14">
        <f>56.8386 * CHOOSE(CONTROL!$C$15, $E$9, 100%, $G$9) + CHOOSE(CONTROL!$C$38, 0.0354, 0)</f>
        <v>56.874000000000002</v>
      </c>
      <c r="F812" s="45">
        <f>60.0963 * CHOOSE(CONTROL!$C$15, $E$9, 100%, $G$9) + CHOOSE(CONTROL!$C$38, 0.0353, 0)</f>
        <v>60.131599999999999</v>
      </c>
      <c r="G812" s="14">
        <f>56.8448 * CHOOSE(CONTROL!$C$15, $E$9, 100%, $G$9) + CHOOSE(CONTROL!$C$38, 0.0354, 0)</f>
        <v>56.880200000000002</v>
      </c>
      <c r="H812" s="14">
        <f>56.8448 * CHOOSE(CONTROL!$C$15, $E$9, 100%, $G$9) + CHOOSE(CONTROL!$C$38, 0.0354, 0)</f>
        <v>56.880200000000002</v>
      </c>
      <c r="I812" s="14">
        <f>56.8464 * CHOOSE(CONTROL!$C$15, $E$9, 100%, $G$9) + CHOOSE(CONTROL!$C$38, 0.0354, 0)</f>
        <v>56.881800000000005</v>
      </c>
      <c r="J812" s="44">
        <f>542.6581</f>
        <v>542.65809999999999</v>
      </c>
    </row>
    <row r="813" spans="1:10" ht="15.75" x14ac:dyDescent="0.25">
      <c r="A813" s="32">
        <v>65684</v>
      </c>
      <c r="B813" s="14">
        <f>58.0395 * CHOOSE(CONTROL!$C$15, $E$9, 100%, $G$9) + CHOOSE(CONTROL!$C$38, 0.034, 0)</f>
        <v>58.073499999999996</v>
      </c>
      <c r="C813" s="14">
        <f>54.8965 * CHOOSE(CONTROL!$C$15, $E$9, 100%, $G$9) + CHOOSE(CONTROL!$C$38, 0.0342, 0)</f>
        <v>54.930700000000002</v>
      </c>
      <c r="D813" s="14">
        <f>54.8887 * CHOOSE(CONTROL!$C$15, $E$9, 100%, $G$9) + CHOOSE(CONTROL!$C$38, 0.0342, 0)</f>
        <v>54.922899999999998</v>
      </c>
      <c r="E813" s="14">
        <f>54.8887 * CHOOSE(CONTROL!$C$15, $E$9, 100%, $G$9) + CHOOSE(CONTROL!$C$38, 0.0342, 0)</f>
        <v>54.922899999999998</v>
      </c>
      <c r="F813" s="45">
        <f>58.0395 * CHOOSE(CONTROL!$C$15, $E$9, 100%, $G$9) + CHOOSE(CONTROL!$C$38, 0.034, 0)</f>
        <v>58.073499999999996</v>
      </c>
      <c r="G813" s="14">
        <f>54.895 * CHOOSE(CONTROL!$C$15, $E$9, 100%, $G$9) + CHOOSE(CONTROL!$C$38, 0.0342, 0)</f>
        <v>54.929200000000002</v>
      </c>
      <c r="H813" s="14">
        <f>54.895 * CHOOSE(CONTROL!$C$15, $E$9, 100%, $G$9) + CHOOSE(CONTROL!$C$38, 0.0342, 0)</f>
        <v>54.929200000000002</v>
      </c>
      <c r="I813" s="14">
        <f>54.8965 * CHOOSE(CONTROL!$C$15, $E$9, 100%, $G$9) + CHOOSE(CONTROL!$C$38, 0.0342, 0)</f>
        <v>54.930700000000002</v>
      </c>
      <c r="J813" s="44">
        <f>523.8925</f>
        <v>523.89250000000004</v>
      </c>
    </row>
    <row r="814" spans="1:10" ht="15.75" x14ac:dyDescent="0.25">
      <c r="A814" s="32">
        <v>65714</v>
      </c>
      <c r="B814" s="14">
        <f>57.6303 * CHOOSE(CONTROL!$C$15, $E$9, 100%, $G$9) + CHOOSE(CONTROL!$C$38, 0.034, 0)</f>
        <v>57.664299999999997</v>
      </c>
      <c r="C814" s="14">
        <f>54.5087 * CHOOSE(CONTROL!$C$15, $E$9, 100%, $G$9) + CHOOSE(CONTROL!$C$38, 0.0342, 0)</f>
        <v>54.542899999999996</v>
      </c>
      <c r="D814" s="14">
        <f>54.5008 * CHOOSE(CONTROL!$C$15, $E$9, 100%, $G$9) + CHOOSE(CONTROL!$C$38, 0.0342, 0)</f>
        <v>54.534999999999997</v>
      </c>
      <c r="E814" s="14">
        <f>54.5008 * CHOOSE(CONTROL!$C$15, $E$9, 100%, $G$9) + CHOOSE(CONTROL!$C$38, 0.0342, 0)</f>
        <v>54.534999999999997</v>
      </c>
      <c r="F814" s="45">
        <f>57.6303 * CHOOSE(CONTROL!$C$15, $E$9, 100%, $G$9) + CHOOSE(CONTROL!$C$38, 0.034, 0)</f>
        <v>57.664299999999997</v>
      </c>
      <c r="G814" s="14">
        <f>54.5071 * CHOOSE(CONTROL!$C$15, $E$9, 100%, $G$9) + CHOOSE(CONTROL!$C$38, 0.0342, 0)</f>
        <v>54.5413</v>
      </c>
      <c r="H814" s="14">
        <f>54.5071 * CHOOSE(CONTROL!$C$15, $E$9, 100%, $G$9) + CHOOSE(CONTROL!$C$38, 0.0342, 0)</f>
        <v>54.5413</v>
      </c>
      <c r="I814" s="14">
        <f>54.5087 * CHOOSE(CONTROL!$C$15, $E$9, 100%, $G$9) + CHOOSE(CONTROL!$C$38, 0.0342, 0)</f>
        <v>54.542899999999996</v>
      </c>
      <c r="J814" s="44">
        <f>520.1596</f>
        <v>520.15959999999995</v>
      </c>
    </row>
    <row r="815" spans="1:10" ht="15.75" x14ac:dyDescent="0.25">
      <c r="A815" s="32">
        <v>65745</v>
      </c>
      <c r="B815" s="14">
        <f>55.9385 * CHOOSE(CONTROL!$C$15, $E$9, 100%, $G$9) + CHOOSE(CONTROL!$C$38, 0.034, 0)</f>
        <v>55.972499999999997</v>
      </c>
      <c r="C815" s="14">
        <f>52.9048 * CHOOSE(CONTROL!$C$15, $E$9, 100%, $G$9) + CHOOSE(CONTROL!$C$38, 0.0342, 0)</f>
        <v>52.939</v>
      </c>
      <c r="D815" s="14">
        <f>52.897 * CHOOSE(CONTROL!$C$15, $E$9, 100%, $G$9) + CHOOSE(CONTROL!$C$38, 0.0342, 0)</f>
        <v>52.931199999999997</v>
      </c>
      <c r="E815" s="14">
        <f>52.897 * CHOOSE(CONTROL!$C$15, $E$9, 100%, $G$9) + CHOOSE(CONTROL!$C$38, 0.0342, 0)</f>
        <v>52.931199999999997</v>
      </c>
      <c r="F815" s="45">
        <f>55.9385 * CHOOSE(CONTROL!$C$15, $E$9, 100%, $G$9) + CHOOSE(CONTROL!$C$38, 0.034, 0)</f>
        <v>55.972499999999997</v>
      </c>
      <c r="G815" s="14">
        <f>52.9032 * CHOOSE(CONTROL!$C$15, $E$9, 100%, $G$9) + CHOOSE(CONTROL!$C$38, 0.0342, 0)</f>
        <v>52.937399999999997</v>
      </c>
      <c r="H815" s="14">
        <f>52.9032 * CHOOSE(CONTROL!$C$15, $E$9, 100%, $G$9) + CHOOSE(CONTROL!$C$38, 0.0342, 0)</f>
        <v>52.937399999999997</v>
      </c>
      <c r="I815" s="14">
        <f>52.9048 * CHOOSE(CONTROL!$C$15, $E$9, 100%, $G$9) + CHOOSE(CONTROL!$C$38, 0.0342, 0)</f>
        <v>52.939</v>
      </c>
      <c r="J815" s="44">
        <f>504.7238</f>
        <v>504.72379999999998</v>
      </c>
    </row>
    <row r="816" spans="1:10" ht="15.75" x14ac:dyDescent="0.25">
      <c r="A816" s="32">
        <v>65776</v>
      </c>
      <c r="B816" s="14">
        <f>55.5183 * CHOOSE(CONTROL!$C$15, $E$9, 100%, $G$9) + CHOOSE(CONTROL!$C$38, 0.034, 0)</f>
        <v>55.552300000000002</v>
      </c>
      <c r="C816" s="14">
        <f>52.5065 * CHOOSE(CONTROL!$C$15, $E$9, 100%, $G$9) + CHOOSE(CONTROL!$C$38, 0.0342, 0)</f>
        <v>52.540700000000001</v>
      </c>
      <c r="D816" s="14">
        <f>52.4987 * CHOOSE(CONTROL!$C$15, $E$9, 100%, $G$9) + CHOOSE(CONTROL!$C$38, 0.0342, 0)</f>
        <v>52.532899999999998</v>
      </c>
      <c r="E816" s="14">
        <f>52.4987 * CHOOSE(CONTROL!$C$15, $E$9, 100%, $G$9) + CHOOSE(CONTROL!$C$38, 0.0342, 0)</f>
        <v>52.532899999999998</v>
      </c>
      <c r="F816" s="45">
        <f>55.5183 * CHOOSE(CONTROL!$C$15, $E$9, 100%, $G$9) + CHOOSE(CONTROL!$C$38, 0.034, 0)</f>
        <v>55.552300000000002</v>
      </c>
      <c r="G816" s="14">
        <f>52.5049 * CHOOSE(CONTROL!$C$15, $E$9, 100%, $G$9) + CHOOSE(CONTROL!$C$38, 0.0342, 0)</f>
        <v>52.539099999999998</v>
      </c>
      <c r="H816" s="14">
        <f>52.5049 * CHOOSE(CONTROL!$C$15, $E$9, 100%, $G$9) + CHOOSE(CONTROL!$C$38, 0.0342, 0)</f>
        <v>52.539099999999998</v>
      </c>
      <c r="I816" s="14">
        <f>52.5065 * CHOOSE(CONTROL!$C$15, $E$9, 100%, $G$9) + CHOOSE(CONTROL!$C$38, 0.0342, 0)</f>
        <v>52.540700000000001</v>
      </c>
      <c r="J816" s="44">
        <f>504.3594</f>
        <v>504.35939999999999</v>
      </c>
    </row>
    <row r="817" spans="1:10" ht="15.75" x14ac:dyDescent="0.25">
      <c r="A817" s="32">
        <v>65805</v>
      </c>
      <c r="B817" s="14">
        <f>55.3657 * CHOOSE(CONTROL!$C$15, $E$9, 100%, $G$9) + CHOOSE(CONTROL!$C$38, 0.034, 0)</f>
        <v>55.399699999999996</v>
      </c>
      <c r="C817" s="14">
        <f>52.3618 * CHOOSE(CONTROL!$C$15, $E$9, 100%, $G$9) + CHOOSE(CONTROL!$C$38, 0.0342, 0)</f>
        <v>52.396000000000001</v>
      </c>
      <c r="D817" s="14">
        <f>52.354 * CHOOSE(CONTROL!$C$15, $E$9, 100%, $G$9) + CHOOSE(CONTROL!$C$38, 0.0342, 0)</f>
        <v>52.388199999999998</v>
      </c>
      <c r="E817" s="14">
        <f>52.354 * CHOOSE(CONTROL!$C$15, $E$9, 100%, $G$9) + CHOOSE(CONTROL!$C$38, 0.0342, 0)</f>
        <v>52.388199999999998</v>
      </c>
      <c r="F817" s="45">
        <f>55.3657 * CHOOSE(CONTROL!$C$15, $E$9, 100%, $G$9) + CHOOSE(CONTROL!$C$38, 0.034, 0)</f>
        <v>55.399699999999996</v>
      </c>
      <c r="G817" s="14">
        <f>52.3603 * CHOOSE(CONTROL!$C$15, $E$9, 100%, $G$9) + CHOOSE(CONTROL!$C$38, 0.0342, 0)</f>
        <v>52.394500000000001</v>
      </c>
      <c r="H817" s="14">
        <f>52.3603 * CHOOSE(CONTROL!$C$15, $E$9, 100%, $G$9) + CHOOSE(CONTROL!$C$38, 0.0342, 0)</f>
        <v>52.394500000000001</v>
      </c>
      <c r="I817" s="14">
        <f>52.3618 * CHOOSE(CONTROL!$C$15, $E$9, 100%, $G$9) + CHOOSE(CONTROL!$C$38, 0.0342, 0)</f>
        <v>52.396000000000001</v>
      </c>
      <c r="J817" s="44">
        <f>502.9575</f>
        <v>502.95749999999998</v>
      </c>
    </row>
    <row r="818" spans="1:10" ht="15.75" x14ac:dyDescent="0.25">
      <c r="A818" s="32">
        <v>65836</v>
      </c>
      <c r="B818" s="14">
        <f>58.2513 * CHOOSE(CONTROL!$C$15, $E$9, 100%, $G$9) + CHOOSE(CONTROL!$C$38, 0.034, 0)</f>
        <v>58.285299999999999</v>
      </c>
      <c r="C818" s="14">
        <f>55.0973 * CHOOSE(CONTROL!$C$15, $E$9, 100%, $G$9) + CHOOSE(CONTROL!$C$38, 0.0342, 0)</f>
        <v>55.131499999999996</v>
      </c>
      <c r="D818" s="14">
        <f>55.0895 * CHOOSE(CONTROL!$C$15, $E$9, 100%, $G$9) + CHOOSE(CONTROL!$C$38, 0.0342, 0)</f>
        <v>55.123699999999999</v>
      </c>
      <c r="E818" s="14">
        <f>55.0895 * CHOOSE(CONTROL!$C$15, $E$9, 100%, $G$9) + CHOOSE(CONTROL!$C$38, 0.0342, 0)</f>
        <v>55.123699999999999</v>
      </c>
      <c r="F818" s="45">
        <f>58.2513 * CHOOSE(CONTROL!$C$15, $E$9, 100%, $G$9) + CHOOSE(CONTROL!$C$38, 0.034, 0)</f>
        <v>58.285299999999999</v>
      </c>
      <c r="G818" s="14">
        <f>55.0957 * CHOOSE(CONTROL!$C$15, $E$9, 100%, $G$9) + CHOOSE(CONTROL!$C$38, 0.0342, 0)</f>
        <v>55.129899999999999</v>
      </c>
      <c r="H818" s="14">
        <f>55.0957 * CHOOSE(CONTROL!$C$15, $E$9, 100%, $G$9) + CHOOSE(CONTROL!$C$38, 0.0342, 0)</f>
        <v>55.129899999999999</v>
      </c>
      <c r="I818" s="14">
        <f>55.0973 * CHOOSE(CONTROL!$C$15, $E$9, 100%, $G$9) + CHOOSE(CONTROL!$C$38, 0.0342, 0)</f>
        <v>55.131499999999996</v>
      </c>
      <c r="J818" s="44">
        <f>529.4662</f>
        <v>529.46619999999996</v>
      </c>
    </row>
    <row r="819" spans="1:10" ht="15.75" x14ac:dyDescent="0.25">
      <c r="A819" s="32">
        <v>65866</v>
      </c>
      <c r="B819" s="14">
        <f>61.9932 * CHOOSE(CONTROL!$C$15, $E$9, 100%, $G$9) + CHOOSE(CONTROL!$C$38, 0.034, 0)</f>
        <v>62.027200000000001</v>
      </c>
      <c r="C819" s="14">
        <f>58.6446 * CHOOSE(CONTROL!$C$15, $E$9, 100%, $G$9) + CHOOSE(CONTROL!$C$38, 0.0342, 0)</f>
        <v>58.678799999999995</v>
      </c>
      <c r="D819" s="14">
        <f>58.6367 * CHOOSE(CONTROL!$C$15, $E$9, 100%, $G$9) + CHOOSE(CONTROL!$C$38, 0.0342, 0)</f>
        <v>58.670899999999996</v>
      </c>
      <c r="E819" s="14">
        <f>58.6367 * CHOOSE(CONTROL!$C$15, $E$9, 100%, $G$9) + CHOOSE(CONTROL!$C$38, 0.0342, 0)</f>
        <v>58.670899999999996</v>
      </c>
      <c r="F819" s="45">
        <f>61.9932 * CHOOSE(CONTROL!$C$15, $E$9, 100%, $G$9) + CHOOSE(CONTROL!$C$38, 0.034, 0)</f>
        <v>62.027200000000001</v>
      </c>
      <c r="G819" s="14">
        <f>58.643 * CHOOSE(CONTROL!$C$15, $E$9, 100%, $G$9) + CHOOSE(CONTROL!$C$38, 0.0342, 0)</f>
        <v>58.677199999999999</v>
      </c>
      <c r="H819" s="14">
        <f>58.643 * CHOOSE(CONTROL!$C$15, $E$9, 100%, $G$9) + CHOOSE(CONTROL!$C$38, 0.0342, 0)</f>
        <v>58.677199999999999</v>
      </c>
      <c r="I819" s="14">
        <f>58.6446 * CHOOSE(CONTROL!$C$15, $E$9, 100%, $G$9) + CHOOSE(CONTROL!$C$38, 0.0342, 0)</f>
        <v>58.678799999999995</v>
      </c>
      <c r="J819" s="44">
        <f>563.8418</f>
        <v>563.84180000000003</v>
      </c>
    </row>
    <row r="820" spans="1:10" ht="15.75" x14ac:dyDescent="0.25">
      <c r="A820" s="32">
        <v>65897</v>
      </c>
      <c r="B820" s="14">
        <f>64.0528 * CHOOSE(CONTROL!$C$15, $E$9, 100%, $G$9) + CHOOSE(CONTROL!$C$38, 0.0353, 0)</f>
        <v>64.088100000000011</v>
      </c>
      <c r="C820" s="14">
        <f>60.5971 * CHOOSE(CONTROL!$C$15, $E$9, 100%, $G$9) + CHOOSE(CONTROL!$C$38, 0.0354, 0)</f>
        <v>60.6325</v>
      </c>
      <c r="D820" s="14">
        <f>60.5893 * CHOOSE(CONTROL!$C$15, $E$9, 100%, $G$9) + CHOOSE(CONTROL!$C$38, 0.0354, 0)</f>
        <v>60.624700000000004</v>
      </c>
      <c r="E820" s="14">
        <f>60.5893 * CHOOSE(CONTROL!$C$15, $E$9, 100%, $G$9) + CHOOSE(CONTROL!$C$38, 0.0354, 0)</f>
        <v>60.624700000000004</v>
      </c>
      <c r="F820" s="45">
        <f>64.0528 * CHOOSE(CONTROL!$C$15, $E$9, 100%, $G$9) + CHOOSE(CONTROL!$C$38, 0.0353, 0)</f>
        <v>64.088100000000011</v>
      </c>
      <c r="G820" s="14">
        <f>60.5955 * CHOOSE(CONTROL!$C$15, $E$9, 100%, $G$9) + CHOOSE(CONTROL!$C$38, 0.0354, 0)</f>
        <v>60.630900000000004</v>
      </c>
      <c r="H820" s="14">
        <f>60.5955 * CHOOSE(CONTROL!$C$15, $E$9, 100%, $G$9) + CHOOSE(CONTROL!$C$38, 0.0354, 0)</f>
        <v>60.630900000000004</v>
      </c>
      <c r="I820" s="14">
        <f>60.5971 * CHOOSE(CONTROL!$C$15, $E$9, 100%, $G$9) + CHOOSE(CONTROL!$C$38, 0.0354, 0)</f>
        <v>60.6325</v>
      </c>
      <c r="J820" s="44">
        <f>582.7632</f>
        <v>582.76319999999998</v>
      </c>
    </row>
    <row r="821" spans="1:10" ht="15.75" x14ac:dyDescent="0.25">
      <c r="A821" s="32">
        <v>65927</v>
      </c>
      <c r="B821" s="14">
        <f>64.9669 * CHOOSE(CONTROL!$C$15, $E$9, 100%, $G$9) + CHOOSE(CONTROL!$C$38, 0.0353, 0)</f>
        <v>65.002200000000002</v>
      </c>
      <c r="C821" s="14">
        <f>61.4636 * CHOOSE(CONTROL!$C$15, $E$9, 100%, $G$9) + CHOOSE(CONTROL!$C$38, 0.0354, 0)</f>
        <v>61.499000000000002</v>
      </c>
      <c r="D821" s="14">
        <f>61.4558 * CHOOSE(CONTROL!$C$15, $E$9, 100%, $G$9) + CHOOSE(CONTROL!$C$38, 0.0354, 0)</f>
        <v>61.491200000000006</v>
      </c>
      <c r="E821" s="14">
        <f>61.4558 * CHOOSE(CONTROL!$C$15, $E$9, 100%, $G$9) + CHOOSE(CONTROL!$C$38, 0.0354, 0)</f>
        <v>61.491200000000006</v>
      </c>
      <c r="F821" s="45">
        <f>64.9669 * CHOOSE(CONTROL!$C$15, $E$9, 100%, $G$9) + CHOOSE(CONTROL!$C$38, 0.0353, 0)</f>
        <v>65.002200000000002</v>
      </c>
      <c r="G821" s="14">
        <f>61.462 * CHOOSE(CONTROL!$C$15, $E$9, 100%, $G$9) + CHOOSE(CONTROL!$C$38, 0.0354, 0)</f>
        <v>61.497400000000006</v>
      </c>
      <c r="H821" s="14">
        <f>61.462 * CHOOSE(CONTROL!$C$15, $E$9, 100%, $G$9) + CHOOSE(CONTROL!$C$38, 0.0354, 0)</f>
        <v>61.497400000000006</v>
      </c>
      <c r="I821" s="14">
        <f>61.4636 * CHOOSE(CONTROL!$C$15, $E$9, 100%, $G$9) + CHOOSE(CONTROL!$C$38, 0.0354, 0)</f>
        <v>61.499000000000002</v>
      </c>
      <c r="J821" s="44">
        <f>591.1602</f>
        <v>591.16020000000003</v>
      </c>
    </row>
    <row r="822" spans="1:10" ht="15.75" x14ac:dyDescent="0.25">
      <c r="A822" s="32">
        <v>65958</v>
      </c>
      <c r="B822" s="14">
        <f>64.6659 * CHOOSE(CONTROL!$C$15, $E$9, 100%, $G$9) + CHOOSE(CONTROL!$C$38, 0.0353, 0)</f>
        <v>64.7012</v>
      </c>
      <c r="C822" s="14">
        <f>61.1783 * CHOOSE(CONTROL!$C$15, $E$9, 100%, $G$9) + CHOOSE(CONTROL!$C$38, 0.0354, 0)</f>
        <v>61.213700000000003</v>
      </c>
      <c r="D822" s="14">
        <f>61.1705 * CHOOSE(CONTROL!$C$15, $E$9, 100%, $G$9) + CHOOSE(CONTROL!$C$38, 0.0354, 0)</f>
        <v>61.2059</v>
      </c>
      <c r="E822" s="14">
        <f>61.1705 * CHOOSE(CONTROL!$C$15, $E$9, 100%, $G$9) + CHOOSE(CONTROL!$C$38, 0.0354, 0)</f>
        <v>61.2059</v>
      </c>
      <c r="F822" s="45">
        <f>64.6659 * CHOOSE(CONTROL!$C$15, $E$9, 100%, $G$9) + CHOOSE(CONTROL!$C$38, 0.0353, 0)</f>
        <v>64.7012</v>
      </c>
      <c r="G822" s="14">
        <f>61.1767 * CHOOSE(CONTROL!$C$15, $E$9, 100%, $G$9) + CHOOSE(CONTROL!$C$38, 0.0354, 0)</f>
        <v>61.2121</v>
      </c>
      <c r="H822" s="14">
        <f>61.1767 * CHOOSE(CONTROL!$C$15, $E$9, 100%, $G$9) + CHOOSE(CONTROL!$C$38, 0.0354, 0)</f>
        <v>61.2121</v>
      </c>
      <c r="I822" s="14">
        <f>61.1783 * CHOOSE(CONTROL!$C$15, $E$9, 100%, $G$9) + CHOOSE(CONTROL!$C$38, 0.0354, 0)</f>
        <v>61.213700000000003</v>
      </c>
      <c r="J822" s="44">
        <f>588.3955</f>
        <v>588.39549999999997</v>
      </c>
    </row>
    <row r="823" spans="1:10" ht="15.75" x14ac:dyDescent="0.25">
      <c r="A823" s="32">
        <v>65989</v>
      </c>
      <c r="B823" s="14">
        <f>63.1749 * CHOOSE(CONTROL!$C$15, $E$9, 100%, $G$9) + CHOOSE(CONTROL!$C$38, 0.0353, 0)</f>
        <v>63.2102</v>
      </c>
      <c r="C823" s="14">
        <f>59.7648 * CHOOSE(CONTROL!$C$15, $E$9, 100%, $G$9) + CHOOSE(CONTROL!$C$38, 0.0354, 0)</f>
        <v>59.800200000000004</v>
      </c>
      <c r="D823" s="14">
        <f>59.757 * CHOOSE(CONTROL!$C$15, $E$9, 100%, $G$9) + CHOOSE(CONTROL!$C$38, 0.0354, 0)</f>
        <v>59.792400000000001</v>
      </c>
      <c r="E823" s="14">
        <f>59.757 * CHOOSE(CONTROL!$C$15, $E$9, 100%, $G$9) + CHOOSE(CONTROL!$C$38, 0.0354, 0)</f>
        <v>59.792400000000001</v>
      </c>
      <c r="F823" s="45">
        <f>63.1749 * CHOOSE(CONTROL!$C$15, $E$9, 100%, $G$9) + CHOOSE(CONTROL!$C$38, 0.0353, 0)</f>
        <v>63.2102</v>
      </c>
      <c r="G823" s="14">
        <f>59.7633 * CHOOSE(CONTROL!$C$15, $E$9, 100%, $G$9) + CHOOSE(CONTROL!$C$38, 0.0354, 0)</f>
        <v>59.798700000000004</v>
      </c>
      <c r="H823" s="14">
        <f>59.7633 * CHOOSE(CONTROL!$C$15, $E$9, 100%, $G$9) + CHOOSE(CONTROL!$C$38, 0.0354, 0)</f>
        <v>59.798700000000004</v>
      </c>
      <c r="I823" s="14">
        <f>59.7648 * CHOOSE(CONTROL!$C$15, $E$9, 100%, $G$9) + CHOOSE(CONTROL!$C$38, 0.0354, 0)</f>
        <v>59.800200000000004</v>
      </c>
      <c r="J823" s="44">
        <f>574.6979</f>
        <v>574.6979</v>
      </c>
    </row>
    <row r="824" spans="1:10" ht="15.75" x14ac:dyDescent="0.25">
      <c r="A824" s="32">
        <v>66019</v>
      </c>
      <c r="B824" s="14">
        <f>61.0956 * CHOOSE(CONTROL!$C$15, $E$9, 100%, $G$9) + CHOOSE(CONTROL!$C$38, 0.0353, 0)</f>
        <v>61.130899999999997</v>
      </c>
      <c r="C824" s="14">
        <f>57.7937 * CHOOSE(CONTROL!$C$15, $E$9, 100%, $G$9) + CHOOSE(CONTROL!$C$38, 0.0354, 0)</f>
        <v>57.829100000000004</v>
      </c>
      <c r="D824" s="14">
        <f>57.7858 * CHOOSE(CONTROL!$C$15, $E$9, 100%, $G$9) + CHOOSE(CONTROL!$C$38, 0.0354, 0)</f>
        <v>57.821200000000005</v>
      </c>
      <c r="E824" s="14">
        <f>57.7858 * CHOOSE(CONTROL!$C$15, $E$9, 100%, $G$9) + CHOOSE(CONTROL!$C$38, 0.0354, 0)</f>
        <v>57.821200000000005</v>
      </c>
      <c r="F824" s="45">
        <f>61.0956 * CHOOSE(CONTROL!$C$15, $E$9, 100%, $G$9) + CHOOSE(CONTROL!$C$38, 0.0353, 0)</f>
        <v>61.130899999999997</v>
      </c>
      <c r="G824" s="14">
        <f>57.7921 * CHOOSE(CONTROL!$C$15, $E$9, 100%, $G$9) + CHOOSE(CONTROL!$C$38, 0.0354, 0)</f>
        <v>57.827500000000001</v>
      </c>
      <c r="H824" s="14">
        <f>57.7921 * CHOOSE(CONTROL!$C$15, $E$9, 100%, $G$9) + CHOOSE(CONTROL!$C$38, 0.0354, 0)</f>
        <v>57.827500000000001</v>
      </c>
      <c r="I824" s="14">
        <f>57.7937 * CHOOSE(CONTROL!$C$15, $E$9, 100%, $G$9) + CHOOSE(CONTROL!$C$38, 0.0354, 0)</f>
        <v>57.829100000000004</v>
      </c>
      <c r="J824" s="44">
        <f>555.5959</f>
        <v>555.59590000000003</v>
      </c>
    </row>
    <row r="825" spans="1:10" ht="15.75" x14ac:dyDescent="0.25">
      <c r="A825" s="32">
        <v>66050</v>
      </c>
      <c r="B825" s="14">
        <f>59.0042 * CHOOSE(CONTROL!$C$15, $E$9, 100%, $G$9) + CHOOSE(CONTROL!$C$38, 0.034, 0)</f>
        <v>59.038199999999996</v>
      </c>
      <c r="C825" s="14">
        <f>55.811 * CHOOSE(CONTROL!$C$15, $E$9, 100%, $G$9) + CHOOSE(CONTROL!$C$38, 0.0342, 0)</f>
        <v>55.845199999999998</v>
      </c>
      <c r="D825" s="14">
        <f>55.8032 * CHOOSE(CONTROL!$C$15, $E$9, 100%, $G$9) + CHOOSE(CONTROL!$C$38, 0.0342, 0)</f>
        <v>55.837399999999995</v>
      </c>
      <c r="E825" s="14">
        <f>55.8032 * CHOOSE(CONTROL!$C$15, $E$9, 100%, $G$9) + CHOOSE(CONTROL!$C$38, 0.0342, 0)</f>
        <v>55.837399999999995</v>
      </c>
      <c r="F825" s="45">
        <f>59.0042 * CHOOSE(CONTROL!$C$15, $E$9, 100%, $G$9) + CHOOSE(CONTROL!$C$38, 0.034, 0)</f>
        <v>59.038199999999996</v>
      </c>
      <c r="G825" s="14">
        <f>55.8095 * CHOOSE(CONTROL!$C$15, $E$9, 100%, $G$9) + CHOOSE(CONTROL!$C$38, 0.0342, 0)</f>
        <v>55.843699999999998</v>
      </c>
      <c r="H825" s="14">
        <f>55.8095 * CHOOSE(CONTROL!$C$15, $E$9, 100%, $G$9) + CHOOSE(CONTROL!$C$38, 0.0342, 0)</f>
        <v>55.843699999999998</v>
      </c>
      <c r="I825" s="14">
        <f>55.811 * CHOOSE(CONTROL!$C$15, $E$9, 100%, $G$9) + CHOOSE(CONTROL!$C$38, 0.0342, 0)</f>
        <v>55.845199999999998</v>
      </c>
      <c r="J825" s="44">
        <f>536.3828</f>
        <v>536.38279999999997</v>
      </c>
    </row>
    <row r="826" spans="1:10" ht="15.75" x14ac:dyDescent="0.25">
      <c r="A826" s="32">
        <v>66080</v>
      </c>
      <c r="B826" s="14">
        <f>58.5881 * CHOOSE(CONTROL!$C$15, $E$9, 100%, $G$9) + CHOOSE(CONTROL!$C$38, 0.034, 0)</f>
        <v>58.622099999999996</v>
      </c>
      <c r="C826" s="14">
        <f>55.4166 * CHOOSE(CONTROL!$C$15, $E$9, 100%, $G$9) + CHOOSE(CONTROL!$C$38, 0.0342, 0)</f>
        <v>55.450800000000001</v>
      </c>
      <c r="D826" s="14">
        <f>55.4088 * CHOOSE(CONTROL!$C$15, $E$9, 100%, $G$9) + CHOOSE(CONTROL!$C$38, 0.0342, 0)</f>
        <v>55.442999999999998</v>
      </c>
      <c r="E826" s="14">
        <f>55.4088 * CHOOSE(CONTROL!$C$15, $E$9, 100%, $G$9) + CHOOSE(CONTROL!$C$38, 0.0342, 0)</f>
        <v>55.442999999999998</v>
      </c>
      <c r="F826" s="45">
        <f>58.5881 * CHOOSE(CONTROL!$C$15, $E$9, 100%, $G$9) + CHOOSE(CONTROL!$C$38, 0.034, 0)</f>
        <v>58.622099999999996</v>
      </c>
      <c r="G826" s="14">
        <f>55.4151 * CHOOSE(CONTROL!$C$15, $E$9, 100%, $G$9) + CHOOSE(CONTROL!$C$38, 0.0342, 0)</f>
        <v>55.449300000000001</v>
      </c>
      <c r="H826" s="14">
        <f>55.4151 * CHOOSE(CONTROL!$C$15, $E$9, 100%, $G$9) + CHOOSE(CONTROL!$C$38, 0.0342, 0)</f>
        <v>55.449300000000001</v>
      </c>
      <c r="I826" s="14">
        <f>55.4166 * CHOOSE(CONTROL!$C$15, $E$9, 100%, $G$9) + CHOOSE(CONTROL!$C$38, 0.0342, 0)</f>
        <v>55.450800000000001</v>
      </c>
      <c r="J826" s="44">
        <f>532.561</f>
        <v>532.56100000000004</v>
      </c>
    </row>
    <row r="827" spans="1:10" ht="15.75" x14ac:dyDescent="0.25">
      <c r="A827" s="32">
        <v>66111</v>
      </c>
      <c r="B827" s="14">
        <f>56.8679 * CHOOSE(CONTROL!$C$15, $E$9, 100%, $G$9) + CHOOSE(CONTROL!$C$38, 0.034, 0)</f>
        <v>56.901899999999998</v>
      </c>
      <c r="C827" s="14">
        <f>53.7858 * CHOOSE(CONTROL!$C$15, $E$9, 100%, $G$9) + CHOOSE(CONTROL!$C$38, 0.0342, 0)</f>
        <v>53.82</v>
      </c>
      <c r="D827" s="14">
        <f>53.778 * CHOOSE(CONTROL!$C$15, $E$9, 100%, $G$9) + CHOOSE(CONTROL!$C$38, 0.0342, 0)</f>
        <v>53.812199999999997</v>
      </c>
      <c r="E827" s="14">
        <f>53.778 * CHOOSE(CONTROL!$C$15, $E$9, 100%, $G$9) + CHOOSE(CONTROL!$C$38, 0.0342, 0)</f>
        <v>53.812199999999997</v>
      </c>
      <c r="F827" s="45">
        <f>56.8679 * CHOOSE(CONTROL!$C$15, $E$9, 100%, $G$9) + CHOOSE(CONTROL!$C$38, 0.034, 0)</f>
        <v>56.901899999999998</v>
      </c>
      <c r="G827" s="14">
        <f>53.7843 * CHOOSE(CONTROL!$C$15, $E$9, 100%, $G$9) + CHOOSE(CONTROL!$C$38, 0.0342, 0)</f>
        <v>53.8185</v>
      </c>
      <c r="H827" s="14">
        <f>53.7843 * CHOOSE(CONTROL!$C$15, $E$9, 100%, $G$9) + CHOOSE(CONTROL!$C$38, 0.0342, 0)</f>
        <v>53.8185</v>
      </c>
      <c r="I827" s="14">
        <f>53.7858 * CHOOSE(CONTROL!$C$15, $E$9, 100%, $G$9) + CHOOSE(CONTROL!$C$38, 0.0342, 0)</f>
        <v>53.82</v>
      </c>
      <c r="J827" s="44">
        <f>516.7572</f>
        <v>516.75720000000001</v>
      </c>
    </row>
    <row r="828" spans="1:10" ht="15.75" x14ac:dyDescent="0.25">
      <c r="A828" s="32">
        <v>66142</v>
      </c>
      <c r="B828" s="14">
        <f>56.4406 * CHOOSE(CONTROL!$C$15, $E$9, 100%, $G$9) + CHOOSE(CONTROL!$C$38, 0.034, 0)</f>
        <v>56.474600000000002</v>
      </c>
      <c r="C828" s="14">
        <f>53.3808 * CHOOSE(CONTROL!$C$15, $E$9, 100%, $G$9) + CHOOSE(CONTROL!$C$38, 0.0342, 0)</f>
        <v>53.414999999999999</v>
      </c>
      <c r="D828" s="14">
        <f>53.373 * CHOOSE(CONTROL!$C$15, $E$9, 100%, $G$9) + CHOOSE(CONTROL!$C$38, 0.0342, 0)</f>
        <v>53.407199999999996</v>
      </c>
      <c r="E828" s="14">
        <f>53.373 * CHOOSE(CONTROL!$C$15, $E$9, 100%, $G$9) + CHOOSE(CONTROL!$C$38, 0.0342, 0)</f>
        <v>53.407199999999996</v>
      </c>
      <c r="F828" s="45">
        <f>56.4406 * CHOOSE(CONTROL!$C$15, $E$9, 100%, $G$9) + CHOOSE(CONTROL!$C$38, 0.034, 0)</f>
        <v>56.474600000000002</v>
      </c>
      <c r="G828" s="14">
        <f>53.3793 * CHOOSE(CONTROL!$C$15, $E$9, 100%, $G$9) + CHOOSE(CONTROL!$C$38, 0.0342, 0)</f>
        <v>53.413499999999999</v>
      </c>
      <c r="H828" s="14">
        <f>53.3793 * CHOOSE(CONTROL!$C$15, $E$9, 100%, $G$9) + CHOOSE(CONTROL!$C$38, 0.0342, 0)</f>
        <v>53.413499999999999</v>
      </c>
      <c r="I828" s="14">
        <f>53.3808 * CHOOSE(CONTROL!$C$15, $E$9, 100%, $G$9) + CHOOSE(CONTROL!$C$38, 0.0342, 0)</f>
        <v>53.414999999999999</v>
      </c>
      <c r="J828" s="44">
        <f>516.3841</f>
        <v>516.38409999999999</v>
      </c>
    </row>
    <row r="829" spans="1:10" ht="15.75" x14ac:dyDescent="0.25">
      <c r="A829" s="32">
        <v>66170</v>
      </c>
      <c r="B829" s="14">
        <f>56.2855 * CHOOSE(CONTROL!$C$15, $E$9, 100%, $G$9) + CHOOSE(CONTROL!$C$38, 0.034, 0)</f>
        <v>56.319499999999998</v>
      </c>
      <c r="C829" s="14">
        <f>53.2337 * CHOOSE(CONTROL!$C$15, $E$9, 100%, $G$9) + CHOOSE(CONTROL!$C$38, 0.0342, 0)</f>
        <v>53.267899999999997</v>
      </c>
      <c r="D829" s="14">
        <f>53.2259 * CHOOSE(CONTROL!$C$15, $E$9, 100%, $G$9) + CHOOSE(CONTROL!$C$38, 0.0342, 0)</f>
        <v>53.260100000000001</v>
      </c>
      <c r="E829" s="14">
        <f>53.2259 * CHOOSE(CONTROL!$C$15, $E$9, 100%, $G$9) + CHOOSE(CONTROL!$C$38, 0.0342, 0)</f>
        <v>53.260100000000001</v>
      </c>
      <c r="F829" s="45">
        <f>56.2855 * CHOOSE(CONTROL!$C$15, $E$9, 100%, $G$9) + CHOOSE(CONTROL!$C$38, 0.034, 0)</f>
        <v>56.319499999999998</v>
      </c>
      <c r="G829" s="14">
        <f>53.2322 * CHOOSE(CONTROL!$C$15, $E$9, 100%, $G$9) + CHOOSE(CONTROL!$C$38, 0.0342, 0)</f>
        <v>53.266399999999997</v>
      </c>
      <c r="H829" s="14">
        <f>53.2322 * CHOOSE(CONTROL!$C$15, $E$9, 100%, $G$9) + CHOOSE(CONTROL!$C$38, 0.0342, 0)</f>
        <v>53.266399999999997</v>
      </c>
      <c r="I829" s="14">
        <f>53.2337 * CHOOSE(CONTROL!$C$15, $E$9, 100%, $G$9) + CHOOSE(CONTROL!$C$38, 0.0342, 0)</f>
        <v>53.267899999999997</v>
      </c>
      <c r="J829" s="44">
        <f>514.9487</f>
        <v>514.94870000000003</v>
      </c>
    </row>
    <row r="830" spans="1:10" ht="15.75" x14ac:dyDescent="0.25">
      <c r="A830" s="32">
        <v>66201</v>
      </c>
      <c r="B830" s="14">
        <f>59.2195 * CHOOSE(CONTROL!$C$15, $E$9, 100%, $G$9) + CHOOSE(CONTROL!$C$38, 0.034, 0)</f>
        <v>59.253499999999995</v>
      </c>
      <c r="C830" s="14">
        <f>56.0152 * CHOOSE(CONTROL!$C$15, $E$9, 100%, $G$9) + CHOOSE(CONTROL!$C$38, 0.0342, 0)</f>
        <v>56.049399999999999</v>
      </c>
      <c r="D830" s="14">
        <f>56.0074 * CHOOSE(CONTROL!$C$15, $E$9, 100%, $G$9) + CHOOSE(CONTROL!$C$38, 0.0342, 0)</f>
        <v>56.041599999999995</v>
      </c>
      <c r="E830" s="14">
        <f>56.0074 * CHOOSE(CONTROL!$C$15, $E$9, 100%, $G$9) + CHOOSE(CONTROL!$C$38, 0.0342, 0)</f>
        <v>56.041599999999995</v>
      </c>
      <c r="F830" s="45">
        <f>59.2195 * CHOOSE(CONTROL!$C$15, $E$9, 100%, $G$9) + CHOOSE(CONTROL!$C$38, 0.034, 0)</f>
        <v>59.253499999999995</v>
      </c>
      <c r="G830" s="14">
        <f>56.0136 * CHOOSE(CONTROL!$C$15, $E$9, 100%, $G$9) + CHOOSE(CONTROL!$C$38, 0.0342, 0)</f>
        <v>56.047799999999995</v>
      </c>
      <c r="H830" s="14">
        <f>56.0136 * CHOOSE(CONTROL!$C$15, $E$9, 100%, $G$9) + CHOOSE(CONTROL!$C$38, 0.0342, 0)</f>
        <v>56.047799999999995</v>
      </c>
      <c r="I830" s="14">
        <f>56.0152 * CHOOSE(CONTROL!$C$15, $E$9, 100%, $G$9) + CHOOSE(CONTROL!$C$38, 0.0342, 0)</f>
        <v>56.049399999999999</v>
      </c>
      <c r="J830" s="44">
        <f>542.0895</f>
        <v>542.08950000000004</v>
      </c>
    </row>
    <row r="831" spans="1:10" ht="15.75" x14ac:dyDescent="0.25">
      <c r="A831" s="32">
        <v>66231</v>
      </c>
      <c r="B831" s="14">
        <f>63.0243 * CHOOSE(CONTROL!$C$15, $E$9, 100%, $G$9) + CHOOSE(CONTROL!$C$38, 0.034, 0)</f>
        <v>63.058299999999996</v>
      </c>
      <c r="C831" s="14">
        <f>59.622 * CHOOSE(CONTROL!$C$15, $E$9, 100%, $G$9) + CHOOSE(CONTROL!$C$38, 0.0342, 0)</f>
        <v>59.656199999999998</v>
      </c>
      <c r="D831" s="14">
        <f>59.6142 * CHOOSE(CONTROL!$C$15, $E$9, 100%, $G$9) + CHOOSE(CONTROL!$C$38, 0.0342, 0)</f>
        <v>59.648399999999995</v>
      </c>
      <c r="E831" s="14">
        <f>59.6142 * CHOOSE(CONTROL!$C$15, $E$9, 100%, $G$9) + CHOOSE(CONTROL!$C$38, 0.0342, 0)</f>
        <v>59.648399999999995</v>
      </c>
      <c r="F831" s="45">
        <f>63.0243 * CHOOSE(CONTROL!$C$15, $E$9, 100%, $G$9) + CHOOSE(CONTROL!$C$38, 0.034, 0)</f>
        <v>63.058299999999996</v>
      </c>
      <c r="G831" s="14">
        <f>59.6205 * CHOOSE(CONTROL!$C$15, $E$9, 100%, $G$9) + CHOOSE(CONTROL!$C$38, 0.0342, 0)</f>
        <v>59.654699999999998</v>
      </c>
      <c r="H831" s="14">
        <f>59.6205 * CHOOSE(CONTROL!$C$15, $E$9, 100%, $G$9) + CHOOSE(CONTROL!$C$38, 0.0342, 0)</f>
        <v>59.654699999999998</v>
      </c>
      <c r="I831" s="14">
        <f>59.622 * CHOOSE(CONTROL!$C$15, $E$9, 100%, $G$9) + CHOOSE(CONTROL!$C$38, 0.0342, 0)</f>
        <v>59.656199999999998</v>
      </c>
      <c r="J831" s="44">
        <f>577.2846</f>
        <v>577.28459999999995</v>
      </c>
    </row>
    <row r="832" spans="1:10" ht="15.75" x14ac:dyDescent="0.25">
      <c r="A832" s="32">
        <v>66262</v>
      </c>
      <c r="B832" s="14">
        <f>65.1185 * CHOOSE(CONTROL!$C$15, $E$9, 100%, $G$9) + CHOOSE(CONTROL!$C$38, 0.0353, 0)</f>
        <v>65.153800000000004</v>
      </c>
      <c r="C832" s="14">
        <f>61.6074 * CHOOSE(CONTROL!$C$15, $E$9, 100%, $G$9) + CHOOSE(CONTROL!$C$38, 0.0354, 0)</f>
        <v>61.642800000000001</v>
      </c>
      <c r="D832" s="14">
        <f>61.5995 * CHOOSE(CONTROL!$C$15, $E$9, 100%, $G$9) + CHOOSE(CONTROL!$C$38, 0.0354, 0)</f>
        <v>61.634900000000002</v>
      </c>
      <c r="E832" s="14">
        <f>61.5995 * CHOOSE(CONTROL!$C$15, $E$9, 100%, $G$9) + CHOOSE(CONTROL!$C$38, 0.0354, 0)</f>
        <v>61.634900000000002</v>
      </c>
      <c r="F832" s="45">
        <f>65.1185 * CHOOSE(CONTROL!$C$15, $E$9, 100%, $G$9) + CHOOSE(CONTROL!$C$38, 0.0353, 0)</f>
        <v>65.153800000000004</v>
      </c>
      <c r="G832" s="14">
        <f>61.6058 * CHOOSE(CONTROL!$C$15, $E$9, 100%, $G$9) + CHOOSE(CONTROL!$C$38, 0.0354, 0)</f>
        <v>61.641200000000005</v>
      </c>
      <c r="H832" s="14">
        <f>61.6058 * CHOOSE(CONTROL!$C$15, $E$9, 100%, $G$9) + CHOOSE(CONTROL!$C$38, 0.0354, 0)</f>
        <v>61.641200000000005</v>
      </c>
      <c r="I832" s="14">
        <f>61.6074 * CHOOSE(CONTROL!$C$15, $E$9, 100%, $G$9) + CHOOSE(CONTROL!$C$38, 0.0354, 0)</f>
        <v>61.642800000000001</v>
      </c>
      <c r="J832" s="44">
        <f>596.6571</f>
        <v>596.65710000000001</v>
      </c>
    </row>
    <row r="833" spans="1:10" ht="15.75" x14ac:dyDescent="0.25">
      <c r="A833" s="32">
        <v>66292</v>
      </c>
      <c r="B833" s="14">
        <f>66.0479 * CHOOSE(CONTROL!$C$15, $E$9, 100%, $G$9) + CHOOSE(CONTROL!$C$38, 0.0353, 0)</f>
        <v>66.083200000000005</v>
      </c>
      <c r="C833" s="14">
        <f>62.4884 * CHOOSE(CONTROL!$C$15, $E$9, 100%, $G$9) + CHOOSE(CONTROL!$C$38, 0.0354, 0)</f>
        <v>62.523800000000001</v>
      </c>
      <c r="D833" s="14">
        <f>62.4806 * CHOOSE(CONTROL!$C$15, $E$9, 100%, $G$9) + CHOOSE(CONTROL!$C$38, 0.0354, 0)</f>
        <v>62.516000000000005</v>
      </c>
      <c r="E833" s="14">
        <f>62.4806 * CHOOSE(CONTROL!$C$15, $E$9, 100%, $G$9) + CHOOSE(CONTROL!$C$38, 0.0354, 0)</f>
        <v>62.516000000000005</v>
      </c>
      <c r="F833" s="45">
        <f>66.0479 * CHOOSE(CONTROL!$C$15, $E$9, 100%, $G$9) + CHOOSE(CONTROL!$C$38, 0.0353, 0)</f>
        <v>66.083200000000005</v>
      </c>
      <c r="G833" s="14">
        <f>62.4868 * CHOOSE(CONTROL!$C$15, $E$9, 100%, $G$9) + CHOOSE(CONTROL!$C$38, 0.0354, 0)</f>
        <v>62.522200000000005</v>
      </c>
      <c r="H833" s="14">
        <f>62.4868 * CHOOSE(CONTROL!$C$15, $E$9, 100%, $G$9) + CHOOSE(CONTROL!$C$38, 0.0354, 0)</f>
        <v>62.522200000000005</v>
      </c>
      <c r="I833" s="14">
        <f>62.4884 * CHOOSE(CONTROL!$C$15, $E$9, 100%, $G$9) + CHOOSE(CONTROL!$C$38, 0.0354, 0)</f>
        <v>62.523800000000001</v>
      </c>
      <c r="J833" s="44">
        <f>605.2543</f>
        <v>605.25429999999994</v>
      </c>
    </row>
    <row r="834" spans="1:10" ht="15.75" x14ac:dyDescent="0.25">
      <c r="A834" s="32">
        <v>66323</v>
      </c>
      <c r="B834" s="14">
        <f>65.7419 * CHOOSE(CONTROL!$C$15, $E$9, 100%, $G$9) + CHOOSE(CONTROL!$C$38, 0.0353, 0)</f>
        <v>65.777200000000008</v>
      </c>
      <c r="C834" s="14">
        <f>62.1983 * CHOOSE(CONTROL!$C$15, $E$9, 100%, $G$9) + CHOOSE(CONTROL!$C$38, 0.0354, 0)</f>
        <v>62.233700000000006</v>
      </c>
      <c r="D834" s="14">
        <f>62.1905 * CHOOSE(CONTROL!$C$15, $E$9, 100%, $G$9) + CHOOSE(CONTROL!$C$38, 0.0354, 0)</f>
        <v>62.225900000000003</v>
      </c>
      <c r="E834" s="14">
        <f>62.1905 * CHOOSE(CONTROL!$C$15, $E$9, 100%, $G$9) + CHOOSE(CONTROL!$C$38, 0.0354, 0)</f>
        <v>62.225900000000003</v>
      </c>
      <c r="F834" s="45">
        <f>65.7419 * CHOOSE(CONTROL!$C$15, $E$9, 100%, $G$9) + CHOOSE(CONTROL!$C$38, 0.0353, 0)</f>
        <v>65.777200000000008</v>
      </c>
      <c r="G834" s="14">
        <f>62.1968 * CHOOSE(CONTROL!$C$15, $E$9, 100%, $G$9) + CHOOSE(CONTROL!$C$38, 0.0354, 0)</f>
        <v>62.232200000000006</v>
      </c>
      <c r="H834" s="14">
        <f>62.1968 * CHOOSE(CONTROL!$C$15, $E$9, 100%, $G$9) + CHOOSE(CONTROL!$C$38, 0.0354, 0)</f>
        <v>62.232200000000006</v>
      </c>
      <c r="I834" s="14">
        <f>62.1983 * CHOOSE(CONTROL!$C$15, $E$9, 100%, $G$9) + CHOOSE(CONTROL!$C$38, 0.0354, 0)</f>
        <v>62.233700000000006</v>
      </c>
      <c r="J834" s="44">
        <f>602.4237</f>
        <v>602.42370000000005</v>
      </c>
    </row>
    <row r="835" spans="1:10" ht="15.75" x14ac:dyDescent="0.25">
      <c r="A835" s="32">
        <v>66354</v>
      </c>
      <c r="B835" s="14">
        <f>64.2258 * CHOOSE(CONTROL!$C$15, $E$9, 100%, $G$9) + CHOOSE(CONTROL!$C$38, 0.0353, 0)</f>
        <v>64.261100000000013</v>
      </c>
      <c r="C835" s="14">
        <f>60.7611 * CHOOSE(CONTROL!$C$15, $E$9, 100%, $G$9) + CHOOSE(CONTROL!$C$38, 0.0354, 0)</f>
        <v>60.796500000000002</v>
      </c>
      <c r="D835" s="14">
        <f>60.7533 * CHOOSE(CONTROL!$C$15, $E$9, 100%, $G$9) + CHOOSE(CONTROL!$C$38, 0.0354, 0)</f>
        <v>60.788700000000006</v>
      </c>
      <c r="E835" s="14">
        <f>60.7533 * CHOOSE(CONTROL!$C$15, $E$9, 100%, $G$9) + CHOOSE(CONTROL!$C$38, 0.0354, 0)</f>
        <v>60.788700000000006</v>
      </c>
      <c r="F835" s="45">
        <f>64.2258 * CHOOSE(CONTROL!$C$15, $E$9, 100%, $G$9) + CHOOSE(CONTROL!$C$38, 0.0353, 0)</f>
        <v>64.261100000000013</v>
      </c>
      <c r="G835" s="14">
        <f>60.7595 * CHOOSE(CONTROL!$C$15, $E$9, 100%, $G$9) + CHOOSE(CONTROL!$C$38, 0.0354, 0)</f>
        <v>60.794900000000005</v>
      </c>
      <c r="H835" s="14">
        <f>60.7595 * CHOOSE(CONTROL!$C$15, $E$9, 100%, $G$9) + CHOOSE(CONTROL!$C$38, 0.0354, 0)</f>
        <v>60.794900000000005</v>
      </c>
      <c r="I835" s="14">
        <f>60.7611 * CHOOSE(CONTROL!$C$15, $E$9, 100%, $G$9) + CHOOSE(CONTROL!$C$38, 0.0354, 0)</f>
        <v>60.796500000000002</v>
      </c>
      <c r="J835" s="44">
        <f>588.3995</f>
        <v>588.39949999999999</v>
      </c>
    </row>
    <row r="836" spans="1:10" ht="15.75" x14ac:dyDescent="0.25">
      <c r="A836" s="32">
        <v>66384</v>
      </c>
      <c r="B836" s="14">
        <f>62.1116 * CHOOSE(CONTROL!$C$15, $E$9, 100%, $G$9) + CHOOSE(CONTROL!$C$38, 0.0353, 0)</f>
        <v>62.146900000000002</v>
      </c>
      <c r="C836" s="14">
        <f>58.7568 * CHOOSE(CONTROL!$C$15, $E$9, 100%, $G$9) + CHOOSE(CONTROL!$C$38, 0.0354, 0)</f>
        <v>58.792200000000001</v>
      </c>
      <c r="D836" s="14">
        <f>58.749 * CHOOSE(CONTROL!$C$15, $E$9, 100%, $G$9) + CHOOSE(CONTROL!$C$38, 0.0354, 0)</f>
        <v>58.784400000000005</v>
      </c>
      <c r="E836" s="14">
        <f>58.749 * CHOOSE(CONTROL!$C$15, $E$9, 100%, $G$9) + CHOOSE(CONTROL!$C$38, 0.0354, 0)</f>
        <v>58.784400000000005</v>
      </c>
      <c r="F836" s="45">
        <f>62.1116 * CHOOSE(CONTROL!$C$15, $E$9, 100%, $G$9) + CHOOSE(CONTROL!$C$38, 0.0353, 0)</f>
        <v>62.146900000000002</v>
      </c>
      <c r="G836" s="14">
        <f>58.7553 * CHOOSE(CONTROL!$C$15, $E$9, 100%, $G$9) + CHOOSE(CONTROL!$C$38, 0.0354, 0)</f>
        <v>58.790700000000001</v>
      </c>
      <c r="H836" s="14">
        <f>58.7553 * CHOOSE(CONTROL!$C$15, $E$9, 100%, $G$9) + CHOOSE(CONTROL!$C$38, 0.0354, 0)</f>
        <v>58.790700000000001</v>
      </c>
      <c r="I836" s="14">
        <f>58.7568 * CHOOSE(CONTROL!$C$15, $E$9, 100%, $G$9) + CHOOSE(CONTROL!$C$38, 0.0354, 0)</f>
        <v>58.792200000000001</v>
      </c>
      <c r="J836" s="44">
        <f>568.8422</f>
        <v>568.84220000000005</v>
      </c>
    </row>
    <row r="837" spans="1:10" ht="15.75" x14ac:dyDescent="0.25">
      <c r="A837" s="32">
        <v>66415</v>
      </c>
      <c r="B837" s="14">
        <f>59.9851 * CHOOSE(CONTROL!$C$15, $E$9, 100%, $G$9) + CHOOSE(CONTROL!$C$38, 0.034, 0)</f>
        <v>60.019100000000002</v>
      </c>
      <c r="C837" s="14">
        <f>56.7409 * CHOOSE(CONTROL!$C$15, $E$9, 100%, $G$9) + CHOOSE(CONTROL!$C$38, 0.0342, 0)</f>
        <v>56.775100000000002</v>
      </c>
      <c r="D837" s="14">
        <f>56.7331 * CHOOSE(CONTROL!$C$15, $E$9, 100%, $G$9) + CHOOSE(CONTROL!$C$38, 0.0342, 0)</f>
        <v>56.767299999999999</v>
      </c>
      <c r="E837" s="14">
        <f>56.7331 * CHOOSE(CONTROL!$C$15, $E$9, 100%, $G$9) + CHOOSE(CONTROL!$C$38, 0.0342, 0)</f>
        <v>56.767299999999999</v>
      </c>
      <c r="F837" s="45">
        <f>59.9851 * CHOOSE(CONTROL!$C$15, $E$9, 100%, $G$9) + CHOOSE(CONTROL!$C$38, 0.034, 0)</f>
        <v>60.019100000000002</v>
      </c>
      <c r="G837" s="14">
        <f>56.7393 * CHOOSE(CONTROL!$C$15, $E$9, 100%, $G$9) + CHOOSE(CONTROL!$C$38, 0.0342, 0)</f>
        <v>56.773499999999999</v>
      </c>
      <c r="H837" s="14">
        <f>56.7393 * CHOOSE(CONTROL!$C$15, $E$9, 100%, $G$9) + CHOOSE(CONTROL!$C$38, 0.0342, 0)</f>
        <v>56.773499999999999</v>
      </c>
      <c r="I837" s="14">
        <f>56.7409 * CHOOSE(CONTROL!$C$15, $E$9, 100%, $G$9) + CHOOSE(CONTROL!$C$38, 0.0342, 0)</f>
        <v>56.775100000000002</v>
      </c>
      <c r="J837" s="44">
        <f>549.171</f>
        <v>549.17100000000005</v>
      </c>
    </row>
    <row r="838" spans="1:10" ht="15.75" x14ac:dyDescent="0.25">
      <c r="A838" s="32">
        <v>66445</v>
      </c>
      <c r="B838" s="14">
        <f>59.562 * CHOOSE(CONTROL!$C$15, $E$9, 100%, $G$9) + CHOOSE(CONTROL!$C$38, 0.034, 0)</f>
        <v>59.595999999999997</v>
      </c>
      <c r="C838" s="14">
        <f>56.3399 * CHOOSE(CONTROL!$C$15, $E$9, 100%, $G$9) + CHOOSE(CONTROL!$C$38, 0.0342, 0)</f>
        <v>56.374099999999999</v>
      </c>
      <c r="D838" s="14">
        <f>56.3321 * CHOOSE(CONTROL!$C$15, $E$9, 100%, $G$9) + CHOOSE(CONTROL!$C$38, 0.0342, 0)</f>
        <v>56.366299999999995</v>
      </c>
      <c r="E838" s="14">
        <f>56.3321 * CHOOSE(CONTROL!$C$15, $E$9, 100%, $G$9) + CHOOSE(CONTROL!$C$38, 0.0342, 0)</f>
        <v>56.366299999999995</v>
      </c>
      <c r="F838" s="45">
        <f>59.562 * CHOOSE(CONTROL!$C$15, $E$9, 100%, $G$9) + CHOOSE(CONTROL!$C$38, 0.034, 0)</f>
        <v>59.595999999999997</v>
      </c>
      <c r="G838" s="14">
        <f>56.3383 * CHOOSE(CONTROL!$C$15, $E$9, 100%, $G$9) + CHOOSE(CONTROL!$C$38, 0.0342, 0)</f>
        <v>56.372499999999995</v>
      </c>
      <c r="H838" s="14">
        <f>56.3383 * CHOOSE(CONTROL!$C$15, $E$9, 100%, $G$9) + CHOOSE(CONTROL!$C$38, 0.0342, 0)</f>
        <v>56.372499999999995</v>
      </c>
      <c r="I838" s="14">
        <f>56.3399 * CHOOSE(CONTROL!$C$15, $E$9, 100%, $G$9) + CHOOSE(CONTROL!$C$38, 0.0342, 0)</f>
        <v>56.374099999999999</v>
      </c>
      <c r="J838" s="44">
        <f>545.258</f>
        <v>545.25800000000004</v>
      </c>
    </row>
    <row r="839" spans="1:10" ht="15.75" x14ac:dyDescent="0.25">
      <c r="A839" s="32">
        <v>66476</v>
      </c>
      <c r="B839" s="14">
        <f>57.8129 * CHOOSE(CONTROL!$C$15, $E$9, 100%, $G$9) + CHOOSE(CONTROL!$C$38, 0.034, 0)</f>
        <v>57.846899999999998</v>
      </c>
      <c r="C839" s="14">
        <f>54.6817 * CHOOSE(CONTROL!$C$15, $E$9, 100%, $G$9) + CHOOSE(CONTROL!$C$38, 0.0342, 0)</f>
        <v>54.715899999999998</v>
      </c>
      <c r="D839" s="14">
        <f>54.6739 * CHOOSE(CONTROL!$C$15, $E$9, 100%, $G$9) + CHOOSE(CONTROL!$C$38, 0.0342, 0)</f>
        <v>54.708100000000002</v>
      </c>
      <c r="E839" s="14">
        <f>54.6739 * CHOOSE(CONTROL!$C$15, $E$9, 100%, $G$9) + CHOOSE(CONTROL!$C$38, 0.0342, 0)</f>
        <v>54.708100000000002</v>
      </c>
      <c r="F839" s="45">
        <f>57.8129 * CHOOSE(CONTROL!$C$15, $E$9, 100%, $G$9) + CHOOSE(CONTROL!$C$38, 0.034, 0)</f>
        <v>57.846899999999998</v>
      </c>
      <c r="G839" s="14">
        <f>54.6801 * CHOOSE(CONTROL!$C$15, $E$9, 100%, $G$9) + CHOOSE(CONTROL!$C$38, 0.0342, 0)</f>
        <v>54.714300000000001</v>
      </c>
      <c r="H839" s="14">
        <f>54.6801 * CHOOSE(CONTROL!$C$15, $E$9, 100%, $G$9) + CHOOSE(CONTROL!$C$38, 0.0342, 0)</f>
        <v>54.714300000000001</v>
      </c>
      <c r="I839" s="14">
        <f>54.6817 * CHOOSE(CONTROL!$C$15, $E$9, 100%, $G$9) + CHOOSE(CONTROL!$C$38, 0.0342, 0)</f>
        <v>54.715899999999998</v>
      </c>
      <c r="J839" s="44">
        <f>529.0774</f>
        <v>529.07740000000001</v>
      </c>
    </row>
    <row r="840" spans="1:10" ht="15.75" x14ac:dyDescent="0.25">
      <c r="A840" s="32">
        <v>66507</v>
      </c>
      <c r="B840" s="14">
        <f>57.3785 * CHOOSE(CONTROL!$C$15, $E$9, 100%, $G$9) + CHOOSE(CONTROL!$C$38, 0.034, 0)</f>
        <v>57.412500000000001</v>
      </c>
      <c r="C840" s="14">
        <f>54.2699 * CHOOSE(CONTROL!$C$15, $E$9, 100%, $G$9) + CHOOSE(CONTROL!$C$38, 0.0342, 0)</f>
        <v>54.304099999999998</v>
      </c>
      <c r="D840" s="14">
        <f>54.2621 * CHOOSE(CONTROL!$C$15, $E$9, 100%, $G$9) + CHOOSE(CONTROL!$C$38, 0.0342, 0)</f>
        <v>54.296299999999995</v>
      </c>
      <c r="E840" s="14">
        <f>54.2621 * CHOOSE(CONTROL!$C$15, $E$9, 100%, $G$9) + CHOOSE(CONTROL!$C$38, 0.0342, 0)</f>
        <v>54.296299999999995</v>
      </c>
      <c r="F840" s="45">
        <f>57.3785 * CHOOSE(CONTROL!$C$15, $E$9, 100%, $G$9) + CHOOSE(CONTROL!$C$38, 0.034, 0)</f>
        <v>57.412500000000001</v>
      </c>
      <c r="G840" s="14">
        <f>54.2683 * CHOOSE(CONTROL!$C$15, $E$9, 100%, $G$9) + CHOOSE(CONTROL!$C$38, 0.0342, 0)</f>
        <v>54.302500000000002</v>
      </c>
      <c r="H840" s="14">
        <f>54.2683 * CHOOSE(CONTROL!$C$15, $E$9, 100%, $G$9) + CHOOSE(CONTROL!$C$38, 0.0342, 0)</f>
        <v>54.302500000000002</v>
      </c>
      <c r="I840" s="14">
        <f>54.2699 * CHOOSE(CONTROL!$C$15, $E$9, 100%, $G$9) + CHOOSE(CONTROL!$C$38, 0.0342, 0)</f>
        <v>54.304099999999998</v>
      </c>
      <c r="J840" s="44">
        <f>528.6955</f>
        <v>528.69550000000004</v>
      </c>
    </row>
    <row r="841" spans="1:10" ht="15.75" x14ac:dyDescent="0.25">
      <c r="A841" s="32">
        <v>66535</v>
      </c>
      <c r="B841" s="14">
        <f>57.2207 * CHOOSE(CONTROL!$C$15, $E$9, 100%, $G$9) + CHOOSE(CONTROL!$C$38, 0.034, 0)</f>
        <v>57.2547</v>
      </c>
      <c r="C841" s="14">
        <f>54.1203 * CHOOSE(CONTROL!$C$15, $E$9, 100%, $G$9) + CHOOSE(CONTROL!$C$38, 0.0342, 0)</f>
        <v>54.154499999999999</v>
      </c>
      <c r="D841" s="14">
        <f>54.1125 * CHOOSE(CONTROL!$C$15, $E$9, 100%, $G$9) + CHOOSE(CONTROL!$C$38, 0.0342, 0)</f>
        <v>54.146699999999996</v>
      </c>
      <c r="E841" s="14">
        <f>54.1125 * CHOOSE(CONTROL!$C$15, $E$9, 100%, $G$9) + CHOOSE(CONTROL!$C$38, 0.0342, 0)</f>
        <v>54.146699999999996</v>
      </c>
      <c r="F841" s="45">
        <f>57.2207 * CHOOSE(CONTROL!$C$15, $E$9, 100%, $G$9) + CHOOSE(CONTROL!$C$38, 0.034, 0)</f>
        <v>57.2547</v>
      </c>
      <c r="G841" s="14">
        <f>54.1187 * CHOOSE(CONTROL!$C$15, $E$9, 100%, $G$9) + CHOOSE(CONTROL!$C$38, 0.0342, 0)</f>
        <v>54.152899999999995</v>
      </c>
      <c r="H841" s="14">
        <f>54.1187 * CHOOSE(CONTROL!$C$15, $E$9, 100%, $G$9) + CHOOSE(CONTROL!$C$38, 0.0342, 0)</f>
        <v>54.152899999999995</v>
      </c>
      <c r="I841" s="14">
        <f>54.1203 * CHOOSE(CONTROL!$C$15, $E$9, 100%, $G$9) + CHOOSE(CONTROL!$C$38, 0.0342, 0)</f>
        <v>54.154499999999999</v>
      </c>
      <c r="J841" s="44">
        <f>527.2259</f>
        <v>527.22590000000002</v>
      </c>
    </row>
    <row r="842" spans="1:10" ht="15.75" x14ac:dyDescent="0.25">
      <c r="A842" s="32">
        <v>66566</v>
      </c>
      <c r="B842" s="14">
        <f>60.204 * CHOOSE(CONTROL!$C$15, $E$9, 100%, $G$9) + CHOOSE(CONTROL!$C$38, 0.034, 0)</f>
        <v>60.238</v>
      </c>
      <c r="C842" s="14">
        <f>56.9485 * CHOOSE(CONTROL!$C$15, $E$9, 100%, $G$9) + CHOOSE(CONTROL!$C$38, 0.0342, 0)</f>
        <v>56.982700000000001</v>
      </c>
      <c r="D842" s="14">
        <f>56.9407 * CHOOSE(CONTROL!$C$15, $E$9, 100%, $G$9) + CHOOSE(CONTROL!$C$38, 0.0342, 0)</f>
        <v>56.974899999999998</v>
      </c>
      <c r="E842" s="14">
        <f>56.9407 * CHOOSE(CONTROL!$C$15, $E$9, 100%, $G$9) + CHOOSE(CONTROL!$C$38, 0.0342, 0)</f>
        <v>56.974899999999998</v>
      </c>
      <c r="F842" s="45">
        <f>60.204 * CHOOSE(CONTROL!$C$15, $E$9, 100%, $G$9) + CHOOSE(CONTROL!$C$38, 0.034, 0)</f>
        <v>60.238</v>
      </c>
      <c r="G842" s="14">
        <f>56.9469 * CHOOSE(CONTROL!$C$15, $E$9, 100%, $G$9) + CHOOSE(CONTROL!$C$38, 0.0342, 0)</f>
        <v>56.981099999999998</v>
      </c>
      <c r="H842" s="14">
        <f>56.9469 * CHOOSE(CONTROL!$C$15, $E$9, 100%, $G$9) + CHOOSE(CONTROL!$C$38, 0.0342, 0)</f>
        <v>56.981099999999998</v>
      </c>
      <c r="I842" s="14">
        <f>56.9485 * CHOOSE(CONTROL!$C$15, $E$9, 100%, $G$9) + CHOOSE(CONTROL!$C$38, 0.0342, 0)</f>
        <v>56.982700000000001</v>
      </c>
      <c r="J842" s="44">
        <f>555.0137</f>
        <v>555.01369999999997</v>
      </c>
    </row>
    <row r="843" spans="1:10" ht="15.75" x14ac:dyDescent="0.25">
      <c r="A843" s="32">
        <v>66596</v>
      </c>
      <c r="B843" s="14">
        <f>64.0727 * CHOOSE(CONTROL!$C$15, $E$9, 100%, $G$9) + CHOOSE(CONTROL!$C$38, 0.034, 0)</f>
        <v>64.106700000000004</v>
      </c>
      <c r="C843" s="14">
        <f>60.6159 * CHOOSE(CONTROL!$C$15, $E$9, 100%, $G$9) + CHOOSE(CONTROL!$C$38, 0.0342, 0)</f>
        <v>60.650100000000002</v>
      </c>
      <c r="D843" s="14">
        <f>60.6081 * CHOOSE(CONTROL!$C$15, $E$9, 100%, $G$9) + CHOOSE(CONTROL!$C$38, 0.0342, 0)</f>
        <v>60.642299999999999</v>
      </c>
      <c r="E843" s="14">
        <f>60.6081 * CHOOSE(CONTROL!$C$15, $E$9, 100%, $G$9) + CHOOSE(CONTROL!$C$38, 0.0342, 0)</f>
        <v>60.642299999999999</v>
      </c>
      <c r="F843" s="45">
        <f>64.0727 * CHOOSE(CONTROL!$C$15, $E$9, 100%, $G$9) + CHOOSE(CONTROL!$C$38, 0.034, 0)</f>
        <v>64.106700000000004</v>
      </c>
      <c r="G843" s="14">
        <f>60.6144 * CHOOSE(CONTROL!$C$15, $E$9, 100%, $G$9) + CHOOSE(CONTROL!$C$38, 0.0342, 0)</f>
        <v>60.648600000000002</v>
      </c>
      <c r="H843" s="14">
        <f>60.6144 * CHOOSE(CONTROL!$C$15, $E$9, 100%, $G$9) + CHOOSE(CONTROL!$C$38, 0.0342, 0)</f>
        <v>60.648600000000002</v>
      </c>
      <c r="I843" s="14">
        <f>60.6159 * CHOOSE(CONTROL!$C$15, $E$9, 100%, $G$9) + CHOOSE(CONTROL!$C$38, 0.0342, 0)</f>
        <v>60.650100000000002</v>
      </c>
      <c r="J843" s="44">
        <f>591.0479</f>
        <v>591.04790000000003</v>
      </c>
    </row>
    <row r="844" spans="1:10" ht="15.75" x14ac:dyDescent="0.25">
      <c r="A844" s="32">
        <v>66627</v>
      </c>
      <c r="B844" s="14">
        <f>66.2021 * CHOOSE(CONTROL!$C$15, $E$9, 100%, $G$9) + CHOOSE(CONTROL!$C$38, 0.0353, 0)</f>
        <v>66.237400000000008</v>
      </c>
      <c r="C844" s="14">
        <f>62.6346 * CHOOSE(CONTROL!$C$15, $E$9, 100%, $G$9) + CHOOSE(CONTROL!$C$38, 0.0354, 0)</f>
        <v>62.67</v>
      </c>
      <c r="D844" s="14">
        <f>62.6268 * CHOOSE(CONTROL!$C$15, $E$9, 100%, $G$9) + CHOOSE(CONTROL!$C$38, 0.0354, 0)</f>
        <v>62.662200000000006</v>
      </c>
      <c r="E844" s="14">
        <f>62.6268 * CHOOSE(CONTROL!$C$15, $E$9, 100%, $G$9) + CHOOSE(CONTROL!$C$38, 0.0354, 0)</f>
        <v>62.662200000000006</v>
      </c>
      <c r="F844" s="45">
        <f>66.2021 * CHOOSE(CONTROL!$C$15, $E$9, 100%, $G$9) + CHOOSE(CONTROL!$C$38, 0.0353, 0)</f>
        <v>66.237400000000008</v>
      </c>
      <c r="G844" s="14">
        <f>62.633 * CHOOSE(CONTROL!$C$15, $E$9, 100%, $G$9) + CHOOSE(CONTROL!$C$38, 0.0354, 0)</f>
        <v>62.668400000000005</v>
      </c>
      <c r="H844" s="14">
        <f>62.633 * CHOOSE(CONTROL!$C$15, $E$9, 100%, $G$9) + CHOOSE(CONTROL!$C$38, 0.0354, 0)</f>
        <v>62.668400000000005</v>
      </c>
      <c r="I844" s="14">
        <f>62.6346 * CHOOSE(CONTROL!$C$15, $E$9, 100%, $G$9) + CHOOSE(CONTROL!$C$38, 0.0354, 0)</f>
        <v>62.67</v>
      </c>
      <c r="J844" s="44">
        <f>610.8823</f>
        <v>610.88229999999999</v>
      </c>
    </row>
    <row r="845" spans="1:10" ht="15.75" x14ac:dyDescent="0.25">
      <c r="A845" s="32">
        <v>66657</v>
      </c>
      <c r="B845" s="14">
        <f>67.1471 * CHOOSE(CONTROL!$C$15, $E$9, 100%, $G$9) + CHOOSE(CONTROL!$C$38, 0.0353, 0)</f>
        <v>67.182400000000001</v>
      </c>
      <c r="C845" s="14">
        <f>63.5305 * CHOOSE(CONTROL!$C$15, $E$9, 100%, $G$9) + CHOOSE(CONTROL!$C$38, 0.0354, 0)</f>
        <v>63.565900000000006</v>
      </c>
      <c r="D845" s="14">
        <f>63.5226 * CHOOSE(CONTROL!$C$15, $E$9, 100%, $G$9) + CHOOSE(CONTROL!$C$38, 0.0354, 0)</f>
        <v>63.558</v>
      </c>
      <c r="E845" s="14">
        <f>63.5226 * CHOOSE(CONTROL!$C$15, $E$9, 100%, $G$9) + CHOOSE(CONTROL!$C$38, 0.0354, 0)</f>
        <v>63.558</v>
      </c>
      <c r="F845" s="45">
        <f>67.1471 * CHOOSE(CONTROL!$C$15, $E$9, 100%, $G$9) + CHOOSE(CONTROL!$C$38, 0.0353, 0)</f>
        <v>67.182400000000001</v>
      </c>
      <c r="G845" s="14">
        <f>63.5289 * CHOOSE(CONTROL!$C$15, $E$9, 100%, $G$9) + CHOOSE(CONTROL!$C$38, 0.0354, 0)</f>
        <v>63.564300000000003</v>
      </c>
      <c r="H845" s="14">
        <f>63.5289 * CHOOSE(CONTROL!$C$15, $E$9, 100%, $G$9) + CHOOSE(CONTROL!$C$38, 0.0354, 0)</f>
        <v>63.564300000000003</v>
      </c>
      <c r="I845" s="14">
        <f>63.5305 * CHOOSE(CONTROL!$C$15, $E$9, 100%, $G$9) + CHOOSE(CONTROL!$C$38, 0.0354, 0)</f>
        <v>63.565900000000006</v>
      </c>
      <c r="J845" s="44">
        <f>619.6845</f>
        <v>619.68449999999996</v>
      </c>
    </row>
    <row r="846" spans="1:10" ht="15.75" x14ac:dyDescent="0.25">
      <c r="A846" s="32">
        <v>66688</v>
      </c>
      <c r="B846" s="14">
        <f>66.836 * CHOOSE(CONTROL!$C$15, $E$9, 100%, $G$9) + CHOOSE(CONTROL!$C$38, 0.0353, 0)</f>
        <v>66.871300000000005</v>
      </c>
      <c r="C846" s="14">
        <f>63.2355 * CHOOSE(CONTROL!$C$15, $E$9, 100%, $G$9) + CHOOSE(CONTROL!$C$38, 0.0354, 0)</f>
        <v>63.270900000000005</v>
      </c>
      <c r="D846" s="14">
        <f>63.2277 * CHOOSE(CONTROL!$C$15, $E$9, 100%, $G$9) + CHOOSE(CONTROL!$C$38, 0.0354, 0)</f>
        <v>63.263100000000001</v>
      </c>
      <c r="E846" s="14">
        <f>63.2277 * CHOOSE(CONTROL!$C$15, $E$9, 100%, $G$9) + CHOOSE(CONTROL!$C$38, 0.0354, 0)</f>
        <v>63.263100000000001</v>
      </c>
      <c r="F846" s="45">
        <f>66.836 * CHOOSE(CONTROL!$C$15, $E$9, 100%, $G$9) + CHOOSE(CONTROL!$C$38, 0.0353, 0)</f>
        <v>66.871300000000005</v>
      </c>
      <c r="G846" s="14">
        <f>63.2339 * CHOOSE(CONTROL!$C$15, $E$9, 100%, $G$9) + CHOOSE(CONTROL!$C$38, 0.0354, 0)</f>
        <v>63.269300000000001</v>
      </c>
      <c r="H846" s="14">
        <f>63.2339 * CHOOSE(CONTROL!$C$15, $E$9, 100%, $G$9) + CHOOSE(CONTROL!$C$38, 0.0354, 0)</f>
        <v>63.269300000000001</v>
      </c>
      <c r="I846" s="14">
        <f>63.2355 * CHOOSE(CONTROL!$C$15, $E$9, 100%, $G$9) + CHOOSE(CONTROL!$C$38, 0.0354, 0)</f>
        <v>63.270900000000005</v>
      </c>
      <c r="J846" s="44">
        <f>616.7864</f>
        <v>616.78639999999996</v>
      </c>
    </row>
    <row r="847" spans="1:10" ht="15.75" x14ac:dyDescent="0.25">
      <c r="A847" s="32">
        <v>66719</v>
      </c>
      <c r="B847" s="14">
        <f>65.2944 * CHOOSE(CONTROL!$C$15, $E$9, 100%, $G$9) + CHOOSE(CONTROL!$C$38, 0.0353, 0)</f>
        <v>65.329700000000003</v>
      </c>
      <c r="C847" s="14">
        <f>61.7741 * CHOOSE(CONTROL!$C$15, $E$9, 100%, $G$9) + CHOOSE(CONTROL!$C$38, 0.0354, 0)</f>
        <v>61.8095</v>
      </c>
      <c r="D847" s="14">
        <f>61.7663 * CHOOSE(CONTROL!$C$15, $E$9, 100%, $G$9) + CHOOSE(CONTROL!$C$38, 0.0354, 0)</f>
        <v>61.801700000000004</v>
      </c>
      <c r="E847" s="14">
        <f>61.7663 * CHOOSE(CONTROL!$C$15, $E$9, 100%, $G$9) + CHOOSE(CONTROL!$C$38, 0.0354, 0)</f>
        <v>61.801700000000004</v>
      </c>
      <c r="F847" s="45">
        <f>65.2944 * CHOOSE(CONTROL!$C$15, $E$9, 100%, $G$9) + CHOOSE(CONTROL!$C$38, 0.0353, 0)</f>
        <v>65.329700000000003</v>
      </c>
      <c r="G847" s="14">
        <f>61.7726 * CHOOSE(CONTROL!$C$15, $E$9, 100%, $G$9) + CHOOSE(CONTROL!$C$38, 0.0354, 0)</f>
        <v>61.808</v>
      </c>
      <c r="H847" s="14">
        <f>61.7726 * CHOOSE(CONTROL!$C$15, $E$9, 100%, $G$9) + CHOOSE(CONTROL!$C$38, 0.0354, 0)</f>
        <v>61.808</v>
      </c>
      <c r="I847" s="14">
        <f>61.7741 * CHOOSE(CONTROL!$C$15, $E$9, 100%, $G$9) + CHOOSE(CONTROL!$C$38, 0.0354, 0)</f>
        <v>61.8095</v>
      </c>
      <c r="J847" s="44">
        <f>602.4279</f>
        <v>602.42790000000002</v>
      </c>
    </row>
    <row r="848" spans="1:10" ht="15.75" x14ac:dyDescent="0.25">
      <c r="A848" s="32">
        <v>66749</v>
      </c>
      <c r="B848" s="14">
        <f>63.1447 * CHOOSE(CONTROL!$C$15, $E$9, 100%, $G$9) + CHOOSE(CONTROL!$C$38, 0.0353, 0)</f>
        <v>63.18</v>
      </c>
      <c r="C848" s="14">
        <f>59.7362 * CHOOSE(CONTROL!$C$15, $E$9, 100%, $G$9) + CHOOSE(CONTROL!$C$38, 0.0354, 0)</f>
        <v>59.771599999999999</v>
      </c>
      <c r="D848" s="14">
        <f>59.7284 * CHOOSE(CONTROL!$C$15, $E$9, 100%, $G$9) + CHOOSE(CONTROL!$C$38, 0.0354, 0)</f>
        <v>59.763800000000003</v>
      </c>
      <c r="E848" s="14">
        <f>59.7284 * CHOOSE(CONTROL!$C$15, $E$9, 100%, $G$9) + CHOOSE(CONTROL!$C$38, 0.0354, 0)</f>
        <v>59.763800000000003</v>
      </c>
      <c r="F848" s="45">
        <f>63.1447 * CHOOSE(CONTROL!$C$15, $E$9, 100%, $G$9) + CHOOSE(CONTROL!$C$38, 0.0353, 0)</f>
        <v>63.18</v>
      </c>
      <c r="G848" s="14">
        <f>59.7346 * CHOOSE(CONTROL!$C$15, $E$9, 100%, $G$9) + CHOOSE(CONTROL!$C$38, 0.0354, 0)</f>
        <v>59.77</v>
      </c>
      <c r="H848" s="14">
        <f>59.7346 * CHOOSE(CONTROL!$C$15, $E$9, 100%, $G$9) + CHOOSE(CONTROL!$C$38, 0.0354, 0)</f>
        <v>59.77</v>
      </c>
      <c r="I848" s="14">
        <f>59.7362 * CHOOSE(CONTROL!$C$15, $E$9, 100%, $G$9) + CHOOSE(CONTROL!$C$38, 0.0354, 0)</f>
        <v>59.771599999999999</v>
      </c>
      <c r="J848" s="44">
        <f>582.4042</f>
        <v>582.40419999999995</v>
      </c>
    </row>
    <row r="849" spans="1:10" ht="15.75" x14ac:dyDescent="0.25">
      <c r="A849" s="32">
        <v>66780</v>
      </c>
      <c r="B849" s="14">
        <f>60.9824 * CHOOSE(CONTROL!$C$15, $E$9, 100%, $G$9) + CHOOSE(CONTROL!$C$38, 0.034, 0)</f>
        <v>61.016399999999997</v>
      </c>
      <c r="C849" s="14">
        <f>57.6864 * CHOOSE(CONTROL!$C$15, $E$9, 100%, $G$9) + CHOOSE(CONTROL!$C$38, 0.0342, 0)</f>
        <v>57.720599999999997</v>
      </c>
      <c r="D849" s="14">
        <f>57.6786 * CHOOSE(CONTROL!$C$15, $E$9, 100%, $G$9) + CHOOSE(CONTROL!$C$38, 0.0342, 0)</f>
        <v>57.712800000000001</v>
      </c>
      <c r="E849" s="14">
        <f>57.6786 * CHOOSE(CONTROL!$C$15, $E$9, 100%, $G$9) + CHOOSE(CONTROL!$C$38, 0.0342, 0)</f>
        <v>57.712800000000001</v>
      </c>
      <c r="F849" s="45">
        <f>60.9824 * CHOOSE(CONTROL!$C$15, $E$9, 100%, $G$9) + CHOOSE(CONTROL!$C$38, 0.034, 0)</f>
        <v>61.016399999999997</v>
      </c>
      <c r="G849" s="14">
        <f>57.6848 * CHOOSE(CONTROL!$C$15, $E$9, 100%, $G$9) + CHOOSE(CONTROL!$C$38, 0.0342, 0)</f>
        <v>57.719000000000001</v>
      </c>
      <c r="H849" s="14">
        <f>57.6848 * CHOOSE(CONTROL!$C$15, $E$9, 100%, $G$9) + CHOOSE(CONTROL!$C$38, 0.0342, 0)</f>
        <v>57.719000000000001</v>
      </c>
      <c r="I849" s="14">
        <f>57.6864 * CHOOSE(CONTROL!$C$15, $E$9, 100%, $G$9) + CHOOSE(CONTROL!$C$38, 0.0342, 0)</f>
        <v>57.720599999999997</v>
      </c>
      <c r="J849" s="44">
        <f>562.2641</f>
        <v>562.26409999999998</v>
      </c>
    </row>
    <row r="850" spans="1:10" ht="15.75" x14ac:dyDescent="0.25">
      <c r="A850" s="32">
        <v>66810</v>
      </c>
      <c r="B850" s="14">
        <f>60.5523 * CHOOSE(CONTROL!$C$15, $E$9, 100%, $G$9) + CHOOSE(CONTROL!$C$38, 0.034, 0)</f>
        <v>60.586300000000001</v>
      </c>
      <c r="C850" s="14">
        <f>57.2786 * CHOOSE(CONTROL!$C$15, $E$9, 100%, $G$9) + CHOOSE(CONTROL!$C$38, 0.0342, 0)</f>
        <v>57.312799999999996</v>
      </c>
      <c r="D850" s="14">
        <f>57.2708 * CHOOSE(CONTROL!$C$15, $E$9, 100%, $G$9) + CHOOSE(CONTROL!$C$38, 0.0342, 0)</f>
        <v>57.305</v>
      </c>
      <c r="E850" s="14">
        <f>57.2708 * CHOOSE(CONTROL!$C$15, $E$9, 100%, $G$9) + CHOOSE(CONTROL!$C$38, 0.0342, 0)</f>
        <v>57.305</v>
      </c>
      <c r="F850" s="45">
        <f>60.5523 * CHOOSE(CONTROL!$C$15, $E$9, 100%, $G$9) + CHOOSE(CONTROL!$C$38, 0.034, 0)</f>
        <v>60.586300000000001</v>
      </c>
      <c r="G850" s="14">
        <f>57.2771 * CHOOSE(CONTROL!$C$15, $E$9, 100%, $G$9) + CHOOSE(CONTROL!$C$38, 0.0342, 0)</f>
        <v>57.311299999999996</v>
      </c>
      <c r="H850" s="14">
        <f>57.2771 * CHOOSE(CONTROL!$C$15, $E$9, 100%, $G$9) + CHOOSE(CONTROL!$C$38, 0.0342, 0)</f>
        <v>57.311299999999996</v>
      </c>
      <c r="I850" s="14">
        <f>57.2786 * CHOOSE(CONTROL!$C$15, $E$9, 100%, $G$9) + CHOOSE(CONTROL!$C$38, 0.0342, 0)</f>
        <v>57.312799999999996</v>
      </c>
      <c r="J850" s="44">
        <f>558.2578</f>
        <v>558.25779999999997</v>
      </c>
    </row>
    <row r="851" spans="1:10" ht="15.75" x14ac:dyDescent="0.25">
      <c r="A851" s="32">
        <v>66841</v>
      </c>
      <c r="B851" s="14">
        <f>58.7737 * CHOOSE(CONTROL!$C$15, $E$9, 100%, $G$9) + CHOOSE(CONTROL!$C$38, 0.034, 0)</f>
        <v>58.807699999999997</v>
      </c>
      <c r="C851" s="14">
        <f>55.5926 * CHOOSE(CONTROL!$C$15, $E$9, 100%, $G$9) + CHOOSE(CONTROL!$C$38, 0.0342, 0)</f>
        <v>55.626799999999996</v>
      </c>
      <c r="D851" s="14">
        <f>55.5848 * CHOOSE(CONTROL!$C$15, $E$9, 100%, $G$9) + CHOOSE(CONTROL!$C$38, 0.0342, 0)</f>
        <v>55.619</v>
      </c>
      <c r="E851" s="14">
        <f>55.5848 * CHOOSE(CONTROL!$C$15, $E$9, 100%, $G$9) + CHOOSE(CONTROL!$C$38, 0.0342, 0)</f>
        <v>55.619</v>
      </c>
      <c r="F851" s="45">
        <f>58.7737 * CHOOSE(CONTROL!$C$15, $E$9, 100%, $G$9) + CHOOSE(CONTROL!$C$38, 0.034, 0)</f>
        <v>58.807699999999997</v>
      </c>
      <c r="G851" s="14">
        <f>55.591 * CHOOSE(CONTROL!$C$15, $E$9, 100%, $G$9) + CHOOSE(CONTROL!$C$38, 0.0342, 0)</f>
        <v>55.6252</v>
      </c>
      <c r="H851" s="14">
        <f>55.591 * CHOOSE(CONTROL!$C$15, $E$9, 100%, $G$9) + CHOOSE(CONTROL!$C$38, 0.0342, 0)</f>
        <v>55.6252</v>
      </c>
      <c r="I851" s="14">
        <f>55.5926 * CHOOSE(CONTROL!$C$15, $E$9, 100%, $G$9) + CHOOSE(CONTROL!$C$38, 0.0342, 0)</f>
        <v>55.626799999999996</v>
      </c>
      <c r="J851" s="44">
        <f>541.6914</f>
        <v>541.69140000000004</v>
      </c>
    </row>
    <row r="852" spans="1:10" ht="15.75" x14ac:dyDescent="0.25">
      <c r="A852" s="32">
        <v>66872</v>
      </c>
      <c r="B852" s="14">
        <f>58.332 * CHOOSE(CONTROL!$C$15, $E$9, 100%, $G$9) + CHOOSE(CONTROL!$C$38, 0.034, 0)</f>
        <v>58.366</v>
      </c>
      <c r="C852" s="14">
        <f>55.1739 * CHOOSE(CONTROL!$C$15, $E$9, 100%, $G$9) + CHOOSE(CONTROL!$C$38, 0.0342, 0)</f>
        <v>55.208100000000002</v>
      </c>
      <c r="D852" s="14">
        <f>55.166 * CHOOSE(CONTROL!$C$15, $E$9, 100%, $G$9) + CHOOSE(CONTROL!$C$38, 0.0342, 0)</f>
        <v>55.200199999999995</v>
      </c>
      <c r="E852" s="14">
        <f>55.166 * CHOOSE(CONTROL!$C$15, $E$9, 100%, $G$9) + CHOOSE(CONTROL!$C$38, 0.0342, 0)</f>
        <v>55.200199999999995</v>
      </c>
      <c r="F852" s="45">
        <f>58.332 * CHOOSE(CONTROL!$C$15, $E$9, 100%, $G$9) + CHOOSE(CONTROL!$C$38, 0.034, 0)</f>
        <v>58.366</v>
      </c>
      <c r="G852" s="14">
        <f>55.1723 * CHOOSE(CONTROL!$C$15, $E$9, 100%, $G$9) + CHOOSE(CONTROL!$C$38, 0.0342, 0)</f>
        <v>55.206499999999998</v>
      </c>
      <c r="H852" s="14">
        <f>55.1723 * CHOOSE(CONTROL!$C$15, $E$9, 100%, $G$9) + CHOOSE(CONTROL!$C$38, 0.0342, 0)</f>
        <v>55.206499999999998</v>
      </c>
      <c r="I852" s="14">
        <f>55.1739 * CHOOSE(CONTROL!$C$15, $E$9, 100%, $G$9) + CHOOSE(CONTROL!$C$38, 0.0342, 0)</f>
        <v>55.208100000000002</v>
      </c>
      <c r="J852" s="44">
        <f>541.3004</f>
        <v>541.30039999999997</v>
      </c>
    </row>
    <row r="853" spans="1:10" ht="15.75" x14ac:dyDescent="0.25">
      <c r="A853" s="32">
        <v>66900</v>
      </c>
      <c r="B853" s="14">
        <f>58.1716 * CHOOSE(CONTROL!$C$15, $E$9, 100%, $G$9) + CHOOSE(CONTROL!$C$38, 0.034, 0)</f>
        <v>58.205599999999997</v>
      </c>
      <c r="C853" s="14">
        <f>55.0218 * CHOOSE(CONTROL!$C$15, $E$9, 100%, $G$9) + CHOOSE(CONTROL!$C$38, 0.0342, 0)</f>
        <v>55.055999999999997</v>
      </c>
      <c r="D853" s="14">
        <f>55.014 * CHOOSE(CONTROL!$C$15, $E$9, 100%, $G$9) + CHOOSE(CONTROL!$C$38, 0.0342, 0)</f>
        <v>55.048200000000001</v>
      </c>
      <c r="E853" s="14">
        <f>55.014 * CHOOSE(CONTROL!$C$15, $E$9, 100%, $G$9) + CHOOSE(CONTROL!$C$38, 0.0342, 0)</f>
        <v>55.048200000000001</v>
      </c>
      <c r="F853" s="45">
        <f>58.1716 * CHOOSE(CONTROL!$C$15, $E$9, 100%, $G$9) + CHOOSE(CONTROL!$C$38, 0.034, 0)</f>
        <v>58.205599999999997</v>
      </c>
      <c r="G853" s="14">
        <f>55.0202 * CHOOSE(CONTROL!$C$15, $E$9, 100%, $G$9) + CHOOSE(CONTROL!$C$38, 0.0342, 0)</f>
        <v>55.054400000000001</v>
      </c>
      <c r="H853" s="14">
        <f>55.0202 * CHOOSE(CONTROL!$C$15, $E$9, 100%, $G$9) + CHOOSE(CONTROL!$C$38, 0.0342, 0)</f>
        <v>55.054400000000001</v>
      </c>
      <c r="I853" s="14">
        <f>55.0218 * CHOOSE(CONTROL!$C$15, $E$9, 100%, $G$9) + CHOOSE(CONTROL!$C$38, 0.0342, 0)</f>
        <v>55.055999999999997</v>
      </c>
      <c r="J853" s="44">
        <f>539.7957</f>
        <v>539.79570000000001</v>
      </c>
    </row>
    <row r="854" spans="1:10" ht="15.75" x14ac:dyDescent="0.25">
      <c r="A854" s="32">
        <v>66931</v>
      </c>
      <c r="B854" s="14">
        <f>61.2051 * CHOOSE(CONTROL!$C$15, $E$9, 100%, $G$9) + CHOOSE(CONTROL!$C$38, 0.034, 0)</f>
        <v>61.239100000000001</v>
      </c>
      <c r="C854" s="14">
        <f>57.8974 * CHOOSE(CONTROL!$C$15, $E$9, 100%, $G$9) + CHOOSE(CONTROL!$C$38, 0.0342, 0)</f>
        <v>57.931599999999996</v>
      </c>
      <c r="D854" s="14">
        <f>57.8896 * CHOOSE(CONTROL!$C$15, $E$9, 100%, $G$9) + CHOOSE(CONTROL!$C$38, 0.0342, 0)</f>
        <v>57.9238</v>
      </c>
      <c r="E854" s="14">
        <f>57.8896 * CHOOSE(CONTROL!$C$15, $E$9, 100%, $G$9) + CHOOSE(CONTROL!$C$38, 0.0342, 0)</f>
        <v>57.9238</v>
      </c>
      <c r="F854" s="45">
        <f>61.2051 * CHOOSE(CONTROL!$C$15, $E$9, 100%, $G$9) + CHOOSE(CONTROL!$C$38, 0.034, 0)</f>
        <v>61.239100000000001</v>
      </c>
      <c r="G854" s="14">
        <f>57.8959 * CHOOSE(CONTROL!$C$15, $E$9, 100%, $G$9) + CHOOSE(CONTROL!$C$38, 0.0342, 0)</f>
        <v>57.930099999999996</v>
      </c>
      <c r="H854" s="14">
        <f>57.8959 * CHOOSE(CONTROL!$C$15, $E$9, 100%, $G$9) + CHOOSE(CONTROL!$C$38, 0.0342, 0)</f>
        <v>57.930099999999996</v>
      </c>
      <c r="I854" s="14">
        <f>57.8974 * CHOOSE(CONTROL!$C$15, $E$9, 100%, $G$9) + CHOOSE(CONTROL!$C$38, 0.0342, 0)</f>
        <v>57.931599999999996</v>
      </c>
      <c r="J854" s="44">
        <f>568.2461</f>
        <v>568.24609999999996</v>
      </c>
    </row>
    <row r="855" spans="1:10" ht="15.75" x14ac:dyDescent="0.25">
      <c r="A855" s="32">
        <v>66961</v>
      </c>
      <c r="B855" s="14">
        <f>65.1387 * CHOOSE(CONTROL!$C$15, $E$9, 100%, $G$9) + CHOOSE(CONTROL!$C$38, 0.034, 0)</f>
        <v>65.172700000000006</v>
      </c>
      <c r="C855" s="14">
        <f>61.6265 * CHOOSE(CONTROL!$C$15, $E$9, 100%, $G$9) + CHOOSE(CONTROL!$C$38, 0.0342, 0)</f>
        <v>61.660699999999999</v>
      </c>
      <c r="D855" s="14">
        <f>61.6187 * CHOOSE(CONTROL!$C$15, $E$9, 100%, $G$9) + CHOOSE(CONTROL!$C$38, 0.0342, 0)</f>
        <v>61.652899999999995</v>
      </c>
      <c r="E855" s="14">
        <f>61.6187 * CHOOSE(CONTROL!$C$15, $E$9, 100%, $G$9) + CHOOSE(CONTROL!$C$38, 0.0342, 0)</f>
        <v>61.652899999999995</v>
      </c>
      <c r="F855" s="45">
        <f>65.1387 * CHOOSE(CONTROL!$C$15, $E$9, 100%, $G$9) + CHOOSE(CONTROL!$C$38, 0.034, 0)</f>
        <v>65.172700000000006</v>
      </c>
      <c r="G855" s="14">
        <f>61.6249 * CHOOSE(CONTROL!$C$15, $E$9, 100%, $G$9) + CHOOSE(CONTROL!$C$38, 0.0342, 0)</f>
        <v>61.659099999999995</v>
      </c>
      <c r="H855" s="14">
        <f>61.6249 * CHOOSE(CONTROL!$C$15, $E$9, 100%, $G$9) + CHOOSE(CONTROL!$C$38, 0.0342, 0)</f>
        <v>61.659099999999995</v>
      </c>
      <c r="I855" s="14">
        <f>61.6265 * CHOOSE(CONTROL!$C$15, $E$9, 100%, $G$9) + CHOOSE(CONTROL!$C$38, 0.0342, 0)</f>
        <v>61.660699999999999</v>
      </c>
      <c r="J855" s="44">
        <f>605.1394</f>
        <v>605.13940000000002</v>
      </c>
    </row>
    <row r="856" spans="1:10" ht="15.75" x14ac:dyDescent="0.25">
      <c r="A856" s="32">
        <v>66992</v>
      </c>
      <c r="B856" s="14">
        <f>67.3039 * CHOOSE(CONTROL!$C$15, $E$9, 100%, $G$9) + CHOOSE(CONTROL!$C$38, 0.0353, 0)</f>
        <v>67.339200000000005</v>
      </c>
      <c r="C856" s="14">
        <f>63.6791 * CHOOSE(CONTROL!$C$15, $E$9, 100%, $G$9) + CHOOSE(CONTROL!$C$38, 0.0354, 0)</f>
        <v>63.714500000000001</v>
      </c>
      <c r="D856" s="14">
        <f>63.6713 * CHOOSE(CONTROL!$C$15, $E$9, 100%, $G$9) + CHOOSE(CONTROL!$C$38, 0.0354, 0)</f>
        <v>63.706700000000005</v>
      </c>
      <c r="E856" s="14">
        <f>63.6713 * CHOOSE(CONTROL!$C$15, $E$9, 100%, $G$9) + CHOOSE(CONTROL!$C$38, 0.0354, 0)</f>
        <v>63.706700000000005</v>
      </c>
      <c r="F856" s="45">
        <f>67.3039 * CHOOSE(CONTROL!$C$15, $E$9, 100%, $G$9) + CHOOSE(CONTROL!$C$38, 0.0353, 0)</f>
        <v>67.339200000000005</v>
      </c>
      <c r="G856" s="14">
        <f>63.6775 * CHOOSE(CONTROL!$C$15, $E$9, 100%, $G$9) + CHOOSE(CONTROL!$C$38, 0.0354, 0)</f>
        <v>63.712900000000005</v>
      </c>
      <c r="H856" s="14">
        <f>63.6775 * CHOOSE(CONTROL!$C$15, $E$9, 100%, $G$9) + CHOOSE(CONTROL!$C$38, 0.0354, 0)</f>
        <v>63.712900000000005</v>
      </c>
      <c r="I856" s="14">
        <f>63.6791 * CHOOSE(CONTROL!$C$15, $E$9, 100%, $G$9) + CHOOSE(CONTROL!$C$38, 0.0354, 0)</f>
        <v>63.714500000000001</v>
      </c>
      <c r="J856" s="44">
        <f>625.4467</f>
        <v>625.44669999999996</v>
      </c>
    </row>
    <row r="857" spans="1:10" ht="15.75" x14ac:dyDescent="0.25">
      <c r="A857" s="32">
        <v>67022</v>
      </c>
      <c r="B857" s="14">
        <f>68.2648 * CHOOSE(CONTROL!$C$15, $E$9, 100%, $G$9) + CHOOSE(CONTROL!$C$38, 0.0353, 0)</f>
        <v>68.3001</v>
      </c>
      <c r="C857" s="14">
        <f>64.59 * CHOOSE(CONTROL!$C$15, $E$9, 100%, $G$9) + CHOOSE(CONTROL!$C$38, 0.0354, 0)</f>
        <v>64.625399999999999</v>
      </c>
      <c r="D857" s="14">
        <f>64.5822 * CHOOSE(CONTROL!$C$15, $E$9, 100%, $G$9) + CHOOSE(CONTROL!$C$38, 0.0354, 0)</f>
        <v>64.617599999999996</v>
      </c>
      <c r="E857" s="14">
        <f>64.5822 * CHOOSE(CONTROL!$C$15, $E$9, 100%, $G$9) + CHOOSE(CONTROL!$C$38, 0.0354, 0)</f>
        <v>64.617599999999996</v>
      </c>
      <c r="F857" s="45">
        <f>68.2648 * CHOOSE(CONTROL!$C$15, $E$9, 100%, $G$9) + CHOOSE(CONTROL!$C$38, 0.0353, 0)</f>
        <v>68.3001</v>
      </c>
      <c r="G857" s="14">
        <f>64.5884 * CHOOSE(CONTROL!$C$15, $E$9, 100%, $G$9) + CHOOSE(CONTROL!$C$38, 0.0354, 0)</f>
        <v>64.623799999999989</v>
      </c>
      <c r="H857" s="14">
        <f>64.5884 * CHOOSE(CONTROL!$C$15, $E$9, 100%, $G$9) + CHOOSE(CONTROL!$C$38, 0.0354, 0)</f>
        <v>64.623799999999989</v>
      </c>
      <c r="I857" s="14">
        <f>64.59 * CHOOSE(CONTROL!$C$15, $E$9, 100%, $G$9) + CHOOSE(CONTROL!$C$38, 0.0354, 0)</f>
        <v>64.625399999999999</v>
      </c>
      <c r="J857" s="44">
        <f>634.4587</f>
        <v>634.45870000000002</v>
      </c>
    </row>
    <row r="858" spans="1:10" ht="15.75" x14ac:dyDescent="0.25">
      <c r="A858" s="32">
        <v>67053</v>
      </c>
      <c r="B858" s="14">
        <f>67.9485 * CHOOSE(CONTROL!$C$15, $E$9, 100%, $G$9) + CHOOSE(CONTROL!$C$38, 0.0353, 0)</f>
        <v>67.983800000000002</v>
      </c>
      <c r="C858" s="14">
        <f>64.2901 * CHOOSE(CONTROL!$C$15, $E$9, 100%, $G$9) + CHOOSE(CONTROL!$C$38, 0.0354, 0)</f>
        <v>64.325499999999991</v>
      </c>
      <c r="D858" s="14">
        <f>64.2823 * CHOOSE(CONTROL!$C$15, $E$9, 100%, $G$9) + CHOOSE(CONTROL!$C$38, 0.0354, 0)</f>
        <v>64.317700000000002</v>
      </c>
      <c r="E858" s="14">
        <f>64.2823 * CHOOSE(CONTROL!$C$15, $E$9, 100%, $G$9) + CHOOSE(CONTROL!$C$38, 0.0354, 0)</f>
        <v>64.317700000000002</v>
      </c>
      <c r="F858" s="45">
        <f>67.9485 * CHOOSE(CONTROL!$C$15, $E$9, 100%, $G$9) + CHOOSE(CONTROL!$C$38, 0.0353, 0)</f>
        <v>67.983800000000002</v>
      </c>
      <c r="G858" s="14">
        <f>64.2885 * CHOOSE(CONTROL!$C$15, $E$9, 100%, $G$9) + CHOOSE(CONTROL!$C$38, 0.0354, 0)</f>
        <v>64.323899999999995</v>
      </c>
      <c r="H858" s="14">
        <f>64.2885 * CHOOSE(CONTROL!$C$15, $E$9, 100%, $G$9) + CHOOSE(CONTROL!$C$38, 0.0354, 0)</f>
        <v>64.323899999999995</v>
      </c>
      <c r="I858" s="14">
        <f>64.2901 * CHOOSE(CONTROL!$C$15, $E$9, 100%, $G$9) + CHOOSE(CONTROL!$C$38, 0.0354, 0)</f>
        <v>64.325499999999991</v>
      </c>
      <c r="J858" s="44">
        <f>631.4915</f>
        <v>631.49149999999997</v>
      </c>
    </row>
    <row r="859" spans="1:10" ht="15.75" x14ac:dyDescent="0.25">
      <c r="A859" s="32">
        <v>67084</v>
      </c>
      <c r="B859" s="14">
        <f>66.381 * CHOOSE(CONTROL!$C$15, $E$9, 100%, $G$9) + CHOOSE(CONTROL!$C$38, 0.0353, 0)</f>
        <v>66.416300000000007</v>
      </c>
      <c r="C859" s="14">
        <f>62.8042 * CHOOSE(CONTROL!$C$15, $E$9, 100%, $G$9) + CHOOSE(CONTROL!$C$38, 0.0354, 0)</f>
        <v>62.839600000000004</v>
      </c>
      <c r="D859" s="14">
        <f>62.7964 * CHOOSE(CONTROL!$C$15, $E$9, 100%, $G$9) + CHOOSE(CONTROL!$C$38, 0.0354, 0)</f>
        <v>62.831800000000001</v>
      </c>
      <c r="E859" s="14">
        <f>62.7964 * CHOOSE(CONTROL!$C$15, $E$9, 100%, $G$9) + CHOOSE(CONTROL!$C$38, 0.0354, 0)</f>
        <v>62.831800000000001</v>
      </c>
      <c r="F859" s="45">
        <f>66.381 * CHOOSE(CONTROL!$C$15, $E$9, 100%, $G$9) + CHOOSE(CONTROL!$C$38, 0.0353, 0)</f>
        <v>66.416300000000007</v>
      </c>
      <c r="G859" s="14">
        <f>62.8026 * CHOOSE(CONTROL!$C$15, $E$9, 100%, $G$9) + CHOOSE(CONTROL!$C$38, 0.0354, 0)</f>
        <v>62.838000000000001</v>
      </c>
      <c r="H859" s="14">
        <f>62.8026 * CHOOSE(CONTROL!$C$15, $E$9, 100%, $G$9) + CHOOSE(CONTROL!$C$38, 0.0354, 0)</f>
        <v>62.838000000000001</v>
      </c>
      <c r="I859" s="14">
        <f>62.8042 * CHOOSE(CONTROL!$C$15, $E$9, 100%, $G$9) + CHOOSE(CONTROL!$C$38, 0.0354, 0)</f>
        <v>62.839600000000004</v>
      </c>
      <c r="J859" s="44">
        <f>616.7906</f>
        <v>616.79060000000004</v>
      </c>
    </row>
    <row r="860" spans="1:10" ht="15.75" x14ac:dyDescent="0.25">
      <c r="A860" s="32">
        <v>67114</v>
      </c>
      <c r="B860" s="14">
        <f>64.1951 * CHOOSE(CONTROL!$C$15, $E$9, 100%, $G$9) + CHOOSE(CONTROL!$C$38, 0.0353, 0)</f>
        <v>64.230400000000003</v>
      </c>
      <c r="C860" s="14">
        <f>60.732 * CHOOSE(CONTROL!$C$15, $E$9, 100%, $G$9) + CHOOSE(CONTROL!$C$38, 0.0354, 0)</f>
        <v>60.767400000000002</v>
      </c>
      <c r="D860" s="14">
        <f>60.7242 * CHOOSE(CONTROL!$C$15, $E$9, 100%, $G$9) + CHOOSE(CONTROL!$C$38, 0.0354, 0)</f>
        <v>60.759600000000006</v>
      </c>
      <c r="E860" s="14">
        <f>60.7242 * CHOOSE(CONTROL!$C$15, $E$9, 100%, $G$9) + CHOOSE(CONTROL!$C$38, 0.0354, 0)</f>
        <v>60.759600000000006</v>
      </c>
      <c r="F860" s="45">
        <f>64.1951 * CHOOSE(CONTROL!$C$15, $E$9, 100%, $G$9) + CHOOSE(CONTROL!$C$38, 0.0353, 0)</f>
        <v>64.230400000000003</v>
      </c>
      <c r="G860" s="14">
        <f>60.7304 * CHOOSE(CONTROL!$C$15, $E$9, 100%, $G$9) + CHOOSE(CONTROL!$C$38, 0.0354, 0)</f>
        <v>60.765800000000006</v>
      </c>
      <c r="H860" s="14">
        <f>60.7304 * CHOOSE(CONTROL!$C$15, $E$9, 100%, $G$9) + CHOOSE(CONTROL!$C$38, 0.0354, 0)</f>
        <v>60.765800000000006</v>
      </c>
      <c r="I860" s="14">
        <f>60.732 * CHOOSE(CONTROL!$C$15, $E$9, 100%, $G$9) + CHOOSE(CONTROL!$C$38, 0.0354, 0)</f>
        <v>60.767400000000002</v>
      </c>
      <c r="J860" s="44">
        <f>596.2896</f>
        <v>596.28959999999995</v>
      </c>
    </row>
    <row r="861" spans="1:10" ht="15.75" x14ac:dyDescent="0.25">
      <c r="A861" s="32">
        <v>67145</v>
      </c>
      <c r="B861" s="14">
        <f>61.9965 * CHOOSE(CONTROL!$C$15, $E$9, 100%, $G$9) + CHOOSE(CONTROL!$C$38, 0.034, 0)</f>
        <v>62.030499999999996</v>
      </c>
      <c r="C861" s="14">
        <f>58.6478 * CHOOSE(CONTROL!$C$15, $E$9, 100%, $G$9) + CHOOSE(CONTROL!$C$38, 0.0342, 0)</f>
        <v>58.681999999999995</v>
      </c>
      <c r="D861" s="14">
        <f>58.6399 * CHOOSE(CONTROL!$C$15, $E$9, 100%, $G$9) + CHOOSE(CONTROL!$C$38, 0.0342, 0)</f>
        <v>58.674099999999996</v>
      </c>
      <c r="E861" s="14">
        <f>58.6399 * CHOOSE(CONTROL!$C$15, $E$9, 100%, $G$9) + CHOOSE(CONTROL!$C$38, 0.0342, 0)</f>
        <v>58.674099999999996</v>
      </c>
      <c r="F861" s="45">
        <f>61.9965 * CHOOSE(CONTROL!$C$15, $E$9, 100%, $G$9) + CHOOSE(CONTROL!$C$38, 0.034, 0)</f>
        <v>62.030499999999996</v>
      </c>
      <c r="G861" s="14">
        <f>58.6462 * CHOOSE(CONTROL!$C$15, $E$9, 100%, $G$9) + CHOOSE(CONTROL!$C$38, 0.0342, 0)</f>
        <v>58.680399999999999</v>
      </c>
      <c r="H861" s="14">
        <f>58.6462 * CHOOSE(CONTROL!$C$15, $E$9, 100%, $G$9) + CHOOSE(CONTROL!$C$38, 0.0342, 0)</f>
        <v>58.680399999999999</v>
      </c>
      <c r="I861" s="14">
        <f>58.6478 * CHOOSE(CONTROL!$C$15, $E$9, 100%, $G$9) + CHOOSE(CONTROL!$C$38, 0.0342, 0)</f>
        <v>58.681999999999995</v>
      </c>
      <c r="J861" s="44">
        <f>575.6693</f>
        <v>575.66930000000002</v>
      </c>
    </row>
    <row r="862" spans="1:10" ht="15.75" x14ac:dyDescent="0.25">
      <c r="A862" s="32">
        <v>67175</v>
      </c>
      <c r="B862" s="14">
        <f>61.5592 * CHOOSE(CONTROL!$C$15, $E$9, 100%, $G$9) + CHOOSE(CONTROL!$C$38, 0.034, 0)</f>
        <v>61.593199999999996</v>
      </c>
      <c r="C862" s="14">
        <f>58.2332 * CHOOSE(CONTROL!$C$15, $E$9, 100%, $G$9) + CHOOSE(CONTROL!$C$38, 0.0342, 0)</f>
        <v>58.267399999999995</v>
      </c>
      <c r="D862" s="14">
        <f>58.2254 * CHOOSE(CONTROL!$C$15, $E$9, 100%, $G$9) + CHOOSE(CONTROL!$C$38, 0.0342, 0)</f>
        <v>58.259599999999999</v>
      </c>
      <c r="E862" s="14">
        <f>58.2254 * CHOOSE(CONTROL!$C$15, $E$9, 100%, $G$9) + CHOOSE(CONTROL!$C$38, 0.0342, 0)</f>
        <v>58.259599999999999</v>
      </c>
      <c r="F862" s="45">
        <f>61.5592 * CHOOSE(CONTROL!$C$15, $E$9, 100%, $G$9) + CHOOSE(CONTROL!$C$38, 0.034, 0)</f>
        <v>61.593199999999996</v>
      </c>
      <c r="G862" s="14">
        <f>58.2316 * CHOOSE(CONTROL!$C$15, $E$9, 100%, $G$9) + CHOOSE(CONTROL!$C$38, 0.0342, 0)</f>
        <v>58.265799999999999</v>
      </c>
      <c r="H862" s="14">
        <f>58.2316 * CHOOSE(CONTROL!$C$15, $E$9, 100%, $G$9) + CHOOSE(CONTROL!$C$38, 0.0342, 0)</f>
        <v>58.265799999999999</v>
      </c>
      <c r="I862" s="14">
        <f>58.2332 * CHOOSE(CONTROL!$C$15, $E$9, 100%, $G$9) + CHOOSE(CONTROL!$C$38, 0.0342, 0)</f>
        <v>58.267399999999995</v>
      </c>
      <c r="J862" s="44">
        <f>571.5675</f>
        <v>571.5675</v>
      </c>
    </row>
    <row r="863" spans="1:10" ht="15.75" x14ac:dyDescent="0.25">
      <c r="A863" s="32">
        <v>67206</v>
      </c>
      <c r="B863" s="14">
        <f>59.7507 * CHOOSE(CONTROL!$C$15, $E$9, 100%, $G$9) + CHOOSE(CONTROL!$C$38, 0.034, 0)</f>
        <v>59.784700000000001</v>
      </c>
      <c r="C863" s="14">
        <f>56.5188 * CHOOSE(CONTROL!$C$15, $E$9, 100%, $G$9) + CHOOSE(CONTROL!$C$38, 0.0342, 0)</f>
        <v>56.552999999999997</v>
      </c>
      <c r="D863" s="14">
        <f>56.511 * CHOOSE(CONTROL!$C$15, $E$9, 100%, $G$9) + CHOOSE(CONTROL!$C$38, 0.0342, 0)</f>
        <v>56.545200000000001</v>
      </c>
      <c r="E863" s="14">
        <f>56.511 * CHOOSE(CONTROL!$C$15, $E$9, 100%, $G$9) + CHOOSE(CONTROL!$C$38, 0.0342, 0)</f>
        <v>56.545200000000001</v>
      </c>
      <c r="F863" s="45">
        <f>59.7507 * CHOOSE(CONTROL!$C$15, $E$9, 100%, $G$9) + CHOOSE(CONTROL!$C$38, 0.034, 0)</f>
        <v>59.784700000000001</v>
      </c>
      <c r="G863" s="14">
        <f>56.5172 * CHOOSE(CONTROL!$C$15, $E$9, 100%, $G$9) + CHOOSE(CONTROL!$C$38, 0.0342, 0)</f>
        <v>56.551400000000001</v>
      </c>
      <c r="H863" s="14">
        <f>56.5172 * CHOOSE(CONTROL!$C$15, $E$9, 100%, $G$9) + CHOOSE(CONTROL!$C$38, 0.0342, 0)</f>
        <v>56.551400000000001</v>
      </c>
      <c r="I863" s="14">
        <f>56.5188 * CHOOSE(CONTROL!$C$15, $E$9, 100%, $G$9) + CHOOSE(CONTROL!$C$38, 0.0342, 0)</f>
        <v>56.552999999999997</v>
      </c>
      <c r="J863" s="44">
        <f>554.6062</f>
        <v>554.60619999999994</v>
      </c>
    </row>
    <row r="864" spans="1:10" ht="15.75" x14ac:dyDescent="0.25">
      <c r="A864" s="32">
        <v>67237</v>
      </c>
      <c r="B864" s="14">
        <f>59.3016 * CHOOSE(CONTROL!$C$15, $E$9, 100%, $G$9) + CHOOSE(CONTROL!$C$38, 0.034, 0)</f>
        <v>59.335599999999999</v>
      </c>
      <c r="C864" s="14">
        <f>56.093 * CHOOSE(CONTROL!$C$15, $E$9, 100%, $G$9) + CHOOSE(CONTROL!$C$38, 0.0342, 0)</f>
        <v>56.127200000000002</v>
      </c>
      <c r="D864" s="14">
        <f>56.0852 * CHOOSE(CONTROL!$C$15, $E$9, 100%, $G$9) + CHOOSE(CONTROL!$C$38, 0.0342, 0)</f>
        <v>56.119399999999999</v>
      </c>
      <c r="E864" s="14">
        <f>56.0852 * CHOOSE(CONTROL!$C$15, $E$9, 100%, $G$9) + CHOOSE(CONTROL!$C$38, 0.0342, 0)</f>
        <v>56.119399999999999</v>
      </c>
      <c r="F864" s="45">
        <f>59.3016 * CHOOSE(CONTROL!$C$15, $E$9, 100%, $G$9) + CHOOSE(CONTROL!$C$38, 0.034, 0)</f>
        <v>59.335599999999999</v>
      </c>
      <c r="G864" s="14">
        <f>56.0915 * CHOOSE(CONTROL!$C$15, $E$9, 100%, $G$9) + CHOOSE(CONTROL!$C$38, 0.0342, 0)</f>
        <v>56.125700000000002</v>
      </c>
      <c r="H864" s="14">
        <f>56.0915 * CHOOSE(CONTROL!$C$15, $E$9, 100%, $G$9) + CHOOSE(CONTROL!$C$38, 0.0342, 0)</f>
        <v>56.125700000000002</v>
      </c>
      <c r="I864" s="14">
        <f>56.093 * CHOOSE(CONTROL!$C$15, $E$9, 100%, $G$9) + CHOOSE(CONTROL!$C$38, 0.0342, 0)</f>
        <v>56.127200000000002</v>
      </c>
      <c r="J864" s="44">
        <f>554.2058</f>
        <v>554.20579999999995</v>
      </c>
    </row>
    <row r="865" spans="1:10" ht="15.75" x14ac:dyDescent="0.25">
      <c r="A865" s="32">
        <v>67266</v>
      </c>
      <c r="B865" s="14">
        <f>59.1385 * CHOOSE(CONTROL!$C$15, $E$9, 100%, $G$9) + CHOOSE(CONTROL!$C$38, 0.034, 0)</f>
        <v>59.172499999999999</v>
      </c>
      <c r="C865" s="14">
        <f>55.9384 * CHOOSE(CONTROL!$C$15, $E$9, 100%, $G$9) + CHOOSE(CONTROL!$C$38, 0.0342, 0)</f>
        <v>55.9726</v>
      </c>
      <c r="D865" s="14">
        <f>55.9306 * CHOOSE(CONTROL!$C$15, $E$9, 100%, $G$9) + CHOOSE(CONTROL!$C$38, 0.0342, 0)</f>
        <v>55.964799999999997</v>
      </c>
      <c r="E865" s="14">
        <f>55.9306 * CHOOSE(CONTROL!$C$15, $E$9, 100%, $G$9) + CHOOSE(CONTROL!$C$38, 0.0342, 0)</f>
        <v>55.964799999999997</v>
      </c>
      <c r="F865" s="45">
        <f>59.1385 * CHOOSE(CONTROL!$C$15, $E$9, 100%, $G$9) + CHOOSE(CONTROL!$C$38, 0.034, 0)</f>
        <v>59.172499999999999</v>
      </c>
      <c r="G865" s="14">
        <f>55.9368 * CHOOSE(CONTROL!$C$15, $E$9, 100%, $G$9) + CHOOSE(CONTROL!$C$38, 0.0342, 0)</f>
        <v>55.970999999999997</v>
      </c>
      <c r="H865" s="14">
        <f>55.9368 * CHOOSE(CONTROL!$C$15, $E$9, 100%, $G$9) + CHOOSE(CONTROL!$C$38, 0.0342, 0)</f>
        <v>55.970999999999997</v>
      </c>
      <c r="I865" s="14">
        <f>55.9384 * CHOOSE(CONTROL!$C$15, $E$9, 100%, $G$9) + CHOOSE(CONTROL!$C$38, 0.0342, 0)</f>
        <v>55.9726</v>
      </c>
      <c r="J865" s="44">
        <f>552.6653</f>
        <v>552.6653</v>
      </c>
    </row>
    <row r="866" spans="1:10" ht="15.75" x14ac:dyDescent="0.25">
      <c r="A866" s="32">
        <v>67297</v>
      </c>
      <c r="B866" s="14">
        <f>62.2229 * CHOOSE(CONTROL!$C$15, $E$9, 100%, $G$9) + CHOOSE(CONTROL!$C$38, 0.034, 0)</f>
        <v>62.256900000000002</v>
      </c>
      <c r="C866" s="14">
        <f>58.8624 * CHOOSE(CONTROL!$C$15, $E$9, 100%, $G$9) + CHOOSE(CONTROL!$C$38, 0.0342, 0)</f>
        <v>58.896599999999999</v>
      </c>
      <c r="D866" s="14">
        <f>58.8546 * CHOOSE(CONTROL!$C$15, $E$9, 100%, $G$9) + CHOOSE(CONTROL!$C$38, 0.0342, 0)</f>
        <v>58.888799999999996</v>
      </c>
      <c r="E866" s="14">
        <f>58.8546 * CHOOSE(CONTROL!$C$15, $E$9, 100%, $G$9) + CHOOSE(CONTROL!$C$38, 0.0342, 0)</f>
        <v>58.888799999999996</v>
      </c>
      <c r="F866" s="45">
        <f>62.2229 * CHOOSE(CONTROL!$C$15, $E$9, 100%, $G$9) + CHOOSE(CONTROL!$C$38, 0.034, 0)</f>
        <v>62.256900000000002</v>
      </c>
      <c r="G866" s="14">
        <f>58.8608 * CHOOSE(CONTROL!$C$15, $E$9, 100%, $G$9) + CHOOSE(CONTROL!$C$38, 0.0342, 0)</f>
        <v>58.894999999999996</v>
      </c>
      <c r="H866" s="14">
        <f>58.8608 * CHOOSE(CONTROL!$C$15, $E$9, 100%, $G$9) + CHOOSE(CONTROL!$C$38, 0.0342, 0)</f>
        <v>58.894999999999996</v>
      </c>
      <c r="I866" s="14">
        <f>58.8624 * CHOOSE(CONTROL!$C$15, $E$9, 100%, $G$9) + CHOOSE(CONTROL!$C$38, 0.0342, 0)</f>
        <v>58.896599999999999</v>
      </c>
      <c r="J866" s="44">
        <f>581.7939</f>
        <v>581.79390000000001</v>
      </c>
    </row>
    <row r="867" spans="1:10" ht="15.75" x14ac:dyDescent="0.25">
      <c r="A867" s="32">
        <v>67327</v>
      </c>
      <c r="B867" s="14">
        <f>66.2227 * CHOOSE(CONTROL!$C$15, $E$9, 100%, $G$9) + CHOOSE(CONTROL!$C$38, 0.034, 0)</f>
        <v>66.256700000000009</v>
      </c>
      <c r="C867" s="14">
        <f>62.6541 * CHOOSE(CONTROL!$C$15, $E$9, 100%, $G$9) + CHOOSE(CONTROL!$C$38, 0.0342, 0)</f>
        <v>62.688299999999998</v>
      </c>
      <c r="D867" s="14">
        <f>62.6463 * CHOOSE(CONTROL!$C$15, $E$9, 100%, $G$9) + CHOOSE(CONTROL!$C$38, 0.0342, 0)</f>
        <v>62.680499999999995</v>
      </c>
      <c r="E867" s="14">
        <f>62.6463 * CHOOSE(CONTROL!$C$15, $E$9, 100%, $G$9) + CHOOSE(CONTROL!$C$38, 0.0342, 0)</f>
        <v>62.680499999999995</v>
      </c>
      <c r="F867" s="45">
        <f>66.2227 * CHOOSE(CONTROL!$C$15, $E$9, 100%, $G$9) + CHOOSE(CONTROL!$C$38, 0.034, 0)</f>
        <v>66.256700000000009</v>
      </c>
      <c r="G867" s="14">
        <f>62.6525 * CHOOSE(CONTROL!$C$15, $E$9, 100%, $G$9) + CHOOSE(CONTROL!$C$38, 0.0342, 0)</f>
        <v>62.686700000000002</v>
      </c>
      <c r="H867" s="14">
        <f>62.6525 * CHOOSE(CONTROL!$C$15, $E$9, 100%, $G$9) + CHOOSE(CONTROL!$C$38, 0.0342, 0)</f>
        <v>62.686700000000002</v>
      </c>
      <c r="I867" s="14">
        <f>62.6541 * CHOOSE(CONTROL!$C$15, $E$9, 100%, $G$9) + CHOOSE(CONTROL!$C$38, 0.0342, 0)</f>
        <v>62.688299999999998</v>
      </c>
      <c r="J867" s="44">
        <f>619.5668</f>
        <v>619.56679999999994</v>
      </c>
    </row>
    <row r="868" spans="1:10" ht="15.75" x14ac:dyDescent="0.25">
      <c r="A868" s="32">
        <v>67358</v>
      </c>
      <c r="B868" s="14">
        <f>68.4243 * CHOOSE(CONTROL!$C$15, $E$9, 100%, $G$9) + CHOOSE(CONTROL!$C$38, 0.0353, 0)</f>
        <v>68.459600000000009</v>
      </c>
      <c r="C868" s="14">
        <f>64.7412 * CHOOSE(CONTROL!$C$15, $E$9, 100%, $G$9) + CHOOSE(CONTROL!$C$38, 0.0354, 0)</f>
        <v>64.776600000000002</v>
      </c>
      <c r="D868" s="14">
        <f>64.7333 * CHOOSE(CONTROL!$C$15, $E$9, 100%, $G$9) + CHOOSE(CONTROL!$C$38, 0.0354, 0)</f>
        <v>64.768699999999995</v>
      </c>
      <c r="E868" s="14">
        <f>64.7333 * CHOOSE(CONTROL!$C$15, $E$9, 100%, $G$9) + CHOOSE(CONTROL!$C$38, 0.0354, 0)</f>
        <v>64.768699999999995</v>
      </c>
      <c r="F868" s="45">
        <f>68.4243 * CHOOSE(CONTROL!$C$15, $E$9, 100%, $G$9) + CHOOSE(CONTROL!$C$38, 0.0353, 0)</f>
        <v>68.459600000000009</v>
      </c>
      <c r="G868" s="14">
        <f>64.7396 * CHOOSE(CONTROL!$C$15, $E$9, 100%, $G$9) + CHOOSE(CONTROL!$C$38, 0.0354, 0)</f>
        <v>64.774999999999991</v>
      </c>
      <c r="H868" s="14">
        <f>64.7396 * CHOOSE(CONTROL!$C$15, $E$9, 100%, $G$9) + CHOOSE(CONTROL!$C$38, 0.0354, 0)</f>
        <v>64.774999999999991</v>
      </c>
      <c r="I868" s="14">
        <f>64.7412 * CHOOSE(CONTROL!$C$15, $E$9, 100%, $G$9) + CHOOSE(CONTROL!$C$38, 0.0354, 0)</f>
        <v>64.776600000000002</v>
      </c>
      <c r="J868" s="44">
        <f>640.3583</f>
        <v>640.35829999999999</v>
      </c>
    </row>
    <row r="869" spans="1:10" ht="15.75" x14ac:dyDescent="0.25">
      <c r="A869" s="32">
        <v>67388</v>
      </c>
      <c r="B869" s="14">
        <f>69.4013 * CHOOSE(CONTROL!$C$15, $E$9, 100%, $G$9) + CHOOSE(CONTROL!$C$38, 0.0353, 0)</f>
        <v>69.436600000000013</v>
      </c>
      <c r="C869" s="14">
        <f>65.6674 * CHOOSE(CONTROL!$C$15, $E$9, 100%, $G$9) + CHOOSE(CONTROL!$C$38, 0.0354, 0)</f>
        <v>65.702799999999996</v>
      </c>
      <c r="D869" s="14">
        <f>65.6595 * CHOOSE(CONTROL!$C$15, $E$9, 100%, $G$9) + CHOOSE(CONTROL!$C$38, 0.0354, 0)</f>
        <v>65.69489999999999</v>
      </c>
      <c r="E869" s="14">
        <f>65.6595 * CHOOSE(CONTROL!$C$15, $E$9, 100%, $G$9) + CHOOSE(CONTROL!$C$38, 0.0354, 0)</f>
        <v>65.69489999999999</v>
      </c>
      <c r="F869" s="45">
        <f>69.4013 * CHOOSE(CONTROL!$C$15, $E$9, 100%, $G$9) + CHOOSE(CONTROL!$C$38, 0.0353, 0)</f>
        <v>69.436600000000013</v>
      </c>
      <c r="G869" s="14">
        <f>65.6658 * CHOOSE(CONTROL!$C$15, $E$9, 100%, $G$9) + CHOOSE(CONTROL!$C$38, 0.0354, 0)</f>
        <v>65.7012</v>
      </c>
      <c r="H869" s="14">
        <f>65.6658 * CHOOSE(CONTROL!$C$15, $E$9, 100%, $G$9) + CHOOSE(CONTROL!$C$38, 0.0354, 0)</f>
        <v>65.7012</v>
      </c>
      <c r="I869" s="14">
        <f>65.6674 * CHOOSE(CONTROL!$C$15, $E$9, 100%, $G$9) + CHOOSE(CONTROL!$C$38, 0.0354, 0)</f>
        <v>65.702799999999996</v>
      </c>
      <c r="J869" s="44">
        <f>649.5851</f>
        <v>649.58510000000001</v>
      </c>
    </row>
    <row r="870" spans="1:10" ht="15.75" x14ac:dyDescent="0.25">
      <c r="A870" s="32">
        <v>67419</v>
      </c>
      <c r="B870" s="14">
        <f>69.0796 * CHOOSE(CONTROL!$C$15, $E$9, 100%, $G$9) + CHOOSE(CONTROL!$C$38, 0.0353, 0)</f>
        <v>69.114900000000006</v>
      </c>
      <c r="C870" s="14">
        <f>65.3624 * CHOOSE(CONTROL!$C$15, $E$9, 100%, $G$9) + CHOOSE(CONTROL!$C$38, 0.0354, 0)</f>
        <v>65.397799999999989</v>
      </c>
      <c r="D870" s="14">
        <f>65.3546 * CHOOSE(CONTROL!$C$15, $E$9, 100%, $G$9) + CHOOSE(CONTROL!$C$38, 0.0354, 0)</f>
        <v>65.39</v>
      </c>
      <c r="E870" s="14">
        <f>65.3546 * CHOOSE(CONTROL!$C$15, $E$9, 100%, $G$9) + CHOOSE(CONTROL!$C$38, 0.0354, 0)</f>
        <v>65.39</v>
      </c>
      <c r="F870" s="45">
        <f>69.0796 * CHOOSE(CONTROL!$C$15, $E$9, 100%, $G$9) + CHOOSE(CONTROL!$C$38, 0.0353, 0)</f>
        <v>69.114900000000006</v>
      </c>
      <c r="G870" s="14">
        <f>65.3608 * CHOOSE(CONTROL!$C$15, $E$9, 100%, $G$9) + CHOOSE(CONTROL!$C$38, 0.0354, 0)</f>
        <v>65.396199999999993</v>
      </c>
      <c r="H870" s="14">
        <f>65.3608 * CHOOSE(CONTROL!$C$15, $E$9, 100%, $G$9) + CHOOSE(CONTROL!$C$38, 0.0354, 0)</f>
        <v>65.396199999999993</v>
      </c>
      <c r="I870" s="14">
        <f>65.3624 * CHOOSE(CONTROL!$C$15, $E$9, 100%, $G$9) + CHOOSE(CONTROL!$C$38, 0.0354, 0)</f>
        <v>65.397799999999989</v>
      </c>
      <c r="J870" s="44">
        <f>646.5472</f>
        <v>646.54719999999998</v>
      </c>
    </row>
    <row r="871" spans="1:10" ht="15.75" x14ac:dyDescent="0.25">
      <c r="A871" s="32">
        <v>67450</v>
      </c>
      <c r="B871" s="14">
        <f>67.4858 * CHOOSE(CONTROL!$C$15, $E$9, 100%, $G$9) + CHOOSE(CONTROL!$C$38, 0.0353, 0)</f>
        <v>67.521100000000004</v>
      </c>
      <c r="C871" s="14">
        <f>63.8515 * CHOOSE(CONTROL!$C$15, $E$9, 100%, $G$9) + CHOOSE(CONTROL!$C$38, 0.0354, 0)</f>
        <v>63.886900000000004</v>
      </c>
      <c r="D871" s="14">
        <f>63.8437 * CHOOSE(CONTROL!$C$15, $E$9, 100%, $G$9) + CHOOSE(CONTROL!$C$38, 0.0354, 0)</f>
        <v>63.879100000000001</v>
      </c>
      <c r="E871" s="14">
        <f>63.8437 * CHOOSE(CONTROL!$C$15, $E$9, 100%, $G$9) + CHOOSE(CONTROL!$C$38, 0.0354, 0)</f>
        <v>63.879100000000001</v>
      </c>
      <c r="F871" s="45">
        <f>67.4858 * CHOOSE(CONTROL!$C$15, $E$9, 100%, $G$9) + CHOOSE(CONTROL!$C$38, 0.0353, 0)</f>
        <v>67.521100000000004</v>
      </c>
      <c r="G871" s="14">
        <f>63.85 * CHOOSE(CONTROL!$C$15, $E$9, 100%, $G$9) + CHOOSE(CONTROL!$C$38, 0.0354, 0)</f>
        <v>63.885400000000004</v>
      </c>
      <c r="H871" s="14">
        <f>63.85 * CHOOSE(CONTROL!$C$15, $E$9, 100%, $G$9) + CHOOSE(CONTROL!$C$38, 0.0354, 0)</f>
        <v>63.885400000000004</v>
      </c>
      <c r="I871" s="14">
        <f>63.8515 * CHOOSE(CONTROL!$C$15, $E$9, 100%, $G$9) + CHOOSE(CONTROL!$C$38, 0.0354, 0)</f>
        <v>63.886900000000004</v>
      </c>
      <c r="J871" s="44">
        <f>631.4959</f>
        <v>631.49590000000001</v>
      </c>
    </row>
    <row r="872" spans="1:10" ht="15.75" x14ac:dyDescent="0.25">
      <c r="A872" s="32">
        <v>67480</v>
      </c>
      <c r="B872" s="14">
        <f>65.2632 * CHOOSE(CONTROL!$C$15, $E$9, 100%, $G$9) + CHOOSE(CONTROL!$C$38, 0.0353, 0)</f>
        <v>65.298500000000004</v>
      </c>
      <c r="C872" s="14">
        <f>61.7445 * CHOOSE(CONTROL!$C$15, $E$9, 100%, $G$9) + CHOOSE(CONTROL!$C$38, 0.0354, 0)</f>
        <v>61.779900000000005</v>
      </c>
      <c r="D872" s="14">
        <f>61.7367 * CHOOSE(CONTROL!$C$15, $E$9, 100%, $G$9) + CHOOSE(CONTROL!$C$38, 0.0354, 0)</f>
        <v>61.772100000000002</v>
      </c>
      <c r="E872" s="14">
        <f>61.7367 * CHOOSE(CONTROL!$C$15, $E$9, 100%, $G$9) + CHOOSE(CONTROL!$C$38, 0.0354, 0)</f>
        <v>61.772100000000002</v>
      </c>
      <c r="F872" s="45">
        <f>65.2632 * CHOOSE(CONTROL!$C$15, $E$9, 100%, $G$9) + CHOOSE(CONTROL!$C$38, 0.0353, 0)</f>
        <v>65.298500000000004</v>
      </c>
      <c r="G872" s="14">
        <f>61.743 * CHOOSE(CONTROL!$C$15, $E$9, 100%, $G$9) + CHOOSE(CONTROL!$C$38, 0.0354, 0)</f>
        <v>61.778400000000005</v>
      </c>
      <c r="H872" s="14">
        <f>61.743 * CHOOSE(CONTROL!$C$15, $E$9, 100%, $G$9) + CHOOSE(CONTROL!$C$38, 0.0354, 0)</f>
        <v>61.778400000000005</v>
      </c>
      <c r="I872" s="14">
        <f>61.7445 * CHOOSE(CONTROL!$C$15, $E$9, 100%, $G$9) + CHOOSE(CONTROL!$C$38, 0.0354, 0)</f>
        <v>61.779900000000005</v>
      </c>
      <c r="J872" s="44">
        <f>610.506</f>
        <v>610.50599999999997</v>
      </c>
    </row>
    <row r="873" spans="1:10" ht="15.75" x14ac:dyDescent="0.25">
      <c r="A873" s="32">
        <v>67511</v>
      </c>
      <c r="B873" s="14">
        <f>63.0277 * CHOOSE(CONTROL!$C$15, $E$9, 100%, $G$9) + CHOOSE(CONTROL!$C$38, 0.034, 0)</f>
        <v>63.061700000000002</v>
      </c>
      <c r="C873" s="14">
        <f>59.6253 * CHOOSE(CONTROL!$C$15, $E$9, 100%, $G$9) + CHOOSE(CONTROL!$C$38, 0.0342, 0)</f>
        <v>59.659500000000001</v>
      </c>
      <c r="D873" s="14">
        <f>59.6175 * CHOOSE(CONTROL!$C$15, $E$9, 100%, $G$9) + CHOOSE(CONTROL!$C$38, 0.0342, 0)</f>
        <v>59.651699999999998</v>
      </c>
      <c r="E873" s="14">
        <f>59.6175 * CHOOSE(CONTROL!$C$15, $E$9, 100%, $G$9) + CHOOSE(CONTROL!$C$38, 0.0342, 0)</f>
        <v>59.651699999999998</v>
      </c>
      <c r="F873" s="45">
        <f>63.0277 * CHOOSE(CONTROL!$C$15, $E$9, 100%, $G$9) + CHOOSE(CONTROL!$C$38, 0.034, 0)</f>
        <v>63.061700000000002</v>
      </c>
      <c r="G873" s="14">
        <f>59.6237 * CHOOSE(CONTROL!$C$15, $E$9, 100%, $G$9) + CHOOSE(CONTROL!$C$38, 0.0342, 0)</f>
        <v>59.657899999999998</v>
      </c>
      <c r="H873" s="14">
        <f>59.6237 * CHOOSE(CONTROL!$C$15, $E$9, 100%, $G$9) + CHOOSE(CONTROL!$C$38, 0.0342, 0)</f>
        <v>59.657899999999998</v>
      </c>
      <c r="I873" s="14">
        <f>59.6253 * CHOOSE(CONTROL!$C$15, $E$9, 100%, $G$9) + CHOOSE(CONTROL!$C$38, 0.0342, 0)</f>
        <v>59.659500000000001</v>
      </c>
      <c r="J873" s="44">
        <f>589.3941</f>
        <v>589.39409999999998</v>
      </c>
    </row>
    <row r="874" spans="1:10" ht="15.75" x14ac:dyDescent="0.25">
      <c r="A874" s="32">
        <v>67541</v>
      </c>
      <c r="B874" s="14">
        <f>62.583 * CHOOSE(CONTROL!$C$15, $E$9, 100%, $G$9) + CHOOSE(CONTROL!$C$38, 0.034, 0)</f>
        <v>62.616999999999997</v>
      </c>
      <c r="C874" s="14">
        <f>59.2037 * CHOOSE(CONTROL!$C$15, $E$9, 100%, $G$9) + CHOOSE(CONTROL!$C$38, 0.0342, 0)</f>
        <v>59.237899999999996</v>
      </c>
      <c r="D874" s="14">
        <f>59.1959 * CHOOSE(CONTROL!$C$15, $E$9, 100%, $G$9) + CHOOSE(CONTROL!$C$38, 0.0342, 0)</f>
        <v>59.2301</v>
      </c>
      <c r="E874" s="14">
        <f>59.1959 * CHOOSE(CONTROL!$C$15, $E$9, 100%, $G$9) + CHOOSE(CONTROL!$C$38, 0.0342, 0)</f>
        <v>59.2301</v>
      </c>
      <c r="F874" s="45">
        <f>62.583 * CHOOSE(CONTROL!$C$15, $E$9, 100%, $G$9) + CHOOSE(CONTROL!$C$38, 0.034, 0)</f>
        <v>62.616999999999997</v>
      </c>
      <c r="G874" s="14">
        <f>59.2022 * CHOOSE(CONTROL!$C$15, $E$9, 100%, $G$9) + CHOOSE(CONTROL!$C$38, 0.0342, 0)</f>
        <v>59.236399999999996</v>
      </c>
      <c r="H874" s="14">
        <f>59.2022 * CHOOSE(CONTROL!$C$15, $E$9, 100%, $G$9) + CHOOSE(CONTROL!$C$38, 0.0342, 0)</f>
        <v>59.236399999999996</v>
      </c>
      <c r="I874" s="14">
        <f>59.2037 * CHOOSE(CONTROL!$C$15, $E$9, 100%, $G$9) + CHOOSE(CONTROL!$C$38, 0.0342, 0)</f>
        <v>59.237899999999996</v>
      </c>
      <c r="J874" s="44">
        <f>585.1945</f>
        <v>585.19449999999995</v>
      </c>
    </row>
    <row r="875" spans="1:10" ht="15.75" x14ac:dyDescent="0.25">
      <c r="A875" s="32">
        <v>67572</v>
      </c>
      <c r="B875" s="14">
        <f>60.7442 * CHOOSE(CONTROL!$C$15, $E$9, 100%, $G$9) + CHOOSE(CONTROL!$C$38, 0.034, 0)</f>
        <v>60.778199999999998</v>
      </c>
      <c r="C875" s="14">
        <f>57.4605 * CHOOSE(CONTROL!$C$15, $E$9, 100%, $G$9) + CHOOSE(CONTROL!$C$38, 0.0342, 0)</f>
        <v>57.494700000000002</v>
      </c>
      <c r="D875" s="14">
        <f>57.4527 * CHOOSE(CONTROL!$C$15, $E$9, 100%, $G$9) + CHOOSE(CONTROL!$C$38, 0.0342, 0)</f>
        <v>57.486899999999999</v>
      </c>
      <c r="E875" s="14">
        <f>57.4527 * CHOOSE(CONTROL!$C$15, $E$9, 100%, $G$9) + CHOOSE(CONTROL!$C$38, 0.0342, 0)</f>
        <v>57.486899999999999</v>
      </c>
      <c r="F875" s="45">
        <f>60.7442 * CHOOSE(CONTROL!$C$15, $E$9, 100%, $G$9) + CHOOSE(CONTROL!$C$38, 0.034, 0)</f>
        <v>60.778199999999998</v>
      </c>
      <c r="G875" s="14">
        <f>57.459 * CHOOSE(CONTROL!$C$15, $E$9, 100%, $G$9) + CHOOSE(CONTROL!$C$38, 0.0342, 0)</f>
        <v>57.493200000000002</v>
      </c>
      <c r="H875" s="14">
        <f>57.459 * CHOOSE(CONTROL!$C$15, $E$9, 100%, $G$9) + CHOOSE(CONTROL!$C$38, 0.0342, 0)</f>
        <v>57.493200000000002</v>
      </c>
      <c r="I875" s="14">
        <f>57.4605 * CHOOSE(CONTROL!$C$15, $E$9, 100%, $G$9) + CHOOSE(CONTROL!$C$38, 0.0342, 0)</f>
        <v>57.494700000000002</v>
      </c>
      <c r="J875" s="44">
        <f>567.8288</f>
        <v>567.8288</v>
      </c>
    </row>
    <row r="876" spans="1:10" ht="15.75" x14ac:dyDescent="0.25">
      <c r="A876" s="32">
        <v>67603</v>
      </c>
      <c r="B876" s="14">
        <f>60.2875 * CHOOSE(CONTROL!$C$15, $E$9, 100%, $G$9) + CHOOSE(CONTROL!$C$38, 0.034, 0)</f>
        <v>60.3215</v>
      </c>
      <c r="C876" s="14">
        <f>57.0276 * CHOOSE(CONTROL!$C$15, $E$9, 100%, $G$9) + CHOOSE(CONTROL!$C$38, 0.0342, 0)</f>
        <v>57.061799999999998</v>
      </c>
      <c r="D876" s="14">
        <f>57.0198 * CHOOSE(CONTROL!$C$15, $E$9, 100%, $G$9) + CHOOSE(CONTROL!$C$38, 0.0342, 0)</f>
        <v>57.053999999999995</v>
      </c>
      <c r="E876" s="14">
        <f>57.0198 * CHOOSE(CONTROL!$C$15, $E$9, 100%, $G$9) + CHOOSE(CONTROL!$C$38, 0.0342, 0)</f>
        <v>57.053999999999995</v>
      </c>
      <c r="F876" s="45">
        <f>60.2875 * CHOOSE(CONTROL!$C$15, $E$9, 100%, $G$9) + CHOOSE(CONTROL!$C$38, 0.034, 0)</f>
        <v>60.3215</v>
      </c>
      <c r="G876" s="14">
        <f>57.0261 * CHOOSE(CONTROL!$C$15, $E$9, 100%, $G$9) + CHOOSE(CONTROL!$C$38, 0.0342, 0)</f>
        <v>57.060299999999998</v>
      </c>
      <c r="H876" s="14">
        <f>57.0261 * CHOOSE(CONTROL!$C$15, $E$9, 100%, $G$9) + CHOOSE(CONTROL!$C$38, 0.0342, 0)</f>
        <v>57.060299999999998</v>
      </c>
      <c r="I876" s="14">
        <f>57.0276 * CHOOSE(CONTROL!$C$15, $E$9, 100%, $G$9) + CHOOSE(CONTROL!$C$38, 0.0342, 0)</f>
        <v>57.061799999999998</v>
      </c>
      <c r="J876" s="44">
        <f>567.4189</f>
        <v>567.41890000000001</v>
      </c>
    </row>
    <row r="877" spans="1:10" ht="15.75" x14ac:dyDescent="0.25">
      <c r="A877" s="32">
        <v>67631</v>
      </c>
      <c r="B877" s="14">
        <f>60.1217 * CHOOSE(CONTROL!$C$15, $E$9, 100%, $G$9) + CHOOSE(CONTROL!$C$38, 0.034, 0)</f>
        <v>60.155699999999996</v>
      </c>
      <c r="C877" s="14">
        <f>56.8704 * CHOOSE(CONTROL!$C$15, $E$9, 100%, $G$9) + CHOOSE(CONTROL!$C$38, 0.0342, 0)</f>
        <v>56.904599999999995</v>
      </c>
      <c r="D877" s="14">
        <f>56.8626 * CHOOSE(CONTROL!$C$15, $E$9, 100%, $G$9) + CHOOSE(CONTROL!$C$38, 0.0342, 0)</f>
        <v>56.896799999999999</v>
      </c>
      <c r="E877" s="14">
        <f>56.8626 * CHOOSE(CONTROL!$C$15, $E$9, 100%, $G$9) + CHOOSE(CONTROL!$C$38, 0.0342, 0)</f>
        <v>56.896799999999999</v>
      </c>
      <c r="F877" s="45">
        <f>60.1217 * CHOOSE(CONTROL!$C$15, $E$9, 100%, $G$9) + CHOOSE(CONTROL!$C$38, 0.034, 0)</f>
        <v>60.155699999999996</v>
      </c>
      <c r="G877" s="14">
        <f>56.8688 * CHOOSE(CONTROL!$C$15, $E$9, 100%, $G$9) + CHOOSE(CONTROL!$C$38, 0.0342, 0)</f>
        <v>56.902999999999999</v>
      </c>
      <c r="H877" s="14">
        <f>56.8688 * CHOOSE(CONTROL!$C$15, $E$9, 100%, $G$9) + CHOOSE(CONTROL!$C$38, 0.0342, 0)</f>
        <v>56.902999999999999</v>
      </c>
      <c r="I877" s="14">
        <f>56.8704 * CHOOSE(CONTROL!$C$15, $E$9, 100%, $G$9) + CHOOSE(CONTROL!$C$38, 0.0342, 0)</f>
        <v>56.904599999999995</v>
      </c>
      <c r="J877" s="44">
        <f>565.8416</f>
        <v>565.84159999999997</v>
      </c>
    </row>
    <row r="878" spans="1:10" ht="15.75" x14ac:dyDescent="0.25">
      <c r="A878" s="32">
        <v>67662</v>
      </c>
      <c r="B878" s="14">
        <f>63.2579 * CHOOSE(CONTROL!$C$15, $E$9, 100%, $G$9) + CHOOSE(CONTROL!$C$38, 0.034, 0)</f>
        <v>63.291899999999998</v>
      </c>
      <c r="C878" s="14">
        <f>59.8435 * CHOOSE(CONTROL!$C$15, $E$9, 100%, $G$9) + CHOOSE(CONTROL!$C$38, 0.0342, 0)</f>
        <v>59.877699999999997</v>
      </c>
      <c r="D878" s="14">
        <f>59.8357 * CHOOSE(CONTROL!$C$15, $E$9, 100%, $G$9) + CHOOSE(CONTROL!$C$38, 0.0342, 0)</f>
        <v>59.869900000000001</v>
      </c>
      <c r="E878" s="14">
        <f>59.8357 * CHOOSE(CONTROL!$C$15, $E$9, 100%, $G$9) + CHOOSE(CONTROL!$C$38, 0.0342, 0)</f>
        <v>59.869900000000001</v>
      </c>
      <c r="F878" s="45">
        <f>63.2579 * CHOOSE(CONTROL!$C$15, $E$9, 100%, $G$9) + CHOOSE(CONTROL!$C$38, 0.034, 0)</f>
        <v>63.291899999999998</v>
      </c>
      <c r="G878" s="14">
        <f>59.8419 * CHOOSE(CONTROL!$C$15, $E$9, 100%, $G$9) + CHOOSE(CONTROL!$C$38, 0.0342, 0)</f>
        <v>59.876100000000001</v>
      </c>
      <c r="H878" s="14">
        <f>59.8419 * CHOOSE(CONTROL!$C$15, $E$9, 100%, $G$9) + CHOOSE(CONTROL!$C$38, 0.0342, 0)</f>
        <v>59.876100000000001</v>
      </c>
      <c r="I878" s="14">
        <f>59.8435 * CHOOSE(CONTROL!$C$15, $E$9, 100%, $G$9) + CHOOSE(CONTROL!$C$38, 0.0342, 0)</f>
        <v>59.877699999999997</v>
      </c>
      <c r="J878" s="44">
        <f>595.6648</f>
        <v>595.66480000000001</v>
      </c>
    </row>
    <row r="879" spans="1:10" ht="15.75" x14ac:dyDescent="0.25">
      <c r="A879" s="32">
        <v>67692</v>
      </c>
      <c r="B879" s="14">
        <f>67.3248 * CHOOSE(CONTROL!$C$15, $E$9, 100%, $G$9) + CHOOSE(CONTROL!$C$38, 0.034, 0)</f>
        <v>67.358800000000002</v>
      </c>
      <c r="C879" s="14">
        <f>63.6989 * CHOOSE(CONTROL!$C$15, $E$9, 100%, $G$9) + CHOOSE(CONTROL!$C$38, 0.0342, 0)</f>
        <v>63.7331</v>
      </c>
      <c r="D879" s="14">
        <f>63.6911 * CHOOSE(CONTROL!$C$15, $E$9, 100%, $G$9) + CHOOSE(CONTROL!$C$38, 0.0342, 0)</f>
        <v>63.725299999999997</v>
      </c>
      <c r="E879" s="14">
        <f>63.6911 * CHOOSE(CONTROL!$C$15, $E$9, 100%, $G$9) + CHOOSE(CONTROL!$C$38, 0.0342, 0)</f>
        <v>63.725299999999997</v>
      </c>
      <c r="F879" s="45">
        <f>67.3248 * CHOOSE(CONTROL!$C$15, $E$9, 100%, $G$9) + CHOOSE(CONTROL!$C$38, 0.034, 0)</f>
        <v>67.358800000000002</v>
      </c>
      <c r="G879" s="14">
        <f>63.6973 * CHOOSE(CONTROL!$C$15, $E$9, 100%, $G$9) + CHOOSE(CONTROL!$C$38, 0.0342, 0)</f>
        <v>63.731499999999997</v>
      </c>
      <c r="H879" s="14">
        <f>63.6973 * CHOOSE(CONTROL!$C$15, $E$9, 100%, $G$9) + CHOOSE(CONTROL!$C$38, 0.0342, 0)</f>
        <v>63.731499999999997</v>
      </c>
      <c r="I879" s="14">
        <f>63.6989 * CHOOSE(CONTROL!$C$15, $E$9, 100%, $G$9) + CHOOSE(CONTROL!$C$38, 0.0342, 0)</f>
        <v>63.7331</v>
      </c>
      <c r="J879" s="44">
        <f>634.3382</f>
        <v>634.33820000000003</v>
      </c>
    </row>
    <row r="880" spans="1:10" ht="15.75" x14ac:dyDescent="0.25">
      <c r="A880" s="32">
        <v>67723</v>
      </c>
      <c r="B880" s="14">
        <f>69.5634 * CHOOSE(CONTROL!$C$15, $E$9, 100%, $G$9) + CHOOSE(CONTROL!$C$38, 0.0353, 0)</f>
        <v>69.598700000000008</v>
      </c>
      <c r="C880" s="14">
        <f>65.821 * CHOOSE(CONTROL!$C$15, $E$9, 100%, $G$9) + CHOOSE(CONTROL!$C$38, 0.0354, 0)</f>
        <v>65.856399999999994</v>
      </c>
      <c r="D880" s="14">
        <f>65.8132 * CHOOSE(CONTROL!$C$15, $E$9, 100%, $G$9) + CHOOSE(CONTROL!$C$38, 0.0354, 0)</f>
        <v>65.84859999999999</v>
      </c>
      <c r="E880" s="14">
        <f>65.8132 * CHOOSE(CONTROL!$C$15, $E$9, 100%, $G$9) + CHOOSE(CONTROL!$C$38, 0.0354, 0)</f>
        <v>65.84859999999999</v>
      </c>
      <c r="F880" s="45">
        <f>69.5634 * CHOOSE(CONTROL!$C$15, $E$9, 100%, $G$9) + CHOOSE(CONTROL!$C$38, 0.0353, 0)</f>
        <v>69.598700000000008</v>
      </c>
      <c r="G880" s="14">
        <f>65.8195 * CHOOSE(CONTROL!$C$15, $E$9, 100%, $G$9) + CHOOSE(CONTROL!$C$38, 0.0354, 0)</f>
        <v>65.854900000000001</v>
      </c>
      <c r="H880" s="14">
        <f>65.8195 * CHOOSE(CONTROL!$C$15, $E$9, 100%, $G$9) + CHOOSE(CONTROL!$C$38, 0.0354, 0)</f>
        <v>65.854900000000001</v>
      </c>
      <c r="I880" s="14">
        <f>65.821 * CHOOSE(CONTROL!$C$15, $E$9, 100%, $G$9) + CHOOSE(CONTROL!$C$38, 0.0354, 0)</f>
        <v>65.856399999999994</v>
      </c>
      <c r="J880" s="44">
        <f>655.6254</f>
        <v>655.62540000000001</v>
      </c>
    </row>
    <row r="881" spans="1:10" ht="15.75" x14ac:dyDescent="0.25">
      <c r="A881" s="32">
        <v>67753</v>
      </c>
      <c r="B881" s="14">
        <f>70.5568 * CHOOSE(CONTROL!$C$15, $E$9, 100%, $G$9) + CHOOSE(CONTROL!$C$38, 0.0353, 0)</f>
        <v>70.592100000000002</v>
      </c>
      <c r="C881" s="14">
        <f>66.7628 * CHOOSE(CONTROL!$C$15, $E$9, 100%, $G$9) + CHOOSE(CONTROL!$C$38, 0.0354, 0)</f>
        <v>66.798199999999994</v>
      </c>
      <c r="D881" s="14">
        <f>66.755 * CHOOSE(CONTROL!$C$15, $E$9, 100%, $G$9) + CHOOSE(CONTROL!$C$38, 0.0354, 0)</f>
        <v>66.790399999999991</v>
      </c>
      <c r="E881" s="14">
        <f>66.755 * CHOOSE(CONTROL!$C$15, $E$9, 100%, $G$9) + CHOOSE(CONTROL!$C$38, 0.0354, 0)</f>
        <v>66.790399999999991</v>
      </c>
      <c r="F881" s="45">
        <f>70.5568 * CHOOSE(CONTROL!$C$15, $E$9, 100%, $G$9) + CHOOSE(CONTROL!$C$38, 0.0353, 0)</f>
        <v>70.592100000000002</v>
      </c>
      <c r="G881" s="14">
        <f>66.7612 * CHOOSE(CONTROL!$C$15, $E$9, 100%, $G$9) + CHOOSE(CONTROL!$C$38, 0.0354, 0)</f>
        <v>66.796599999999998</v>
      </c>
      <c r="H881" s="14">
        <f>66.7612 * CHOOSE(CONTROL!$C$15, $E$9, 100%, $G$9) + CHOOSE(CONTROL!$C$38, 0.0354, 0)</f>
        <v>66.796599999999998</v>
      </c>
      <c r="I881" s="14">
        <f>66.7628 * CHOOSE(CONTROL!$C$15, $E$9, 100%, $G$9) + CHOOSE(CONTROL!$C$38, 0.0354, 0)</f>
        <v>66.798199999999994</v>
      </c>
      <c r="J881" s="44">
        <f>665.0722</f>
        <v>665.07219999999995</v>
      </c>
    </row>
    <row r="882" spans="1:10" ht="15.75" x14ac:dyDescent="0.25">
      <c r="A882" s="32">
        <v>67784</v>
      </c>
      <c r="B882" s="14">
        <f>70.2298 * CHOOSE(CONTROL!$C$15, $E$9, 100%, $G$9) + CHOOSE(CONTROL!$C$38, 0.0353, 0)</f>
        <v>70.265100000000004</v>
      </c>
      <c r="C882" s="14">
        <f>66.4527 * CHOOSE(CONTROL!$C$15, $E$9, 100%, $G$9) + CHOOSE(CONTROL!$C$38, 0.0354, 0)</f>
        <v>66.488099999999989</v>
      </c>
      <c r="D882" s="14">
        <f>66.4449 * CHOOSE(CONTROL!$C$15, $E$9, 100%, $G$9) + CHOOSE(CONTROL!$C$38, 0.0354, 0)</f>
        <v>66.4803</v>
      </c>
      <c r="E882" s="14">
        <f>66.4449 * CHOOSE(CONTROL!$C$15, $E$9, 100%, $G$9) + CHOOSE(CONTROL!$C$38, 0.0354, 0)</f>
        <v>66.4803</v>
      </c>
      <c r="F882" s="45">
        <f>70.2298 * CHOOSE(CONTROL!$C$15, $E$9, 100%, $G$9) + CHOOSE(CONTROL!$C$38, 0.0353, 0)</f>
        <v>70.265100000000004</v>
      </c>
      <c r="G882" s="14">
        <f>66.4512 * CHOOSE(CONTROL!$C$15, $E$9, 100%, $G$9) + CHOOSE(CONTROL!$C$38, 0.0354, 0)</f>
        <v>66.486599999999996</v>
      </c>
      <c r="H882" s="14">
        <f>66.4512 * CHOOSE(CONTROL!$C$15, $E$9, 100%, $G$9) + CHOOSE(CONTROL!$C$38, 0.0354, 0)</f>
        <v>66.486599999999996</v>
      </c>
      <c r="I882" s="14">
        <f>66.4527 * CHOOSE(CONTROL!$C$15, $E$9, 100%, $G$9) + CHOOSE(CONTROL!$C$38, 0.0354, 0)</f>
        <v>66.488099999999989</v>
      </c>
      <c r="J882" s="44">
        <f>661.9619</f>
        <v>661.96190000000001</v>
      </c>
    </row>
    <row r="883" spans="1:10" ht="15.75" x14ac:dyDescent="0.25">
      <c r="A883" s="32">
        <v>67815</v>
      </c>
      <c r="B883" s="14">
        <f>68.6092 * CHOOSE(CONTROL!$C$15, $E$9, 100%, $G$9) + CHOOSE(CONTROL!$C$38, 0.0353, 0)</f>
        <v>68.644500000000008</v>
      </c>
      <c r="C883" s="14">
        <f>64.9165 * CHOOSE(CONTROL!$C$15, $E$9, 100%, $G$9) + CHOOSE(CONTROL!$C$38, 0.0354, 0)</f>
        <v>64.951899999999995</v>
      </c>
      <c r="D883" s="14">
        <f>64.9087 * CHOOSE(CONTROL!$C$15, $E$9, 100%, $G$9) + CHOOSE(CONTROL!$C$38, 0.0354, 0)</f>
        <v>64.944099999999992</v>
      </c>
      <c r="E883" s="14">
        <f>64.9087 * CHOOSE(CONTROL!$C$15, $E$9, 100%, $G$9) + CHOOSE(CONTROL!$C$38, 0.0354, 0)</f>
        <v>64.944099999999992</v>
      </c>
      <c r="F883" s="45">
        <f>68.6092 * CHOOSE(CONTROL!$C$15, $E$9, 100%, $G$9) + CHOOSE(CONTROL!$C$38, 0.0353, 0)</f>
        <v>68.644500000000008</v>
      </c>
      <c r="G883" s="14">
        <f>64.9149 * CHOOSE(CONTROL!$C$15, $E$9, 100%, $G$9) + CHOOSE(CONTROL!$C$38, 0.0354, 0)</f>
        <v>64.950299999999999</v>
      </c>
      <c r="H883" s="14">
        <f>64.9149 * CHOOSE(CONTROL!$C$15, $E$9, 100%, $G$9) + CHOOSE(CONTROL!$C$38, 0.0354, 0)</f>
        <v>64.950299999999999</v>
      </c>
      <c r="I883" s="14">
        <f>64.9165 * CHOOSE(CONTROL!$C$15, $E$9, 100%, $G$9) + CHOOSE(CONTROL!$C$38, 0.0354, 0)</f>
        <v>64.951899999999995</v>
      </c>
      <c r="J883" s="44">
        <f>646.5517</f>
        <v>646.55169999999998</v>
      </c>
    </row>
    <row r="884" spans="1:10" ht="15.75" x14ac:dyDescent="0.25">
      <c r="A884" s="32">
        <v>67845</v>
      </c>
      <c r="B884" s="14">
        <f>66.3493 * CHOOSE(CONTROL!$C$15, $E$9, 100%, $G$9) + CHOOSE(CONTROL!$C$38, 0.0353, 0)</f>
        <v>66.384600000000006</v>
      </c>
      <c r="C884" s="14">
        <f>62.7741 * CHOOSE(CONTROL!$C$15, $E$9, 100%, $G$9) + CHOOSE(CONTROL!$C$38, 0.0354, 0)</f>
        <v>62.8095</v>
      </c>
      <c r="D884" s="14">
        <f>62.7663 * CHOOSE(CONTROL!$C$15, $E$9, 100%, $G$9) + CHOOSE(CONTROL!$C$38, 0.0354, 0)</f>
        <v>62.801700000000004</v>
      </c>
      <c r="E884" s="14">
        <f>62.7663 * CHOOSE(CONTROL!$C$15, $E$9, 100%, $G$9) + CHOOSE(CONTROL!$C$38, 0.0354, 0)</f>
        <v>62.801700000000004</v>
      </c>
      <c r="F884" s="45">
        <f>66.3493 * CHOOSE(CONTROL!$C$15, $E$9, 100%, $G$9) + CHOOSE(CONTROL!$C$38, 0.0353, 0)</f>
        <v>66.384600000000006</v>
      </c>
      <c r="G884" s="14">
        <f>62.7725 * CHOOSE(CONTROL!$C$15, $E$9, 100%, $G$9) + CHOOSE(CONTROL!$C$38, 0.0354, 0)</f>
        <v>62.807900000000004</v>
      </c>
      <c r="H884" s="14">
        <f>62.7725 * CHOOSE(CONTROL!$C$15, $E$9, 100%, $G$9) + CHOOSE(CONTROL!$C$38, 0.0354, 0)</f>
        <v>62.807900000000004</v>
      </c>
      <c r="I884" s="14">
        <f>62.7741 * CHOOSE(CONTROL!$C$15, $E$9, 100%, $G$9) + CHOOSE(CONTROL!$C$38, 0.0354, 0)</f>
        <v>62.8095</v>
      </c>
      <c r="J884" s="44">
        <f>625.0614</f>
        <v>625.06140000000005</v>
      </c>
    </row>
    <row r="885" spans="1:10" ht="15.75" x14ac:dyDescent="0.25">
      <c r="A885" s="32">
        <v>67876</v>
      </c>
      <c r="B885" s="14">
        <f>64.0762 * CHOOSE(CONTROL!$C$15, $E$9, 100%, $G$9) + CHOOSE(CONTROL!$C$38, 0.034, 0)</f>
        <v>64.110200000000006</v>
      </c>
      <c r="C885" s="14">
        <f>60.6192 * CHOOSE(CONTROL!$C$15, $E$9, 100%, $G$9) + CHOOSE(CONTROL!$C$38, 0.0342, 0)</f>
        <v>60.653399999999998</v>
      </c>
      <c r="D885" s="14">
        <f>60.6114 * CHOOSE(CONTROL!$C$15, $E$9, 100%, $G$9) + CHOOSE(CONTROL!$C$38, 0.0342, 0)</f>
        <v>60.645600000000002</v>
      </c>
      <c r="E885" s="14">
        <f>60.6114 * CHOOSE(CONTROL!$C$15, $E$9, 100%, $G$9) + CHOOSE(CONTROL!$C$38, 0.0342, 0)</f>
        <v>60.645600000000002</v>
      </c>
      <c r="F885" s="45">
        <f>64.0762 * CHOOSE(CONTROL!$C$15, $E$9, 100%, $G$9) + CHOOSE(CONTROL!$C$38, 0.034, 0)</f>
        <v>64.110200000000006</v>
      </c>
      <c r="G885" s="14">
        <f>60.6177 * CHOOSE(CONTROL!$C$15, $E$9, 100%, $G$9) + CHOOSE(CONTROL!$C$38, 0.0342, 0)</f>
        <v>60.651899999999998</v>
      </c>
      <c r="H885" s="14">
        <f>60.6177 * CHOOSE(CONTROL!$C$15, $E$9, 100%, $G$9) + CHOOSE(CONTROL!$C$38, 0.0342, 0)</f>
        <v>60.651899999999998</v>
      </c>
      <c r="I885" s="14">
        <f>60.6192 * CHOOSE(CONTROL!$C$15, $E$9, 100%, $G$9) + CHOOSE(CONTROL!$C$38, 0.0342, 0)</f>
        <v>60.653399999999998</v>
      </c>
      <c r="J885" s="44">
        <f>603.4461</f>
        <v>603.4461</v>
      </c>
    </row>
    <row r="886" spans="1:10" ht="15.75" x14ac:dyDescent="0.25">
      <c r="A886" s="32">
        <v>67906</v>
      </c>
      <c r="B886" s="14">
        <f>63.624 * CHOOSE(CONTROL!$C$15, $E$9, 100%, $G$9) + CHOOSE(CONTROL!$C$38, 0.034, 0)</f>
        <v>63.658000000000001</v>
      </c>
      <c r="C886" s="14">
        <f>60.1906 * CHOOSE(CONTROL!$C$15, $E$9, 100%, $G$9) + CHOOSE(CONTROL!$C$38, 0.0342, 0)</f>
        <v>60.224800000000002</v>
      </c>
      <c r="D886" s="14">
        <f>60.1828 * CHOOSE(CONTROL!$C$15, $E$9, 100%, $G$9) + CHOOSE(CONTROL!$C$38, 0.0342, 0)</f>
        <v>60.216999999999999</v>
      </c>
      <c r="E886" s="14">
        <f>60.1828 * CHOOSE(CONTROL!$C$15, $E$9, 100%, $G$9) + CHOOSE(CONTROL!$C$38, 0.0342, 0)</f>
        <v>60.216999999999999</v>
      </c>
      <c r="F886" s="45">
        <f>63.624 * CHOOSE(CONTROL!$C$15, $E$9, 100%, $G$9) + CHOOSE(CONTROL!$C$38, 0.034, 0)</f>
        <v>63.658000000000001</v>
      </c>
      <c r="G886" s="14">
        <f>60.189 * CHOOSE(CONTROL!$C$15, $E$9, 100%, $G$9) + CHOOSE(CONTROL!$C$38, 0.0342, 0)</f>
        <v>60.223199999999999</v>
      </c>
      <c r="H886" s="14">
        <f>60.189 * CHOOSE(CONTROL!$C$15, $E$9, 100%, $G$9) + CHOOSE(CONTROL!$C$38, 0.0342, 0)</f>
        <v>60.223199999999999</v>
      </c>
      <c r="I886" s="14">
        <f>60.1906 * CHOOSE(CONTROL!$C$15, $E$9, 100%, $G$9) + CHOOSE(CONTROL!$C$38, 0.0342, 0)</f>
        <v>60.224800000000002</v>
      </c>
      <c r="J886" s="44">
        <f>599.1464</f>
        <v>599.14639999999997</v>
      </c>
    </row>
    <row r="887" spans="1:10" ht="15.75" x14ac:dyDescent="0.25">
      <c r="A887" s="32">
        <v>67937</v>
      </c>
      <c r="B887" s="14">
        <f>61.7543 * CHOOSE(CONTROL!$C$15, $E$9, 100%, $G$9) + CHOOSE(CONTROL!$C$38, 0.034, 0)</f>
        <v>61.7883</v>
      </c>
      <c r="C887" s="14">
        <f>58.4181 * CHOOSE(CONTROL!$C$15, $E$9, 100%, $G$9) + CHOOSE(CONTROL!$C$38, 0.0342, 0)</f>
        <v>58.452300000000001</v>
      </c>
      <c r="D887" s="14">
        <f>58.4103 * CHOOSE(CONTROL!$C$15, $E$9, 100%, $G$9) + CHOOSE(CONTROL!$C$38, 0.0342, 0)</f>
        <v>58.444499999999998</v>
      </c>
      <c r="E887" s="14">
        <f>58.4103 * CHOOSE(CONTROL!$C$15, $E$9, 100%, $G$9) + CHOOSE(CONTROL!$C$38, 0.0342, 0)</f>
        <v>58.444499999999998</v>
      </c>
      <c r="F887" s="45">
        <f>61.7543 * CHOOSE(CONTROL!$C$15, $E$9, 100%, $G$9) + CHOOSE(CONTROL!$C$38, 0.034, 0)</f>
        <v>61.7883</v>
      </c>
      <c r="G887" s="14">
        <f>58.4165 * CHOOSE(CONTROL!$C$15, $E$9, 100%, $G$9) + CHOOSE(CONTROL!$C$38, 0.0342, 0)</f>
        <v>58.450699999999998</v>
      </c>
      <c r="H887" s="14">
        <f>58.4165 * CHOOSE(CONTROL!$C$15, $E$9, 100%, $G$9) + CHOOSE(CONTROL!$C$38, 0.0342, 0)</f>
        <v>58.450699999999998</v>
      </c>
      <c r="I887" s="14">
        <f>58.4181 * CHOOSE(CONTROL!$C$15, $E$9, 100%, $G$9) + CHOOSE(CONTROL!$C$38, 0.0342, 0)</f>
        <v>58.452300000000001</v>
      </c>
      <c r="J887" s="44">
        <f>581.3667</f>
        <v>581.36670000000004</v>
      </c>
    </row>
    <row r="888" spans="1:10" ht="15.75" x14ac:dyDescent="0.25">
      <c r="A888" s="32">
        <v>67968</v>
      </c>
      <c r="B888" s="14">
        <f>61.29 * CHOOSE(CONTROL!$C$15, $E$9, 100%, $G$9) + CHOOSE(CONTROL!$C$38, 0.034, 0)</f>
        <v>61.323999999999998</v>
      </c>
      <c r="C888" s="14">
        <f>57.9779 * CHOOSE(CONTROL!$C$15, $E$9, 100%, $G$9) + CHOOSE(CONTROL!$C$38, 0.0342, 0)</f>
        <v>58.012099999999997</v>
      </c>
      <c r="D888" s="14">
        <f>57.9701 * CHOOSE(CONTROL!$C$15, $E$9, 100%, $G$9) + CHOOSE(CONTROL!$C$38, 0.0342, 0)</f>
        <v>58.004300000000001</v>
      </c>
      <c r="E888" s="14">
        <f>57.9701 * CHOOSE(CONTROL!$C$15, $E$9, 100%, $G$9) + CHOOSE(CONTROL!$C$38, 0.0342, 0)</f>
        <v>58.004300000000001</v>
      </c>
      <c r="F888" s="45">
        <f>61.29 * CHOOSE(CONTROL!$C$15, $E$9, 100%, $G$9) + CHOOSE(CONTROL!$C$38, 0.034, 0)</f>
        <v>61.323999999999998</v>
      </c>
      <c r="G888" s="14">
        <f>57.9764 * CHOOSE(CONTROL!$C$15, $E$9, 100%, $G$9) + CHOOSE(CONTROL!$C$38, 0.0342, 0)</f>
        <v>58.010599999999997</v>
      </c>
      <c r="H888" s="14">
        <f>57.9764 * CHOOSE(CONTROL!$C$15, $E$9, 100%, $G$9) + CHOOSE(CONTROL!$C$38, 0.0342, 0)</f>
        <v>58.010599999999997</v>
      </c>
      <c r="I888" s="14">
        <f>57.9779 * CHOOSE(CONTROL!$C$15, $E$9, 100%, $G$9) + CHOOSE(CONTROL!$C$38, 0.0342, 0)</f>
        <v>58.012099999999997</v>
      </c>
      <c r="J888" s="44">
        <f>580.947</f>
        <v>580.947</v>
      </c>
    </row>
    <row r="889" spans="1:10" ht="15.75" x14ac:dyDescent="0.25">
      <c r="A889" s="32">
        <v>67996</v>
      </c>
      <c r="B889" s="14">
        <f>61.1213 * CHOOSE(CONTROL!$C$15, $E$9, 100%, $G$9) + CHOOSE(CONTROL!$C$38, 0.034, 0)</f>
        <v>61.155299999999997</v>
      </c>
      <c r="C889" s="14">
        <f>57.8181 * CHOOSE(CONTROL!$C$15, $E$9, 100%, $G$9) + CHOOSE(CONTROL!$C$38, 0.0342, 0)</f>
        <v>57.8523</v>
      </c>
      <c r="D889" s="14">
        <f>57.8102 * CHOOSE(CONTROL!$C$15, $E$9, 100%, $G$9) + CHOOSE(CONTROL!$C$38, 0.0342, 0)</f>
        <v>57.8444</v>
      </c>
      <c r="E889" s="14">
        <f>57.8102 * CHOOSE(CONTROL!$C$15, $E$9, 100%, $G$9) + CHOOSE(CONTROL!$C$38, 0.0342, 0)</f>
        <v>57.8444</v>
      </c>
      <c r="F889" s="45">
        <f>61.1213 * CHOOSE(CONTROL!$C$15, $E$9, 100%, $G$9) + CHOOSE(CONTROL!$C$38, 0.034, 0)</f>
        <v>61.155299999999997</v>
      </c>
      <c r="G889" s="14">
        <f>57.8165 * CHOOSE(CONTROL!$C$15, $E$9, 100%, $G$9) + CHOOSE(CONTROL!$C$38, 0.0342, 0)</f>
        <v>57.850699999999996</v>
      </c>
      <c r="H889" s="14">
        <f>57.8165 * CHOOSE(CONTROL!$C$15, $E$9, 100%, $G$9) + CHOOSE(CONTROL!$C$38, 0.0342, 0)</f>
        <v>57.850699999999996</v>
      </c>
      <c r="I889" s="14">
        <f>57.8181 * CHOOSE(CONTROL!$C$15, $E$9, 100%, $G$9) + CHOOSE(CONTROL!$C$38, 0.0342, 0)</f>
        <v>57.8523</v>
      </c>
      <c r="J889" s="44">
        <f>579.3321</f>
        <v>579.33209999999997</v>
      </c>
    </row>
    <row r="890" spans="1:10" ht="15.75" x14ac:dyDescent="0.25">
      <c r="A890" s="32">
        <v>68027</v>
      </c>
      <c r="B890" s="14">
        <f>64.3102 * CHOOSE(CONTROL!$C$15, $E$9, 100%, $G$9) + CHOOSE(CONTROL!$C$38, 0.034, 0)</f>
        <v>64.344200000000001</v>
      </c>
      <c r="C890" s="14">
        <f>60.8411 * CHOOSE(CONTROL!$C$15, $E$9, 100%, $G$9) + CHOOSE(CONTROL!$C$38, 0.0342, 0)</f>
        <v>60.875299999999996</v>
      </c>
      <c r="D890" s="14">
        <f>60.8333 * CHOOSE(CONTROL!$C$15, $E$9, 100%, $G$9) + CHOOSE(CONTROL!$C$38, 0.0342, 0)</f>
        <v>60.8675</v>
      </c>
      <c r="E890" s="14">
        <f>60.8333 * CHOOSE(CONTROL!$C$15, $E$9, 100%, $G$9) + CHOOSE(CONTROL!$C$38, 0.0342, 0)</f>
        <v>60.8675</v>
      </c>
      <c r="F890" s="45">
        <f>64.3102 * CHOOSE(CONTROL!$C$15, $E$9, 100%, $G$9) + CHOOSE(CONTROL!$C$38, 0.034, 0)</f>
        <v>64.344200000000001</v>
      </c>
      <c r="G890" s="14">
        <f>60.8395 * CHOOSE(CONTROL!$C$15, $E$9, 100%, $G$9) + CHOOSE(CONTROL!$C$38, 0.0342, 0)</f>
        <v>60.873699999999999</v>
      </c>
      <c r="H890" s="14">
        <f>60.8395 * CHOOSE(CONTROL!$C$15, $E$9, 100%, $G$9) + CHOOSE(CONTROL!$C$38, 0.0342, 0)</f>
        <v>60.873699999999999</v>
      </c>
      <c r="I890" s="14">
        <f>60.8411 * CHOOSE(CONTROL!$C$15, $E$9, 100%, $G$9) + CHOOSE(CONTROL!$C$38, 0.0342, 0)</f>
        <v>60.875299999999996</v>
      </c>
      <c r="J890" s="44">
        <f>609.8663</f>
        <v>609.86630000000002</v>
      </c>
    </row>
    <row r="891" spans="1:10" ht="15.75" x14ac:dyDescent="0.25">
      <c r="A891" s="32">
        <v>68057</v>
      </c>
      <c r="B891" s="14">
        <f>68.4455 * CHOOSE(CONTROL!$C$15, $E$9, 100%, $G$9) + CHOOSE(CONTROL!$C$38, 0.034, 0)</f>
        <v>68.479500000000002</v>
      </c>
      <c r="C891" s="14">
        <f>64.7613 * CHOOSE(CONTROL!$C$15, $E$9, 100%, $G$9) + CHOOSE(CONTROL!$C$38, 0.0342, 0)</f>
        <v>64.795500000000004</v>
      </c>
      <c r="D891" s="14">
        <f>64.7535 * CHOOSE(CONTROL!$C$15, $E$9, 100%, $G$9) + CHOOSE(CONTROL!$C$38, 0.0342, 0)</f>
        <v>64.787700000000001</v>
      </c>
      <c r="E891" s="14">
        <f>64.7535 * CHOOSE(CONTROL!$C$15, $E$9, 100%, $G$9) + CHOOSE(CONTROL!$C$38, 0.0342, 0)</f>
        <v>64.787700000000001</v>
      </c>
      <c r="F891" s="45">
        <f>68.4455 * CHOOSE(CONTROL!$C$15, $E$9, 100%, $G$9) + CHOOSE(CONTROL!$C$38, 0.034, 0)</f>
        <v>68.479500000000002</v>
      </c>
      <c r="G891" s="14">
        <f>64.7597 * CHOOSE(CONTROL!$C$15, $E$9, 100%, $G$9) + CHOOSE(CONTROL!$C$38, 0.0342, 0)</f>
        <v>64.793899999999994</v>
      </c>
      <c r="H891" s="14">
        <f>64.7597 * CHOOSE(CONTROL!$C$15, $E$9, 100%, $G$9) + CHOOSE(CONTROL!$C$38, 0.0342, 0)</f>
        <v>64.793899999999994</v>
      </c>
      <c r="I891" s="14">
        <f>64.7613 * CHOOSE(CONTROL!$C$15, $E$9, 100%, $G$9) + CHOOSE(CONTROL!$C$38, 0.0342, 0)</f>
        <v>64.795500000000004</v>
      </c>
      <c r="J891" s="44">
        <f>649.4618</f>
        <v>649.46180000000004</v>
      </c>
    </row>
    <row r="892" spans="1:10" ht="15.75" x14ac:dyDescent="0.25">
      <c r="A892" s="32">
        <v>68088</v>
      </c>
      <c r="B892" s="14">
        <f>70.7217 * CHOOSE(CONTROL!$C$15, $E$9, 100%, $G$9) + CHOOSE(CONTROL!$C$38, 0.0353, 0)</f>
        <v>70.757000000000005</v>
      </c>
      <c r="C892" s="14">
        <f>66.9191 * CHOOSE(CONTROL!$C$15, $E$9, 100%, $G$9) + CHOOSE(CONTROL!$C$38, 0.0354, 0)</f>
        <v>66.954499999999996</v>
      </c>
      <c r="D892" s="14">
        <f>66.9113 * CHOOSE(CONTROL!$C$15, $E$9, 100%, $G$9) + CHOOSE(CONTROL!$C$38, 0.0354, 0)</f>
        <v>66.946699999999993</v>
      </c>
      <c r="E892" s="14">
        <f>66.9113 * CHOOSE(CONTROL!$C$15, $E$9, 100%, $G$9) + CHOOSE(CONTROL!$C$38, 0.0354, 0)</f>
        <v>66.946699999999993</v>
      </c>
      <c r="F892" s="45">
        <f>70.7217 * CHOOSE(CONTROL!$C$15, $E$9, 100%, $G$9) + CHOOSE(CONTROL!$C$38, 0.0353, 0)</f>
        <v>70.757000000000005</v>
      </c>
      <c r="G892" s="14">
        <f>66.9175 * CHOOSE(CONTROL!$C$15, $E$9, 100%, $G$9) + CHOOSE(CONTROL!$C$38, 0.0354, 0)</f>
        <v>66.9529</v>
      </c>
      <c r="H892" s="14">
        <f>66.9175 * CHOOSE(CONTROL!$C$15, $E$9, 100%, $G$9) + CHOOSE(CONTROL!$C$38, 0.0354, 0)</f>
        <v>66.9529</v>
      </c>
      <c r="I892" s="14">
        <f>66.9191 * CHOOSE(CONTROL!$C$15, $E$9, 100%, $G$9) + CHOOSE(CONTROL!$C$38, 0.0354, 0)</f>
        <v>66.954499999999996</v>
      </c>
      <c r="J892" s="44">
        <f>671.2565</f>
        <v>671.25649999999996</v>
      </c>
    </row>
    <row r="893" spans="1:10" ht="15.75" x14ac:dyDescent="0.25">
      <c r="A893" s="32">
        <v>68118</v>
      </c>
      <c r="B893" s="14">
        <f>71.7318 * CHOOSE(CONTROL!$C$15, $E$9, 100%, $G$9) + CHOOSE(CONTROL!$C$38, 0.0353, 0)</f>
        <v>71.767100000000013</v>
      </c>
      <c r="C893" s="14">
        <f>67.8767 * CHOOSE(CONTROL!$C$15, $E$9, 100%, $G$9) + CHOOSE(CONTROL!$C$38, 0.0354, 0)</f>
        <v>67.912099999999995</v>
      </c>
      <c r="D893" s="14">
        <f>67.8689 * CHOOSE(CONTROL!$C$15, $E$9, 100%, $G$9) + CHOOSE(CONTROL!$C$38, 0.0354, 0)</f>
        <v>67.904299999999992</v>
      </c>
      <c r="E893" s="14">
        <f>67.8689 * CHOOSE(CONTROL!$C$15, $E$9, 100%, $G$9) + CHOOSE(CONTROL!$C$38, 0.0354, 0)</f>
        <v>67.904299999999992</v>
      </c>
      <c r="F893" s="45">
        <f>71.7318 * CHOOSE(CONTROL!$C$15, $E$9, 100%, $G$9) + CHOOSE(CONTROL!$C$38, 0.0353, 0)</f>
        <v>71.767100000000013</v>
      </c>
      <c r="G893" s="14">
        <f>67.8751 * CHOOSE(CONTROL!$C$15, $E$9, 100%, $G$9) + CHOOSE(CONTROL!$C$38, 0.0354, 0)</f>
        <v>67.910499999999999</v>
      </c>
      <c r="H893" s="14">
        <f>67.8751 * CHOOSE(CONTROL!$C$15, $E$9, 100%, $G$9) + CHOOSE(CONTROL!$C$38, 0.0354, 0)</f>
        <v>67.910499999999999</v>
      </c>
      <c r="I893" s="14">
        <f>67.8767 * CHOOSE(CONTROL!$C$15, $E$9, 100%, $G$9) + CHOOSE(CONTROL!$C$38, 0.0354, 0)</f>
        <v>67.912099999999995</v>
      </c>
      <c r="J893" s="44">
        <f>680.9285</f>
        <v>680.92849999999999</v>
      </c>
    </row>
    <row r="894" spans="1:10" ht="15.75" x14ac:dyDescent="0.25">
      <c r="A894" s="32">
        <v>68149</v>
      </c>
      <c r="B894" s="14">
        <f>71.3992 * CHOOSE(CONTROL!$C$15, $E$9, 100%, $G$9) + CHOOSE(CONTROL!$C$38, 0.0353, 0)</f>
        <v>71.4345</v>
      </c>
      <c r="C894" s="14">
        <f>67.5614 * CHOOSE(CONTROL!$C$15, $E$9, 100%, $G$9) + CHOOSE(CONTROL!$C$38, 0.0354, 0)</f>
        <v>67.596800000000002</v>
      </c>
      <c r="D894" s="14">
        <f>67.5536 * CHOOSE(CONTROL!$C$15, $E$9, 100%, $G$9) + CHOOSE(CONTROL!$C$38, 0.0354, 0)</f>
        <v>67.588999999999999</v>
      </c>
      <c r="E894" s="14">
        <f>67.5536 * CHOOSE(CONTROL!$C$15, $E$9, 100%, $G$9) + CHOOSE(CONTROL!$C$38, 0.0354, 0)</f>
        <v>67.588999999999999</v>
      </c>
      <c r="F894" s="45">
        <f>71.3992 * CHOOSE(CONTROL!$C$15, $E$9, 100%, $G$9) + CHOOSE(CONTROL!$C$38, 0.0353, 0)</f>
        <v>71.4345</v>
      </c>
      <c r="G894" s="14">
        <f>67.5598 * CHOOSE(CONTROL!$C$15, $E$9, 100%, $G$9) + CHOOSE(CONTROL!$C$38, 0.0354, 0)</f>
        <v>67.595199999999991</v>
      </c>
      <c r="H894" s="14">
        <f>67.5598 * CHOOSE(CONTROL!$C$15, $E$9, 100%, $G$9) + CHOOSE(CONTROL!$C$38, 0.0354, 0)</f>
        <v>67.595199999999991</v>
      </c>
      <c r="I894" s="14">
        <f>67.5614 * CHOOSE(CONTROL!$C$15, $E$9, 100%, $G$9) + CHOOSE(CONTROL!$C$38, 0.0354, 0)</f>
        <v>67.596800000000002</v>
      </c>
      <c r="J894" s="44">
        <f>677.744</f>
        <v>677.74400000000003</v>
      </c>
    </row>
    <row r="895" spans="1:10" ht="15.75" x14ac:dyDescent="0.25">
      <c r="A895" s="32">
        <v>68180</v>
      </c>
      <c r="B895" s="14">
        <f>69.7514 * CHOOSE(CONTROL!$C$15, $E$9, 100%, $G$9) + CHOOSE(CONTROL!$C$38, 0.0353, 0)</f>
        <v>69.78670000000001</v>
      </c>
      <c r="C895" s="14">
        <f>65.9993 * CHOOSE(CONTROL!$C$15, $E$9, 100%, $G$9) + CHOOSE(CONTROL!$C$38, 0.0354, 0)</f>
        <v>66.034700000000001</v>
      </c>
      <c r="D895" s="14">
        <f>65.9915 * CHOOSE(CONTROL!$C$15, $E$9, 100%, $G$9) + CHOOSE(CONTROL!$C$38, 0.0354, 0)</f>
        <v>66.026899999999998</v>
      </c>
      <c r="E895" s="14">
        <f>65.9915 * CHOOSE(CONTROL!$C$15, $E$9, 100%, $G$9) + CHOOSE(CONTROL!$C$38, 0.0354, 0)</f>
        <v>66.026899999999998</v>
      </c>
      <c r="F895" s="45">
        <f>69.7514 * CHOOSE(CONTROL!$C$15, $E$9, 100%, $G$9) + CHOOSE(CONTROL!$C$38, 0.0353, 0)</f>
        <v>69.78670000000001</v>
      </c>
      <c r="G895" s="14">
        <f>65.9977 * CHOOSE(CONTROL!$C$15, $E$9, 100%, $G$9) + CHOOSE(CONTROL!$C$38, 0.0354, 0)</f>
        <v>66.03309999999999</v>
      </c>
      <c r="H895" s="14">
        <f>65.9977 * CHOOSE(CONTROL!$C$15, $E$9, 100%, $G$9) + CHOOSE(CONTROL!$C$38, 0.0354, 0)</f>
        <v>66.03309999999999</v>
      </c>
      <c r="I895" s="14">
        <f>65.9993 * CHOOSE(CONTROL!$C$15, $E$9, 100%, $G$9) + CHOOSE(CONTROL!$C$38, 0.0354, 0)</f>
        <v>66.034700000000001</v>
      </c>
      <c r="J895" s="44">
        <f>661.9664</f>
        <v>661.96640000000002</v>
      </c>
    </row>
    <row r="896" spans="1:10" ht="15.75" x14ac:dyDescent="0.25">
      <c r="A896" s="32">
        <v>68210</v>
      </c>
      <c r="B896" s="14">
        <f>67.4535 * CHOOSE(CONTROL!$C$15, $E$9, 100%, $G$9) + CHOOSE(CONTROL!$C$38, 0.0353, 0)</f>
        <v>67.488800000000012</v>
      </c>
      <c r="C896" s="14">
        <f>63.8209 * CHOOSE(CONTROL!$C$15, $E$9, 100%, $G$9) + CHOOSE(CONTROL!$C$38, 0.0354, 0)</f>
        <v>63.856300000000005</v>
      </c>
      <c r="D896" s="14">
        <f>63.8131 * CHOOSE(CONTROL!$C$15, $E$9, 100%, $G$9) + CHOOSE(CONTROL!$C$38, 0.0354, 0)</f>
        <v>63.848500000000001</v>
      </c>
      <c r="E896" s="14">
        <f>63.8131 * CHOOSE(CONTROL!$C$15, $E$9, 100%, $G$9) + CHOOSE(CONTROL!$C$38, 0.0354, 0)</f>
        <v>63.848500000000001</v>
      </c>
      <c r="F896" s="45">
        <f>67.4535 * CHOOSE(CONTROL!$C$15, $E$9, 100%, $G$9) + CHOOSE(CONTROL!$C$38, 0.0353, 0)</f>
        <v>67.488800000000012</v>
      </c>
      <c r="G896" s="14">
        <f>63.8194 * CHOOSE(CONTROL!$C$15, $E$9, 100%, $G$9) + CHOOSE(CONTROL!$C$38, 0.0354, 0)</f>
        <v>63.854800000000004</v>
      </c>
      <c r="H896" s="14">
        <f>63.8194 * CHOOSE(CONTROL!$C$15, $E$9, 100%, $G$9) + CHOOSE(CONTROL!$C$38, 0.0354, 0)</f>
        <v>63.854800000000004</v>
      </c>
      <c r="I896" s="14">
        <f>63.8209 * CHOOSE(CONTROL!$C$15, $E$9, 100%, $G$9) + CHOOSE(CONTROL!$C$38, 0.0354, 0)</f>
        <v>63.856300000000005</v>
      </c>
      <c r="J896" s="44">
        <f>639.9638</f>
        <v>639.96379999999999</v>
      </c>
    </row>
    <row r="897" spans="1:10" ht="15.75" x14ac:dyDescent="0.25">
      <c r="A897" s="32">
        <v>68241</v>
      </c>
      <c r="B897" s="14">
        <f>65.1423 * CHOOSE(CONTROL!$C$15, $E$9, 100%, $G$9) + CHOOSE(CONTROL!$C$38, 0.034, 0)</f>
        <v>65.176300000000012</v>
      </c>
      <c r="C897" s="14">
        <f>61.6299 * CHOOSE(CONTROL!$C$15, $E$9, 100%, $G$9) + CHOOSE(CONTROL!$C$38, 0.0342, 0)</f>
        <v>61.664099999999998</v>
      </c>
      <c r="D897" s="14">
        <f>61.6221 * CHOOSE(CONTROL!$C$15, $E$9, 100%, $G$9) + CHOOSE(CONTROL!$C$38, 0.0342, 0)</f>
        <v>61.656300000000002</v>
      </c>
      <c r="E897" s="14">
        <f>61.6221 * CHOOSE(CONTROL!$C$15, $E$9, 100%, $G$9) + CHOOSE(CONTROL!$C$38, 0.0342, 0)</f>
        <v>61.656300000000002</v>
      </c>
      <c r="F897" s="45">
        <f>65.1423 * CHOOSE(CONTROL!$C$15, $E$9, 100%, $G$9) + CHOOSE(CONTROL!$C$38, 0.034, 0)</f>
        <v>65.176300000000012</v>
      </c>
      <c r="G897" s="14">
        <f>61.6283 * CHOOSE(CONTROL!$C$15, $E$9, 100%, $G$9) + CHOOSE(CONTROL!$C$38, 0.0342, 0)</f>
        <v>61.662500000000001</v>
      </c>
      <c r="H897" s="14">
        <f>61.6283 * CHOOSE(CONTROL!$C$15, $E$9, 100%, $G$9) + CHOOSE(CONTROL!$C$38, 0.0342, 0)</f>
        <v>61.662500000000001</v>
      </c>
      <c r="I897" s="14">
        <f>61.6299 * CHOOSE(CONTROL!$C$15, $E$9, 100%, $G$9) + CHOOSE(CONTROL!$C$38, 0.0342, 0)</f>
        <v>61.664099999999998</v>
      </c>
      <c r="J897" s="44">
        <f>617.8332</f>
        <v>617.83320000000003</v>
      </c>
    </row>
    <row r="898" spans="1:10" ht="15.75" x14ac:dyDescent="0.25">
      <c r="A898" s="32">
        <v>68271</v>
      </c>
      <c r="B898" s="14">
        <f>64.6825 * CHOOSE(CONTROL!$C$15, $E$9, 100%, $G$9) + CHOOSE(CONTROL!$C$38, 0.034, 0)</f>
        <v>64.716500000000011</v>
      </c>
      <c r="C898" s="14">
        <f>61.194 * CHOOSE(CONTROL!$C$15, $E$9, 100%, $G$9) + CHOOSE(CONTROL!$C$38, 0.0342, 0)</f>
        <v>61.228200000000001</v>
      </c>
      <c r="D898" s="14">
        <f>61.1862 * CHOOSE(CONTROL!$C$15, $E$9, 100%, $G$9) + CHOOSE(CONTROL!$C$38, 0.0342, 0)</f>
        <v>61.220399999999998</v>
      </c>
      <c r="E898" s="14">
        <f>61.1862 * CHOOSE(CONTROL!$C$15, $E$9, 100%, $G$9) + CHOOSE(CONTROL!$C$38, 0.0342, 0)</f>
        <v>61.220399999999998</v>
      </c>
      <c r="F898" s="45">
        <f>64.6825 * CHOOSE(CONTROL!$C$15, $E$9, 100%, $G$9) + CHOOSE(CONTROL!$C$38, 0.034, 0)</f>
        <v>64.716500000000011</v>
      </c>
      <c r="G898" s="14">
        <f>61.1925 * CHOOSE(CONTROL!$C$15, $E$9, 100%, $G$9) + CHOOSE(CONTROL!$C$38, 0.0342, 0)</f>
        <v>61.226700000000001</v>
      </c>
      <c r="H898" s="14">
        <f>61.1925 * CHOOSE(CONTROL!$C$15, $E$9, 100%, $G$9) + CHOOSE(CONTROL!$C$38, 0.0342, 0)</f>
        <v>61.226700000000001</v>
      </c>
      <c r="I898" s="14">
        <f>61.194 * CHOOSE(CONTROL!$C$15, $E$9, 100%, $G$9) + CHOOSE(CONTROL!$C$38, 0.0342, 0)</f>
        <v>61.228200000000001</v>
      </c>
      <c r="J898" s="44">
        <f>613.431</f>
        <v>613.43100000000004</v>
      </c>
    </row>
    <row r="899" spans="1:10" ht="15.75" x14ac:dyDescent="0.25">
      <c r="A899" s="32">
        <v>68302</v>
      </c>
      <c r="B899" s="14">
        <f>62.7814 * CHOOSE(CONTROL!$C$15, $E$9, 100%, $G$9) + CHOOSE(CONTROL!$C$38, 0.034, 0)</f>
        <v>62.815399999999997</v>
      </c>
      <c r="C899" s="14">
        <f>59.3918 * CHOOSE(CONTROL!$C$15, $E$9, 100%, $G$9) + CHOOSE(CONTROL!$C$38, 0.0342, 0)</f>
        <v>59.426000000000002</v>
      </c>
      <c r="D899" s="14">
        <f>59.384 * CHOOSE(CONTROL!$C$15, $E$9, 100%, $G$9) + CHOOSE(CONTROL!$C$38, 0.0342, 0)</f>
        <v>59.418199999999999</v>
      </c>
      <c r="E899" s="14">
        <f>59.384 * CHOOSE(CONTROL!$C$15, $E$9, 100%, $G$9) + CHOOSE(CONTROL!$C$38, 0.0342, 0)</f>
        <v>59.418199999999999</v>
      </c>
      <c r="F899" s="45">
        <f>62.7814 * CHOOSE(CONTROL!$C$15, $E$9, 100%, $G$9) + CHOOSE(CONTROL!$C$38, 0.034, 0)</f>
        <v>62.815399999999997</v>
      </c>
      <c r="G899" s="14">
        <f>59.3902 * CHOOSE(CONTROL!$C$15, $E$9, 100%, $G$9) + CHOOSE(CONTROL!$C$38, 0.0342, 0)</f>
        <v>59.424399999999999</v>
      </c>
      <c r="H899" s="14">
        <f>59.3902 * CHOOSE(CONTROL!$C$15, $E$9, 100%, $G$9) + CHOOSE(CONTROL!$C$38, 0.0342, 0)</f>
        <v>59.424399999999999</v>
      </c>
      <c r="I899" s="14">
        <f>59.3918 * CHOOSE(CONTROL!$C$15, $E$9, 100%, $G$9) + CHOOSE(CONTROL!$C$38, 0.0342, 0)</f>
        <v>59.426000000000002</v>
      </c>
      <c r="J899" s="44">
        <f>595.2274</f>
        <v>595.22739999999999</v>
      </c>
    </row>
    <row r="900" spans="1:10" ht="15.75" x14ac:dyDescent="0.25">
      <c r="A900" s="32">
        <v>68333</v>
      </c>
      <c r="B900" s="14">
        <f>62.3092 * CHOOSE(CONTROL!$C$15, $E$9, 100%, $G$9) + CHOOSE(CONTROL!$C$38, 0.034, 0)</f>
        <v>62.343199999999996</v>
      </c>
      <c r="C900" s="14">
        <f>58.9442 * CHOOSE(CONTROL!$C$15, $E$9, 100%, $G$9) + CHOOSE(CONTROL!$C$38, 0.0342, 0)</f>
        <v>58.978400000000001</v>
      </c>
      <c r="D900" s="14">
        <f>58.9364 * CHOOSE(CONTROL!$C$15, $E$9, 100%, $G$9) + CHOOSE(CONTROL!$C$38, 0.0342, 0)</f>
        <v>58.970599999999997</v>
      </c>
      <c r="E900" s="14">
        <f>58.9364 * CHOOSE(CONTROL!$C$15, $E$9, 100%, $G$9) + CHOOSE(CONTROL!$C$38, 0.0342, 0)</f>
        <v>58.970599999999997</v>
      </c>
      <c r="F900" s="45">
        <f>62.3092 * CHOOSE(CONTROL!$C$15, $E$9, 100%, $G$9) + CHOOSE(CONTROL!$C$38, 0.034, 0)</f>
        <v>62.343199999999996</v>
      </c>
      <c r="G900" s="14">
        <f>58.9426 * CHOOSE(CONTROL!$C$15, $E$9, 100%, $G$9) + CHOOSE(CONTROL!$C$38, 0.0342, 0)</f>
        <v>58.976799999999997</v>
      </c>
      <c r="H900" s="14">
        <f>58.9426 * CHOOSE(CONTROL!$C$15, $E$9, 100%, $G$9) + CHOOSE(CONTROL!$C$38, 0.0342, 0)</f>
        <v>58.976799999999997</v>
      </c>
      <c r="I900" s="14">
        <f>58.9442 * CHOOSE(CONTROL!$C$15, $E$9, 100%, $G$9) + CHOOSE(CONTROL!$C$38, 0.0342, 0)</f>
        <v>58.978400000000001</v>
      </c>
      <c r="J900" s="44">
        <f>594.7976</f>
        <v>594.79759999999999</v>
      </c>
    </row>
    <row r="901" spans="1:10" ht="15.75" x14ac:dyDescent="0.25">
      <c r="A901" s="32">
        <v>68361</v>
      </c>
      <c r="B901" s="14">
        <f>62.1378 * CHOOSE(CONTROL!$C$15, $E$9, 100%, $G$9) + CHOOSE(CONTROL!$C$38, 0.034, 0)</f>
        <v>62.171799999999998</v>
      </c>
      <c r="C901" s="14">
        <f>58.7816 * CHOOSE(CONTROL!$C$15, $E$9, 100%, $G$9) + CHOOSE(CONTROL!$C$38, 0.0342, 0)</f>
        <v>58.815799999999996</v>
      </c>
      <c r="D901" s="14">
        <f>58.7738 * CHOOSE(CONTROL!$C$15, $E$9, 100%, $G$9) + CHOOSE(CONTROL!$C$38, 0.0342, 0)</f>
        <v>58.808</v>
      </c>
      <c r="E901" s="14">
        <f>58.7738 * CHOOSE(CONTROL!$C$15, $E$9, 100%, $G$9) + CHOOSE(CONTROL!$C$38, 0.0342, 0)</f>
        <v>58.808</v>
      </c>
      <c r="F901" s="45">
        <f>62.1378 * CHOOSE(CONTROL!$C$15, $E$9, 100%, $G$9) + CHOOSE(CONTROL!$C$38, 0.034, 0)</f>
        <v>62.171799999999998</v>
      </c>
      <c r="G901" s="14">
        <f>58.7801 * CHOOSE(CONTROL!$C$15, $E$9, 100%, $G$9) + CHOOSE(CONTROL!$C$38, 0.0342, 0)</f>
        <v>58.814299999999996</v>
      </c>
      <c r="H901" s="14">
        <f>58.7801 * CHOOSE(CONTROL!$C$15, $E$9, 100%, $G$9) + CHOOSE(CONTROL!$C$38, 0.0342, 0)</f>
        <v>58.814299999999996</v>
      </c>
      <c r="I901" s="14">
        <f>58.7816 * CHOOSE(CONTROL!$C$15, $E$9, 100%, $G$9) + CHOOSE(CONTROL!$C$38, 0.0342, 0)</f>
        <v>58.815799999999996</v>
      </c>
      <c r="J901" s="44">
        <f>593.1443</f>
        <v>593.14430000000004</v>
      </c>
    </row>
    <row r="902" spans="1:10" ht="15.75" x14ac:dyDescent="0.25">
      <c r="A902" s="32">
        <v>68392</v>
      </c>
      <c r="B902" s="14">
        <f>65.3803 * CHOOSE(CONTROL!$C$15, $E$9, 100%, $G$9) + CHOOSE(CONTROL!$C$38, 0.034, 0)</f>
        <v>65.414300000000011</v>
      </c>
      <c r="C902" s="14">
        <f>61.8555 * CHOOSE(CONTROL!$C$15, $E$9, 100%, $G$9) + CHOOSE(CONTROL!$C$38, 0.0342, 0)</f>
        <v>61.889699999999998</v>
      </c>
      <c r="D902" s="14">
        <f>61.8477 * CHOOSE(CONTROL!$C$15, $E$9, 100%, $G$9) + CHOOSE(CONTROL!$C$38, 0.0342, 0)</f>
        <v>61.881900000000002</v>
      </c>
      <c r="E902" s="14">
        <f>61.8477 * CHOOSE(CONTROL!$C$15, $E$9, 100%, $G$9) + CHOOSE(CONTROL!$C$38, 0.0342, 0)</f>
        <v>61.881900000000002</v>
      </c>
      <c r="F902" s="45">
        <f>65.3803 * CHOOSE(CONTROL!$C$15, $E$9, 100%, $G$9) + CHOOSE(CONTROL!$C$38, 0.034, 0)</f>
        <v>65.414300000000011</v>
      </c>
      <c r="G902" s="14">
        <f>61.8539 * CHOOSE(CONTROL!$C$15, $E$9, 100%, $G$9) + CHOOSE(CONTROL!$C$38, 0.0342, 0)</f>
        <v>61.888100000000001</v>
      </c>
      <c r="H902" s="14">
        <f>61.8539 * CHOOSE(CONTROL!$C$15, $E$9, 100%, $G$9) + CHOOSE(CONTROL!$C$38, 0.0342, 0)</f>
        <v>61.888100000000001</v>
      </c>
      <c r="I902" s="14">
        <f>61.8555 * CHOOSE(CONTROL!$C$15, $E$9, 100%, $G$9) + CHOOSE(CONTROL!$C$38, 0.0342, 0)</f>
        <v>61.889699999999998</v>
      </c>
      <c r="J902" s="44">
        <f>624.4064</f>
        <v>624.40639999999996</v>
      </c>
    </row>
    <row r="903" spans="1:10" ht="15.75" x14ac:dyDescent="0.25">
      <c r="A903" s="32">
        <v>68422</v>
      </c>
      <c r="B903" s="14">
        <f>69.585 * CHOOSE(CONTROL!$C$15, $E$9, 100%, $G$9) + CHOOSE(CONTROL!$C$38, 0.034, 0)</f>
        <v>69.619</v>
      </c>
      <c r="C903" s="14">
        <f>65.8415 * CHOOSE(CONTROL!$C$15, $E$9, 100%, $G$9) + CHOOSE(CONTROL!$C$38, 0.0342, 0)</f>
        <v>65.875699999999995</v>
      </c>
      <c r="D903" s="14">
        <f>65.8337 * CHOOSE(CONTROL!$C$15, $E$9, 100%, $G$9) + CHOOSE(CONTROL!$C$38, 0.0342, 0)</f>
        <v>65.867899999999992</v>
      </c>
      <c r="E903" s="14">
        <f>65.8337 * CHOOSE(CONTROL!$C$15, $E$9, 100%, $G$9) + CHOOSE(CONTROL!$C$38, 0.0342, 0)</f>
        <v>65.867899999999992</v>
      </c>
      <c r="F903" s="45">
        <f>69.585 * CHOOSE(CONTROL!$C$15, $E$9, 100%, $G$9) + CHOOSE(CONTROL!$C$38, 0.034, 0)</f>
        <v>69.619</v>
      </c>
      <c r="G903" s="14">
        <f>65.8399 * CHOOSE(CONTROL!$C$15, $E$9, 100%, $G$9) + CHOOSE(CONTROL!$C$38, 0.0342, 0)</f>
        <v>65.874099999999999</v>
      </c>
      <c r="H903" s="14">
        <f>65.8399 * CHOOSE(CONTROL!$C$15, $E$9, 100%, $G$9) + CHOOSE(CONTROL!$C$38, 0.0342, 0)</f>
        <v>65.874099999999999</v>
      </c>
      <c r="I903" s="14">
        <f>65.8415 * CHOOSE(CONTROL!$C$15, $E$9, 100%, $G$9) + CHOOSE(CONTROL!$C$38, 0.0342, 0)</f>
        <v>65.875699999999995</v>
      </c>
      <c r="J903" s="44">
        <f>664.9459</f>
        <v>664.94590000000005</v>
      </c>
    </row>
    <row r="904" spans="1:10" ht="15.75" x14ac:dyDescent="0.25">
      <c r="A904" s="32">
        <v>68453</v>
      </c>
      <c r="B904" s="14">
        <f>71.8994 * CHOOSE(CONTROL!$C$15, $E$9, 100%, $G$9) + CHOOSE(CONTROL!$C$38, 0.0353, 0)</f>
        <v>71.934700000000007</v>
      </c>
      <c r="C904" s="14">
        <f>68.0356 * CHOOSE(CONTROL!$C$15, $E$9, 100%, $G$9) + CHOOSE(CONTROL!$C$38, 0.0354, 0)</f>
        <v>68.070999999999998</v>
      </c>
      <c r="D904" s="14">
        <f>68.0277 * CHOOSE(CONTROL!$C$15, $E$9, 100%, $G$9) + CHOOSE(CONTROL!$C$38, 0.0354, 0)</f>
        <v>68.063099999999991</v>
      </c>
      <c r="E904" s="14">
        <f>68.0277 * CHOOSE(CONTROL!$C$15, $E$9, 100%, $G$9) + CHOOSE(CONTROL!$C$38, 0.0354, 0)</f>
        <v>68.063099999999991</v>
      </c>
      <c r="F904" s="45">
        <f>71.8994 * CHOOSE(CONTROL!$C$15, $E$9, 100%, $G$9) + CHOOSE(CONTROL!$C$38, 0.0353, 0)</f>
        <v>71.934700000000007</v>
      </c>
      <c r="G904" s="14">
        <f>68.034 * CHOOSE(CONTROL!$C$15, $E$9, 100%, $G$9) + CHOOSE(CONTROL!$C$38, 0.0354, 0)</f>
        <v>68.069400000000002</v>
      </c>
      <c r="H904" s="14">
        <f>68.034 * CHOOSE(CONTROL!$C$15, $E$9, 100%, $G$9) + CHOOSE(CONTROL!$C$38, 0.0354, 0)</f>
        <v>68.069400000000002</v>
      </c>
      <c r="I904" s="14">
        <f>68.0356 * CHOOSE(CONTROL!$C$15, $E$9, 100%, $G$9) + CHOOSE(CONTROL!$C$38, 0.0354, 0)</f>
        <v>68.070999999999998</v>
      </c>
      <c r="J904" s="44">
        <f>687.2602</f>
        <v>687.26020000000005</v>
      </c>
    </row>
    <row r="905" spans="1:10" ht="15.75" x14ac:dyDescent="0.25">
      <c r="A905" s="32">
        <v>68483</v>
      </c>
      <c r="B905" s="14">
        <f>72.9265 * CHOOSE(CONTROL!$C$15, $E$9, 100%, $G$9) + CHOOSE(CONTROL!$C$38, 0.0353, 0)</f>
        <v>72.961800000000011</v>
      </c>
      <c r="C905" s="14">
        <f>69.0092 * CHOOSE(CONTROL!$C$15, $E$9, 100%, $G$9) + CHOOSE(CONTROL!$C$38, 0.0354, 0)</f>
        <v>69.044600000000003</v>
      </c>
      <c r="D905" s="14">
        <f>69.0014 * CHOOSE(CONTROL!$C$15, $E$9, 100%, $G$9) + CHOOSE(CONTROL!$C$38, 0.0354, 0)</f>
        <v>69.036799999999999</v>
      </c>
      <c r="E905" s="14">
        <f>69.0014 * CHOOSE(CONTROL!$C$15, $E$9, 100%, $G$9) + CHOOSE(CONTROL!$C$38, 0.0354, 0)</f>
        <v>69.036799999999999</v>
      </c>
      <c r="F905" s="45">
        <f>72.9265 * CHOOSE(CONTROL!$C$15, $E$9, 100%, $G$9) + CHOOSE(CONTROL!$C$38, 0.0353, 0)</f>
        <v>72.961800000000011</v>
      </c>
      <c r="G905" s="14">
        <f>69.0077 * CHOOSE(CONTROL!$C$15, $E$9, 100%, $G$9) + CHOOSE(CONTROL!$C$38, 0.0354, 0)</f>
        <v>69.043099999999995</v>
      </c>
      <c r="H905" s="14">
        <f>69.0077 * CHOOSE(CONTROL!$C$15, $E$9, 100%, $G$9) + CHOOSE(CONTROL!$C$38, 0.0354, 0)</f>
        <v>69.043099999999995</v>
      </c>
      <c r="I905" s="14">
        <f>69.0092 * CHOOSE(CONTROL!$C$15, $E$9, 100%, $G$9) + CHOOSE(CONTROL!$C$38, 0.0354, 0)</f>
        <v>69.044600000000003</v>
      </c>
      <c r="J905" s="44">
        <f>697.1629</f>
        <v>697.16290000000004</v>
      </c>
    </row>
    <row r="906" spans="1:10" ht="15.75" x14ac:dyDescent="0.25">
      <c r="A906" s="32">
        <v>68514</v>
      </c>
      <c r="B906" s="14">
        <f>72.5883 * CHOOSE(CONTROL!$C$15, $E$9, 100%, $G$9) + CHOOSE(CONTROL!$C$38, 0.0353, 0)</f>
        <v>72.62360000000001</v>
      </c>
      <c r="C906" s="14">
        <f>68.6887 * CHOOSE(CONTROL!$C$15, $E$9, 100%, $G$9) + CHOOSE(CONTROL!$C$38, 0.0354, 0)</f>
        <v>68.724099999999993</v>
      </c>
      <c r="D906" s="14">
        <f>68.6808 * CHOOSE(CONTROL!$C$15, $E$9, 100%, $G$9) + CHOOSE(CONTROL!$C$38, 0.0354, 0)</f>
        <v>68.716200000000001</v>
      </c>
      <c r="E906" s="14">
        <f>68.6808 * CHOOSE(CONTROL!$C$15, $E$9, 100%, $G$9) + CHOOSE(CONTROL!$C$38, 0.0354, 0)</f>
        <v>68.716200000000001</v>
      </c>
      <c r="F906" s="45">
        <f>72.5883 * CHOOSE(CONTROL!$C$15, $E$9, 100%, $G$9) + CHOOSE(CONTROL!$C$38, 0.0353, 0)</f>
        <v>72.62360000000001</v>
      </c>
      <c r="G906" s="14">
        <f>68.6871 * CHOOSE(CONTROL!$C$15, $E$9, 100%, $G$9) + CHOOSE(CONTROL!$C$38, 0.0354, 0)</f>
        <v>68.722499999999997</v>
      </c>
      <c r="H906" s="14">
        <f>68.6871 * CHOOSE(CONTROL!$C$15, $E$9, 100%, $G$9) + CHOOSE(CONTROL!$C$38, 0.0354, 0)</f>
        <v>68.722499999999997</v>
      </c>
      <c r="I906" s="14">
        <f>68.6887 * CHOOSE(CONTROL!$C$15, $E$9, 100%, $G$9) + CHOOSE(CONTROL!$C$38, 0.0354, 0)</f>
        <v>68.724099999999993</v>
      </c>
      <c r="J906" s="44">
        <f>693.9025</f>
        <v>693.90250000000003</v>
      </c>
    </row>
    <row r="907" spans="1:10" ht="15.75" x14ac:dyDescent="0.25">
      <c r="A907" s="32">
        <v>68545</v>
      </c>
      <c r="B907" s="14">
        <f>70.9129 * CHOOSE(CONTROL!$C$15, $E$9, 100%, $G$9) + CHOOSE(CONTROL!$C$38, 0.0353, 0)</f>
        <v>70.9482</v>
      </c>
      <c r="C907" s="14">
        <f>67.1003 * CHOOSE(CONTROL!$C$15, $E$9, 100%, $G$9) + CHOOSE(CONTROL!$C$38, 0.0354, 0)</f>
        <v>67.1357</v>
      </c>
      <c r="D907" s="14">
        <f>67.0925 * CHOOSE(CONTROL!$C$15, $E$9, 100%, $G$9) + CHOOSE(CONTROL!$C$38, 0.0354, 0)</f>
        <v>67.127899999999997</v>
      </c>
      <c r="E907" s="14">
        <f>67.0925 * CHOOSE(CONTROL!$C$15, $E$9, 100%, $G$9) + CHOOSE(CONTROL!$C$38, 0.0354, 0)</f>
        <v>67.127899999999997</v>
      </c>
      <c r="F907" s="45">
        <f>70.9129 * CHOOSE(CONTROL!$C$15, $E$9, 100%, $G$9) + CHOOSE(CONTROL!$C$38, 0.0353, 0)</f>
        <v>70.9482</v>
      </c>
      <c r="G907" s="14">
        <f>67.0988 * CHOOSE(CONTROL!$C$15, $E$9, 100%, $G$9) + CHOOSE(CONTROL!$C$38, 0.0354, 0)</f>
        <v>67.134199999999993</v>
      </c>
      <c r="H907" s="14">
        <f>67.0988 * CHOOSE(CONTROL!$C$15, $E$9, 100%, $G$9) + CHOOSE(CONTROL!$C$38, 0.0354, 0)</f>
        <v>67.134199999999993</v>
      </c>
      <c r="I907" s="14">
        <f>67.1003 * CHOOSE(CONTROL!$C$15, $E$9, 100%, $G$9) + CHOOSE(CONTROL!$C$38, 0.0354, 0)</f>
        <v>67.1357</v>
      </c>
      <c r="J907" s="44">
        <f>677.7487</f>
        <v>677.74869999999999</v>
      </c>
    </row>
    <row r="908" spans="1:10" ht="15.75" x14ac:dyDescent="0.25">
      <c r="A908" s="32">
        <v>68575</v>
      </c>
      <c r="B908" s="14">
        <f>68.5764 * CHOOSE(CONTROL!$C$15, $E$9, 100%, $G$9) + CHOOSE(CONTROL!$C$38, 0.0353, 0)</f>
        <v>68.611700000000013</v>
      </c>
      <c r="C908" s="14">
        <f>64.8854 * CHOOSE(CONTROL!$C$15, $E$9, 100%, $G$9) + CHOOSE(CONTROL!$C$38, 0.0354, 0)</f>
        <v>64.9208</v>
      </c>
      <c r="D908" s="14">
        <f>64.8775 * CHOOSE(CONTROL!$C$15, $E$9, 100%, $G$9) + CHOOSE(CONTROL!$C$38, 0.0354, 0)</f>
        <v>64.912899999999993</v>
      </c>
      <c r="E908" s="14">
        <f>64.8775 * CHOOSE(CONTROL!$C$15, $E$9, 100%, $G$9) + CHOOSE(CONTROL!$C$38, 0.0354, 0)</f>
        <v>64.912899999999993</v>
      </c>
      <c r="F908" s="45">
        <f>68.5764 * CHOOSE(CONTROL!$C$15, $E$9, 100%, $G$9) + CHOOSE(CONTROL!$C$38, 0.0353, 0)</f>
        <v>68.611700000000013</v>
      </c>
      <c r="G908" s="14">
        <f>64.8838 * CHOOSE(CONTROL!$C$15, $E$9, 100%, $G$9) + CHOOSE(CONTROL!$C$38, 0.0354, 0)</f>
        <v>64.919199999999989</v>
      </c>
      <c r="H908" s="14">
        <f>64.8838 * CHOOSE(CONTROL!$C$15, $E$9, 100%, $G$9) + CHOOSE(CONTROL!$C$38, 0.0354, 0)</f>
        <v>64.919199999999989</v>
      </c>
      <c r="I908" s="14">
        <f>64.8854 * CHOOSE(CONTROL!$C$15, $E$9, 100%, $G$9) + CHOOSE(CONTROL!$C$38, 0.0354, 0)</f>
        <v>64.9208</v>
      </c>
      <c r="J908" s="44">
        <f>655.2215</f>
        <v>655.22149999999999</v>
      </c>
    </row>
    <row r="909" spans="1:10" ht="15.75" x14ac:dyDescent="0.25">
      <c r="A909" s="32">
        <v>68606</v>
      </c>
      <c r="B909" s="14">
        <f>66.2263 * CHOOSE(CONTROL!$C$15, $E$9, 100%, $G$9) + CHOOSE(CONTROL!$C$38, 0.034, 0)</f>
        <v>66.260300000000001</v>
      </c>
      <c r="C909" s="14">
        <f>62.6575 * CHOOSE(CONTROL!$C$15, $E$9, 100%, $G$9) + CHOOSE(CONTROL!$C$38, 0.0342, 0)</f>
        <v>62.691699999999997</v>
      </c>
      <c r="D909" s="14">
        <f>62.6497 * CHOOSE(CONTROL!$C$15, $E$9, 100%, $G$9) + CHOOSE(CONTROL!$C$38, 0.0342, 0)</f>
        <v>62.683900000000001</v>
      </c>
      <c r="E909" s="14">
        <f>62.6497 * CHOOSE(CONTROL!$C$15, $E$9, 100%, $G$9) + CHOOSE(CONTROL!$C$38, 0.0342, 0)</f>
        <v>62.683900000000001</v>
      </c>
      <c r="F909" s="45">
        <f>66.2263 * CHOOSE(CONTROL!$C$15, $E$9, 100%, $G$9) + CHOOSE(CONTROL!$C$38, 0.034, 0)</f>
        <v>66.260300000000001</v>
      </c>
      <c r="G909" s="14">
        <f>62.6559 * CHOOSE(CONTROL!$C$15, $E$9, 100%, $G$9) + CHOOSE(CONTROL!$C$38, 0.0342, 0)</f>
        <v>62.690100000000001</v>
      </c>
      <c r="H909" s="14">
        <f>62.6559 * CHOOSE(CONTROL!$C$15, $E$9, 100%, $G$9) + CHOOSE(CONTROL!$C$38, 0.0342, 0)</f>
        <v>62.690100000000001</v>
      </c>
      <c r="I909" s="14">
        <f>62.6575 * CHOOSE(CONTROL!$C$15, $E$9, 100%, $G$9) + CHOOSE(CONTROL!$C$38, 0.0342, 0)</f>
        <v>62.691699999999997</v>
      </c>
      <c r="J909" s="44">
        <f>632.5633</f>
        <v>632.56330000000003</v>
      </c>
    </row>
    <row r="910" spans="1:10" ht="15.75" x14ac:dyDescent="0.25">
      <c r="A910" s="32">
        <v>68636</v>
      </c>
      <c r="B910" s="14">
        <f>65.7588 * CHOOSE(CONTROL!$C$15, $E$9, 100%, $G$9) + CHOOSE(CONTROL!$C$38, 0.034, 0)</f>
        <v>65.7928</v>
      </c>
      <c r="C910" s="14">
        <f>62.2143 * CHOOSE(CONTROL!$C$15, $E$9, 100%, $G$9) + CHOOSE(CONTROL!$C$38, 0.0342, 0)</f>
        <v>62.2485</v>
      </c>
      <c r="D910" s="14">
        <f>62.2065 * CHOOSE(CONTROL!$C$15, $E$9, 100%, $G$9) + CHOOSE(CONTROL!$C$38, 0.0342, 0)</f>
        <v>62.240699999999997</v>
      </c>
      <c r="E910" s="14">
        <f>62.2065 * CHOOSE(CONTROL!$C$15, $E$9, 100%, $G$9) + CHOOSE(CONTROL!$C$38, 0.0342, 0)</f>
        <v>62.240699999999997</v>
      </c>
      <c r="F910" s="45">
        <f>65.7588 * CHOOSE(CONTROL!$C$15, $E$9, 100%, $G$9) + CHOOSE(CONTROL!$C$38, 0.034, 0)</f>
        <v>65.7928</v>
      </c>
      <c r="G910" s="14">
        <f>62.2128 * CHOOSE(CONTROL!$C$15, $E$9, 100%, $G$9) + CHOOSE(CONTROL!$C$38, 0.0342, 0)</f>
        <v>62.247</v>
      </c>
      <c r="H910" s="14">
        <f>62.2128 * CHOOSE(CONTROL!$C$15, $E$9, 100%, $G$9) + CHOOSE(CONTROL!$C$38, 0.0342, 0)</f>
        <v>62.247</v>
      </c>
      <c r="I910" s="14">
        <f>62.2143 * CHOOSE(CONTROL!$C$15, $E$9, 100%, $G$9) + CHOOSE(CONTROL!$C$38, 0.0342, 0)</f>
        <v>62.2485</v>
      </c>
      <c r="J910" s="44">
        <f>628.0561</f>
        <v>628.05610000000001</v>
      </c>
    </row>
    <row r="911" spans="1:10" ht="15.75" x14ac:dyDescent="0.25">
      <c r="A911" s="32">
        <v>68667</v>
      </c>
      <c r="B911" s="14">
        <f>63.8257 * CHOOSE(CONTROL!$C$15, $E$9, 100%, $G$9) + CHOOSE(CONTROL!$C$38, 0.034, 0)</f>
        <v>63.859699999999997</v>
      </c>
      <c r="C911" s="14">
        <f>60.3818 * CHOOSE(CONTROL!$C$15, $E$9, 100%, $G$9) + CHOOSE(CONTROL!$C$38, 0.0342, 0)</f>
        <v>60.415999999999997</v>
      </c>
      <c r="D911" s="14">
        <f>60.374 * CHOOSE(CONTROL!$C$15, $E$9, 100%, $G$9) + CHOOSE(CONTROL!$C$38, 0.0342, 0)</f>
        <v>60.408200000000001</v>
      </c>
      <c r="E911" s="14">
        <f>60.374 * CHOOSE(CONTROL!$C$15, $E$9, 100%, $G$9) + CHOOSE(CONTROL!$C$38, 0.0342, 0)</f>
        <v>60.408200000000001</v>
      </c>
      <c r="F911" s="45">
        <f>63.8257 * CHOOSE(CONTROL!$C$15, $E$9, 100%, $G$9) + CHOOSE(CONTROL!$C$38, 0.034, 0)</f>
        <v>63.859699999999997</v>
      </c>
      <c r="G911" s="14">
        <f>60.3802 * CHOOSE(CONTROL!$C$15, $E$9, 100%, $G$9) + CHOOSE(CONTROL!$C$38, 0.0342, 0)</f>
        <v>60.414400000000001</v>
      </c>
      <c r="H911" s="14">
        <f>60.3802 * CHOOSE(CONTROL!$C$15, $E$9, 100%, $G$9) + CHOOSE(CONTROL!$C$38, 0.0342, 0)</f>
        <v>60.414400000000001</v>
      </c>
      <c r="I911" s="14">
        <f>60.3818 * CHOOSE(CONTROL!$C$15, $E$9, 100%, $G$9) + CHOOSE(CONTROL!$C$38, 0.0342, 0)</f>
        <v>60.415999999999997</v>
      </c>
      <c r="J911" s="44">
        <f>609.4185</f>
        <v>609.41849999999999</v>
      </c>
    </row>
    <row r="912" spans="1:10" ht="15.75" x14ac:dyDescent="0.25">
      <c r="A912" s="32">
        <v>68698</v>
      </c>
      <c r="B912" s="14">
        <f>63.3457 * CHOOSE(CONTROL!$C$15, $E$9, 100%, $G$9) + CHOOSE(CONTROL!$C$38, 0.034, 0)</f>
        <v>63.3797</v>
      </c>
      <c r="C912" s="14">
        <f>59.9267 * CHOOSE(CONTROL!$C$15, $E$9, 100%, $G$9) + CHOOSE(CONTROL!$C$38, 0.0342, 0)</f>
        <v>59.960899999999995</v>
      </c>
      <c r="D912" s="14">
        <f>59.9189 * CHOOSE(CONTROL!$C$15, $E$9, 100%, $G$9) + CHOOSE(CONTROL!$C$38, 0.0342, 0)</f>
        <v>59.953099999999999</v>
      </c>
      <c r="E912" s="14">
        <f>59.9189 * CHOOSE(CONTROL!$C$15, $E$9, 100%, $G$9) + CHOOSE(CONTROL!$C$38, 0.0342, 0)</f>
        <v>59.953099999999999</v>
      </c>
      <c r="F912" s="45">
        <f>63.3457 * CHOOSE(CONTROL!$C$15, $E$9, 100%, $G$9) + CHOOSE(CONTROL!$C$38, 0.034, 0)</f>
        <v>63.3797</v>
      </c>
      <c r="G912" s="14">
        <f>59.9251 * CHOOSE(CONTROL!$C$15, $E$9, 100%, $G$9) + CHOOSE(CONTROL!$C$38, 0.0342, 0)</f>
        <v>59.959299999999999</v>
      </c>
      <c r="H912" s="14">
        <f>59.9251 * CHOOSE(CONTROL!$C$15, $E$9, 100%, $G$9) + CHOOSE(CONTROL!$C$38, 0.0342, 0)</f>
        <v>59.959299999999999</v>
      </c>
      <c r="I912" s="14">
        <f>59.9267 * CHOOSE(CONTROL!$C$15, $E$9, 100%, $G$9) + CHOOSE(CONTROL!$C$38, 0.0342, 0)</f>
        <v>59.960899999999995</v>
      </c>
      <c r="J912" s="44">
        <f>608.9785</f>
        <v>608.97850000000005</v>
      </c>
    </row>
    <row r="913" spans="1:10" ht="15.75" x14ac:dyDescent="0.25">
      <c r="A913" s="32">
        <v>68727</v>
      </c>
      <c r="B913" s="14">
        <f>63.1713 * CHOOSE(CONTROL!$C$15, $E$9, 100%, $G$9) + CHOOSE(CONTROL!$C$38, 0.034, 0)</f>
        <v>63.205300000000001</v>
      </c>
      <c r="C913" s="14">
        <f>59.7614 * CHOOSE(CONTROL!$C$15, $E$9, 100%, $G$9) + CHOOSE(CONTROL!$C$38, 0.0342, 0)</f>
        <v>59.7956</v>
      </c>
      <c r="D913" s="14">
        <f>59.7536 * CHOOSE(CONTROL!$C$15, $E$9, 100%, $G$9) + CHOOSE(CONTROL!$C$38, 0.0342, 0)</f>
        <v>59.787799999999997</v>
      </c>
      <c r="E913" s="14">
        <f>59.7536 * CHOOSE(CONTROL!$C$15, $E$9, 100%, $G$9) + CHOOSE(CONTROL!$C$38, 0.0342, 0)</f>
        <v>59.787799999999997</v>
      </c>
      <c r="F913" s="45">
        <f>63.1713 * CHOOSE(CONTROL!$C$15, $E$9, 100%, $G$9) + CHOOSE(CONTROL!$C$38, 0.034, 0)</f>
        <v>63.205300000000001</v>
      </c>
      <c r="G913" s="14">
        <f>59.7599 * CHOOSE(CONTROL!$C$15, $E$9, 100%, $G$9) + CHOOSE(CONTROL!$C$38, 0.0342, 0)</f>
        <v>59.7941</v>
      </c>
      <c r="H913" s="14">
        <f>59.7599 * CHOOSE(CONTROL!$C$15, $E$9, 100%, $G$9) + CHOOSE(CONTROL!$C$38, 0.0342, 0)</f>
        <v>59.7941</v>
      </c>
      <c r="I913" s="14">
        <f>59.7614 * CHOOSE(CONTROL!$C$15, $E$9, 100%, $G$9) + CHOOSE(CONTROL!$C$38, 0.0342, 0)</f>
        <v>59.7956</v>
      </c>
      <c r="J913" s="44">
        <f>607.2857</f>
        <v>607.28570000000002</v>
      </c>
    </row>
    <row r="914" spans="1:10" ht="15.75" x14ac:dyDescent="0.25">
      <c r="A914" s="32">
        <v>68758</v>
      </c>
      <c r="B914" s="14">
        <f>66.4683 * CHOOSE(CONTROL!$C$15, $E$9, 100%, $G$9) + CHOOSE(CONTROL!$C$38, 0.034, 0)</f>
        <v>66.502300000000005</v>
      </c>
      <c r="C914" s="14">
        <f>62.8869 * CHOOSE(CONTROL!$C$15, $E$9, 100%, $G$9) + CHOOSE(CONTROL!$C$38, 0.0342, 0)</f>
        <v>62.921099999999996</v>
      </c>
      <c r="D914" s="14">
        <f>62.8791 * CHOOSE(CONTROL!$C$15, $E$9, 100%, $G$9) + CHOOSE(CONTROL!$C$38, 0.0342, 0)</f>
        <v>62.9133</v>
      </c>
      <c r="E914" s="14">
        <f>62.8791 * CHOOSE(CONTROL!$C$15, $E$9, 100%, $G$9) + CHOOSE(CONTROL!$C$38, 0.0342, 0)</f>
        <v>62.9133</v>
      </c>
      <c r="F914" s="45">
        <f>66.4683 * CHOOSE(CONTROL!$C$15, $E$9, 100%, $G$9) + CHOOSE(CONTROL!$C$38, 0.034, 0)</f>
        <v>66.502300000000005</v>
      </c>
      <c r="G914" s="14">
        <f>62.8853 * CHOOSE(CONTROL!$C$15, $E$9, 100%, $G$9) + CHOOSE(CONTROL!$C$38, 0.0342, 0)</f>
        <v>62.919499999999999</v>
      </c>
      <c r="H914" s="14">
        <f>62.8853 * CHOOSE(CONTROL!$C$15, $E$9, 100%, $G$9) + CHOOSE(CONTROL!$C$38, 0.0342, 0)</f>
        <v>62.919499999999999</v>
      </c>
      <c r="I914" s="14">
        <f>62.8869 * CHOOSE(CONTROL!$C$15, $E$9, 100%, $G$9) + CHOOSE(CONTROL!$C$38, 0.0342, 0)</f>
        <v>62.921099999999996</v>
      </c>
      <c r="J914" s="44">
        <f>639.2932</f>
        <v>639.29319999999996</v>
      </c>
    </row>
    <row r="915" spans="1:10" ht="15.75" x14ac:dyDescent="0.25">
      <c r="A915" s="32">
        <v>68788</v>
      </c>
      <c r="B915" s="14">
        <f>70.7436 * CHOOSE(CONTROL!$C$15, $E$9, 100%, $G$9) + CHOOSE(CONTROL!$C$38, 0.034, 0)</f>
        <v>70.777600000000007</v>
      </c>
      <c r="C915" s="14">
        <f>66.9399 * CHOOSE(CONTROL!$C$15, $E$9, 100%, $G$9) + CHOOSE(CONTROL!$C$38, 0.0342, 0)</f>
        <v>66.974099999999993</v>
      </c>
      <c r="D915" s="14">
        <f>66.9321 * CHOOSE(CONTROL!$C$15, $E$9, 100%, $G$9) + CHOOSE(CONTROL!$C$38, 0.0342, 0)</f>
        <v>66.966300000000004</v>
      </c>
      <c r="E915" s="14">
        <f>66.9321 * CHOOSE(CONTROL!$C$15, $E$9, 100%, $G$9) + CHOOSE(CONTROL!$C$38, 0.0342, 0)</f>
        <v>66.966300000000004</v>
      </c>
      <c r="F915" s="45">
        <f>70.7436 * CHOOSE(CONTROL!$C$15, $E$9, 100%, $G$9) + CHOOSE(CONTROL!$C$38, 0.034, 0)</f>
        <v>70.777600000000007</v>
      </c>
      <c r="G915" s="14">
        <f>66.9383 * CHOOSE(CONTROL!$C$15, $E$9, 100%, $G$9) + CHOOSE(CONTROL!$C$38, 0.0342, 0)</f>
        <v>66.972499999999997</v>
      </c>
      <c r="H915" s="14">
        <f>66.9383 * CHOOSE(CONTROL!$C$15, $E$9, 100%, $G$9) + CHOOSE(CONTROL!$C$38, 0.0342, 0)</f>
        <v>66.972499999999997</v>
      </c>
      <c r="I915" s="14">
        <f>66.9399 * CHOOSE(CONTROL!$C$15, $E$9, 100%, $G$9) + CHOOSE(CONTROL!$C$38, 0.0342, 0)</f>
        <v>66.974099999999993</v>
      </c>
      <c r="J915" s="44">
        <f>680.7993</f>
        <v>680.79930000000002</v>
      </c>
    </row>
    <row r="916" spans="1:10" ht="15.75" x14ac:dyDescent="0.25">
      <c r="A916" s="32">
        <v>68819</v>
      </c>
      <c r="B916" s="14">
        <f>73.0969 * CHOOSE(CONTROL!$C$15, $E$9, 100%, $G$9) + CHOOSE(CONTROL!$C$38, 0.0353, 0)</f>
        <v>73.132200000000012</v>
      </c>
      <c r="C916" s="14">
        <f>69.1708 * CHOOSE(CONTROL!$C$15, $E$9, 100%, $G$9) + CHOOSE(CONTROL!$C$38, 0.0354, 0)</f>
        <v>69.206199999999995</v>
      </c>
      <c r="D916" s="14">
        <f>69.163 * CHOOSE(CONTROL!$C$15, $E$9, 100%, $G$9) + CHOOSE(CONTROL!$C$38, 0.0354, 0)</f>
        <v>69.198399999999992</v>
      </c>
      <c r="E916" s="14">
        <f>69.163 * CHOOSE(CONTROL!$C$15, $E$9, 100%, $G$9) + CHOOSE(CONTROL!$C$38, 0.0354, 0)</f>
        <v>69.198399999999992</v>
      </c>
      <c r="F916" s="45">
        <f>73.0969 * CHOOSE(CONTROL!$C$15, $E$9, 100%, $G$9) + CHOOSE(CONTROL!$C$38, 0.0353, 0)</f>
        <v>73.132200000000012</v>
      </c>
      <c r="G916" s="14">
        <f>69.1692 * CHOOSE(CONTROL!$C$15, $E$9, 100%, $G$9) + CHOOSE(CONTROL!$C$38, 0.0354, 0)</f>
        <v>69.204599999999999</v>
      </c>
      <c r="H916" s="14">
        <f>69.1692 * CHOOSE(CONTROL!$C$15, $E$9, 100%, $G$9) + CHOOSE(CONTROL!$C$38, 0.0354, 0)</f>
        <v>69.204599999999999</v>
      </c>
      <c r="I916" s="14">
        <f>69.1708 * CHOOSE(CONTROL!$C$15, $E$9, 100%, $G$9) + CHOOSE(CONTROL!$C$38, 0.0354, 0)</f>
        <v>69.206199999999995</v>
      </c>
      <c r="J916" s="44">
        <f>703.6455</f>
        <v>703.64549999999997</v>
      </c>
    </row>
    <row r="917" spans="1:10" ht="15.75" x14ac:dyDescent="0.25">
      <c r="A917" s="32">
        <v>68849</v>
      </c>
      <c r="B917" s="14">
        <f>74.1413 * CHOOSE(CONTROL!$C$15, $E$9, 100%, $G$9) + CHOOSE(CONTROL!$C$38, 0.0353, 0)</f>
        <v>74.176600000000008</v>
      </c>
      <c r="C917" s="14">
        <f>70.1608 * CHOOSE(CONTROL!$C$15, $E$9, 100%, $G$9) + CHOOSE(CONTROL!$C$38, 0.0354, 0)</f>
        <v>70.19619999999999</v>
      </c>
      <c r="D917" s="14">
        <f>70.153 * CHOOSE(CONTROL!$C$15, $E$9, 100%, $G$9) + CHOOSE(CONTROL!$C$38, 0.0354, 0)</f>
        <v>70.188400000000001</v>
      </c>
      <c r="E917" s="14">
        <f>70.153 * CHOOSE(CONTROL!$C$15, $E$9, 100%, $G$9) + CHOOSE(CONTROL!$C$38, 0.0354, 0)</f>
        <v>70.188400000000001</v>
      </c>
      <c r="F917" s="45">
        <f>74.1413 * CHOOSE(CONTROL!$C$15, $E$9, 100%, $G$9) + CHOOSE(CONTROL!$C$38, 0.0353, 0)</f>
        <v>74.176600000000008</v>
      </c>
      <c r="G917" s="14">
        <f>70.1593 * CHOOSE(CONTROL!$C$15, $E$9, 100%, $G$9) + CHOOSE(CONTROL!$C$38, 0.0354, 0)</f>
        <v>70.194699999999997</v>
      </c>
      <c r="H917" s="14">
        <f>70.1593 * CHOOSE(CONTROL!$C$15, $E$9, 100%, $G$9) + CHOOSE(CONTROL!$C$38, 0.0354, 0)</f>
        <v>70.194699999999997</v>
      </c>
      <c r="I917" s="14">
        <f>70.1608 * CHOOSE(CONTROL!$C$15, $E$9, 100%, $G$9) + CHOOSE(CONTROL!$C$38, 0.0354, 0)</f>
        <v>70.19619999999999</v>
      </c>
      <c r="J917" s="44">
        <f>713.7843</f>
        <v>713.78430000000003</v>
      </c>
    </row>
    <row r="918" spans="1:10" ht="15.75" x14ac:dyDescent="0.25">
      <c r="A918" s="32">
        <v>68880</v>
      </c>
      <c r="B918" s="14">
        <f>73.7974 * CHOOSE(CONTROL!$C$15, $E$9, 100%, $G$9) + CHOOSE(CONTROL!$C$38, 0.0353, 0)</f>
        <v>73.832700000000003</v>
      </c>
      <c r="C918" s="14">
        <f>69.8349 * CHOOSE(CONTROL!$C$15, $E$9, 100%, $G$9) + CHOOSE(CONTROL!$C$38, 0.0354, 0)</f>
        <v>69.8703</v>
      </c>
      <c r="D918" s="14">
        <f>69.827 * CHOOSE(CONTROL!$C$15, $E$9, 100%, $G$9) + CHOOSE(CONTROL!$C$38, 0.0354, 0)</f>
        <v>69.862399999999994</v>
      </c>
      <c r="E918" s="14">
        <f>69.827 * CHOOSE(CONTROL!$C$15, $E$9, 100%, $G$9) + CHOOSE(CONTROL!$C$38, 0.0354, 0)</f>
        <v>69.862399999999994</v>
      </c>
      <c r="F918" s="45">
        <f>73.7974 * CHOOSE(CONTROL!$C$15, $E$9, 100%, $G$9) + CHOOSE(CONTROL!$C$38, 0.0353, 0)</f>
        <v>73.832700000000003</v>
      </c>
      <c r="G918" s="14">
        <f>69.8333 * CHOOSE(CONTROL!$C$15, $E$9, 100%, $G$9) + CHOOSE(CONTROL!$C$38, 0.0354, 0)</f>
        <v>69.86869999999999</v>
      </c>
      <c r="H918" s="14">
        <f>69.8333 * CHOOSE(CONTROL!$C$15, $E$9, 100%, $G$9) + CHOOSE(CONTROL!$C$38, 0.0354, 0)</f>
        <v>69.86869999999999</v>
      </c>
      <c r="I918" s="14">
        <f>69.8349 * CHOOSE(CONTROL!$C$15, $E$9, 100%, $G$9) + CHOOSE(CONTROL!$C$38, 0.0354, 0)</f>
        <v>69.8703</v>
      </c>
      <c r="J918" s="44">
        <f>710.4461</f>
        <v>710.4461</v>
      </c>
    </row>
    <row r="919" spans="1:10" ht="15.75" x14ac:dyDescent="0.25">
      <c r="A919" s="32">
        <v>68911</v>
      </c>
      <c r="B919" s="14">
        <f>72.0938 * CHOOSE(CONTROL!$C$15, $E$9, 100%, $G$9) + CHOOSE(CONTROL!$C$38, 0.0353, 0)</f>
        <v>72.129100000000008</v>
      </c>
      <c r="C919" s="14">
        <f>68.2199 * CHOOSE(CONTROL!$C$15, $E$9, 100%, $G$9) + CHOOSE(CONTROL!$C$38, 0.0354, 0)</f>
        <v>68.255299999999991</v>
      </c>
      <c r="D919" s="14">
        <f>68.2121 * CHOOSE(CONTROL!$C$15, $E$9, 100%, $G$9) + CHOOSE(CONTROL!$C$38, 0.0354, 0)</f>
        <v>68.247500000000002</v>
      </c>
      <c r="E919" s="14">
        <f>68.2121 * CHOOSE(CONTROL!$C$15, $E$9, 100%, $G$9) + CHOOSE(CONTROL!$C$38, 0.0354, 0)</f>
        <v>68.247500000000002</v>
      </c>
      <c r="F919" s="45">
        <f>72.0938 * CHOOSE(CONTROL!$C$15, $E$9, 100%, $G$9) + CHOOSE(CONTROL!$C$38, 0.0353, 0)</f>
        <v>72.129100000000008</v>
      </c>
      <c r="G919" s="14">
        <f>68.2183 * CHOOSE(CONTROL!$C$15, $E$9, 100%, $G$9) + CHOOSE(CONTROL!$C$38, 0.0354, 0)</f>
        <v>68.253699999999995</v>
      </c>
      <c r="H919" s="14">
        <f>68.2183 * CHOOSE(CONTROL!$C$15, $E$9, 100%, $G$9) + CHOOSE(CONTROL!$C$38, 0.0354, 0)</f>
        <v>68.253699999999995</v>
      </c>
      <c r="I919" s="14">
        <f>68.2199 * CHOOSE(CONTROL!$C$15, $E$9, 100%, $G$9) + CHOOSE(CONTROL!$C$38, 0.0354, 0)</f>
        <v>68.255299999999991</v>
      </c>
      <c r="J919" s="44">
        <f>693.9073</f>
        <v>693.90729999999996</v>
      </c>
    </row>
    <row r="920" spans="1:10" ht="15.75" x14ac:dyDescent="0.25">
      <c r="A920" s="32">
        <v>68941</v>
      </c>
      <c r="B920" s="14">
        <f>69.7181 * CHOOSE(CONTROL!$C$15, $E$9, 100%, $G$9) + CHOOSE(CONTROL!$C$38, 0.0353, 0)</f>
        <v>69.753400000000013</v>
      </c>
      <c r="C920" s="14">
        <f>65.9677 * CHOOSE(CONTROL!$C$15, $E$9, 100%, $G$9) + CHOOSE(CONTROL!$C$38, 0.0354, 0)</f>
        <v>66.003099999999989</v>
      </c>
      <c r="D920" s="14">
        <f>65.9599 * CHOOSE(CONTROL!$C$15, $E$9, 100%, $G$9) + CHOOSE(CONTROL!$C$38, 0.0354, 0)</f>
        <v>65.9953</v>
      </c>
      <c r="E920" s="14">
        <f>65.9599 * CHOOSE(CONTROL!$C$15, $E$9, 100%, $G$9) + CHOOSE(CONTROL!$C$38, 0.0354, 0)</f>
        <v>65.9953</v>
      </c>
      <c r="F920" s="45">
        <f>69.7181 * CHOOSE(CONTROL!$C$15, $E$9, 100%, $G$9) + CHOOSE(CONTROL!$C$38, 0.0353, 0)</f>
        <v>69.753400000000013</v>
      </c>
      <c r="G920" s="14">
        <f>65.9661 * CHOOSE(CONTROL!$C$15, $E$9, 100%, $G$9) + CHOOSE(CONTROL!$C$38, 0.0354, 0)</f>
        <v>66.001499999999993</v>
      </c>
      <c r="H920" s="14">
        <f>65.9661 * CHOOSE(CONTROL!$C$15, $E$9, 100%, $G$9) + CHOOSE(CONTROL!$C$38, 0.0354, 0)</f>
        <v>66.001499999999993</v>
      </c>
      <c r="I920" s="14">
        <f>65.9677 * CHOOSE(CONTROL!$C$15, $E$9, 100%, $G$9) + CHOOSE(CONTROL!$C$38, 0.0354, 0)</f>
        <v>66.003099999999989</v>
      </c>
      <c r="J920" s="44">
        <f>670.843</f>
        <v>670.84299999999996</v>
      </c>
    </row>
    <row r="921" spans="1:10" ht="15.75" x14ac:dyDescent="0.25">
      <c r="A921" s="32">
        <v>68972</v>
      </c>
      <c r="B921" s="14">
        <f>67.3285 * CHOOSE(CONTROL!$C$15, $E$9, 100%, $G$9) + CHOOSE(CONTROL!$C$38, 0.034, 0)</f>
        <v>67.362500000000011</v>
      </c>
      <c r="C921" s="14">
        <f>63.7024 * CHOOSE(CONTROL!$C$15, $E$9, 100%, $G$9) + CHOOSE(CONTROL!$C$38, 0.0342, 0)</f>
        <v>63.736599999999996</v>
      </c>
      <c r="D921" s="14">
        <f>63.6946 * CHOOSE(CONTROL!$C$15, $E$9, 100%, $G$9) + CHOOSE(CONTROL!$C$38, 0.0342, 0)</f>
        <v>63.7288</v>
      </c>
      <c r="E921" s="14">
        <f>63.6946 * CHOOSE(CONTROL!$C$15, $E$9, 100%, $G$9) + CHOOSE(CONTROL!$C$38, 0.0342, 0)</f>
        <v>63.7288</v>
      </c>
      <c r="F921" s="45">
        <f>67.3285 * CHOOSE(CONTROL!$C$15, $E$9, 100%, $G$9) + CHOOSE(CONTROL!$C$38, 0.034, 0)</f>
        <v>67.362500000000011</v>
      </c>
      <c r="G921" s="14">
        <f>63.7008 * CHOOSE(CONTROL!$C$15, $E$9, 100%, $G$9) + CHOOSE(CONTROL!$C$38, 0.0342, 0)</f>
        <v>63.734999999999999</v>
      </c>
      <c r="H921" s="14">
        <f>63.7008 * CHOOSE(CONTROL!$C$15, $E$9, 100%, $G$9) + CHOOSE(CONTROL!$C$38, 0.0342, 0)</f>
        <v>63.734999999999999</v>
      </c>
      <c r="I921" s="14">
        <f>63.7024 * CHOOSE(CONTROL!$C$15, $E$9, 100%, $G$9) + CHOOSE(CONTROL!$C$38, 0.0342, 0)</f>
        <v>63.736599999999996</v>
      </c>
      <c r="J921" s="44">
        <f>647.6445</f>
        <v>647.64449999999999</v>
      </c>
    </row>
    <row r="922" spans="1:10" ht="15.75" x14ac:dyDescent="0.25">
      <c r="A922" s="32">
        <v>69002</v>
      </c>
      <c r="B922" s="14">
        <f>66.8532 * CHOOSE(CONTROL!$C$15, $E$9, 100%, $G$9) + CHOOSE(CONTROL!$C$38, 0.034, 0)</f>
        <v>66.887200000000007</v>
      </c>
      <c r="C922" s="14">
        <f>63.2518 * CHOOSE(CONTROL!$C$15, $E$9, 100%, $G$9) + CHOOSE(CONTROL!$C$38, 0.0342, 0)</f>
        <v>63.286000000000001</v>
      </c>
      <c r="D922" s="14">
        <f>63.244 * CHOOSE(CONTROL!$C$15, $E$9, 100%, $G$9) + CHOOSE(CONTROL!$C$38, 0.0342, 0)</f>
        <v>63.278199999999998</v>
      </c>
      <c r="E922" s="14">
        <f>63.244 * CHOOSE(CONTROL!$C$15, $E$9, 100%, $G$9) + CHOOSE(CONTROL!$C$38, 0.0342, 0)</f>
        <v>63.278199999999998</v>
      </c>
      <c r="F922" s="45">
        <f>66.8532 * CHOOSE(CONTROL!$C$15, $E$9, 100%, $G$9) + CHOOSE(CONTROL!$C$38, 0.034, 0)</f>
        <v>66.887200000000007</v>
      </c>
      <c r="G922" s="14">
        <f>63.2502 * CHOOSE(CONTROL!$C$15, $E$9, 100%, $G$9) + CHOOSE(CONTROL!$C$38, 0.0342, 0)</f>
        <v>63.284399999999998</v>
      </c>
      <c r="H922" s="14">
        <f>63.2502 * CHOOSE(CONTROL!$C$15, $E$9, 100%, $G$9) + CHOOSE(CONTROL!$C$38, 0.0342, 0)</f>
        <v>63.284399999999998</v>
      </c>
      <c r="I922" s="14">
        <f>63.2518 * CHOOSE(CONTROL!$C$15, $E$9, 100%, $G$9) + CHOOSE(CONTROL!$C$38, 0.0342, 0)</f>
        <v>63.286000000000001</v>
      </c>
      <c r="J922" s="44">
        <f>643.0299</f>
        <v>643.0299</v>
      </c>
    </row>
    <row r="923" spans="1:10" ht="15.75" x14ac:dyDescent="0.25">
      <c r="A923" s="32">
        <v>69033</v>
      </c>
      <c r="B923" s="14">
        <f>64.8876 * CHOOSE(CONTROL!$C$15, $E$9, 100%, $G$9) + CHOOSE(CONTROL!$C$38, 0.034, 0)</f>
        <v>64.921600000000012</v>
      </c>
      <c r="C923" s="14">
        <f>61.3885 * CHOOSE(CONTROL!$C$15, $E$9, 100%, $G$9) + CHOOSE(CONTROL!$C$38, 0.0342, 0)</f>
        <v>61.422699999999999</v>
      </c>
      <c r="D923" s="14">
        <f>61.3806 * CHOOSE(CONTROL!$C$15, $E$9, 100%, $G$9) + CHOOSE(CONTROL!$C$38, 0.0342, 0)</f>
        <v>61.4148</v>
      </c>
      <c r="E923" s="14">
        <f>61.3806 * CHOOSE(CONTROL!$C$15, $E$9, 100%, $G$9) + CHOOSE(CONTROL!$C$38, 0.0342, 0)</f>
        <v>61.4148</v>
      </c>
      <c r="F923" s="45">
        <f>64.8876 * CHOOSE(CONTROL!$C$15, $E$9, 100%, $G$9) + CHOOSE(CONTROL!$C$38, 0.034, 0)</f>
        <v>64.921600000000012</v>
      </c>
      <c r="G923" s="14">
        <f>61.3869 * CHOOSE(CONTROL!$C$15, $E$9, 100%, $G$9) + CHOOSE(CONTROL!$C$38, 0.0342, 0)</f>
        <v>61.421099999999996</v>
      </c>
      <c r="H923" s="14">
        <f>61.3869 * CHOOSE(CONTROL!$C$15, $E$9, 100%, $G$9) + CHOOSE(CONTROL!$C$38, 0.0342, 0)</f>
        <v>61.421099999999996</v>
      </c>
      <c r="I923" s="14">
        <f>61.3885 * CHOOSE(CONTROL!$C$15, $E$9, 100%, $G$9) + CHOOSE(CONTROL!$C$38, 0.0342, 0)</f>
        <v>61.422699999999999</v>
      </c>
      <c r="J923" s="44">
        <f>623.9479</f>
        <v>623.9479</v>
      </c>
    </row>
    <row r="924" spans="1:10" ht="15.75" x14ac:dyDescent="0.25">
      <c r="A924" s="32">
        <v>69064</v>
      </c>
      <c r="B924" s="14">
        <f>64.3995 * CHOOSE(CONTROL!$C$15, $E$9, 100%, $G$9) + CHOOSE(CONTROL!$C$38, 0.034, 0)</f>
        <v>64.433500000000009</v>
      </c>
      <c r="C924" s="14">
        <f>60.9257 * CHOOSE(CONTROL!$C$15, $E$9, 100%, $G$9) + CHOOSE(CONTROL!$C$38, 0.0342, 0)</f>
        <v>60.959899999999998</v>
      </c>
      <c r="D924" s="14">
        <f>60.9179 * CHOOSE(CONTROL!$C$15, $E$9, 100%, $G$9) + CHOOSE(CONTROL!$C$38, 0.0342, 0)</f>
        <v>60.952100000000002</v>
      </c>
      <c r="E924" s="14">
        <f>60.9179 * CHOOSE(CONTROL!$C$15, $E$9, 100%, $G$9) + CHOOSE(CONTROL!$C$38, 0.0342, 0)</f>
        <v>60.952100000000002</v>
      </c>
      <c r="F924" s="45">
        <f>64.3995 * CHOOSE(CONTROL!$C$15, $E$9, 100%, $G$9) + CHOOSE(CONTROL!$C$38, 0.034, 0)</f>
        <v>64.433500000000009</v>
      </c>
      <c r="G924" s="14">
        <f>60.9242 * CHOOSE(CONTROL!$C$15, $E$9, 100%, $G$9) + CHOOSE(CONTROL!$C$38, 0.0342, 0)</f>
        <v>60.958399999999997</v>
      </c>
      <c r="H924" s="14">
        <f>60.9242 * CHOOSE(CONTROL!$C$15, $E$9, 100%, $G$9) + CHOOSE(CONTROL!$C$38, 0.0342, 0)</f>
        <v>60.958399999999997</v>
      </c>
      <c r="I924" s="14">
        <f>60.9257 * CHOOSE(CONTROL!$C$15, $E$9, 100%, $G$9) + CHOOSE(CONTROL!$C$38, 0.0342, 0)</f>
        <v>60.959899999999998</v>
      </c>
      <c r="J924" s="44">
        <f>623.4975</f>
        <v>623.49749999999995</v>
      </c>
    </row>
    <row r="925" spans="1:10" ht="15.75" x14ac:dyDescent="0.25">
      <c r="A925" s="32">
        <v>69092</v>
      </c>
      <c r="B925" s="14">
        <f>64.2222 * CHOOSE(CONTROL!$C$15, $E$9, 100%, $G$9) + CHOOSE(CONTROL!$C$38, 0.034, 0)</f>
        <v>64.256200000000007</v>
      </c>
      <c r="C925" s="14">
        <f>60.7576 * CHOOSE(CONTROL!$C$15, $E$9, 100%, $G$9) + CHOOSE(CONTROL!$C$38, 0.0342, 0)</f>
        <v>60.791799999999995</v>
      </c>
      <c r="D925" s="14">
        <f>60.7498 * CHOOSE(CONTROL!$C$15, $E$9, 100%, $G$9) + CHOOSE(CONTROL!$C$38, 0.0342, 0)</f>
        <v>60.783999999999999</v>
      </c>
      <c r="E925" s="14">
        <f>60.7498 * CHOOSE(CONTROL!$C$15, $E$9, 100%, $G$9) + CHOOSE(CONTROL!$C$38, 0.0342, 0)</f>
        <v>60.783999999999999</v>
      </c>
      <c r="F925" s="45">
        <f>64.2222 * CHOOSE(CONTROL!$C$15, $E$9, 100%, $G$9) + CHOOSE(CONTROL!$C$38, 0.034, 0)</f>
        <v>64.256200000000007</v>
      </c>
      <c r="G925" s="14">
        <f>60.7561 * CHOOSE(CONTROL!$C$15, $E$9, 100%, $G$9) + CHOOSE(CONTROL!$C$38, 0.0342, 0)</f>
        <v>60.790300000000002</v>
      </c>
      <c r="H925" s="14">
        <f>60.7561 * CHOOSE(CONTROL!$C$15, $E$9, 100%, $G$9) + CHOOSE(CONTROL!$C$38, 0.0342, 0)</f>
        <v>60.790300000000002</v>
      </c>
      <c r="I925" s="14">
        <f>60.7576 * CHOOSE(CONTROL!$C$15, $E$9, 100%, $G$9) + CHOOSE(CONTROL!$C$38, 0.0342, 0)</f>
        <v>60.791799999999995</v>
      </c>
      <c r="J925" s="44">
        <f>621.7643</f>
        <v>621.76430000000005</v>
      </c>
    </row>
    <row r="926" spans="1:10" ht="15.75" x14ac:dyDescent="0.25">
      <c r="A926" s="32">
        <v>69123</v>
      </c>
      <c r="B926" s="14">
        <f>67.5745 * CHOOSE(CONTROL!$C$15, $E$9, 100%, $G$9) + CHOOSE(CONTROL!$C$38, 0.034, 0)</f>
        <v>67.608500000000006</v>
      </c>
      <c r="C926" s="14">
        <f>63.9356 * CHOOSE(CONTROL!$C$15, $E$9, 100%, $G$9) + CHOOSE(CONTROL!$C$38, 0.0342, 0)</f>
        <v>63.969799999999999</v>
      </c>
      <c r="D926" s="14">
        <f>63.9278 * CHOOSE(CONTROL!$C$15, $E$9, 100%, $G$9) + CHOOSE(CONTROL!$C$38, 0.0342, 0)</f>
        <v>63.961999999999996</v>
      </c>
      <c r="E926" s="14">
        <f>63.9278 * CHOOSE(CONTROL!$C$15, $E$9, 100%, $G$9) + CHOOSE(CONTROL!$C$38, 0.0342, 0)</f>
        <v>63.961999999999996</v>
      </c>
      <c r="F926" s="45">
        <f>67.5745 * CHOOSE(CONTROL!$C$15, $E$9, 100%, $G$9) + CHOOSE(CONTROL!$C$38, 0.034, 0)</f>
        <v>67.608500000000006</v>
      </c>
      <c r="G926" s="14">
        <f>63.9341 * CHOOSE(CONTROL!$C$15, $E$9, 100%, $G$9) + CHOOSE(CONTROL!$C$38, 0.0342, 0)</f>
        <v>63.968299999999999</v>
      </c>
      <c r="H926" s="14">
        <f>63.9341 * CHOOSE(CONTROL!$C$15, $E$9, 100%, $G$9) + CHOOSE(CONTROL!$C$38, 0.0342, 0)</f>
        <v>63.968299999999999</v>
      </c>
      <c r="I926" s="14">
        <f>63.9356 * CHOOSE(CONTROL!$C$15, $E$9, 100%, $G$9) + CHOOSE(CONTROL!$C$38, 0.0342, 0)</f>
        <v>63.969799999999999</v>
      </c>
      <c r="J926" s="44">
        <f>654.5349</f>
        <v>654.53489999999999</v>
      </c>
    </row>
    <row r="927" spans="1:10" ht="15.75" x14ac:dyDescent="0.25">
      <c r="A927" s="32">
        <v>69153</v>
      </c>
      <c r="B927" s="14">
        <f>71.9217 * CHOOSE(CONTROL!$C$15, $E$9, 100%, $G$9) + CHOOSE(CONTROL!$C$38, 0.034, 0)</f>
        <v>71.955700000000007</v>
      </c>
      <c r="C927" s="14">
        <f>68.0567 * CHOOSE(CONTROL!$C$15, $E$9, 100%, $G$9) + CHOOSE(CONTROL!$C$38, 0.0342, 0)</f>
        <v>68.090900000000005</v>
      </c>
      <c r="D927" s="14">
        <f>68.0489 * CHOOSE(CONTROL!$C$15, $E$9, 100%, $G$9) + CHOOSE(CONTROL!$C$38, 0.0342, 0)</f>
        <v>68.083100000000002</v>
      </c>
      <c r="E927" s="14">
        <f>68.0489 * CHOOSE(CONTROL!$C$15, $E$9, 100%, $G$9) + CHOOSE(CONTROL!$C$38, 0.0342, 0)</f>
        <v>68.083100000000002</v>
      </c>
      <c r="F927" s="45">
        <f>71.9217 * CHOOSE(CONTROL!$C$15, $E$9, 100%, $G$9) + CHOOSE(CONTROL!$C$38, 0.034, 0)</f>
        <v>71.955700000000007</v>
      </c>
      <c r="G927" s="14">
        <f>68.0552 * CHOOSE(CONTROL!$C$15, $E$9, 100%, $G$9) + CHOOSE(CONTROL!$C$38, 0.0342, 0)</f>
        <v>68.089399999999998</v>
      </c>
      <c r="H927" s="14">
        <f>68.0552 * CHOOSE(CONTROL!$C$15, $E$9, 100%, $G$9) + CHOOSE(CONTROL!$C$38, 0.0342, 0)</f>
        <v>68.089399999999998</v>
      </c>
      <c r="I927" s="14">
        <f>68.0567 * CHOOSE(CONTROL!$C$15, $E$9, 100%, $G$9) + CHOOSE(CONTROL!$C$38, 0.0342, 0)</f>
        <v>68.090900000000005</v>
      </c>
      <c r="J927" s="44">
        <f>697.0305</f>
        <v>697.03049999999996</v>
      </c>
    </row>
    <row r="928" spans="1:10" ht="15.75" x14ac:dyDescent="0.25">
      <c r="A928" s="32">
        <v>69184</v>
      </c>
      <c r="B928" s="14">
        <f>74.3146 * CHOOSE(CONTROL!$C$15, $E$9, 100%, $G$9) + CHOOSE(CONTROL!$C$38, 0.0353, 0)</f>
        <v>74.349900000000005</v>
      </c>
      <c r="C928" s="14">
        <f>70.3251 * CHOOSE(CONTROL!$C$15, $E$9, 100%, $G$9) + CHOOSE(CONTROL!$C$38, 0.0354, 0)</f>
        <v>70.360500000000002</v>
      </c>
      <c r="D928" s="14">
        <f>70.3173 * CHOOSE(CONTROL!$C$15, $E$9, 100%, $G$9) + CHOOSE(CONTROL!$C$38, 0.0354, 0)</f>
        <v>70.352699999999999</v>
      </c>
      <c r="E928" s="14">
        <f>70.3173 * CHOOSE(CONTROL!$C$15, $E$9, 100%, $G$9) + CHOOSE(CONTROL!$C$38, 0.0354, 0)</f>
        <v>70.352699999999999</v>
      </c>
      <c r="F928" s="45">
        <f>74.3146 * CHOOSE(CONTROL!$C$15, $E$9, 100%, $G$9) + CHOOSE(CONTROL!$C$38, 0.0353, 0)</f>
        <v>74.349900000000005</v>
      </c>
      <c r="G928" s="14">
        <f>70.3235 * CHOOSE(CONTROL!$C$15, $E$9, 100%, $G$9) + CHOOSE(CONTROL!$C$38, 0.0354, 0)</f>
        <v>70.358899999999991</v>
      </c>
      <c r="H928" s="14">
        <f>70.3235 * CHOOSE(CONTROL!$C$15, $E$9, 100%, $G$9) + CHOOSE(CONTROL!$C$38, 0.0354, 0)</f>
        <v>70.358899999999991</v>
      </c>
      <c r="I928" s="14">
        <f>70.3251 * CHOOSE(CONTROL!$C$15, $E$9, 100%, $G$9) + CHOOSE(CONTROL!$C$38, 0.0354, 0)</f>
        <v>70.360500000000002</v>
      </c>
      <c r="J928" s="44">
        <f>720.4215</f>
        <v>720.42150000000004</v>
      </c>
    </row>
    <row r="929" spans="1:10" ht="15.75" x14ac:dyDescent="0.25">
      <c r="A929" s="32">
        <v>69214</v>
      </c>
      <c r="B929" s="14">
        <f>75.3765 * CHOOSE(CONTROL!$C$15, $E$9, 100%, $G$9) + CHOOSE(CONTROL!$C$38, 0.0353, 0)</f>
        <v>75.411799999999999</v>
      </c>
      <c r="C929" s="14">
        <f>71.3318 * CHOOSE(CONTROL!$C$15, $E$9, 100%, $G$9) + CHOOSE(CONTROL!$C$38, 0.0354, 0)</f>
        <v>71.367199999999997</v>
      </c>
      <c r="D929" s="14">
        <f>71.324 * CHOOSE(CONTROL!$C$15, $E$9, 100%, $G$9) + CHOOSE(CONTROL!$C$38, 0.0354, 0)</f>
        <v>71.359399999999994</v>
      </c>
      <c r="E929" s="14">
        <f>71.324 * CHOOSE(CONTROL!$C$15, $E$9, 100%, $G$9) + CHOOSE(CONTROL!$C$38, 0.0354, 0)</f>
        <v>71.359399999999994</v>
      </c>
      <c r="F929" s="45">
        <f>75.3765 * CHOOSE(CONTROL!$C$15, $E$9, 100%, $G$9) + CHOOSE(CONTROL!$C$38, 0.0353, 0)</f>
        <v>75.411799999999999</v>
      </c>
      <c r="G929" s="14">
        <f>71.3302 * CHOOSE(CONTROL!$C$15, $E$9, 100%, $G$9) + CHOOSE(CONTROL!$C$38, 0.0354, 0)</f>
        <v>71.365600000000001</v>
      </c>
      <c r="H929" s="14">
        <f>71.3302 * CHOOSE(CONTROL!$C$15, $E$9, 100%, $G$9) + CHOOSE(CONTROL!$C$38, 0.0354, 0)</f>
        <v>71.365600000000001</v>
      </c>
      <c r="I929" s="14">
        <f>71.3318 * CHOOSE(CONTROL!$C$15, $E$9, 100%, $G$9) + CHOOSE(CONTROL!$C$38, 0.0354, 0)</f>
        <v>71.367199999999997</v>
      </c>
      <c r="J929" s="44">
        <f>730.802</f>
        <v>730.80200000000002</v>
      </c>
    </row>
    <row r="930" spans="1:10" ht="15.75" x14ac:dyDescent="0.25">
      <c r="A930" s="32">
        <v>69245</v>
      </c>
      <c r="B930" s="14">
        <f>75.0269 * CHOOSE(CONTROL!$C$15, $E$9, 100%, $G$9) + CHOOSE(CONTROL!$C$38, 0.0353, 0)</f>
        <v>75.062200000000004</v>
      </c>
      <c r="C930" s="14">
        <f>71.0003 * CHOOSE(CONTROL!$C$15, $E$9, 100%, $G$9) + CHOOSE(CONTROL!$C$38, 0.0354, 0)</f>
        <v>71.035699999999991</v>
      </c>
      <c r="D930" s="14">
        <f>70.9925 * CHOOSE(CONTROL!$C$15, $E$9, 100%, $G$9) + CHOOSE(CONTROL!$C$38, 0.0354, 0)</f>
        <v>71.027900000000002</v>
      </c>
      <c r="E930" s="14">
        <f>70.9925 * CHOOSE(CONTROL!$C$15, $E$9, 100%, $G$9) + CHOOSE(CONTROL!$C$38, 0.0354, 0)</f>
        <v>71.027900000000002</v>
      </c>
      <c r="F930" s="45">
        <f>75.0269 * CHOOSE(CONTROL!$C$15, $E$9, 100%, $G$9) + CHOOSE(CONTROL!$C$38, 0.0353, 0)</f>
        <v>75.062200000000004</v>
      </c>
      <c r="G930" s="14">
        <f>70.9988 * CHOOSE(CONTROL!$C$15, $E$9, 100%, $G$9) + CHOOSE(CONTROL!$C$38, 0.0354, 0)</f>
        <v>71.034199999999998</v>
      </c>
      <c r="H930" s="14">
        <f>70.9988 * CHOOSE(CONTROL!$C$15, $E$9, 100%, $G$9) + CHOOSE(CONTROL!$C$38, 0.0354, 0)</f>
        <v>71.034199999999998</v>
      </c>
      <c r="I930" s="14">
        <f>71.0003 * CHOOSE(CONTROL!$C$15, $E$9, 100%, $G$9) + CHOOSE(CONTROL!$C$38, 0.0354, 0)</f>
        <v>71.035699999999991</v>
      </c>
      <c r="J930" s="44">
        <f>727.3842</f>
        <v>727.38419999999996</v>
      </c>
    </row>
    <row r="931" spans="1:10" ht="15.75" x14ac:dyDescent="0.25">
      <c r="A931" s="32">
        <v>69276</v>
      </c>
      <c r="B931" s="14">
        <f>73.2946 * CHOOSE(CONTROL!$C$15, $E$9, 100%, $G$9) + CHOOSE(CONTROL!$C$38, 0.0353, 0)</f>
        <v>73.329900000000009</v>
      </c>
      <c r="C931" s="14">
        <f>69.3582 * CHOOSE(CONTROL!$C$15, $E$9, 100%, $G$9) + CHOOSE(CONTROL!$C$38, 0.0354, 0)</f>
        <v>69.393599999999992</v>
      </c>
      <c r="D931" s="14">
        <f>69.3504 * CHOOSE(CONTROL!$C$15, $E$9, 100%, $G$9) + CHOOSE(CONTROL!$C$38, 0.0354, 0)</f>
        <v>69.385799999999989</v>
      </c>
      <c r="E931" s="14">
        <f>69.3504 * CHOOSE(CONTROL!$C$15, $E$9, 100%, $G$9) + CHOOSE(CONTROL!$C$38, 0.0354, 0)</f>
        <v>69.385799999999989</v>
      </c>
      <c r="F931" s="45">
        <f>73.2946 * CHOOSE(CONTROL!$C$15, $E$9, 100%, $G$9) + CHOOSE(CONTROL!$C$38, 0.0353, 0)</f>
        <v>73.329900000000009</v>
      </c>
      <c r="G931" s="14">
        <f>69.3566 * CHOOSE(CONTROL!$C$15, $E$9, 100%, $G$9) + CHOOSE(CONTROL!$C$38, 0.0354, 0)</f>
        <v>69.391999999999996</v>
      </c>
      <c r="H931" s="14">
        <f>69.3566 * CHOOSE(CONTROL!$C$15, $E$9, 100%, $G$9) + CHOOSE(CONTROL!$C$38, 0.0354, 0)</f>
        <v>69.391999999999996</v>
      </c>
      <c r="I931" s="14">
        <f>69.3582 * CHOOSE(CONTROL!$C$15, $E$9, 100%, $G$9) + CHOOSE(CONTROL!$C$38, 0.0354, 0)</f>
        <v>69.393599999999992</v>
      </c>
      <c r="J931" s="44">
        <f>710.451</f>
        <v>710.45100000000002</v>
      </c>
    </row>
    <row r="932" spans="1:10" ht="15.75" x14ac:dyDescent="0.25">
      <c r="A932" s="32">
        <v>69306</v>
      </c>
      <c r="B932" s="14">
        <f>70.879 * CHOOSE(CONTROL!$C$15, $E$9, 100%, $G$9) + CHOOSE(CONTROL!$C$38, 0.0353, 0)</f>
        <v>70.914300000000011</v>
      </c>
      <c r="C932" s="14">
        <f>67.0682 * CHOOSE(CONTROL!$C$15, $E$9, 100%, $G$9) + CHOOSE(CONTROL!$C$38, 0.0354, 0)</f>
        <v>67.1036</v>
      </c>
      <c r="D932" s="14">
        <f>67.0604 * CHOOSE(CONTROL!$C$15, $E$9, 100%, $G$9) + CHOOSE(CONTROL!$C$38, 0.0354, 0)</f>
        <v>67.095799999999997</v>
      </c>
      <c r="E932" s="14">
        <f>67.0604 * CHOOSE(CONTROL!$C$15, $E$9, 100%, $G$9) + CHOOSE(CONTROL!$C$38, 0.0354, 0)</f>
        <v>67.095799999999997</v>
      </c>
      <c r="F932" s="45">
        <f>70.879 * CHOOSE(CONTROL!$C$15, $E$9, 100%, $G$9) + CHOOSE(CONTROL!$C$38, 0.0353, 0)</f>
        <v>70.914300000000011</v>
      </c>
      <c r="G932" s="14">
        <f>67.0666 * CHOOSE(CONTROL!$C$15, $E$9, 100%, $G$9) + CHOOSE(CONTROL!$C$38, 0.0354, 0)</f>
        <v>67.10199999999999</v>
      </c>
      <c r="H932" s="14">
        <f>67.0666 * CHOOSE(CONTROL!$C$15, $E$9, 100%, $G$9) + CHOOSE(CONTROL!$C$38, 0.0354, 0)</f>
        <v>67.10199999999999</v>
      </c>
      <c r="I932" s="14">
        <f>67.0682 * CHOOSE(CONTROL!$C$15, $E$9, 100%, $G$9) + CHOOSE(CONTROL!$C$38, 0.0354, 0)</f>
        <v>67.1036</v>
      </c>
      <c r="J932" s="44">
        <f>686.8369</f>
        <v>686.83690000000001</v>
      </c>
    </row>
    <row r="933" spans="1:10" ht="15.75" x14ac:dyDescent="0.25">
      <c r="A933" s="32">
        <v>69337</v>
      </c>
      <c r="B933" s="14">
        <f>68.4492 * CHOOSE(CONTROL!$C$15, $E$9, 100%, $G$9) + CHOOSE(CONTROL!$C$38, 0.034, 0)</f>
        <v>68.483200000000011</v>
      </c>
      <c r="C933" s="14">
        <f>64.7648 * CHOOSE(CONTROL!$C$15, $E$9, 100%, $G$9) + CHOOSE(CONTROL!$C$38, 0.0342, 0)</f>
        <v>64.798999999999992</v>
      </c>
      <c r="D933" s="14">
        <f>64.757 * CHOOSE(CONTROL!$C$15, $E$9, 100%, $G$9) + CHOOSE(CONTROL!$C$38, 0.0342, 0)</f>
        <v>64.791200000000003</v>
      </c>
      <c r="E933" s="14">
        <f>64.757 * CHOOSE(CONTROL!$C$15, $E$9, 100%, $G$9) + CHOOSE(CONTROL!$C$38, 0.0342, 0)</f>
        <v>64.791200000000003</v>
      </c>
      <c r="F933" s="45">
        <f>68.4492 * CHOOSE(CONTROL!$C$15, $E$9, 100%, $G$9) + CHOOSE(CONTROL!$C$38, 0.034, 0)</f>
        <v>68.483200000000011</v>
      </c>
      <c r="G933" s="14">
        <f>64.7633 * CHOOSE(CONTROL!$C$15, $E$9, 100%, $G$9) + CHOOSE(CONTROL!$C$38, 0.0342, 0)</f>
        <v>64.797499999999999</v>
      </c>
      <c r="H933" s="14">
        <f>64.7633 * CHOOSE(CONTROL!$C$15, $E$9, 100%, $G$9) + CHOOSE(CONTROL!$C$38, 0.0342, 0)</f>
        <v>64.797499999999999</v>
      </c>
      <c r="I933" s="14">
        <f>64.7648 * CHOOSE(CONTROL!$C$15, $E$9, 100%, $G$9) + CHOOSE(CONTROL!$C$38, 0.0342, 0)</f>
        <v>64.798999999999992</v>
      </c>
      <c r="J933" s="44">
        <f>663.0853</f>
        <v>663.08529999999996</v>
      </c>
    </row>
    <row r="934" spans="1:10" ht="15.75" x14ac:dyDescent="0.25">
      <c r="A934" s="32">
        <v>69367</v>
      </c>
      <c r="B934" s="14">
        <f>67.9659 * CHOOSE(CONTROL!$C$15, $E$9, 100%, $G$9) + CHOOSE(CONTROL!$C$38, 0.034, 0)</f>
        <v>67.999900000000011</v>
      </c>
      <c r="C934" s="14">
        <f>64.3066 * CHOOSE(CONTROL!$C$15, $E$9, 100%, $G$9) + CHOOSE(CONTROL!$C$38, 0.0342, 0)</f>
        <v>64.340800000000002</v>
      </c>
      <c r="D934" s="14">
        <f>64.2988 * CHOOSE(CONTROL!$C$15, $E$9, 100%, $G$9) + CHOOSE(CONTROL!$C$38, 0.0342, 0)</f>
        <v>64.332999999999998</v>
      </c>
      <c r="E934" s="14">
        <f>64.2988 * CHOOSE(CONTROL!$C$15, $E$9, 100%, $G$9) + CHOOSE(CONTROL!$C$38, 0.0342, 0)</f>
        <v>64.332999999999998</v>
      </c>
      <c r="F934" s="45">
        <f>67.9659 * CHOOSE(CONTROL!$C$15, $E$9, 100%, $G$9) + CHOOSE(CONTROL!$C$38, 0.034, 0)</f>
        <v>67.999900000000011</v>
      </c>
      <c r="G934" s="14">
        <f>64.3051 * CHOOSE(CONTROL!$C$15, $E$9, 100%, $G$9) + CHOOSE(CONTROL!$C$38, 0.0342, 0)</f>
        <v>64.339299999999994</v>
      </c>
      <c r="H934" s="14">
        <f>64.3051 * CHOOSE(CONTROL!$C$15, $E$9, 100%, $G$9) + CHOOSE(CONTROL!$C$38, 0.0342, 0)</f>
        <v>64.339299999999994</v>
      </c>
      <c r="I934" s="14">
        <f>64.3066 * CHOOSE(CONTROL!$C$15, $E$9, 100%, $G$9) + CHOOSE(CONTROL!$C$38, 0.0342, 0)</f>
        <v>64.340800000000002</v>
      </c>
      <c r="J934" s="44">
        <f>658.3607</f>
        <v>658.36069999999995</v>
      </c>
    </row>
    <row r="935" spans="1:10" ht="15.75" x14ac:dyDescent="0.25">
      <c r="A935" s="32">
        <v>69398</v>
      </c>
      <c r="B935" s="14">
        <f>65.9673 * CHOOSE(CONTROL!$C$15, $E$9, 100%, $G$9) + CHOOSE(CONTROL!$C$38, 0.034, 0)</f>
        <v>66.001300000000001</v>
      </c>
      <c r="C935" s="14">
        <f>62.412 * CHOOSE(CONTROL!$C$15, $E$9, 100%, $G$9) + CHOOSE(CONTROL!$C$38, 0.0342, 0)</f>
        <v>62.446199999999997</v>
      </c>
      <c r="D935" s="14">
        <f>62.4042 * CHOOSE(CONTROL!$C$15, $E$9, 100%, $G$9) + CHOOSE(CONTROL!$C$38, 0.0342, 0)</f>
        <v>62.438400000000001</v>
      </c>
      <c r="E935" s="14">
        <f>62.4042 * CHOOSE(CONTROL!$C$15, $E$9, 100%, $G$9) + CHOOSE(CONTROL!$C$38, 0.0342, 0)</f>
        <v>62.438400000000001</v>
      </c>
      <c r="F935" s="45">
        <f>65.9673 * CHOOSE(CONTROL!$C$15, $E$9, 100%, $G$9) + CHOOSE(CONTROL!$C$38, 0.034, 0)</f>
        <v>66.001300000000001</v>
      </c>
      <c r="G935" s="14">
        <f>62.4105 * CHOOSE(CONTROL!$C$15, $E$9, 100%, $G$9) + CHOOSE(CONTROL!$C$38, 0.0342, 0)</f>
        <v>62.444699999999997</v>
      </c>
      <c r="H935" s="14">
        <f>62.4105 * CHOOSE(CONTROL!$C$15, $E$9, 100%, $G$9) + CHOOSE(CONTROL!$C$38, 0.0342, 0)</f>
        <v>62.444699999999997</v>
      </c>
      <c r="I935" s="14">
        <f>62.412 * CHOOSE(CONTROL!$C$15, $E$9, 100%, $G$9) + CHOOSE(CONTROL!$C$38, 0.0342, 0)</f>
        <v>62.446199999999997</v>
      </c>
      <c r="J935" s="44">
        <f>638.8238</f>
        <v>638.82380000000001</v>
      </c>
    </row>
    <row r="936" spans="1:10" ht="15.75" x14ac:dyDescent="0.25">
      <c r="A936" s="32">
        <v>69429</v>
      </c>
      <c r="B936" s="14">
        <f>65.471 * CHOOSE(CONTROL!$C$15, $E$9, 100%, $G$9) + CHOOSE(CONTROL!$C$38, 0.034, 0)</f>
        <v>65.50500000000001</v>
      </c>
      <c r="C936" s="14">
        <f>61.9415 * CHOOSE(CONTROL!$C$15, $E$9, 100%, $G$9) + CHOOSE(CONTROL!$C$38, 0.0342, 0)</f>
        <v>61.975699999999996</v>
      </c>
      <c r="D936" s="14">
        <f>61.9337 * CHOOSE(CONTROL!$C$15, $E$9, 100%, $G$9) + CHOOSE(CONTROL!$C$38, 0.0342, 0)</f>
        <v>61.9679</v>
      </c>
      <c r="E936" s="14">
        <f>61.9337 * CHOOSE(CONTROL!$C$15, $E$9, 100%, $G$9) + CHOOSE(CONTROL!$C$38, 0.0342, 0)</f>
        <v>61.9679</v>
      </c>
      <c r="F936" s="45">
        <f>65.471 * CHOOSE(CONTROL!$C$15, $E$9, 100%, $G$9) + CHOOSE(CONTROL!$C$38, 0.034, 0)</f>
        <v>65.50500000000001</v>
      </c>
      <c r="G936" s="14">
        <f>61.9399 * CHOOSE(CONTROL!$C$15, $E$9, 100%, $G$9) + CHOOSE(CONTROL!$C$38, 0.0342, 0)</f>
        <v>61.9741</v>
      </c>
      <c r="H936" s="14">
        <f>61.9399 * CHOOSE(CONTROL!$C$15, $E$9, 100%, $G$9) + CHOOSE(CONTROL!$C$38, 0.0342, 0)</f>
        <v>61.9741</v>
      </c>
      <c r="I936" s="14">
        <f>61.9415 * CHOOSE(CONTROL!$C$15, $E$9, 100%, $G$9) + CHOOSE(CONTROL!$C$38, 0.0342, 0)</f>
        <v>61.975699999999996</v>
      </c>
      <c r="J936" s="44">
        <f>638.3626</f>
        <v>638.36260000000004</v>
      </c>
    </row>
    <row r="937" spans="1:10" ht="15.75" x14ac:dyDescent="0.25">
      <c r="A937" s="32">
        <v>69457</v>
      </c>
      <c r="B937" s="14">
        <f>65.2907 * CHOOSE(CONTROL!$C$15, $E$9, 100%, $G$9) + CHOOSE(CONTROL!$C$38, 0.034, 0)</f>
        <v>65.324700000000007</v>
      </c>
      <c r="C937" s="14">
        <f>61.7706 * CHOOSE(CONTROL!$C$15, $E$9, 100%, $G$9) + CHOOSE(CONTROL!$C$38, 0.0342, 0)</f>
        <v>61.8048</v>
      </c>
      <c r="D937" s="14">
        <f>61.7628 * CHOOSE(CONTROL!$C$15, $E$9, 100%, $G$9) + CHOOSE(CONTROL!$C$38, 0.0342, 0)</f>
        <v>61.796999999999997</v>
      </c>
      <c r="E937" s="14">
        <f>61.7628 * CHOOSE(CONTROL!$C$15, $E$9, 100%, $G$9) + CHOOSE(CONTROL!$C$38, 0.0342, 0)</f>
        <v>61.796999999999997</v>
      </c>
      <c r="F937" s="45">
        <f>65.2907 * CHOOSE(CONTROL!$C$15, $E$9, 100%, $G$9) + CHOOSE(CONTROL!$C$38, 0.034, 0)</f>
        <v>65.324700000000007</v>
      </c>
      <c r="G937" s="14">
        <f>61.7691 * CHOOSE(CONTROL!$C$15, $E$9, 100%, $G$9) + CHOOSE(CONTROL!$C$38, 0.0342, 0)</f>
        <v>61.8033</v>
      </c>
      <c r="H937" s="14">
        <f>61.7691 * CHOOSE(CONTROL!$C$15, $E$9, 100%, $G$9) + CHOOSE(CONTROL!$C$38, 0.0342, 0)</f>
        <v>61.8033</v>
      </c>
      <c r="I937" s="14">
        <f>61.7706 * CHOOSE(CONTROL!$C$15, $E$9, 100%, $G$9) + CHOOSE(CONTROL!$C$38, 0.0342, 0)</f>
        <v>61.8048</v>
      </c>
      <c r="J937" s="44">
        <f>636.5881</f>
        <v>636.58810000000005</v>
      </c>
    </row>
    <row r="938" spans="1:10" ht="15.75" x14ac:dyDescent="0.25">
      <c r="A938" s="32">
        <v>69488</v>
      </c>
      <c r="B938" s="14">
        <f>68.6994 * CHOOSE(CONTROL!$C$15, $E$9, 100%, $G$9) + CHOOSE(CONTROL!$C$38, 0.034, 0)</f>
        <v>68.733400000000003</v>
      </c>
      <c r="C938" s="14">
        <f>65.002 * CHOOSE(CONTROL!$C$15, $E$9, 100%, $G$9) + CHOOSE(CONTROL!$C$38, 0.0342, 0)</f>
        <v>65.036199999999994</v>
      </c>
      <c r="D938" s="14">
        <f>64.9942 * CHOOSE(CONTROL!$C$15, $E$9, 100%, $G$9) + CHOOSE(CONTROL!$C$38, 0.0342, 0)</f>
        <v>65.028400000000005</v>
      </c>
      <c r="E938" s="14">
        <f>64.9942 * CHOOSE(CONTROL!$C$15, $E$9, 100%, $G$9) + CHOOSE(CONTROL!$C$38, 0.0342, 0)</f>
        <v>65.028400000000005</v>
      </c>
      <c r="F938" s="45">
        <f>68.6994 * CHOOSE(CONTROL!$C$15, $E$9, 100%, $G$9) + CHOOSE(CONTROL!$C$38, 0.034, 0)</f>
        <v>68.733400000000003</v>
      </c>
      <c r="G938" s="14">
        <f>65.0004 * CHOOSE(CONTROL!$C$15, $E$9, 100%, $G$9) + CHOOSE(CONTROL!$C$38, 0.0342, 0)</f>
        <v>65.034599999999998</v>
      </c>
      <c r="H938" s="14">
        <f>65.0004 * CHOOSE(CONTROL!$C$15, $E$9, 100%, $G$9) + CHOOSE(CONTROL!$C$38, 0.0342, 0)</f>
        <v>65.034599999999998</v>
      </c>
      <c r="I938" s="14">
        <f>65.002 * CHOOSE(CONTROL!$C$15, $E$9, 100%, $G$9) + CHOOSE(CONTROL!$C$38, 0.0342, 0)</f>
        <v>65.036199999999994</v>
      </c>
      <c r="J938" s="44">
        <f>670.14</f>
        <v>670.14</v>
      </c>
    </row>
    <row r="939" spans="1:10" ht="15.75" x14ac:dyDescent="0.25">
      <c r="A939" s="32">
        <v>69518</v>
      </c>
      <c r="B939" s="14">
        <f>73.1196 * CHOOSE(CONTROL!$C$15, $E$9, 100%, $G$9) + CHOOSE(CONTROL!$C$38, 0.034, 0)</f>
        <v>73.153600000000012</v>
      </c>
      <c r="C939" s="14">
        <f>69.1923 * CHOOSE(CONTROL!$C$15, $E$9, 100%, $G$9) + CHOOSE(CONTROL!$C$38, 0.0342, 0)</f>
        <v>69.226500000000001</v>
      </c>
      <c r="D939" s="14">
        <f>69.1845 * CHOOSE(CONTROL!$C$15, $E$9, 100%, $G$9) + CHOOSE(CONTROL!$C$38, 0.0342, 0)</f>
        <v>69.218699999999998</v>
      </c>
      <c r="E939" s="14">
        <f>69.1845 * CHOOSE(CONTROL!$C$15, $E$9, 100%, $G$9) + CHOOSE(CONTROL!$C$38, 0.0342, 0)</f>
        <v>69.218699999999998</v>
      </c>
      <c r="F939" s="45">
        <f>73.1196 * CHOOSE(CONTROL!$C$15, $E$9, 100%, $G$9) + CHOOSE(CONTROL!$C$38, 0.034, 0)</f>
        <v>73.153600000000012</v>
      </c>
      <c r="G939" s="14">
        <f>69.1907 * CHOOSE(CONTROL!$C$15, $E$9, 100%, $G$9) + CHOOSE(CONTROL!$C$38, 0.0342, 0)</f>
        <v>69.224900000000005</v>
      </c>
      <c r="H939" s="14">
        <f>69.1907 * CHOOSE(CONTROL!$C$15, $E$9, 100%, $G$9) + CHOOSE(CONTROL!$C$38, 0.0342, 0)</f>
        <v>69.224900000000005</v>
      </c>
      <c r="I939" s="14">
        <f>69.1923 * CHOOSE(CONTROL!$C$15, $E$9, 100%, $G$9) + CHOOSE(CONTROL!$C$38, 0.0342, 0)</f>
        <v>69.226500000000001</v>
      </c>
      <c r="J939" s="44">
        <f>713.6488</f>
        <v>713.64880000000005</v>
      </c>
    </row>
    <row r="940" spans="1:10" ht="15.75" x14ac:dyDescent="0.25">
      <c r="A940" s="32">
        <v>69549</v>
      </c>
      <c r="B940" s="14">
        <f>75.5527 * CHOOSE(CONTROL!$C$15, $E$9, 100%, $G$9) + CHOOSE(CONTROL!$C$38, 0.0353, 0)</f>
        <v>75.588000000000008</v>
      </c>
      <c r="C940" s="14">
        <f>71.4988 * CHOOSE(CONTROL!$C$15, $E$9, 100%, $G$9) + CHOOSE(CONTROL!$C$38, 0.0354, 0)</f>
        <v>71.534199999999998</v>
      </c>
      <c r="D940" s="14">
        <f>71.491 * CHOOSE(CONTROL!$C$15, $E$9, 100%, $G$9) + CHOOSE(CONTROL!$C$38, 0.0354, 0)</f>
        <v>71.526399999999995</v>
      </c>
      <c r="E940" s="14">
        <f>71.491 * CHOOSE(CONTROL!$C$15, $E$9, 100%, $G$9) + CHOOSE(CONTROL!$C$38, 0.0354, 0)</f>
        <v>71.526399999999995</v>
      </c>
      <c r="F940" s="45">
        <f>75.5527 * CHOOSE(CONTROL!$C$15, $E$9, 100%, $G$9) + CHOOSE(CONTROL!$C$38, 0.0353, 0)</f>
        <v>75.588000000000008</v>
      </c>
      <c r="G940" s="14">
        <f>71.4972 * CHOOSE(CONTROL!$C$15, $E$9, 100%, $G$9) + CHOOSE(CONTROL!$C$38, 0.0354, 0)</f>
        <v>71.532600000000002</v>
      </c>
      <c r="H940" s="14">
        <f>71.4972 * CHOOSE(CONTROL!$C$15, $E$9, 100%, $G$9) + CHOOSE(CONTROL!$C$38, 0.0354, 0)</f>
        <v>71.532600000000002</v>
      </c>
      <c r="I940" s="14">
        <f>71.4988 * CHOOSE(CONTROL!$C$15, $E$9, 100%, $G$9) + CHOOSE(CONTROL!$C$38, 0.0354, 0)</f>
        <v>71.534199999999998</v>
      </c>
      <c r="J940" s="44">
        <f>737.5974</f>
        <v>737.59739999999999</v>
      </c>
    </row>
    <row r="941" spans="1:10" ht="15.75" x14ac:dyDescent="0.25">
      <c r="A941" s="32">
        <v>69579</v>
      </c>
      <c r="B941" s="14">
        <f>76.6324 * CHOOSE(CONTROL!$C$15, $E$9, 100%, $G$9) + CHOOSE(CONTROL!$C$38, 0.0353, 0)</f>
        <v>76.667700000000011</v>
      </c>
      <c r="C941" s="14">
        <f>72.5224 * CHOOSE(CONTROL!$C$15, $E$9, 100%, $G$9) + CHOOSE(CONTROL!$C$38, 0.0354, 0)</f>
        <v>72.5578</v>
      </c>
      <c r="D941" s="14">
        <f>72.5146 * CHOOSE(CONTROL!$C$15, $E$9, 100%, $G$9) + CHOOSE(CONTROL!$C$38, 0.0354, 0)</f>
        <v>72.55</v>
      </c>
      <c r="E941" s="14">
        <f>72.5146 * CHOOSE(CONTROL!$C$15, $E$9, 100%, $G$9) + CHOOSE(CONTROL!$C$38, 0.0354, 0)</f>
        <v>72.55</v>
      </c>
      <c r="F941" s="45">
        <f>76.6324 * CHOOSE(CONTROL!$C$15, $E$9, 100%, $G$9) + CHOOSE(CONTROL!$C$38, 0.0353, 0)</f>
        <v>76.667700000000011</v>
      </c>
      <c r="G941" s="14">
        <f>72.5208 * CHOOSE(CONTROL!$C$15, $E$9, 100%, $G$9) + CHOOSE(CONTROL!$C$38, 0.0354, 0)</f>
        <v>72.55619999999999</v>
      </c>
      <c r="H941" s="14">
        <f>72.5208 * CHOOSE(CONTROL!$C$15, $E$9, 100%, $G$9) + CHOOSE(CONTROL!$C$38, 0.0354, 0)</f>
        <v>72.55619999999999</v>
      </c>
      <c r="I941" s="14">
        <f>72.5224 * CHOOSE(CONTROL!$C$15, $E$9, 100%, $G$9) + CHOOSE(CONTROL!$C$38, 0.0354, 0)</f>
        <v>72.5578</v>
      </c>
      <c r="J941" s="44">
        <f>748.2254</f>
        <v>748.22540000000004</v>
      </c>
    </row>
    <row r="942" spans="1:10" ht="15.75" x14ac:dyDescent="0.25">
      <c r="A942" s="32">
        <v>69610</v>
      </c>
      <c r="B942" s="14">
        <f>76.2769 * CHOOSE(CONTROL!$C$15, $E$9, 100%, $G$9) + CHOOSE(CONTROL!$C$38, 0.0353, 0)</f>
        <v>76.312200000000004</v>
      </c>
      <c r="C942" s="14">
        <f>72.1854 * CHOOSE(CONTROL!$C$15, $E$9, 100%, $G$9) + CHOOSE(CONTROL!$C$38, 0.0354, 0)</f>
        <v>72.220799999999997</v>
      </c>
      <c r="D942" s="14">
        <f>72.1776 * CHOOSE(CONTROL!$C$15, $E$9, 100%, $G$9) + CHOOSE(CONTROL!$C$38, 0.0354, 0)</f>
        <v>72.212999999999994</v>
      </c>
      <c r="E942" s="14">
        <f>72.1776 * CHOOSE(CONTROL!$C$15, $E$9, 100%, $G$9) + CHOOSE(CONTROL!$C$38, 0.0354, 0)</f>
        <v>72.212999999999994</v>
      </c>
      <c r="F942" s="45">
        <f>76.2769 * CHOOSE(CONTROL!$C$15, $E$9, 100%, $G$9) + CHOOSE(CONTROL!$C$38, 0.0353, 0)</f>
        <v>76.312200000000004</v>
      </c>
      <c r="G942" s="14">
        <f>72.1838 * CHOOSE(CONTROL!$C$15, $E$9, 100%, $G$9) + CHOOSE(CONTROL!$C$38, 0.0354, 0)</f>
        <v>72.219200000000001</v>
      </c>
      <c r="H942" s="14">
        <f>72.1838 * CHOOSE(CONTROL!$C$15, $E$9, 100%, $G$9) + CHOOSE(CONTROL!$C$38, 0.0354, 0)</f>
        <v>72.219200000000001</v>
      </c>
      <c r="I942" s="14">
        <f>72.1854 * CHOOSE(CONTROL!$C$15, $E$9, 100%, $G$9) + CHOOSE(CONTROL!$C$38, 0.0354, 0)</f>
        <v>72.220799999999997</v>
      </c>
      <c r="J942" s="44">
        <f>744.7262</f>
        <v>744.72619999999995</v>
      </c>
    </row>
    <row r="943" spans="1:10" ht="15.75" x14ac:dyDescent="0.25">
      <c r="A943" s="32">
        <v>69641</v>
      </c>
      <c r="B943" s="14">
        <f>74.5156 * CHOOSE(CONTROL!$C$15, $E$9, 100%, $G$9) + CHOOSE(CONTROL!$C$38, 0.0353, 0)</f>
        <v>74.550900000000013</v>
      </c>
      <c r="C943" s="14">
        <f>70.5157 * CHOOSE(CONTROL!$C$15, $E$9, 100%, $G$9) + CHOOSE(CONTROL!$C$38, 0.0354, 0)</f>
        <v>70.551099999999991</v>
      </c>
      <c r="D943" s="14">
        <f>70.5078 * CHOOSE(CONTROL!$C$15, $E$9, 100%, $G$9) + CHOOSE(CONTROL!$C$38, 0.0354, 0)</f>
        <v>70.543199999999999</v>
      </c>
      <c r="E943" s="14">
        <f>70.5078 * CHOOSE(CONTROL!$C$15, $E$9, 100%, $G$9) + CHOOSE(CONTROL!$C$38, 0.0354, 0)</f>
        <v>70.543199999999999</v>
      </c>
      <c r="F943" s="45">
        <f>74.5156 * CHOOSE(CONTROL!$C$15, $E$9, 100%, $G$9) + CHOOSE(CONTROL!$C$38, 0.0353, 0)</f>
        <v>74.550900000000013</v>
      </c>
      <c r="G943" s="14">
        <f>70.5141 * CHOOSE(CONTROL!$C$15, $E$9, 100%, $G$9) + CHOOSE(CONTROL!$C$38, 0.0354, 0)</f>
        <v>70.549499999999995</v>
      </c>
      <c r="H943" s="14">
        <f>70.5141 * CHOOSE(CONTROL!$C$15, $E$9, 100%, $G$9) + CHOOSE(CONTROL!$C$38, 0.0354, 0)</f>
        <v>70.549499999999995</v>
      </c>
      <c r="I943" s="14">
        <f>70.5157 * CHOOSE(CONTROL!$C$15, $E$9, 100%, $G$9) + CHOOSE(CONTROL!$C$38, 0.0354, 0)</f>
        <v>70.551099999999991</v>
      </c>
      <c r="J943" s="44">
        <f>727.3893</f>
        <v>727.38930000000005</v>
      </c>
    </row>
    <row r="944" spans="1:10" ht="15.75" x14ac:dyDescent="0.25">
      <c r="A944" s="32">
        <v>69671</v>
      </c>
      <c r="B944" s="14">
        <f>72.0593 * CHOOSE(CONTROL!$C$15, $E$9, 100%, $G$9) + CHOOSE(CONTROL!$C$38, 0.0353, 0)</f>
        <v>72.0946</v>
      </c>
      <c r="C944" s="14">
        <f>68.1872 * CHOOSE(CONTROL!$C$15, $E$9, 100%, $G$9) + CHOOSE(CONTROL!$C$38, 0.0354, 0)</f>
        <v>68.2226</v>
      </c>
      <c r="D944" s="14">
        <f>68.1793 * CHOOSE(CONTROL!$C$15, $E$9, 100%, $G$9) + CHOOSE(CONTROL!$C$38, 0.0354, 0)</f>
        <v>68.214699999999993</v>
      </c>
      <c r="E944" s="14">
        <f>68.1793 * CHOOSE(CONTROL!$C$15, $E$9, 100%, $G$9) + CHOOSE(CONTROL!$C$38, 0.0354, 0)</f>
        <v>68.214699999999993</v>
      </c>
      <c r="F944" s="45">
        <f>72.0593 * CHOOSE(CONTROL!$C$15, $E$9, 100%, $G$9) + CHOOSE(CONTROL!$C$38, 0.0353, 0)</f>
        <v>72.0946</v>
      </c>
      <c r="G944" s="14">
        <f>68.1856 * CHOOSE(CONTROL!$C$15, $E$9, 100%, $G$9) + CHOOSE(CONTROL!$C$38, 0.0354, 0)</f>
        <v>68.220999999999989</v>
      </c>
      <c r="H944" s="14">
        <f>68.1856 * CHOOSE(CONTROL!$C$15, $E$9, 100%, $G$9) + CHOOSE(CONTROL!$C$38, 0.0354, 0)</f>
        <v>68.220999999999989</v>
      </c>
      <c r="I944" s="14">
        <f>68.1872 * CHOOSE(CONTROL!$C$15, $E$9, 100%, $G$9) + CHOOSE(CONTROL!$C$38, 0.0354, 0)</f>
        <v>68.2226</v>
      </c>
      <c r="J944" s="44">
        <f>703.2121</f>
        <v>703.21209999999996</v>
      </c>
    </row>
    <row r="945" spans="1:10" ht="15.75" x14ac:dyDescent="0.25">
      <c r="A945" s="32">
        <v>69702</v>
      </c>
      <c r="B945" s="14">
        <f>69.5888 * CHOOSE(CONTROL!$C$15, $E$9, 100%, $G$9) + CHOOSE(CONTROL!$C$38, 0.034, 0)</f>
        <v>69.622800000000012</v>
      </c>
      <c r="C945" s="14">
        <f>65.8451 * CHOOSE(CONTROL!$C$15, $E$9, 100%, $G$9) + CHOOSE(CONTROL!$C$38, 0.0342, 0)</f>
        <v>65.879300000000001</v>
      </c>
      <c r="D945" s="14">
        <f>65.8373 * CHOOSE(CONTROL!$C$15, $E$9, 100%, $G$9) + CHOOSE(CONTROL!$C$38, 0.0342, 0)</f>
        <v>65.871499999999997</v>
      </c>
      <c r="E945" s="14">
        <f>65.8373 * CHOOSE(CONTROL!$C$15, $E$9, 100%, $G$9) + CHOOSE(CONTROL!$C$38, 0.0342, 0)</f>
        <v>65.871499999999997</v>
      </c>
      <c r="F945" s="45">
        <f>69.5888 * CHOOSE(CONTROL!$C$15, $E$9, 100%, $G$9) + CHOOSE(CONTROL!$C$38, 0.034, 0)</f>
        <v>69.622800000000012</v>
      </c>
      <c r="G945" s="14">
        <f>65.8436 * CHOOSE(CONTROL!$C$15, $E$9, 100%, $G$9) + CHOOSE(CONTROL!$C$38, 0.0342, 0)</f>
        <v>65.877799999999993</v>
      </c>
      <c r="H945" s="14">
        <f>65.8436 * CHOOSE(CONTROL!$C$15, $E$9, 100%, $G$9) + CHOOSE(CONTROL!$C$38, 0.0342, 0)</f>
        <v>65.877799999999993</v>
      </c>
      <c r="I945" s="14">
        <f>65.8451 * CHOOSE(CONTROL!$C$15, $E$9, 100%, $G$9) + CHOOSE(CONTROL!$C$38, 0.0342, 0)</f>
        <v>65.879300000000001</v>
      </c>
      <c r="J945" s="44">
        <f>678.8943</f>
        <v>678.89430000000004</v>
      </c>
    </row>
    <row r="946" spans="1:10" ht="15.75" x14ac:dyDescent="0.25">
      <c r="A946" s="32">
        <v>69732</v>
      </c>
      <c r="B946" s="14">
        <f>69.0974 * CHOOSE(CONTROL!$C$15, $E$9, 100%, $G$9) + CHOOSE(CONTROL!$C$38, 0.034, 0)</f>
        <v>69.131399999999999</v>
      </c>
      <c r="C946" s="14">
        <f>65.3792 * CHOOSE(CONTROL!$C$15, $E$9, 100%, $G$9) + CHOOSE(CONTROL!$C$38, 0.0342, 0)</f>
        <v>65.413399999999996</v>
      </c>
      <c r="D946" s="14">
        <f>65.3714 * CHOOSE(CONTROL!$C$15, $E$9, 100%, $G$9) + CHOOSE(CONTROL!$C$38, 0.0342, 0)</f>
        <v>65.405599999999993</v>
      </c>
      <c r="E946" s="14">
        <f>65.3714 * CHOOSE(CONTROL!$C$15, $E$9, 100%, $G$9) + CHOOSE(CONTROL!$C$38, 0.0342, 0)</f>
        <v>65.405599999999993</v>
      </c>
      <c r="F946" s="45">
        <f>69.0974 * CHOOSE(CONTROL!$C$15, $E$9, 100%, $G$9) + CHOOSE(CONTROL!$C$38, 0.034, 0)</f>
        <v>69.131399999999999</v>
      </c>
      <c r="G946" s="14">
        <f>65.3777 * CHOOSE(CONTROL!$C$15, $E$9, 100%, $G$9) + CHOOSE(CONTROL!$C$38, 0.0342, 0)</f>
        <v>65.411900000000003</v>
      </c>
      <c r="H946" s="14">
        <f>65.3777 * CHOOSE(CONTROL!$C$15, $E$9, 100%, $G$9) + CHOOSE(CONTROL!$C$38, 0.0342, 0)</f>
        <v>65.411900000000003</v>
      </c>
      <c r="I946" s="14">
        <f>65.3792 * CHOOSE(CONTROL!$C$15, $E$9, 100%, $G$9) + CHOOSE(CONTROL!$C$38, 0.0342, 0)</f>
        <v>65.413399999999996</v>
      </c>
      <c r="J946" s="44">
        <f>674.057</f>
        <v>674.05700000000002</v>
      </c>
    </row>
    <row r="947" spans="1:10" ht="15.75" x14ac:dyDescent="0.25">
      <c r="A947" s="32">
        <v>69763</v>
      </c>
      <c r="B947" s="14">
        <f>67.0652 * CHOOSE(CONTROL!$C$15, $E$9, 100%, $G$9) + CHOOSE(CONTROL!$C$38, 0.034, 0)</f>
        <v>67.09920000000001</v>
      </c>
      <c r="C947" s="14">
        <f>63.4528 * CHOOSE(CONTROL!$C$15, $E$9, 100%, $G$9) + CHOOSE(CONTROL!$C$38, 0.0342, 0)</f>
        <v>63.487000000000002</v>
      </c>
      <c r="D947" s="14">
        <f>63.445 * CHOOSE(CONTROL!$C$15, $E$9, 100%, $G$9) + CHOOSE(CONTROL!$C$38, 0.0342, 0)</f>
        <v>63.479199999999999</v>
      </c>
      <c r="E947" s="14">
        <f>63.445 * CHOOSE(CONTROL!$C$15, $E$9, 100%, $G$9) + CHOOSE(CONTROL!$C$38, 0.0342, 0)</f>
        <v>63.479199999999999</v>
      </c>
      <c r="F947" s="45">
        <f>67.0652 * CHOOSE(CONTROL!$C$15, $E$9, 100%, $G$9) + CHOOSE(CONTROL!$C$38, 0.034, 0)</f>
        <v>67.09920000000001</v>
      </c>
      <c r="G947" s="14">
        <f>63.4512 * CHOOSE(CONTROL!$C$15, $E$9, 100%, $G$9) + CHOOSE(CONTROL!$C$38, 0.0342, 0)</f>
        <v>63.485399999999998</v>
      </c>
      <c r="H947" s="14">
        <f>63.4512 * CHOOSE(CONTROL!$C$15, $E$9, 100%, $G$9) + CHOOSE(CONTROL!$C$38, 0.0342, 0)</f>
        <v>63.485399999999998</v>
      </c>
      <c r="I947" s="14">
        <f>63.4528 * CHOOSE(CONTROL!$C$15, $E$9, 100%, $G$9) + CHOOSE(CONTROL!$C$38, 0.0342, 0)</f>
        <v>63.487000000000002</v>
      </c>
      <c r="J947" s="44">
        <f>654.0543</f>
        <v>654.05430000000001</v>
      </c>
    </row>
    <row r="948" spans="1:10" ht="15.75" x14ac:dyDescent="0.25">
      <c r="A948" s="32">
        <v>69794</v>
      </c>
      <c r="B948" s="14">
        <f>66.5605 * CHOOSE(CONTROL!$C$15, $E$9, 100%, $G$9) + CHOOSE(CONTROL!$C$38, 0.034, 0)</f>
        <v>66.594500000000011</v>
      </c>
      <c r="C948" s="14">
        <f>62.9744 * CHOOSE(CONTROL!$C$15, $E$9, 100%, $G$9) + CHOOSE(CONTROL!$C$38, 0.0342, 0)</f>
        <v>63.008600000000001</v>
      </c>
      <c r="D948" s="14">
        <f>62.9666 * CHOOSE(CONTROL!$C$15, $E$9, 100%, $G$9) + CHOOSE(CONTROL!$C$38, 0.0342, 0)</f>
        <v>63.000799999999998</v>
      </c>
      <c r="E948" s="14">
        <f>62.9666 * CHOOSE(CONTROL!$C$15, $E$9, 100%, $G$9) + CHOOSE(CONTROL!$C$38, 0.0342, 0)</f>
        <v>63.000799999999998</v>
      </c>
      <c r="F948" s="45">
        <f>66.5605 * CHOOSE(CONTROL!$C$15, $E$9, 100%, $G$9) + CHOOSE(CONTROL!$C$38, 0.034, 0)</f>
        <v>66.594500000000011</v>
      </c>
      <c r="G948" s="14">
        <f>62.9728 * CHOOSE(CONTROL!$C$15, $E$9, 100%, $G$9) + CHOOSE(CONTROL!$C$38, 0.0342, 0)</f>
        <v>63.006999999999998</v>
      </c>
      <c r="H948" s="14">
        <f>62.9728 * CHOOSE(CONTROL!$C$15, $E$9, 100%, $G$9) + CHOOSE(CONTROL!$C$38, 0.0342, 0)</f>
        <v>63.006999999999998</v>
      </c>
      <c r="I948" s="14">
        <f>62.9744 * CHOOSE(CONTROL!$C$15, $E$9, 100%, $G$9) + CHOOSE(CONTROL!$C$38, 0.0342, 0)</f>
        <v>63.008600000000001</v>
      </c>
      <c r="J948" s="44">
        <f>653.5821</f>
        <v>653.58209999999997</v>
      </c>
    </row>
    <row r="949" spans="1:10" ht="15.75" x14ac:dyDescent="0.25">
      <c r="A949" s="32">
        <v>69822</v>
      </c>
      <c r="B949" s="14">
        <f>66.3772 * CHOOSE(CONTROL!$C$15, $E$9, 100%, $G$9) + CHOOSE(CONTROL!$C$38, 0.034, 0)</f>
        <v>66.411200000000008</v>
      </c>
      <c r="C949" s="14">
        <f>62.8006 * CHOOSE(CONTROL!$C$15, $E$9, 100%, $G$9) + CHOOSE(CONTROL!$C$38, 0.0342, 0)</f>
        <v>62.834800000000001</v>
      </c>
      <c r="D949" s="14">
        <f>62.7928 * CHOOSE(CONTROL!$C$15, $E$9, 100%, $G$9) + CHOOSE(CONTROL!$C$38, 0.0342, 0)</f>
        <v>62.826999999999998</v>
      </c>
      <c r="E949" s="14">
        <f>62.7928 * CHOOSE(CONTROL!$C$15, $E$9, 100%, $G$9) + CHOOSE(CONTROL!$C$38, 0.0342, 0)</f>
        <v>62.826999999999998</v>
      </c>
      <c r="F949" s="45">
        <f>66.3772 * CHOOSE(CONTROL!$C$15, $E$9, 100%, $G$9) + CHOOSE(CONTROL!$C$38, 0.034, 0)</f>
        <v>66.411200000000008</v>
      </c>
      <c r="G949" s="14">
        <f>62.799 * CHOOSE(CONTROL!$C$15, $E$9, 100%, $G$9) + CHOOSE(CONTROL!$C$38, 0.0342, 0)</f>
        <v>62.833199999999998</v>
      </c>
      <c r="H949" s="14">
        <f>62.799 * CHOOSE(CONTROL!$C$15, $E$9, 100%, $G$9) + CHOOSE(CONTROL!$C$38, 0.0342, 0)</f>
        <v>62.833199999999998</v>
      </c>
      <c r="I949" s="14">
        <f>62.8006 * CHOOSE(CONTROL!$C$15, $E$9, 100%, $G$9) + CHOOSE(CONTROL!$C$38, 0.0342, 0)</f>
        <v>62.834800000000001</v>
      </c>
      <c r="J949" s="44">
        <f>651.7654</f>
        <v>651.7654</v>
      </c>
    </row>
    <row r="950" spans="1:10" ht="15.75" x14ac:dyDescent="0.25">
      <c r="A950" s="32">
        <v>69853</v>
      </c>
      <c r="B950" s="14">
        <f>69.8432 * CHOOSE(CONTROL!$C$15, $E$9, 100%, $G$9) + CHOOSE(CONTROL!$C$38, 0.034, 0)</f>
        <v>69.877200000000002</v>
      </c>
      <c r="C950" s="14">
        <f>66.0863 * CHOOSE(CONTROL!$C$15, $E$9, 100%, $G$9) + CHOOSE(CONTROL!$C$38, 0.0342, 0)</f>
        <v>66.120499999999993</v>
      </c>
      <c r="D950" s="14">
        <f>66.0785 * CHOOSE(CONTROL!$C$15, $E$9, 100%, $G$9) + CHOOSE(CONTROL!$C$38, 0.0342, 0)</f>
        <v>66.112700000000004</v>
      </c>
      <c r="E950" s="14">
        <f>66.0785 * CHOOSE(CONTROL!$C$15, $E$9, 100%, $G$9) + CHOOSE(CONTROL!$C$38, 0.0342, 0)</f>
        <v>66.112700000000004</v>
      </c>
      <c r="F950" s="45">
        <f>69.8432 * CHOOSE(CONTROL!$C$15, $E$9, 100%, $G$9) + CHOOSE(CONTROL!$C$38, 0.034, 0)</f>
        <v>69.877200000000002</v>
      </c>
      <c r="G950" s="14">
        <f>66.0847 * CHOOSE(CONTROL!$C$15, $E$9, 100%, $G$9) + CHOOSE(CONTROL!$C$38, 0.0342, 0)</f>
        <v>66.118899999999996</v>
      </c>
      <c r="H950" s="14">
        <f>66.0847 * CHOOSE(CONTROL!$C$15, $E$9, 100%, $G$9) + CHOOSE(CONTROL!$C$38, 0.0342, 0)</f>
        <v>66.118899999999996</v>
      </c>
      <c r="I950" s="14">
        <f>66.0863 * CHOOSE(CONTROL!$C$15, $E$9, 100%, $G$9) + CHOOSE(CONTROL!$C$38, 0.0342, 0)</f>
        <v>66.120499999999993</v>
      </c>
      <c r="J950" s="44">
        <f>686.1172</f>
        <v>686.11720000000003</v>
      </c>
    </row>
    <row r="951" spans="1:10" ht="15.75" x14ac:dyDescent="0.25">
      <c r="A951" s="32">
        <v>69883</v>
      </c>
      <c r="B951" s="14">
        <f>74.3377 * CHOOSE(CONTROL!$C$15, $E$9, 100%, $G$9) + CHOOSE(CONTROL!$C$38, 0.034, 0)</f>
        <v>74.371700000000004</v>
      </c>
      <c r="C951" s="14">
        <f>70.347 * CHOOSE(CONTROL!$C$15, $E$9, 100%, $G$9) + CHOOSE(CONTROL!$C$38, 0.0342, 0)</f>
        <v>70.381199999999993</v>
      </c>
      <c r="D951" s="14">
        <f>70.3392 * CHOOSE(CONTROL!$C$15, $E$9, 100%, $G$9) + CHOOSE(CONTROL!$C$38, 0.0342, 0)</f>
        <v>70.373400000000004</v>
      </c>
      <c r="E951" s="14">
        <f>70.3392 * CHOOSE(CONTROL!$C$15, $E$9, 100%, $G$9) + CHOOSE(CONTROL!$C$38, 0.0342, 0)</f>
        <v>70.373400000000004</v>
      </c>
      <c r="F951" s="45">
        <f>74.3377 * CHOOSE(CONTROL!$C$15, $E$9, 100%, $G$9) + CHOOSE(CONTROL!$C$38, 0.034, 0)</f>
        <v>74.371700000000004</v>
      </c>
      <c r="G951" s="14">
        <f>70.3454 * CHOOSE(CONTROL!$C$15, $E$9, 100%, $G$9) + CHOOSE(CONTROL!$C$38, 0.0342, 0)</f>
        <v>70.379599999999996</v>
      </c>
      <c r="H951" s="14">
        <f>70.3454 * CHOOSE(CONTROL!$C$15, $E$9, 100%, $G$9) + CHOOSE(CONTROL!$C$38, 0.0342, 0)</f>
        <v>70.379599999999996</v>
      </c>
      <c r="I951" s="14">
        <f>70.347 * CHOOSE(CONTROL!$C$15, $E$9, 100%, $G$9) + CHOOSE(CONTROL!$C$38, 0.0342, 0)</f>
        <v>70.381199999999993</v>
      </c>
      <c r="J951" s="44">
        <f>730.6632</f>
        <v>730.66319999999996</v>
      </c>
    </row>
    <row r="952" spans="1:10" ht="15.75" x14ac:dyDescent="0.25">
      <c r="A952" s="32">
        <v>69914</v>
      </c>
      <c r="B952" s="14">
        <f>76.8116 * CHOOSE(CONTROL!$C$15, $E$9, 100%, $G$9) + CHOOSE(CONTROL!$C$38, 0.0353, 0)</f>
        <v>76.846900000000005</v>
      </c>
      <c r="C952" s="14">
        <f>72.6922 * CHOOSE(CONTROL!$C$15, $E$9, 100%, $G$9) + CHOOSE(CONTROL!$C$38, 0.0354, 0)</f>
        <v>72.727599999999995</v>
      </c>
      <c r="D952" s="14">
        <f>72.6844 * CHOOSE(CONTROL!$C$15, $E$9, 100%, $G$9) + CHOOSE(CONTROL!$C$38, 0.0354, 0)</f>
        <v>72.719799999999992</v>
      </c>
      <c r="E952" s="14">
        <f>72.6844 * CHOOSE(CONTROL!$C$15, $E$9, 100%, $G$9) + CHOOSE(CONTROL!$C$38, 0.0354, 0)</f>
        <v>72.719799999999992</v>
      </c>
      <c r="F952" s="45">
        <f>76.8116 * CHOOSE(CONTROL!$C$15, $E$9, 100%, $G$9) + CHOOSE(CONTROL!$C$38, 0.0353, 0)</f>
        <v>76.846900000000005</v>
      </c>
      <c r="G952" s="14">
        <f>72.6907 * CHOOSE(CONTROL!$C$15, $E$9, 100%, $G$9) + CHOOSE(CONTROL!$C$38, 0.0354, 0)</f>
        <v>72.726100000000002</v>
      </c>
      <c r="H952" s="14">
        <f>72.6907 * CHOOSE(CONTROL!$C$15, $E$9, 100%, $G$9) + CHOOSE(CONTROL!$C$38, 0.0354, 0)</f>
        <v>72.726100000000002</v>
      </c>
      <c r="I952" s="14">
        <f>72.6922 * CHOOSE(CONTROL!$C$15, $E$9, 100%, $G$9) + CHOOSE(CONTROL!$C$38, 0.0354, 0)</f>
        <v>72.727599999999995</v>
      </c>
      <c r="J952" s="44">
        <f>755.1828</f>
        <v>755.18280000000004</v>
      </c>
    </row>
    <row r="953" spans="1:10" ht="15.75" x14ac:dyDescent="0.25">
      <c r="A953" s="32">
        <v>69944</v>
      </c>
      <c r="B953" s="14">
        <f>77.9095 * CHOOSE(CONTROL!$C$15, $E$9, 100%, $G$9) + CHOOSE(CONTROL!$C$38, 0.0353, 0)</f>
        <v>77.944800000000001</v>
      </c>
      <c r="C953" s="14">
        <f>73.733 * CHOOSE(CONTROL!$C$15, $E$9, 100%, $G$9) + CHOOSE(CONTROL!$C$38, 0.0354, 0)</f>
        <v>73.7684</v>
      </c>
      <c r="D953" s="14">
        <f>73.7252 * CHOOSE(CONTROL!$C$15, $E$9, 100%, $G$9) + CHOOSE(CONTROL!$C$38, 0.0354, 0)</f>
        <v>73.760599999999997</v>
      </c>
      <c r="E953" s="14">
        <f>73.7252 * CHOOSE(CONTROL!$C$15, $E$9, 100%, $G$9) + CHOOSE(CONTROL!$C$38, 0.0354, 0)</f>
        <v>73.760599999999997</v>
      </c>
      <c r="F953" s="45">
        <f>77.9095 * CHOOSE(CONTROL!$C$15, $E$9, 100%, $G$9) + CHOOSE(CONTROL!$C$38, 0.0353, 0)</f>
        <v>77.944800000000001</v>
      </c>
      <c r="G953" s="14">
        <f>73.7314 * CHOOSE(CONTROL!$C$15, $E$9, 100%, $G$9) + CHOOSE(CONTROL!$C$38, 0.0354, 0)</f>
        <v>73.766799999999989</v>
      </c>
      <c r="H953" s="14">
        <f>73.7314 * CHOOSE(CONTROL!$C$15, $E$9, 100%, $G$9) + CHOOSE(CONTROL!$C$38, 0.0354, 0)</f>
        <v>73.766799999999989</v>
      </c>
      <c r="I953" s="14">
        <f>73.733 * CHOOSE(CONTROL!$C$15, $E$9, 100%, $G$9) + CHOOSE(CONTROL!$C$38, 0.0354, 0)</f>
        <v>73.7684</v>
      </c>
      <c r="J953" s="44">
        <f>766.0642</f>
        <v>766.06420000000003</v>
      </c>
    </row>
    <row r="954" spans="1:10" ht="15.75" x14ac:dyDescent="0.25">
      <c r="A954" s="32">
        <v>69975</v>
      </c>
      <c r="B954" s="14">
        <f>77.548 * CHOOSE(CONTROL!$C$15, $E$9, 100%, $G$9) + CHOOSE(CONTROL!$C$38, 0.0353, 0)</f>
        <v>77.583300000000008</v>
      </c>
      <c r="C954" s="14">
        <f>73.3903 * CHOOSE(CONTROL!$C$15, $E$9, 100%, $G$9) + CHOOSE(CONTROL!$C$38, 0.0354, 0)</f>
        <v>73.425699999999992</v>
      </c>
      <c r="D954" s="14">
        <f>73.3825 * CHOOSE(CONTROL!$C$15, $E$9, 100%, $G$9) + CHOOSE(CONTROL!$C$38, 0.0354, 0)</f>
        <v>73.417899999999989</v>
      </c>
      <c r="E954" s="14">
        <f>73.3825 * CHOOSE(CONTROL!$C$15, $E$9, 100%, $G$9) + CHOOSE(CONTROL!$C$38, 0.0354, 0)</f>
        <v>73.417899999999989</v>
      </c>
      <c r="F954" s="45">
        <f>77.548 * CHOOSE(CONTROL!$C$15, $E$9, 100%, $G$9) + CHOOSE(CONTROL!$C$38, 0.0353, 0)</f>
        <v>77.583300000000008</v>
      </c>
      <c r="G954" s="14">
        <f>73.3888 * CHOOSE(CONTROL!$C$15, $E$9, 100%, $G$9) + CHOOSE(CONTROL!$C$38, 0.0354, 0)</f>
        <v>73.424199999999999</v>
      </c>
      <c r="H954" s="14">
        <f>73.3888 * CHOOSE(CONTROL!$C$15, $E$9, 100%, $G$9) + CHOOSE(CONTROL!$C$38, 0.0354, 0)</f>
        <v>73.424199999999999</v>
      </c>
      <c r="I954" s="14">
        <f>73.3903 * CHOOSE(CONTROL!$C$15, $E$9, 100%, $G$9) + CHOOSE(CONTROL!$C$38, 0.0354, 0)</f>
        <v>73.425699999999992</v>
      </c>
      <c r="J954" s="44">
        <f>762.4816</f>
        <v>762.48159999999996</v>
      </c>
    </row>
    <row r="955" spans="1:10" ht="15.75" x14ac:dyDescent="0.25">
      <c r="A955" s="32">
        <v>70006</v>
      </c>
      <c r="B955" s="14">
        <f>75.7571 * CHOOSE(CONTROL!$C$15, $E$9, 100%, $G$9) + CHOOSE(CONTROL!$C$38, 0.0353, 0)</f>
        <v>75.792400000000001</v>
      </c>
      <c r="C955" s="14">
        <f>71.6926 * CHOOSE(CONTROL!$C$15, $E$9, 100%, $G$9) + CHOOSE(CONTROL!$C$38, 0.0354, 0)</f>
        <v>71.727999999999994</v>
      </c>
      <c r="D955" s="14">
        <f>71.6847 * CHOOSE(CONTROL!$C$15, $E$9, 100%, $G$9) + CHOOSE(CONTROL!$C$38, 0.0354, 0)</f>
        <v>71.720100000000002</v>
      </c>
      <c r="E955" s="14">
        <f>71.6847 * CHOOSE(CONTROL!$C$15, $E$9, 100%, $G$9) + CHOOSE(CONTROL!$C$38, 0.0354, 0)</f>
        <v>71.720100000000002</v>
      </c>
      <c r="F955" s="45">
        <f>75.7571 * CHOOSE(CONTROL!$C$15, $E$9, 100%, $G$9) + CHOOSE(CONTROL!$C$38, 0.0353, 0)</f>
        <v>75.792400000000001</v>
      </c>
      <c r="G955" s="14">
        <f>71.691 * CHOOSE(CONTROL!$C$15, $E$9, 100%, $G$9) + CHOOSE(CONTROL!$C$38, 0.0354, 0)</f>
        <v>71.726399999999998</v>
      </c>
      <c r="H955" s="14">
        <f>71.691 * CHOOSE(CONTROL!$C$15, $E$9, 100%, $G$9) + CHOOSE(CONTROL!$C$38, 0.0354, 0)</f>
        <v>71.726399999999998</v>
      </c>
      <c r="I955" s="14">
        <f>71.6926 * CHOOSE(CONTROL!$C$15, $E$9, 100%, $G$9) + CHOOSE(CONTROL!$C$38, 0.0354, 0)</f>
        <v>71.727999999999994</v>
      </c>
      <c r="J955" s="44">
        <f>744.7313</f>
        <v>744.73130000000003</v>
      </c>
    </row>
    <row r="956" spans="1:10" ht="15.75" x14ac:dyDescent="0.25">
      <c r="A956" s="32">
        <v>70036</v>
      </c>
      <c r="B956" s="14">
        <f>73.2595 * CHOOSE(CONTROL!$C$15, $E$9, 100%, $G$9) + CHOOSE(CONTROL!$C$38, 0.0353, 0)</f>
        <v>73.294800000000009</v>
      </c>
      <c r="C956" s="14">
        <f>69.3249 * CHOOSE(CONTROL!$C$15, $E$9, 100%, $G$9) + CHOOSE(CONTROL!$C$38, 0.0354, 0)</f>
        <v>69.360299999999995</v>
      </c>
      <c r="D956" s="14">
        <f>69.3171 * CHOOSE(CONTROL!$C$15, $E$9, 100%, $G$9) + CHOOSE(CONTROL!$C$38, 0.0354, 0)</f>
        <v>69.352499999999992</v>
      </c>
      <c r="E956" s="14">
        <f>69.3171 * CHOOSE(CONTROL!$C$15, $E$9, 100%, $G$9) + CHOOSE(CONTROL!$C$38, 0.0354, 0)</f>
        <v>69.352499999999992</v>
      </c>
      <c r="F956" s="45">
        <f>73.2595 * CHOOSE(CONTROL!$C$15, $E$9, 100%, $G$9) + CHOOSE(CONTROL!$C$38, 0.0353, 0)</f>
        <v>73.294800000000009</v>
      </c>
      <c r="G956" s="14">
        <f>69.3234 * CHOOSE(CONTROL!$C$15, $E$9, 100%, $G$9) + CHOOSE(CONTROL!$C$38, 0.0354, 0)</f>
        <v>69.358800000000002</v>
      </c>
      <c r="H956" s="14">
        <f>69.3234 * CHOOSE(CONTROL!$C$15, $E$9, 100%, $G$9) + CHOOSE(CONTROL!$C$38, 0.0354, 0)</f>
        <v>69.358800000000002</v>
      </c>
      <c r="I956" s="14">
        <f>69.3249 * CHOOSE(CONTROL!$C$15, $E$9, 100%, $G$9) + CHOOSE(CONTROL!$C$38, 0.0354, 0)</f>
        <v>69.360299999999995</v>
      </c>
      <c r="J956" s="44">
        <f>719.9777</f>
        <v>719.97770000000003</v>
      </c>
    </row>
    <row r="957" spans="1:10" ht="15.75" x14ac:dyDescent="0.25">
      <c r="A957" s="32">
        <v>70067</v>
      </c>
      <c r="B957" s="14">
        <f>70.7475 * CHOOSE(CONTROL!$C$15, $E$9, 100%, $G$9) + CHOOSE(CONTROL!$C$38, 0.034, 0)</f>
        <v>70.781500000000008</v>
      </c>
      <c r="C957" s="14">
        <f>66.9436 * CHOOSE(CONTROL!$C$15, $E$9, 100%, $G$9) + CHOOSE(CONTROL!$C$38, 0.0342, 0)</f>
        <v>66.977800000000002</v>
      </c>
      <c r="D957" s="14">
        <f>66.9357 * CHOOSE(CONTROL!$C$15, $E$9, 100%, $G$9) + CHOOSE(CONTROL!$C$38, 0.0342, 0)</f>
        <v>66.969899999999996</v>
      </c>
      <c r="E957" s="14">
        <f>66.9357 * CHOOSE(CONTROL!$C$15, $E$9, 100%, $G$9) + CHOOSE(CONTROL!$C$38, 0.0342, 0)</f>
        <v>66.969899999999996</v>
      </c>
      <c r="F957" s="45">
        <f>70.7475 * CHOOSE(CONTROL!$C$15, $E$9, 100%, $G$9) + CHOOSE(CONTROL!$C$38, 0.034, 0)</f>
        <v>70.781500000000008</v>
      </c>
      <c r="G957" s="14">
        <f>66.942 * CHOOSE(CONTROL!$C$15, $E$9, 100%, $G$9) + CHOOSE(CONTROL!$C$38, 0.0342, 0)</f>
        <v>66.976199999999992</v>
      </c>
      <c r="H957" s="14">
        <f>66.942 * CHOOSE(CONTROL!$C$15, $E$9, 100%, $G$9) + CHOOSE(CONTROL!$C$38, 0.0342, 0)</f>
        <v>66.976199999999992</v>
      </c>
      <c r="I957" s="14">
        <f>66.9436 * CHOOSE(CONTROL!$C$15, $E$9, 100%, $G$9) + CHOOSE(CONTROL!$C$38, 0.0342, 0)</f>
        <v>66.977800000000002</v>
      </c>
      <c r="J957" s="44">
        <f>695.0802</f>
        <v>695.08019999999999</v>
      </c>
    </row>
    <row r="958" spans="1:10" ht="15.75" x14ac:dyDescent="0.25">
      <c r="A958" s="32">
        <v>70097</v>
      </c>
      <c r="B958" s="14">
        <f>70.2478 * CHOOSE(CONTROL!$C$15, $E$9, 100%, $G$9) + CHOOSE(CONTROL!$C$38, 0.034, 0)</f>
        <v>70.281800000000004</v>
      </c>
      <c r="C958" s="14">
        <f>66.4698 * CHOOSE(CONTROL!$C$15, $E$9, 100%, $G$9) + CHOOSE(CONTROL!$C$38, 0.0342, 0)</f>
        <v>66.504000000000005</v>
      </c>
      <c r="D958" s="14">
        <f>66.462 * CHOOSE(CONTROL!$C$15, $E$9, 100%, $G$9) + CHOOSE(CONTROL!$C$38, 0.0342, 0)</f>
        <v>66.496200000000002</v>
      </c>
      <c r="E958" s="14">
        <f>66.462 * CHOOSE(CONTROL!$C$15, $E$9, 100%, $G$9) + CHOOSE(CONTROL!$C$38, 0.0342, 0)</f>
        <v>66.496200000000002</v>
      </c>
      <c r="F958" s="45">
        <f>70.2478 * CHOOSE(CONTROL!$C$15, $E$9, 100%, $G$9) + CHOOSE(CONTROL!$C$38, 0.034, 0)</f>
        <v>70.281800000000004</v>
      </c>
      <c r="G958" s="14">
        <f>66.4683 * CHOOSE(CONTROL!$C$15, $E$9, 100%, $G$9) + CHOOSE(CONTROL!$C$38, 0.0342, 0)</f>
        <v>66.502499999999998</v>
      </c>
      <c r="H958" s="14">
        <f>66.4683 * CHOOSE(CONTROL!$C$15, $E$9, 100%, $G$9) + CHOOSE(CONTROL!$C$38, 0.0342, 0)</f>
        <v>66.502499999999998</v>
      </c>
      <c r="I958" s="14">
        <f>66.4698 * CHOOSE(CONTROL!$C$15, $E$9, 100%, $G$9) + CHOOSE(CONTROL!$C$38, 0.0342, 0)</f>
        <v>66.504000000000005</v>
      </c>
      <c r="J958" s="44">
        <f>690.1275</f>
        <v>690.12750000000005</v>
      </c>
    </row>
    <row r="959" spans="1:10" ht="15.75" x14ac:dyDescent="0.25">
      <c r="A959" s="32">
        <v>70128</v>
      </c>
      <c r="B959" s="14">
        <f>68.1815 * CHOOSE(CONTROL!$C$15, $E$9, 100%, $G$9) + CHOOSE(CONTROL!$C$38, 0.034, 0)</f>
        <v>68.215500000000006</v>
      </c>
      <c r="C959" s="14">
        <f>64.511 * CHOOSE(CONTROL!$C$15, $E$9, 100%, $G$9) + CHOOSE(CONTROL!$C$38, 0.0342, 0)</f>
        <v>64.545199999999994</v>
      </c>
      <c r="D959" s="14">
        <f>64.5032 * CHOOSE(CONTROL!$C$15, $E$9, 100%, $G$9) + CHOOSE(CONTROL!$C$38, 0.0342, 0)</f>
        <v>64.537400000000005</v>
      </c>
      <c r="E959" s="14">
        <f>64.5032 * CHOOSE(CONTROL!$C$15, $E$9, 100%, $G$9) + CHOOSE(CONTROL!$C$38, 0.0342, 0)</f>
        <v>64.537400000000005</v>
      </c>
      <c r="F959" s="45">
        <f>68.1815 * CHOOSE(CONTROL!$C$15, $E$9, 100%, $G$9) + CHOOSE(CONTROL!$C$38, 0.034, 0)</f>
        <v>68.215500000000006</v>
      </c>
      <c r="G959" s="14">
        <f>64.5095 * CHOOSE(CONTROL!$C$15, $E$9, 100%, $G$9) + CHOOSE(CONTROL!$C$38, 0.0342, 0)</f>
        <v>64.543700000000001</v>
      </c>
      <c r="H959" s="14">
        <f>64.5095 * CHOOSE(CONTROL!$C$15, $E$9, 100%, $G$9) + CHOOSE(CONTROL!$C$38, 0.0342, 0)</f>
        <v>64.543700000000001</v>
      </c>
      <c r="I959" s="14">
        <f>64.511 * CHOOSE(CONTROL!$C$15, $E$9, 100%, $G$9) + CHOOSE(CONTROL!$C$38, 0.0342, 0)</f>
        <v>64.545199999999994</v>
      </c>
      <c r="J959" s="44">
        <f>669.6479</f>
        <v>669.64790000000005</v>
      </c>
    </row>
    <row r="960" spans="1:10" ht="15.75" x14ac:dyDescent="0.25">
      <c r="A960" s="32">
        <v>70159</v>
      </c>
      <c r="B960" s="14">
        <f>67.6684 * CHOOSE(CONTROL!$C$15, $E$9, 100%, $G$9) + CHOOSE(CONTROL!$C$38, 0.034, 0)</f>
        <v>67.702400000000011</v>
      </c>
      <c r="C960" s="14">
        <f>64.0246 * CHOOSE(CONTROL!$C$15, $E$9, 100%, $G$9) + CHOOSE(CONTROL!$C$38, 0.0342, 0)</f>
        <v>64.058800000000005</v>
      </c>
      <c r="D960" s="14">
        <f>64.0168 * CHOOSE(CONTROL!$C$15, $E$9, 100%, $G$9) + CHOOSE(CONTROL!$C$38, 0.0342, 0)</f>
        <v>64.051000000000002</v>
      </c>
      <c r="E960" s="14">
        <f>64.0168 * CHOOSE(CONTROL!$C$15, $E$9, 100%, $G$9) + CHOOSE(CONTROL!$C$38, 0.0342, 0)</f>
        <v>64.051000000000002</v>
      </c>
      <c r="F960" s="45">
        <f>67.6684 * CHOOSE(CONTROL!$C$15, $E$9, 100%, $G$9) + CHOOSE(CONTROL!$C$38, 0.034, 0)</f>
        <v>67.702400000000011</v>
      </c>
      <c r="G960" s="14">
        <f>64.023 * CHOOSE(CONTROL!$C$15, $E$9, 100%, $G$9) + CHOOSE(CONTROL!$C$38, 0.0342, 0)</f>
        <v>64.057199999999995</v>
      </c>
      <c r="H960" s="14">
        <f>64.023 * CHOOSE(CONTROL!$C$15, $E$9, 100%, $G$9) + CHOOSE(CONTROL!$C$38, 0.0342, 0)</f>
        <v>64.057199999999995</v>
      </c>
      <c r="I960" s="14">
        <f>64.0246 * CHOOSE(CONTROL!$C$15, $E$9, 100%, $G$9) + CHOOSE(CONTROL!$C$38, 0.0342, 0)</f>
        <v>64.058800000000005</v>
      </c>
      <c r="J960" s="44">
        <f>669.1645</f>
        <v>669.16449999999998</v>
      </c>
    </row>
    <row r="961" spans="1:10" ht="15.75" x14ac:dyDescent="0.25">
      <c r="A961" s="32">
        <v>70188</v>
      </c>
      <c r="B961" s="14">
        <f>67.482 * CHOOSE(CONTROL!$C$15, $E$9, 100%, $G$9) + CHOOSE(CONTROL!$C$38, 0.034, 0)</f>
        <v>67.516000000000005</v>
      </c>
      <c r="C961" s="14">
        <f>63.8479 * CHOOSE(CONTROL!$C$15, $E$9, 100%, $G$9) + CHOOSE(CONTROL!$C$38, 0.0342, 0)</f>
        <v>63.882100000000001</v>
      </c>
      <c r="D961" s="14">
        <f>63.8401 * CHOOSE(CONTROL!$C$15, $E$9, 100%, $G$9) + CHOOSE(CONTROL!$C$38, 0.0342, 0)</f>
        <v>63.874299999999998</v>
      </c>
      <c r="E961" s="14">
        <f>63.8401 * CHOOSE(CONTROL!$C$15, $E$9, 100%, $G$9) + CHOOSE(CONTROL!$C$38, 0.0342, 0)</f>
        <v>63.874299999999998</v>
      </c>
      <c r="F961" s="45">
        <f>67.482 * CHOOSE(CONTROL!$C$15, $E$9, 100%, $G$9) + CHOOSE(CONTROL!$C$38, 0.034, 0)</f>
        <v>67.516000000000005</v>
      </c>
      <c r="G961" s="14">
        <f>63.8463 * CHOOSE(CONTROL!$C$15, $E$9, 100%, $G$9) + CHOOSE(CONTROL!$C$38, 0.0342, 0)</f>
        <v>63.880499999999998</v>
      </c>
      <c r="H961" s="14">
        <f>63.8463 * CHOOSE(CONTROL!$C$15, $E$9, 100%, $G$9) + CHOOSE(CONTROL!$C$38, 0.0342, 0)</f>
        <v>63.880499999999998</v>
      </c>
      <c r="I961" s="14">
        <f>63.8479 * CHOOSE(CONTROL!$C$15, $E$9, 100%, $G$9) + CHOOSE(CONTROL!$C$38, 0.0342, 0)</f>
        <v>63.882100000000001</v>
      </c>
      <c r="J961" s="44">
        <f>667.3044</f>
        <v>667.30439999999999</v>
      </c>
    </row>
    <row r="962" spans="1:10" ht="15.75" x14ac:dyDescent="0.25">
      <c r="A962" s="32">
        <v>70219</v>
      </c>
      <c r="B962" s="14">
        <f>71.0062 * CHOOSE(CONTROL!$C$15, $E$9, 100%, $G$9) + CHOOSE(CONTROL!$C$38, 0.034, 0)</f>
        <v>71.040200000000013</v>
      </c>
      <c r="C962" s="14">
        <f>67.1888 * CHOOSE(CONTROL!$C$15, $E$9, 100%, $G$9) + CHOOSE(CONTROL!$C$38, 0.0342, 0)</f>
        <v>67.222999999999999</v>
      </c>
      <c r="D962" s="14">
        <f>67.1809 * CHOOSE(CONTROL!$C$15, $E$9, 100%, $G$9) + CHOOSE(CONTROL!$C$38, 0.0342, 0)</f>
        <v>67.215099999999993</v>
      </c>
      <c r="E962" s="14">
        <f>67.1809 * CHOOSE(CONTROL!$C$15, $E$9, 100%, $G$9) + CHOOSE(CONTROL!$C$38, 0.0342, 0)</f>
        <v>67.215099999999993</v>
      </c>
      <c r="F962" s="45">
        <f>71.0062 * CHOOSE(CONTROL!$C$15, $E$9, 100%, $G$9) + CHOOSE(CONTROL!$C$38, 0.034, 0)</f>
        <v>71.040200000000013</v>
      </c>
      <c r="G962" s="14">
        <f>67.1872 * CHOOSE(CONTROL!$C$15, $E$9, 100%, $G$9) + CHOOSE(CONTROL!$C$38, 0.0342, 0)</f>
        <v>67.221400000000003</v>
      </c>
      <c r="H962" s="14">
        <f>67.1872 * CHOOSE(CONTROL!$C$15, $E$9, 100%, $G$9) + CHOOSE(CONTROL!$C$38, 0.0342, 0)</f>
        <v>67.221400000000003</v>
      </c>
      <c r="I962" s="14">
        <f>67.1888 * CHOOSE(CONTROL!$C$15, $E$9, 100%, $G$9) + CHOOSE(CONTROL!$C$38, 0.0342, 0)</f>
        <v>67.222999999999999</v>
      </c>
      <c r="J962" s="44">
        <f>702.4752</f>
        <v>702.47519999999997</v>
      </c>
    </row>
    <row r="963" spans="1:10" ht="15.75" x14ac:dyDescent="0.25">
      <c r="A963" s="32">
        <v>70249</v>
      </c>
      <c r="B963" s="14">
        <f>75.5761 * CHOOSE(CONTROL!$C$15, $E$9, 100%, $G$9) + CHOOSE(CONTROL!$C$38, 0.034, 0)</f>
        <v>75.610100000000003</v>
      </c>
      <c r="C963" s="14">
        <f>71.521 * CHOOSE(CONTROL!$C$15, $E$9, 100%, $G$9) + CHOOSE(CONTROL!$C$38, 0.0342, 0)</f>
        <v>71.555199999999999</v>
      </c>
      <c r="D963" s="14">
        <f>71.5132 * CHOOSE(CONTROL!$C$15, $E$9, 100%, $G$9) + CHOOSE(CONTROL!$C$38, 0.0342, 0)</f>
        <v>71.547399999999996</v>
      </c>
      <c r="E963" s="14">
        <f>71.5132 * CHOOSE(CONTROL!$C$15, $E$9, 100%, $G$9) + CHOOSE(CONTROL!$C$38, 0.0342, 0)</f>
        <v>71.547399999999996</v>
      </c>
      <c r="F963" s="45">
        <f>75.5761 * CHOOSE(CONTROL!$C$15, $E$9, 100%, $G$9) + CHOOSE(CONTROL!$C$38, 0.034, 0)</f>
        <v>75.610100000000003</v>
      </c>
      <c r="G963" s="14">
        <f>71.5195 * CHOOSE(CONTROL!$C$15, $E$9, 100%, $G$9) + CHOOSE(CONTROL!$C$38, 0.0342, 0)</f>
        <v>71.553699999999992</v>
      </c>
      <c r="H963" s="14">
        <f>71.5195 * CHOOSE(CONTROL!$C$15, $E$9, 100%, $G$9) + CHOOSE(CONTROL!$C$38, 0.0342, 0)</f>
        <v>71.553699999999992</v>
      </c>
      <c r="I963" s="14">
        <f>71.521 * CHOOSE(CONTROL!$C$15, $E$9, 100%, $G$9) + CHOOSE(CONTROL!$C$38, 0.0342, 0)</f>
        <v>71.555199999999999</v>
      </c>
      <c r="J963" s="44">
        <f>748.0833</f>
        <v>748.08330000000001</v>
      </c>
    </row>
    <row r="964" spans="1:10" ht="15.75" x14ac:dyDescent="0.25">
      <c r="A964" s="32">
        <v>70280</v>
      </c>
      <c r="B964" s="14">
        <f>78.0916 * CHOOSE(CONTROL!$C$15, $E$9, 100%, $G$9) + CHOOSE(CONTROL!$C$38, 0.0353, 0)</f>
        <v>78.126900000000006</v>
      </c>
      <c r="C964" s="14">
        <f>73.9057 * CHOOSE(CONTROL!$C$15, $E$9, 100%, $G$9) + CHOOSE(CONTROL!$C$38, 0.0354, 0)</f>
        <v>73.941099999999992</v>
      </c>
      <c r="D964" s="14">
        <f>73.8979 * CHOOSE(CONTROL!$C$15, $E$9, 100%, $G$9) + CHOOSE(CONTROL!$C$38, 0.0354, 0)</f>
        <v>73.933300000000003</v>
      </c>
      <c r="E964" s="14">
        <f>73.8979 * CHOOSE(CONTROL!$C$15, $E$9, 100%, $G$9) + CHOOSE(CONTROL!$C$38, 0.0354, 0)</f>
        <v>73.933300000000003</v>
      </c>
      <c r="F964" s="45">
        <f>78.0916 * CHOOSE(CONTROL!$C$15, $E$9, 100%, $G$9) + CHOOSE(CONTROL!$C$38, 0.0353, 0)</f>
        <v>78.126900000000006</v>
      </c>
      <c r="G964" s="14">
        <f>73.9041 * CHOOSE(CONTROL!$C$15, $E$9, 100%, $G$9) + CHOOSE(CONTROL!$C$38, 0.0354, 0)</f>
        <v>73.939499999999995</v>
      </c>
      <c r="H964" s="14">
        <f>73.9041 * CHOOSE(CONTROL!$C$15, $E$9, 100%, $G$9) + CHOOSE(CONTROL!$C$38, 0.0354, 0)</f>
        <v>73.939499999999995</v>
      </c>
      <c r="I964" s="14">
        <f>73.9057 * CHOOSE(CONTROL!$C$15, $E$9, 100%, $G$9) + CHOOSE(CONTROL!$C$38, 0.0354, 0)</f>
        <v>73.941099999999992</v>
      </c>
      <c r="J964" s="44">
        <f>773.1875</f>
        <v>773.1875</v>
      </c>
    </row>
    <row r="965" spans="1:10" ht="15.75" x14ac:dyDescent="0.25">
      <c r="A965" s="32">
        <v>70310</v>
      </c>
      <c r="B965" s="14">
        <f>79.2079 * CHOOSE(CONTROL!$C$15, $E$9, 100%, $G$9) + CHOOSE(CONTROL!$C$38, 0.0353, 0)</f>
        <v>79.243200000000002</v>
      </c>
      <c r="C965" s="14">
        <f>74.9639 * CHOOSE(CONTROL!$C$15, $E$9, 100%, $G$9) + CHOOSE(CONTROL!$C$38, 0.0354, 0)</f>
        <v>74.999299999999991</v>
      </c>
      <c r="D965" s="14">
        <f>74.9561 * CHOOSE(CONTROL!$C$15, $E$9, 100%, $G$9) + CHOOSE(CONTROL!$C$38, 0.0354, 0)</f>
        <v>74.991500000000002</v>
      </c>
      <c r="E965" s="14">
        <f>74.9561 * CHOOSE(CONTROL!$C$15, $E$9, 100%, $G$9) + CHOOSE(CONTROL!$C$38, 0.0354, 0)</f>
        <v>74.991500000000002</v>
      </c>
      <c r="F965" s="45">
        <f>79.2079 * CHOOSE(CONTROL!$C$15, $E$9, 100%, $G$9) + CHOOSE(CONTROL!$C$38, 0.0353, 0)</f>
        <v>79.243200000000002</v>
      </c>
      <c r="G965" s="14">
        <f>74.9624 * CHOOSE(CONTROL!$C$15, $E$9, 100%, $G$9) + CHOOSE(CONTROL!$C$38, 0.0354, 0)</f>
        <v>74.997799999999998</v>
      </c>
      <c r="H965" s="14">
        <f>74.9624 * CHOOSE(CONTROL!$C$15, $E$9, 100%, $G$9) + CHOOSE(CONTROL!$C$38, 0.0354, 0)</f>
        <v>74.997799999999998</v>
      </c>
      <c r="I965" s="14">
        <f>74.9639 * CHOOSE(CONTROL!$C$15, $E$9, 100%, $G$9) + CHOOSE(CONTROL!$C$38, 0.0354, 0)</f>
        <v>74.999299999999991</v>
      </c>
      <c r="J965" s="44">
        <f>784.3283</f>
        <v>784.32830000000001</v>
      </c>
    </row>
    <row r="966" spans="1:10" ht="15.75" x14ac:dyDescent="0.25">
      <c r="A966" s="32">
        <v>70341</v>
      </c>
      <c r="B966" s="14">
        <f>78.8404 * CHOOSE(CONTROL!$C$15, $E$9, 100%, $G$9) + CHOOSE(CONTROL!$C$38, 0.0353, 0)</f>
        <v>78.875700000000009</v>
      </c>
      <c r="C966" s="14">
        <f>74.6155 * CHOOSE(CONTROL!$C$15, $E$9, 100%, $G$9) + CHOOSE(CONTROL!$C$38, 0.0354, 0)</f>
        <v>74.650899999999993</v>
      </c>
      <c r="D966" s="14">
        <f>74.6077 * CHOOSE(CONTROL!$C$15, $E$9, 100%, $G$9) + CHOOSE(CONTROL!$C$38, 0.0354, 0)</f>
        <v>74.64309999999999</v>
      </c>
      <c r="E966" s="14">
        <f>74.6077 * CHOOSE(CONTROL!$C$15, $E$9, 100%, $G$9) + CHOOSE(CONTROL!$C$38, 0.0354, 0)</f>
        <v>74.64309999999999</v>
      </c>
      <c r="F966" s="45">
        <f>78.8404 * CHOOSE(CONTROL!$C$15, $E$9, 100%, $G$9) + CHOOSE(CONTROL!$C$38, 0.0353, 0)</f>
        <v>78.875700000000009</v>
      </c>
      <c r="G966" s="14">
        <f>74.614 * CHOOSE(CONTROL!$C$15, $E$9, 100%, $G$9) + CHOOSE(CONTROL!$C$38, 0.0354, 0)</f>
        <v>74.6494</v>
      </c>
      <c r="H966" s="14">
        <f>74.614 * CHOOSE(CONTROL!$C$15, $E$9, 100%, $G$9) + CHOOSE(CONTROL!$C$38, 0.0354, 0)</f>
        <v>74.6494</v>
      </c>
      <c r="I966" s="14">
        <f>74.6155 * CHOOSE(CONTROL!$C$15, $E$9, 100%, $G$9) + CHOOSE(CONTROL!$C$38, 0.0354, 0)</f>
        <v>74.650899999999993</v>
      </c>
      <c r="J966" s="44">
        <f>780.6603</f>
        <v>780.66030000000001</v>
      </c>
    </row>
    <row r="967" spans="1:10" ht="15.75" x14ac:dyDescent="0.25">
      <c r="A967" s="32">
        <v>70372</v>
      </c>
      <c r="B967" s="14">
        <f>77.0194 * CHOOSE(CONTROL!$C$15, $E$9, 100%, $G$9) + CHOOSE(CONTROL!$C$38, 0.0353, 0)</f>
        <v>77.054700000000011</v>
      </c>
      <c r="C967" s="14">
        <f>72.8892 * CHOOSE(CONTROL!$C$15, $E$9, 100%, $G$9) + CHOOSE(CONTROL!$C$38, 0.0354, 0)</f>
        <v>72.924599999999998</v>
      </c>
      <c r="D967" s="14">
        <f>72.8814 * CHOOSE(CONTROL!$C$15, $E$9, 100%, $G$9) + CHOOSE(CONTROL!$C$38, 0.0354, 0)</f>
        <v>72.916799999999995</v>
      </c>
      <c r="E967" s="14">
        <f>72.8814 * CHOOSE(CONTROL!$C$15, $E$9, 100%, $G$9) + CHOOSE(CONTROL!$C$38, 0.0354, 0)</f>
        <v>72.916799999999995</v>
      </c>
      <c r="F967" s="45">
        <f>77.0194 * CHOOSE(CONTROL!$C$15, $E$9, 100%, $G$9) + CHOOSE(CONTROL!$C$38, 0.0353, 0)</f>
        <v>77.054700000000011</v>
      </c>
      <c r="G967" s="14">
        <f>72.8877 * CHOOSE(CONTROL!$C$15, $E$9, 100%, $G$9) + CHOOSE(CONTROL!$C$38, 0.0354, 0)</f>
        <v>72.923099999999991</v>
      </c>
      <c r="H967" s="14">
        <f>72.8877 * CHOOSE(CONTROL!$C$15, $E$9, 100%, $G$9) + CHOOSE(CONTROL!$C$38, 0.0354, 0)</f>
        <v>72.923099999999991</v>
      </c>
      <c r="I967" s="14">
        <f>72.8892 * CHOOSE(CONTROL!$C$15, $E$9, 100%, $G$9) + CHOOSE(CONTROL!$C$38, 0.0354, 0)</f>
        <v>72.924599999999998</v>
      </c>
      <c r="J967" s="44">
        <f>762.4868</f>
        <v>762.48680000000002</v>
      </c>
    </row>
    <row r="968" spans="1:10" ht="15.75" x14ac:dyDescent="0.25">
      <c r="A968" s="32">
        <v>70402</v>
      </c>
      <c r="B968" s="14">
        <f>74.4799 * CHOOSE(CONTROL!$C$15, $E$9, 100%, $G$9) + CHOOSE(CONTROL!$C$38, 0.0353, 0)</f>
        <v>74.515200000000007</v>
      </c>
      <c r="C968" s="14">
        <f>70.4818 * CHOOSE(CONTROL!$C$15, $E$9, 100%, $G$9) + CHOOSE(CONTROL!$C$38, 0.0354, 0)</f>
        <v>70.517200000000003</v>
      </c>
      <c r="D968" s="14">
        <f>70.474 * CHOOSE(CONTROL!$C$15, $E$9, 100%, $G$9) + CHOOSE(CONTROL!$C$38, 0.0354, 0)</f>
        <v>70.509399999999999</v>
      </c>
      <c r="E968" s="14">
        <f>70.474 * CHOOSE(CONTROL!$C$15, $E$9, 100%, $G$9) + CHOOSE(CONTROL!$C$38, 0.0354, 0)</f>
        <v>70.509399999999999</v>
      </c>
      <c r="F968" s="45">
        <f>74.4799 * CHOOSE(CONTROL!$C$15, $E$9, 100%, $G$9) + CHOOSE(CONTROL!$C$38, 0.0353, 0)</f>
        <v>74.515200000000007</v>
      </c>
      <c r="G968" s="14">
        <f>70.4803 * CHOOSE(CONTROL!$C$15, $E$9, 100%, $G$9) + CHOOSE(CONTROL!$C$38, 0.0354, 0)</f>
        <v>70.515699999999995</v>
      </c>
      <c r="H968" s="14">
        <f>70.4803 * CHOOSE(CONTROL!$C$15, $E$9, 100%, $G$9) + CHOOSE(CONTROL!$C$38, 0.0354, 0)</f>
        <v>70.515699999999995</v>
      </c>
      <c r="I968" s="14">
        <f>70.4818 * CHOOSE(CONTROL!$C$15, $E$9, 100%, $G$9) + CHOOSE(CONTROL!$C$38, 0.0354, 0)</f>
        <v>70.517200000000003</v>
      </c>
      <c r="J968" s="44">
        <f>737.1431</f>
        <v>737.1431</v>
      </c>
    </row>
    <row r="969" spans="1:10" ht="15.75" x14ac:dyDescent="0.25">
      <c r="A969" s="32">
        <v>70433</v>
      </c>
      <c r="B969" s="14">
        <f>71.9257 * CHOOSE(CONTROL!$C$15, $E$9, 100%, $G$9) + CHOOSE(CONTROL!$C$38, 0.034, 0)</f>
        <v>71.959700000000012</v>
      </c>
      <c r="C969" s="14">
        <f>68.0604 * CHOOSE(CONTROL!$C$15, $E$9, 100%, $G$9) + CHOOSE(CONTROL!$C$38, 0.0342, 0)</f>
        <v>68.0946</v>
      </c>
      <c r="D969" s="14">
        <f>68.0526 * CHOOSE(CONTROL!$C$15, $E$9, 100%, $G$9) + CHOOSE(CONTROL!$C$38, 0.0342, 0)</f>
        <v>68.086799999999997</v>
      </c>
      <c r="E969" s="14">
        <f>68.0526 * CHOOSE(CONTROL!$C$15, $E$9, 100%, $G$9) + CHOOSE(CONTROL!$C$38, 0.0342, 0)</f>
        <v>68.086799999999997</v>
      </c>
      <c r="F969" s="45">
        <f>71.9257 * CHOOSE(CONTROL!$C$15, $E$9, 100%, $G$9) + CHOOSE(CONTROL!$C$38, 0.034, 0)</f>
        <v>71.959700000000012</v>
      </c>
      <c r="G969" s="14">
        <f>68.0589 * CHOOSE(CONTROL!$C$15, $E$9, 100%, $G$9) + CHOOSE(CONTROL!$C$38, 0.0342, 0)</f>
        <v>68.093099999999993</v>
      </c>
      <c r="H969" s="14">
        <f>68.0589 * CHOOSE(CONTROL!$C$15, $E$9, 100%, $G$9) + CHOOSE(CONTROL!$C$38, 0.0342, 0)</f>
        <v>68.093099999999993</v>
      </c>
      <c r="I969" s="14">
        <f>68.0604 * CHOOSE(CONTROL!$C$15, $E$9, 100%, $G$9) + CHOOSE(CONTROL!$C$38, 0.0342, 0)</f>
        <v>68.0946</v>
      </c>
      <c r="J969" s="44">
        <f>711.6519</f>
        <v>711.65189999999996</v>
      </c>
    </row>
    <row r="970" spans="1:10" ht="15.75" x14ac:dyDescent="0.25">
      <c r="A970" s="32">
        <v>70463</v>
      </c>
      <c r="B970" s="14">
        <f>71.4176 * CHOOSE(CONTROL!$C$15, $E$9, 100%, $G$9) + CHOOSE(CONTROL!$C$38, 0.034, 0)</f>
        <v>71.451599999999999</v>
      </c>
      <c r="C970" s="14">
        <f>67.5788 * CHOOSE(CONTROL!$C$15, $E$9, 100%, $G$9) + CHOOSE(CONTROL!$C$38, 0.0342, 0)</f>
        <v>67.613</v>
      </c>
      <c r="D970" s="14">
        <f>67.571 * CHOOSE(CONTROL!$C$15, $E$9, 100%, $G$9) + CHOOSE(CONTROL!$C$38, 0.0342, 0)</f>
        <v>67.605199999999996</v>
      </c>
      <c r="E970" s="14">
        <f>67.571 * CHOOSE(CONTROL!$C$15, $E$9, 100%, $G$9) + CHOOSE(CONTROL!$C$38, 0.0342, 0)</f>
        <v>67.605199999999996</v>
      </c>
      <c r="F970" s="45">
        <f>71.4176 * CHOOSE(CONTROL!$C$15, $E$9, 100%, $G$9) + CHOOSE(CONTROL!$C$38, 0.034, 0)</f>
        <v>71.451599999999999</v>
      </c>
      <c r="G970" s="14">
        <f>67.5772 * CHOOSE(CONTROL!$C$15, $E$9, 100%, $G$9) + CHOOSE(CONTROL!$C$38, 0.0342, 0)</f>
        <v>67.611400000000003</v>
      </c>
      <c r="H970" s="14">
        <f>67.5772 * CHOOSE(CONTROL!$C$15, $E$9, 100%, $G$9) + CHOOSE(CONTROL!$C$38, 0.0342, 0)</f>
        <v>67.611400000000003</v>
      </c>
      <c r="I970" s="14">
        <f>67.5788 * CHOOSE(CONTROL!$C$15, $E$9, 100%, $G$9) + CHOOSE(CONTROL!$C$38, 0.0342, 0)</f>
        <v>67.613</v>
      </c>
      <c r="J970" s="44">
        <f>706.5812</f>
        <v>706.58119999999997</v>
      </c>
    </row>
    <row r="971" spans="1:10" ht="15.75" x14ac:dyDescent="0.25">
      <c r="A971" s="32">
        <v>70494</v>
      </c>
      <c r="B971" s="14">
        <f>69.3166 * CHOOSE(CONTROL!$C$15, $E$9, 100%, $G$9) + CHOOSE(CONTROL!$C$38, 0.034, 0)</f>
        <v>69.3506</v>
      </c>
      <c r="C971" s="14">
        <f>65.5871 * CHOOSE(CONTROL!$C$15, $E$9, 100%, $G$9) + CHOOSE(CONTROL!$C$38, 0.0342, 0)</f>
        <v>65.621300000000005</v>
      </c>
      <c r="D971" s="14">
        <f>65.5792 * CHOOSE(CONTROL!$C$15, $E$9, 100%, $G$9) + CHOOSE(CONTROL!$C$38, 0.0342, 0)</f>
        <v>65.613399999999999</v>
      </c>
      <c r="E971" s="14">
        <f>65.5792 * CHOOSE(CONTROL!$C$15, $E$9, 100%, $G$9) + CHOOSE(CONTROL!$C$38, 0.0342, 0)</f>
        <v>65.613399999999999</v>
      </c>
      <c r="F971" s="45">
        <f>69.3166 * CHOOSE(CONTROL!$C$15, $E$9, 100%, $G$9) + CHOOSE(CONTROL!$C$38, 0.034, 0)</f>
        <v>69.3506</v>
      </c>
      <c r="G971" s="14">
        <f>65.5855 * CHOOSE(CONTROL!$C$15, $E$9, 100%, $G$9) + CHOOSE(CONTROL!$C$38, 0.0342, 0)</f>
        <v>65.619699999999995</v>
      </c>
      <c r="H971" s="14">
        <f>65.5855 * CHOOSE(CONTROL!$C$15, $E$9, 100%, $G$9) + CHOOSE(CONTROL!$C$38, 0.0342, 0)</f>
        <v>65.619699999999995</v>
      </c>
      <c r="I971" s="14">
        <f>65.5871 * CHOOSE(CONTROL!$C$15, $E$9, 100%, $G$9) + CHOOSE(CONTROL!$C$38, 0.0342, 0)</f>
        <v>65.621300000000005</v>
      </c>
      <c r="J971" s="44">
        <f>685.6134</f>
        <v>685.61339999999996</v>
      </c>
    </row>
    <row r="972" spans="1:10" ht="15.75" x14ac:dyDescent="0.25">
      <c r="A972" s="32">
        <v>70525</v>
      </c>
      <c r="B972" s="14">
        <f>68.7948 * CHOOSE(CONTROL!$C$15, $E$9, 100%, $G$9) + CHOOSE(CONTROL!$C$38, 0.034, 0)</f>
        <v>68.828800000000001</v>
      </c>
      <c r="C972" s="14">
        <f>65.0924 * CHOOSE(CONTROL!$C$15, $E$9, 100%, $G$9) + CHOOSE(CONTROL!$C$38, 0.0342, 0)</f>
        <v>65.126599999999996</v>
      </c>
      <c r="D972" s="14">
        <f>65.0846 * CHOOSE(CONTROL!$C$15, $E$9, 100%, $G$9) + CHOOSE(CONTROL!$C$38, 0.0342, 0)</f>
        <v>65.118799999999993</v>
      </c>
      <c r="E972" s="14">
        <f>65.0846 * CHOOSE(CONTROL!$C$15, $E$9, 100%, $G$9) + CHOOSE(CONTROL!$C$38, 0.0342, 0)</f>
        <v>65.118799999999993</v>
      </c>
      <c r="F972" s="45">
        <f>68.7948 * CHOOSE(CONTROL!$C$15, $E$9, 100%, $G$9) + CHOOSE(CONTROL!$C$38, 0.034, 0)</f>
        <v>68.828800000000001</v>
      </c>
      <c r="G972" s="14">
        <f>65.0909 * CHOOSE(CONTROL!$C$15, $E$9, 100%, $G$9) + CHOOSE(CONTROL!$C$38, 0.0342, 0)</f>
        <v>65.125100000000003</v>
      </c>
      <c r="H972" s="14">
        <f>65.0909 * CHOOSE(CONTROL!$C$15, $E$9, 100%, $G$9) + CHOOSE(CONTROL!$C$38, 0.0342, 0)</f>
        <v>65.125100000000003</v>
      </c>
      <c r="I972" s="14">
        <f>65.0924 * CHOOSE(CONTROL!$C$15, $E$9, 100%, $G$9) + CHOOSE(CONTROL!$C$38, 0.0342, 0)</f>
        <v>65.126599999999996</v>
      </c>
      <c r="J972" s="44">
        <f>685.1184</f>
        <v>685.11839999999995</v>
      </c>
    </row>
    <row r="973" spans="1:10" ht="15.75" x14ac:dyDescent="0.25">
      <c r="A973" s="32">
        <v>70553</v>
      </c>
      <c r="B973" s="14">
        <f>68.6053 * CHOOSE(CONTROL!$C$15, $E$9, 100%, $G$9) + CHOOSE(CONTROL!$C$38, 0.034, 0)</f>
        <v>68.639300000000006</v>
      </c>
      <c r="C973" s="14">
        <f>64.9128 * CHOOSE(CONTROL!$C$15, $E$9, 100%, $G$9) + CHOOSE(CONTROL!$C$38, 0.0342, 0)</f>
        <v>64.947000000000003</v>
      </c>
      <c r="D973" s="14">
        <f>64.905 * CHOOSE(CONTROL!$C$15, $E$9, 100%, $G$9) + CHOOSE(CONTROL!$C$38, 0.0342, 0)</f>
        <v>64.9392</v>
      </c>
      <c r="E973" s="14">
        <f>64.905 * CHOOSE(CONTROL!$C$15, $E$9, 100%, $G$9) + CHOOSE(CONTROL!$C$38, 0.0342, 0)</f>
        <v>64.9392</v>
      </c>
      <c r="F973" s="45">
        <f>68.6053 * CHOOSE(CONTROL!$C$15, $E$9, 100%, $G$9) + CHOOSE(CONTROL!$C$38, 0.034, 0)</f>
        <v>68.639300000000006</v>
      </c>
      <c r="G973" s="14">
        <f>64.9112 * CHOOSE(CONTROL!$C$15, $E$9, 100%, $G$9) + CHOOSE(CONTROL!$C$38, 0.0342, 0)</f>
        <v>64.945399999999992</v>
      </c>
      <c r="H973" s="14">
        <f>64.9112 * CHOOSE(CONTROL!$C$15, $E$9, 100%, $G$9) + CHOOSE(CONTROL!$C$38, 0.0342, 0)</f>
        <v>64.945399999999992</v>
      </c>
      <c r="I973" s="14">
        <f>64.9128 * CHOOSE(CONTROL!$C$15, $E$9, 100%, $G$9) + CHOOSE(CONTROL!$C$38, 0.0342, 0)</f>
        <v>64.947000000000003</v>
      </c>
      <c r="J973" s="44">
        <f>683.214</f>
        <v>683.21400000000006</v>
      </c>
    </row>
    <row r="974" spans="1:10" ht="15.75" x14ac:dyDescent="0.25">
      <c r="A974" s="32">
        <v>70584</v>
      </c>
      <c r="B974" s="14">
        <f>72.1887 * CHOOSE(CONTROL!$C$15, $E$9, 100%, $G$9) + CHOOSE(CONTROL!$C$38, 0.034, 0)</f>
        <v>72.222700000000003</v>
      </c>
      <c r="C974" s="14">
        <f>68.3098 * CHOOSE(CONTROL!$C$15, $E$9, 100%, $G$9) + CHOOSE(CONTROL!$C$38, 0.0342, 0)</f>
        <v>68.343999999999994</v>
      </c>
      <c r="D974" s="14">
        <f>68.302 * CHOOSE(CONTROL!$C$15, $E$9, 100%, $G$9) + CHOOSE(CONTROL!$C$38, 0.0342, 0)</f>
        <v>68.336200000000005</v>
      </c>
      <c r="E974" s="14">
        <f>68.302 * CHOOSE(CONTROL!$C$15, $E$9, 100%, $G$9) + CHOOSE(CONTROL!$C$38, 0.0342, 0)</f>
        <v>68.336200000000005</v>
      </c>
      <c r="F974" s="45">
        <f>72.1887 * CHOOSE(CONTROL!$C$15, $E$9, 100%, $G$9) + CHOOSE(CONTROL!$C$38, 0.034, 0)</f>
        <v>72.222700000000003</v>
      </c>
      <c r="G974" s="14">
        <f>68.3082 * CHOOSE(CONTROL!$C$15, $E$9, 100%, $G$9) + CHOOSE(CONTROL!$C$38, 0.0342, 0)</f>
        <v>68.342399999999998</v>
      </c>
      <c r="H974" s="14">
        <f>68.3082 * CHOOSE(CONTROL!$C$15, $E$9, 100%, $G$9) + CHOOSE(CONTROL!$C$38, 0.0342, 0)</f>
        <v>68.342399999999998</v>
      </c>
      <c r="I974" s="14">
        <f>68.3098 * CHOOSE(CONTROL!$C$15, $E$9, 100%, $G$9) + CHOOSE(CONTROL!$C$38, 0.0342, 0)</f>
        <v>68.343999999999994</v>
      </c>
      <c r="J974" s="44">
        <f>719.2233</f>
        <v>719.22329999999999</v>
      </c>
    </row>
    <row r="975" spans="1:10" ht="15.75" x14ac:dyDescent="0.25">
      <c r="A975" s="32">
        <v>70614</v>
      </c>
      <c r="B975" s="14">
        <f>76.8354 * CHOOSE(CONTROL!$C$15, $E$9, 100%, $G$9) + CHOOSE(CONTROL!$C$38, 0.034, 0)</f>
        <v>76.869400000000013</v>
      </c>
      <c r="C975" s="14">
        <f>72.7148 * CHOOSE(CONTROL!$C$15, $E$9, 100%, $G$9) + CHOOSE(CONTROL!$C$38, 0.0342, 0)</f>
        <v>72.748999999999995</v>
      </c>
      <c r="D975" s="14">
        <f>72.707 * CHOOSE(CONTROL!$C$15, $E$9, 100%, $G$9) + CHOOSE(CONTROL!$C$38, 0.0342, 0)</f>
        <v>72.741199999999992</v>
      </c>
      <c r="E975" s="14">
        <f>72.707 * CHOOSE(CONTROL!$C$15, $E$9, 100%, $G$9) + CHOOSE(CONTROL!$C$38, 0.0342, 0)</f>
        <v>72.741199999999992</v>
      </c>
      <c r="F975" s="45">
        <f>76.8354 * CHOOSE(CONTROL!$C$15, $E$9, 100%, $G$9) + CHOOSE(CONTROL!$C$38, 0.034, 0)</f>
        <v>76.869400000000013</v>
      </c>
      <c r="G975" s="14">
        <f>72.7133 * CHOOSE(CONTROL!$C$15, $E$9, 100%, $G$9) + CHOOSE(CONTROL!$C$38, 0.0342, 0)</f>
        <v>72.747500000000002</v>
      </c>
      <c r="H975" s="14">
        <f>72.7133 * CHOOSE(CONTROL!$C$15, $E$9, 100%, $G$9) + CHOOSE(CONTROL!$C$38, 0.0342, 0)</f>
        <v>72.747500000000002</v>
      </c>
      <c r="I975" s="14">
        <f>72.7148 * CHOOSE(CONTROL!$C$15, $E$9, 100%, $G$9) + CHOOSE(CONTROL!$C$38, 0.0342, 0)</f>
        <v>72.748999999999995</v>
      </c>
      <c r="J975" s="44">
        <f>765.9188</f>
        <v>765.91880000000003</v>
      </c>
    </row>
    <row r="976" spans="1:10" ht="15.75" x14ac:dyDescent="0.25">
      <c r="A976" s="32">
        <v>70645</v>
      </c>
      <c r="B976" s="14">
        <f>79.3932 * CHOOSE(CONTROL!$C$15, $E$9, 100%, $G$9) + CHOOSE(CONTROL!$C$38, 0.0353, 0)</f>
        <v>79.4285</v>
      </c>
      <c r="C976" s="14">
        <f>75.1395 * CHOOSE(CONTROL!$C$15, $E$9, 100%, $G$9) + CHOOSE(CONTROL!$C$38, 0.0354, 0)</f>
        <v>75.174899999999994</v>
      </c>
      <c r="D976" s="14">
        <f>75.1317 * CHOOSE(CONTROL!$C$15, $E$9, 100%, $G$9) + CHOOSE(CONTROL!$C$38, 0.0354, 0)</f>
        <v>75.167099999999991</v>
      </c>
      <c r="E976" s="14">
        <f>75.1317 * CHOOSE(CONTROL!$C$15, $E$9, 100%, $G$9) + CHOOSE(CONTROL!$C$38, 0.0354, 0)</f>
        <v>75.167099999999991</v>
      </c>
      <c r="F976" s="45">
        <f>79.3932 * CHOOSE(CONTROL!$C$15, $E$9, 100%, $G$9) + CHOOSE(CONTROL!$C$38, 0.0353, 0)</f>
        <v>79.4285</v>
      </c>
      <c r="G976" s="14">
        <f>75.138 * CHOOSE(CONTROL!$C$15, $E$9, 100%, $G$9) + CHOOSE(CONTROL!$C$38, 0.0354, 0)</f>
        <v>75.173400000000001</v>
      </c>
      <c r="H976" s="14">
        <f>75.138 * CHOOSE(CONTROL!$C$15, $E$9, 100%, $G$9) + CHOOSE(CONTROL!$C$38, 0.0354, 0)</f>
        <v>75.173400000000001</v>
      </c>
      <c r="I976" s="14">
        <f>75.1395 * CHOOSE(CONTROL!$C$15, $E$9, 100%, $G$9) + CHOOSE(CONTROL!$C$38, 0.0354, 0)</f>
        <v>75.174899999999994</v>
      </c>
      <c r="J976" s="44">
        <f>791.6215</f>
        <v>791.62149999999997</v>
      </c>
    </row>
    <row r="977" spans="1:10" ht="15.75" x14ac:dyDescent="0.25">
      <c r="A977" s="32">
        <v>70675</v>
      </c>
      <c r="B977" s="14">
        <f>80.5283 * CHOOSE(CONTROL!$C$15, $E$9, 100%, $G$9) + CHOOSE(CONTROL!$C$38, 0.0353, 0)</f>
        <v>80.563600000000008</v>
      </c>
      <c r="C977" s="14">
        <f>76.2156 * CHOOSE(CONTROL!$C$15, $E$9, 100%, $G$9) + CHOOSE(CONTROL!$C$38, 0.0354, 0)</f>
        <v>76.250999999999991</v>
      </c>
      <c r="D977" s="14">
        <f>76.2078 * CHOOSE(CONTROL!$C$15, $E$9, 100%, $G$9) + CHOOSE(CONTROL!$C$38, 0.0354, 0)</f>
        <v>76.243200000000002</v>
      </c>
      <c r="E977" s="14">
        <f>76.2078 * CHOOSE(CONTROL!$C$15, $E$9, 100%, $G$9) + CHOOSE(CONTROL!$C$38, 0.0354, 0)</f>
        <v>76.243200000000002</v>
      </c>
      <c r="F977" s="45">
        <f>80.5283 * CHOOSE(CONTROL!$C$15, $E$9, 100%, $G$9) + CHOOSE(CONTROL!$C$38, 0.0353, 0)</f>
        <v>80.563600000000008</v>
      </c>
      <c r="G977" s="14">
        <f>76.214 * CHOOSE(CONTROL!$C$15, $E$9, 100%, $G$9) + CHOOSE(CONTROL!$C$38, 0.0354, 0)</f>
        <v>76.249399999999994</v>
      </c>
      <c r="H977" s="14">
        <f>76.214 * CHOOSE(CONTROL!$C$15, $E$9, 100%, $G$9) + CHOOSE(CONTROL!$C$38, 0.0354, 0)</f>
        <v>76.249399999999994</v>
      </c>
      <c r="I977" s="14">
        <f>76.2156 * CHOOSE(CONTROL!$C$15, $E$9, 100%, $G$9) + CHOOSE(CONTROL!$C$38, 0.0354, 0)</f>
        <v>76.250999999999991</v>
      </c>
      <c r="J977" s="44">
        <f>803.0279</f>
        <v>803.02790000000005</v>
      </c>
    </row>
    <row r="978" spans="1:10" ht="15.75" x14ac:dyDescent="0.25">
      <c r="A978" s="32">
        <v>70706</v>
      </c>
      <c r="B978" s="14">
        <f>80.1545 * CHOOSE(CONTROL!$C$15, $E$9, 100%, $G$9) + CHOOSE(CONTROL!$C$38, 0.0353, 0)</f>
        <v>80.189800000000005</v>
      </c>
      <c r="C978" s="14">
        <f>75.8613 * CHOOSE(CONTROL!$C$15, $E$9, 100%, $G$9) + CHOOSE(CONTROL!$C$38, 0.0354, 0)</f>
        <v>75.896699999999996</v>
      </c>
      <c r="D978" s="14">
        <f>75.8535 * CHOOSE(CONTROL!$C$15, $E$9, 100%, $G$9) + CHOOSE(CONTROL!$C$38, 0.0354, 0)</f>
        <v>75.888899999999992</v>
      </c>
      <c r="E978" s="14">
        <f>75.8535 * CHOOSE(CONTROL!$C$15, $E$9, 100%, $G$9) + CHOOSE(CONTROL!$C$38, 0.0354, 0)</f>
        <v>75.888899999999992</v>
      </c>
      <c r="F978" s="45">
        <f>80.1545 * CHOOSE(CONTROL!$C$15, $E$9, 100%, $G$9) + CHOOSE(CONTROL!$C$38, 0.0353, 0)</f>
        <v>80.189800000000005</v>
      </c>
      <c r="G978" s="14">
        <f>75.8597 * CHOOSE(CONTROL!$C$15, $E$9, 100%, $G$9) + CHOOSE(CONTROL!$C$38, 0.0354, 0)</f>
        <v>75.895099999999999</v>
      </c>
      <c r="H978" s="14">
        <f>75.8597 * CHOOSE(CONTROL!$C$15, $E$9, 100%, $G$9) + CHOOSE(CONTROL!$C$38, 0.0354, 0)</f>
        <v>75.895099999999999</v>
      </c>
      <c r="I978" s="14">
        <f>75.8613 * CHOOSE(CONTROL!$C$15, $E$9, 100%, $G$9) + CHOOSE(CONTROL!$C$38, 0.0354, 0)</f>
        <v>75.896699999999996</v>
      </c>
      <c r="J978" s="44">
        <f>799.2724</f>
        <v>799.27239999999995</v>
      </c>
    </row>
    <row r="979" spans="1:10" ht="15.75" x14ac:dyDescent="0.25">
      <c r="A979" s="32">
        <v>70737</v>
      </c>
      <c r="B979" s="14">
        <f>78.3029 * CHOOSE(CONTROL!$C$15, $E$9, 100%, $G$9) + CHOOSE(CONTROL!$C$38, 0.0353, 0)</f>
        <v>78.338200000000001</v>
      </c>
      <c r="C979" s="14">
        <f>74.106 * CHOOSE(CONTROL!$C$15, $E$9, 100%, $G$9) + CHOOSE(CONTROL!$C$38, 0.0354, 0)</f>
        <v>74.14139999999999</v>
      </c>
      <c r="D979" s="14">
        <f>74.0982 * CHOOSE(CONTROL!$C$15, $E$9, 100%, $G$9) + CHOOSE(CONTROL!$C$38, 0.0354, 0)</f>
        <v>74.133600000000001</v>
      </c>
      <c r="E979" s="14">
        <f>74.0982 * CHOOSE(CONTROL!$C$15, $E$9, 100%, $G$9) + CHOOSE(CONTROL!$C$38, 0.0354, 0)</f>
        <v>74.133600000000001</v>
      </c>
      <c r="F979" s="45">
        <f>78.3029 * CHOOSE(CONTROL!$C$15, $E$9, 100%, $G$9) + CHOOSE(CONTROL!$C$38, 0.0353, 0)</f>
        <v>78.338200000000001</v>
      </c>
      <c r="G979" s="14">
        <f>74.1044 * CHOOSE(CONTROL!$C$15, $E$9, 100%, $G$9) + CHOOSE(CONTROL!$C$38, 0.0354, 0)</f>
        <v>74.139799999999994</v>
      </c>
      <c r="H979" s="14">
        <f>74.1044 * CHOOSE(CONTROL!$C$15, $E$9, 100%, $G$9) + CHOOSE(CONTROL!$C$38, 0.0354, 0)</f>
        <v>74.139799999999994</v>
      </c>
      <c r="I979" s="14">
        <f>74.106 * CHOOSE(CONTROL!$C$15, $E$9, 100%, $G$9) + CHOOSE(CONTROL!$C$38, 0.0354, 0)</f>
        <v>74.14139999999999</v>
      </c>
      <c r="J979" s="44">
        <f>780.6657</f>
        <v>780.66570000000002</v>
      </c>
    </row>
    <row r="980" spans="1:10" ht="15.75" x14ac:dyDescent="0.25">
      <c r="A980" s="32">
        <v>70767</v>
      </c>
      <c r="B980" s="14">
        <f>75.7208 * CHOOSE(CONTROL!$C$15, $E$9, 100%, $G$9) + CHOOSE(CONTROL!$C$38, 0.0353, 0)</f>
        <v>75.756100000000004</v>
      </c>
      <c r="C980" s="14">
        <f>71.6582 * CHOOSE(CONTROL!$C$15, $E$9, 100%, $G$9) + CHOOSE(CONTROL!$C$38, 0.0354, 0)</f>
        <v>71.693599999999989</v>
      </c>
      <c r="D980" s="14">
        <f>71.6504 * CHOOSE(CONTROL!$C$15, $E$9, 100%, $G$9) + CHOOSE(CONTROL!$C$38, 0.0354, 0)</f>
        <v>71.6858</v>
      </c>
      <c r="E980" s="14">
        <f>71.6504 * CHOOSE(CONTROL!$C$15, $E$9, 100%, $G$9) + CHOOSE(CONTROL!$C$38, 0.0354, 0)</f>
        <v>71.6858</v>
      </c>
      <c r="F980" s="45">
        <f>75.7208 * CHOOSE(CONTROL!$C$15, $E$9, 100%, $G$9) + CHOOSE(CONTROL!$C$38, 0.0353, 0)</f>
        <v>75.756100000000004</v>
      </c>
      <c r="G980" s="14">
        <f>71.6566 * CHOOSE(CONTROL!$C$15, $E$9, 100%, $G$9) + CHOOSE(CONTROL!$C$38, 0.0354, 0)</f>
        <v>71.691999999999993</v>
      </c>
      <c r="H980" s="14">
        <f>71.6566 * CHOOSE(CONTROL!$C$15, $E$9, 100%, $G$9) + CHOOSE(CONTROL!$C$38, 0.0354, 0)</f>
        <v>71.691999999999993</v>
      </c>
      <c r="I980" s="14">
        <f>71.6582 * CHOOSE(CONTROL!$C$15, $E$9, 100%, $G$9) + CHOOSE(CONTROL!$C$38, 0.0354, 0)</f>
        <v>71.693599999999989</v>
      </c>
      <c r="J980" s="44">
        <f>754.7177</f>
        <v>754.71770000000004</v>
      </c>
    </row>
    <row r="981" spans="1:10" ht="15.75" x14ac:dyDescent="0.25">
      <c r="A981" s="32">
        <v>70798</v>
      </c>
      <c r="B981" s="14">
        <f>73.1236 * CHOOSE(CONTROL!$C$15, $E$9, 100%, $G$9) + CHOOSE(CONTROL!$C$38, 0.034, 0)</f>
        <v>73.157600000000002</v>
      </c>
      <c r="C981" s="14">
        <f>69.1961 * CHOOSE(CONTROL!$C$15, $E$9, 100%, $G$9) + CHOOSE(CONTROL!$C$38, 0.0342, 0)</f>
        <v>69.2303</v>
      </c>
      <c r="D981" s="14">
        <f>69.1883 * CHOOSE(CONTROL!$C$15, $E$9, 100%, $G$9) + CHOOSE(CONTROL!$C$38, 0.0342, 0)</f>
        <v>69.222499999999997</v>
      </c>
      <c r="E981" s="14">
        <f>69.1883 * CHOOSE(CONTROL!$C$15, $E$9, 100%, $G$9) + CHOOSE(CONTROL!$C$38, 0.0342, 0)</f>
        <v>69.222499999999997</v>
      </c>
      <c r="F981" s="45">
        <f>73.1236 * CHOOSE(CONTROL!$C$15, $E$9, 100%, $G$9) + CHOOSE(CONTROL!$C$38, 0.034, 0)</f>
        <v>73.157600000000002</v>
      </c>
      <c r="G981" s="14">
        <f>69.1945 * CHOOSE(CONTROL!$C$15, $E$9, 100%, $G$9) + CHOOSE(CONTROL!$C$38, 0.0342, 0)</f>
        <v>69.228700000000003</v>
      </c>
      <c r="H981" s="14">
        <f>69.1945 * CHOOSE(CONTROL!$C$15, $E$9, 100%, $G$9) + CHOOSE(CONTROL!$C$38, 0.0342, 0)</f>
        <v>69.228700000000003</v>
      </c>
      <c r="I981" s="14">
        <f>69.1961 * CHOOSE(CONTROL!$C$15, $E$9, 100%, $G$9) + CHOOSE(CONTROL!$C$38, 0.0342, 0)</f>
        <v>69.2303</v>
      </c>
      <c r="J981" s="44">
        <f>728.6188</f>
        <v>728.61879999999996</v>
      </c>
    </row>
    <row r="982" spans="1:10" ht="15.75" x14ac:dyDescent="0.25">
      <c r="A982" s="32">
        <v>70828</v>
      </c>
      <c r="B982" s="14">
        <f>72.607 * CHOOSE(CONTROL!$C$15, $E$9, 100%, $G$9) + CHOOSE(CONTROL!$C$38, 0.034, 0)</f>
        <v>72.641000000000005</v>
      </c>
      <c r="C982" s="14">
        <f>68.7063 * CHOOSE(CONTROL!$C$15, $E$9, 100%, $G$9) + CHOOSE(CONTROL!$C$38, 0.0342, 0)</f>
        <v>68.740499999999997</v>
      </c>
      <c r="D982" s="14">
        <f>68.6985 * CHOOSE(CONTROL!$C$15, $E$9, 100%, $G$9) + CHOOSE(CONTROL!$C$38, 0.0342, 0)</f>
        <v>68.732699999999994</v>
      </c>
      <c r="E982" s="14">
        <f>68.6985 * CHOOSE(CONTROL!$C$15, $E$9, 100%, $G$9) + CHOOSE(CONTROL!$C$38, 0.0342, 0)</f>
        <v>68.732699999999994</v>
      </c>
      <c r="F982" s="45">
        <f>72.607 * CHOOSE(CONTROL!$C$15, $E$9, 100%, $G$9) + CHOOSE(CONTROL!$C$38, 0.034, 0)</f>
        <v>72.641000000000005</v>
      </c>
      <c r="G982" s="14">
        <f>68.7048 * CHOOSE(CONTROL!$C$15, $E$9, 100%, $G$9) + CHOOSE(CONTROL!$C$38, 0.0342, 0)</f>
        <v>68.739000000000004</v>
      </c>
      <c r="H982" s="14">
        <f>68.7048 * CHOOSE(CONTROL!$C$15, $E$9, 100%, $G$9) + CHOOSE(CONTROL!$C$38, 0.0342, 0)</f>
        <v>68.739000000000004</v>
      </c>
      <c r="I982" s="14">
        <f>68.7063 * CHOOSE(CONTROL!$C$15, $E$9, 100%, $G$9) + CHOOSE(CONTROL!$C$38, 0.0342, 0)</f>
        <v>68.740499999999997</v>
      </c>
      <c r="J982" s="44">
        <f>723.4272</f>
        <v>723.42719999999997</v>
      </c>
    </row>
    <row r="983" spans="1:10" ht="15.75" x14ac:dyDescent="0.25">
      <c r="A983" s="32">
        <v>70859</v>
      </c>
      <c r="B983" s="14">
        <f>70.4707 * CHOOSE(CONTROL!$C$15, $E$9, 100%, $G$9) + CHOOSE(CONTROL!$C$38, 0.034, 0)</f>
        <v>70.5047</v>
      </c>
      <c r="C983" s="14">
        <f>66.6812 * CHOOSE(CONTROL!$C$15, $E$9, 100%, $G$9) + CHOOSE(CONTROL!$C$38, 0.0342, 0)</f>
        <v>66.715400000000002</v>
      </c>
      <c r="D983" s="14">
        <f>66.6733 * CHOOSE(CONTROL!$C$15, $E$9, 100%, $G$9) + CHOOSE(CONTROL!$C$38, 0.0342, 0)</f>
        <v>66.707499999999996</v>
      </c>
      <c r="E983" s="14">
        <f>66.6733 * CHOOSE(CONTROL!$C$15, $E$9, 100%, $G$9) + CHOOSE(CONTROL!$C$38, 0.0342, 0)</f>
        <v>66.707499999999996</v>
      </c>
      <c r="F983" s="45">
        <f>70.4707 * CHOOSE(CONTROL!$C$15, $E$9, 100%, $G$9) + CHOOSE(CONTROL!$C$38, 0.034, 0)</f>
        <v>70.5047</v>
      </c>
      <c r="G983" s="14">
        <f>66.6796 * CHOOSE(CONTROL!$C$15, $E$9, 100%, $G$9) + CHOOSE(CONTROL!$C$38, 0.0342, 0)</f>
        <v>66.713799999999992</v>
      </c>
      <c r="H983" s="14">
        <f>66.6796 * CHOOSE(CONTROL!$C$15, $E$9, 100%, $G$9) + CHOOSE(CONTROL!$C$38, 0.0342, 0)</f>
        <v>66.713799999999992</v>
      </c>
      <c r="I983" s="14">
        <f>66.6812 * CHOOSE(CONTROL!$C$15, $E$9, 100%, $G$9) + CHOOSE(CONTROL!$C$38, 0.0342, 0)</f>
        <v>66.715400000000002</v>
      </c>
      <c r="J983" s="44">
        <f>701.9594</f>
        <v>701.95939999999996</v>
      </c>
    </row>
    <row r="984" spans="1:10" ht="15.75" x14ac:dyDescent="0.25">
      <c r="A984" s="32">
        <v>70890</v>
      </c>
      <c r="B984" s="14">
        <f>69.9402 * CHOOSE(CONTROL!$C$15, $E$9, 100%, $G$9) + CHOOSE(CONTROL!$C$38, 0.034, 0)</f>
        <v>69.97420000000001</v>
      </c>
      <c r="C984" s="14">
        <f>66.1782 * CHOOSE(CONTROL!$C$15, $E$9, 100%, $G$9) + CHOOSE(CONTROL!$C$38, 0.0342, 0)</f>
        <v>66.212400000000002</v>
      </c>
      <c r="D984" s="14">
        <f>66.1704 * CHOOSE(CONTROL!$C$15, $E$9, 100%, $G$9) + CHOOSE(CONTROL!$C$38, 0.0342, 0)</f>
        <v>66.204599999999999</v>
      </c>
      <c r="E984" s="14">
        <f>66.1704 * CHOOSE(CONTROL!$C$15, $E$9, 100%, $G$9) + CHOOSE(CONTROL!$C$38, 0.0342, 0)</f>
        <v>66.204599999999999</v>
      </c>
      <c r="F984" s="45">
        <f>69.9402 * CHOOSE(CONTROL!$C$15, $E$9, 100%, $G$9) + CHOOSE(CONTROL!$C$38, 0.034, 0)</f>
        <v>69.97420000000001</v>
      </c>
      <c r="G984" s="14">
        <f>66.1767 * CHOOSE(CONTROL!$C$15, $E$9, 100%, $G$9) + CHOOSE(CONTROL!$C$38, 0.0342, 0)</f>
        <v>66.210899999999995</v>
      </c>
      <c r="H984" s="14">
        <f>66.1767 * CHOOSE(CONTROL!$C$15, $E$9, 100%, $G$9) + CHOOSE(CONTROL!$C$38, 0.0342, 0)</f>
        <v>66.210899999999995</v>
      </c>
      <c r="I984" s="14">
        <f>66.1782 * CHOOSE(CONTROL!$C$15, $E$9, 100%, $G$9) + CHOOSE(CONTROL!$C$38, 0.0342, 0)</f>
        <v>66.212400000000002</v>
      </c>
      <c r="J984" s="44">
        <f>701.4526</f>
        <v>701.45259999999996</v>
      </c>
    </row>
    <row r="985" spans="1:10" ht="15.75" x14ac:dyDescent="0.25">
      <c r="A985" s="32">
        <v>70918</v>
      </c>
      <c r="B985" s="14">
        <f>69.7475 * CHOOSE(CONTROL!$C$15, $E$9, 100%, $G$9) + CHOOSE(CONTROL!$C$38, 0.034, 0)</f>
        <v>69.781500000000008</v>
      </c>
      <c r="C985" s="14">
        <f>65.9956 * CHOOSE(CONTROL!$C$15, $E$9, 100%, $G$9) + CHOOSE(CONTROL!$C$38, 0.0342, 0)</f>
        <v>66.029799999999994</v>
      </c>
      <c r="D985" s="14">
        <f>65.9877 * CHOOSE(CONTROL!$C$15, $E$9, 100%, $G$9) + CHOOSE(CONTROL!$C$38, 0.0342, 0)</f>
        <v>66.021900000000002</v>
      </c>
      <c r="E985" s="14">
        <f>65.9877 * CHOOSE(CONTROL!$C$15, $E$9, 100%, $G$9) + CHOOSE(CONTROL!$C$38, 0.0342, 0)</f>
        <v>66.021900000000002</v>
      </c>
      <c r="F985" s="45">
        <f>69.7475 * CHOOSE(CONTROL!$C$15, $E$9, 100%, $G$9) + CHOOSE(CONTROL!$C$38, 0.034, 0)</f>
        <v>69.781500000000008</v>
      </c>
      <c r="G985" s="14">
        <f>65.994 * CHOOSE(CONTROL!$C$15, $E$9, 100%, $G$9) + CHOOSE(CONTROL!$C$38, 0.0342, 0)</f>
        <v>66.028199999999998</v>
      </c>
      <c r="H985" s="14">
        <f>65.994 * CHOOSE(CONTROL!$C$15, $E$9, 100%, $G$9) + CHOOSE(CONTROL!$C$38, 0.0342, 0)</f>
        <v>66.028199999999998</v>
      </c>
      <c r="I985" s="14">
        <f>65.9956 * CHOOSE(CONTROL!$C$15, $E$9, 100%, $G$9) + CHOOSE(CONTROL!$C$38, 0.0342, 0)</f>
        <v>66.029799999999994</v>
      </c>
      <c r="J985" s="44">
        <f>699.5028</f>
        <v>699.50279999999998</v>
      </c>
    </row>
    <row r="986" spans="1:10" ht="15.75" x14ac:dyDescent="0.25">
      <c r="A986" s="32">
        <v>70949</v>
      </c>
      <c r="B986" s="14">
        <f>73.3911 * CHOOSE(CONTROL!$C$15, $E$9, 100%, $G$9) + CHOOSE(CONTROL!$C$38, 0.034, 0)</f>
        <v>73.4251</v>
      </c>
      <c r="C986" s="14">
        <f>69.4496 * CHOOSE(CONTROL!$C$15, $E$9, 100%, $G$9) + CHOOSE(CONTROL!$C$38, 0.0342, 0)</f>
        <v>69.483800000000002</v>
      </c>
      <c r="D986" s="14">
        <f>69.4418 * CHOOSE(CONTROL!$C$15, $E$9, 100%, $G$9) + CHOOSE(CONTROL!$C$38, 0.0342, 0)</f>
        <v>69.475999999999999</v>
      </c>
      <c r="E986" s="14">
        <f>69.4418 * CHOOSE(CONTROL!$C$15, $E$9, 100%, $G$9) + CHOOSE(CONTROL!$C$38, 0.0342, 0)</f>
        <v>69.475999999999999</v>
      </c>
      <c r="F986" s="45">
        <f>73.3911 * CHOOSE(CONTROL!$C$15, $E$9, 100%, $G$9) + CHOOSE(CONTROL!$C$38, 0.034, 0)</f>
        <v>73.4251</v>
      </c>
      <c r="G986" s="14">
        <f>69.448 * CHOOSE(CONTROL!$C$15, $E$9, 100%, $G$9) + CHOOSE(CONTROL!$C$38, 0.0342, 0)</f>
        <v>69.482199999999992</v>
      </c>
      <c r="H986" s="14">
        <f>69.448 * CHOOSE(CONTROL!$C$15, $E$9, 100%, $G$9) + CHOOSE(CONTROL!$C$38, 0.0342, 0)</f>
        <v>69.482199999999992</v>
      </c>
      <c r="I986" s="14">
        <f>69.4496 * CHOOSE(CONTROL!$C$15, $E$9, 100%, $G$9) + CHOOSE(CONTROL!$C$38, 0.0342, 0)</f>
        <v>69.483800000000002</v>
      </c>
      <c r="J986" s="44">
        <f>736.3706</f>
        <v>736.37059999999997</v>
      </c>
    </row>
    <row r="987" spans="1:10" ht="15.75" x14ac:dyDescent="0.25">
      <c r="A987" s="32">
        <v>70979</v>
      </c>
      <c r="B987" s="14">
        <f>78.1159 * CHOOSE(CONTROL!$C$15, $E$9, 100%, $G$9) + CHOOSE(CONTROL!$C$38, 0.034, 0)</f>
        <v>78.149900000000002</v>
      </c>
      <c r="C987" s="14">
        <f>73.9287 * CHOOSE(CONTROL!$C$15, $E$9, 100%, $G$9) + CHOOSE(CONTROL!$C$38, 0.0342, 0)</f>
        <v>73.962900000000005</v>
      </c>
      <c r="D987" s="14">
        <f>73.9209 * CHOOSE(CONTROL!$C$15, $E$9, 100%, $G$9) + CHOOSE(CONTROL!$C$38, 0.0342, 0)</f>
        <v>73.955100000000002</v>
      </c>
      <c r="E987" s="14">
        <f>73.9209 * CHOOSE(CONTROL!$C$15, $E$9, 100%, $G$9) + CHOOSE(CONTROL!$C$38, 0.0342, 0)</f>
        <v>73.955100000000002</v>
      </c>
      <c r="F987" s="45">
        <f>78.1159 * CHOOSE(CONTROL!$C$15, $E$9, 100%, $G$9) + CHOOSE(CONTROL!$C$38, 0.034, 0)</f>
        <v>78.149900000000002</v>
      </c>
      <c r="G987" s="14">
        <f>73.9271 * CHOOSE(CONTROL!$C$15, $E$9, 100%, $G$9) + CHOOSE(CONTROL!$C$38, 0.0342, 0)</f>
        <v>73.961299999999994</v>
      </c>
      <c r="H987" s="14">
        <f>73.9271 * CHOOSE(CONTROL!$C$15, $E$9, 100%, $G$9) + CHOOSE(CONTROL!$C$38, 0.0342, 0)</f>
        <v>73.961299999999994</v>
      </c>
      <c r="I987" s="14">
        <f>73.9287 * CHOOSE(CONTROL!$C$15, $E$9, 100%, $G$9) + CHOOSE(CONTROL!$C$38, 0.0342, 0)</f>
        <v>73.962900000000005</v>
      </c>
      <c r="J987" s="44">
        <f>784.1794</f>
        <v>784.17939999999999</v>
      </c>
    </row>
    <row r="988" spans="1:10" ht="15.75" x14ac:dyDescent="0.25">
      <c r="A988" s="32">
        <v>71010</v>
      </c>
      <c r="B988" s="14">
        <f>80.7166 * CHOOSE(CONTROL!$C$15, $E$9, 100%, $G$9) + CHOOSE(CONTROL!$C$38, 0.0353, 0)</f>
        <v>80.751900000000006</v>
      </c>
      <c r="C988" s="14">
        <f>76.3941 * CHOOSE(CONTROL!$C$15, $E$9, 100%, $G$9) + CHOOSE(CONTROL!$C$38, 0.0354, 0)</f>
        <v>76.42949999999999</v>
      </c>
      <c r="D988" s="14">
        <f>76.3863 * CHOOSE(CONTROL!$C$15, $E$9, 100%, $G$9) + CHOOSE(CONTROL!$C$38, 0.0354, 0)</f>
        <v>76.421700000000001</v>
      </c>
      <c r="E988" s="14">
        <f>76.3863 * CHOOSE(CONTROL!$C$15, $E$9, 100%, $G$9) + CHOOSE(CONTROL!$C$38, 0.0354, 0)</f>
        <v>76.421700000000001</v>
      </c>
      <c r="F988" s="45">
        <f>80.7166 * CHOOSE(CONTROL!$C$15, $E$9, 100%, $G$9) + CHOOSE(CONTROL!$C$38, 0.0353, 0)</f>
        <v>80.751900000000006</v>
      </c>
      <c r="G988" s="14">
        <f>76.3926 * CHOOSE(CONTROL!$C$15, $E$9, 100%, $G$9) + CHOOSE(CONTROL!$C$38, 0.0354, 0)</f>
        <v>76.427999999999997</v>
      </c>
      <c r="H988" s="14">
        <f>76.3926 * CHOOSE(CONTROL!$C$15, $E$9, 100%, $G$9) + CHOOSE(CONTROL!$C$38, 0.0354, 0)</f>
        <v>76.427999999999997</v>
      </c>
      <c r="I988" s="14">
        <f>76.3941 * CHOOSE(CONTROL!$C$15, $E$9, 100%, $G$9) + CHOOSE(CONTROL!$C$38, 0.0354, 0)</f>
        <v>76.42949999999999</v>
      </c>
      <c r="J988" s="44">
        <f>810.4949</f>
        <v>810.49490000000003</v>
      </c>
    </row>
    <row r="989" spans="1:10" ht="15.75" x14ac:dyDescent="0.25">
      <c r="A989" s="32">
        <v>71040</v>
      </c>
      <c r="B989" s="14">
        <f>81.8707 * CHOOSE(CONTROL!$C$15, $E$9, 100%, $G$9) + CHOOSE(CONTROL!$C$38, 0.0353, 0)</f>
        <v>81.906000000000006</v>
      </c>
      <c r="C989" s="14">
        <f>77.4882 * CHOOSE(CONTROL!$C$15, $E$9, 100%, $G$9) + CHOOSE(CONTROL!$C$38, 0.0354, 0)</f>
        <v>77.523600000000002</v>
      </c>
      <c r="D989" s="14">
        <f>77.4804 * CHOOSE(CONTROL!$C$15, $E$9, 100%, $G$9) + CHOOSE(CONTROL!$C$38, 0.0354, 0)</f>
        <v>77.515799999999999</v>
      </c>
      <c r="E989" s="14">
        <f>77.4804 * CHOOSE(CONTROL!$C$15, $E$9, 100%, $G$9) + CHOOSE(CONTROL!$C$38, 0.0354, 0)</f>
        <v>77.515799999999999</v>
      </c>
      <c r="F989" s="45">
        <f>81.8707 * CHOOSE(CONTROL!$C$15, $E$9, 100%, $G$9) + CHOOSE(CONTROL!$C$38, 0.0353, 0)</f>
        <v>81.906000000000006</v>
      </c>
      <c r="G989" s="14">
        <f>77.4867 * CHOOSE(CONTROL!$C$15, $E$9, 100%, $G$9) + CHOOSE(CONTROL!$C$38, 0.0354, 0)</f>
        <v>77.522099999999995</v>
      </c>
      <c r="H989" s="14">
        <f>77.4867 * CHOOSE(CONTROL!$C$15, $E$9, 100%, $G$9) + CHOOSE(CONTROL!$C$38, 0.0354, 0)</f>
        <v>77.522099999999995</v>
      </c>
      <c r="I989" s="14">
        <f>77.4882 * CHOOSE(CONTROL!$C$15, $E$9, 100%, $G$9) + CHOOSE(CONTROL!$C$38, 0.0354, 0)</f>
        <v>77.523600000000002</v>
      </c>
      <c r="J989" s="44">
        <f>822.1733</f>
        <v>822.17330000000004</v>
      </c>
    </row>
    <row r="990" spans="1:10" ht="15.75" x14ac:dyDescent="0.25">
      <c r="A990" s="32">
        <v>71071</v>
      </c>
      <c r="B990" s="14">
        <f>81.4907 * CHOOSE(CONTROL!$C$15, $E$9, 100%, $G$9) + CHOOSE(CONTROL!$C$38, 0.0353, 0)</f>
        <v>81.52600000000001</v>
      </c>
      <c r="C990" s="14">
        <f>77.128 * CHOOSE(CONTROL!$C$15, $E$9, 100%, $G$9) + CHOOSE(CONTROL!$C$38, 0.0354, 0)</f>
        <v>77.163399999999996</v>
      </c>
      <c r="D990" s="14">
        <f>77.1202 * CHOOSE(CONTROL!$C$15, $E$9, 100%, $G$9) + CHOOSE(CONTROL!$C$38, 0.0354, 0)</f>
        <v>77.155599999999993</v>
      </c>
      <c r="E990" s="14">
        <f>77.1202 * CHOOSE(CONTROL!$C$15, $E$9, 100%, $G$9) + CHOOSE(CONTROL!$C$38, 0.0354, 0)</f>
        <v>77.155599999999993</v>
      </c>
      <c r="F990" s="45">
        <f>81.4907 * CHOOSE(CONTROL!$C$15, $E$9, 100%, $G$9) + CHOOSE(CONTROL!$C$38, 0.0353, 0)</f>
        <v>81.52600000000001</v>
      </c>
      <c r="G990" s="14">
        <f>77.1264 * CHOOSE(CONTROL!$C$15, $E$9, 100%, $G$9) + CHOOSE(CONTROL!$C$38, 0.0354, 0)</f>
        <v>77.161799999999999</v>
      </c>
      <c r="H990" s="14">
        <f>77.1264 * CHOOSE(CONTROL!$C$15, $E$9, 100%, $G$9) + CHOOSE(CONTROL!$C$38, 0.0354, 0)</f>
        <v>77.161799999999999</v>
      </c>
      <c r="I990" s="14">
        <f>77.128 * CHOOSE(CONTROL!$C$15, $E$9, 100%, $G$9) + CHOOSE(CONTROL!$C$38, 0.0354, 0)</f>
        <v>77.163399999999996</v>
      </c>
      <c r="J990" s="44">
        <f>818.3282</f>
        <v>818.32820000000004</v>
      </c>
    </row>
    <row r="991" spans="1:10" ht="15.75" x14ac:dyDescent="0.25">
      <c r="A991" s="32">
        <v>71102</v>
      </c>
      <c r="B991" s="14">
        <f>79.608 * CHOOSE(CONTROL!$C$15, $E$9, 100%, $G$9) + CHOOSE(CONTROL!$C$38, 0.0353, 0)</f>
        <v>79.643300000000011</v>
      </c>
      <c r="C991" s="14">
        <f>75.3432 * CHOOSE(CONTROL!$C$15, $E$9, 100%, $G$9) + CHOOSE(CONTROL!$C$38, 0.0354, 0)</f>
        <v>75.378599999999992</v>
      </c>
      <c r="D991" s="14">
        <f>75.3354 * CHOOSE(CONTROL!$C$15, $E$9, 100%, $G$9) + CHOOSE(CONTROL!$C$38, 0.0354, 0)</f>
        <v>75.370800000000003</v>
      </c>
      <c r="E991" s="14">
        <f>75.3354 * CHOOSE(CONTROL!$C$15, $E$9, 100%, $G$9) + CHOOSE(CONTROL!$C$38, 0.0354, 0)</f>
        <v>75.370800000000003</v>
      </c>
      <c r="F991" s="45">
        <f>79.608 * CHOOSE(CONTROL!$C$15, $E$9, 100%, $G$9) + CHOOSE(CONTROL!$C$38, 0.0353, 0)</f>
        <v>79.643300000000011</v>
      </c>
      <c r="G991" s="14">
        <f>75.3417 * CHOOSE(CONTROL!$C$15, $E$9, 100%, $G$9) + CHOOSE(CONTROL!$C$38, 0.0354, 0)</f>
        <v>75.377099999999999</v>
      </c>
      <c r="H991" s="14">
        <f>75.3417 * CHOOSE(CONTROL!$C$15, $E$9, 100%, $G$9) + CHOOSE(CONTROL!$C$38, 0.0354, 0)</f>
        <v>75.377099999999999</v>
      </c>
      <c r="I991" s="14">
        <f>75.3432 * CHOOSE(CONTROL!$C$15, $E$9, 100%, $G$9) + CHOOSE(CONTROL!$C$38, 0.0354, 0)</f>
        <v>75.378599999999992</v>
      </c>
      <c r="J991" s="44">
        <f>799.2779</f>
        <v>799.27790000000005</v>
      </c>
    </row>
    <row r="992" spans="1:10" ht="15.75" x14ac:dyDescent="0.25">
      <c r="A992" s="32">
        <v>71132</v>
      </c>
      <c r="B992" s="14">
        <f>76.9825 * CHOOSE(CONTROL!$C$15, $E$9, 100%, $G$9) + CHOOSE(CONTROL!$C$38, 0.0353, 0)</f>
        <v>77.017800000000008</v>
      </c>
      <c r="C992" s="14">
        <f>72.8543 * CHOOSE(CONTROL!$C$15, $E$9, 100%, $G$9) + CHOOSE(CONTROL!$C$38, 0.0354, 0)</f>
        <v>72.889699999999991</v>
      </c>
      <c r="D992" s="14">
        <f>72.8465 * CHOOSE(CONTROL!$C$15, $E$9, 100%, $G$9) + CHOOSE(CONTROL!$C$38, 0.0354, 0)</f>
        <v>72.881900000000002</v>
      </c>
      <c r="E992" s="14">
        <f>72.8465 * CHOOSE(CONTROL!$C$15, $E$9, 100%, $G$9) + CHOOSE(CONTROL!$C$38, 0.0354, 0)</f>
        <v>72.881900000000002</v>
      </c>
      <c r="F992" s="45">
        <f>76.9825 * CHOOSE(CONTROL!$C$15, $E$9, 100%, $G$9) + CHOOSE(CONTROL!$C$38, 0.0353, 0)</f>
        <v>77.017800000000008</v>
      </c>
      <c r="G992" s="14">
        <f>72.8527 * CHOOSE(CONTROL!$C$15, $E$9, 100%, $G$9) + CHOOSE(CONTROL!$C$38, 0.0354, 0)</f>
        <v>72.888099999999994</v>
      </c>
      <c r="H992" s="14">
        <f>72.8527 * CHOOSE(CONTROL!$C$15, $E$9, 100%, $G$9) + CHOOSE(CONTROL!$C$38, 0.0354, 0)</f>
        <v>72.888099999999994</v>
      </c>
      <c r="I992" s="14">
        <f>72.8543 * CHOOSE(CONTROL!$C$15, $E$9, 100%, $G$9) + CHOOSE(CONTROL!$C$38, 0.0354, 0)</f>
        <v>72.889699999999991</v>
      </c>
      <c r="J992" s="44">
        <f>772.7113</f>
        <v>772.71130000000005</v>
      </c>
    </row>
    <row r="993" spans="1:10" ht="15.75" x14ac:dyDescent="0.25">
      <c r="A993" s="32">
        <v>71163</v>
      </c>
      <c r="B993" s="14">
        <f>74.3417 * CHOOSE(CONTROL!$C$15, $E$9, 100%, $G$9) + CHOOSE(CONTROL!$C$38, 0.034, 0)</f>
        <v>74.375700000000009</v>
      </c>
      <c r="C993" s="14">
        <f>70.3508 * CHOOSE(CONTROL!$C$15, $E$9, 100%, $G$9) + CHOOSE(CONTROL!$C$38, 0.0342, 0)</f>
        <v>70.385000000000005</v>
      </c>
      <c r="D993" s="14">
        <f>70.343 * CHOOSE(CONTROL!$C$15, $E$9, 100%, $G$9) + CHOOSE(CONTROL!$C$38, 0.0342, 0)</f>
        <v>70.377200000000002</v>
      </c>
      <c r="E993" s="14">
        <f>70.343 * CHOOSE(CONTROL!$C$15, $E$9, 100%, $G$9) + CHOOSE(CONTROL!$C$38, 0.0342, 0)</f>
        <v>70.377200000000002</v>
      </c>
      <c r="F993" s="45">
        <f>74.3417 * CHOOSE(CONTROL!$C$15, $E$9, 100%, $G$9) + CHOOSE(CONTROL!$C$38, 0.034, 0)</f>
        <v>74.375700000000009</v>
      </c>
      <c r="G993" s="14">
        <f>70.3493 * CHOOSE(CONTROL!$C$15, $E$9, 100%, $G$9) + CHOOSE(CONTROL!$C$38, 0.0342, 0)</f>
        <v>70.383499999999998</v>
      </c>
      <c r="H993" s="14">
        <f>70.3493 * CHOOSE(CONTROL!$C$15, $E$9, 100%, $G$9) + CHOOSE(CONTROL!$C$38, 0.0342, 0)</f>
        <v>70.383499999999998</v>
      </c>
      <c r="I993" s="14">
        <f>70.3508 * CHOOSE(CONTROL!$C$15, $E$9, 100%, $G$9) + CHOOSE(CONTROL!$C$38, 0.0342, 0)</f>
        <v>70.385000000000005</v>
      </c>
      <c r="J993" s="44">
        <f>745.9901</f>
        <v>745.99009999999998</v>
      </c>
    </row>
    <row r="994" spans="1:10" ht="15.75" x14ac:dyDescent="0.25">
      <c r="A994" s="32">
        <v>71193</v>
      </c>
      <c r="B994" s="14">
        <f>73.8164 * CHOOSE(CONTROL!$C$15, $E$9, 100%, $G$9) + CHOOSE(CONTROL!$C$38, 0.034, 0)</f>
        <v>73.850400000000008</v>
      </c>
      <c r="C994" s="14">
        <f>69.8528 * CHOOSE(CONTROL!$C$15, $E$9, 100%, $G$9) + CHOOSE(CONTROL!$C$38, 0.0342, 0)</f>
        <v>69.887</v>
      </c>
      <c r="D994" s="14">
        <f>69.845 * CHOOSE(CONTROL!$C$15, $E$9, 100%, $G$9) + CHOOSE(CONTROL!$C$38, 0.0342, 0)</f>
        <v>69.879199999999997</v>
      </c>
      <c r="E994" s="14">
        <f>69.845 * CHOOSE(CONTROL!$C$15, $E$9, 100%, $G$9) + CHOOSE(CONTROL!$C$38, 0.0342, 0)</f>
        <v>69.879199999999997</v>
      </c>
      <c r="F994" s="45">
        <f>73.8164 * CHOOSE(CONTROL!$C$15, $E$9, 100%, $G$9) + CHOOSE(CONTROL!$C$38, 0.034, 0)</f>
        <v>73.850400000000008</v>
      </c>
      <c r="G994" s="14">
        <f>69.8513 * CHOOSE(CONTROL!$C$15, $E$9, 100%, $G$9) + CHOOSE(CONTROL!$C$38, 0.0342, 0)</f>
        <v>69.885499999999993</v>
      </c>
      <c r="H994" s="14">
        <f>69.8513 * CHOOSE(CONTROL!$C$15, $E$9, 100%, $G$9) + CHOOSE(CONTROL!$C$38, 0.0342, 0)</f>
        <v>69.885499999999993</v>
      </c>
      <c r="I994" s="14">
        <f>69.8528 * CHOOSE(CONTROL!$C$15, $E$9, 100%, $G$9) + CHOOSE(CONTROL!$C$38, 0.0342, 0)</f>
        <v>69.887</v>
      </c>
      <c r="J994" s="44">
        <f>740.6748</f>
        <v>740.6748</v>
      </c>
    </row>
    <row r="995" spans="1:10" ht="15.75" x14ac:dyDescent="0.25">
      <c r="A995" s="32">
        <v>71224</v>
      </c>
      <c r="B995" s="14">
        <f>71.6442 * CHOOSE(CONTROL!$C$15, $E$9, 100%, $G$9) + CHOOSE(CONTROL!$C$38, 0.034, 0)</f>
        <v>71.678200000000004</v>
      </c>
      <c r="C995" s="14">
        <f>67.7936 * CHOOSE(CONTROL!$C$15, $E$9, 100%, $G$9) + CHOOSE(CONTROL!$C$38, 0.0342, 0)</f>
        <v>67.827799999999996</v>
      </c>
      <c r="D995" s="14">
        <f>67.7858 * CHOOSE(CONTROL!$C$15, $E$9, 100%, $G$9) + CHOOSE(CONTROL!$C$38, 0.0342, 0)</f>
        <v>67.819999999999993</v>
      </c>
      <c r="E995" s="14">
        <f>67.7858 * CHOOSE(CONTROL!$C$15, $E$9, 100%, $G$9) + CHOOSE(CONTROL!$C$38, 0.0342, 0)</f>
        <v>67.819999999999993</v>
      </c>
      <c r="F995" s="45">
        <f>71.6442 * CHOOSE(CONTROL!$C$15, $E$9, 100%, $G$9) + CHOOSE(CONTROL!$C$38, 0.034, 0)</f>
        <v>71.678200000000004</v>
      </c>
      <c r="G995" s="14">
        <f>67.7921 * CHOOSE(CONTROL!$C$15, $E$9, 100%, $G$9) + CHOOSE(CONTROL!$C$38, 0.0342, 0)</f>
        <v>67.826300000000003</v>
      </c>
      <c r="H995" s="14">
        <f>67.7921 * CHOOSE(CONTROL!$C$15, $E$9, 100%, $G$9) + CHOOSE(CONTROL!$C$38, 0.0342, 0)</f>
        <v>67.826300000000003</v>
      </c>
      <c r="I995" s="14">
        <f>67.7936 * CHOOSE(CONTROL!$C$15, $E$9, 100%, $G$9) + CHOOSE(CONTROL!$C$38, 0.0342, 0)</f>
        <v>67.827799999999996</v>
      </c>
      <c r="J995" s="44">
        <f>718.6952</f>
        <v>718.6952</v>
      </c>
    </row>
    <row r="996" spans="1:10" ht="15.75" x14ac:dyDescent="0.25">
      <c r="A996" s="32">
        <v>71255</v>
      </c>
      <c r="B996" s="14">
        <f>71.1048 * CHOOSE(CONTROL!$C$15, $E$9, 100%, $G$9) + CHOOSE(CONTROL!$C$38, 0.034, 0)</f>
        <v>71.138800000000003</v>
      </c>
      <c r="C996" s="14">
        <f>67.2823 * CHOOSE(CONTROL!$C$15, $E$9, 100%, $G$9) + CHOOSE(CONTROL!$C$38, 0.0342, 0)</f>
        <v>67.316500000000005</v>
      </c>
      <c r="D996" s="14">
        <f>67.2744 * CHOOSE(CONTROL!$C$15, $E$9, 100%, $G$9) + CHOOSE(CONTROL!$C$38, 0.0342, 0)</f>
        <v>67.308599999999998</v>
      </c>
      <c r="E996" s="14">
        <f>67.2744 * CHOOSE(CONTROL!$C$15, $E$9, 100%, $G$9) + CHOOSE(CONTROL!$C$38, 0.0342, 0)</f>
        <v>67.308599999999998</v>
      </c>
      <c r="F996" s="45">
        <f>71.1048 * CHOOSE(CONTROL!$C$15, $E$9, 100%, $G$9) + CHOOSE(CONTROL!$C$38, 0.034, 0)</f>
        <v>71.138800000000003</v>
      </c>
      <c r="G996" s="14">
        <f>67.2807 * CHOOSE(CONTROL!$C$15, $E$9, 100%, $G$9) + CHOOSE(CONTROL!$C$38, 0.0342, 0)</f>
        <v>67.314899999999994</v>
      </c>
      <c r="H996" s="14">
        <f>67.2807 * CHOOSE(CONTROL!$C$15, $E$9, 100%, $G$9) + CHOOSE(CONTROL!$C$38, 0.0342, 0)</f>
        <v>67.314899999999994</v>
      </c>
      <c r="I996" s="14">
        <f>67.2823 * CHOOSE(CONTROL!$C$15, $E$9, 100%, $G$9) + CHOOSE(CONTROL!$C$38, 0.0342, 0)</f>
        <v>67.316500000000005</v>
      </c>
      <c r="J996" s="44">
        <f>718.1763</f>
        <v>718.17629999999997</v>
      </c>
    </row>
    <row r="997" spans="1:10" ht="15.75" x14ac:dyDescent="0.25">
      <c r="A997" s="32">
        <v>71283</v>
      </c>
      <c r="B997" s="14">
        <f>70.9089 * CHOOSE(CONTROL!$C$15, $E$9, 100%, $G$9) + CHOOSE(CONTROL!$C$38, 0.034, 0)</f>
        <v>70.942900000000009</v>
      </c>
      <c r="C997" s="14">
        <f>67.0965 * CHOOSE(CONTROL!$C$15, $E$9, 100%, $G$9) + CHOOSE(CONTROL!$C$38, 0.0342, 0)</f>
        <v>67.130700000000004</v>
      </c>
      <c r="D997" s="14">
        <f>67.0887 * CHOOSE(CONTROL!$C$15, $E$9, 100%, $G$9) + CHOOSE(CONTROL!$C$38, 0.0342, 0)</f>
        <v>67.122900000000001</v>
      </c>
      <c r="E997" s="14">
        <f>67.0887 * CHOOSE(CONTROL!$C$15, $E$9, 100%, $G$9) + CHOOSE(CONTROL!$C$38, 0.0342, 0)</f>
        <v>67.122900000000001</v>
      </c>
      <c r="F997" s="45">
        <f>70.9089 * CHOOSE(CONTROL!$C$15, $E$9, 100%, $G$9) + CHOOSE(CONTROL!$C$38, 0.034, 0)</f>
        <v>70.942900000000009</v>
      </c>
      <c r="G997" s="14">
        <f>67.095 * CHOOSE(CONTROL!$C$15, $E$9, 100%, $G$9) + CHOOSE(CONTROL!$C$38, 0.0342, 0)</f>
        <v>67.129199999999997</v>
      </c>
      <c r="H997" s="14">
        <f>67.095 * CHOOSE(CONTROL!$C$15, $E$9, 100%, $G$9) + CHOOSE(CONTROL!$C$38, 0.0342, 0)</f>
        <v>67.129199999999997</v>
      </c>
      <c r="I997" s="14">
        <f>67.0965 * CHOOSE(CONTROL!$C$15, $E$9, 100%, $G$9) + CHOOSE(CONTROL!$C$38, 0.0342, 0)</f>
        <v>67.130700000000004</v>
      </c>
      <c r="J997" s="44">
        <f>716.18</f>
        <v>716.18</v>
      </c>
    </row>
    <row r="998" spans="1:10" ht="15.75" x14ac:dyDescent="0.25">
      <c r="A998" s="32">
        <v>71314</v>
      </c>
      <c r="B998" s="14">
        <f>74.6136 * CHOOSE(CONTROL!$C$15, $E$9, 100%, $G$9) + CHOOSE(CONTROL!$C$38, 0.034, 0)</f>
        <v>74.647600000000011</v>
      </c>
      <c r="C998" s="14">
        <f>70.6086 * CHOOSE(CONTROL!$C$15, $E$9, 100%, $G$9) + CHOOSE(CONTROL!$C$38, 0.0342, 0)</f>
        <v>70.642799999999994</v>
      </c>
      <c r="D998" s="14">
        <f>70.6008 * CHOOSE(CONTROL!$C$15, $E$9, 100%, $G$9) + CHOOSE(CONTROL!$C$38, 0.0342, 0)</f>
        <v>70.635000000000005</v>
      </c>
      <c r="E998" s="14">
        <f>70.6008 * CHOOSE(CONTROL!$C$15, $E$9, 100%, $G$9) + CHOOSE(CONTROL!$C$38, 0.0342, 0)</f>
        <v>70.635000000000005</v>
      </c>
      <c r="F998" s="45">
        <f>74.6136 * CHOOSE(CONTROL!$C$15, $E$9, 100%, $G$9) + CHOOSE(CONTROL!$C$38, 0.034, 0)</f>
        <v>74.647600000000011</v>
      </c>
      <c r="G998" s="14">
        <f>70.607 * CHOOSE(CONTROL!$C$15, $E$9, 100%, $G$9) + CHOOSE(CONTROL!$C$38, 0.0342, 0)</f>
        <v>70.641199999999998</v>
      </c>
      <c r="H998" s="14">
        <f>70.607 * CHOOSE(CONTROL!$C$15, $E$9, 100%, $G$9) + CHOOSE(CONTROL!$C$38, 0.0342, 0)</f>
        <v>70.641199999999998</v>
      </c>
      <c r="I998" s="14">
        <f>70.6086 * CHOOSE(CONTROL!$C$15, $E$9, 100%, $G$9) + CHOOSE(CONTROL!$C$38, 0.0342, 0)</f>
        <v>70.642799999999994</v>
      </c>
      <c r="J998" s="44">
        <f>753.9268</f>
        <v>753.92679999999996</v>
      </c>
    </row>
    <row r="999" spans="1:10" ht="15.75" x14ac:dyDescent="0.25">
      <c r="A999" s="32">
        <v>71344</v>
      </c>
      <c r="B999" s="14">
        <f>79.4178 * CHOOSE(CONTROL!$C$15, $E$9, 100%, $G$9) + CHOOSE(CONTROL!$C$38, 0.034, 0)</f>
        <v>79.451800000000006</v>
      </c>
      <c r="C999" s="14">
        <f>75.1629 * CHOOSE(CONTROL!$C$15, $E$9, 100%, $G$9) + CHOOSE(CONTROL!$C$38, 0.0342, 0)</f>
        <v>75.197099999999992</v>
      </c>
      <c r="D999" s="14">
        <f>75.1551 * CHOOSE(CONTROL!$C$15, $E$9, 100%, $G$9) + CHOOSE(CONTROL!$C$38, 0.0342, 0)</f>
        <v>75.189300000000003</v>
      </c>
      <c r="E999" s="14">
        <f>75.1551 * CHOOSE(CONTROL!$C$15, $E$9, 100%, $G$9) + CHOOSE(CONTROL!$C$38, 0.0342, 0)</f>
        <v>75.189300000000003</v>
      </c>
      <c r="F999" s="45">
        <f>79.4178 * CHOOSE(CONTROL!$C$15, $E$9, 100%, $G$9) + CHOOSE(CONTROL!$C$38, 0.034, 0)</f>
        <v>79.451800000000006</v>
      </c>
      <c r="G999" s="14">
        <f>75.1614 * CHOOSE(CONTROL!$C$15, $E$9, 100%, $G$9) + CHOOSE(CONTROL!$C$38, 0.0342, 0)</f>
        <v>75.195599999999999</v>
      </c>
      <c r="H999" s="14">
        <f>75.1614 * CHOOSE(CONTROL!$C$15, $E$9, 100%, $G$9) + CHOOSE(CONTROL!$C$38, 0.0342, 0)</f>
        <v>75.195599999999999</v>
      </c>
      <c r="I999" s="14">
        <f>75.1629 * CHOOSE(CONTROL!$C$15, $E$9, 100%, $G$9) + CHOOSE(CONTROL!$C$38, 0.0342, 0)</f>
        <v>75.197099999999992</v>
      </c>
      <c r="J999" s="44">
        <f>802.8754</f>
        <v>802.87540000000001</v>
      </c>
    </row>
    <row r="1000" spans="1:10" ht="15.75" x14ac:dyDescent="0.25">
      <c r="A1000" s="32">
        <v>71375</v>
      </c>
      <c r="B1000" s="14">
        <f>82.0622 * CHOOSE(CONTROL!$C$15, $E$9, 100%, $G$9) + CHOOSE(CONTROL!$C$38, 0.0353, 0)</f>
        <v>82.097500000000011</v>
      </c>
      <c r="C1000" s="14">
        <f>77.6698 * CHOOSE(CONTROL!$C$15, $E$9, 100%, $G$9) + CHOOSE(CONTROL!$C$38, 0.0354, 0)</f>
        <v>77.705199999999991</v>
      </c>
      <c r="D1000" s="14">
        <f>77.662 * CHOOSE(CONTROL!$C$15, $E$9, 100%, $G$9) + CHOOSE(CONTROL!$C$38, 0.0354, 0)</f>
        <v>77.697400000000002</v>
      </c>
      <c r="E1000" s="14">
        <f>77.662 * CHOOSE(CONTROL!$C$15, $E$9, 100%, $G$9) + CHOOSE(CONTROL!$C$38, 0.0354, 0)</f>
        <v>77.697400000000002</v>
      </c>
      <c r="F1000" s="45">
        <f>82.0622 * CHOOSE(CONTROL!$C$15, $E$9, 100%, $G$9) + CHOOSE(CONTROL!$C$38, 0.0353, 0)</f>
        <v>82.097500000000011</v>
      </c>
      <c r="G1000" s="14">
        <f>77.6682 * CHOOSE(CONTROL!$C$15, $E$9, 100%, $G$9) + CHOOSE(CONTROL!$C$38, 0.0354, 0)</f>
        <v>77.703599999999994</v>
      </c>
      <c r="H1000" s="14">
        <f>77.6682 * CHOOSE(CONTROL!$C$15, $E$9, 100%, $G$9) + CHOOSE(CONTROL!$C$38, 0.0354, 0)</f>
        <v>77.703599999999994</v>
      </c>
      <c r="I1000" s="14">
        <f>77.6698 * CHOOSE(CONTROL!$C$15, $E$9, 100%, $G$9) + CHOOSE(CONTROL!$C$38, 0.0354, 0)</f>
        <v>77.705199999999991</v>
      </c>
      <c r="J1000" s="44">
        <f>829.8183</f>
        <v>829.81830000000002</v>
      </c>
    </row>
    <row r="1001" spans="1:10" ht="15.75" x14ac:dyDescent="0.25">
      <c r="A1001" s="32">
        <v>71405</v>
      </c>
      <c r="B1001" s="14">
        <f>83.2358 * CHOOSE(CONTROL!$C$15, $E$9, 100%, $G$9) + CHOOSE(CONTROL!$C$38, 0.0353, 0)</f>
        <v>83.271100000000004</v>
      </c>
      <c r="C1001" s="14">
        <f>78.7823 * CHOOSE(CONTROL!$C$15, $E$9, 100%, $G$9) + CHOOSE(CONTROL!$C$38, 0.0354, 0)</f>
        <v>78.817700000000002</v>
      </c>
      <c r="D1001" s="14">
        <f>78.7745 * CHOOSE(CONTROL!$C$15, $E$9, 100%, $G$9) + CHOOSE(CONTROL!$C$38, 0.0354, 0)</f>
        <v>78.809899999999999</v>
      </c>
      <c r="E1001" s="14">
        <f>78.7745 * CHOOSE(CONTROL!$C$15, $E$9, 100%, $G$9) + CHOOSE(CONTROL!$C$38, 0.0354, 0)</f>
        <v>78.809899999999999</v>
      </c>
      <c r="F1001" s="45">
        <f>83.2358 * CHOOSE(CONTROL!$C$15, $E$9, 100%, $G$9) + CHOOSE(CONTROL!$C$38, 0.0353, 0)</f>
        <v>83.271100000000004</v>
      </c>
      <c r="G1001" s="14">
        <f>78.7807 * CHOOSE(CONTROL!$C$15, $E$9, 100%, $G$9) + CHOOSE(CONTROL!$C$38, 0.0354, 0)</f>
        <v>78.816099999999992</v>
      </c>
      <c r="H1001" s="14">
        <f>78.7807 * CHOOSE(CONTROL!$C$15, $E$9, 100%, $G$9) + CHOOSE(CONTROL!$C$38, 0.0354, 0)</f>
        <v>78.816099999999992</v>
      </c>
      <c r="I1001" s="14">
        <f>78.7823 * CHOOSE(CONTROL!$C$15, $E$9, 100%, $G$9) + CHOOSE(CONTROL!$C$38, 0.0354, 0)</f>
        <v>78.817700000000002</v>
      </c>
      <c r="J1001" s="44">
        <f>841.7751</f>
        <v>841.77509999999995</v>
      </c>
    </row>
    <row r="1002" spans="1:10" ht="15.75" x14ac:dyDescent="0.25">
      <c r="A1002" s="32">
        <v>71436</v>
      </c>
      <c r="B1002" s="14">
        <f>82.8494 * CHOOSE(CONTROL!$C$15, $E$9, 100%, $G$9) + CHOOSE(CONTROL!$C$38, 0.0353, 0)</f>
        <v>82.884700000000009</v>
      </c>
      <c r="C1002" s="14">
        <f>78.416 * CHOOSE(CONTROL!$C$15, $E$9, 100%, $G$9) + CHOOSE(CONTROL!$C$38, 0.0354, 0)</f>
        <v>78.451399999999992</v>
      </c>
      <c r="D1002" s="14">
        <f>78.4082 * CHOOSE(CONTROL!$C$15, $E$9, 100%, $G$9) + CHOOSE(CONTROL!$C$38, 0.0354, 0)</f>
        <v>78.443599999999989</v>
      </c>
      <c r="E1002" s="14">
        <f>78.4082 * CHOOSE(CONTROL!$C$15, $E$9, 100%, $G$9) + CHOOSE(CONTROL!$C$38, 0.0354, 0)</f>
        <v>78.443599999999989</v>
      </c>
      <c r="F1002" s="45">
        <f>82.8494 * CHOOSE(CONTROL!$C$15, $E$9, 100%, $G$9) + CHOOSE(CONTROL!$C$38, 0.0353, 0)</f>
        <v>82.884700000000009</v>
      </c>
      <c r="G1002" s="14">
        <f>78.4144 * CHOOSE(CONTROL!$C$15, $E$9, 100%, $G$9) + CHOOSE(CONTROL!$C$38, 0.0354, 0)</f>
        <v>78.449799999999996</v>
      </c>
      <c r="H1002" s="14">
        <f>78.4144 * CHOOSE(CONTROL!$C$15, $E$9, 100%, $G$9) + CHOOSE(CONTROL!$C$38, 0.0354, 0)</f>
        <v>78.449799999999996</v>
      </c>
      <c r="I1002" s="14">
        <f>78.416 * CHOOSE(CONTROL!$C$15, $E$9, 100%, $G$9) + CHOOSE(CONTROL!$C$38, 0.0354, 0)</f>
        <v>78.451399999999992</v>
      </c>
      <c r="J1002" s="44">
        <f>837.8384</f>
        <v>837.83839999999998</v>
      </c>
    </row>
    <row r="1003" spans="1:10" ht="15.75" x14ac:dyDescent="0.25">
      <c r="A1003" s="32">
        <v>71467</v>
      </c>
      <c r="B1003" s="14">
        <f>80.9351 * CHOOSE(CONTROL!$C$15, $E$9, 100%, $G$9) + CHOOSE(CONTROL!$C$38, 0.0353, 0)</f>
        <v>80.970400000000012</v>
      </c>
      <c r="C1003" s="14">
        <f>76.6012 * CHOOSE(CONTROL!$C$15, $E$9, 100%, $G$9) + CHOOSE(CONTROL!$C$38, 0.0354, 0)</f>
        <v>76.636600000000001</v>
      </c>
      <c r="D1003" s="14">
        <f>76.5934 * CHOOSE(CONTROL!$C$15, $E$9, 100%, $G$9) + CHOOSE(CONTROL!$C$38, 0.0354, 0)</f>
        <v>76.628799999999998</v>
      </c>
      <c r="E1003" s="14">
        <f>76.5934 * CHOOSE(CONTROL!$C$15, $E$9, 100%, $G$9) + CHOOSE(CONTROL!$C$38, 0.0354, 0)</f>
        <v>76.628799999999998</v>
      </c>
      <c r="F1003" s="45">
        <f>80.9351 * CHOOSE(CONTROL!$C$15, $E$9, 100%, $G$9) + CHOOSE(CONTROL!$C$38, 0.0353, 0)</f>
        <v>80.970400000000012</v>
      </c>
      <c r="G1003" s="14">
        <f>76.5997 * CHOOSE(CONTROL!$C$15, $E$9, 100%, $G$9) + CHOOSE(CONTROL!$C$38, 0.0354, 0)</f>
        <v>76.635099999999994</v>
      </c>
      <c r="H1003" s="14">
        <f>76.5997 * CHOOSE(CONTROL!$C$15, $E$9, 100%, $G$9) + CHOOSE(CONTROL!$C$38, 0.0354, 0)</f>
        <v>76.635099999999994</v>
      </c>
      <c r="I1003" s="14">
        <f>76.6012 * CHOOSE(CONTROL!$C$15, $E$9, 100%, $G$9) + CHOOSE(CONTROL!$C$38, 0.0354, 0)</f>
        <v>76.636600000000001</v>
      </c>
      <c r="J1003" s="44">
        <f>818.3339</f>
        <v>818.33389999999997</v>
      </c>
    </row>
    <row r="1004" spans="1:10" ht="15.75" x14ac:dyDescent="0.25">
      <c r="A1004" s="32">
        <v>71497</v>
      </c>
      <c r="B1004" s="14">
        <f>78.2654 * CHOOSE(CONTROL!$C$15, $E$9, 100%, $G$9) + CHOOSE(CONTROL!$C$38, 0.0353, 0)</f>
        <v>78.300700000000006</v>
      </c>
      <c r="C1004" s="14">
        <f>74.0705 * CHOOSE(CONTROL!$C$15, $E$9, 100%, $G$9) + CHOOSE(CONTROL!$C$38, 0.0354, 0)</f>
        <v>74.105899999999991</v>
      </c>
      <c r="D1004" s="14">
        <f>74.0626 * CHOOSE(CONTROL!$C$15, $E$9, 100%, $G$9) + CHOOSE(CONTROL!$C$38, 0.0354, 0)</f>
        <v>74.097999999999999</v>
      </c>
      <c r="E1004" s="14">
        <f>74.0626 * CHOOSE(CONTROL!$C$15, $E$9, 100%, $G$9) + CHOOSE(CONTROL!$C$38, 0.0354, 0)</f>
        <v>74.097999999999999</v>
      </c>
      <c r="F1004" s="45">
        <f>78.2654 * CHOOSE(CONTROL!$C$15, $E$9, 100%, $G$9) + CHOOSE(CONTROL!$C$38, 0.0353, 0)</f>
        <v>78.300700000000006</v>
      </c>
      <c r="G1004" s="14">
        <f>74.0689 * CHOOSE(CONTROL!$C$15, $E$9, 100%, $G$9) + CHOOSE(CONTROL!$C$38, 0.0354, 0)</f>
        <v>74.104299999999995</v>
      </c>
      <c r="H1004" s="14">
        <f>74.0689 * CHOOSE(CONTROL!$C$15, $E$9, 100%, $G$9) + CHOOSE(CONTROL!$C$38, 0.0354, 0)</f>
        <v>74.104299999999995</v>
      </c>
      <c r="I1004" s="14">
        <f>74.0705 * CHOOSE(CONTROL!$C$15, $E$9, 100%, $G$9) + CHOOSE(CONTROL!$C$38, 0.0354, 0)</f>
        <v>74.105899999999991</v>
      </c>
      <c r="J1004" s="44">
        <f>791.1339</f>
        <v>791.13390000000004</v>
      </c>
    </row>
    <row r="1005" spans="1:10" ht="15.75" x14ac:dyDescent="0.25">
      <c r="A1005" s="32">
        <v>71528</v>
      </c>
      <c r="B1005" s="14">
        <f>75.5803 * CHOOSE(CONTROL!$C$15, $E$9, 100%, $G$9) + CHOOSE(CONTROL!$C$38, 0.034, 0)</f>
        <v>75.6143</v>
      </c>
      <c r="C1005" s="14">
        <f>71.525 * CHOOSE(CONTROL!$C$15, $E$9, 100%, $G$9) + CHOOSE(CONTROL!$C$38, 0.0342, 0)</f>
        <v>71.559200000000004</v>
      </c>
      <c r="D1005" s="14">
        <f>71.5172 * CHOOSE(CONTROL!$C$15, $E$9, 100%, $G$9) + CHOOSE(CONTROL!$C$38, 0.0342, 0)</f>
        <v>71.551400000000001</v>
      </c>
      <c r="E1005" s="14">
        <f>71.5172 * CHOOSE(CONTROL!$C$15, $E$9, 100%, $G$9) + CHOOSE(CONTROL!$C$38, 0.0342, 0)</f>
        <v>71.551400000000001</v>
      </c>
      <c r="F1005" s="45">
        <f>75.5803 * CHOOSE(CONTROL!$C$15, $E$9, 100%, $G$9) + CHOOSE(CONTROL!$C$38, 0.034, 0)</f>
        <v>75.6143</v>
      </c>
      <c r="G1005" s="14">
        <f>71.5234 * CHOOSE(CONTROL!$C$15, $E$9, 100%, $G$9) + CHOOSE(CONTROL!$C$38, 0.0342, 0)</f>
        <v>71.557599999999994</v>
      </c>
      <c r="H1005" s="14">
        <f>71.5234 * CHOOSE(CONTROL!$C$15, $E$9, 100%, $G$9) + CHOOSE(CONTROL!$C$38, 0.0342, 0)</f>
        <v>71.557599999999994</v>
      </c>
      <c r="I1005" s="14">
        <f>71.525 * CHOOSE(CONTROL!$C$15, $E$9, 100%, $G$9) + CHOOSE(CONTROL!$C$38, 0.0342, 0)</f>
        <v>71.559200000000004</v>
      </c>
      <c r="J1005" s="44">
        <f>763.7756</f>
        <v>763.77560000000005</v>
      </c>
    </row>
    <row r="1006" spans="1:10" ht="15.75" x14ac:dyDescent="0.25">
      <c r="A1006" s="32">
        <v>71558</v>
      </c>
      <c r="B1006" s="14">
        <f>75.0461 * CHOOSE(CONTROL!$C$15, $E$9, 100%, $G$9) + CHOOSE(CONTROL!$C$38, 0.034, 0)</f>
        <v>75.080100000000002</v>
      </c>
      <c r="C1006" s="14">
        <f>71.0186 * CHOOSE(CONTROL!$C$15, $E$9, 100%, $G$9) + CHOOSE(CONTROL!$C$38, 0.0342, 0)</f>
        <v>71.052800000000005</v>
      </c>
      <c r="D1006" s="14">
        <f>71.0108 * CHOOSE(CONTROL!$C$15, $E$9, 100%, $G$9) + CHOOSE(CONTROL!$C$38, 0.0342, 0)</f>
        <v>71.045000000000002</v>
      </c>
      <c r="E1006" s="14">
        <f>71.0108 * CHOOSE(CONTROL!$C$15, $E$9, 100%, $G$9) + CHOOSE(CONTROL!$C$38, 0.0342, 0)</f>
        <v>71.045000000000002</v>
      </c>
      <c r="F1006" s="45">
        <f>75.0461 * CHOOSE(CONTROL!$C$15, $E$9, 100%, $G$9) + CHOOSE(CONTROL!$C$38, 0.034, 0)</f>
        <v>75.080100000000002</v>
      </c>
      <c r="G1006" s="14">
        <f>71.0171 * CHOOSE(CONTROL!$C$15, $E$9, 100%, $G$9) + CHOOSE(CONTROL!$C$38, 0.0342, 0)</f>
        <v>71.051299999999998</v>
      </c>
      <c r="H1006" s="14">
        <f>71.0171 * CHOOSE(CONTROL!$C$15, $E$9, 100%, $G$9) + CHOOSE(CONTROL!$C$38, 0.0342, 0)</f>
        <v>71.051299999999998</v>
      </c>
      <c r="I1006" s="14">
        <f>71.0186 * CHOOSE(CONTROL!$C$15, $E$9, 100%, $G$9) + CHOOSE(CONTROL!$C$38, 0.0342, 0)</f>
        <v>71.052800000000005</v>
      </c>
      <c r="J1006" s="44">
        <f>758.3336</f>
        <v>758.33360000000005</v>
      </c>
    </row>
    <row r="1007" spans="1:10" ht="15.75" x14ac:dyDescent="0.25">
      <c r="A1007" s="32">
        <v>71589</v>
      </c>
      <c r="B1007" s="14">
        <f>72.8375 * CHOOSE(CONTROL!$C$15, $E$9, 100%, $G$9) + CHOOSE(CONTROL!$C$38, 0.034, 0)</f>
        <v>72.871500000000012</v>
      </c>
      <c r="C1007" s="14">
        <f>68.9248 * CHOOSE(CONTROL!$C$15, $E$9, 100%, $G$9) + CHOOSE(CONTROL!$C$38, 0.0342, 0)</f>
        <v>68.959000000000003</v>
      </c>
      <c r="D1007" s="14">
        <f>68.917 * CHOOSE(CONTROL!$C$15, $E$9, 100%, $G$9) + CHOOSE(CONTROL!$C$38, 0.0342, 0)</f>
        <v>68.9512</v>
      </c>
      <c r="E1007" s="14">
        <f>68.917 * CHOOSE(CONTROL!$C$15, $E$9, 100%, $G$9) + CHOOSE(CONTROL!$C$38, 0.0342, 0)</f>
        <v>68.9512</v>
      </c>
      <c r="F1007" s="45">
        <f>72.8375 * CHOOSE(CONTROL!$C$15, $E$9, 100%, $G$9) + CHOOSE(CONTROL!$C$38, 0.034, 0)</f>
        <v>72.871500000000012</v>
      </c>
      <c r="G1007" s="14">
        <f>68.9232 * CHOOSE(CONTROL!$C$15, $E$9, 100%, $G$9) + CHOOSE(CONTROL!$C$38, 0.0342, 0)</f>
        <v>68.957399999999993</v>
      </c>
      <c r="H1007" s="14">
        <f>68.9232 * CHOOSE(CONTROL!$C$15, $E$9, 100%, $G$9) + CHOOSE(CONTROL!$C$38, 0.0342, 0)</f>
        <v>68.957399999999993</v>
      </c>
      <c r="I1007" s="14">
        <f>68.9248 * CHOOSE(CONTROL!$C$15, $E$9, 100%, $G$9) + CHOOSE(CONTROL!$C$38, 0.0342, 0)</f>
        <v>68.959000000000003</v>
      </c>
      <c r="J1007" s="44">
        <f>735.8299</f>
        <v>735.82989999999995</v>
      </c>
    </row>
    <row r="1008" spans="1:10" ht="15.75" x14ac:dyDescent="0.25">
      <c r="A1008" s="32">
        <v>71620</v>
      </c>
      <c r="B1008" s="14">
        <f>72.289 * CHOOSE(CONTROL!$C$15, $E$9, 100%, $G$9) + CHOOSE(CONTROL!$C$38, 0.034, 0)</f>
        <v>72.323000000000008</v>
      </c>
      <c r="C1008" s="14">
        <f>68.4048 * CHOOSE(CONTROL!$C$15, $E$9, 100%, $G$9) + CHOOSE(CONTROL!$C$38, 0.0342, 0)</f>
        <v>68.438999999999993</v>
      </c>
      <c r="D1008" s="14">
        <f>68.397 * CHOOSE(CONTROL!$C$15, $E$9, 100%, $G$9) + CHOOSE(CONTROL!$C$38, 0.0342, 0)</f>
        <v>68.431200000000004</v>
      </c>
      <c r="E1008" s="14">
        <f>68.397 * CHOOSE(CONTROL!$C$15, $E$9, 100%, $G$9) + CHOOSE(CONTROL!$C$38, 0.0342, 0)</f>
        <v>68.431200000000004</v>
      </c>
      <c r="F1008" s="45">
        <f>72.289 * CHOOSE(CONTROL!$C$15, $E$9, 100%, $G$9) + CHOOSE(CONTROL!$C$38, 0.034, 0)</f>
        <v>72.323000000000008</v>
      </c>
      <c r="G1008" s="14">
        <f>68.4033 * CHOOSE(CONTROL!$C$15, $E$9, 100%, $G$9) + CHOOSE(CONTROL!$C$38, 0.0342, 0)</f>
        <v>68.4375</v>
      </c>
      <c r="H1008" s="14">
        <f>68.4033 * CHOOSE(CONTROL!$C$15, $E$9, 100%, $G$9) + CHOOSE(CONTROL!$C$38, 0.0342, 0)</f>
        <v>68.4375</v>
      </c>
      <c r="I1008" s="14">
        <f>68.4048 * CHOOSE(CONTROL!$C$15, $E$9, 100%, $G$9) + CHOOSE(CONTROL!$C$38, 0.0342, 0)</f>
        <v>68.438999999999993</v>
      </c>
      <c r="J1008" s="44">
        <f>735.2987</f>
        <v>735.29870000000005</v>
      </c>
    </row>
    <row r="1009" spans="1:10" ht="15.75" x14ac:dyDescent="0.25">
      <c r="A1009" s="32">
        <v>71649</v>
      </c>
      <c r="B1009" s="14">
        <f>72.0897 * CHOOSE(CONTROL!$C$15, $E$9, 100%, $G$9) + CHOOSE(CONTROL!$C$38, 0.034, 0)</f>
        <v>72.123699999999999</v>
      </c>
      <c r="C1009" s="14">
        <f>68.216 * CHOOSE(CONTROL!$C$15, $E$9, 100%, $G$9) + CHOOSE(CONTROL!$C$38, 0.0342, 0)</f>
        <v>68.250199999999992</v>
      </c>
      <c r="D1009" s="14">
        <f>68.2082 * CHOOSE(CONTROL!$C$15, $E$9, 100%, $G$9) + CHOOSE(CONTROL!$C$38, 0.0342, 0)</f>
        <v>68.242400000000004</v>
      </c>
      <c r="E1009" s="14">
        <f>68.2082 * CHOOSE(CONTROL!$C$15, $E$9, 100%, $G$9) + CHOOSE(CONTROL!$C$38, 0.0342, 0)</f>
        <v>68.242400000000004</v>
      </c>
      <c r="F1009" s="45">
        <f>72.0897 * CHOOSE(CONTROL!$C$15, $E$9, 100%, $G$9) + CHOOSE(CONTROL!$C$38, 0.034, 0)</f>
        <v>72.123699999999999</v>
      </c>
      <c r="G1009" s="14">
        <f>68.2144 * CHOOSE(CONTROL!$C$15, $E$9, 100%, $G$9) + CHOOSE(CONTROL!$C$38, 0.0342, 0)</f>
        <v>68.248599999999996</v>
      </c>
      <c r="H1009" s="14">
        <f>68.2144 * CHOOSE(CONTROL!$C$15, $E$9, 100%, $G$9) + CHOOSE(CONTROL!$C$38, 0.0342, 0)</f>
        <v>68.248599999999996</v>
      </c>
      <c r="I1009" s="14">
        <f>68.216 * CHOOSE(CONTROL!$C$15, $E$9, 100%, $G$9) + CHOOSE(CONTROL!$C$38, 0.0342, 0)</f>
        <v>68.250199999999992</v>
      </c>
      <c r="J1009" s="44">
        <f>733.2548</f>
        <v>733.25480000000005</v>
      </c>
    </row>
    <row r="1010" spans="1:10" ht="15.75" x14ac:dyDescent="0.25">
      <c r="A1010" s="32">
        <v>71680</v>
      </c>
      <c r="B1010" s="14">
        <f>75.8568 * CHOOSE(CONTROL!$C$15, $E$9, 100%, $G$9) + CHOOSE(CONTROL!$C$38, 0.034, 0)</f>
        <v>75.890800000000013</v>
      </c>
      <c r="C1010" s="14">
        <f>71.7871 * CHOOSE(CONTROL!$C$15, $E$9, 100%, $G$9) + CHOOSE(CONTROL!$C$38, 0.0342, 0)</f>
        <v>71.821299999999994</v>
      </c>
      <c r="D1010" s="14">
        <f>71.7793 * CHOOSE(CONTROL!$C$15, $E$9, 100%, $G$9) + CHOOSE(CONTROL!$C$38, 0.0342, 0)</f>
        <v>71.813500000000005</v>
      </c>
      <c r="E1010" s="14">
        <f>71.7793 * CHOOSE(CONTROL!$C$15, $E$9, 100%, $G$9) + CHOOSE(CONTROL!$C$38, 0.0342, 0)</f>
        <v>71.813500000000005</v>
      </c>
      <c r="F1010" s="45">
        <f>75.8568 * CHOOSE(CONTROL!$C$15, $E$9, 100%, $G$9) + CHOOSE(CONTROL!$C$38, 0.034, 0)</f>
        <v>75.890800000000013</v>
      </c>
      <c r="G1010" s="14">
        <f>71.7855 * CHOOSE(CONTROL!$C$15, $E$9, 100%, $G$9) + CHOOSE(CONTROL!$C$38, 0.0342, 0)</f>
        <v>71.819699999999997</v>
      </c>
      <c r="H1010" s="14">
        <f>71.7855 * CHOOSE(CONTROL!$C$15, $E$9, 100%, $G$9) + CHOOSE(CONTROL!$C$38, 0.0342, 0)</f>
        <v>71.819699999999997</v>
      </c>
      <c r="I1010" s="14">
        <f>71.7871 * CHOOSE(CONTROL!$C$15, $E$9, 100%, $G$9) + CHOOSE(CONTROL!$C$38, 0.0342, 0)</f>
        <v>71.821299999999994</v>
      </c>
      <c r="J1010" s="44">
        <f>771.9016</f>
        <v>771.90160000000003</v>
      </c>
    </row>
    <row r="1011" spans="1:10" ht="15.75" x14ac:dyDescent="0.25">
      <c r="A1011" s="32">
        <v>71710</v>
      </c>
      <c r="B1011" s="14">
        <f>80.7417 * CHOOSE(CONTROL!$C$15, $E$9, 100%, $G$9) + CHOOSE(CONTROL!$C$38, 0.034, 0)</f>
        <v>80.775700000000001</v>
      </c>
      <c r="C1011" s="14">
        <f>76.4179 * CHOOSE(CONTROL!$C$15, $E$9, 100%, $G$9) + CHOOSE(CONTROL!$C$38, 0.0342, 0)</f>
        <v>76.452100000000002</v>
      </c>
      <c r="D1011" s="14">
        <f>76.4101 * CHOOSE(CONTROL!$C$15, $E$9, 100%, $G$9) + CHOOSE(CONTROL!$C$38, 0.0342, 0)</f>
        <v>76.444299999999998</v>
      </c>
      <c r="E1011" s="14">
        <f>76.4101 * CHOOSE(CONTROL!$C$15, $E$9, 100%, $G$9) + CHOOSE(CONTROL!$C$38, 0.0342, 0)</f>
        <v>76.444299999999998</v>
      </c>
      <c r="F1011" s="45">
        <f>80.7417 * CHOOSE(CONTROL!$C$15, $E$9, 100%, $G$9) + CHOOSE(CONTROL!$C$38, 0.034, 0)</f>
        <v>80.775700000000001</v>
      </c>
      <c r="G1011" s="14">
        <f>76.4163 * CHOOSE(CONTROL!$C$15, $E$9, 100%, $G$9) + CHOOSE(CONTROL!$C$38, 0.0342, 0)</f>
        <v>76.450500000000005</v>
      </c>
      <c r="H1011" s="14">
        <f>76.4163 * CHOOSE(CONTROL!$C$15, $E$9, 100%, $G$9) + CHOOSE(CONTROL!$C$38, 0.0342, 0)</f>
        <v>76.450500000000005</v>
      </c>
      <c r="I1011" s="14">
        <f>76.4179 * CHOOSE(CONTROL!$C$15, $E$9, 100%, $G$9) + CHOOSE(CONTROL!$C$38, 0.0342, 0)</f>
        <v>76.452100000000002</v>
      </c>
      <c r="J1011" s="44">
        <f>822.0172</f>
        <v>822.0172</v>
      </c>
    </row>
    <row r="1012" spans="1:10" ht="15.75" x14ac:dyDescent="0.25">
      <c r="A1012" s="32">
        <v>71741</v>
      </c>
      <c r="B1012" s="14">
        <f>83.4305 * CHOOSE(CONTROL!$C$15, $E$9, 100%, $G$9) + CHOOSE(CONTROL!$C$38, 0.0353, 0)</f>
        <v>83.465800000000002</v>
      </c>
      <c r="C1012" s="14">
        <f>78.9669 * CHOOSE(CONTROL!$C$15, $E$9, 100%, $G$9) + CHOOSE(CONTROL!$C$38, 0.0354, 0)</f>
        <v>79.002299999999991</v>
      </c>
      <c r="D1012" s="14">
        <f>78.9591 * CHOOSE(CONTROL!$C$15, $E$9, 100%, $G$9) + CHOOSE(CONTROL!$C$38, 0.0354, 0)</f>
        <v>78.994500000000002</v>
      </c>
      <c r="E1012" s="14">
        <f>78.9591 * CHOOSE(CONTROL!$C$15, $E$9, 100%, $G$9) + CHOOSE(CONTROL!$C$38, 0.0354, 0)</f>
        <v>78.994500000000002</v>
      </c>
      <c r="F1012" s="45">
        <f>83.4305 * CHOOSE(CONTROL!$C$15, $E$9, 100%, $G$9) + CHOOSE(CONTROL!$C$38, 0.0353, 0)</f>
        <v>83.465800000000002</v>
      </c>
      <c r="G1012" s="14">
        <f>78.9653 * CHOOSE(CONTROL!$C$15, $E$9, 100%, $G$9) + CHOOSE(CONTROL!$C$38, 0.0354, 0)</f>
        <v>79.000699999999995</v>
      </c>
      <c r="H1012" s="14">
        <f>78.9653 * CHOOSE(CONTROL!$C$15, $E$9, 100%, $G$9) + CHOOSE(CONTROL!$C$38, 0.0354, 0)</f>
        <v>79.000699999999995</v>
      </c>
      <c r="I1012" s="14">
        <f>78.9669 * CHOOSE(CONTROL!$C$15, $E$9, 100%, $G$9) + CHOOSE(CONTROL!$C$38, 0.0354, 0)</f>
        <v>79.002299999999991</v>
      </c>
      <c r="J1012" s="44">
        <f>849.6025</f>
        <v>849.60249999999996</v>
      </c>
    </row>
    <row r="1013" spans="1:10" ht="15.75" x14ac:dyDescent="0.25">
      <c r="A1013" s="32">
        <v>71771</v>
      </c>
      <c r="B1013" s="14">
        <f>84.6237 * CHOOSE(CONTROL!$C$15, $E$9, 100%, $G$9) + CHOOSE(CONTROL!$C$38, 0.0353, 0)</f>
        <v>84.659000000000006</v>
      </c>
      <c r="C1013" s="14">
        <f>80.0981 * CHOOSE(CONTROL!$C$15, $E$9, 100%, $G$9) + CHOOSE(CONTROL!$C$38, 0.0354, 0)</f>
        <v>80.133499999999998</v>
      </c>
      <c r="D1013" s="14">
        <f>80.0902 * CHOOSE(CONTROL!$C$15, $E$9, 100%, $G$9) + CHOOSE(CONTROL!$C$38, 0.0354, 0)</f>
        <v>80.125599999999991</v>
      </c>
      <c r="E1013" s="14">
        <f>80.0902 * CHOOSE(CONTROL!$C$15, $E$9, 100%, $G$9) + CHOOSE(CONTROL!$C$38, 0.0354, 0)</f>
        <v>80.125599999999991</v>
      </c>
      <c r="F1013" s="45">
        <f>84.6237 * CHOOSE(CONTROL!$C$15, $E$9, 100%, $G$9) + CHOOSE(CONTROL!$C$38, 0.0353, 0)</f>
        <v>84.659000000000006</v>
      </c>
      <c r="G1013" s="14">
        <f>80.0965 * CHOOSE(CONTROL!$C$15, $E$9, 100%, $G$9) + CHOOSE(CONTROL!$C$38, 0.0354, 0)</f>
        <v>80.131900000000002</v>
      </c>
      <c r="H1013" s="14">
        <f>80.0965 * CHOOSE(CONTROL!$C$15, $E$9, 100%, $G$9) + CHOOSE(CONTROL!$C$38, 0.0354, 0)</f>
        <v>80.131900000000002</v>
      </c>
      <c r="I1013" s="14">
        <f>80.0981 * CHOOSE(CONTROL!$C$15, $E$9, 100%, $G$9) + CHOOSE(CONTROL!$C$38, 0.0354, 0)</f>
        <v>80.133499999999998</v>
      </c>
      <c r="J1013" s="44">
        <f>861.8443</f>
        <v>861.84429999999998</v>
      </c>
    </row>
    <row r="1014" spans="1:10" ht="15.75" x14ac:dyDescent="0.25">
      <c r="A1014" s="32">
        <v>71802</v>
      </c>
      <c r="B1014" s="14">
        <f>84.2309 * CHOOSE(CONTROL!$C$15, $E$9, 100%, $G$9) + CHOOSE(CONTROL!$C$38, 0.0353, 0)</f>
        <v>84.266200000000012</v>
      </c>
      <c r="C1014" s="14">
        <f>79.7256 * CHOOSE(CONTROL!$C$15, $E$9, 100%, $G$9) + CHOOSE(CONTROL!$C$38, 0.0354, 0)</f>
        <v>79.760999999999996</v>
      </c>
      <c r="D1014" s="14">
        <f>79.7178 * CHOOSE(CONTROL!$C$15, $E$9, 100%, $G$9) + CHOOSE(CONTROL!$C$38, 0.0354, 0)</f>
        <v>79.753199999999993</v>
      </c>
      <c r="E1014" s="14">
        <f>79.7178 * CHOOSE(CONTROL!$C$15, $E$9, 100%, $G$9) + CHOOSE(CONTROL!$C$38, 0.0354, 0)</f>
        <v>79.753199999999993</v>
      </c>
      <c r="F1014" s="45">
        <f>84.2309 * CHOOSE(CONTROL!$C$15, $E$9, 100%, $G$9) + CHOOSE(CONTROL!$C$38, 0.0353, 0)</f>
        <v>84.266200000000012</v>
      </c>
      <c r="G1014" s="14">
        <f>79.7241 * CHOOSE(CONTROL!$C$15, $E$9, 100%, $G$9) + CHOOSE(CONTROL!$C$38, 0.0354, 0)</f>
        <v>79.759500000000003</v>
      </c>
      <c r="H1014" s="14">
        <f>79.7241 * CHOOSE(CONTROL!$C$15, $E$9, 100%, $G$9) + CHOOSE(CONTROL!$C$38, 0.0354, 0)</f>
        <v>79.759500000000003</v>
      </c>
      <c r="I1014" s="14">
        <f>79.7256 * CHOOSE(CONTROL!$C$15, $E$9, 100%, $G$9) + CHOOSE(CONTROL!$C$38, 0.0354, 0)</f>
        <v>79.760999999999996</v>
      </c>
      <c r="J1014" s="44">
        <f>857.8137</f>
        <v>857.81370000000004</v>
      </c>
    </row>
    <row r="1015" spans="1:10" ht="15.75" x14ac:dyDescent="0.25">
      <c r="A1015" s="32">
        <v>71833</v>
      </c>
      <c r="B1015" s="14">
        <f>82.2844 * CHOOSE(CONTROL!$C$15, $E$9, 100%, $G$9) + CHOOSE(CONTROL!$C$38, 0.0353, 0)</f>
        <v>82.319700000000012</v>
      </c>
      <c r="C1015" s="14">
        <f>77.8804 * CHOOSE(CONTROL!$C$15, $E$9, 100%, $G$9) + CHOOSE(CONTROL!$C$38, 0.0354, 0)</f>
        <v>77.91579999999999</v>
      </c>
      <c r="D1015" s="14">
        <f>77.8726 * CHOOSE(CONTROL!$C$15, $E$9, 100%, $G$9) + CHOOSE(CONTROL!$C$38, 0.0354, 0)</f>
        <v>77.908000000000001</v>
      </c>
      <c r="E1015" s="14">
        <f>77.8726 * CHOOSE(CONTROL!$C$15, $E$9, 100%, $G$9) + CHOOSE(CONTROL!$C$38, 0.0354, 0)</f>
        <v>77.908000000000001</v>
      </c>
      <c r="F1015" s="45">
        <f>82.2844 * CHOOSE(CONTROL!$C$15, $E$9, 100%, $G$9) + CHOOSE(CONTROL!$C$38, 0.0353, 0)</f>
        <v>82.319700000000012</v>
      </c>
      <c r="G1015" s="14">
        <f>77.8788 * CHOOSE(CONTROL!$C$15, $E$9, 100%, $G$9) + CHOOSE(CONTROL!$C$38, 0.0354, 0)</f>
        <v>77.914199999999994</v>
      </c>
      <c r="H1015" s="14">
        <f>77.8788 * CHOOSE(CONTROL!$C$15, $E$9, 100%, $G$9) + CHOOSE(CONTROL!$C$38, 0.0354, 0)</f>
        <v>77.914199999999994</v>
      </c>
      <c r="I1015" s="14">
        <f>77.8804 * CHOOSE(CONTROL!$C$15, $E$9, 100%, $G$9) + CHOOSE(CONTROL!$C$38, 0.0354, 0)</f>
        <v>77.91579999999999</v>
      </c>
      <c r="J1015" s="44">
        <f>837.8442</f>
        <v>837.8442</v>
      </c>
    </row>
    <row r="1016" spans="1:10" ht="15.75" x14ac:dyDescent="0.25">
      <c r="A1016" s="32">
        <v>71863</v>
      </c>
      <c r="B1016" s="14">
        <f>79.5699 * CHOOSE(CONTROL!$C$15, $E$9, 100%, $G$9) + CHOOSE(CONTROL!$C$38, 0.0353, 0)</f>
        <v>79.605200000000011</v>
      </c>
      <c r="C1016" s="14">
        <f>75.3071 * CHOOSE(CONTROL!$C$15, $E$9, 100%, $G$9) + CHOOSE(CONTROL!$C$38, 0.0354, 0)</f>
        <v>75.342500000000001</v>
      </c>
      <c r="D1016" s="14">
        <f>75.2993 * CHOOSE(CONTROL!$C$15, $E$9, 100%, $G$9) + CHOOSE(CONTROL!$C$38, 0.0354, 0)</f>
        <v>75.334699999999998</v>
      </c>
      <c r="E1016" s="14">
        <f>75.2993 * CHOOSE(CONTROL!$C$15, $E$9, 100%, $G$9) + CHOOSE(CONTROL!$C$38, 0.0354, 0)</f>
        <v>75.334699999999998</v>
      </c>
      <c r="F1016" s="45">
        <f>79.5699 * CHOOSE(CONTROL!$C$15, $E$9, 100%, $G$9) + CHOOSE(CONTROL!$C$38, 0.0353, 0)</f>
        <v>79.605200000000011</v>
      </c>
      <c r="G1016" s="14">
        <f>75.3055 * CHOOSE(CONTROL!$C$15, $E$9, 100%, $G$9) + CHOOSE(CONTROL!$C$38, 0.0354, 0)</f>
        <v>75.340899999999991</v>
      </c>
      <c r="H1016" s="14">
        <f>75.3055 * CHOOSE(CONTROL!$C$15, $E$9, 100%, $G$9) + CHOOSE(CONTROL!$C$38, 0.0354, 0)</f>
        <v>75.340899999999991</v>
      </c>
      <c r="I1016" s="14">
        <f>75.3071 * CHOOSE(CONTROL!$C$15, $E$9, 100%, $G$9) + CHOOSE(CONTROL!$C$38, 0.0354, 0)</f>
        <v>75.342500000000001</v>
      </c>
      <c r="J1016" s="44">
        <f>809.9957</f>
        <v>809.99570000000006</v>
      </c>
    </row>
    <row r="1017" spans="1:10" ht="15.75" x14ac:dyDescent="0.25">
      <c r="A1017" s="32">
        <v>71894</v>
      </c>
      <c r="B1017" s="14">
        <f>76.8396 * CHOOSE(CONTROL!$C$15, $E$9, 100%, $G$9) + CHOOSE(CONTROL!$C$38, 0.034, 0)</f>
        <v>76.87360000000001</v>
      </c>
      <c r="C1017" s="14">
        <f>72.7188 * CHOOSE(CONTROL!$C$15, $E$9, 100%, $G$9) + CHOOSE(CONTROL!$C$38, 0.0342, 0)</f>
        <v>72.753</v>
      </c>
      <c r="D1017" s="14">
        <f>72.711 * CHOOSE(CONTROL!$C$15, $E$9, 100%, $G$9) + CHOOSE(CONTROL!$C$38, 0.0342, 0)</f>
        <v>72.745199999999997</v>
      </c>
      <c r="E1017" s="14">
        <f>72.711 * CHOOSE(CONTROL!$C$15, $E$9, 100%, $G$9) + CHOOSE(CONTROL!$C$38, 0.0342, 0)</f>
        <v>72.745199999999997</v>
      </c>
      <c r="F1017" s="45">
        <f>76.8396 * CHOOSE(CONTROL!$C$15, $E$9, 100%, $G$9) + CHOOSE(CONTROL!$C$38, 0.034, 0)</f>
        <v>76.87360000000001</v>
      </c>
      <c r="G1017" s="14">
        <f>72.7173 * CHOOSE(CONTROL!$C$15, $E$9, 100%, $G$9) + CHOOSE(CONTROL!$C$38, 0.0342, 0)</f>
        <v>72.751499999999993</v>
      </c>
      <c r="H1017" s="14">
        <f>72.7173 * CHOOSE(CONTROL!$C$15, $E$9, 100%, $G$9) + CHOOSE(CONTROL!$C$38, 0.0342, 0)</f>
        <v>72.751499999999993</v>
      </c>
      <c r="I1017" s="14">
        <f>72.7188 * CHOOSE(CONTROL!$C$15, $E$9, 100%, $G$9) + CHOOSE(CONTROL!$C$38, 0.0342, 0)</f>
        <v>72.753</v>
      </c>
      <c r="J1017" s="44">
        <f>781.9852</f>
        <v>781.98519999999996</v>
      </c>
    </row>
    <row r="1018" spans="1:10" ht="15.75" x14ac:dyDescent="0.25">
      <c r="A1018" s="32">
        <v>71924</v>
      </c>
      <c r="B1018" s="14">
        <f>76.2965 * CHOOSE(CONTROL!$C$15, $E$9, 100%, $G$9) + CHOOSE(CONTROL!$C$38, 0.034, 0)</f>
        <v>76.330500000000001</v>
      </c>
      <c r="C1018" s="14">
        <f>72.204 * CHOOSE(CONTROL!$C$15, $E$9, 100%, $G$9) + CHOOSE(CONTROL!$C$38, 0.0342, 0)</f>
        <v>72.238199999999992</v>
      </c>
      <c r="D1018" s="14">
        <f>72.1962 * CHOOSE(CONTROL!$C$15, $E$9, 100%, $G$9) + CHOOSE(CONTROL!$C$38, 0.0342, 0)</f>
        <v>72.230400000000003</v>
      </c>
      <c r="E1018" s="14">
        <f>72.1962 * CHOOSE(CONTROL!$C$15, $E$9, 100%, $G$9) + CHOOSE(CONTROL!$C$38, 0.0342, 0)</f>
        <v>72.230400000000003</v>
      </c>
      <c r="F1018" s="45">
        <f>76.2965 * CHOOSE(CONTROL!$C$15, $E$9, 100%, $G$9) + CHOOSE(CONTROL!$C$38, 0.034, 0)</f>
        <v>76.330500000000001</v>
      </c>
      <c r="G1018" s="14">
        <f>72.2024 * CHOOSE(CONTROL!$C$15, $E$9, 100%, $G$9) + CHOOSE(CONTROL!$C$38, 0.0342, 0)</f>
        <v>72.236599999999996</v>
      </c>
      <c r="H1018" s="14">
        <f>72.2024 * CHOOSE(CONTROL!$C$15, $E$9, 100%, $G$9) + CHOOSE(CONTROL!$C$38, 0.0342, 0)</f>
        <v>72.236599999999996</v>
      </c>
      <c r="I1018" s="14">
        <f>72.204 * CHOOSE(CONTROL!$C$15, $E$9, 100%, $G$9) + CHOOSE(CONTROL!$C$38, 0.0342, 0)</f>
        <v>72.238199999999992</v>
      </c>
      <c r="J1018" s="44">
        <f>776.4134</f>
        <v>776.41340000000002</v>
      </c>
    </row>
    <row r="1019" spans="1:10" ht="15.75" x14ac:dyDescent="0.25">
      <c r="A1019" s="32">
        <v>71955</v>
      </c>
      <c r="B1019" s="14">
        <f>74.0507 * CHOOSE(CONTROL!$C$15, $E$9, 100%, $G$9) + CHOOSE(CONTROL!$C$38, 0.034, 0)</f>
        <v>74.084700000000012</v>
      </c>
      <c r="C1019" s="14">
        <f>70.075 * CHOOSE(CONTROL!$C$15, $E$9, 100%, $G$9) + CHOOSE(CONTROL!$C$38, 0.0342, 0)</f>
        <v>70.109200000000001</v>
      </c>
      <c r="D1019" s="14">
        <f>70.0672 * CHOOSE(CONTROL!$C$15, $E$9, 100%, $G$9) + CHOOSE(CONTROL!$C$38, 0.0342, 0)</f>
        <v>70.101399999999998</v>
      </c>
      <c r="E1019" s="14">
        <f>70.0672 * CHOOSE(CONTROL!$C$15, $E$9, 100%, $G$9) + CHOOSE(CONTROL!$C$38, 0.0342, 0)</f>
        <v>70.101399999999998</v>
      </c>
      <c r="F1019" s="45">
        <f>74.0507 * CHOOSE(CONTROL!$C$15, $E$9, 100%, $G$9) + CHOOSE(CONTROL!$C$38, 0.034, 0)</f>
        <v>74.084700000000012</v>
      </c>
      <c r="G1019" s="14">
        <f>70.0734 * CHOOSE(CONTROL!$C$15, $E$9, 100%, $G$9) + CHOOSE(CONTROL!$C$38, 0.0342, 0)</f>
        <v>70.107600000000005</v>
      </c>
      <c r="H1019" s="14">
        <f>70.0734 * CHOOSE(CONTROL!$C$15, $E$9, 100%, $G$9) + CHOOSE(CONTROL!$C$38, 0.0342, 0)</f>
        <v>70.107600000000005</v>
      </c>
      <c r="I1019" s="14">
        <f>70.075 * CHOOSE(CONTROL!$C$15, $E$9, 100%, $G$9) + CHOOSE(CONTROL!$C$38, 0.0342, 0)</f>
        <v>70.109200000000001</v>
      </c>
      <c r="J1019" s="44">
        <f>753.3732</f>
        <v>753.3732</v>
      </c>
    </row>
    <row r="1020" spans="1:10" ht="15.75" x14ac:dyDescent="0.25">
      <c r="A1020" s="32">
        <v>71986</v>
      </c>
      <c r="B1020" s="14">
        <f>73.493 * CHOOSE(CONTROL!$C$15, $E$9, 100%, $G$9) + CHOOSE(CONTROL!$C$38, 0.034, 0)</f>
        <v>73.527000000000001</v>
      </c>
      <c r="C1020" s="14">
        <f>69.5463 * CHOOSE(CONTROL!$C$15, $E$9, 100%, $G$9) + CHOOSE(CONTROL!$C$38, 0.0342, 0)</f>
        <v>69.580500000000001</v>
      </c>
      <c r="D1020" s="14">
        <f>69.5385 * CHOOSE(CONTROL!$C$15, $E$9, 100%, $G$9) + CHOOSE(CONTROL!$C$38, 0.0342, 0)</f>
        <v>69.572699999999998</v>
      </c>
      <c r="E1020" s="14">
        <f>69.5385 * CHOOSE(CONTROL!$C$15, $E$9, 100%, $G$9) + CHOOSE(CONTROL!$C$38, 0.0342, 0)</f>
        <v>69.572699999999998</v>
      </c>
      <c r="F1020" s="45">
        <f>73.493 * CHOOSE(CONTROL!$C$15, $E$9, 100%, $G$9) + CHOOSE(CONTROL!$C$38, 0.034, 0)</f>
        <v>73.527000000000001</v>
      </c>
      <c r="G1020" s="14">
        <f>69.5447 * CHOOSE(CONTROL!$C$15, $E$9, 100%, $G$9) + CHOOSE(CONTROL!$C$38, 0.0342, 0)</f>
        <v>69.578900000000004</v>
      </c>
      <c r="H1020" s="14">
        <f>69.5447 * CHOOSE(CONTROL!$C$15, $E$9, 100%, $G$9) + CHOOSE(CONTROL!$C$38, 0.0342, 0)</f>
        <v>69.578900000000004</v>
      </c>
      <c r="I1020" s="14">
        <f>69.5463 * CHOOSE(CONTROL!$C$15, $E$9, 100%, $G$9) + CHOOSE(CONTROL!$C$38, 0.0342, 0)</f>
        <v>69.580500000000001</v>
      </c>
      <c r="J1020" s="44">
        <f>752.8293</f>
        <v>752.82929999999999</v>
      </c>
    </row>
    <row r="1021" spans="1:10" ht="15.75" x14ac:dyDescent="0.25">
      <c r="A1021" s="32">
        <v>72014</v>
      </c>
      <c r="B1021" s="14">
        <f>73.2905 * CHOOSE(CONTROL!$C$15, $E$9, 100%, $G$9) + CHOOSE(CONTROL!$C$38, 0.034, 0)</f>
        <v>73.3245</v>
      </c>
      <c r="C1021" s="14">
        <f>69.3542 * CHOOSE(CONTROL!$C$15, $E$9, 100%, $G$9) + CHOOSE(CONTROL!$C$38, 0.0342, 0)</f>
        <v>69.388400000000004</v>
      </c>
      <c r="D1021" s="14">
        <f>69.3464 * CHOOSE(CONTROL!$C$15, $E$9, 100%, $G$9) + CHOOSE(CONTROL!$C$38, 0.0342, 0)</f>
        <v>69.380600000000001</v>
      </c>
      <c r="E1021" s="14">
        <f>69.3464 * CHOOSE(CONTROL!$C$15, $E$9, 100%, $G$9) + CHOOSE(CONTROL!$C$38, 0.0342, 0)</f>
        <v>69.380600000000001</v>
      </c>
      <c r="F1021" s="45">
        <f>73.2905 * CHOOSE(CONTROL!$C$15, $E$9, 100%, $G$9) + CHOOSE(CONTROL!$C$38, 0.034, 0)</f>
        <v>73.3245</v>
      </c>
      <c r="G1021" s="14">
        <f>69.3527 * CHOOSE(CONTROL!$C$15, $E$9, 100%, $G$9) + CHOOSE(CONTROL!$C$38, 0.0342, 0)</f>
        <v>69.386899999999997</v>
      </c>
      <c r="H1021" s="14">
        <f>69.3527 * CHOOSE(CONTROL!$C$15, $E$9, 100%, $G$9) + CHOOSE(CONTROL!$C$38, 0.0342, 0)</f>
        <v>69.386899999999997</v>
      </c>
      <c r="I1021" s="14">
        <f>69.3542 * CHOOSE(CONTROL!$C$15, $E$9, 100%, $G$9) + CHOOSE(CONTROL!$C$38, 0.0342, 0)</f>
        <v>69.388400000000004</v>
      </c>
      <c r="J1021" s="44">
        <f>750.7367</f>
        <v>750.73670000000004</v>
      </c>
    </row>
    <row r="1022" spans="1:10" ht="15.75" x14ac:dyDescent="0.25">
      <c r="A1022" s="32">
        <v>72045</v>
      </c>
      <c r="B1022" s="14">
        <f>77.1208 * CHOOSE(CONTROL!$C$15, $E$9, 100%, $G$9) + CHOOSE(CONTROL!$C$38, 0.034, 0)</f>
        <v>77.154800000000009</v>
      </c>
      <c r="C1022" s="14">
        <f>72.9853 * CHOOSE(CONTROL!$C$15, $E$9, 100%, $G$9) + CHOOSE(CONTROL!$C$38, 0.0342, 0)</f>
        <v>73.019499999999994</v>
      </c>
      <c r="D1022" s="14">
        <f>72.9775 * CHOOSE(CONTROL!$C$15, $E$9, 100%, $G$9) + CHOOSE(CONTROL!$C$38, 0.0342, 0)</f>
        <v>73.011700000000005</v>
      </c>
      <c r="E1022" s="14">
        <f>72.9775 * CHOOSE(CONTROL!$C$15, $E$9, 100%, $G$9) + CHOOSE(CONTROL!$C$38, 0.0342, 0)</f>
        <v>73.011700000000005</v>
      </c>
      <c r="F1022" s="45">
        <f>77.1208 * CHOOSE(CONTROL!$C$15, $E$9, 100%, $G$9) + CHOOSE(CONTROL!$C$38, 0.034, 0)</f>
        <v>77.154800000000009</v>
      </c>
      <c r="G1022" s="14">
        <f>72.9838 * CHOOSE(CONTROL!$C$15, $E$9, 100%, $G$9) + CHOOSE(CONTROL!$C$38, 0.0342, 0)</f>
        <v>73.018000000000001</v>
      </c>
      <c r="H1022" s="14">
        <f>72.9838 * CHOOSE(CONTROL!$C$15, $E$9, 100%, $G$9) + CHOOSE(CONTROL!$C$38, 0.0342, 0)</f>
        <v>73.018000000000001</v>
      </c>
      <c r="I1022" s="14">
        <f>72.9853 * CHOOSE(CONTROL!$C$15, $E$9, 100%, $G$9) + CHOOSE(CONTROL!$C$38, 0.0342, 0)</f>
        <v>73.019499999999994</v>
      </c>
      <c r="J1022" s="44">
        <f>790.3049</f>
        <v>790.30489999999998</v>
      </c>
    </row>
    <row r="1023" spans="1:10" ht="15.75" x14ac:dyDescent="0.25">
      <c r="A1023" s="32">
        <v>72075</v>
      </c>
      <c r="B1023" s="14">
        <f>82.0877 * CHOOSE(CONTROL!$C$15, $E$9, 100%, $G$9) + CHOOSE(CONTROL!$C$38, 0.034, 0)</f>
        <v>82.121700000000004</v>
      </c>
      <c r="C1023" s="14">
        <f>77.694 * CHOOSE(CONTROL!$C$15, $E$9, 100%, $G$9) + CHOOSE(CONTROL!$C$38, 0.0342, 0)</f>
        <v>77.728200000000001</v>
      </c>
      <c r="D1023" s="14">
        <f>77.6861 * CHOOSE(CONTROL!$C$15, $E$9, 100%, $G$9) + CHOOSE(CONTROL!$C$38, 0.0342, 0)</f>
        <v>77.720299999999995</v>
      </c>
      <c r="E1023" s="14">
        <f>77.6861 * CHOOSE(CONTROL!$C$15, $E$9, 100%, $G$9) + CHOOSE(CONTROL!$C$38, 0.0342, 0)</f>
        <v>77.720299999999995</v>
      </c>
      <c r="F1023" s="45">
        <f>82.0877 * CHOOSE(CONTROL!$C$15, $E$9, 100%, $G$9) + CHOOSE(CONTROL!$C$38, 0.034, 0)</f>
        <v>82.121700000000004</v>
      </c>
      <c r="G1023" s="14">
        <f>77.6924 * CHOOSE(CONTROL!$C$15, $E$9, 100%, $G$9) + CHOOSE(CONTROL!$C$38, 0.0342, 0)</f>
        <v>77.726600000000005</v>
      </c>
      <c r="H1023" s="14">
        <f>77.6924 * CHOOSE(CONTROL!$C$15, $E$9, 100%, $G$9) + CHOOSE(CONTROL!$C$38, 0.0342, 0)</f>
        <v>77.726600000000005</v>
      </c>
      <c r="I1023" s="14">
        <f>77.694 * CHOOSE(CONTROL!$C$15, $E$9, 100%, $G$9) + CHOOSE(CONTROL!$C$38, 0.0342, 0)</f>
        <v>77.728200000000001</v>
      </c>
      <c r="J1023" s="44">
        <f>841.6153</f>
        <v>841.61530000000005</v>
      </c>
    </row>
    <row r="1024" spans="1:10" ht="15.75" x14ac:dyDescent="0.25">
      <c r="A1024" s="32">
        <v>72106</v>
      </c>
      <c r="B1024" s="14">
        <f>84.8217 * CHOOSE(CONTROL!$C$15, $E$9, 100%, $G$9) + CHOOSE(CONTROL!$C$38, 0.0353, 0)</f>
        <v>84.857000000000014</v>
      </c>
      <c r="C1024" s="14">
        <f>80.2857 * CHOOSE(CONTROL!$C$15, $E$9, 100%, $G$9) + CHOOSE(CONTROL!$C$38, 0.0354, 0)</f>
        <v>80.321100000000001</v>
      </c>
      <c r="D1024" s="14">
        <f>80.2779 * CHOOSE(CONTROL!$C$15, $E$9, 100%, $G$9) + CHOOSE(CONTROL!$C$38, 0.0354, 0)</f>
        <v>80.313299999999998</v>
      </c>
      <c r="E1024" s="14">
        <f>80.2779 * CHOOSE(CONTROL!$C$15, $E$9, 100%, $G$9) + CHOOSE(CONTROL!$C$38, 0.0354, 0)</f>
        <v>80.313299999999998</v>
      </c>
      <c r="F1024" s="45">
        <f>84.8217 * CHOOSE(CONTROL!$C$15, $E$9, 100%, $G$9) + CHOOSE(CONTROL!$C$38, 0.0353, 0)</f>
        <v>84.857000000000014</v>
      </c>
      <c r="G1024" s="14">
        <f>80.2842 * CHOOSE(CONTROL!$C$15, $E$9, 100%, $G$9) + CHOOSE(CONTROL!$C$38, 0.0354, 0)</f>
        <v>80.319599999999994</v>
      </c>
      <c r="H1024" s="14">
        <f>80.2842 * CHOOSE(CONTROL!$C$15, $E$9, 100%, $G$9) + CHOOSE(CONTROL!$C$38, 0.0354, 0)</f>
        <v>80.319599999999994</v>
      </c>
      <c r="I1024" s="14">
        <f>80.2857 * CHOOSE(CONTROL!$C$15, $E$9, 100%, $G$9) + CHOOSE(CONTROL!$C$38, 0.0354, 0)</f>
        <v>80.321100000000001</v>
      </c>
      <c r="J1024" s="44">
        <f>869.8583</f>
        <v>869.85829999999999</v>
      </c>
    </row>
    <row r="1025" spans="1:10" ht="15.75" x14ac:dyDescent="0.25">
      <c r="A1025" s="32">
        <v>72136</v>
      </c>
      <c r="B1025" s="14">
        <f>86.035 * CHOOSE(CONTROL!$C$15, $E$9, 100%, $G$9) + CHOOSE(CONTROL!$C$38, 0.0353, 0)</f>
        <v>86.070300000000003</v>
      </c>
      <c r="C1025" s="14">
        <f>81.4359 * CHOOSE(CONTROL!$C$15, $E$9, 100%, $G$9) + CHOOSE(CONTROL!$C$38, 0.0354, 0)</f>
        <v>81.471299999999999</v>
      </c>
      <c r="D1025" s="14">
        <f>81.4281 * CHOOSE(CONTROL!$C$15, $E$9, 100%, $G$9) + CHOOSE(CONTROL!$C$38, 0.0354, 0)</f>
        <v>81.463499999999996</v>
      </c>
      <c r="E1025" s="14">
        <f>81.4281 * CHOOSE(CONTROL!$C$15, $E$9, 100%, $G$9) + CHOOSE(CONTROL!$C$38, 0.0354, 0)</f>
        <v>81.463499999999996</v>
      </c>
      <c r="F1025" s="45">
        <f>86.035 * CHOOSE(CONTROL!$C$15, $E$9, 100%, $G$9) + CHOOSE(CONTROL!$C$38, 0.0353, 0)</f>
        <v>86.070300000000003</v>
      </c>
      <c r="G1025" s="14">
        <f>81.4344 * CHOOSE(CONTROL!$C$15, $E$9, 100%, $G$9) + CHOOSE(CONTROL!$C$38, 0.0354, 0)</f>
        <v>81.469799999999992</v>
      </c>
      <c r="H1025" s="14">
        <f>81.4344 * CHOOSE(CONTROL!$C$15, $E$9, 100%, $G$9) + CHOOSE(CONTROL!$C$38, 0.0354, 0)</f>
        <v>81.469799999999992</v>
      </c>
      <c r="I1025" s="14">
        <f>81.4359 * CHOOSE(CONTROL!$C$15, $E$9, 100%, $G$9) + CHOOSE(CONTROL!$C$38, 0.0354, 0)</f>
        <v>81.471299999999999</v>
      </c>
      <c r="J1025" s="44">
        <f>882.392</f>
        <v>882.39200000000005</v>
      </c>
    </row>
    <row r="1026" spans="1:10" ht="15.75" x14ac:dyDescent="0.25">
      <c r="A1026" s="32">
        <v>72167</v>
      </c>
      <c r="B1026" s="14">
        <f>85.6356 * CHOOSE(CONTROL!$C$15, $E$9, 100%, $G$9) + CHOOSE(CONTROL!$C$38, 0.0353, 0)</f>
        <v>85.670900000000003</v>
      </c>
      <c r="C1026" s="14">
        <f>81.0572 * CHOOSE(CONTROL!$C$15, $E$9, 100%, $G$9) + CHOOSE(CONTROL!$C$38, 0.0354, 0)</f>
        <v>81.09259999999999</v>
      </c>
      <c r="D1026" s="14">
        <f>81.0494 * CHOOSE(CONTROL!$C$15, $E$9, 100%, $G$9) + CHOOSE(CONTROL!$C$38, 0.0354, 0)</f>
        <v>81.084800000000001</v>
      </c>
      <c r="E1026" s="14">
        <f>81.0494 * CHOOSE(CONTROL!$C$15, $E$9, 100%, $G$9) + CHOOSE(CONTROL!$C$38, 0.0354, 0)</f>
        <v>81.084800000000001</v>
      </c>
      <c r="F1026" s="45">
        <f>85.6356 * CHOOSE(CONTROL!$C$15, $E$9, 100%, $G$9) + CHOOSE(CONTROL!$C$38, 0.0353, 0)</f>
        <v>85.670900000000003</v>
      </c>
      <c r="G1026" s="14">
        <f>81.0557 * CHOOSE(CONTROL!$C$15, $E$9, 100%, $G$9) + CHOOSE(CONTROL!$C$38, 0.0354, 0)</f>
        <v>81.091099999999997</v>
      </c>
      <c r="H1026" s="14">
        <f>81.0557 * CHOOSE(CONTROL!$C$15, $E$9, 100%, $G$9) + CHOOSE(CONTROL!$C$38, 0.0354, 0)</f>
        <v>81.091099999999997</v>
      </c>
      <c r="I1026" s="14">
        <f>81.0572 * CHOOSE(CONTROL!$C$15, $E$9, 100%, $G$9) + CHOOSE(CONTROL!$C$38, 0.0354, 0)</f>
        <v>81.09259999999999</v>
      </c>
      <c r="J1026" s="44">
        <f>878.2653</f>
        <v>878.26530000000002</v>
      </c>
    </row>
    <row r="1027" spans="1:10" ht="15.75" x14ac:dyDescent="0.25">
      <c r="A1027" s="32">
        <v>72198</v>
      </c>
      <c r="B1027" s="14">
        <f>83.6564 * CHOOSE(CONTROL!$C$15, $E$9, 100%, $G$9) + CHOOSE(CONTROL!$C$38, 0.0353, 0)</f>
        <v>83.691700000000012</v>
      </c>
      <c r="C1027" s="14">
        <f>79.181 * CHOOSE(CONTROL!$C$15, $E$9, 100%, $G$9) + CHOOSE(CONTROL!$C$38, 0.0354, 0)</f>
        <v>79.216399999999993</v>
      </c>
      <c r="D1027" s="14">
        <f>79.1732 * CHOOSE(CONTROL!$C$15, $E$9, 100%, $G$9) + CHOOSE(CONTROL!$C$38, 0.0354, 0)</f>
        <v>79.20859999999999</v>
      </c>
      <c r="E1027" s="14">
        <f>79.1732 * CHOOSE(CONTROL!$C$15, $E$9, 100%, $G$9) + CHOOSE(CONTROL!$C$38, 0.0354, 0)</f>
        <v>79.20859999999999</v>
      </c>
      <c r="F1027" s="45">
        <f>83.6564 * CHOOSE(CONTROL!$C$15, $E$9, 100%, $G$9) + CHOOSE(CONTROL!$C$38, 0.0353, 0)</f>
        <v>83.691700000000012</v>
      </c>
      <c r="G1027" s="14">
        <f>79.1794 * CHOOSE(CONTROL!$C$15, $E$9, 100%, $G$9) + CHOOSE(CONTROL!$C$38, 0.0354, 0)</f>
        <v>79.214799999999997</v>
      </c>
      <c r="H1027" s="14">
        <f>79.1794 * CHOOSE(CONTROL!$C$15, $E$9, 100%, $G$9) + CHOOSE(CONTROL!$C$38, 0.0354, 0)</f>
        <v>79.214799999999997</v>
      </c>
      <c r="I1027" s="14">
        <f>79.181 * CHOOSE(CONTROL!$C$15, $E$9, 100%, $G$9) + CHOOSE(CONTROL!$C$38, 0.0354, 0)</f>
        <v>79.216399999999993</v>
      </c>
      <c r="J1027" s="44">
        <f>857.8196</f>
        <v>857.81960000000004</v>
      </c>
    </row>
    <row r="1028" spans="1:10" ht="15.75" x14ac:dyDescent="0.25">
      <c r="A1028" s="32">
        <v>72228</v>
      </c>
      <c r="B1028" s="14">
        <f>80.8963 * CHOOSE(CONTROL!$C$15, $E$9, 100%, $G$9) + CHOOSE(CONTROL!$C$38, 0.0353, 0)</f>
        <v>80.931600000000003</v>
      </c>
      <c r="C1028" s="14">
        <f>76.5645 * CHOOSE(CONTROL!$C$15, $E$9, 100%, $G$9) + CHOOSE(CONTROL!$C$38, 0.0354, 0)</f>
        <v>76.599899999999991</v>
      </c>
      <c r="D1028" s="14">
        <f>76.5567 * CHOOSE(CONTROL!$C$15, $E$9, 100%, $G$9) + CHOOSE(CONTROL!$C$38, 0.0354, 0)</f>
        <v>76.592100000000002</v>
      </c>
      <c r="E1028" s="14">
        <f>76.5567 * CHOOSE(CONTROL!$C$15, $E$9, 100%, $G$9) + CHOOSE(CONTROL!$C$38, 0.0354, 0)</f>
        <v>76.592100000000002</v>
      </c>
      <c r="F1028" s="45">
        <f>80.8963 * CHOOSE(CONTROL!$C$15, $E$9, 100%, $G$9) + CHOOSE(CONTROL!$C$38, 0.0353, 0)</f>
        <v>80.931600000000003</v>
      </c>
      <c r="G1028" s="14">
        <f>76.5629 * CHOOSE(CONTROL!$C$15, $E$9, 100%, $G$9) + CHOOSE(CONTROL!$C$38, 0.0354, 0)</f>
        <v>76.598299999999995</v>
      </c>
      <c r="H1028" s="14">
        <f>76.5629 * CHOOSE(CONTROL!$C$15, $E$9, 100%, $G$9) + CHOOSE(CONTROL!$C$38, 0.0354, 0)</f>
        <v>76.598299999999995</v>
      </c>
      <c r="I1028" s="14">
        <f>76.5645 * CHOOSE(CONTROL!$C$15, $E$9, 100%, $G$9) + CHOOSE(CONTROL!$C$38, 0.0354, 0)</f>
        <v>76.599899999999991</v>
      </c>
      <c r="J1028" s="44">
        <f>829.3072</f>
        <v>829.30719999999997</v>
      </c>
    </row>
    <row r="1029" spans="1:10" ht="15.75" x14ac:dyDescent="0.25">
      <c r="A1029" s="32">
        <v>72259</v>
      </c>
      <c r="B1029" s="14">
        <f>78.1202 * CHOOSE(CONTROL!$C$15, $E$9, 100%, $G$9) + CHOOSE(CONTROL!$C$38, 0.034, 0)</f>
        <v>78.154200000000003</v>
      </c>
      <c r="C1029" s="14">
        <f>73.9327 * CHOOSE(CONTROL!$C$15, $E$9, 100%, $G$9) + CHOOSE(CONTROL!$C$38, 0.0342, 0)</f>
        <v>73.966899999999995</v>
      </c>
      <c r="D1029" s="14">
        <f>73.9249 * CHOOSE(CONTROL!$C$15, $E$9, 100%, $G$9) + CHOOSE(CONTROL!$C$38, 0.0342, 0)</f>
        <v>73.959099999999992</v>
      </c>
      <c r="E1029" s="14">
        <f>73.9249 * CHOOSE(CONTROL!$C$15, $E$9, 100%, $G$9) + CHOOSE(CONTROL!$C$38, 0.0342, 0)</f>
        <v>73.959099999999992</v>
      </c>
      <c r="F1029" s="45">
        <f>78.1202 * CHOOSE(CONTROL!$C$15, $E$9, 100%, $G$9) + CHOOSE(CONTROL!$C$38, 0.034, 0)</f>
        <v>78.154200000000003</v>
      </c>
      <c r="G1029" s="14">
        <f>73.9312 * CHOOSE(CONTROL!$C$15, $E$9, 100%, $G$9) + CHOOSE(CONTROL!$C$38, 0.0342, 0)</f>
        <v>73.965400000000002</v>
      </c>
      <c r="H1029" s="14">
        <f>73.9312 * CHOOSE(CONTROL!$C$15, $E$9, 100%, $G$9) + CHOOSE(CONTROL!$C$38, 0.0342, 0)</f>
        <v>73.965400000000002</v>
      </c>
      <c r="I1029" s="14">
        <f>73.9327 * CHOOSE(CONTROL!$C$15, $E$9, 100%, $G$9) + CHOOSE(CONTROL!$C$38, 0.0342, 0)</f>
        <v>73.966899999999995</v>
      </c>
      <c r="J1029" s="44">
        <f>800.6289</f>
        <v>800.62890000000004</v>
      </c>
    </row>
    <row r="1030" spans="1:10" ht="15.75" x14ac:dyDescent="0.25">
      <c r="A1030" s="32">
        <v>72289</v>
      </c>
      <c r="B1030" s="14">
        <f>77.5679 * CHOOSE(CONTROL!$C$15, $E$9, 100%, $G$9) + CHOOSE(CONTROL!$C$38, 0.034, 0)</f>
        <v>77.601900000000001</v>
      </c>
      <c r="C1030" s="14">
        <f>73.4092 * CHOOSE(CONTROL!$C$15, $E$9, 100%, $G$9) + CHOOSE(CONTROL!$C$38, 0.0342, 0)</f>
        <v>73.443399999999997</v>
      </c>
      <c r="D1030" s="14">
        <f>73.4014 * CHOOSE(CONTROL!$C$15, $E$9, 100%, $G$9) + CHOOSE(CONTROL!$C$38, 0.0342, 0)</f>
        <v>73.435599999999994</v>
      </c>
      <c r="E1030" s="14">
        <f>73.4014 * CHOOSE(CONTROL!$C$15, $E$9, 100%, $G$9) + CHOOSE(CONTROL!$C$38, 0.0342, 0)</f>
        <v>73.435599999999994</v>
      </c>
      <c r="F1030" s="45">
        <f>77.5679 * CHOOSE(CONTROL!$C$15, $E$9, 100%, $G$9) + CHOOSE(CONTROL!$C$38, 0.034, 0)</f>
        <v>77.601900000000001</v>
      </c>
      <c r="G1030" s="14">
        <f>73.4077 * CHOOSE(CONTROL!$C$15, $E$9, 100%, $G$9) + CHOOSE(CONTROL!$C$38, 0.0342, 0)</f>
        <v>73.441900000000004</v>
      </c>
      <c r="H1030" s="14">
        <f>73.4077 * CHOOSE(CONTROL!$C$15, $E$9, 100%, $G$9) + CHOOSE(CONTROL!$C$38, 0.0342, 0)</f>
        <v>73.441900000000004</v>
      </c>
      <c r="I1030" s="14">
        <f>73.4092 * CHOOSE(CONTROL!$C$15, $E$9, 100%, $G$9) + CHOOSE(CONTROL!$C$38, 0.0342, 0)</f>
        <v>73.443399999999997</v>
      </c>
      <c r="J1030" s="44">
        <f>794.9242</f>
        <v>794.92420000000004</v>
      </c>
    </row>
    <row r="1031" spans="1:10" ht="15.75" x14ac:dyDescent="0.25">
      <c r="A1031" s="32">
        <v>72320</v>
      </c>
      <c r="B1031" s="14">
        <f>75.2844 * CHOOSE(CONTROL!$C$15, $E$9, 100%, $G$9) + CHOOSE(CONTROL!$C$38, 0.034, 0)</f>
        <v>75.318400000000011</v>
      </c>
      <c r="C1031" s="14">
        <f>71.2445 * CHOOSE(CONTROL!$C$15, $E$9, 100%, $G$9) + CHOOSE(CONTROL!$C$38, 0.0342, 0)</f>
        <v>71.278700000000001</v>
      </c>
      <c r="D1031" s="14">
        <f>71.2367 * CHOOSE(CONTROL!$C$15, $E$9, 100%, $G$9) + CHOOSE(CONTROL!$C$38, 0.0342, 0)</f>
        <v>71.270899999999997</v>
      </c>
      <c r="E1031" s="14">
        <f>71.2367 * CHOOSE(CONTROL!$C$15, $E$9, 100%, $G$9) + CHOOSE(CONTROL!$C$38, 0.0342, 0)</f>
        <v>71.270899999999997</v>
      </c>
      <c r="F1031" s="45">
        <f>75.2844 * CHOOSE(CONTROL!$C$15, $E$9, 100%, $G$9) + CHOOSE(CONTROL!$C$38, 0.034, 0)</f>
        <v>75.318400000000011</v>
      </c>
      <c r="G1031" s="14">
        <f>71.2429 * CHOOSE(CONTROL!$C$15, $E$9, 100%, $G$9) + CHOOSE(CONTROL!$C$38, 0.0342, 0)</f>
        <v>71.277100000000004</v>
      </c>
      <c r="H1031" s="14">
        <f>71.2429 * CHOOSE(CONTROL!$C$15, $E$9, 100%, $G$9) + CHOOSE(CONTROL!$C$38, 0.0342, 0)</f>
        <v>71.277100000000004</v>
      </c>
      <c r="I1031" s="14">
        <f>71.2445 * CHOOSE(CONTROL!$C$15, $E$9, 100%, $G$9) + CHOOSE(CONTROL!$C$38, 0.0342, 0)</f>
        <v>71.278700000000001</v>
      </c>
      <c r="J1031" s="44">
        <f>771.3348</f>
        <v>771.33479999999997</v>
      </c>
    </row>
    <row r="1032" spans="1:10" ht="15.75" x14ac:dyDescent="0.25">
      <c r="A1032" s="32">
        <v>72351</v>
      </c>
      <c r="B1032" s="14">
        <f>74.7173 * CHOOSE(CONTROL!$C$15, $E$9, 100%, $G$9) + CHOOSE(CONTROL!$C$38, 0.034, 0)</f>
        <v>74.751300000000001</v>
      </c>
      <c r="C1032" s="14">
        <f>70.7069 * CHOOSE(CONTROL!$C$15, $E$9, 100%, $G$9) + CHOOSE(CONTROL!$C$38, 0.0342, 0)</f>
        <v>70.741100000000003</v>
      </c>
      <c r="D1032" s="14">
        <f>70.6991 * CHOOSE(CONTROL!$C$15, $E$9, 100%, $G$9) + CHOOSE(CONTROL!$C$38, 0.0342, 0)</f>
        <v>70.7333</v>
      </c>
      <c r="E1032" s="14">
        <f>70.6991 * CHOOSE(CONTROL!$C$15, $E$9, 100%, $G$9) + CHOOSE(CONTROL!$C$38, 0.0342, 0)</f>
        <v>70.7333</v>
      </c>
      <c r="F1032" s="45">
        <f>74.7173 * CHOOSE(CONTROL!$C$15, $E$9, 100%, $G$9) + CHOOSE(CONTROL!$C$38, 0.034, 0)</f>
        <v>74.751300000000001</v>
      </c>
      <c r="G1032" s="14">
        <f>70.7053 * CHOOSE(CONTROL!$C$15, $E$9, 100%, $G$9) + CHOOSE(CONTROL!$C$38, 0.0342, 0)</f>
        <v>70.739499999999992</v>
      </c>
      <c r="H1032" s="14">
        <f>70.7053 * CHOOSE(CONTROL!$C$15, $E$9, 100%, $G$9) + CHOOSE(CONTROL!$C$38, 0.0342, 0)</f>
        <v>70.739499999999992</v>
      </c>
      <c r="I1032" s="14">
        <f>70.7069 * CHOOSE(CONTROL!$C$15, $E$9, 100%, $G$9) + CHOOSE(CONTROL!$C$38, 0.0342, 0)</f>
        <v>70.741100000000003</v>
      </c>
      <c r="J1032" s="44">
        <f>770.7779</f>
        <v>770.77790000000005</v>
      </c>
    </row>
    <row r="1033" spans="1:10" ht="15.75" x14ac:dyDescent="0.25">
      <c r="A1033" s="32">
        <v>72379</v>
      </c>
      <c r="B1033" s="14">
        <f>74.5114 * CHOOSE(CONTROL!$C$15, $E$9, 100%, $G$9) + CHOOSE(CONTROL!$C$38, 0.034, 0)</f>
        <v>74.545400000000001</v>
      </c>
      <c r="C1033" s="14">
        <f>70.5116 * CHOOSE(CONTROL!$C$15, $E$9, 100%, $G$9) + CHOOSE(CONTROL!$C$38, 0.0342, 0)</f>
        <v>70.5458</v>
      </c>
      <c r="D1033" s="14">
        <f>70.5038 * CHOOSE(CONTROL!$C$15, $E$9, 100%, $G$9) + CHOOSE(CONTROL!$C$38, 0.0342, 0)</f>
        <v>70.537999999999997</v>
      </c>
      <c r="E1033" s="14">
        <f>70.5038 * CHOOSE(CONTROL!$C$15, $E$9, 100%, $G$9) + CHOOSE(CONTROL!$C$38, 0.0342, 0)</f>
        <v>70.537999999999997</v>
      </c>
      <c r="F1033" s="45">
        <f>74.5114 * CHOOSE(CONTROL!$C$15, $E$9, 100%, $G$9) + CHOOSE(CONTROL!$C$38, 0.034, 0)</f>
        <v>74.545400000000001</v>
      </c>
      <c r="G1033" s="14">
        <f>70.5101 * CHOOSE(CONTROL!$C$15, $E$9, 100%, $G$9) + CHOOSE(CONTROL!$C$38, 0.0342, 0)</f>
        <v>70.544299999999993</v>
      </c>
      <c r="H1033" s="14">
        <f>70.5101 * CHOOSE(CONTROL!$C$15, $E$9, 100%, $G$9) + CHOOSE(CONTROL!$C$38, 0.0342, 0)</f>
        <v>70.544299999999993</v>
      </c>
      <c r="I1033" s="14">
        <f>70.5116 * CHOOSE(CONTROL!$C$15, $E$9, 100%, $G$9) + CHOOSE(CONTROL!$C$38, 0.0342, 0)</f>
        <v>70.5458</v>
      </c>
      <c r="J1033" s="44">
        <f>768.6354</f>
        <v>768.6354</v>
      </c>
    </row>
    <row r="1034" spans="1:10" ht="15.75" x14ac:dyDescent="0.25">
      <c r="A1034" s="32">
        <v>72410</v>
      </c>
      <c r="B1034" s="14">
        <f>78.406 * CHOOSE(CONTROL!$C$15, $E$9, 100%, $G$9) + CHOOSE(CONTROL!$C$38, 0.034, 0)</f>
        <v>78.440000000000012</v>
      </c>
      <c r="C1034" s="14">
        <f>74.2037 * CHOOSE(CONTROL!$C$15, $E$9, 100%, $G$9) + CHOOSE(CONTROL!$C$38, 0.0342, 0)</f>
        <v>74.237899999999996</v>
      </c>
      <c r="D1034" s="14">
        <f>74.1959 * CHOOSE(CONTROL!$C$15, $E$9, 100%, $G$9) + CHOOSE(CONTROL!$C$38, 0.0342, 0)</f>
        <v>74.230099999999993</v>
      </c>
      <c r="E1034" s="14">
        <f>74.1959 * CHOOSE(CONTROL!$C$15, $E$9, 100%, $G$9) + CHOOSE(CONTROL!$C$38, 0.0342, 0)</f>
        <v>74.230099999999993</v>
      </c>
      <c r="F1034" s="45">
        <f>78.406 * CHOOSE(CONTROL!$C$15, $E$9, 100%, $G$9) + CHOOSE(CONTROL!$C$38, 0.034, 0)</f>
        <v>78.440000000000012</v>
      </c>
      <c r="G1034" s="14">
        <f>74.2022 * CHOOSE(CONTROL!$C$15, $E$9, 100%, $G$9) + CHOOSE(CONTROL!$C$38, 0.0342, 0)</f>
        <v>74.236400000000003</v>
      </c>
      <c r="H1034" s="14">
        <f>74.2022 * CHOOSE(CONTROL!$C$15, $E$9, 100%, $G$9) + CHOOSE(CONTROL!$C$38, 0.0342, 0)</f>
        <v>74.236400000000003</v>
      </c>
      <c r="I1034" s="14">
        <f>74.2037 * CHOOSE(CONTROL!$C$15, $E$9, 100%, $G$9) + CHOOSE(CONTROL!$C$38, 0.0342, 0)</f>
        <v>74.237899999999996</v>
      </c>
      <c r="J1034" s="44">
        <f>809.1469</f>
        <v>809.14689999999996</v>
      </c>
    </row>
    <row r="1035" spans="1:10" ht="15.75" x14ac:dyDescent="0.25">
      <c r="A1035" s="32">
        <v>72440</v>
      </c>
      <c r="B1035" s="14">
        <f>83.4564 * CHOOSE(CONTROL!$C$15, $E$9, 100%, $G$9) + CHOOSE(CONTROL!$C$38, 0.034, 0)</f>
        <v>83.490400000000008</v>
      </c>
      <c r="C1035" s="14">
        <f>78.9915 * CHOOSE(CONTROL!$C$15, $E$9, 100%, $G$9) + CHOOSE(CONTROL!$C$38, 0.0342, 0)</f>
        <v>79.025700000000001</v>
      </c>
      <c r="D1035" s="14">
        <f>78.9836 * CHOOSE(CONTROL!$C$15, $E$9, 100%, $G$9) + CHOOSE(CONTROL!$C$38, 0.0342, 0)</f>
        <v>79.017799999999994</v>
      </c>
      <c r="E1035" s="14">
        <f>78.9836 * CHOOSE(CONTROL!$C$15, $E$9, 100%, $G$9) + CHOOSE(CONTROL!$C$38, 0.0342, 0)</f>
        <v>79.017799999999994</v>
      </c>
      <c r="F1035" s="45">
        <f>83.4564 * CHOOSE(CONTROL!$C$15, $E$9, 100%, $G$9) + CHOOSE(CONTROL!$C$38, 0.034, 0)</f>
        <v>83.490400000000008</v>
      </c>
      <c r="G1035" s="14">
        <f>78.9899 * CHOOSE(CONTROL!$C$15, $E$9, 100%, $G$9) + CHOOSE(CONTROL!$C$38, 0.0342, 0)</f>
        <v>79.024100000000004</v>
      </c>
      <c r="H1035" s="14">
        <f>78.9899 * CHOOSE(CONTROL!$C$15, $E$9, 100%, $G$9) + CHOOSE(CONTROL!$C$38, 0.0342, 0)</f>
        <v>79.024100000000004</v>
      </c>
      <c r="I1035" s="14">
        <f>78.9915 * CHOOSE(CONTROL!$C$15, $E$9, 100%, $G$9) + CHOOSE(CONTROL!$C$38, 0.0342, 0)</f>
        <v>79.025700000000001</v>
      </c>
      <c r="J1035" s="44">
        <f>861.6807</f>
        <v>861.6807</v>
      </c>
    </row>
    <row r="1036" spans="1:10" ht="15.75" x14ac:dyDescent="0.25">
      <c r="A1036" s="32">
        <v>72471</v>
      </c>
      <c r="B1036" s="14">
        <f>86.2364 * CHOOSE(CONTROL!$C$15, $E$9, 100%, $G$9) + CHOOSE(CONTROL!$C$38, 0.0353, 0)</f>
        <v>86.27170000000001</v>
      </c>
      <c r="C1036" s="14">
        <f>81.6268 * CHOOSE(CONTROL!$C$15, $E$9, 100%, $G$9) + CHOOSE(CONTROL!$C$38, 0.0354, 0)</f>
        <v>81.662199999999999</v>
      </c>
      <c r="D1036" s="14">
        <f>81.619 * CHOOSE(CONTROL!$C$15, $E$9, 100%, $G$9) + CHOOSE(CONTROL!$C$38, 0.0354, 0)</f>
        <v>81.654399999999995</v>
      </c>
      <c r="E1036" s="14">
        <f>81.619 * CHOOSE(CONTROL!$C$15, $E$9, 100%, $G$9) + CHOOSE(CONTROL!$C$38, 0.0354, 0)</f>
        <v>81.654399999999995</v>
      </c>
      <c r="F1036" s="45">
        <f>86.2364 * CHOOSE(CONTROL!$C$15, $E$9, 100%, $G$9) + CHOOSE(CONTROL!$C$38, 0.0353, 0)</f>
        <v>86.27170000000001</v>
      </c>
      <c r="G1036" s="14">
        <f>81.6252 * CHOOSE(CONTROL!$C$15, $E$9, 100%, $G$9) + CHOOSE(CONTROL!$C$38, 0.0354, 0)</f>
        <v>81.660600000000002</v>
      </c>
      <c r="H1036" s="14">
        <f>81.6252 * CHOOSE(CONTROL!$C$15, $E$9, 100%, $G$9) + CHOOSE(CONTROL!$C$38, 0.0354, 0)</f>
        <v>81.660600000000002</v>
      </c>
      <c r="I1036" s="14">
        <f>81.6268 * CHOOSE(CONTROL!$C$15, $E$9, 100%, $G$9) + CHOOSE(CONTROL!$C$38, 0.0354, 0)</f>
        <v>81.662199999999999</v>
      </c>
      <c r="J1036" s="44">
        <f>890.597</f>
        <v>890.59699999999998</v>
      </c>
    </row>
    <row r="1037" spans="1:10" ht="15.75" x14ac:dyDescent="0.25">
      <c r="A1037" s="32">
        <v>72501</v>
      </c>
      <c r="B1037" s="14">
        <f>87.47 * CHOOSE(CONTROL!$C$15, $E$9, 100%, $G$9) + CHOOSE(CONTROL!$C$38, 0.0353, 0)</f>
        <v>87.505300000000005</v>
      </c>
      <c r="C1037" s="14">
        <f>82.7963 * CHOOSE(CONTROL!$C$15, $E$9, 100%, $G$9) + CHOOSE(CONTROL!$C$38, 0.0354, 0)</f>
        <v>82.831699999999998</v>
      </c>
      <c r="D1037" s="14">
        <f>82.7885 * CHOOSE(CONTROL!$C$15, $E$9, 100%, $G$9) + CHOOSE(CONTROL!$C$38, 0.0354, 0)</f>
        <v>82.823899999999995</v>
      </c>
      <c r="E1037" s="14">
        <f>82.7885 * CHOOSE(CONTROL!$C$15, $E$9, 100%, $G$9) + CHOOSE(CONTROL!$C$38, 0.0354, 0)</f>
        <v>82.823899999999995</v>
      </c>
      <c r="F1037" s="45">
        <f>87.47 * CHOOSE(CONTROL!$C$15, $E$9, 100%, $G$9) + CHOOSE(CONTROL!$C$38, 0.0353, 0)</f>
        <v>87.505300000000005</v>
      </c>
      <c r="G1037" s="14">
        <f>82.7947 * CHOOSE(CONTROL!$C$15, $E$9, 100%, $G$9) + CHOOSE(CONTROL!$C$38, 0.0354, 0)</f>
        <v>82.830100000000002</v>
      </c>
      <c r="H1037" s="14">
        <f>82.7947 * CHOOSE(CONTROL!$C$15, $E$9, 100%, $G$9) + CHOOSE(CONTROL!$C$38, 0.0354, 0)</f>
        <v>82.830100000000002</v>
      </c>
      <c r="I1037" s="14">
        <f>82.7963 * CHOOSE(CONTROL!$C$15, $E$9, 100%, $G$9) + CHOOSE(CONTROL!$C$38, 0.0354, 0)</f>
        <v>82.831699999999998</v>
      </c>
      <c r="J1037" s="44">
        <f>903.4295</f>
        <v>903.42949999999996</v>
      </c>
    </row>
    <row r="1038" spans="1:10" ht="15.75" x14ac:dyDescent="0.25">
      <c r="A1038" s="32">
        <v>72532</v>
      </c>
      <c r="B1038" s="14">
        <f>87.0638 * CHOOSE(CONTROL!$C$15, $E$9, 100%, $G$9) + CHOOSE(CONTROL!$C$38, 0.0353, 0)</f>
        <v>87.099100000000007</v>
      </c>
      <c r="C1038" s="14">
        <f>82.4112 * CHOOSE(CONTROL!$C$15, $E$9, 100%, $G$9) + CHOOSE(CONTROL!$C$38, 0.0354, 0)</f>
        <v>82.446599999999989</v>
      </c>
      <c r="D1038" s="14">
        <f>82.4034 * CHOOSE(CONTROL!$C$15, $E$9, 100%, $G$9) + CHOOSE(CONTROL!$C$38, 0.0354, 0)</f>
        <v>82.438800000000001</v>
      </c>
      <c r="E1038" s="14">
        <f>82.4034 * CHOOSE(CONTROL!$C$15, $E$9, 100%, $G$9) + CHOOSE(CONTROL!$C$38, 0.0354, 0)</f>
        <v>82.438800000000001</v>
      </c>
      <c r="F1038" s="45">
        <f>87.0638 * CHOOSE(CONTROL!$C$15, $E$9, 100%, $G$9) + CHOOSE(CONTROL!$C$38, 0.0353, 0)</f>
        <v>87.099100000000007</v>
      </c>
      <c r="G1038" s="14">
        <f>82.4097 * CHOOSE(CONTROL!$C$15, $E$9, 100%, $G$9) + CHOOSE(CONTROL!$C$38, 0.0354, 0)</f>
        <v>82.445099999999996</v>
      </c>
      <c r="H1038" s="14">
        <f>82.4097 * CHOOSE(CONTROL!$C$15, $E$9, 100%, $G$9) + CHOOSE(CONTROL!$C$38, 0.0354, 0)</f>
        <v>82.445099999999996</v>
      </c>
      <c r="I1038" s="14">
        <f>82.4112 * CHOOSE(CONTROL!$C$15, $E$9, 100%, $G$9) + CHOOSE(CONTROL!$C$38, 0.0354, 0)</f>
        <v>82.446599999999989</v>
      </c>
      <c r="J1038" s="44">
        <f>899.2045</f>
        <v>899.20450000000005</v>
      </c>
    </row>
    <row r="1039" spans="1:10" ht="15.75" x14ac:dyDescent="0.25">
      <c r="A1039" s="32">
        <v>72563</v>
      </c>
      <c r="B1039" s="14">
        <f>85.0514 * CHOOSE(CONTROL!$C$15, $E$9, 100%, $G$9) + CHOOSE(CONTROL!$C$38, 0.0353, 0)</f>
        <v>85.086700000000008</v>
      </c>
      <c r="C1039" s="14">
        <f>80.5035 * CHOOSE(CONTROL!$C$15, $E$9, 100%, $G$9) + CHOOSE(CONTROL!$C$38, 0.0354, 0)</f>
        <v>80.538899999999998</v>
      </c>
      <c r="D1039" s="14">
        <f>80.4957 * CHOOSE(CONTROL!$C$15, $E$9, 100%, $G$9) + CHOOSE(CONTROL!$C$38, 0.0354, 0)</f>
        <v>80.531099999999995</v>
      </c>
      <c r="E1039" s="14">
        <f>80.4957 * CHOOSE(CONTROL!$C$15, $E$9, 100%, $G$9) + CHOOSE(CONTROL!$C$38, 0.0354, 0)</f>
        <v>80.531099999999995</v>
      </c>
      <c r="F1039" s="45">
        <f>85.0514 * CHOOSE(CONTROL!$C$15, $E$9, 100%, $G$9) + CHOOSE(CONTROL!$C$38, 0.0353, 0)</f>
        <v>85.086700000000008</v>
      </c>
      <c r="G1039" s="14">
        <f>80.5019 * CHOOSE(CONTROL!$C$15, $E$9, 100%, $G$9) + CHOOSE(CONTROL!$C$38, 0.0354, 0)</f>
        <v>80.537300000000002</v>
      </c>
      <c r="H1039" s="14">
        <f>80.5019 * CHOOSE(CONTROL!$C$15, $E$9, 100%, $G$9) + CHOOSE(CONTROL!$C$38, 0.0354, 0)</f>
        <v>80.537300000000002</v>
      </c>
      <c r="I1039" s="14">
        <f>80.5035 * CHOOSE(CONTROL!$C$15, $E$9, 100%, $G$9) + CHOOSE(CONTROL!$C$38, 0.0354, 0)</f>
        <v>80.538899999999998</v>
      </c>
      <c r="J1039" s="44">
        <f>878.2714</f>
        <v>878.27139999999997</v>
      </c>
    </row>
    <row r="1040" spans="1:10" ht="15.75" x14ac:dyDescent="0.25">
      <c r="A1040" s="32">
        <v>72593</v>
      </c>
      <c r="B1040" s="14">
        <f>82.245 * CHOOSE(CONTROL!$C$15, $E$9, 100%, $G$9) + CHOOSE(CONTROL!$C$38, 0.0353, 0)</f>
        <v>82.280300000000011</v>
      </c>
      <c r="C1040" s="14">
        <f>77.843 * CHOOSE(CONTROL!$C$15, $E$9, 100%, $G$9) + CHOOSE(CONTROL!$C$38, 0.0354, 0)</f>
        <v>77.878399999999999</v>
      </c>
      <c r="D1040" s="14">
        <f>77.8352 * CHOOSE(CONTROL!$C$15, $E$9, 100%, $G$9) + CHOOSE(CONTROL!$C$38, 0.0354, 0)</f>
        <v>77.870599999999996</v>
      </c>
      <c r="E1040" s="14">
        <f>77.8352 * CHOOSE(CONTROL!$C$15, $E$9, 100%, $G$9) + CHOOSE(CONTROL!$C$38, 0.0354, 0)</f>
        <v>77.870599999999996</v>
      </c>
      <c r="F1040" s="45">
        <f>82.245 * CHOOSE(CONTROL!$C$15, $E$9, 100%, $G$9) + CHOOSE(CONTROL!$C$38, 0.0353, 0)</f>
        <v>82.280300000000011</v>
      </c>
      <c r="G1040" s="14">
        <f>77.8414 * CHOOSE(CONTROL!$C$15, $E$9, 100%, $G$9) + CHOOSE(CONTROL!$C$38, 0.0354, 0)</f>
        <v>77.876799999999989</v>
      </c>
      <c r="H1040" s="14">
        <f>77.8414 * CHOOSE(CONTROL!$C$15, $E$9, 100%, $G$9) + CHOOSE(CONTROL!$C$38, 0.0354, 0)</f>
        <v>77.876799999999989</v>
      </c>
      <c r="I1040" s="14">
        <f>77.843 * CHOOSE(CONTROL!$C$15, $E$9, 100%, $G$9) + CHOOSE(CONTROL!$C$38, 0.0354, 0)</f>
        <v>77.878399999999999</v>
      </c>
      <c r="J1040" s="44">
        <f>849.0791</f>
        <v>849.07910000000004</v>
      </c>
    </row>
    <row r="1041" spans="1:10" ht="15.75" x14ac:dyDescent="0.25">
      <c r="A1041" s="32">
        <v>72624</v>
      </c>
      <c r="B1041" s="14">
        <f>79.4222 * CHOOSE(CONTROL!$C$15, $E$9, 100%, $G$9) + CHOOSE(CONTROL!$C$38, 0.034, 0)</f>
        <v>79.45620000000001</v>
      </c>
      <c r="C1041" s="14">
        <f>75.167 * CHOOSE(CONTROL!$C$15, $E$9, 100%, $G$9) + CHOOSE(CONTROL!$C$38, 0.0342, 0)</f>
        <v>75.2012</v>
      </c>
      <c r="D1041" s="14">
        <f>75.1592 * CHOOSE(CONTROL!$C$15, $E$9, 100%, $G$9) + CHOOSE(CONTROL!$C$38, 0.0342, 0)</f>
        <v>75.193399999999997</v>
      </c>
      <c r="E1041" s="14">
        <f>75.1592 * CHOOSE(CONTROL!$C$15, $E$9, 100%, $G$9) + CHOOSE(CONTROL!$C$38, 0.0342, 0)</f>
        <v>75.193399999999997</v>
      </c>
      <c r="F1041" s="45">
        <f>79.4222 * CHOOSE(CONTROL!$C$15, $E$9, 100%, $G$9) + CHOOSE(CONTROL!$C$38, 0.034, 0)</f>
        <v>79.45620000000001</v>
      </c>
      <c r="G1041" s="14">
        <f>75.1655 * CHOOSE(CONTROL!$C$15, $E$9, 100%, $G$9) + CHOOSE(CONTROL!$C$38, 0.0342, 0)</f>
        <v>75.199699999999993</v>
      </c>
      <c r="H1041" s="14">
        <f>75.1655 * CHOOSE(CONTROL!$C$15, $E$9, 100%, $G$9) + CHOOSE(CONTROL!$C$38, 0.0342, 0)</f>
        <v>75.199699999999993</v>
      </c>
      <c r="I1041" s="14">
        <f>75.167 * CHOOSE(CONTROL!$C$15, $E$9, 100%, $G$9) + CHOOSE(CONTROL!$C$38, 0.0342, 0)</f>
        <v>75.2012</v>
      </c>
      <c r="J1041" s="44">
        <f>819.7171</f>
        <v>819.71709999999996</v>
      </c>
    </row>
    <row r="1042" spans="1:10" ht="15.75" x14ac:dyDescent="0.25">
      <c r="A1042" s="32">
        <v>72654</v>
      </c>
      <c r="B1042" s="14">
        <f>78.8607 * CHOOSE(CONTROL!$C$15, $E$9, 100%, $G$9) + CHOOSE(CONTROL!$C$38, 0.034, 0)</f>
        <v>78.8947</v>
      </c>
      <c r="C1042" s="14">
        <f>74.6347 * CHOOSE(CONTROL!$C$15, $E$9, 100%, $G$9) + CHOOSE(CONTROL!$C$38, 0.0342, 0)</f>
        <v>74.668899999999994</v>
      </c>
      <c r="D1042" s="14">
        <f>74.6269 * CHOOSE(CONTROL!$C$15, $E$9, 100%, $G$9) + CHOOSE(CONTROL!$C$38, 0.0342, 0)</f>
        <v>74.661100000000005</v>
      </c>
      <c r="E1042" s="14">
        <f>74.6269 * CHOOSE(CONTROL!$C$15, $E$9, 100%, $G$9) + CHOOSE(CONTROL!$C$38, 0.0342, 0)</f>
        <v>74.661100000000005</v>
      </c>
      <c r="F1042" s="45">
        <f>78.8607 * CHOOSE(CONTROL!$C$15, $E$9, 100%, $G$9) + CHOOSE(CONTROL!$C$38, 0.034, 0)</f>
        <v>78.8947</v>
      </c>
      <c r="G1042" s="14">
        <f>74.6332 * CHOOSE(CONTROL!$C$15, $E$9, 100%, $G$9) + CHOOSE(CONTROL!$C$38, 0.0342, 0)</f>
        <v>74.667400000000001</v>
      </c>
      <c r="H1042" s="14">
        <f>74.6332 * CHOOSE(CONTROL!$C$15, $E$9, 100%, $G$9) + CHOOSE(CONTROL!$C$38, 0.0342, 0)</f>
        <v>74.667400000000001</v>
      </c>
      <c r="I1042" s="14">
        <f>74.6347 * CHOOSE(CONTROL!$C$15, $E$9, 100%, $G$9) + CHOOSE(CONTROL!$C$38, 0.0342, 0)</f>
        <v>74.668899999999994</v>
      </c>
      <c r="J1042" s="44">
        <f>813.8764</f>
        <v>813.87639999999999</v>
      </c>
    </row>
    <row r="1043" spans="1:10" ht="15.75" x14ac:dyDescent="0.25">
      <c r="A1043" s="32">
        <v>72685</v>
      </c>
      <c r="B1043" s="14">
        <f>76.5388 * CHOOSE(CONTROL!$C$15, $E$9, 100%, $G$9) + CHOOSE(CONTROL!$C$38, 0.034, 0)</f>
        <v>76.572800000000001</v>
      </c>
      <c r="C1043" s="14">
        <f>72.4336 * CHOOSE(CONTROL!$C$15, $E$9, 100%, $G$9) + CHOOSE(CONTROL!$C$38, 0.0342, 0)</f>
        <v>72.467799999999997</v>
      </c>
      <c r="D1043" s="14">
        <f>72.4258 * CHOOSE(CONTROL!$C$15, $E$9, 100%, $G$9) + CHOOSE(CONTROL!$C$38, 0.0342, 0)</f>
        <v>72.459999999999994</v>
      </c>
      <c r="E1043" s="14">
        <f>72.4258 * CHOOSE(CONTROL!$C$15, $E$9, 100%, $G$9) + CHOOSE(CONTROL!$C$38, 0.0342, 0)</f>
        <v>72.459999999999994</v>
      </c>
      <c r="F1043" s="45">
        <f>76.5388 * CHOOSE(CONTROL!$C$15, $E$9, 100%, $G$9) + CHOOSE(CONTROL!$C$38, 0.034, 0)</f>
        <v>76.572800000000001</v>
      </c>
      <c r="G1043" s="14">
        <f>72.4321 * CHOOSE(CONTROL!$C$15, $E$9, 100%, $G$9) + CHOOSE(CONTROL!$C$38, 0.0342, 0)</f>
        <v>72.466300000000004</v>
      </c>
      <c r="H1043" s="14">
        <f>72.4321 * CHOOSE(CONTROL!$C$15, $E$9, 100%, $G$9) + CHOOSE(CONTROL!$C$38, 0.0342, 0)</f>
        <v>72.466300000000004</v>
      </c>
      <c r="I1043" s="14">
        <f>72.4336 * CHOOSE(CONTROL!$C$15, $E$9, 100%, $G$9) + CHOOSE(CONTROL!$C$38, 0.0342, 0)</f>
        <v>72.467799999999997</v>
      </c>
      <c r="J1043" s="44">
        <f>789.7246</f>
        <v>789.72460000000001</v>
      </c>
    </row>
    <row r="1044" spans="1:10" ht="15.75" x14ac:dyDescent="0.25">
      <c r="A1044" s="32">
        <v>72716</v>
      </c>
      <c r="B1044" s="14">
        <f>75.9622 * CHOOSE(CONTROL!$C$15, $E$9, 100%, $G$9) + CHOOSE(CONTROL!$C$38, 0.034, 0)</f>
        <v>75.996200000000002</v>
      </c>
      <c r="C1044" s="14">
        <f>71.887 * CHOOSE(CONTROL!$C$15, $E$9, 100%, $G$9) + CHOOSE(CONTROL!$C$38, 0.0342, 0)</f>
        <v>71.921199999999999</v>
      </c>
      <c r="D1044" s="14">
        <f>71.8792 * CHOOSE(CONTROL!$C$15, $E$9, 100%, $G$9) + CHOOSE(CONTROL!$C$38, 0.0342, 0)</f>
        <v>71.913399999999996</v>
      </c>
      <c r="E1044" s="14">
        <f>71.8792 * CHOOSE(CONTROL!$C$15, $E$9, 100%, $G$9) + CHOOSE(CONTROL!$C$38, 0.0342, 0)</f>
        <v>71.913399999999996</v>
      </c>
      <c r="F1044" s="45">
        <f>75.9622 * CHOOSE(CONTROL!$C$15, $E$9, 100%, $G$9) + CHOOSE(CONTROL!$C$38, 0.034, 0)</f>
        <v>75.996200000000002</v>
      </c>
      <c r="G1044" s="14">
        <f>71.8855 * CHOOSE(CONTROL!$C$15, $E$9, 100%, $G$9) + CHOOSE(CONTROL!$C$38, 0.0342, 0)</f>
        <v>71.919699999999992</v>
      </c>
      <c r="H1044" s="14">
        <f>71.8855 * CHOOSE(CONTROL!$C$15, $E$9, 100%, $G$9) + CHOOSE(CONTROL!$C$38, 0.0342, 0)</f>
        <v>71.919699999999992</v>
      </c>
      <c r="I1044" s="14">
        <f>71.887 * CHOOSE(CONTROL!$C$15, $E$9, 100%, $G$9) + CHOOSE(CONTROL!$C$38, 0.0342, 0)</f>
        <v>71.921199999999999</v>
      </c>
      <c r="J1044" s="44">
        <f>789.1544</f>
        <v>789.15440000000001</v>
      </c>
    </row>
    <row r="1045" spans="1:10" ht="15.75" x14ac:dyDescent="0.25">
      <c r="A1045" s="32">
        <v>72744</v>
      </c>
      <c r="B1045" s="14">
        <f>75.7528 * CHOOSE(CONTROL!$C$15, $E$9, 100%, $G$9) + CHOOSE(CONTROL!$C$38, 0.034, 0)</f>
        <v>75.786799999999999</v>
      </c>
      <c r="C1045" s="14">
        <f>71.6885 * CHOOSE(CONTROL!$C$15, $E$9, 100%, $G$9) + CHOOSE(CONTROL!$C$38, 0.0342, 0)</f>
        <v>71.722700000000003</v>
      </c>
      <c r="D1045" s="14">
        <f>71.6807 * CHOOSE(CONTROL!$C$15, $E$9, 100%, $G$9) + CHOOSE(CONTROL!$C$38, 0.0342, 0)</f>
        <v>71.7149</v>
      </c>
      <c r="E1045" s="14">
        <f>71.6807 * CHOOSE(CONTROL!$C$15, $E$9, 100%, $G$9) + CHOOSE(CONTROL!$C$38, 0.0342, 0)</f>
        <v>71.7149</v>
      </c>
      <c r="F1045" s="45">
        <f>75.7528 * CHOOSE(CONTROL!$C$15, $E$9, 100%, $G$9) + CHOOSE(CONTROL!$C$38, 0.034, 0)</f>
        <v>75.786799999999999</v>
      </c>
      <c r="G1045" s="14">
        <f>71.6869 * CHOOSE(CONTROL!$C$15, $E$9, 100%, $G$9) + CHOOSE(CONTROL!$C$38, 0.0342, 0)</f>
        <v>71.721099999999993</v>
      </c>
      <c r="H1045" s="14">
        <f>71.6869 * CHOOSE(CONTROL!$C$15, $E$9, 100%, $G$9) + CHOOSE(CONTROL!$C$38, 0.0342, 0)</f>
        <v>71.721099999999993</v>
      </c>
      <c r="I1045" s="14">
        <f>71.6885 * CHOOSE(CONTROL!$C$15, $E$9, 100%, $G$9) + CHOOSE(CONTROL!$C$38, 0.0342, 0)</f>
        <v>71.722700000000003</v>
      </c>
      <c r="J1045" s="44">
        <f>786.9608</f>
        <v>786.96079999999995</v>
      </c>
    </row>
    <row r="1046" spans="1:10" ht="15.75" x14ac:dyDescent="0.25">
      <c r="A1046" s="32">
        <v>72775</v>
      </c>
      <c r="B1046" s="14">
        <f>79.7128 * CHOOSE(CONTROL!$C$15, $E$9, 100%, $G$9) + CHOOSE(CONTROL!$C$38, 0.034, 0)</f>
        <v>79.746800000000007</v>
      </c>
      <c r="C1046" s="14">
        <f>75.4426 * CHOOSE(CONTROL!$C$15, $E$9, 100%, $G$9) + CHOOSE(CONTROL!$C$38, 0.0342, 0)</f>
        <v>75.476799999999997</v>
      </c>
      <c r="D1046" s="14">
        <f>75.4348 * CHOOSE(CONTROL!$C$15, $E$9, 100%, $G$9) + CHOOSE(CONTROL!$C$38, 0.0342, 0)</f>
        <v>75.468999999999994</v>
      </c>
      <c r="E1046" s="14">
        <f>75.4348 * CHOOSE(CONTROL!$C$15, $E$9, 100%, $G$9) + CHOOSE(CONTROL!$C$38, 0.0342, 0)</f>
        <v>75.468999999999994</v>
      </c>
      <c r="F1046" s="45">
        <f>79.7128 * CHOOSE(CONTROL!$C$15, $E$9, 100%, $G$9) + CHOOSE(CONTROL!$C$38, 0.034, 0)</f>
        <v>79.746800000000007</v>
      </c>
      <c r="G1046" s="14">
        <f>75.441 * CHOOSE(CONTROL!$C$15, $E$9, 100%, $G$9) + CHOOSE(CONTROL!$C$38, 0.0342, 0)</f>
        <v>75.475200000000001</v>
      </c>
      <c r="H1046" s="14">
        <f>75.441 * CHOOSE(CONTROL!$C$15, $E$9, 100%, $G$9) + CHOOSE(CONTROL!$C$38, 0.0342, 0)</f>
        <v>75.475200000000001</v>
      </c>
      <c r="I1046" s="14">
        <f>75.4426 * CHOOSE(CONTROL!$C$15, $E$9, 100%, $G$9) + CHOOSE(CONTROL!$C$38, 0.0342, 0)</f>
        <v>75.476799999999997</v>
      </c>
      <c r="J1046" s="44">
        <f>828.4382</f>
        <v>828.43820000000005</v>
      </c>
    </row>
    <row r="1047" spans="1:10" ht="15.75" x14ac:dyDescent="0.25">
      <c r="A1047" s="32">
        <v>72805</v>
      </c>
      <c r="B1047" s="14">
        <f>84.8481 * CHOOSE(CONTROL!$C$15, $E$9, 100%, $G$9) + CHOOSE(CONTROL!$C$38, 0.034, 0)</f>
        <v>84.882100000000008</v>
      </c>
      <c r="C1047" s="14">
        <f>80.3108 * CHOOSE(CONTROL!$C$15, $E$9, 100%, $G$9) + CHOOSE(CONTROL!$C$38, 0.0342, 0)</f>
        <v>80.344999999999999</v>
      </c>
      <c r="D1047" s="14">
        <f>80.3029 * CHOOSE(CONTROL!$C$15, $E$9, 100%, $G$9) + CHOOSE(CONTROL!$C$38, 0.0342, 0)</f>
        <v>80.337099999999992</v>
      </c>
      <c r="E1047" s="14">
        <f>80.3029 * CHOOSE(CONTROL!$C$15, $E$9, 100%, $G$9) + CHOOSE(CONTROL!$C$38, 0.0342, 0)</f>
        <v>80.337099999999992</v>
      </c>
      <c r="F1047" s="45">
        <f>84.8481 * CHOOSE(CONTROL!$C$15, $E$9, 100%, $G$9) + CHOOSE(CONTROL!$C$38, 0.034, 0)</f>
        <v>84.882100000000008</v>
      </c>
      <c r="G1047" s="14">
        <f>80.3092 * CHOOSE(CONTROL!$C$15, $E$9, 100%, $G$9) + CHOOSE(CONTROL!$C$38, 0.0342, 0)</f>
        <v>80.343400000000003</v>
      </c>
      <c r="H1047" s="14">
        <f>80.3092 * CHOOSE(CONTROL!$C$15, $E$9, 100%, $G$9) + CHOOSE(CONTROL!$C$38, 0.0342, 0)</f>
        <v>80.343400000000003</v>
      </c>
      <c r="I1047" s="14">
        <f>80.3108 * CHOOSE(CONTROL!$C$15, $E$9, 100%, $G$9) + CHOOSE(CONTROL!$C$38, 0.0342, 0)</f>
        <v>80.344999999999999</v>
      </c>
      <c r="J1047" s="44">
        <f>882.2244</f>
        <v>882.22439999999995</v>
      </c>
    </row>
    <row r="1048" spans="1:10" ht="15.75" x14ac:dyDescent="0.25">
      <c r="A1048" s="32">
        <v>72836</v>
      </c>
      <c r="B1048" s="14">
        <f>87.6747 * CHOOSE(CONTROL!$C$15, $E$9, 100%, $G$9) + CHOOSE(CONTROL!$C$38, 0.0353, 0)</f>
        <v>87.710000000000008</v>
      </c>
      <c r="C1048" s="14">
        <f>82.9904 * CHOOSE(CONTROL!$C$15, $E$9, 100%, $G$9) + CHOOSE(CONTROL!$C$38, 0.0354, 0)</f>
        <v>83.02579999999999</v>
      </c>
      <c r="D1048" s="14">
        <f>82.9825 * CHOOSE(CONTROL!$C$15, $E$9, 100%, $G$9) + CHOOSE(CONTROL!$C$38, 0.0354, 0)</f>
        <v>83.017899999999997</v>
      </c>
      <c r="E1048" s="14">
        <f>82.9825 * CHOOSE(CONTROL!$C$15, $E$9, 100%, $G$9) + CHOOSE(CONTROL!$C$38, 0.0354, 0)</f>
        <v>83.017899999999997</v>
      </c>
      <c r="F1048" s="45">
        <f>87.6747 * CHOOSE(CONTROL!$C$15, $E$9, 100%, $G$9) + CHOOSE(CONTROL!$C$38, 0.0353, 0)</f>
        <v>87.710000000000008</v>
      </c>
      <c r="G1048" s="14">
        <f>82.9888 * CHOOSE(CONTROL!$C$15, $E$9, 100%, $G$9) + CHOOSE(CONTROL!$C$38, 0.0354, 0)</f>
        <v>83.024199999999993</v>
      </c>
      <c r="H1048" s="14">
        <f>82.9888 * CHOOSE(CONTROL!$C$15, $E$9, 100%, $G$9) + CHOOSE(CONTROL!$C$38, 0.0354, 0)</f>
        <v>83.024199999999993</v>
      </c>
      <c r="I1048" s="14">
        <f>82.9904 * CHOOSE(CONTROL!$C$15, $E$9, 100%, $G$9) + CHOOSE(CONTROL!$C$38, 0.0354, 0)</f>
        <v>83.02579999999999</v>
      </c>
      <c r="J1048" s="44">
        <f>911.8302</f>
        <v>911.83019999999999</v>
      </c>
    </row>
    <row r="1049" spans="1:10" ht="15.75" x14ac:dyDescent="0.25">
      <c r="A1049" s="32">
        <v>72866</v>
      </c>
      <c r="B1049" s="14">
        <f>88.9291 * CHOOSE(CONTROL!$C$15, $E$9, 100%, $G$9) + CHOOSE(CONTROL!$C$38, 0.0353, 0)</f>
        <v>88.964400000000012</v>
      </c>
      <c r="C1049" s="14">
        <f>84.1795 * CHOOSE(CONTROL!$C$15, $E$9, 100%, $G$9) + CHOOSE(CONTROL!$C$38, 0.0354, 0)</f>
        <v>84.2149</v>
      </c>
      <c r="D1049" s="14">
        <f>84.1717 * CHOOSE(CONTROL!$C$15, $E$9, 100%, $G$9) + CHOOSE(CONTROL!$C$38, 0.0354, 0)</f>
        <v>84.207099999999997</v>
      </c>
      <c r="E1049" s="14">
        <f>84.1717 * CHOOSE(CONTROL!$C$15, $E$9, 100%, $G$9) + CHOOSE(CONTROL!$C$38, 0.0354, 0)</f>
        <v>84.207099999999997</v>
      </c>
      <c r="F1049" s="45">
        <f>88.9291 * CHOOSE(CONTROL!$C$15, $E$9, 100%, $G$9) + CHOOSE(CONTROL!$C$38, 0.0353, 0)</f>
        <v>88.964400000000012</v>
      </c>
      <c r="G1049" s="14">
        <f>84.1779 * CHOOSE(CONTROL!$C$15, $E$9, 100%, $G$9) + CHOOSE(CONTROL!$C$38, 0.0354, 0)</f>
        <v>84.21329999999999</v>
      </c>
      <c r="H1049" s="14">
        <f>84.1779 * CHOOSE(CONTROL!$C$15, $E$9, 100%, $G$9) + CHOOSE(CONTROL!$C$38, 0.0354, 0)</f>
        <v>84.21329999999999</v>
      </c>
      <c r="I1049" s="14">
        <f>84.1795 * CHOOSE(CONTROL!$C$15, $E$9, 100%, $G$9) + CHOOSE(CONTROL!$C$38, 0.0354, 0)</f>
        <v>84.2149</v>
      </c>
      <c r="J1049" s="44">
        <f>924.9686</f>
        <v>924.96860000000004</v>
      </c>
    </row>
    <row r="1050" spans="1:10" ht="15.75" x14ac:dyDescent="0.25">
      <c r="A1050" s="32">
        <v>72897</v>
      </c>
      <c r="B1050" s="14">
        <f>88.5161 * CHOOSE(CONTROL!$C$15, $E$9, 100%, $G$9) + CHOOSE(CONTROL!$C$38, 0.0353, 0)</f>
        <v>88.551400000000001</v>
      </c>
      <c r="C1050" s="14">
        <f>83.788 * CHOOSE(CONTROL!$C$15, $E$9, 100%, $G$9) + CHOOSE(CONTROL!$C$38, 0.0354, 0)</f>
        <v>83.823399999999992</v>
      </c>
      <c r="D1050" s="14">
        <f>83.7802 * CHOOSE(CONTROL!$C$15, $E$9, 100%, $G$9) + CHOOSE(CONTROL!$C$38, 0.0354, 0)</f>
        <v>83.815599999999989</v>
      </c>
      <c r="E1050" s="14">
        <f>83.7802 * CHOOSE(CONTROL!$C$15, $E$9, 100%, $G$9) + CHOOSE(CONTROL!$C$38, 0.0354, 0)</f>
        <v>83.815599999999989</v>
      </c>
      <c r="F1050" s="45">
        <f>88.5161 * CHOOSE(CONTROL!$C$15, $E$9, 100%, $G$9) + CHOOSE(CONTROL!$C$38, 0.0353, 0)</f>
        <v>88.551400000000001</v>
      </c>
      <c r="G1050" s="14">
        <f>83.7864 * CHOOSE(CONTROL!$C$15, $E$9, 100%, $G$9) + CHOOSE(CONTROL!$C$38, 0.0354, 0)</f>
        <v>83.821799999999996</v>
      </c>
      <c r="H1050" s="14">
        <f>83.7864 * CHOOSE(CONTROL!$C$15, $E$9, 100%, $G$9) + CHOOSE(CONTROL!$C$38, 0.0354, 0)</f>
        <v>83.821799999999996</v>
      </c>
      <c r="I1050" s="14">
        <f>83.788 * CHOOSE(CONTROL!$C$15, $E$9, 100%, $G$9) + CHOOSE(CONTROL!$C$38, 0.0354, 0)</f>
        <v>83.823399999999992</v>
      </c>
      <c r="J1050" s="44">
        <f>920.6428</f>
        <v>920.64279999999997</v>
      </c>
    </row>
    <row r="1051" spans="1:10" ht="15.75" x14ac:dyDescent="0.25">
      <c r="A1051" s="32">
        <v>72928</v>
      </c>
      <c r="B1051" s="14">
        <f>86.4699 * CHOOSE(CONTROL!$C$15, $E$9, 100%, $G$9) + CHOOSE(CONTROL!$C$38, 0.0353, 0)</f>
        <v>86.505200000000002</v>
      </c>
      <c r="C1051" s="14">
        <f>81.8482 * CHOOSE(CONTROL!$C$15, $E$9, 100%, $G$9) + CHOOSE(CONTROL!$C$38, 0.0354, 0)</f>
        <v>81.883600000000001</v>
      </c>
      <c r="D1051" s="14">
        <f>81.8404 * CHOOSE(CONTROL!$C$15, $E$9, 100%, $G$9) + CHOOSE(CONTROL!$C$38, 0.0354, 0)</f>
        <v>81.875799999999998</v>
      </c>
      <c r="E1051" s="14">
        <f>81.8404 * CHOOSE(CONTROL!$C$15, $E$9, 100%, $G$9) + CHOOSE(CONTROL!$C$38, 0.0354, 0)</f>
        <v>81.875799999999998</v>
      </c>
      <c r="F1051" s="45">
        <f>86.4699 * CHOOSE(CONTROL!$C$15, $E$9, 100%, $G$9) + CHOOSE(CONTROL!$C$38, 0.0353, 0)</f>
        <v>86.505200000000002</v>
      </c>
      <c r="G1051" s="14">
        <f>81.8466 * CHOOSE(CONTROL!$C$15, $E$9, 100%, $G$9) + CHOOSE(CONTROL!$C$38, 0.0354, 0)</f>
        <v>81.881999999999991</v>
      </c>
      <c r="H1051" s="14">
        <f>81.8466 * CHOOSE(CONTROL!$C$15, $E$9, 100%, $G$9) + CHOOSE(CONTROL!$C$38, 0.0354, 0)</f>
        <v>81.881999999999991</v>
      </c>
      <c r="I1051" s="14">
        <f>81.8482 * CHOOSE(CONTROL!$C$15, $E$9, 100%, $G$9) + CHOOSE(CONTROL!$C$38, 0.0354, 0)</f>
        <v>81.883600000000001</v>
      </c>
      <c r="J1051" s="44">
        <f>899.2107</f>
        <v>899.21069999999997</v>
      </c>
    </row>
    <row r="1052" spans="1:10" ht="15.75" x14ac:dyDescent="0.25">
      <c r="A1052" s="32">
        <v>72958</v>
      </c>
      <c r="B1052" s="14">
        <f>83.6163 * CHOOSE(CONTROL!$C$15, $E$9, 100%, $G$9) + CHOOSE(CONTROL!$C$38, 0.0353, 0)</f>
        <v>83.651600000000002</v>
      </c>
      <c r="C1052" s="14">
        <f>79.143 * CHOOSE(CONTROL!$C$15, $E$9, 100%, $G$9) + CHOOSE(CONTROL!$C$38, 0.0354, 0)</f>
        <v>79.178399999999996</v>
      </c>
      <c r="D1052" s="14">
        <f>79.1352 * CHOOSE(CONTROL!$C$15, $E$9, 100%, $G$9) + CHOOSE(CONTROL!$C$38, 0.0354, 0)</f>
        <v>79.170599999999993</v>
      </c>
      <c r="E1052" s="14">
        <f>79.1352 * CHOOSE(CONTROL!$C$15, $E$9, 100%, $G$9) + CHOOSE(CONTROL!$C$38, 0.0354, 0)</f>
        <v>79.170599999999993</v>
      </c>
      <c r="F1052" s="45">
        <f>83.6163 * CHOOSE(CONTROL!$C$15, $E$9, 100%, $G$9) + CHOOSE(CONTROL!$C$38, 0.0353, 0)</f>
        <v>83.651600000000002</v>
      </c>
      <c r="G1052" s="14">
        <f>79.1414 * CHOOSE(CONTROL!$C$15, $E$9, 100%, $G$9) + CHOOSE(CONTROL!$C$38, 0.0354, 0)</f>
        <v>79.1768</v>
      </c>
      <c r="H1052" s="14">
        <f>79.1414 * CHOOSE(CONTROL!$C$15, $E$9, 100%, $G$9) + CHOOSE(CONTROL!$C$38, 0.0354, 0)</f>
        <v>79.1768</v>
      </c>
      <c r="I1052" s="14">
        <f>79.143 * CHOOSE(CONTROL!$C$15, $E$9, 100%, $G$9) + CHOOSE(CONTROL!$C$38, 0.0354, 0)</f>
        <v>79.178399999999996</v>
      </c>
      <c r="J1052" s="44">
        <f>869.3224</f>
        <v>869.32240000000002</v>
      </c>
    </row>
    <row r="1053" spans="1:10" ht="15.75" x14ac:dyDescent="0.25">
      <c r="A1053" s="32">
        <v>72989</v>
      </c>
      <c r="B1053" s="14">
        <f>80.7461 * CHOOSE(CONTROL!$C$15, $E$9, 100%, $G$9) + CHOOSE(CONTROL!$C$38, 0.034, 0)</f>
        <v>80.780100000000004</v>
      </c>
      <c r="C1053" s="14">
        <f>76.4221 * CHOOSE(CONTROL!$C$15, $E$9, 100%, $G$9) + CHOOSE(CONTROL!$C$38, 0.0342, 0)</f>
        <v>76.456299999999999</v>
      </c>
      <c r="D1053" s="14">
        <f>76.4143 * CHOOSE(CONTROL!$C$15, $E$9, 100%, $G$9) + CHOOSE(CONTROL!$C$38, 0.0342, 0)</f>
        <v>76.448499999999996</v>
      </c>
      <c r="E1053" s="14">
        <f>76.4143 * CHOOSE(CONTROL!$C$15, $E$9, 100%, $G$9) + CHOOSE(CONTROL!$C$38, 0.0342, 0)</f>
        <v>76.448499999999996</v>
      </c>
      <c r="F1053" s="45">
        <f>80.7461 * CHOOSE(CONTROL!$C$15, $E$9, 100%, $G$9) + CHOOSE(CONTROL!$C$38, 0.034, 0)</f>
        <v>80.780100000000004</v>
      </c>
      <c r="G1053" s="14">
        <f>76.4205 * CHOOSE(CONTROL!$C$15, $E$9, 100%, $G$9) + CHOOSE(CONTROL!$C$38, 0.0342, 0)</f>
        <v>76.454700000000003</v>
      </c>
      <c r="H1053" s="14">
        <f>76.4205 * CHOOSE(CONTROL!$C$15, $E$9, 100%, $G$9) + CHOOSE(CONTROL!$C$38, 0.0342, 0)</f>
        <v>76.454700000000003</v>
      </c>
      <c r="I1053" s="14">
        <f>76.4221 * CHOOSE(CONTROL!$C$15, $E$9, 100%, $G$9) + CHOOSE(CONTROL!$C$38, 0.0342, 0)</f>
        <v>76.456299999999999</v>
      </c>
      <c r="J1053" s="44">
        <f>839.2604</f>
        <v>839.2604</v>
      </c>
    </row>
    <row r="1054" spans="1:10" ht="15.75" x14ac:dyDescent="0.25">
      <c r="A1054" s="32">
        <v>73019</v>
      </c>
      <c r="B1054" s="14">
        <f>80.1752 * CHOOSE(CONTROL!$C$15, $E$9, 100%, $G$9) + CHOOSE(CONTROL!$C$38, 0.034, 0)</f>
        <v>80.20920000000001</v>
      </c>
      <c r="C1054" s="14">
        <f>75.8808 * CHOOSE(CONTROL!$C$15, $E$9, 100%, $G$9) + CHOOSE(CONTROL!$C$38, 0.0342, 0)</f>
        <v>75.914999999999992</v>
      </c>
      <c r="D1054" s="14">
        <f>75.873 * CHOOSE(CONTROL!$C$15, $E$9, 100%, $G$9) + CHOOSE(CONTROL!$C$38, 0.0342, 0)</f>
        <v>75.907200000000003</v>
      </c>
      <c r="E1054" s="14">
        <f>75.873 * CHOOSE(CONTROL!$C$15, $E$9, 100%, $G$9) + CHOOSE(CONTROL!$C$38, 0.0342, 0)</f>
        <v>75.907200000000003</v>
      </c>
      <c r="F1054" s="45">
        <f>80.1752 * CHOOSE(CONTROL!$C$15, $E$9, 100%, $G$9) + CHOOSE(CONTROL!$C$38, 0.034, 0)</f>
        <v>80.20920000000001</v>
      </c>
      <c r="G1054" s="14">
        <f>75.8793 * CHOOSE(CONTROL!$C$15, $E$9, 100%, $G$9) + CHOOSE(CONTROL!$C$38, 0.0342, 0)</f>
        <v>75.913499999999999</v>
      </c>
      <c r="H1054" s="14">
        <f>75.8793 * CHOOSE(CONTROL!$C$15, $E$9, 100%, $G$9) + CHOOSE(CONTROL!$C$38, 0.0342, 0)</f>
        <v>75.913499999999999</v>
      </c>
      <c r="I1054" s="14">
        <f>75.8808 * CHOOSE(CONTROL!$C$15, $E$9, 100%, $G$9) + CHOOSE(CONTROL!$C$38, 0.0342, 0)</f>
        <v>75.914999999999992</v>
      </c>
      <c r="J1054" s="44">
        <f>833.2804</f>
        <v>833.28039999999999</v>
      </c>
    </row>
    <row r="1055" spans="1:10" ht="15.75" x14ac:dyDescent="0.25">
      <c r="A1055" s="32">
        <v>73050</v>
      </c>
      <c r="B1055" s="14">
        <f>77.8143 * CHOOSE(CONTROL!$C$15, $E$9, 100%, $G$9) + CHOOSE(CONTROL!$C$38, 0.034, 0)</f>
        <v>77.848300000000009</v>
      </c>
      <c r="C1055" s="14">
        <f>73.6428 * CHOOSE(CONTROL!$C$15, $E$9, 100%, $G$9) + CHOOSE(CONTROL!$C$38, 0.0342, 0)</f>
        <v>73.676999999999992</v>
      </c>
      <c r="D1055" s="14">
        <f>73.6349 * CHOOSE(CONTROL!$C$15, $E$9, 100%, $G$9) + CHOOSE(CONTROL!$C$38, 0.0342, 0)</f>
        <v>73.6691</v>
      </c>
      <c r="E1055" s="14">
        <f>73.6349 * CHOOSE(CONTROL!$C$15, $E$9, 100%, $G$9) + CHOOSE(CONTROL!$C$38, 0.0342, 0)</f>
        <v>73.6691</v>
      </c>
      <c r="F1055" s="45">
        <f>77.8143 * CHOOSE(CONTROL!$C$15, $E$9, 100%, $G$9) + CHOOSE(CONTROL!$C$38, 0.034, 0)</f>
        <v>77.848300000000009</v>
      </c>
      <c r="G1055" s="14">
        <f>73.6412 * CHOOSE(CONTROL!$C$15, $E$9, 100%, $G$9) + CHOOSE(CONTROL!$C$38, 0.0342, 0)</f>
        <v>73.675399999999996</v>
      </c>
      <c r="H1055" s="14">
        <f>73.6412 * CHOOSE(CONTROL!$C$15, $E$9, 100%, $G$9) + CHOOSE(CONTROL!$C$38, 0.0342, 0)</f>
        <v>73.675399999999996</v>
      </c>
      <c r="I1055" s="14">
        <f>73.6428 * CHOOSE(CONTROL!$C$15, $E$9, 100%, $G$9) + CHOOSE(CONTROL!$C$38, 0.0342, 0)</f>
        <v>73.676999999999992</v>
      </c>
      <c r="J1055" s="44">
        <f>808.5528</f>
        <v>808.55280000000005</v>
      </c>
    </row>
    <row r="1056" spans="1:10" ht="15.75" x14ac:dyDescent="0.25">
      <c r="A1056" s="32">
        <v>73081</v>
      </c>
      <c r="B1056" s="14">
        <f>77.228 * CHOOSE(CONTROL!$C$15, $E$9, 100%, $G$9) + CHOOSE(CONTROL!$C$38, 0.034, 0)</f>
        <v>77.262</v>
      </c>
      <c r="C1056" s="14">
        <f>73.087 * CHOOSE(CONTROL!$C$15, $E$9, 100%, $G$9) + CHOOSE(CONTROL!$C$38, 0.0342, 0)</f>
        <v>73.121200000000002</v>
      </c>
      <c r="D1056" s="14">
        <f>73.0791 * CHOOSE(CONTROL!$C$15, $E$9, 100%, $G$9) + CHOOSE(CONTROL!$C$38, 0.0342, 0)</f>
        <v>73.113299999999995</v>
      </c>
      <c r="E1056" s="14">
        <f>73.0791 * CHOOSE(CONTROL!$C$15, $E$9, 100%, $G$9) + CHOOSE(CONTROL!$C$38, 0.0342, 0)</f>
        <v>73.113299999999995</v>
      </c>
      <c r="F1056" s="45">
        <f>77.228 * CHOOSE(CONTROL!$C$15, $E$9, 100%, $G$9) + CHOOSE(CONTROL!$C$38, 0.034, 0)</f>
        <v>77.262</v>
      </c>
      <c r="G1056" s="14">
        <f>73.0854 * CHOOSE(CONTROL!$C$15, $E$9, 100%, $G$9) + CHOOSE(CONTROL!$C$38, 0.0342, 0)</f>
        <v>73.119600000000005</v>
      </c>
      <c r="H1056" s="14">
        <f>73.0854 * CHOOSE(CONTROL!$C$15, $E$9, 100%, $G$9) + CHOOSE(CONTROL!$C$38, 0.0342, 0)</f>
        <v>73.119600000000005</v>
      </c>
      <c r="I1056" s="14">
        <f>73.087 * CHOOSE(CONTROL!$C$15, $E$9, 100%, $G$9) + CHOOSE(CONTROL!$C$38, 0.0342, 0)</f>
        <v>73.121200000000002</v>
      </c>
      <c r="J1056" s="44">
        <f>807.969</f>
        <v>807.96900000000005</v>
      </c>
    </row>
    <row r="1057" spans="1:11" ht="15.75" x14ac:dyDescent="0.25">
      <c r="A1057" s="32">
        <v>73109</v>
      </c>
      <c r="B1057" s="14">
        <f>77.015 * CHOOSE(CONTROL!$C$15, $E$9, 100%, $G$9) + CHOOSE(CONTROL!$C$38, 0.034, 0)</f>
        <v>77.049000000000007</v>
      </c>
      <c r="C1057" s="14">
        <f>72.8851 * CHOOSE(CONTROL!$C$15, $E$9, 100%, $G$9) + CHOOSE(CONTROL!$C$38, 0.0342, 0)</f>
        <v>72.919299999999993</v>
      </c>
      <c r="D1057" s="14">
        <f>72.8773 * CHOOSE(CONTROL!$C$15, $E$9, 100%, $G$9) + CHOOSE(CONTROL!$C$38, 0.0342, 0)</f>
        <v>72.911500000000004</v>
      </c>
      <c r="E1057" s="14">
        <f>72.8773 * CHOOSE(CONTROL!$C$15, $E$9, 100%, $G$9) + CHOOSE(CONTROL!$C$38, 0.0342, 0)</f>
        <v>72.911500000000004</v>
      </c>
      <c r="F1057" s="45">
        <f>77.015 * CHOOSE(CONTROL!$C$15, $E$9, 100%, $G$9) + CHOOSE(CONTROL!$C$38, 0.034, 0)</f>
        <v>77.049000000000007</v>
      </c>
      <c r="G1057" s="14">
        <f>72.8835 * CHOOSE(CONTROL!$C$15, $E$9, 100%, $G$9) + CHOOSE(CONTROL!$C$38, 0.0342, 0)</f>
        <v>72.917699999999996</v>
      </c>
      <c r="H1057" s="14">
        <f>72.8835 * CHOOSE(CONTROL!$C$15, $E$9, 100%, $G$9) + CHOOSE(CONTROL!$C$38, 0.0342, 0)</f>
        <v>72.917699999999996</v>
      </c>
      <c r="I1057" s="14">
        <f>72.8851 * CHOOSE(CONTROL!$C$15, $E$9, 100%, $G$9) + CHOOSE(CONTROL!$C$38, 0.0342, 0)</f>
        <v>72.919299999999993</v>
      </c>
      <c r="J1057" s="44">
        <f>805.7231</f>
        <v>805.72310000000004</v>
      </c>
    </row>
    <row r="1058" spans="1:11" ht="15.75" x14ac:dyDescent="0.25">
      <c r="A1058" s="32">
        <v>73140</v>
      </c>
      <c r="B1058" s="14">
        <f>81.0416 * CHOOSE(CONTROL!$C$15, $E$9, 100%, $G$9) + CHOOSE(CONTROL!$C$38, 0.034, 0)</f>
        <v>81.075600000000009</v>
      </c>
      <c r="C1058" s="14">
        <f>76.7022 * CHOOSE(CONTROL!$C$15, $E$9, 100%, $G$9) + CHOOSE(CONTROL!$C$38, 0.0342, 0)</f>
        <v>76.736400000000003</v>
      </c>
      <c r="D1058" s="14">
        <f>76.6944 * CHOOSE(CONTROL!$C$15, $E$9, 100%, $G$9) + CHOOSE(CONTROL!$C$38, 0.0342, 0)</f>
        <v>76.7286</v>
      </c>
      <c r="E1058" s="14">
        <f>76.6944 * CHOOSE(CONTROL!$C$15, $E$9, 100%, $G$9) + CHOOSE(CONTROL!$C$38, 0.0342, 0)</f>
        <v>76.7286</v>
      </c>
      <c r="F1058" s="45">
        <f>81.0416 * CHOOSE(CONTROL!$C$15, $E$9, 100%, $G$9) + CHOOSE(CONTROL!$C$38, 0.034, 0)</f>
        <v>81.075600000000009</v>
      </c>
      <c r="G1058" s="14">
        <f>76.7007 * CHOOSE(CONTROL!$C$15, $E$9, 100%, $G$9) + CHOOSE(CONTROL!$C$38, 0.0342, 0)</f>
        <v>76.734899999999996</v>
      </c>
      <c r="H1058" s="14">
        <f>76.7007 * CHOOSE(CONTROL!$C$15, $E$9, 100%, $G$9) + CHOOSE(CONTROL!$C$38, 0.0342, 0)</f>
        <v>76.734899999999996</v>
      </c>
      <c r="I1058" s="14">
        <f>76.7022 * CHOOSE(CONTROL!$C$15, $E$9, 100%, $G$9) + CHOOSE(CONTROL!$C$38, 0.0342, 0)</f>
        <v>76.736400000000003</v>
      </c>
      <c r="J1058" s="44">
        <f>848.1894</f>
        <v>848.18939999999998</v>
      </c>
    </row>
    <row r="1059" spans="1:11" ht="15.75" x14ac:dyDescent="0.25">
      <c r="A1059" s="32">
        <v>73170</v>
      </c>
      <c r="B1059" s="14">
        <f>86.2632 * CHOOSE(CONTROL!$C$15, $E$9, 100%, $G$9) + CHOOSE(CONTROL!$C$38, 0.034, 0)</f>
        <v>86.297200000000004</v>
      </c>
      <c r="C1059" s="14">
        <f>81.6522 * CHOOSE(CONTROL!$C$15, $E$9, 100%, $G$9) + CHOOSE(CONTROL!$C$38, 0.0342, 0)</f>
        <v>81.686399999999992</v>
      </c>
      <c r="D1059" s="14">
        <f>81.6444 * CHOOSE(CONTROL!$C$15, $E$9, 100%, $G$9) + CHOOSE(CONTROL!$C$38, 0.0342, 0)</f>
        <v>81.678600000000003</v>
      </c>
      <c r="E1059" s="14">
        <f>81.6444 * CHOOSE(CONTROL!$C$15, $E$9, 100%, $G$9) + CHOOSE(CONTROL!$C$38, 0.0342, 0)</f>
        <v>81.678600000000003</v>
      </c>
      <c r="F1059" s="45">
        <f>86.2632 * CHOOSE(CONTROL!$C$15, $E$9, 100%, $G$9) + CHOOSE(CONTROL!$C$38, 0.034, 0)</f>
        <v>86.297200000000004</v>
      </c>
      <c r="G1059" s="14">
        <f>81.6506 * CHOOSE(CONTROL!$C$15, $E$9, 100%, $G$9) + CHOOSE(CONTROL!$C$38, 0.0342, 0)</f>
        <v>81.684799999999996</v>
      </c>
      <c r="H1059" s="14">
        <f>81.6506 * CHOOSE(CONTROL!$C$15, $E$9, 100%, $G$9) + CHOOSE(CONTROL!$C$38, 0.0342, 0)</f>
        <v>81.684799999999996</v>
      </c>
      <c r="I1059" s="14">
        <f>81.6522 * CHOOSE(CONTROL!$C$15, $E$9, 100%, $G$9) + CHOOSE(CONTROL!$C$38, 0.0342, 0)</f>
        <v>81.686399999999992</v>
      </c>
      <c r="J1059" s="44">
        <f>903.258</f>
        <v>903.25800000000004</v>
      </c>
    </row>
    <row r="1060" spans="1:11" ht="15.75" x14ac:dyDescent="0.25">
      <c r="A1060" s="32">
        <v>73201</v>
      </c>
      <c r="B1060" s="14">
        <f>89.1373 * CHOOSE(CONTROL!$C$15, $E$9, 100%, $G$9) + CHOOSE(CONTROL!$C$38, 0.0353, 0)</f>
        <v>89.172600000000003</v>
      </c>
      <c r="C1060" s="14">
        <f>84.3768 * CHOOSE(CONTROL!$C$15, $E$9, 100%, $G$9) + CHOOSE(CONTROL!$C$38, 0.0354, 0)</f>
        <v>84.412199999999999</v>
      </c>
      <c r="D1060" s="14">
        <f>84.369 * CHOOSE(CONTROL!$C$15, $E$9, 100%, $G$9) + CHOOSE(CONTROL!$C$38, 0.0354, 0)</f>
        <v>84.404399999999995</v>
      </c>
      <c r="E1060" s="14">
        <f>84.369 * CHOOSE(CONTROL!$C$15, $E$9, 100%, $G$9) + CHOOSE(CONTROL!$C$38, 0.0354, 0)</f>
        <v>84.404399999999995</v>
      </c>
      <c r="F1060" s="45">
        <f>89.1373 * CHOOSE(CONTROL!$C$15, $E$9, 100%, $G$9) + CHOOSE(CONTROL!$C$38, 0.0353, 0)</f>
        <v>89.172600000000003</v>
      </c>
      <c r="G1060" s="14">
        <f>84.3753 * CHOOSE(CONTROL!$C$15, $E$9, 100%, $G$9) + CHOOSE(CONTROL!$C$38, 0.0354, 0)</f>
        <v>84.410699999999991</v>
      </c>
      <c r="H1060" s="14">
        <f>84.3753 * CHOOSE(CONTROL!$C$15, $E$9, 100%, $G$9) + CHOOSE(CONTROL!$C$38, 0.0354, 0)</f>
        <v>84.410699999999991</v>
      </c>
      <c r="I1060" s="14">
        <f>84.3768 * CHOOSE(CONTROL!$C$15, $E$9, 100%, $G$9) + CHOOSE(CONTROL!$C$38, 0.0354, 0)</f>
        <v>84.412199999999999</v>
      </c>
      <c r="J1060" s="44">
        <f>933.5696</f>
        <v>933.56960000000004</v>
      </c>
    </row>
    <row r="1061" spans="1:11" ht="15.75" x14ac:dyDescent="0.25">
      <c r="A1061" s="32">
        <v>73231</v>
      </c>
      <c r="B1061" s="14">
        <f>90.4128 * CHOOSE(CONTROL!$C$15, $E$9, 100%, $G$9) + CHOOSE(CONTROL!$C$38, 0.0353, 0)</f>
        <v>90.448100000000011</v>
      </c>
      <c r="C1061" s="14">
        <f>85.586 * CHOOSE(CONTROL!$C$15, $E$9, 100%, $G$9) + CHOOSE(CONTROL!$C$38, 0.0354, 0)</f>
        <v>85.621399999999994</v>
      </c>
      <c r="D1061" s="14">
        <f>85.5782 * CHOOSE(CONTROL!$C$15, $E$9, 100%, $G$9) + CHOOSE(CONTROL!$C$38, 0.0354, 0)</f>
        <v>85.613599999999991</v>
      </c>
      <c r="E1061" s="14">
        <f>85.5782 * CHOOSE(CONTROL!$C$15, $E$9, 100%, $G$9) + CHOOSE(CONTROL!$C$38, 0.0354, 0)</f>
        <v>85.613599999999991</v>
      </c>
      <c r="F1061" s="45">
        <f>90.4128 * CHOOSE(CONTROL!$C$15, $E$9, 100%, $G$9) + CHOOSE(CONTROL!$C$38, 0.0353, 0)</f>
        <v>90.448100000000011</v>
      </c>
      <c r="G1061" s="14">
        <f>85.5844 * CHOOSE(CONTROL!$C$15, $E$9, 100%, $G$9) + CHOOSE(CONTROL!$C$38, 0.0354, 0)</f>
        <v>85.619799999999998</v>
      </c>
      <c r="H1061" s="14">
        <f>85.5844 * CHOOSE(CONTROL!$C$15, $E$9, 100%, $G$9) + CHOOSE(CONTROL!$C$38, 0.0354, 0)</f>
        <v>85.619799999999998</v>
      </c>
      <c r="I1061" s="14">
        <f>85.586 * CHOOSE(CONTROL!$C$15, $E$9, 100%, $G$9) + CHOOSE(CONTROL!$C$38, 0.0354, 0)</f>
        <v>85.621399999999994</v>
      </c>
      <c r="J1061" s="44">
        <f>947.0213</f>
        <v>947.0213</v>
      </c>
    </row>
    <row r="1062" spans="1:11" ht="15.75" x14ac:dyDescent="0.25">
      <c r="A1062" s="32">
        <v>73262</v>
      </c>
      <c r="B1062" s="14">
        <f>89.9928 * CHOOSE(CONTROL!$C$15, $E$9, 100%, $G$9) + CHOOSE(CONTROL!$C$38, 0.0353, 0)</f>
        <v>90.028100000000009</v>
      </c>
      <c r="C1062" s="14">
        <f>85.1879 * CHOOSE(CONTROL!$C$15, $E$9, 100%, $G$9) + CHOOSE(CONTROL!$C$38, 0.0354, 0)</f>
        <v>85.223299999999995</v>
      </c>
      <c r="D1062" s="14">
        <f>85.18 * CHOOSE(CONTROL!$C$15, $E$9, 100%, $G$9) + CHOOSE(CONTROL!$C$38, 0.0354, 0)</f>
        <v>85.215400000000002</v>
      </c>
      <c r="E1062" s="14">
        <f>85.18 * CHOOSE(CONTROL!$C$15, $E$9, 100%, $G$9) + CHOOSE(CONTROL!$C$38, 0.0354, 0)</f>
        <v>85.215400000000002</v>
      </c>
      <c r="F1062" s="45">
        <f>89.9928 * CHOOSE(CONTROL!$C$15, $E$9, 100%, $G$9) + CHOOSE(CONTROL!$C$38, 0.0353, 0)</f>
        <v>90.028100000000009</v>
      </c>
      <c r="G1062" s="14">
        <f>85.1863 * CHOOSE(CONTROL!$C$15, $E$9, 100%, $G$9) + CHOOSE(CONTROL!$C$38, 0.0354, 0)</f>
        <v>85.221699999999998</v>
      </c>
      <c r="H1062" s="14">
        <f>85.1863 * CHOOSE(CONTROL!$C$15, $E$9, 100%, $G$9) + CHOOSE(CONTROL!$C$38, 0.0354, 0)</f>
        <v>85.221699999999998</v>
      </c>
      <c r="I1062" s="14">
        <f>85.1879 * CHOOSE(CONTROL!$C$15, $E$9, 100%, $G$9) + CHOOSE(CONTROL!$C$38, 0.0354, 0)</f>
        <v>85.223299999999995</v>
      </c>
      <c r="J1062" s="44">
        <f>942.5923</f>
        <v>942.59230000000002</v>
      </c>
    </row>
    <row r="1063" spans="1:11" ht="15.75" x14ac:dyDescent="0.25">
      <c r="A1063" s="32">
        <v>73293</v>
      </c>
      <c r="B1063" s="14">
        <f>87.9122 * CHOOSE(CONTROL!$C$15, $E$9, 100%, $G$9) + CHOOSE(CONTROL!$C$38, 0.0353, 0)</f>
        <v>87.947500000000005</v>
      </c>
      <c r="C1063" s="14">
        <f>83.2155 * CHOOSE(CONTROL!$C$15, $E$9, 100%, $G$9) + CHOOSE(CONTROL!$C$38, 0.0354, 0)</f>
        <v>83.250900000000001</v>
      </c>
      <c r="D1063" s="14">
        <f>83.2076 * CHOOSE(CONTROL!$C$15, $E$9, 100%, $G$9) + CHOOSE(CONTROL!$C$38, 0.0354, 0)</f>
        <v>83.242999999999995</v>
      </c>
      <c r="E1063" s="14">
        <f>83.2076 * CHOOSE(CONTROL!$C$15, $E$9, 100%, $G$9) + CHOOSE(CONTROL!$C$38, 0.0354, 0)</f>
        <v>83.242999999999995</v>
      </c>
      <c r="F1063" s="45">
        <f>87.9122 * CHOOSE(CONTROL!$C$15, $E$9, 100%, $G$9) + CHOOSE(CONTROL!$C$38, 0.0353, 0)</f>
        <v>87.947500000000005</v>
      </c>
      <c r="G1063" s="14">
        <f>83.2139 * CHOOSE(CONTROL!$C$15, $E$9, 100%, $G$9) + CHOOSE(CONTROL!$C$38, 0.0354, 0)</f>
        <v>83.249299999999991</v>
      </c>
      <c r="H1063" s="14">
        <f>83.2139 * CHOOSE(CONTROL!$C$15, $E$9, 100%, $G$9) + CHOOSE(CONTROL!$C$38, 0.0354, 0)</f>
        <v>83.249299999999991</v>
      </c>
      <c r="I1063" s="14">
        <f>83.2155 * CHOOSE(CONTROL!$C$15, $E$9, 100%, $G$9) + CHOOSE(CONTROL!$C$38, 0.0354, 0)</f>
        <v>83.250900000000001</v>
      </c>
      <c r="J1063" s="44">
        <f>920.6492</f>
        <v>920.64919999999995</v>
      </c>
    </row>
    <row r="1064" spans="1:11" ht="15.75" x14ac:dyDescent="0.25">
      <c r="A1064" s="32">
        <v>73323</v>
      </c>
      <c r="B1064" s="14">
        <f>85.0106 * CHOOSE(CONTROL!$C$15, $E$9, 100%, $G$9) + CHOOSE(CONTROL!$C$38, 0.0353, 0)</f>
        <v>85.045900000000003</v>
      </c>
      <c r="C1064" s="14">
        <f>80.4648 * CHOOSE(CONTROL!$C$15, $E$9, 100%, $G$9) + CHOOSE(CONTROL!$C$38, 0.0354, 0)</f>
        <v>80.500199999999992</v>
      </c>
      <c r="D1064" s="14">
        <f>80.457 * CHOOSE(CONTROL!$C$15, $E$9, 100%, $G$9) + CHOOSE(CONTROL!$C$38, 0.0354, 0)</f>
        <v>80.492399999999989</v>
      </c>
      <c r="E1064" s="14">
        <f>80.457 * CHOOSE(CONTROL!$C$15, $E$9, 100%, $G$9) + CHOOSE(CONTROL!$C$38, 0.0354, 0)</f>
        <v>80.492399999999989</v>
      </c>
      <c r="F1064" s="45">
        <f>85.0106 * CHOOSE(CONTROL!$C$15, $E$9, 100%, $G$9) + CHOOSE(CONTROL!$C$38, 0.0353, 0)</f>
        <v>85.045900000000003</v>
      </c>
      <c r="G1064" s="14">
        <f>80.4633 * CHOOSE(CONTROL!$C$15, $E$9, 100%, $G$9) + CHOOSE(CONTROL!$C$38, 0.0354, 0)</f>
        <v>80.498699999999999</v>
      </c>
      <c r="H1064" s="14">
        <f>80.4633 * CHOOSE(CONTROL!$C$15, $E$9, 100%, $G$9) + CHOOSE(CONTROL!$C$38, 0.0354, 0)</f>
        <v>80.498699999999999</v>
      </c>
      <c r="I1064" s="14">
        <f>80.4648 * CHOOSE(CONTROL!$C$15, $E$9, 100%, $G$9) + CHOOSE(CONTROL!$C$38, 0.0354, 0)</f>
        <v>80.500199999999992</v>
      </c>
      <c r="J1064" s="44">
        <f>890.0484</f>
        <v>890.04840000000002</v>
      </c>
    </row>
    <row r="1065" spans="1:11" ht="15.75" x14ac:dyDescent="0.25">
      <c r="A1065" s="32">
        <v>73354</v>
      </c>
      <c r="B1065" s="14">
        <f>82.0922 * CHOOSE(CONTROL!$C$15, $E$9, 100%, $G$9) + CHOOSE(CONTROL!$C$38, 0.034, 0)</f>
        <v>82.126200000000011</v>
      </c>
      <c r="C1065" s="14">
        <f>77.6982 * CHOOSE(CONTROL!$C$15, $E$9, 100%, $G$9) + CHOOSE(CONTROL!$C$38, 0.0342, 0)</f>
        <v>77.732399999999998</v>
      </c>
      <c r="D1065" s="14">
        <f>77.6904 * CHOOSE(CONTROL!$C$15, $E$9, 100%, $G$9) + CHOOSE(CONTROL!$C$38, 0.0342, 0)</f>
        <v>77.724599999999995</v>
      </c>
      <c r="E1065" s="14">
        <f>77.6904 * CHOOSE(CONTROL!$C$15, $E$9, 100%, $G$9) + CHOOSE(CONTROL!$C$38, 0.0342, 0)</f>
        <v>77.724599999999995</v>
      </c>
      <c r="F1065" s="45">
        <f>82.0922 * CHOOSE(CONTROL!$C$15, $E$9, 100%, $G$9) + CHOOSE(CONTROL!$C$38, 0.034, 0)</f>
        <v>82.126200000000011</v>
      </c>
      <c r="G1065" s="14">
        <f>77.6967 * CHOOSE(CONTROL!$C$15, $E$9, 100%, $G$9) + CHOOSE(CONTROL!$C$38, 0.0342, 0)</f>
        <v>77.730900000000005</v>
      </c>
      <c r="H1065" s="14">
        <f>77.6967 * CHOOSE(CONTROL!$C$15, $E$9, 100%, $G$9) + CHOOSE(CONTROL!$C$38, 0.0342, 0)</f>
        <v>77.730900000000005</v>
      </c>
      <c r="I1065" s="14">
        <f>77.6982 * CHOOSE(CONTROL!$C$15, $E$9, 100%, $G$9) + CHOOSE(CONTROL!$C$38, 0.0342, 0)</f>
        <v>77.732399999999998</v>
      </c>
      <c r="J1065" s="44">
        <f>859.2696</f>
        <v>859.26959999999997</v>
      </c>
    </row>
    <row r="1066" spans="1:11" ht="15.75" x14ac:dyDescent="0.25">
      <c r="A1066" s="32">
        <v>73384</v>
      </c>
      <c r="B1066" s="14">
        <f>81.5117 * CHOOSE(CONTROL!$C$15, $E$9, 100%, $G$9) + CHOOSE(CONTROL!$C$38, 0.034, 0)</f>
        <v>81.545700000000011</v>
      </c>
      <c r="C1066" s="14">
        <f>77.1479 * CHOOSE(CONTROL!$C$15, $E$9, 100%, $G$9) + CHOOSE(CONTROL!$C$38, 0.0342, 0)</f>
        <v>77.182100000000005</v>
      </c>
      <c r="D1066" s="14">
        <f>77.1401 * CHOOSE(CONTROL!$C$15, $E$9, 100%, $G$9) + CHOOSE(CONTROL!$C$38, 0.0342, 0)</f>
        <v>77.174300000000002</v>
      </c>
      <c r="E1066" s="14">
        <f>77.1401 * CHOOSE(CONTROL!$C$15, $E$9, 100%, $G$9) + CHOOSE(CONTROL!$C$38, 0.0342, 0)</f>
        <v>77.174300000000002</v>
      </c>
      <c r="F1066" s="45">
        <f>81.5117 * CHOOSE(CONTROL!$C$15, $E$9, 100%, $G$9) + CHOOSE(CONTROL!$C$38, 0.034, 0)</f>
        <v>81.545700000000011</v>
      </c>
      <c r="G1066" s="14">
        <f>77.1463 * CHOOSE(CONTROL!$C$15, $E$9, 100%, $G$9) + CHOOSE(CONTROL!$C$38, 0.0342, 0)</f>
        <v>77.180499999999995</v>
      </c>
      <c r="H1066" s="14">
        <f>77.1463 * CHOOSE(CONTROL!$C$15, $E$9, 100%, $G$9) + CHOOSE(CONTROL!$C$38, 0.0342, 0)</f>
        <v>77.180499999999995</v>
      </c>
      <c r="I1066" s="14">
        <f>77.1479 * CHOOSE(CONTROL!$C$15, $E$9, 100%, $G$9) + CHOOSE(CONTROL!$C$38, 0.0342, 0)</f>
        <v>77.182100000000005</v>
      </c>
      <c r="J1066" s="44">
        <f>853.1471</f>
        <v>853.14710000000002</v>
      </c>
    </row>
    <row r="1067" spans="1:11" ht="15.75" x14ac:dyDescent="0.25">
      <c r="A1067" s="32">
        <v>73415</v>
      </c>
      <c r="B1067" s="14">
        <f>79.1112 * CHOOSE(CONTROL!$C$15, $E$9, 100%, $G$9) + CHOOSE(CONTROL!$C$38, 0.034, 0)</f>
        <v>79.145200000000003</v>
      </c>
      <c r="C1067" s="14">
        <f>74.8722 * CHOOSE(CONTROL!$C$15, $E$9, 100%, $G$9) + CHOOSE(CONTROL!$C$38, 0.0342, 0)</f>
        <v>74.906400000000005</v>
      </c>
      <c r="D1067" s="14">
        <f>74.8644 * CHOOSE(CONTROL!$C$15, $E$9, 100%, $G$9) + CHOOSE(CONTROL!$C$38, 0.0342, 0)</f>
        <v>74.898600000000002</v>
      </c>
      <c r="E1067" s="14">
        <f>74.8644 * CHOOSE(CONTROL!$C$15, $E$9, 100%, $G$9) + CHOOSE(CONTROL!$C$38, 0.0342, 0)</f>
        <v>74.898600000000002</v>
      </c>
      <c r="F1067" s="45">
        <f>79.1112 * CHOOSE(CONTROL!$C$15, $E$9, 100%, $G$9) + CHOOSE(CONTROL!$C$38, 0.034, 0)</f>
        <v>79.145200000000003</v>
      </c>
      <c r="G1067" s="14">
        <f>74.8706 * CHOOSE(CONTROL!$C$15, $E$9, 100%, $G$9) + CHOOSE(CONTROL!$C$38, 0.0342, 0)</f>
        <v>74.904799999999994</v>
      </c>
      <c r="H1067" s="14">
        <f>74.8706 * CHOOSE(CONTROL!$C$15, $E$9, 100%, $G$9) + CHOOSE(CONTROL!$C$38, 0.0342, 0)</f>
        <v>74.904799999999994</v>
      </c>
      <c r="I1067" s="14">
        <f>74.8722 * CHOOSE(CONTROL!$C$15, $E$9, 100%, $G$9) + CHOOSE(CONTROL!$C$38, 0.0342, 0)</f>
        <v>74.906400000000005</v>
      </c>
      <c r="J1067" s="44">
        <f>827.8299</f>
        <v>827.82989999999995</v>
      </c>
    </row>
    <row r="1068" spans="1:11" ht="15" x14ac:dyDescent="0.2">
      <c r="A1068" s="12"/>
      <c r="B1068" s="14"/>
      <c r="C1068" s="14"/>
      <c r="D1068" s="14"/>
      <c r="E1068" s="14"/>
      <c r="F1068" s="14"/>
      <c r="G1068" s="14"/>
      <c r="H1068" s="14"/>
      <c r="I1068" s="14"/>
    </row>
    <row r="1069" spans="1:11" ht="15" x14ac:dyDescent="0.2">
      <c r="A1069" s="10">
        <v>2013</v>
      </c>
      <c r="B1069" s="14">
        <f t="shared" ref="B1069:J1069" si="0">AVERAGE(B12:B23)</f>
        <v>17.061146432892258</v>
      </c>
      <c r="C1069" s="14">
        <f t="shared" si="0"/>
        <v>16.243906151556754</v>
      </c>
      <c r="D1069" s="14">
        <f t="shared" si="0"/>
        <v>16.236101984890087</v>
      </c>
      <c r="E1069" s="14">
        <f t="shared" si="0"/>
        <v>16.236101984890087</v>
      </c>
      <c r="F1069" s="14">
        <f t="shared" si="0"/>
        <v>16.889069707819349</v>
      </c>
      <c r="G1069" s="14">
        <f t="shared" si="0"/>
        <v>16.242351984890082</v>
      </c>
      <c r="H1069" s="14">
        <f t="shared" si="0"/>
        <v>16.242351984890082</v>
      </c>
      <c r="I1069" s="14">
        <f t="shared" si="0"/>
        <v>16.243906151556754</v>
      </c>
      <c r="J1069" s="14">
        <f t="shared" si="0"/>
        <v>95.835833333333326</v>
      </c>
      <c r="K1069" s="14"/>
    </row>
    <row r="1070" spans="1:11" ht="15" x14ac:dyDescent="0.2">
      <c r="A1070" s="10">
        <v>2014</v>
      </c>
      <c r="B1070" s="14">
        <f t="shared" ref="B1070:J1070" si="1">AVERAGE(B24:B35)</f>
        <v>16.706441666666663</v>
      </c>
      <c r="C1070" s="14">
        <f t="shared" si="1"/>
        <v>15.769099999999996</v>
      </c>
      <c r="D1070" s="14">
        <f t="shared" si="1"/>
        <v>15.761225000000001</v>
      </c>
      <c r="E1070" s="14">
        <f t="shared" si="1"/>
        <v>15.761225000000001</v>
      </c>
      <c r="F1070" s="14">
        <f t="shared" si="1"/>
        <v>16.706441666666663</v>
      </c>
      <c r="G1070" s="14">
        <f t="shared" si="1"/>
        <v>15.767499999999998</v>
      </c>
      <c r="H1070" s="14">
        <f t="shared" si="1"/>
        <v>15.767499999999998</v>
      </c>
      <c r="I1070" s="14">
        <f t="shared" si="1"/>
        <v>15.769099999999996</v>
      </c>
      <c r="J1070" s="14">
        <f t="shared" si="1"/>
        <v>93.633333333333326</v>
      </c>
      <c r="K1070" s="14"/>
    </row>
    <row r="1071" spans="1:11" ht="15" x14ac:dyDescent="0.2">
      <c r="A1071" s="10">
        <v>2015</v>
      </c>
      <c r="B1071" s="14">
        <f t="shared" ref="B1071:J1071" si="2">AVERAGE(B36:B47)</f>
        <v>16.138141666666666</v>
      </c>
      <c r="C1071" s="14">
        <f t="shared" si="2"/>
        <v>15.089399999999999</v>
      </c>
      <c r="D1071" s="14">
        <f t="shared" si="2"/>
        <v>15.0816</v>
      </c>
      <c r="E1071" s="14">
        <f t="shared" si="2"/>
        <v>15.0816</v>
      </c>
      <c r="F1071" s="14">
        <f t="shared" si="2"/>
        <v>16.138141666666666</v>
      </c>
      <c r="G1071" s="14">
        <f t="shared" si="2"/>
        <v>15.0878</v>
      </c>
      <c r="H1071" s="14">
        <f t="shared" si="2"/>
        <v>15.0878</v>
      </c>
      <c r="I1071" s="14">
        <f t="shared" si="2"/>
        <v>15.089399999999999</v>
      </c>
      <c r="J1071" s="14">
        <f t="shared" si="2"/>
        <v>89.996666666666655</v>
      </c>
      <c r="K1071" s="14"/>
    </row>
    <row r="1072" spans="1:11" ht="15" x14ac:dyDescent="0.2">
      <c r="A1072" s="10">
        <v>2016</v>
      </c>
      <c r="B1072" s="14">
        <f t="shared" ref="B1072:J1072" si="3">AVERAGE(B48:B59)</f>
        <v>16.184408333333334</v>
      </c>
      <c r="C1072" s="14">
        <f t="shared" si="3"/>
        <v>15.423499999999997</v>
      </c>
      <c r="D1072" s="14">
        <f t="shared" si="3"/>
        <v>15.415691666666666</v>
      </c>
      <c r="E1072" s="14">
        <f t="shared" si="3"/>
        <v>15.415691666666666</v>
      </c>
      <c r="F1072" s="14">
        <f t="shared" si="3"/>
        <v>16.184408333333334</v>
      </c>
      <c r="G1072" s="14">
        <f t="shared" si="3"/>
        <v>15.421958333333334</v>
      </c>
      <c r="H1072" s="14">
        <f t="shared" si="3"/>
        <v>15.421958333333334</v>
      </c>
      <c r="I1072" s="14">
        <f t="shared" si="3"/>
        <v>15.423499999999997</v>
      </c>
      <c r="J1072" s="14">
        <f t="shared" si="3"/>
        <v>96.648033333333316</v>
      </c>
      <c r="K1072" s="14"/>
    </row>
    <row r="1073" spans="1:11" ht="15" x14ac:dyDescent="0.2">
      <c r="A1073" s="10">
        <v>2017</v>
      </c>
      <c r="B1073" s="14">
        <f t="shared" ref="B1073:J1073" si="4">AVERAGE(B60:B71)</f>
        <v>16.200799999999997</v>
      </c>
      <c r="C1073" s="14">
        <f t="shared" si="4"/>
        <v>15.439500000000001</v>
      </c>
      <c r="D1073" s="14">
        <f t="shared" si="4"/>
        <v>15.431691666666666</v>
      </c>
      <c r="E1073" s="14">
        <f t="shared" si="4"/>
        <v>15.431691666666666</v>
      </c>
      <c r="F1073" s="14">
        <f t="shared" si="4"/>
        <v>16.200799999999997</v>
      </c>
      <c r="G1073" s="14">
        <f t="shared" si="4"/>
        <v>15.437933333333332</v>
      </c>
      <c r="H1073" s="14">
        <f t="shared" si="4"/>
        <v>15.437933333333332</v>
      </c>
      <c r="I1073" s="14">
        <f t="shared" si="4"/>
        <v>15.439500000000001</v>
      </c>
      <c r="J1073" s="14">
        <f t="shared" si="4"/>
        <v>96.984275000000011</v>
      </c>
      <c r="K1073" s="14"/>
    </row>
    <row r="1074" spans="1:11" ht="15" x14ac:dyDescent="0.2">
      <c r="A1074" s="10">
        <v>2018</v>
      </c>
      <c r="B1074" s="14">
        <f t="shared" ref="B1074:J1074" si="5">AVERAGE(B72:B83)</f>
        <v>17.326508333333329</v>
      </c>
      <c r="C1074" s="14">
        <f t="shared" si="5"/>
        <v>16.85103333333333</v>
      </c>
      <c r="D1074" s="14">
        <f t="shared" si="5"/>
        <v>16.84323333333333</v>
      </c>
      <c r="E1074" s="14">
        <f t="shared" si="5"/>
        <v>16.84323333333333</v>
      </c>
      <c r="F1074" s="14">
        <f t="shared" si="5"/>
        <v>17.326508333333329</v>
      </c>
      <c r="G1074" s="14">
        <f t="shared" si="5"/>
        <v>16.849499999999999</v>
      </c>
      <c r="H1074" s="14">
        <f t="shared" si="5"/>
        <v>16.849499999999999</v>
      </c>
      <c r="I1074" s="14">
        <f t="shared" si="5"/>
        <v>16.85103333333333</v>
      </c>
      <c r="J1074" s="14">
        <f t="shared" si="5"/>
        <v>110.98133333333332</v>
      </c>
      <c r="K1074" s="14"/>
    </row>
    <row r="1075" spans="1:11" ht="15" x14ac:dyDescent="0.2">
      <c r="A1075" s="10">
        <v>2019</v>
      </c>
      <c r="B1075" s="14">
        <f t="shared" ref="B1075:J1075" si="6">AVERAGE(B84:B95)</f>
        <v>17.782616666666666</v>
      </c>
      <c r="C1075" s="14">
        <f t="shared" si="6"/>
        <v>17.274333333333331</v>
      </c>
      <c r="D1075" s="14">
        <f t="shared" si="6"/>
        <v>17.266533333333332</v>
      </c>
      <c r="E1075" s="14">
        <f t="shared" si="6"/>
        <v>17.266533333333332</v>
      </c>
      <c r="F1075" s="14">
        <f t="shared" si="6"/>
        <v>17.782616666666666</v>
      </c>
      <c r="G1075" s="14">
        <f t="shared" si="6"/>
        <v>17.272774999999999</v>
      </c>
      <c r="H1075" s="14">
        <f t="shared" si="6"/>
        <v>17.272774999999999</v>
      </c>
      <c r="I1075" s="14">
        <f t="shared" si="6"/>
        <v>17.274333333333331</v>
      </c>
      <c r="J1075" s="14">
        <f t="shared" si="6"/>
        <v>113.54180833333335</v>
      </c>
      <c r="K1075" s="14"/>
    </row>
    <row r="1076" spans="1:11" ht="15" x14ac:dyDescent="0.2">
      <c r="A1076" s="10">
        <v>2020</v>
      </c>
      <c r="B1076" s="14">
        <f t="shared" ref="B1076:J1076" si="7">AVERAGE(B96:B107)</f>
        <v>18.357908333333334</v>
      </c>
      <c r="C1076" s="14">
        <f t="shared" si="7"/>
        <v>17.696324999999998</v>
      </c>
      <c r="D1076" s="14">
        <f t="shared" si="7"/>
        <v>17.688508333333331</v>
      </c>
      <c r="E1076" s="14">
        <f t="shared" si="7"/>
        <v>17.688508333333331</v>
      </c>
      <c r="F1076" s="14">
        <f t="shared" si="7"/>
        <v>18.357908333333334</v>
      </c>
      <c r="G1076" s="14">
        <f t="shared" si="7"/>
        <v>17.694775</v>
      </c>
      <c r="H1076" s="14">
        <f t="shared" si="7"/>
        <v>17.694775</v>
      </c>
      <c r="I1076" s="14">
        <f t="shared" si="7"/>
        <v>17.696324999999998</v>
      </c>
      <c r="J1076" s="14">
        <f t="shared" si="7"/>
        <v>116.10022500000001</v>
      </c>
      <c r="K1076" s="14"/>
    </row>
    <row r="1077" spans="1:11" ht="15" x14ac:dyDescent="0.2">
      <c r="A1077" s="10">
        <v>2021</v>
      </c>
      <c r="B1077" s="14">
        <f t="shared" ref="B1077:J1077" si="8">AVERAGE(B108:B119)</f>
        <v>19.431458333333335</v>
      </c>
      <c r="C1077" s="14">
        <f t="shared" si="8"/>
        <v>18.469091666666667</v>
      </c>
      <c r="D1077" s="14">
        <f t="shared" si="8"/>
        <v>18.461275000000001</v>
      </c>
      <c r="E1077" s="14">
        <f t="shared" si="8"/>
        <v>18.461275000000001</v>
      </c>
      <c r="F1077" s="14">
        <f t="shared" si="8"/>
        <v>19.431458333333335</v>
      </c>
      <c r="G1077" s="14">
        <f t="shared" si="8"/>
        <v>18.467508333333335</v>
      </c>
      <c r="H1077" s="14">
        <f t="shared" si="8"/>
        <v>18.467508333333335</v>
      </c>
      <c r="I1077" s="14">
        <f t="shared" si="8"/>
        <v>18.469091666666667</v>
      </c>
      <c r="J1077" s="14">
        <f t="shared" si="8"/>
        <v>122.03735833333333</v>
      </c>
      <c r="K1077" s="14"/>
    </row>
    <row r="1078" spans="1:11" ht="15" x14ac:dyDescent="0.2">
      <c r="A1078" s="10">
        <v>2022</v>
      </c>
      <c r="B1078" s="14">
        <f t="shared" ref="B1078:J1078" si="9">AVERAGE(B120:B131)</f>
        <v>20.271999999999998</v>
      </c>
      <c r="C1078" s="14">
        <f t="shared" si="9"/>
        <v>19.305666666666667</v>
      </c>
      <c r="D1078" s="14">
        <f t="shared" si="9"/>
        <v>19.297858333333334</v>
      </c>
      <c r="E1078" s="14">
        <f t="shared" si="9"/>
        <v>19.297858333333334</v>
      </c>
      <c r="F1078" s="14">
        <f t="shared" si="9"/>
        <v>20.271999999999998</v>
      </c>
      <c r="G1078" s="14">
        <f t="shared" si="9"/>
        <v>19.304091666666665</v>
      </c>
      <c r="H1078" s="14">
        <f t="shared" si="9"/>
        <v>19.304091666666665</v>
      </c>
      <c r="I1078" s="14">
        <f t="shared" si="9"/>
        <v>19.305666666666667</v>
      </c>
      <c r="J1078" s="14">
        <f t="shared" si="9"/>
        <v>128.27124999999998</v>
      </c>
      <c r="K1078" s="14"/>
    </row>
    <row r="1079" spans="1:11" ht="15" x14ac:dyDescent="0.2">
      <c r="A1079" s="10">
        <v>2023</v>
      </c>
      <c r="B1079" s="14">
        <f t="shared" ref="B1079:J1079" si="10">AVERAGE(B132:B143)</f>
        <v>21.372633333333336</v>
      </c>
      <c r="C1079" s="14">
        <f t="shared" si="10"/>
        <v>20.239483333333329</v>
      </c>
      <c r="D1079" s="14">
        <f t="shared" si="10"/>
        <v>20.231683333333333</v>
      </c>
      <c r="E1079" s="14">
        <f t="shared" si="10"/>
        <v>20.231683333333333</v>
      </c>
      <c r="F1079" s="14">
        <f t="shared" si="10"/>
        <v>21.372633333333336</v>
      </c>
      <c r="G1079" s="14">
        <f t="shared" si="10"/>
        <v>20.237941666666668</v>
      </c>
      <c r="H1079" s="14">
        <f t="shared" si="10"/>
        <v>20.237941666666668</v>
      </c>
      <c r="I1079" s="14">
        <f t="shared" si="10"/>
        <v>20.239483333333329</v>
      </c>
      <c r="J1079" s="14">
        <f t="shared" si="10"/>
        <v>134.81665833333332</v>
      </c>
      <c r="K1079" s="14"/>
    </row>
    <row r="1080" spans="1:11" ht="15" x14ac:dyDescent="0.2">
      <c r="A1080" s="10">
        <v>2024</v>
      </c>
      <c r="B1080" s="14">
        <f t="shared" ref="B1080:J1080" si="11">AVERAGE(B144:B155)</f>
        <v>22.509874999999997</v>
      </c>
      <c r="C1080" s="14">
        <f t="shared" si="11"/>
        <v>21.208308333333331</v>
      </c>
      <c r="D1080" s="14">
        <f t="shared" si="11"/>
        <v>21.200491666666665</v>
      </c>
      <c r="E1080" s="14">
        <f t="shared" si="11"/>
        <v>21.200491666666665</v>
      </c>
      <c r="F1080" s="14">
        <f t="shared" si="11"/>
        <v>22.509874999999997</v>
      </c>
      <c r="G1080" s="14">
        <f t="shared" si="11"/>
        <v>21.206733333333332</v>
      </c>
      <c r="H1080" s="14">
        <f t="shared" si="11"/>
        <v>21.206733333333332</v>
      </c>
      <c r="I1080" s="14">
        <f t="shared" si="11"/>
        <v>21.208308333333331</v>
      </c>
      <c r="J1080" s="14">
        <f t="shared" si="11"/>
        <v>141.68893333333332</v>
      </c>
      <c r="K1080" s="14"/>
    </row>
    <row r="1081" spans="1:11" ht="15" x14ac:dyDescent="0.2">
      <c r="A1081" s="10">
        <v>2025</v>
      </c>
      <c r="B1081" s="14">
        <f t="shared" ref="B1081:J1081" si="12">AVERAGE(B156:B167)</f>
        <v>23.653208333333328</v>
      </c>
      <c r="C1081" s="14">
        <f t="shared" si="12"/>
        <v>22.181591666666666</v>
      </c>
      <c r="D1081" s="14">
        <f t="shared" si="12"/>
        <v>22.173758333333335</v>
      </c>
      <c r="E1081" s="14">
        <f t="shared" si="12"/>
        <v>22.173758333333335</v>
      </c>
      <c r="F1081" s="14">
        <f t="shared" si="12"/>
        <v>23.653208333333328</v>
      </c>
      <c r="G1081" s="14">
        <f t="shared" si="12"/>
        <v>22.180033333333331</v>
      </c>
      <c r="H1081" s="14">
        <f t="shared" si="12"/>
        <v>22.180033333333331</v>
      </c>
      <c r="I1081" s="14">
        <f t="shared" si="12"/>
        <v>22.181591666666666</v>
      </c>
      <c r="J1081" s="14">
        <f t="shared" si="12"/>
        <v>148.90432500000003</v>
      </c>
      <c r="K1081" s="14"/>
    </row>
    <row r="1082" spans="1:11" ht="15" x14ac:dyDescent="0.2">
      <c r="A1082" s="10">
        <v>2026</v>
      </c>
      <c r="B1082" s="14">
        <f t="shared" ref="B1082:J1082" si="13">AVERAGE(B168:B179)</f>
        <v>24.195741666666667</v>
      </c>
      <c r="C1082" s="14">
        <f t="shared" si="13"/>
        <v>22.717658333333333</v>
      </c>
      <c r="D1082" s="14">
        <f t="shared" si="13"/>
        <v>22.70985833333334</v>
      </c>
      <c r="E1082" s="14">
        <f t="shared" si="13"/>
        <v>22.70985833333334</v>
      </c>
      <c r="F1082" s="14">
        <f t="shared" si="13"/>
        <v>24.195741666666667</v>
      </c>
      <c r="G1082" s="14">
        <f t="shared" si="13"/>
        <v>22.716108333333327</v>
      </c>
      <c r="H1082" s="14">
        <f t="shared" si="13"/>
        <v>22.716108333333327</v>
      </c>
      <c r="I1082" s="14">
        <f t="shared" si="13"/>
        <v>22.717658333333333</v>
      </c>
      <c r="J1082" s="14">
        <f t="shared" si="13"/>
        <v>152.65531666666666</v>
      </c>
      <c r="K1082" s="14"/>
    </row>
    <row r="1083" spans="1:11" ht="15" x14ac:dyDescent="0.2">
      <c r="A1083" s="10">
        <v>2027</v>
      </c>
      <c r="B1083" s="14">
        <f t="shared" ref="B1083:J1083" si="14">AVERAGE(B180:B191)</f>
        <v>24.795016666666669</v>
      </c>
      <c r="C1083" s="14">
        <f t="shared" si="14"/>
        <v>23.310475</v>
      </c>
      <c r="D1083" s="14">
        <f t="shared" si="14"/>
        <v>23.302674999999997</v>
      </c>
      <c r="E1083" s="14">
        <f t="shared" si="14"/>
        <v>23.302674999999997</v>
      </c>
      <c r="F1083" s="14">
        <f t="shared" si="14"/>
        <v>24.795016666666669</v>
      </c>
      <c r="G1083" s="14">
        <f t="shared" si="14"/>
        <v>23.308899999999998</v>
      </c>
      <c r="H1083" s="14">
        <f t="shared" si="14"/>
        <v>23.308899999999998</v>
      </c>
      <c r="I1083" s="14">
        <f t="shared" si="14"/>
        <v>23.310475</v>
      </c>
      <c r="J1083" s="14">
        <f t="shared" si="14"/>
        <v>156.50068333333334</v>
      </c>
      <c r="K1083" s="14"/>
    </row>
    <row r="1084" spans="1:11" ht="15" x14ac:dyDescent="0.2">
      <c r="A1084" s="10">
        <v>2028</v>
      </c>
      <c r="B1084" s="14">
        <f t="shared" ref="B1084:J1084" si="15">AVERAGE(B192:B203)</f>
        <v>25.343608333333336</v>
      </c>
      <c r="C1084" s="14">
        <f t="shared" si="15"/>
        <v>23.85253333333333</v>
      </c>
      <c r="D1084" s="14">
        <f t="shared" si="15"/>
        <v>23.844733333333334</v>
      </c>
      <c r="E1084" s="14">
        <f t="shared" si="15"/>
        <v>23.844733333333334</v>
      </c>
      <c r="F1084" s="14">
        <f t="shared" si="15"/>
        <v>25.343608333333336</v>
      </c>
      <c r="G1084" s="14">
        <f t="shared" si="15"/>
        <v>23.850958333333335</v>
      </c>
      <c r="H1084" s="14">
        <f t="shared" si="15"/>
        <v>23.850958333333335</v>
      </c>
      <c r="I1084" s="14">
        <f t="shared" si="15"/>
        <v>23.85253333333333</v>
      </c>
      <c r="J1084" s="14">
        <f t="shared" si="15"/>
        <v>160.44282500000003</v>
      </c>
      <c r="K1084" s="14"/>
    </row>
    <row r="1085" spans="1:11" ht="15" x14ac:dyDescent="0.2">
      <c r="A1085" s="10">
        <v>2029</v>
      </c>
      <c r="B1085" s="14">
        <f t="shared" ref="B1085:J1085" si="16">AVERAGE(B204:B215)</f>
        <v>25.975091666666671</v>
      </c>
      <c r="C1085" s="14">
        <f t="shared" si="16"/>
        <v>24.477483333333335</v>
      </c>
      <c r="D1085" s="14">
        <f t="shared" si="16"/>
        <v>24.469674999999999</v>
      </c>
      <c r="E1085" s="14">
        <f t="shared" si="16"/>
        <v>24.469674999999999</v>
      </c>
      <c r="F1085" s="14">
        <f t="shared" si="16"/>
        <v>25.975091666666671</v>
      </c>
      <c r="G1085" s="14">
        <f t="shared" si="16"/>
        <v>24.475925</v>
      </c>
      <c r="H1085" s="14">
        <f t="shared" si="16"/>
        <v>24.475925</v>
      </c>
      <c r="I1085" s="14">
        <f t="shared" si="16"/>
        <v>24.477483333333335</v>
      </c>
      <c r="J1085" s="14">
        <f t="shared" si="16"/>
        <v>164.48420000000002</v>
      </c>
      <c r="K1085" s="14"/>
    </row>
    <row r="1086" spans="1:11" ht="15" x14ac:dyDescent="0.2">
      <c r="A1086" s="10">
        <v>2030</v>
      </c>
      <c r="B1086" s="14">
        <f t="shared" ref="B1086:J1086" si="17">AVERAGE(B216:B227)</f>
        <v>26.49945</v>
      </c>
      <c r="C1086" s="14">
        <f t="shared" si="17"/>
        <v>24.998758333333331</v>
      </c>
      <c r="D1086" s="14">
        <f t="shared" si="17"/>
        <v>24.990949999999998</v>
      </c>
      <c r="E1086" s="14">
        <f t="shared" si="17"/>
        <v>24.990949999999998</v>
      </c>
      <c r="F1086" s="14">
        <f t="shared" si="17"/>
        <v>26.49945</v>
      </c>
      <c r="G1086" s="14">
        <f t="shared" si="17"/>
        <v>24.997200000000003</v>
      </c>
      <c r="H1086" s="14">
        <f t="shared" si="17"/>
        <v>24.997200000000003</v>
      </c>
      <c r="I1086" s="14">
        <f t="shared" si="17"/>
        <v>24.998758333333331</v>
      </c>
      <c r="J1086" s="14">
        <f t="shared" si="17"/>
        <v>168.20285833333332</v>
      </c>
      <c r="K1086" s="14"/>
    </row>
    <row r="1087" spans="1:11" ht="15" x14ac:dyDescent="0.2">
      <c r="A1087" s="10">
        <v>2031</v>
      </c>
      <c r="B1087" s="14">
        <f t="shared" ref="B1087:J1087" si="18">AVERAGE(B228:B239)</f>
        <v>27.032016666666667</v>
      </c>
      <c r="C1087" s="14">
        <f t="shared" si="18"/>
        <v>25.503808333333328</v>
      </c>
      <c r="D1087" s="14">
        <f t="shared" si="18"/>
        <v>25.496008333333332</v>
      </c>
      <c r="E1087" s="14">
        <f t="shared" si="18"/>
        <v>25.496008333333332</v>
      </c>
      <c r="F1087" s="14">
        <f t="shared" si="18"/>
        <v>27.032016666666667</v>
      </c>
      <c r="G1087" s="14">
        <f t="shared" si="18"/>
        <v>25.502241666666663</v>
      </c>
      <c r="H1087" s="14">
        <f t="shared" si="18"/>
        <v>25.502241666666663</v>
      </c>
      <c r="I1087" s="14">
        <f t="shared" si="18"/>
        <v>25.503808333333328</v>
      </c>
      <c r="J1087" s="14">
        <f t="shared" si="18"/>
        <v>172.81079166666663</v>
      </c>
      <c r="K1087" s="14"/>
    </row>
    <row r="1088" spans="1:11" ht="15" x14ac:dyDescent="0.2">
      <c r="A1088" s="10">
        <v>2032</v>
      </c>
      <c r="B1088" s="14">
        <f t="shared" ref="B1088:J1088" si="19">AVERAGE(B240:B251)</f>
        <v>27.475208333333327</v>
      </c>
      <c r="C1088" s="14">
        <f t="shared" si="19"/>
        <v>25.923941666666664</v>
      </c>
      <c r="D1088" s="14">
        <f t="shared" si="19"/>
        <v>25.916125000000005</v>
      </c>
      <c r="E1088" s="14">
        <f t="shared" si="19"/>
        <v>25.916125000000005</v>
      </c>
      <c r="F1088" s="14">
        <f t="shared" si="19"/>
        <v>27.475208333333327</v>
      </c>
      <c r="G1088" s="14">
        <f t="shared" si="19"/>
        <v>25.922375000000002</v>
      </c>
      <c r="H1088" s="14">
        <f t="shared" si="19"/>
        <v>25.922375000000002</v>
      </c>
      <c r="I1088" s="14">
        <f t="shared" si="19"/>
        <v>25.923941666666664</v>
      </c>
      <c r="J1088" s="14">
        <f t="shared" si="19"/>
        <v>176.93085833333336</v>
      </c>
      <c r="K1088" s="14"/>
    </row>
    <row r="1089" spans="1:11" ht="15" x14ac:dyDescent="0.2">
      <c r="A1089" s="10">
        <v>2033</v>
      </c>
      <c r="B1089" s="14">
        <f t="shared" ref="B1089:J1089" si="20">AVERAGE(B252:B263)</f>
        <v>27.925841666666667</v>
      </c>
      <c r="C1089" s="14">
        <f t="shared" si="20"/>
        <v>26.351125</v>
      </c>
      <c r="D1089" s="14">
        <f t="shared" si="20"/>
        <v>26.343308333333336</v>
      </c>
      <c r="E1089" s="14">
        <f t="shared" si="20"/>
        <v>26.343308333333336</v>
      </c>
      <c r="F1089" s="14">
        <f t="shared" si="20"/>
        <v>27.925841666666667</v>
      </c>
      <c r="G1089" s="14">
        <f t="shared" si="20"/>
        <v>26.349566666666664</v>
      </c>
      <c r="H1089" s="14">
        <f t="shared" si="20"/>
        <v>26.349566666666664</v>
      </c>
      <c r="I1089" s="14">
        <f t="shared" si="20"/>
        <v>26.351125</v>
      </c>
      <c r="J1089" s="14">
        <f t="shared" si="20"/>
        <v>181.14915833333336</v>
      </c>
      <c r="K1089" s="14"/>
    </row>
    <row r="1090" spans="1:11" ht="15" x14ac:dyDescent="0.2">
      <c r="A1090" s="10">
        <v>2034</v>
      </c>
      <c r="B1090" s="14">
        <f t="shared" ref="B1090:J1090" si="21">AVERAGE(B264:B275)</f>
        <v>28.384041666666672</v>
      </c>
      <c r="C1090" s="14">
        <f t="shared" si="21"/>
        <v>26.785508333333329</v>
      </c>
      <c r="D1090" s="14">
        <f t="shared" si="21"/>
        <v>26.777675000000002</v>
      </c>
      <c r="E1090" s="14">
        <f t="shared" si="21"/>
        <v>26.777675000000002</v>
      </c>
      <c r="F1090" s="14">
        <f t="shared" si="21"/>
        <v>28.384041666666672</v>
      </c>
      <c r="G1090" s="14">
        <f t="shared" si="21"/>
        <v>26.783925</v>
      </c>
      <c r="H1090" s="14">
        <f t="shared" si="21"/>
        <v>26.783925</v>
      </c>
      <c r="I1090" s="14">
        <f t="shared" si="21"/>
        <v>26.785508333333329</v>
      </c>
      <c r="J1090" s="14">
        <f t="shared" si="21"/>
        <v>185.4680166666667</v>
      </c>
      <c r="K1090" s="14"/>
    </row>
    <row r="1091" spans="1:11" ht="15" x14ac:dyDescent="0.2">
      <c r="A1091" s="10">
        <v>2035</v>
      </c>
      <c r="B1091" s="14">
        <f t="shared" ref="B1091:J1091" si="22">AVERAGE(B276:B287)</f>
        <v>28.849916666666672</v>
      </c>
      <c r="C1091" s="14">
        <f t="shared" si="22"/>
        <v>27.227166666666665</v>
      </c>
      <c r="D1091" s="14">
        <f t="shared" si="22"/>
        <v>27.219341666666669</v>
      </c>
      <c r="E1091" s="14">
        <f t="shared" si="22"/>
        <v>27.219341666666669</v>
      </c>
      <c r="F1091" s="14">
        <f t="shared" si="22"/>
        <v>28.849916666666672</v>
      </c>
      <c r="G1091" s="14">
        <f t="shared" si="22"/>
        <v>27.22560833333333</v>
      </c>
      <c r="H1091" s="14">
        <f t="shared" si="22"/>
        <v>27.22560833333333</v>
      </c>
      <c r="I1091" s="14">
        <f t="shared" si="22"/>
        <v>27.227166666666665</v>
      </c>
      <c r="J1091" s="14">
        <f t="shared" si="22"/>
        <v>189.88985833333334</v>
      </c>
      <c r="K1091" s="14"/>
    </row>
    <row r="1092" spans="1:11" ht="15" x14ac:dyDescent="0.2">
      <c r="A1092" s="10">
        <v>2036</v>
      </c>
      <c r="B1092" s="14">
        <f t="shared" ref="B1092:J1092" si="23">AVERAGE(B288:B299)</f>
        <v>29.323649999999997</v>
      </c>
      <c r="C1092" s="14">
        <f t="shared" si="23"/>
        <v>27.676241666666666</v>
      </c>
      <c r="D1092" s="14">
        <f t="shared" si="23"/>
        <v>27.668425000000003</v>
      </c>
      <c r="E1092" s="14">
        <f t="shared" si="23"/>
        <v>27.668425000000003</v>
      </c>
      <c r="F1092" s="14">
        <f t="shared" si="23"/>
        <v>29.323649999999997</v>
      </c>
      <c r="G1092" s="14">
        <f t="shared" si="23"/>
        <v>27.674674999999997</v>
      </c>
      <c r="H1092" s="14">
        <f t="shared" si="23"/>
        <v>27.674674999999997</v>
      </c>
      <c r="I1092" s="14">
        <f t="shared" si="23"/>
        <v>27.676241666666666</v>
      </c>
      <c r="J1092" s="14">
        <f t="shared" si="23"/>
        <v>194.41710000000003</v>
      </c>
      <c r="K1092" s="14"/>
    </row>
    <row r="1093" spans="1:11" ht="15" x14ac:dyDescent="0.2">
      <c r="A1093" s="10">
        <v>2037</v>
      </c>
      <c r="B1093" s="14">
        <f t="shared" ref="B1093:J1093" si="24">AVERAGE(B300:B311)</f>
        <v>29.805341666666664</v>
      </c>
      <c r="C1093" s="14">
        <f t="shared" si="24"/>
        <v>28.132866666666668</v>
      </c>
      <c r="D1093" s="14">
        <f t="shared" si="24"/>
        <v>28.125066666666665</v>
      </c>
      <c r="E1093" s="14">
        <f t="shared" si="24"/>
        <v>28.125066666666665</v>
      </c>
      <c r="F1093" s="14">
        <f t="shared" si="24"/>
        <v>29.805341666666664</v>
      </c>
      <c r="G1093" s="14">
        <f t="shared" si="24"/>
        <v>28.131308333333333</v>
      </c>
      <c r="H1093" s="14">
        <f t="shared" si="24"/>
        <v>28.131308333333333</v>
      </c>
      <c r="I1093" s="14">
        <f t="shared" si="24"/>
        <v>28.132866666666668</v>
      </c>
      <c r="J1093" s="14">
        <f t="shared" si="24"/>
        <v>199.05229999999997</v>
      </c>
      <c r="K1093" s="14"/>
    </row>
    <row r="1094" spans="1:11" ht="15" x14ac:dyDescent="0.2">
      <c r="A1094" s="10">
        <f t="shared" ref="A1094:A1125" si="25">A1093+1</f>
        <v>2038</v>
      </c>
      <c r="B1094" s="14">
        <f t="shared" ref="B1094:J1094" si="26">AVERAGE(B312:B323)</f>
        <v>30.295108333333342</v>
      </c>
      <c r="C1094" s="14">
        <f t="shared" si="26"/>
        <v>28.597166666666666</v>
      </c>
      <c r="D1094" s="14">
        <f t="shared" si="26"/>
        <v>28.589366666666667</v>
      </c>
      <c r="E1094" s="14">
        <f t="shared" si="26"/>
        <v>28.589366666666667</v>
      </c>
      <c r="F1094" s="14">
        <f t="shared" si="26"/>
        <v>30.295108333333342</v>
      </c>
      <c r="G1094" s="14">
        <f t="shared" si="26"/>
        <v>28.595608333333342</v>
      </c>
      <c r="H1094" s="14">
        <f t="shared" si="26"/>
        <v>28.595608333333342</v>
      </c>
      <c r="I1094" s="14">
        <f t="shared" si="26"/>
        <v>28.597166666666666</v>
      </c>
      <c r="J1094" s="14">
        <f t="shared" si="26"/>
        <v>203.79801666666665</v>
      </c>
    </row>
    <row r="1095" spans="1:11" ht="15" x14ac:dyDescent="0.2">
      <c r="A1095" s="10">
        <f t="shared" si="25"/>
        <v>2039</v>
      </c>
      <c r="B1095" s="14">
        <f t="shared" ref="B1095:J1095" si="27">AVERAGE(B324:B335)</f>
        <v>30.793108333333336</v>
      </c>
      <c r="C1095" s="14">
        <f t="shared" si="27"/>
        <v>29.069266666666667</v>
      </c>
      <c r="D1095" s="14">
        <f t="shared" si="27"/>
        <v>29.061458333333324</v>
      </c>
      <c r="E1095" s="14">
        <f t="shared" si="27"/>
        <v>29.061458333333324</v>
      </c>
      <c r="F1095" s="14">
        <f t="shared" si="27"/>
        <v>30.793108333333336</v>
      </c>
      <c r="G1095" s="14">
        <f t="shared" si="27"/>
        <v>29.067708333333329</v>
      </c>
      <c r="H1095" s="14">
        <f t="shared" si="27"/>
        <v>29.067708333333329</v>
      </c>
      <c r="I1095" s="14">
        <f t="shared" si="27"/>
        <v>29.069266666666667</v>
      </c>
      <c r="J1095" s="14">
        <f t="shared" si="27"/>
        <v>208.65685833333336</v>
      </c>
    </row>
    <row r="1096" spans="1:11" ht="15" x14ac:dyDescent="0.2">
      <c r="A1096" s="10">
        <f t="shared" si="25"/>
        <v>2040</v>
      </c>
      <c r="B1096" s="14">
        <f t="shared" ref="B1096:J1096" si="28">AVERAGE(B336:B347)</f>
        <v>31.299466666666671</v>
      </c>
      <c r="C1096" s="14">
        <f t="shared" si="28"/>
        <v>29.549308333333329</v>
      </c>
      <c r="D1096" s="14">
        <f t="shared" si="28"/>
        <v>29.541475000000002</v>
      </c>
      <c r="E1096" s="14">
        <f t="shared" si="28"/>
        <v>29.541475000000002</v>
      </c>
      <c r="F1096" s="14">
        <f t="shared" si="28"/>
        <v>31.299466666666671</v>
      </c>
      <c r="G1096" s="14">
        <f t="shared" si="28"/>
        <v>29.547725</v>
      </c>
      <c r="H1096" s="14">
        <f t="shared" si="28"/>
        <v>29.547725</v>
      </c>
      <c r="I1096" s="14">
        <f t="shared" si="28"/>
        <v>29.549308333333329</v>
      </c>
      <c r="J1096" s="14">
        <f t="shared" si="28"/>
        <v>213.63155833333337</v>
      </c>
    </row>
    <row r="1097" spans="1:11" ht="15" x14ac:dyDescent="0.2">
      <c r="A1097" s="10">
        <f t="shared" si="25"/>
        <v>2041</v>
      </c>
      <c r="B1097" s="14">
        <f t="shared" ref="B1097:J1097" si="29">AVERAGE(B348:B359)</f>
        <v>31.814349999999994</v>
      </c>
      <c r="C1097" s="14">
        <f t="shared" si="29"/>
        <v>30.037400000000002</v>
      </c>
      <c r="D1097" s="14">
        <f t="shared" si="29"/>
        <v>30.029574999999998</v>
      </c>
      <c r="E1097" s="14">
        <f t="shared" si="29"/>
        <v>30.029574999999998</v>
      </c>
      <c r="F1097" s="14">
        <f t="shared" si="29"/>
        <v>31.814349999999994</v>
      </c>
      <c r="G1097" s="14">
        <f t="shared" si="29"/>
        <v>30.035824999999992</v>
      </c>
      <c r="H1097" s="14">
        <f t="shared" si="29"/>
        <v>30.035824999999992</v>
      </c>
      <c r="I1097" s="14">
        <f t="shared" si="29"/>
        <v>30.037400000000002</v>
      </c>
      <c r="J1097" s="14">
        <f t="shared" si="29"/>
        <v>218.72484166666666</v>
      </c>
    </row>
    <row r="1098" spans="1:11" ht="15" x14ac:dyDescent="0.2">
      <c r="A1098" s="10">
        <f t="shared" si="25"/>
        <v>2042</v>
      </c>
      <c r="B1098" s="14">
        <f t="shared" ref="B1098:J1098" si="30">AVERAGE(B360:B371)</f>
        <v>32.33786666666667</v>
      </c>
      <c r="C1098" s="14">
        <f t="shared" si="30"/>
        <v>30.533674999999999</v>
      </c>
      <c r="D1098" s="14">
        <f t="shared" si="30"/>
        <v>30.525866666666669</v>
      </c>
      <c r="E1098" s="14">
        <f t="shared" si="30"/>
        <v>30.525866666666669</v>
      </c>
      <c r="F1098" s="14">
        <f t="shared" si="30"/>
        <v>32.33786666666667</v>
      </c>
      <c r="G1098" s="14">
        <f t="shared" si="30"/>
        <v>30.532124999999997</v>
      </c>
      <c r="H1098" s="14">
        <f t="shared" si="30"/>
        <v>30.532124999999997</v>
      </c>
      <c r="I1098" s="14">
        <f t="shared" si="30"/>
        <v>30.533674999999999</v>
      </c>
      <c r="J1098" s="14">
        <f t="shared" si="30"/>
        <v>223.93956666666668</v>
      </c>
    </row>
    <row r="1099" spans="1:11" ht="15" x14ac:dyDescent="0.2">
      <c r="A1099" s="10">
        <f t="shared" si="25"/>
        <v>2043</v>
      </c>
      <c r="B1099" s="14">
        <f t="shared" ref="B1099:J1099" si="31">AVERAGE(B372:B383)</f>
        <v>32.870191666666663</v>
      </c>
      <c r="C1099" s="14">
        <f t="shared" si="31"/>
        <v>31.038308333333337</v>
      </c>
      <c r="D1099" s="14">
        <f t="shared" si="31"/>
        <v>31.03050833333333</v>
      </c>
      <c r="E1099" s="14">
        <f t="shared" si="31"/>
        <v>31.03050833333333</v>
      </c>
      <c r="F1099" s="14">
        <f t="shared" si="31"/>
        <v>32.870191666666663</v>
      </c>
      <c r="G1099" s="14">
        <f t="shared" si="31"/>
        <v>31.036758333333328</v>
      </c>
      <c r="H1099" s="14">
        <f t="shared" si="31"/>
        <v>31.036758333333328</v>
      </c>
      <c r="I1099" s="14">
        <f t="shared" si="31"/>
        <v>31.038308333333337</v>
      </c>
      <c r="J1099" s="14">
        <f t="shared" si="31"/>
        <v>229.27863333333332</v>
      </c>
    </row>
    <row r="1100" spans="1:11" ht="15" x14ac:dyDescent="0.2">
      <c r="A1100" s="10">
        <f t="shared" si="25"/>
        <v>2044</v>
      </c>
      <c r="B1100" s="14">
        <f t="shared" ref="B1100:J1100" si="32">AVERAGE(B384:B395)</f>
        <v>33.411449999999995</v>
      </c>
      <c r="C1100" s="14">
        <f t="shared" si="32"/>
        <v>31.551424999999995</v>
      </c>
      <c r="D1100" s="14">
        <f t="shared" si="32"/>
        <v>31.543608333333335</v>
      </c>
      <c r="E1100" s="14">
        <f t="shared" si="32"/>
        <v>31.543608333333335</v>
      </c>
      <c r="F1100" s="14">
        <f t="shared" si="32"/>
        <v>33.411449999999995</v>
      </c>
      <c r="G1100" s="14">
        <f t="shared" si="32"/>
        <v>31.549866666666663</v>
      </c>
      <c r="H1100" s="14">
        <f t="shared" si="32"/>
        <v>31.549866666666663</v>
      </c>
      <c r="I1100" s="14">
        <f t="shared" si="32"/>
        <v>31.551424999999995</v>
      </c>
      <c r="J1100" s="14">
        <f t="shared" si="32"/>
        <v>234.74498333333335</v>
      </c>
    </row>
    <row r="1101" spans="1:11" ht="15" x14ac:dyDescent="0.2">
      <c r="A1101" s="10">
        <f t="shared" si="25"/>
        <v>2045</v>
      </c>
      <c r="B1101" s="14">
        <f t="shared" ref="B1101:J1101" si="33">AVERAGE(B396:B407)</f>
        <v>33.961808333333337</v>
      </c>
      <c r="C1101" s="14">
        <f t="shared" si="33"/>
        <v>32.073166666666658</v>
      </c>
      <c r="D1101" s="14">
        <f t="shared" si="33"/>
        <v>32.065341666666669</v>
      </c>
      <c r="E1101" s="14">
        <f t="shared" si="33"/>
        <v>32.065341666666669</v>
      </c>
      <c r="F1101" s="14">
        <f t="shared" si="33"/>
        <v>33.961808333333337</v>
      </c>
      <c r="G1101" s="14">
        <f t="shared" si="33"/>
        <v>32.071600000000011</v>
      </c>
      <c r="H1101" s="14">
        <f t="shared" si="33"/>
        <v>32.071600000000011</v>
      </c>
      <c r="I1101" s="14">
        <f t="shared" si="33"/>
        <v>32.073166666666658</v>
      </c>
      <c r="J1101" s="14">
        <f t="shared" si="33"/>
        <v>240.34165000000004</v>
      </c>
    </row>
    <row r="1102" spans="1:11" ht="15" x14ac:dyDescent="0.2">
      <c r="A1102" s="10">
        <f t="shared" si="25"/>
        <v>2046</v>
      </c>
      <c r="B1102" s="14">
        <f t="shared" ref="B1102:J1102" si="34">AVERAGE(B408:B419)</f>
        <v>34.521408333333333</v>
      </c>
      <c r="C1102" s="14">
        <f t="shared" si="34"/>
        <v>32.603649999999995</v>
      </c>
      <c r="D1102" s="14">
        <f t="shared" si="34"/>
        <v>32.595824999999998</v>
      </c>
      <c r="E1102" s="14">
        <f t="shared" si="34"/>
        <v>32.595824999999998</v>
      </c>
      <c r="F1102" s="14">
        <f t="shared" si="34"/>
        <v>34.521408333333333</v>
      </c>
      <c r="G1102" s="14">
        <f t="shared" si="34"/>
        <v>32.602091666666659</v>
      </c>
      <c r="H1102" s="14">
        <f t="shared" si="34"/>
        <v>32.602091666666659</v>
      </c>
      <c r="I1102" s="14">
        <f t="shared" si="34"/>
        <v>32.603649999999995</v>
      </c>
      <c r="J1102" s="14">
        <f t="shared" si="34"/>
        <v>246.07177499999997</v>
      </c>
    </row>
    <row r="1103" spans="1:11" ht="15" x14ac:dyDescent="0.2">
      <c r="A1103" s="10">
        <f t="shared" si="25"/>
        <v>2047</v>
      </c>
      <c r="B1103" s="14">
        <f t="shared" ref="B1103:J1103" si="35">AVERAGE(B420:B431)</f>
        <v>35.090408333333336</v>
      </c>
      <c r="C1103" s="14">
        <f t="shared" si="35"/>
        <v>33.14306666666667</v>
      </c>
      <c r="D1103" s="14">
        <f t="shared" si="35"/>
        <v>33.135241666666666</v>
      </c>
      <c r="E1103" s="14">
        <f t="shared" si="35"/>
        <v>33.135241666666666</v>
      </c>
      <c r="F1103" s="14">
        <f t="shared" si="35"/>
        <v>35.090408333333336</v>
      </c>
      <c r="G1103" s="14">
        <f t="shared" si="35"/>
        <v>33.141499999999994</v>
      </c>
      <c r="H1103" s="14">
        <f t="shared" si="35"/>
        <v>33.141499999999994</v>
      </c>
      <c r="I1103" s="14">
        <f t="shared" si="35"/>
        <v>33.14306666666667</v>
      </c>
      <c r="J1103" s="14">
        <f t="shared" si="35"/>
        <v>251.93848333333335</v>
      </c>
    </row>
    <row r="1104" spans="1:11" ht="15" x14ac:dyDescent="0.2">
      <c r="A1104" s="10">
        <f t="shared" si="25"/>
        <v>2048</v>
      </c>
      <c r="B1104" s="14">
        <f t="shared" ref="B1104:J1104" si="36">AVERAGE(B432:B443)</f>
        <v>35.66896666666667</v>
      </c>
      <c r="C1104" s="14">
        <f t="shared" si="36"/>
        <v>33.691524999999999</v>
      </c>
      <c r="D1104" s="14">
        <f t="shared" si="36"/>
        <v>33.683708333333335</v>
      </c>
      <c r="E1104" s="14">
        <f t="shared" si="36"/>
        <v>33.683708333333335</v>
      </c>
      <c r="F1104" s="14">
        <f t="shared" si="36"/>
        <v>35.66896666666667</v>
      </c>
      <c r="G1104" s="14">
        <f t="shared" si="36"/>
        <v>33.68996666666667</v>
      </c>
      <c r="H1104" s="14">
        <f t="shared" si="36"/>
        <v>33.68996666666667</v>
      </c>
      <c r="I1104" s="14">
        <f t="shared" si="36"/>
        <v>33.691524999999999</v>
      </c>
      <c r="J1104" s="14">
        <f t="shared" si="36"/>
        <v>257.94508333333334</v>
      </c>
    </row>
    <row r="1105" spans="1:10" ht="15" x14ac:dyDescent="0.2">
      <c r="A1105" s="10">
        <f t="shared" si="25"/>
        <v>2049</v>
      </c>
      <c r="B1105" s="14">
        <f t="shared" ref="B1105:J1105" si="37">AVERAGE(B444:B455)</f>
        <v>36.257249999999999</v>
      </c>
      <c r="C1105" s="14">
        <f t="shared" si="37"/>
        <v>34.249208333333335</v>
      </c>
      <c r="D1105" s="14">
        <f t="shared" si="37"/>
        <v>34.241399999999992</v>
      </c>
      <c r="E1105" s="14">
        <f t="shared" si="37"/>
        <v>34.241399999999992</v>
      </c>
      <c r="F1105" s="14">
        <f t="shared" si="37"/>
        <v>36.257249999999999</v>
      </c>
      <c r="G1105" s="14">
        <f t="shared" si="37"/>
        <v>34.247641666666674</v>
      </c>
      <c r="H1105" s="14">
        <f t="shared" si="37"/>
        <v>34.247641666666674</v>
      </c>
      <c r="I1105" s="14">
        <f t="shared" si="37"/>
        <v>34.249208333333335</v>
      </c>
      <c r="J1105" s="14">
        <f t="shared" si="37"/>
        <v>264.09485833333332</v>
      </c>
    </row>
    <row r="1106" spans="1:10" ht="15" x14ac:dyDescent="0.2">
      <c r="A1106" s="10">
        <f t="shared" si="25"/>
        <v>2050</v>
      </c>
      <c r="B1106" s="14">
        <f t="shared" ref="B1106:J1106" si="38">AVERAGE(B456:B467)</f>
        <v>36.85540833333333</v>
      </c>
      <c r="C1106" s="14">
        <f t="shared" si="38"/>
        <v>34.816266666666664</v>
      </c>
      <c r="D1106" s="14">
        <f t="shared" si="38"/>
        <v>34.80844166666666</v>
      </c>
      <c r="E1106" s="14">
        <f t="shared" si="38"/>
        <v>34.80844166666666</v>
      </c>
      <c r="F1106" s="14">
        <f t="shared" si="38"/>
        <v>36.85540833333333</v>
      </c>
      <c r="G1106" s="14">
        <f t="shared" si="38"/>
        <v>34.814708333333328</v>
      </c>
      <c r="H1106" s="14">
        <f t="shared" si="38"/>
        <v>34.814708333333328</v>
      </c>
      <c r="I1106" s="14">
        <f t="shared" si="38"/>
        <v>34.816266666666664</v>
      </c>
      <c r="J1106" s="14">
        <f t="shared" si="38"/>
        <v>270.39129166666669</v>
      </c>
    </row>
    <row r="1107" spans="1:10" ht="15" x14ac:dyDescent="0.2">
      <c r="A1107" s="10">
        <f t="shared" si="25"/>
        <v>2051</v>
      </c>
      <c r="B1107" s="14">
        <f t="shared" ref="B1107:J1107" si="39">AVERAGE(B468:B479)</f>
        <v>37.463641666666668</v>
      </c>
      <c r="C1107" s="14">
        <f t="shared" si="39"/>
        <v>35.392825000000002</v>
      </c>
      <c r="D1107" s="14">
        <f t="shared" si="39"/>
        <v>35.385025000000006</v>
      </c>
      <c r="E1107" s="14">
        <f t="shared" si="39"/>
        <v>35.385025000000006</v>
      </c>
      <c r="F1107" s="14">
        <f t="shared" si="39"/>
        <v>37.463641666666668</v>
      </c>
      <c r="G1107" s="14">
        <f t="shared" si="39"/>
        <v>35.391266666666667</v>
      </c>
      <c r="H1107" s="14">
        <f t="shared" si="39"/>
        <v>35.391266666666667</v>
      </c>
      <c r="I1107" s="14">
        <f t="shared" si="39"/>
        <v>35.392825000000002</v>
      </c>
      <c r="J1107" s="14">
        <f t="shared" si="39"/>
        <v>276.83782500000007</v>
      </c>
    </row>
    <row r="1108" spans="1:10" ht="15" x14ac:dyDescent="0.2">
      <c r="A1108" s="10">
        <f t="shared" si="25"/>
        <v>2052</v>
      </c>
      <c r="B1108" s="14">
        <f t="shared" ref="B1108:J1108" si="40">AVERAGE(B480:B491)</f>
        <v>38.082049999999995</v>
      </c>
      <c r="C1108" s="14">
        <f t="shared" si="40"/>
        <v>35.979108333333329</v>
      </c>
      <c r="D1108" s="14">
        <f t="shared" si="40"/>
        <v>35.971300000000006</v>
      </c>
      <c r="E1108" s="14">
        <f t="shared" si="40"/>
        <v>35.971300000000006</v>
      </c>
      <c r="F1108" s="14">
        <f t="shared" si="40"/>
        <v>38.082049999999995</v>
      </c>
      <c r="G1108" s="14">
        <f t="shared" si="40"/>
        <v>35.977525</v>
      </c>
      <c r="H1108" s="14">
        <f t="shared" si="40"/>
        <v>35.977525</v>
      </c>
      <c r="I1108" s="14">
        <f t="shared" si="40"/>
        <v>35.979108333333329</v>
      </c>
      <c r="J1108" s="14">
        <f t="shared" si="40"/>
        <v>283.43804999999998</v>
      </c>
    </row>
    <row r="1109" spans="1:10" ht="15" x14ac:dyDescent="0.2">
      <c r="A1109" s="10">
        <f t="shared" si="25"/>
        <v>2053</v>
      </c>
      <c r="B1109" s="14">
        <f t="shared" ref="B1109:J1109" si="41">AVERAGE(B492:B503)</f>
        <v>38.710874999999994</v>
      </c>
      <c r="C1109" s="14">
        <f t="shared" si="41"/>
        <v>36.575208333333329</v>
      </c>
      <c r="D1109" s="14">
        <f t="shared" si="41"/>
        <v>36.567408333333333</v>
      </c>
      <c r="E1109" s="14">
        <f t="shared" si="41"/>
        <v>36.567408333333333</v>
      </c>
      <c r="F1109" s="14">
        <f t="shared" si="41"/>
        <v>38.710874999999994</v>
      </c>
      <c r="G1109" s="14">
        <f t="shared" si="41"/>
        <v>36.573649999999994</v>
      </c>
      <c r="H1109" s="14">
        <f t="shared" si="41"/>
        <v>36.573649999999994</v>
      </c>
      <c r="I1109" s="14">
        <f t="shared" si="41"/>
        <v>36.575208333333329</v>
      </c>
      <c r="J1109" s="14">
        <f t="shared" si="41"/>
        <v>290.19566666666668</v>
      </c>
    </row>
    <row r="1110" spans="1:10" ht="15" x14ac:dyDescent="0.2">
      <c r="A1110" s="10">
        <f t="shared" si="25"/>
        <v>2054</v>
      </c>
      <c r="B1110" s="14">
        <f t="shared" ref="B1110:J1110" si="42">AVERAGE(B504:B515)</f>
        <v>39.350266666666663</v>
      </c>
      <c r="C1110" s="14">
        <f t="shared" si="42"/>
        <v>37.181341666666675</v>
      </c>
      <c r="D1110" s="14">
        <f t="shared" si="42"/>
        <v>37.173525000000005</v>
      </c>
      <c r="E1110" s="14">
        <f t="shared" si="42"/>
        <v>37.173525000000005</v>
      </c>
      <c r="F1110" s="14">
        <f t="shared" si="42"/>
        <v>39.350266666666663</v>
      </c>
      <c r="G1110" s="14">
        <f t="shared" si="42"/>
        <v>37.179774999999999</v>
      </c>
      <c r="H1110" s="14">
        <f t="shared" si="42"/>
        <v>37.179774999999999</v>
      </c>
      <c r="I1110" s="14">
        <f t="shared" si="42"/>
        <v>37.181341666666675</v>
      </c>
      <c r="J1110" s="14">
        <f t="shared" si="42"/>
        <v>297.11435</v>
      </c>
    </row>
    <row r="1111" spans="1:10" ht="15" x14ac:dyDescent="0.2">
      <c r="A1111" s="10">
        <f t="shared" si="25"/>
        <v>2055</v>
      </c>
      <c r="B1111" s="14">
        <f t="shared" ref="B1111:J1111" si="43">AVERAGE(B516:B527)</f>
        <v>40.000391666666665</v>
      </c>
      <c r="C1111" s="14">
        <f t="shared" si="43"/>
        <v>37.797650000000004</v>
      </c>
      <c r="D1111" s="14">
        <f t="shared" si="43"/>
        <v>37.789841666666668</v>
      </c>
      <c r="E1111" s="14">
        <f t="shared" si="43"/>
        <v>37.789841666666668</v>
      </c>
      <c r="F1111" s="14">
        <f t="shared" si="43"/>
        <v>40.000391666666665</v>
      </c>
      <c r="G1111" s="14">
        <f t="shared" si="43"/>
        <v>37.796100000000003</v>
      </c>
      <c r="H1111" s="14">
        <f t="shared" si="43"/>
        <v>37.796100000000003</v>
      </c>
      <c r="I1111" s="14">
        <f t="shared" si="43"/>
        <v>37.797650000000004</v>
      </c>
      <c r="J1111" s="14">
        <f t="shared" si="43"/>
        <v>304.19800833333335</v>
      </c>
    </row>
    <row r="1112" spans="1:10" ht="15" x14ac:dyDescent="0.2">
      <c r="A1112" s="10">
        <f t="shared" si="25"/>
        <v>2056</v>
      </c>
      <c r="B1112" s="14">
        <f t="shared" ref="B1112:J1112" si="44">AVERAGE(B528:B539)</f>
        <v>40.661449999999995</v>
      </c>
      <c r="C1112" s="14">
        <f t="shared" si="44"/>
        <v>38.424308333333336</v>
      </c>
      <c r="D1112" s="14">
        <f t="shared" si="44"/>
        <v>38.416508333333333</v>
      </c>
      <c r="E1112" s="14">
        <f t="shared" si="44"/>
        <v>38.416508333333333</v>
      </c>
      <c r="F1112" s="14">
        <f t="shared" si="44"/>
        <v>40.661449999999995</v>
      </c>
      <c r="G1112" s="14">
        <f t="shared" si="44"/>
        <v>38.422766666666668</v>
      </c>
      <c r="H1112" s="14">
        <f t="shared" si="44"/>
        <v>38.422766666666668</v>
      </c>
      <c r="I1112" s="14">
        <f t="shared" si="44"/>
        <v>38.424308333333336</v>
      </c>
      <c r="J1112" s="14">
        <f t="shared" si="44"/>
        <v>311.45053333333334</v>
      </c>
    </row>
    <row r="1113" spans="1:10" ht="15" x14ac:dyDescent="0.2">
      <c r="A1113" s="10">
        <f t="shared" si="25"/>
        <v>2057</v>
      </c>
      <c r="B1113" s="14">
        <f t="shared" ref="B1113:J1113" si="45">AVERAGE(B540:B551)</f>
        <v>41.333591666666663</v>
      </c>
      <c r="C1113" s="14">
        <f t="shared" si="45"/>
        <v>39.061508333333336</v>
      </c>
      <c r="D1113" s="14">
        <f t="shared" si="45"/>
        <v>39.05370833333334</v>
      </c>
      <c r="E1113" s="14">
        <f t="shared" si="45"/>
        <v>39.05370833333334</v>
      </c>
      <c r="F1113" s="14">
        <f t="shared" si="45"/>
        <v>41.333591666666663</v>
      </c>
      <c r="G1113" s="14">
        <f t="shared" si="45"/>
        <v>39.059941666666667</v>
      </c>
      <c r="H1113" s="14">
        <f t="shared" si="45"/>
        <v>39.059941666666667</v>
      </c>
      <c r="I1113" s="14">
        <f t="shared" si="45"/>
        <v>39.061508333333336</v>
      </c>
      <c r="J1113" s="14">
        <f t="shared" si="45"/>
        <v>318.87598333333341</v>
      </c>
    </row>
    <row r="1114" spans="1:10" ht="15" x14ac:dyDescent="0.2">
      <c r="A1114" s="10">
        <f t="shared" si="25"/>
        <v>2058</v>
      </c>
      <c r="B1114" s="14">
        <f t="shared" ref="B1114:J1114" si="46">AVERAGE(B552:B563)</f>
        <v>42.017041666666664</v>
      </c>
      <c r="C1114" s="14">
        <f t="shared" si="46"/>
        <v>39.709408333333336</v>
      </c>
      <c r="D1114" s="14">
        <f t="shared" si="46"/>
        <v>39.701600000000006</v>
      </c>
      <c r="E1114" s="14">
        <f t="shared" si="46"/>
        <v>39.701600000000006</v>
      </c>
      <c r="F1114" s="14">
        <f t="shared" si="46"/>
        <v>42.017041666666664</v>
      </c>
      <c r="G1114" s="14">
        <f t="shared" si="46"/>
        <v>39.707841666666674</v>
      </c>
      <c r="H1114" s="14">
        <f t="shared" si="46"/>
        <v>39.707841666666674</v>
      </c>
      <c r="I1114" s="14">
        <f t="shared" si="46"/>
        <v>39.709408333333336</v>
      </c>
      <c r="J1114" s="14">
        <f t="shared" si="46"/>
        <v>326.47845000000001</v>
      </c>
    </row>
    <row r="1115" spans="1:10" ht="15" x14ac:dyDescent="0.2">
      <c r="A1115" s="10">
        <f t="shared" si="25"/>
        <v>2059</v>
      </c>
      <c r="B1115" s="14">
        <f t="shared" ref="B1115:J1115" si="47">AVERAGE(B564:B575)</f>
        <v>42.711958333333335</v>
      </c>
      <c r="C1115" s="14">
        <f t="shared" si="47"/>
        <v>40.368199999999995</v>
      </c>
      <c r="D1115" s="14">
        <f t="shared" si="47"/>
        <v>40.360374999999998</v>
      </c>
      <c r="E1115" s="14">
        <f t="shared" si="47"/>
        <v>40.360374999999998</v>
      </c>
      <c r="F1115" s="14">
        <f t="shared" si="47"/>
        <v>42.711958333333335</v>
      </c>
      <c r="G1115" s="14">
        <f t="shared" si="47"/>
        <v>40.366624999999999</v>
      </c>
      <c r="H1115" s="14">
        <f t="shared" si="47"/>
        <v>40.366624999999999</v>
      </c>
      <c r="I1115" s="14">
        <f t="shared" si="47"/>
        <v>40.368199999999995</v>
      </c>
      <c r="J1115" s="14">
        <f t="shared" si="47"/>
        <v>334.26219166666664</v>
      </c>
    </row>
    <row r="1116" spans="1:10" ht="15" x14ac:dyDescent="0.2">
      <c r="A1116" s="10">
        <f t="shared" si="25"/>
        <v>2060</v>
      </c>
      <c r="B1116" s="14">
        <f t="shared" ref="B1116:J1116" si="48">AVERAGE(B576:B587)</f>
        <v>43.418566666666663</v>
      </c>
      <c r="C1116" s="14">
        <f t="shared" si="48"/>
        <v>41.038024999999998</v>
      </c>
      <c r="D1116" s="14">
        <f t="shared" si="48"/>
        <v>41.030225000000002</v>
      </c>
      <c r="E1116" s="14">
        <f t="shared" si="48"/>
        <v>41.030225000000002</v>
      </c>
      <c r="F1116" s="14">
        <f t="shared" si="48"/>
        <v>43.418566666666663</v>
      </c>
      <c r="G1116" s="14">
        <f t="shared" si="48"/>
        <v>41.036466666666676</v>
      </c>
      <c r="H1116" s="14">
        <f t="shared" si="48"/>
        <v>41.036466666666676</v>
      </c>
      <c r="I1116" s="14">
        <f t="shared" si="48"/>
        <v>41.038024999999998</v>
      </c>
      <c r="J1116" s="14">
        <f t="shared" si="48"/>
        <v>342.23151666666666</v>
      </c>
    </row>
    <row r="1117" spans="1:10" ht="15" x14ac:dyDescent="0.2">
      <c r="A1117" s="10">
        <f t="shared" si="25"/>
        <v>2061</v>
      </c>
      <c r="B1117" s="14">
        <f t="shared" ref="B1117:J1117" si="49">AVERAGE(B588:B599)</f>
        <v>44.137041666666669</v>
      </c>
      <c r="C1117" s="14">
        <f t="shared" si="49"/>
        <v>41.719133333333339</v>
      </c>
      <c r="D1117" s="14">
        <f t="shared" si="49"/>
        <v>41.711325000000002</v>
      </c>
      <c r="E1117" s="14">
        <f t="shared" si="49"/>
        <v>41.711325000000002</v>
      </c>
      <c r="F1117" s="14">
        <f t="shared" si="49"/>
        <v>44.137041666666669</v>
      </c>
      <c r="G1117" s="14">
        <f t="shared" si="49"/>
        <v>41.717575000000004</v>
      </c>
      <c r="H1117" s="14">
        <f t="shared" si="49"/>
        <v>41.717575000000004</v>
      </c>
      <c r="I1117" s="14">
        <f t="shared" si="49"/>
        <v>41.719133333333339</v>
      </c>
      <c r="J1117" s="14">
        <f t="shared" si="49"/>
        <v>350.39080833333338</v>
      </c>
    </row>
    <row r="1118" spans="1:10" ht="15" x14ac:dyDescent="0.2">
      <c r="A1118" s="10">
        <f t="shared" si="25"/>
        <v>2062</v>
      </c>
      <c r="B1118" s="14">
        <f t="shared" ref="B1118:J1127" ca="1" si="50">AVERAGE(OFFSET(B$600,($A1118-$A$1118)*12,0,12,1))</f>
        <v>44.867574999999995</v>
      </c>
      <c r="C1118" s="14">
        <f t="shared" ca="1" si="50"/>
        <v>42.411683333333336</v>
      </c>
      <c r="D1118" s="14">
        <f t="shared" ca="1" si="50"/>
        <v>42.403883333333333</v>
      </c>
      <c r="E1118" s="14">
        <f t="shared" ca="1" si="50"/>
        <v>42.403883333333333</v>
      </c>
      <c r="F1118" s="14">
        <f t="shared" ca="1" si="50"/>
        <v>44.867574999999995</v>
      </c>
      <c r="G1118" s="14">
        <f t="shared" ca="1" si="50"/>
        <v>42.410116666666674</v>
      </c>
      <c r="H1118" s="14">
        <f t="shared" ca="1" si="50"/>
        <v>42.410116666666674</v>
      </c>
      <c r="I1118" s="14">
        <f t="shared" ca="1" si="50"/>
        <v>42.411683333333336</v>
      </c>
      <c r="J1118" s="14">
        <f t="shared" ca="1" si="50"/>
        <v>358.74466666666666</v>
      </c>
    </row>
    <row r="1119" spans="1:10" ht="15" x14ac:dyDescent="0.2">
      <c r="A1119" s="10">
        <f t="shared" si="25"/>
        <v>2063</v>
      </c>
      <c r="B1119" s="14">
        <f t="shared" ca="1" si="50"/>
        <v>45.610391666666658</v>
      </c>
      <c r="C1119" s="14">
        <f t="shared" ca="1" si="50"/>
        <v>43.115849999999995</v>
      </c>
      <c r="D1119" s="14">
        <f t="shared" ca="1" si="50"/>
        <v>43.108041666666679</v>
      </c>
      <c r="E1119" s="14">
        <f t="shared" ca="1" si="50"/>
        <v>43.108041666666679</v>
      </c>
      <c r="F1119" s="14">
        <f t="shared" ca="1" si="50"/>
        <v>45.610391666666658</v>
      </c>
      <c r="G1119" s="14">
        <f t="shared" ca="1" si="50"/>
        <v>43.114308333333348</v>
      </c>
      <c r="H1119" s="14">
        <f t="shared" ca="1" si="50"/>
        <v>43.114308333333348</v>
      </c>
      <c r="I1119" s="14">
        <f t="shared" ca="1" si="50"/>
        <v>43.115849999999995</v>
      </c>
      <c r="J1119" s="14">
        <f t="shared" ca="1" si="50"/>
        <v>367.29767499999997</v>
      </c>
    </row>
    <row r="1120" spans="1:10" ht="15" x14ac:dyDescent="0.2">
      <c r="A1120" s="10">
        <f t="shared" si="25"/>
        <v>2064</v>
      </c>
      <c r="B1120" s="14">
        <f t="shared" ca="1" si="50"/>
        <v>46.365700000000004</v>
      </c>
      <c r="C1120" s="14">
        <f t="shared" ca="1" si="50"/>
        <v>43.831858333333336</v>
      </c>
      <c r="D1120" s="14">
        <f t="shared" ca="1" si="50"/>
        <v>43.82405</v>
      </c>
      <c r="E1120" s="14">
        <f t="shared" ca="1" si="50"/>
        <v>43.82405</v>
      </c>
      <c r="F1120" s="14">
        <f t="shared" ca="1" si="50"/>
        <v>46.365700000000004</v>
      </c>
      <c r="G1120" s="14">
        <f t="shared" ca="1" si="50"/>
        <v>43.830316666666675</v>
      </c>
      <c r="H1120" s="14">
        <f t="shared" ca="1" si="50"/>
        <v>43.830316666666675</v>
      </c>
      <c r="I1120" s="14">
        <f t="shared" ca="1" si="50"/>
        <v>43.831858333333336</v>
      </c>
      <c r="J1120" s="14">
        <f t="shared" ca="1" si="50"/>
        <v>376.05461666666662</v>
      </c>
    </row>
    <row r="1121" spans="1:10" ht="15" x14ac:dyDescent="0.2">
      <c r="A1121" s="10">
        <f t="shared" si="25"/>
        <v>2065</v>
      </c>
      <c r="B1121" s="14">
        <f t="shared" ca="1" si="50"/>
        <v>47.133666666666663</v>
      </c>
      <c r="C1121" s="14">
        <f t="shared" ca="1" si="50"/>
        <v>44.559899999999999</v>
      </c>
      <c r="D1121" s="14">
        <f t="shared" ca="1" si="50"/>
        <v>44.552083333333336</v>
      </c>
      <c r="E1121" s="14">
        <f t="shared" ca="1" si="50"/>
        <v>44.552083333333336</v>
      </c>
      <c r="F1121" s="14">
        <f t="shared" ca="1" si="50"/>
        <v>47.133666666666663</v>
      </c>
      <c r="G1121" s="14">
        <f t="shared" ca="1" si="50"/>
        <v>44.558349999999997</v>
      </c>
      <c r="H1121" s="14">
        <f t="shared" ca="1" si="50"/>
        <v>44.558349999999997</v>
      </c>
      <c r="I1121" s="14">
        <f t="shared" ca="1" si="50"/>
        <v>44.559899999999999</v>
      </c>
      <c r="J1121" s="14">
        <f t="shared" ca="1" si="50"/>
        <v>385.02033333333333</v>
      </c>
    </row>
    <row r="1122" spans="1:10" ht="15" x14ac:dyDescent="0.2">
      <c r="A1122" s="10">
        <f t="shared" si="25"/>
        <v>2066</v>
      </c>
      <c r="B1122" s="14">
        <f t="shared" ca="1" si="50"/>
        <v>47.914558333333332</v>
      </c>
      <c r="C1122" s="14">
        <f t="shared" ca="1" si="50"/>
        <v>45.300166666666676</v>
      </c>
      <c r="D1122" s="14">
        <f t="shared" ca="1" si="50"/>
        <v>45.292366666666673</v>
      </c>
      <c r="E1122" s="14">
        <f t="shared" ca="1" si="50"/>
        <v>45.292366666666673</v>
      </c>
      <c r="F1122" s="14">
        <f t="shared" ca="1" si="50"/>
        <v>47.914558333333332</v>
      </c>
      <c r="G1122" s="14">
        <f t="shared" ca="1" si="50"/>
        <v>45.298624999999994</v>
      </c>
      <c r="H1122" s="14">
        <f t="shared" ca="1" si="50"/>
        <v>45.298624999999994</v>
      </c>
      <c r="I1122" s="14">
        <f t="shared" ca="1" si="50"/>
        <v>45.300166666666676</v>
      </c>
      <c r="J1122" s="14">
        <f t="shared" ca="1" si="50"/>
        <v>394.19976666666668</v>
      </c>
    </row>
    <row r="1123" spans="1:10" ht="15" x14ac:dyDescent="0.2">
      <c r="A1123" s="10">
        <f t="shared" si="25"/>
        <v>2067</v>
      </c>
      <c r="B1123" s="14">
        <f t="shared" ca="1" si="50"/>
        <v>48.708558333333336</v>
      </c>
      <c r="C1123" s="14">
        <f t="shared" ca="1" si="50"/>
        <v>46.05288333333332</v>
      </c>
      <c r="D1123" s="14">
        <f t="shared" ca="1" si="50"/>
        <v>46.045058333333337</v>
      </c>
      <c r="E1123" s="14">
        <f t="shared" ca="1" si="50"/>
        <v>46.045058333333337</v>
      </c>
      <c r="F1123" s="14">
        <f t="shared" ca="1" si="50"/>
        <v>48.708558333333336</v>
      </c>
      <c r="G1123" s="14">
        <f t="shared" ca="1" si="50"/>
        <v>46.051324999999991</v>
      </c>
      <c r="H1123" s="14">
        <f t="shared" ca="1" si="50"/>
        <v>46.051324999999991</v>
      </c>
      <c r="I1123" s="14">
        <f t="shared" ca="1" si="50"/>
        <v>46.05288333333332</v>
      </c>
      <c r="J1123" s="14">
        <f t="shared" ca="1" si="50"/>
        <v>403.59809166666656</v>
      </c>
    </row>
    <row r="1124" spans="1:10" ht="15" x14ac:dyDescent="0.2">
      <c r="A1124" s="10">
        <f t="shared" si="25"/>
        <v>2068</v>
      </c>
      <c r="B1124" s="14">
        <f t="shared" ca="1" si="50"/>
        <v>49.515899999999995</v>
      </c>
      <c r="C1124" s="14">
        <f t="shared" ca="1" si="50"/>
        <v>46.818249999999999</v>
      </c>
      <c r="D1124" s="14">
        <f t="shared" ca="1" si="50"/>
        <v>46.810408333333335</v>
      </c>
      <c r="E1124" s="14">
        <f t="shared" ca="1" si="50"/>
        <v>46.810408333333335</v>
      </c>
      <c r="F1124" s="14">
        <f t="shared" ca="1" si="50"/>
        <v>49.515899999999995</v>
      </c>
      <c r="G1124" s="14">
        <f t="shared" ca="1" si="50"/>
        <v>46.816675000000004</v>
      </c>
      <c r="H1124" s="14">
        <f t="shared" ca="1" si="50"/>
        <v>46.816675000000004</v>
      </c>
      <c r="I1124" s="14">
        <f t="shared" ca="1" si="50"/>
        <v>46.818249999999999</v>
      </c>
      <c r="J1124" s="14">
        <f t="shared" ca="1" si="50"/>
        <v>413.22047500000002</v>
      </c>
    </row>
    <row r="1125" spans="1:10" ht="15" x14ac:dyDescent="0.2">
      <c r="A1125" s="10">
        <f t="shared" si="25"/>
        <v>2069</v>
      </c>
      <c r="B1125" s="14">
        <f t="shared" ca="1" si="50"/>
        <v>50.33680833333333</v>
      </c>
      <c r="C1125" s="14">
        <f t="shared" ca="1" si="50"/>
        <v>47.596458333333338</v>
      </c>
      <c r="D1125" s="14">
        <f t="shared" ca="1" si="50"/>
        <v>47.588633333333341</v>
      </c>
      <c r="E1125" s="14">
        <f t="shared" ca="1" si="50"/>
        <v>47.588633333333341</v>
      </c>
      <c r="F1125" s="14">
        <f t="shared" ca="1" si="50"/>
        <v>50.33680833333333</v>
      </c>
      <c r="G1125" s="14">
        <f t="shared" ca="1" si="50"/>
        <v>47.594866666666668</v>
      </c>
      <c r="H1125" s="14">
        <f t="shared" ca="1" si="50"/>
        <v>47.594866666666668</v>
      </c>
      <c r="I1125" s="14">
        <f t="shared" ca="1" si="50"/>
        <v>47.596458333333338</v>
      </c>
      <c r="J1125" s="14">
        <f t="shared" ca="1" si="50"/>
        <v>423.07226666666656</v>
      </c>
    </row>
    <row r="1126" spans="1:10" ht="15" x14ac:dyDescent="0.2">
      <c r="A1126" s="10">
        <f t="shared" ref="A1126:A1156" si="51">A1125+1</f>
        <v>2070</v>
      </c>
      <c r="B1126" s="14">
        <f t="shared" ca="1" si="50"/>
        <v>51.171499999999988</v>
      </c>
      <c r="C1126" s="14">
        <f t="shared" ca="1" si="50"/>
        <v>48.387724999999996</v>
      </c>
      <c r="D1126" s="14">
        <f t="shared" ca="1" si="50"/>
        <v>48.379916666666666</v>
      </c>
      <c r="E1126" s="14">
        <f t="shared" ca="1" si="50"/>
        <v>48.379916666666666</v>
      </c>
      <c r="F1126" s="14">
        <f t="shared" ca="1" si="50"/>
        <v>51.171499999999988</v>
      </c>
      <c r="G1126" s="14">
        <f t="shared" ca="1" si="50"/>
        <v>48.386141666666667</v>
      </c>
      <c r="H1126" s="14">
        <f t="shared" ca="1" si="50"/>
        <v>48.386141666666667</v>
      </c>
      <c r="I1126" s="14">
        <f t="shared" ca="1" si="50"/>
        <v>48.387724999999996</v>
      </c>
      <c r="J1126" s="14">
        <f t="shared" ca="1" si="50"/>
        <v>433.15896666666669</v>
      </c>
    </row>
    <row r="1127" spans="1:10" ht="15" x14ac:dyDescent="0.2">
      <c r="A1127" s="10">
        <f t="shared" si="51"/>
        <v>2071</v>
      </c>
      <c r="B1127" s="14">
        <f t="shared" ca="1" si="50"/>
        <v>52.020225000000003</v>
      </c>
      <c r="C1127" s="14">
        <f t="shared" ca="1" si="50"/>
        <v>49.192299999999989</v>
      </c>
      <c r="D1127" s="14">
        <f t="shared" ca="1" si="50"/>
        <v>49.18448333333334</v>
      </c>
      <c r="E1127" s="14">
        <f t="shared" ca="1" si="50"/>
        <v>49.18448333333334</v>
      </c>
      <c r="F1127" s="14">
        <f t="shared" ca="1" si="50"/>
        <v>52.020225000000003</v>
      </c>
      <c r="G1127" s="14">
        <f t="shared" ca="1" si="50"/>
        <v>49.190733333333334</v>
      </c>
      <c r="H1127" s="14">
        <f t="shared" ca="1" si="50"/>
        <v>49.190733333333334</v>
      </c>
      <c r="I1127" s="14">
        <f t="shared" ca="1" si="50"/>
        <v>49.192299999999989</v>
      </c>
      <c r="J1127" s="14">
        <f t="shared" ca="1" si="50"/>
        <v>443.48610000000002</v>
      </c>
    </row>
    <row r="1128" spans="1:10" ht="15" x14ac:dyDescent="0.2">
      <c r="A1128" s="10">
        <f t="shared" si="51"/>
        <v>2072</v>
      </c>
      <c r="B1128" s="14">
        <f t="shared" ref="B1128:J1137" ca="1" si="52">AVERAGE(OFFSET(B$600,($A1128-$A$1118)*12,0,12,1))</f>
        <v>52.883200000000009</v>
      </c>
      <c r="C1128" s="14">
        <f t="shared" ca="1" si="52"/>
        <v>50.010400000000004</v>
      </c>
      <c r="D1128" s="14">
        <f t="shared" ca="1" si="52"/>
        <v>50.00259166666666</v>
      </c>
      <c r="E1128" s="14">
        <f t="shared" ca="1" si="52"/>
        <v>50.00259166666666</v>
      </c>
      <c r="F1128" s="14">
        <f t="shared" ca="1" si="52"/>
        <v>52.883200000000009</v>
      </c>
      <c r="G1128" s="14">
        <f t="shared" ca="1" si="52"/>
        <v>50.008808333333327</v>
      </c>
      <c r="H1128" s="14">
        <f t="shared" ca="1" si="52"/>
        <v>50.008808333333327</v>
      </c>
      <c r="I1128" s="14">
        <f t="shared" ca="1" si="52"/>
        <v>50.010400000000004</v>
      </c>
      <c r="J1128" s="14">
        <f t="shared" ca="1" si="52"/>
        <v>454.05947500000002</v>
      </c>
    </row>
    <row r="1129" spans="1:10" ht="15" x14ac:dyDescent="0.2">
      <c r="A1129" s="10">
        <f t="shared" si="51"/>
        <v>2073</v>
      </c>
      <c r="B1129" s="14">
        <f t="shared" ca="1" si="52"/>
        <v>53.760683333333333</v>
      </c>
      <c r="C1129" s="14">
        <f t="shared" ca="1" si="52"/>
        <v>50.842208333333332</v>
      </c>
      <c r="D1129" s="14">
        <f t="shared" ca="1" si="52"/>
        <v>50.834408333333336</v>
      </c>
      <c r="E1129" s="14">
        <f t="shared" ca="1" si="52"/>
        <v>50.834408333333336</v>
      </c>
      <c r="F1129" s="14">
        <f t="shared" ca="1" si="52"/>
        <v>53.760683333333333</v>
      </c>
      <c r="G1129" s="14">
        <f t="shared" ca="1" si="52"/>
        <v>50.840675000000012</v>
      </c>
      <c r="H1129" s="14">
        <f t="shared" ca="1" si="52"/>
        <v>50.840675000000012</v>
      </c>
      <c r="I1129" s="14">
        <f t="shared" ca="1" si="52"/>
        <v>50.842208333333332</v>
      </c>
      <c r="J1129" s="14">
        <f t="shared" ca="1" si="52"/>
        <v>464.88494166666669</v>
      </c>
    </row>
    <row r="1130" spans="1:10" ht="15" x14ac:dyDescent="0.2">
      <c r="A1130" s="10">
        <f t="shared" si="51"/>
        <v>2074</v>
      </c>
      <c r="B1130" s="14">
        <f t="shared" ca="1" si="52"/>
        <v>54.652883333333335</v>
      </c>
      <c r="C1130" s="14">
        <f t="shared" ca="1" si="52"/>
        <v>51.688041666666663</v>
      </c>
      <c r="D1130" s="14">
        <f t="shared" ca="1" si="52"/>
        <v>51.680225</v>
      </c>
      <c r="E1130" s="14">
        <f t="shared" ca="1" si="52"/>
        <v>51.680225</v>
      </c>
      <c r="F1130" s="14">
        <f t="shared" ca="1" si="52"/>
        <v>54.652883333333335</v>
      </c>
      <c r="G1130" s="14">
        <f t="shared" ca="1" si="52"/>
        <v>51.686475000000002</v>
      </c>
      <c r="H1130" s="14">
        <f t="shared" ca="1" si="52"/>
        <v>51.686475000000002</v>
      </c>
      <c r="I1130" s="14">
        <f t="shared" ca="1" si="52"/>
        <v>51.688041666666663</v>
      </c>
      <c r="J1130" s="14">
        <f t="shared" ca="1" si="52"/>
        <v>475.96848333333332</v>
      </c>
    </row>
    <row r="1131" spans="1:10" ht="15" x14ac:dyDescent="0.2">
      <c r="A1131" s="10">
        <f t="shared" si="51"/>
        <v>2075</v>
      </c>
      <c r="B1131" s="14">
        <f t="shared" ca="1" si="52"/>
        <v>55.560108333333318</v>
      </c>
      <c r="C1131" s="14">
        <f t="shared" ca="1" si="52"/>
        <v>52.54805833333333</v>
      </c>
      <c r="D1131" s="14">
        <f t="shared" ca="1" si="52"/>
        <v>52.540250000000007</v>
      </c>
      <c r="E1131" s="14">
        <f t="shared" ca="1" si="52"/>
        <v>52.540250000000007</v>
      </c>
      <c r="F1131" s="14">
        <f t="shared" ca="1" si="52"/>
        <v>55.560108333333318</v>
      </c>
      <c r="G1131" s="14">
        <f t="shared" ca="1" si="52"/>
        <v>52.546475000000008</v>
      </c>
      <c r="H1131" s="14">
        <f t="shared" ca="1" si="52"/>
        <v>52.546475000000008</v>
      </c>
      <c r="I1131" s="14">
        <f t="shared" ca="1" si="52"/>
        <v>52.54805833333333</v>
      </c>
      <c r="J1131" s="14">
        <f t="shared" ca="1" si="52"/>
        <v>487.31627499999996</v>
      </c>
    </row>
    <row r="1132" spans="1:10" ht="15" x14ac:dyDescent="0.2">
      <c r="A1132" s="10">
        <f t="shared" si="51"/>
        <v>2076</v>
      </c>
      <c r="B1132" s="14">
        <f t="shared" ca="1" si="52"/>
        <v>56.482541666666663</v>
      </c>
      <c r="C1132" s="14">
        <f t="shared" ca="1" si="52"/>
        <v>53.422525000000007</v>
      </c>
      <c r="D1132" s="14">
        <f t="shared" ca="1" si="52"/>
        <v>53.414716666666664</v>
      </c>
      <c r="E1132" s="14">
        <f t="shared" ca="1" si="52"/>
        <v>53.414716666666664</v>
      </c>
      <c r="F1132" s="14">
        <f t="shared" ca="1" si="52"/>
        <v>56.482541666666663</v>
      </c>
      <c r="G1132" s="14">
        <f t="shared" ca="1" si="52"/>
        <v>53.420966666666665</v>
      </c>
      <c r="H1132" s="14">
        <f t="shared" ca="1" si="52"/>
        <v>53.420966666666665</v>
      </c>
      <c r="I1132" s="14">
        <f t="shared" ca="1" si="52"/>
        <v>53.422525000000007</v>
      </c>
      <c r="J1132" s="14">
        <f t="shared" ca="1" si="52"/>
        <v>498.93463333333347</v>
      </c>
    </row>
    <row r="1133" spans="1:10" ht="15" x14ac:dyDescent="0.2">
      <c r="A1133" s="10">
        <f t="shared" si="51"/>
        <v>2077</v>
      </c>
      <c r="B1133" s="14">
        <f t="shared" ca="1" si="52"/>
        <v>57.420499999999997</v>
      </c>
      <c r="C1133" s="14">
        <f t="shared" ca="1" si="52"/>
        <v>54.311683333333328</v>
      </c>
      <c r="D1133" s="14">
        <f t="shared" ca="1" si="52"/>
        <v>54.303866666666664</v>
      </c>
      <c r="E1133" s="14">
        <f t="shared" ca="1" si="52"/>
        <v>54.303866666666664</v>
      </c>
      <c r="F1133" s="14">
        <f t="shared" ca="1" si="52"/>
        <v>57.420499999999997</v>
      </c>
      <c r="G1133" s="14">
        <f t="shared" ca="1" si="52"/>
        <v>54.310124999999999</v>
      </c>
      <c r="H1133" s="14">
        <f t="shared" ca="1" si="52"/>
        <v>54.310124999999999</v>
      </c>
      <c r="I1133" s="14">
        <f t="shared" ca="1" si="52"/>
        <v>54.311683333333328</v>
      </c>
      <c r="J1133" s="14">
        <f t="shared" ca="1" si="52"/>
        <v>510.82999166666673</v>
      </c>
    </row>
    <row r="1134" spans="1:10" ht="15" x14ac:dyDescent="0.2">
      <c r="A1134" s="10">
        <f t="shared" si="51"/>
        <v>2078</v>
      </c>
      <c r="B1134" s="14">
        <f t="shared" ca="1" si="52"/>
        <v>58.374175000000001</v>
      </c>
      <c r="C1134" s="14">
        <f t="shared" ca="1" si="52"/>
        <v>55.215775000000001</v>
      </c>
      <c r="D1134" s="14">
        <f t="shared" ca="1" si="52"/>
        <v>55.207966666666671</v>
      </c>
      <c r="E1134" s="14">
        <f t="shared" ca="1" si="52"/>
        <v>55.207966666666671</v>
      </c>
      <c r="F1134" s="14">
        <f t="shared" ca="1" si="52"/>
        <v>58.374175000000001</v>
      </c>
      <c r="G1134" s="14">
        <f t="shared" ca="1" si="52"/>
        <v>55.214208333333339</v>
      </c>
      <c r="H1134" s="14">
        <f t="shared" ca="1" si="52"/>
        <v>55.214208333333339</v>
      </c>
      <c r="I1134" s="14">
        <f t="shared" ca="1" si="52"/>
        <v>55.215775000000001</v>
      </c>
      <c r="J1134" s="14">
        <f t="shared" ca="1" si="52"/>
        <v>523.00893333333329</v>
      </c>
    </row>
    <row r="1135" spans="1:10" ht="15" x14ac:dyDescent="0.2">
      <c r="A1135" s="10">
        <f t="shared" si="51"/>
        <v>2079</v>
      </c>
      <c r="B1135" s="14">
        <f t="shared" ca="1" si="52"/>
        <v>59.343908333333339</v>
      </c>
      <c r="C1135" s="14">
        <f t="shared" ca="1" si="52"/>
        <v>56.135066666666667</v>
      </c>
      <c r="D1135" s="14">
        <f t="shared" ca="1" si="52"/>
        <v>56.127258333333337</v>
      </c>
      <c r="E1135" s="14">
        <f t="shared" ca="1" si="52"/>
        <v>56.127258333333337</v>
      </c>
      <c r="F1135" s="14">
        <f t="shared" ca="1" si="52"/>
        <v>59.343908333333339</v>
      </c>
      <c r="G1135" s="14">
        <f t="shared" ca="1" si="52"/>
        <v>56.133483333333338</v>
      </c>
      <c r="H1135" s="14">
        <f t="shared" ca="1" si="52"/>
        <v>56.133483333333338</v>
      </c>
      <c r="I1135" s="14">
        <f t="shared" ca="1" si="52"/>
        <v>56.135066666666667</v>
      </c>
      <c r="J1135" s="14">
        <f t="shared" ca="1" si="52"/>
        <v>535.47826666666663</v>
      </c>
    </row>
    <row r="1136" spans="1:10" ht="15" x14ac:dyDescent="0.2">
      <c r="A1136" s="10">
        <f t="shared" si="51"/>
        <v>2080</v>
      </c>
      <c r="B1136" s="14">
        <f t="shared" ca="1" si="52"/>
        <v>60.329941666666663</v>
      </c>
      <c r="C1136" s="14">
        <f t="shared" ca="1" si="52"/>
        <v>57.069791666666674</v>
      </c>
      <c r="D1136" s="14">
        <f t="shared" ca="1" si="52"/>
        <v>57.06197499999999</v>
      </c>
      <c r="E1136" s="14">
        <f t="shared" ca="1" si="52"/>
        <v>57.06197499999999</v>
      </c>
      <c r="F1136" s="14">
        <f t="shared" ca="1" si="52"/>
        <v>60.329941666666663</v>
      </c>
      <c r="G1136" s="14">
        <f t="shared" ca="1" si="52"/>
        <v>57.068233333333332</v>
      </c>
      <c r="H1136" s="14">
        <f t="shared" ca="1" si="52"/>
        <v>57.068233333333332</v>
      </c>
      <c r="I1136" s="14">
        <f t="shared" ca="1" si="52"/>
        <v>57.069791666666674</v>
      </c>
      <c r="J1136" s="14">
        <f t="shared" ca="1" si="52"/>
        <v>548.24488333333341</v>
      </c>
    </row>
    <row r="1137" spans="1:10" ht="15" x14ac:dyDescent="0.2">
      <c r="A1137" s="10">
        <f t="shared" si="51"/>
        <v>2081</v>
      </c>
      <c r="B1137" s="14">
        <f t="shared" ca="1" si="52"/>
        <v>61.33250833333333</v>
      </c>
      <c r="C1137" s="14">
        <f t="shared" ca="1" si="52"/>
        <v>58.020216666666663</v>
      </c>
      <c r="D1137" s="14">
        <f t="shared" ca="1" si="52"/>
        <v>58.012408333333347</v>
      </c>
      <c r="E1137" s="14">
        <f t="shared" ca="1" si="52"/>
        <v>58.012408333333347</v>
      </c>
      <c r="F1137" s="14">
        <f t="shared" ca="1" si="52"/>
        <v>61.33250833333333</v>
      </c>
      <c r="G1137" s="14">
        <f t="shared" ca="1" si="52"/>
        <v>58.018658333333327</v>
      </c>
      <c r="H1137" s="14">
        <f t="shared" ca="1" si="52"/>
        <v>58.018658333333327</v>
      </c>
      <c r="I1137" s="14">
        <f t="shared" ca="1" si="52"/>
        <v>58.020216666666663</v>
      </c>
      <c r="J1137" s="14">
        <f t="shared" ca="1" si="52"/>
        <v>561.31584166666676</v>
      </c>
    </row>
    <row r="1138" spans="1:10" ht="15" x14ac:dyDescent="0.2">
      <c r="A1138" s="10">
        <f t="shared" si="51"/>
        <v>2082</v>
      </c>
      <c r="B1138" s="14">
        <f t="shared" ref="B1138:J1147" ca="1" si="53">AVERAGE(OFFSET(B$600,($A1138-$A$1118)*12,0,12,1))</f>
        <v>62.351925000000001</v>
      </c>
      <c r="C1138" s="14">
        <f t="shared" ca="1" si="53"/>
        <v>58.986625000000004</v>
      </c>
      <c r="D1138" s="14">
        <f t="shared" ca="1" si="53"/>
        <v>58.97881666666666</v>
      </c>
      <c r="E1138" s="14">
        <f t="shared" ca="1" si="53"/>
        <v>58.97881666666666</v>
      </c>
      <c r="F1138" s="14">
        <f t="shared" ca="1" si="53"/>
        <v>62.351925000000001</v>
      </c>
      <c r="G1138" s="14">
        <f t="shared" ca="1" si="53"/>
        <v>58.985050000000001</v>
      </c>
      <c r="H1138" s="14">
        <f t="shared" ca="1" si="53"/>
        <v>58.985050000000001</v>
      </c>
      <c r="I1138" s="14">
        <f t="shared" ca="1" si="53"/>
        <v>58.986625000000004</v>
      </c>
      <c r="J1138" s="14">
        <f t="shared" ca="1" si="53"/>
        <v>574.69846666666672</v>
      </c>
    </row>
    <row r="1139" spans="1:10" ht="15" x14ac:dyDescent="0.2">
      <c r="A1139" s="10">
        <f t="shared" si="51"/>
        <v>2083</v>
      </c>
      <c r="B1139" s="14">
        <f t="shared" ca="1" si="53"/>
        <v>63.388466666666666</v>
      </c>
      <c r="C1139" s="14">
        <f t="shared" ca="1" si="53"/>
        <v>59.969266666666663</v>
      </c>
      <c r="D1139" s="14">
        <f t="shared" ca="1" si="53"/>
        <v>59.961449999999992</v>
      </c>
      <c r="E1139" s="14">
        <f t="shared" ca="1" si="53"/>
        <v>59.961449999999992</v>
      </c>
      <c r="F1139" s="14">
        <f t="shared" ca="1" si="53"/>
        <v>63.388466666666666</v>
      </c>
      <c r="G1139" s="14">
        <f t="shared" ca="1" si="53"/>
        <v>59.967674999999986</v>
      </c>
      <c r="H1139" s="14">
        <f t="shared" ca="1" si="53"/>
        <v>59.967674999999986</v>
      </c>
      <c r="I1139" s="14">
        <f t="shared" ca="1" si="53"/>
        <v>59.969266666666663</v>
      </c>
      <c r="J1139" s="14">
        <f t="shared" ca="1" si="53"/>
        <v>588.40014166666674</v>
      </c>
    </row>
    <row r="1140" spans="1:10" ht="15" x14ac:dyDescent="0.2">
      <c r="A1140" s="10">
        <f t="shared" si="51"/>
        <v>2084</v>
      </c>
      <c r="B1140" s="14">
        <f t="shared" ca="1" si="53"/>
        <v>64.442441666666667</v>
      </c>
      <c r="C1140" s="14">
        <f t="shared" ca="1" si="53"/>
        <v>60.968399999999995</v>
      </c>
      <c r="D1140" s="14">
        <f t="shared" ca="1" si="53"/>
        <v>60.960583333333325</v>
      </c>
      <c r="E1140" s="14">
        <f t="shared" ca="1" si="53"/>
        <v>60.960583333333325</v>
      </c>
      <c r="F1140" s="14">
        <f t="shared" ca="1" si="53"/>
        <v>64.442441666666667</v>
      </c>
      <c r="G1140" s="14">
        <f t="shared" ca="1" si="53"/>
        <v>60.966841666666674</v>
      </c>
      <c r="H1140" s="14">
        <f t="shared" ca="1" si="53"/>
        <v>60.966841666666674</v>
      </c>
      <c r="I1140" s="14">
        <f t="shared" ca="1" si="53"/>
        <v>60.968399999999995</v>
      </c>
      <c r="J1140" s="14">
        <f t="shared" ca="1" si="53"/>
        <v>602.42847499999993</v>
      </c>
    </row>
    <row r="1141" spans="1:10" ht="15" x14ac:dyDescent="0.2">
      <c r="A1141" s="10">
        <f t="shared" si="51"/>
        <v>2085</v>
      </c>
      <c r="B1141" s="14">
        <f t="shared" ca="1" si="53"/>
        <v>65.514116666666666</v>
      </c>
      <c r="C1141" s="14">
        <f t="shared" ca="1" si="53"/>
        <v>61.984316666666665</v>
      </c>
      <c r="D1141" s="14">
        <f t="shared" ca="1" si="53"/>
        <v>61.976516666666647</v>
      </c>
      <c r="E1141" s="14">
        <f t="shared" ca="1" si="53"/>
        <v>61.976516666666647</v>
      </c>
      <c r="F1141" s="14">
        <f t="shared" ca="1" si="53"/>
        <v>65.514116666666666</v>
      </c>
      <c r="G1141" s="14">
        <f t="shared" ca="1" si="53"/>
        <v>61.982750000000003</v>
      </c>
      <c r="H1141" s="14">
        <f t="shared" ca="1" si="53"/>
        <v>61.982750000000003</v>
      </c>
      <c r="I1141" s="14">
        <f t="shared" ca="1" si="53"/>
        <v>61.984316666666665</v>
      </c>
      <c r="J1141" s="14">
        <f t="shared" ca="1" si="53"/>
        <v>616.79127499999993</v>
      </c>
    </row>
    <row r="1142" spans="1:10" ht="15" x14ac:dyDescent="0.2">
      <c r="A1142" s="10">
        <f t="shared" si="51"/>
        <v>2086</v>
      </c>
      <c r="B1142" s="14">
        <f t="shared" ca="1" si="53"/>
        <v>66.603774999999999</v>
      </c>
      <c r="C1142" s="14">
        <f t="shared" ca="1" si="53"/>
        <v>63.017325</v>
      </c>
      <c r="D1142" s="14">
        <f t="shared" ca="1" si="53"/>
        <v>63.009516666666663</v>
      </c>
      <c r="E1142" s="14">
        <f t="shared" ca="1" si="53"/>
        <v>63.009516666666663</v>
      </c>
      <c r="F1142" s="14">
        <f t="shared" ca="1" si="53"/>
        <v>66.603774999999999</v>
      </c>
      <c r="G1142" s="14">
        <f t="shared" ca="1" si="53"/>
        <v>63.015750000000004</v>
      </c>
      <c r="H1142" s="14">
        <f t="shared" ca="1" si="53"/>
        <v>63.015750000000004</v>
      </c>
      <c r="I1142" s="14">
        <f t="shared" ca="1" si="53"/>
        <v>63.017325</v>
      </c>
      <c r="J1142" s="14">
        <f t="shared" ca="1" si="53"/>
        <v>631.49649999999986</v>
      </c>
    </row>
    <row r="1143" spans="1:10" ht="15" x14ac:dyDescent="0.2">
      <c r="A1143" s="10">
        <f t="shared" si="51"/>
        <v>2087</v>
      </c>
      <c r="B1143" s="14">
        <f t="shared" ca="1" si="53"/>
        <v>67.71175833333335</v>
      </c>
      <c r="C1143" s="14">
        <f t="shared" ca="1" si="53"/>
        <v>64.067666666666653</v>
      </c>
      <c r="D1143" s="14">
        <f t="shared" ca="1" si="53"/>
        <v>64.059841666666657</v>
      </c>
      <c r="E1143" s="14">
        <f t="shared" ca="1" si="53"/>
        <v>64.059841666666657</v>
      </c>
      <c r="F1143" s="14">
        <f t="shared" ca="1" si="53"/>
        <v>67.71175833333335</v>
      </c>
      <c r="G1143" s="14">
        <f t="shared" ca="1" si="53"/>
        <v>64.066099999999992</v>
      </c>
      <c r="H1143" s="14">
        <f t="shared" ca="1" si="53"/>
        <v>64.066099999999992</v>
      </c>
      <c r="I1143" s="14">
        <f t="shared" ca="1" si="53"/>
        <v>64.067666666666653</v>
      </c>
      <c r="J1143" s="14">
        <f t="shared" ca="1" si="53"/>
        <v>646.552325</v>
      </c>
    </row>
    <row r="1144" spans="1:10" ht="15" x14ac:dyDescent="0.2">
      <c r="A1144" s="10">
        <f t="shared" si="51"/>
        <v>2088</v>
      </c>
      <c r="B1144" s="14">
        <f t="shared" ca="1" si="53"/>
        <v>68.838350000000005</v>
      </c>
      <c r="C1144" s="14">
        <f t="shared" ca="1" si="53"/>
        <v>65.135674999999978</v>
      </c>
      <c r="D1144" s="14">
        <f t="shared" ca="1" si="53"/>
        <v>65.127858333333322</v>
      </c>
      <c r="E1144" s="14">
        <f t="shared" ca="1" si="53"/>
        <v>65.127858333333322</v>
      </c>
      <c r="F1144" s="14">
        <f t="shared" ca="1" si="53"/>
        <v>68.838350000000005</v>
      </c>
      <c r="G1144" s="14">
        <f t="shared" ca="1" si="53"/>
        <v>65.134091666666663</v>
      </c>
      <c r="H1144" s="14">
        <f t="shared" ca="1" si="53"/>
        <v>65.134091666666663</v>
      </c>
      <c r="I1144" s="14">
        <f t="shared" ca="1" si="53"/>
        <v>65.135674999999978</v>
      </c>
      <c r="J1144" s="14">
        <f t="shared" ca="1" si="53"/>
        <v>661.96710000000007</v>
      </c>
    </row>
    <row r="1145" spans="1:10" ht="15" x14ac:dyDescent="0.2">
      <c r="A1145" s="10">
        <f t="shared" si="51"/>
        <v>2089</v>
      </c>
      <c r="B1145" s="14">
        <f t="shared" ca="1" si="53"/>
        <v>69.983866666666685</v>
      </c>
      <c r="C1145" s="14">
        <f t="shared" ca="1" si="53"/>
        <v>66.221583333333328</v>
      </c>
      <c r="D1145" s="14">
        <f t="shared" ca="1" si="53"/>
        <v>66.213783333333325</v>
      </c>
      <c r="E1145" s="14">
        <f t="shared" ca="1" si="53"/>
        <v>66.213783333333325</v>
      </c>
      <c r="F1145" s="14">
        <f t="shared" ca="1" si="53"/>
        <v>69.983866666666685</v>
      </c>
      <c r="G1145" s="14">
        <f t="shared" ca="1" si="53"/>
        <v>66.220050000000001</v>
      </c>
      <c r="H1145" s="14">
        <f t="shared" ca="1" si="53"/>
        <v>66.220050000000001</v>
      </c>
      <c r="I1145" s="14">
        <f t="shared" ca="1" si="53"/>
        <v>66.221583333333328</v>
      </c>
      <c r="J1145" s="14">
        <f t="shared" ca="1" si="53"/>
        <v>677.74938333333341</v>
      </c>
    </row>
    <row r="1146" spans="1:10" ht="15" x14ac:dyDescent="0.2">
      <c r="A1146" s="10">
        <f t="shared" si="51"/>
        <v>2090</v>
      </c>
      <c r="B1146" s="14">
        <f t="shared" ca="1" si="53"/>
        <v>71.14862500000001</v>
      </c>
      <c r="C1146" s="14">
        <f t="shared" ca="1" si="53"/>
        <v>67.325783333333334</v>
      </c>
      <c r="D1146" s="14">
        <f t="shared" ca="1" si="53"/>
        <v>67.317966666666663</v>
      </c>
      <c r="E1146" s="14">
        <f t="shared" ca="1" si="53"/>
        <v>67.317966666666663</v>
      </c>
      <c r="F1146" s="14">
        <f t="shared" ca="1" si="53"/>
        <v>71.14862500000001</v>
      </c>
      <c r="G1146" s="14">
        <f t="shared" ca="1" si="53"/>
        <v>67.324208333333331</v>
      </c>
      <c r="H1146" s="14">
        <f t="shared" ca="1" si="53"/>
        <v>67.324208333333331</v>
      </c>
      <c r="I1146" s="14">
        <f t="shared" ca="1" si="53"/>
        <v>67.325783333333334</v>
      </c>
      <c r="J1146" s="14">
        <f t="shared" ca="1" si="53"/>
        <v>693.90795833333334</v>
      </c>
    </row>
    <row r="1147" spans="1:10" ht="15" x14ac:dyDescent="0.2">
      <c r="A1147" s="10">
        <f t="shared" si="51"/>
        <v>2091</v>
      </c>
      <c r="B1147" s="14">
        <f t="shared" ca="1" si="53"/>
        <v>72.332966666666678</v>
      </c>
      <c r="C1147" s="14">
        <f t="shared" ca="1" si="53"/>
        <v>68.448508333333336</v>
      </c>
      <c r="D1147" s="14">
        <f t="shared" ca="1" si="53"/>
        <v>68.440691666666666</v>
      </c>
      <c r="E1147" s="14">
        <f t="shared" ca="1" si="53"/>
        <v>68.440691666666666</v>
      </c>
      <c r="F1147" s="14">
        <f t="shared" ca="1" si="53"/>
        <v>72.332966666666678</v>
      </c>
      <c r="G1147" s="14">
        <f t="shared" ca="1" si="53"/>
        <v>68.446949999999973</v>
      </c>
      <c r="H1147" s="14">
        <f t="shared" ca="1" si="53"/>
        <v>68.446949999999973</v>
      </c>
      <c r="I1147" s="14">
        <f t="shared" ca="1" si="53"/>
        <v>68.448508333333336</v>
      </c>
      <c r="J1147" s="14">
        <f t="shared" ca="1" si="53"/>
        <v>710.45175833333349</v>
      </c>
    </row>
    <row r="1148" spans="1:10" ht="15" x14ac:dyDescent="0.2">
      <c r="A1148" s="10">
        <f t="shared" si="51"/>
        <v>2092</v>
      </c>
      <c r="B1148" s="14">
        <f t="shared" ref="B1148:J1156" ca="1" si="54">AVERAGE(OFFSET(B$600,($A1148-$A$1118)*12,0,12,1))</f>
        <v>73.537191666666686</v>
      </c>
      <c r="C1148" s="14">
        <f t="shared" ca="1" si="54"/>
        <v>69.59009166666668</v>
      </c>
      <c r="D1148" s="14">
        <f t="shared" ca="1" si="54"/>
        <v>69.582274999999996</v>
      </c>
      <c r="E1148" s="14">
        <f t="shared" ca="1" si="54"/>
        <v>69.582274999999996</v>
      </c>
      <c r="F1148" s="14">
        <f t="shared" ca="1" si="54"/>
        <v>73.537191666666686</v>
      </c>
      <c r="G1148" s="14">
        <f t="shared" ca="1" si="54"/>
        <v>69.588541666666671</v>
      </c>
      <c r="H1148" s="14">
        <f t="shared" ca="1" si="54"/>
        <v>69.588541666666671</v>
      </c>
      <c r="I1148" s="14">
        <f t="shared" ca="1" si="54"/>
        <v>69.59009166666668</v>
      </c>
      <c r="J1148" s="14">
        <f t="shared" ca="1" si="54"/>
        <v>727.38999166666656</v>
      </c>
    </row>
    <row r="1149" spans="1:10" ht="15" x14ac:dyDescent="0.2">
      <c r="A1149" s="10">
        <f t="shared" si="51"/>
        <v>2093</v>
      </c>
      <c r="B1149" s="14">
        <f t="shared" ca="1" si="54"/>
        <v>74.761641666666677</v>
      </c>
      <c r="C1149" s="14">
        <f t="shared" ca="1" si="54"/>
        <v>70.750866666666667</v>
      </c>
      <c r="D1149" s="14">
        <f t="shared" ca="1" si="54"/>
        <v>70.743058333333323</v>
      </c>
      <c r="E1149" s="14">
        <f t="shared" ca="1" si="54"/>
        <v>70.743058333333323</v>
      </c>
      <c r="F1149" s="14">
        <f t="shared" ca="1" si="54"/>
        <v>74.761641666666677</v>
      </c>
      <c r="G1149" s="14">
        <f t="shared" ca="1" si="54"/>
        <v>70.749300000000005</v>
      </c>
      <c r="H1149" s="14">
        <f t="shared" ca="1" si="54"/>
        <v>70.749300000000005</v>
      </c>
      <c r="I1149" s="14">
        <f t="shared" ca="1" si="54"/>
        <v>70.750866666666667</v>
      </c>
      <c r="J1149" s="14">
        <f t="shared" ca="1" si="54"/>
        <v>744.73209166666663</v>
      </c>
    </row>
    <row r="1150" spans="1:10" ht="15" x14ac:dyDescent="0.2">
      <c r="A1150" s="10">
        <f t="shared" si="51"/>
        <v>2094</v>
      </c>
      <c r="B1150" s="14">
        <f t="shared" ca="1" si="54"/>
        <v>76.006666666666675</v>
      </c>
      <c r="C1150" s="14">
        <f t="shared" ca="1" si="54"/>
        <v>71.931124999999994</v>
      </c>
      <c r="D1150" s="14">
        <f t="shared" ca="1" si="54"/>
        <v>71.923316666666665</v>
      </c>
      <c r="E1150" s="14">
        <f t="shared" ca="1" si="54"/>
        <v>71.923316666666665</v>
      </c>
      <c r="F1150" s="14">
        <f t="shared" ca="1" si="54"/>
        <v>76.006666666666675</v>
      </c>
      <c r="G1150" s="14">
        <f t="shared" ca="1" si="54"/>
        <v>71.929583333333326</v>
      </c>
      <c r="H1150" s="14">
        <f t="shared" ca="1" si="54"/>
        <v>71.929583333333326</v>
      </c>
      <c r="I1150" s="14">
        <f t="shared" ca="1" si="54"/>
        <v>71.931124999999994</v>
      </c>
      <c r="J1150" s="14">
        <f t="shared" ca="1" si="54"/>
        <v>762.48759166666662</v>
      </c>
    </row>
    <row r="1151" spans="1:10" ht="15" x14ac:dyDescent="0.2">
      <c r="A1151" s="10">
        <f t="shared" si="51"/>
        <v>2095</v>
      </c>
      <c r="B1151" s="14">
        <f t="shared" ca="1" si="54"/>
        <v>77.272616666666678</v>
      </c>
      <c r="C1151" s="14">
        <f t="shared" ca="1" si="54"/>
        <v>73.131241666666668</v>
      </c>
      <c r="D1151" s="14">
        <f t="shared" ca="1" si="54"/>
        <v>73.123424999999983</v>
      </c>
      <c r="E1151" s="14">
        <f t="shared" ca="1" si="54"/>
        <v>73.123424999999983</v>
      </c>
      <c r="F1151" s="14">
        <f t="shared" ca="1" si="54"/>
        <v>77.272616666666678</v>
      </c>
      <c r="G1151" s="14">
        <f t="shared" ca="1" si="54"/>
        <v>73.129674999999992</v>
      </c>
      <c r="H1151" s="14">
        <f t="shared" ca="1" si="54"/>
        <v>73.129674999999992</v>
      </c>
      <c r="I1151" s="14">
        <f t="shared" ca="1" si="54"/>
        <v>73.131241666666668</v>
      </c>
      <c r="J1151" s="14">
        <f t="shared" ca="1" si="54"/>
        <v>780.66643333333332</v>
      </c>
    </row>
    <row r="1152" spans="1:10" ht="15" x14ac:dyDescent="0.2">
      <c r="A1152" s="10">
        <f t="shared" si="51"/>
        <v>2096</v>
      </c>
      <c r="B1152" s="14">
        <f t="shared" ca="1" si="54"/>
        <v>78.559825000000004</v>
      </c>
      <c r="C1152" s="14">
        <f t="shared" ca="1" si="54"/>
        <v>74.351508333333328</v>
      </c>
      <c r="D1152" s="14">
        <f t="shared" ca="1" si="54"/>
        <v>74.343699999999998</v>
      </c>
      <c r="E1152" s="14">
        <f t="shared" ca="1" si="54"/>
        <v>74.343699999999998</v>
      </c>
      <c r="F1152" s="14">
        <f t="shared" ca="1" si="54"/>
        <v>78.559825000000004</v>
      </c>
      <c r="G1152" s="14">
        <f t="shared" ca="1" si="54"/>
        <v>74.34993333333334</v>
      </c>
      <c r="H1152" s="14">
        <f t="shared" ca="1" si="54"/>
        <v>74.34993333333334</v>
      </c>
      <c r="I1152" s="14">
        <f t="shared" ca="1" si="54"/>
        <v>74.351508333333328</v>
      </c>
      <c r="J1152" s="14">
        <f t="shared" ca="1" si="54"/>
        <v>799.27870833333327</v>
      </c>
    </row>
    <row r="1153" spans="1:10" ht="15" x14ac:dyDescent="0.2">
      <c r="A1153" s="10">
        <f t="shared" si="51"/>
        <v>2097</v>
      </c>
      <c r="B1153" s="14">
        <f t="shared" ca="1" si="54"/>
        <v>79.86866666666667</v>
      </c>
      <c r="C1153" s="14">
        <f t="shared" ca="1" si="54"/>
        <v>75.592241666666652</v>
      </c>
      <c r="D1153" s="14">
        <f t="shared" ca="1" si="54"/>
        <v>75.584433333333337</v>
      </c>
      <c r="E1153" s="14">
        <f t="shared" ca="1" si="54"/>
        <v>75.584433333333337</v>
      </c>
      <c r="F1153" s="14">
        <f t="shared" ca="1" si="54"/>
        <v>79.86866666666667</v>
      </c>
      <c r="G1153" s="14">
        <f t="shared" ca="1" si="54"/>
        <v>75.590699999999998</v>
      </c>
      <c r="H1153" s="14">
        <f t="shared" ca="1" si="54"/>
        <v>75.590699999999998</v>
      </c>
      <c r="I1153" s="14">
        <f t="shared" ca="1" si="54"/>
        <v>75.592241666666652</v>
      </c>
      <c r="J1153" s="14">
        <f t="shared" ca="1" si="54"/>
        <v>818.33470833333331</v>
      </c>
    </row>
    <row r="1154" spans="1:10" ht="15" x14ac:dyDescent="0.2">
      <c r="A1154" s="10">
        <f t="shared" si="51"/>
        <v>2098</v>
      </c>
      <c r="B1154" s="14">
        <f t="shared" ca="1" si="54"/>
        <v>81.199491666666674</v>
      </c>
      <c r="C1154" s="14">
        <f t="shared" ca="1" si="54"/>
        <v>76.853850000000008</v>
      </c>
      <c r="D1154" s="14">
        <f t="shared" ca="1" si="54"/>
        <v>76.846041666666665</v>
      </c>
      <c r="E1154" s="14">
        <f t="shared" ca="1" si="54"/>
        <v>76.846041666666665</v>
      </c>
      <c r="F1154" s="14">
        <f t="shared" ca="1" si="54"/>
        <v>81.199491666666674</v>
      </c>
      <c r="G1154" s="14">
        <f t="shared" ca="1" si="54"/>
        <v>76.8523</v>
      </c>
      <c r="H1154" s="14">
        <f t="shared" ca="1" si="54"/>
        <v>76.8523</v>
      </c>
      <c r="I1154" s="14">
        <f t="shared" ca="1" si="54"/>
        <v>76.853850000000008</v>
      </c>
      <c r="J1154" s="14">
        <f t="shared" ca="1" si="54"/>
        <v>837.84504166666648</v>
      </c>
    </row>
    <row r="1155" spans="1:10" ht="15" x14ac:dyDescent="0.2">
      <c r="A1155" s="10">
        <f t="shared" si="51"/>
        <v>2099</v>
      </c>
      <c r="B1155" s="14">
        <f t="shared" ca="1" si="54"/>
        <v>82.552675000000008</v>
      </c>
      <c r="C1155" s="14">
        <f t="shared" ca="1" si="54"/>
        <v>78.136674999999997</v>
      </c>
      <c r="D1155" s="14">
        <f t="shared" ca="1" si="54"/>
        <v>78.12885</v>
      </c>
      <c r="E1155" s="14">
        <f t="shared" ca="1" si="54"/>
        <v>78.12885</v>
      </c>
      <c r="F1155" s="14">
        <f t="shared" ca="1" si="54"/>
        <v>82.552675000000008</v>
      </c>
      <c r="G1155" s="14">
        <f t="shared" ca="1" si="54"/>
        <v>78.135091666666654</v>
      </c>
      <c r="H1155" s="14">
        <f t="shared" ca="1" si="54"/>
        <v>78.135091666666654</v>
      </c>
      <c r="I1155" s="14">
        <f t="shared" ca="1" si="54"/>
        <v>78.136674999999997</v>
      </c>
      <c r="J1155" s="14">
        <f t="shared" ca="1" si="54"/>
        <v>857.82050833333324</v>
      </c>
    </row>
    <row r="1156" spans="1:10" ht="15" x14ac:dyDescent="0.2">
      <c r="A1156" s="10">
        <f t="shared" si="51"/>
        <v>2100</v>
      </c>
      <c r="B1156" s="14">
        <f t="shared" ca="1" si="54"/>
        <v>83.928591666666676</v>
      </c>
      <c r="C1156" s="14">
        <f t="shared" ca="1" si="54"/>
        <v>79.441016666666656</v>
      </c>
      <c r="D1156" s="14">
        <f t="shared" ca="1" si="54"/>
        <v>79.433191666666673</v>
      </c>
      <c r="E1156" s="14">
        <f t="shared" ca="1" si="54"/>
        <v>79.433191666666673</v>
      </c>
      <c r="F1156" s="14">
        <f t="shared" ca="1" si="54"/>
        <v>83.928591666666676</v>
      </c>
      <c r="G1156" s="14">
        <f t="shared" ca="1" si="54"/>
        <v>79.439450000000008</v>
      </c>
      <c r="H1156" s="14">
        <f t="shared" ca="1" si="54"/>
        <v>79.439450000000008</v>
      </c>
      <c r="I1156" s="14">
        <f t="shared" ca="1" si="54"/>
        <v>79.441016666666656</v>
      </c>
      <c r="J1156" s="14">
        <f t="shared" ca="1" si="54"/>
        <v>878.27224166666667</v>
      </c>
    </row>
    <row r="1157" spans="1:10" x14ac:dyDescent="0.2">
      <c r="A1157" s="8"/>
    </row>
    <row r="1158" spans="1:10" x14ac:dyDescent="0.2">
      <c r="A1158" s="8"/>
    </row>
    <row r="1159" spans="1:10" x14ac:dyDescent="0.2">
      <c r="A1159" s="8"/>
    </row>
    <row r="1160" spans="1:10" x14ac:dyDescent="0.2">
      <c r="A1160" s="8"/>
    </row>
    <row r="1161" spans="1:10" x14ac:dyDescent="0.2">
      <c r="A1161" s="8"/>
    </row>
    <row r="1162" spans="1:10" x14ac:dyDescent="0.2">
      <c r="A1162" s="8"/>
    </row>
    <row r="1163" spans="1:10" x14ac:dyDescent="0.2">
      <c r="A1163" s="8"/>
    </row>
    <row r="1164" spans="1:10" x14ac:dyDescent="0.2">
      <c r="A1164" s="8"/>
    </row>
    <row r="1165" spans="1:10" x14ac:dyDescent="0.2">
      <c r="A1165" s="8"/>
    </row>
    <row r="1166" spans="1:10" x14ac:dyDescent="0.2">
      <c r="A1166" s="8"/>
    </row>
    <row r="1167" spans="1:10" x14ac:dyDescent="0.2">
      <c r="A1167" s="8"/>
    </row>
    <row r="1168" spans="1:10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</sheetData>
  <pageMargins left="0.25" right="0.25" top="0.5" bottom="0.5" header="0.25" footer="0.25"/>
  <pageSetup paperSize="5" scale="9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7</xdr:col>
                    <xdr:colOff>209550</xdr:colOff>
                    <xdr:row>7</xdr:row>
                    <xdr:rowOff>180975</xdr:rowOff>
                  </from>
                  <to>
                    <xdr:col>8</xdr:col>
                    <xdr:colOff>342900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8</xdr:col>
                    <xdr:colOff>476250</xdr:colOff>
                    <xdr:row>7</xdr:row>
                    <xdr:rowOff>180975</xdr:rowOff>
                  </from>
                  <to>
                    <xdr:col>9</xdr:col>
                    <xdr:colOff>609600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C1172"/>
  <sheetViews>
    <sheetView zoomScale="75" zoomScaleNormal="75" workbookViewId="0">
      <pane xSplit="1" ySplit="12" topLeftCell="B13" activePane="bottomRight" state="frozen"/>
      <selection activeCell="B1" sqref="B1"/>
      <selection pane="topRight" activeCell="B1" sqref="B1"/>
      <selection pane="bottomLeft" activeCell="B1" sqref="B1"/>
      <selection pane="bottomRight" activeCell="B13" sqref="B13"/>
    </sheetView>
  </sheetViews>
  <sheetFormatPr defaultColWidth="7.109375" defaultRowHeight="12.75" x14ac:dyDescent="0.2"/>
  <cols>
    <col min="1" max="1" width="18.21875" style="31" customWidth="1"/>
    <col min="2" max="10" width="13" style="31" customWidth="1"/>
    <col min="11" max="11" width="18.6640625" style="31" customWidth="1"/>
    <col min="12" max="12" width="13" style="31" customWidth="1"/>
    <col min="13" max="16" width="20.6640625" style="31" customWidth="1"/>
    <col min="17" max="17" width="15.5546875" style="31" customWidth="1"/>
    <col min="18" max="18" width="16.21875" style="31" customWidth="1"/>
    <col min="19" max="19" width="13" style="8" customWidth="1"/>
    <col min="20" max="25" width="19.77734375" style="8" customWidth="1"/>
    <col min="26" max="26" width="15.5546875" style="8" customWidth="1"/>
    <col min="27" max="27" width="16.88671875" style="8" customWidth="1"/>
    <col min="28" max="29" width="14.77734375" style="8" customWidth="1"/>
    <col min="30" max="30" width="14" style="8" customWidth="1"/>
    <col min="31" max="31" width="10.21875" style="8" customWidth="1"/>
    <col min="32" max="32" width="11.77734375" style="8" customWidth="1"/>
    <col min="33" max="33" width="7.109375" style="8" customWidth="1"/>
    <col min="34" max="34" width="8.77734375" style="8" customWidth="1"/>
    <col min="35" max="35" width="9.21875" style="8" customWidth="1"/>
    <col min="36" max="36" width="11.77734375" style="8" customWidth="1"/>
    <col min="37" max="37" width="7.109375" style="8" customWidth="1"/>
    <col min="38" max="38" width="9.21875" style="8" customWidth="1"/>
    <col min="39" max="39" width="9.33203125" style="8" customWidth="1"/>
    <col min="40" max="40" width="8.21875" style="8" customWidth="1"/>
    <col min="41" max="41" width="9" style="8" customWidth="1"/>
    <col min="42" max="16384" width="7.109375" style="8"/>
  </cols>
  <sheetData>
    <row r="1" spans="1:29" ht="15.75" x14ac:dyDescent="0.25">
      <c r="A1" s="100" t="s">
        <v>90</v>
      </c>
    </row>
    <row r="2" spans="1:29" ht="15.75" x14ac:dyDescent="0.25">
      <c r="A2" s="100" t="s">
        <v>91</v>
      </c>
    </row>
    <row r="3" spans="1:29" ht="15.75" x14ac:dyDescent="0.25">
      <c r="A3" s="100" t="s">
        <v>92</v>
      </c>
    </row>
    <row r="4" spans="1:29" ht="15.75" x14ac:dyDescent="0.25">
      <c r="A4" s="100" t="s">
        <v>93</v>
      </c>
    </row>
    <row r="5" spans="1:29" ht="15.75" x14ac:dyDescent="0.25">
      <c r="A5" s="100" t="s">
        <v>95</v>
      </c>
    </row>
    <row r="6" spans="1:29" ht="15.75" x14ac:dyDescent="0.25">
      <c r="A6" s="100" t="s">
        <v>99</v>
      </c>
    </row>
    <row r="8" spans="1:29" ht="15.75" x14ac:dyDescent="0.25">
      <c r="A8" s="43" t="s">
        <v>27</v>
      </c>
      <c r="M8" s="75"/>
      <c r="N8" s="75"/>
      <c r="O8" s="71"/>
      <c r="P8" s="71"/>
      <c r="T8" s="109" t="s">
        <v>79</v>
      </c>
      <c r="U8" s="109"/>
      <c r="V8" s="109"/>
      <c r="W8" s="109"/>
      <c r="X8" s="109"/>
      <c r="Y8" s="109"/>
    </row>
    <row r="9" spans="1:29" ht="16.5" thickBot="1" x14ac:dyDescent="0.3">
      <c r="A9" s="43"/>
      <c r="B9" s="41" t="s">
        <v>25</v>
      </c>
      <c r="C9" s="74">
        <f>1-0.208</f>
        <v>0.79200000000000004</v>
      </c>
      <c r="D9" s="41"/>
      <c r="E9" s="74">
        <v>1.208</v>
      </c>
      <c r="F9" s="74"/>
      <c r="G9" s="74"/>
      <c r="H9" s="1"/>
      <c r="I9" s="1"/>
      <c r="J9" s="1"/>
      <c r="K9" s="1"/>
      <c r="L9" s="1"/>
      <c r="M9" s="1"/>
      <c r="N9" s="1"/>
      <c r="O9" s="1"/>
      <c r="P9" s="1"/>
      <c r="T9" s="109" t="s">
        <v>78</v>
      </c>
      <c r="U9" s="109"/>
      <c r="V9" s="109"/>
      <c r="W9" s="109"/>
      <c r="X9" s="109"/>
      <c r="Y9" s="109"/>
      <c r="Z9" s="105"/>
      <c r="AA9" s="105"/>
      <c r="AB9" s="1"/>
    </row>
    <row r="10" spans="1:29" ht="21.75" thickTop="1" thickBot="1" x14ac:dyDescent="0.35">
      <c r="B10" s="73"/>
      <c r="C10" s="72"/>
      <c r="D10" s="73"/>
      <c r="E10" s="72"/>
      <c r="F10" s="72"/>
      <c r="G10" s="72"/>
      <c r="H10" s="1"/>
      <c r="I10" s="1"/>
      <c r="J10" s="1"/>
      <c r="K10" s="1"/>
      <c r="L10" s="1"/>
      <c r="M10" s="1"/>
      <c r="N10" s="1"/>
      <c r="O10" s="1"/>
      <c r="P10" s="1"/>
      <c r="T10" s="110" t="s">
        <v>77</v>
      </c>
      <c r="U10" s="111"/>
      <c r="V10" s="111"/>
      <c r="W10" s="111"/>
      <c r="X10" s="111"/>
      <c r="Y10" s="112"/>
      <c r="Z10" s="71"/>
      <c r="AA10" s="71"/>
      <c r="AB10" s="1"/>
    </row>
    <row r="11" spans="1:29" s="36" customFormat="1" ht="112.5" customHeight="1" thickTop="1" x14ac:dyDescent="0.25">
      <c r="B11" s="66" t="s">
        <v>76</v>
      </c>
      <c r="C11" s="70" t="s">
        <v>75</v>
      </c>
      <c r="D11" s="66" t="s">
        <v>74</v>
      </c>
      <c r="E11" s="66" t="s">
        <v>73</v>
      </c>
      <c r="F11" s="70" t="s">
        <v>72</v>
      </c>
      <c r="G11" s="70" t="s">
        <v>71</v>
      </c>
      <c r="H11" s="70" t="s">
        <v>70</v>
      </c>
      <c r="I11" s="70" t="s">
        <v>69</v>
      </c>
      <c r="J11" s="70" t="s">
        <v>68</v>
      </c>
      <c r="K11" s="67" t="s">
        <v>67</v>
      </c>
      <c r="L11" s="37" t="s">
        <v>66</v>
      </c>
      <c r="M11" s="69" t="s">
        <v>65</v>
      </c>
      <c r="N11" s="69" t="s">
        <v>64</v>
      </c>
      <c r="O11" s="69" t="s">
        <v>63</v>
      </c>
      <c r="P11" s="69" t="s">
        <v>62</v>
      </c>
      <c r="Q11" s="37" t="s">
        <v>61</v>
      </c>
      <c r="R11" s="39" t="s">
        <v>60</v>
      </c>
      <c r="S11" s="37" t="s">
        <v>59</v>
      </c>
      <c r="T11" s="65" t="s">
        <v>58</v>
      </c>
      <c r="U11" s="65" t="s">
        <v>57</v>
      </c>
      <c r="V11" s="65" t="s">
        <v>56</v>
      </c>
      <c r="W11" s="65" t="s">
        <v>55</v>
      </c>
      <c r="X11" s="65" t="s">
        <v>54</v>
      </c>
      <c r="Y11" s="65" t="s">
        <v>53</v>
      </c>
      <c r="Z11" s="39" t="s">
        <v>52</v>
      </c>
      <c r="AA11" s="39" t="s">
        <v>51</v>
      </c>
      <c r="AB11" s="66" t="s">
        <v>50</v>
      </c>
      <c r="AC11" s="68" t="s">
        <v>49</v>
      </c>
    </row>
    <row r="12" spans="1:29" s="36" customFormat="1" ht="15.75" x14ac:dyDescent="0.25">
      <c r="A12" s="38" t="s">
        <v>15</v>
      </c>
      <c r="B12" s="37" t="s">
        <v>14</v>
      </c>
      <c r="C12" s="37" t="s">
        <v>14</v>
      </c>
      <c r="D12" s="37" t="s">
        <v>14</v>
      </c>
      <c r="E12" s="37" t="s">
        <v>14</v>
      </c>
      <c r="F12" s="37" t="s">
        <v>14</v>
      </c>
      <c r="G12" s="37" t="s">
        <v>14</v>
      </c>
      <c r="H12" s="37" t="s">
        <v>14</v>
      </c>
      <c r="I12" s="37" t="s">
        <v>14</v>
      </c>
      <c r="J12" s="37" t="s">
        <v>14</v>
      </c>
      <c r="K12" s="67" t="s">
        <v>14</v>
      </c>
      <c r="L12" s="37" t="s">
        <v>14</v>
      </c>
      <c r="M12" s="37" t="s">
        <v>14</v>
      </c>
      <c r="N12" s="37" t="s">
        <v>14</v>
      </c>
      <c r="O12" s="37" t="s">
        <v>14</v>
      </c>
      <c r="P12" s="37" t="s">
        <v>14</v>
      </c>
      <c r="Q12" s="37" t="s">
        <v>14</v>
      </c>
      <c r="R12" s="37" t="s">
        <v>14</v>
      </c>
      <c r="S12" s="37" t="s">
        <v>14</v>
      </c>
      <c r="T12" s="65" t="s">
        <v>48</v>
      </c>
      <c r="U12" s="65" t="s">
        <v>48</v>
      </c>
      <c r="V12" s="65" t="s">
        <v>48</v>
      </c>
      <c r="W12" s="65" t="s">
        <v>48</v>
      </c>
      <c r="X12" s="65" t="s">
        <v>48</v>
      </c>
      <c r="Y12" s="65" t="s">
        <v>48</v>
      </c>
      <c r="Z12" s="37" t="s">
        <v>14</v>
      </c>
      <c r="AA12" s="37" t="s">
        <v>48</v>
      </c>
      <c r="AB12" s="66" t="s">
        <v>14</v>
      </c>
      <c r="AC12" s="65" t="s">
        <v>14</v>
      </c>
    </row>
    <row r="13" spans="1:29" ht="15.75" x14ac:dyDescent="0.25">
      <c r="A13" s="13">
        <v>41275</v>
      </c>
      <c r="B13" s="62">
        <v>3.4693411405589898</v>
      </c>
      <c r="C13" s="62">
        <v>3.47442538832698</v>
      </c>
      <c r="D13" s="62">
        <v>3.5918799851734899</v>
      </c>
      <c r="E13" s="62">
        <v>3.62563976038513</v>
      </c>
      <c r="F13" s="62">
        <v>3.4827097294503502</v>
      </c>
      <c r="G13" s="62">
        <v>3.4975364689593298</v>
      </c>
      <c r="H13" s="62">
        <v>3.6145177663942398</v>
      </c>
      <c r="I13" s="62">
        <v>3.5091919375943799</v>
      </c>
      <c r="J13" s="62">
        <v>3.4753097294503501</v>
      </c>
      <c r="K13" s="64"/>
      <c r="L13" s="62">
        <v>4.2015177663942396</v>
      </c>
      <c r="M13" s="62">
        <v>3.4510577257516601</v>
      </c>
      <c r="N13" s="62">
        <v>3.46575112309643</v>
      </c>
      <c r="O13" s="62">
        <v>3.5890138150970801</v>
      </c>
      <c r="P13" s="62">
        <v>3.4845926581983502</v>
      </c>
      <c r="Q13" s="62">
        <v>4.1837138150970796</v>
      </c>
      <c r="R13" s="62">
        <v>4.7811730996348203</v>
      </c>
      <c r="S13" s="62">
        <v>3.3547069680724899</v>
      </c>
      <c r="T13" s="63">
        <v>29.034112</v>
      </c>
      <c r="U13" s="63">
        <v>12.063650000000001</v>
      </c>
      <c r="V13" s="63">
        <v>4.9444999999999997</v>
      </c>
      <c r="W13" s="63">
        <v>0.56798199999999999</v>
      </c>
      <c r="X13" s="63">
        <v>0</v>
      </c>
      <c r="Y13" s="63">
        <v>0.39</v>
      </c>
      <c r="Z13" s="62">
        <v>3.49160559679886</v>
      </c>
      <c r="AA13" s="61">
        <v>0.78900000000000003</v>
      </c>
      <c r="AB13" s="60">
        <v>3.5128713827202498</v>
      </c>
      <c r="AC13" s="59">
        <v>3.5263496753376899</v>
      </c>
    </row>
    <row r="14" spans="1:29" ht="15.75" x14ac:dyDescent="0.25">
      <c r="A14" s="13">
        <v>41306</v>
      </c>
      <c r="B14" s="14">
        <v>3.3373871192168498</v>
      </c>
      <c r="C14" s="14">
        <v>3.34247136698484</v>
      </c>
      <c r="D14" s="14">
        <v>3.4274416903447098</v>
      </c>
      <c r="E14" s="14">
        <v>3.4612014655563499</v>
      </c>
      <c r="F14" s="14">
        <v>3.32921003516193</v>
      </c>
      <c r="G14" s="14">
        <v>3.3428860878936399</v>
      </c>
      <c r="H14" s="14">
        <v>3.4500794715654499</v>
      </c>
      <c r="I14" s="14">
        <v>3.3623461586604102</v>
      </c>
      <c r="J14" s="14">
        <v>3.32181003516193</v>
      </c>
      <c r="K14" s="52"/>
      <c r="L14" s="14">
        <v>4.0370794715654501</v>
      </c>
      <c r="M14" s="14">
        <v>3.2989385090408998</v>
      </c>
      <c r="N14" s="14">
        <v>3.3124915681456</v>
      </c>
      <c r="O14" s="14">
        <v>3.42605437258766</v>
      </c>
      <c r="P14" s="14">
        <v>3.3390715772188799</v>
      </c>
      <c r="Q14" s="14">
        <v>4.0207543725876604</v>
      </c>
      <c r="R14" s="14">
        <v>4.6178062585191304</v>
      </c>
      <c r="S14" s="14">
        <v>3.2267511535770201</v>
      </c>
      <c r="T14" s="56">
        <v>26.280478500000001</v>
      </c>
      <c r="U14" s="56">
        <v>10.8962</v>
      </c>
      <c r="V14" s="56">
        <v>4.4660000000000002</v>
      </c>
      <c r="W14" s="56">
        <v>0.51301600000000003</v>
      </c>
      <c r="X14" s="56">
        <v>0</v>
      </c>
      <c r="Y14" s="56">
        <v>0.39</v>
      </c>
      <c r="Z14" s="14">
        <v>3.3376078337533501</v>
      </c>
      <c r="AA14" s="55">
        <v>0.78900000000000003</v>
      </c>
      <c r="AB14" s="49">
        <v>3.3650754313211002</v>
      </c>
      <c r="AC14" s="45">
        <v>3.36964273692133</v>
      </c>
    </row>
    <row r="15" spans="1:29" ht="15.75" x14ac:dyDescent="0.25">
      <c r="A15" s="13">
        <v>41334</v>
      </c>
      <c r="B15" s="14">
        <v>3.5446221553058099</v>
      </c>
      <c r="C15" s="14">
        <v>3.5497064030738099</v>
      </c>
      <c r="D15" s="14">
        <v>3.6259111288261701</v>
      </c>
      <c r="E15" s="14">
        <v>3.6596709040378101</v>
      </c>
      <c r="F15" s="14">
        <v>3.5438843996438298</v>
      </c>
      <c r="G15" s="14">
        <v>3.5577092992119201</v>
      </c>
      <c r="H15" s="14">
        <v>3.6485489100469102</v>
      </c>
      <c r="I15" s="14">
        <v>3.55729372718785</v>
      </c>
      <c r="J15" s="14">
        <v>3.5364843996438302</v>
      </c>
      <c r="K15" s="52"/>
      <c r="L15" s="14">
        <v>4.2355489100469104</v>
      </c>
      <c r="M15" s="14">
        <v>3.5116822302857602</v>
      </c>
      <c r="N15" s="14">
        <v>3.5253827975940699</v>
      </c>
      <c r="O15" s="14">
        <v>3.6227389045196601</v>
      </c>
      <c r="P15" s="14">
        <v>3.5322605208328999</v>
      </c>
      <c r="Q15" s="14">
        <v>4.2174389045196596</v>
      </c>
      <c r="R15" s="14">
        <v>4.8149825017809604</v>
      </c>
      <c r="S15" s="14">
        <v>3.4277069680724899</v>
      </c>
      <c r="T15" s="56">
        <v>29.128712</v>
      </c>
      <c r="U15" s="56">
        <v>12.063650000000001</v>
      </c>
      <c r="V15" s="56">
        <v>4.9444999999999997</v>
      </c>
      <c r="W15" s="56">
        <v>0.71033400000000002</v>
      </c>
      <c r="X15" s="56">
        <v>0</v>
      </c>
      <c r="Y15" s="56">
        <v>0.39</v>
      </c>
      <c r="Z15" s="14">
        <v>3.51872944531473</v>
      </c>
      <c r="AA15" s="55">
        <v>0.78900000000000003</v>
      </c>
      <c r="AB15" s="49">
        <v>3.5712349617297399</v>
      </c>
      <c r="AC15" s="45">
        <v>3.5713699258364802</v>
      </c>
    </row>
    <row r="16" spans="1:29" ht="15.75" x14ac:dyDescent="0.25">
      <c r="A16" s="13">
        <v>41365</v>
      </c>
      <c r="B16" s="14">
        <v>4.1484240687378904</v>
      </c>
      <c r="C16" s="14">
        <v>4.1529056348026501</v>
      </c>
      <c r="D16" s="14">
        <v>4.3764270426620504</v>
      </c>
      <c r="E16" s="14">
        <v>4.4085325011284802</v>
      </c>
      <c r="F16" s="14">
        <v>4.15877359890011</v>
      </c>
      <c r="G16" s="14">
        <v>4.1735123563116101</v>
      </c>
      <c r="H16" s="14">
        <v>4.3983177600115999</v>
      </c>
      <c r="I16" s="14">
        <v>4.1790239832917297</v>
      </c>
      <c r="J16" s="14">
        <v>4.1517735989001103</v>
      </c>
      <c r="K16" s="52"/>
      <c r="L16" s="14">
        <v>4.9853177600115997</v>
      </c>
      <c r="M16" s="14">
        <v>4.0847896384088997</v>
      </c>
      <c r="N16" s="14">
        <v>4.09926329400085</v>
      </c>
      <c r="O16" s="14">
        <v>4.3268992801176704</v>
      </c>
      <c r="P16" s="14">
        <v>4.1113948289032702</v>
      </c>
      <c r="Q16" s="14">
        <v>4.92159928011767</v>
      </c>
      <c r="R16" s="14">
        <v>5.5209032783179701</v>
      </c>
      <c r="S16" s="14">
        <v>3.9769278955951401</v>
      </c>
      <c r="T16" s="56">
        <v>29.897007500000001</v>
      </c>
      <c r="U16" s="56">
        <v>11.6745</v>
      </c>
      <c r="V16" s="56">
        <v>4.7850000000000001</v>
      </c>
      <c r="W16" s="56">
        <v>0.68742000000000003</v>
      </c>
      <c r="X16" s="56">
        <v>0.77903628000000003</v>
      </c>
      <c r="Y16" s="56">
        <v>0.4</v>
      </c>
      <c r="Z16" s="14">
        <v>4.09674472425296</v>
      </c>
      <c r="AA16" s="55">
        <v>0.78900000000000003</v>
      </c>
      <c r="AB16" s="49">
        <v>4.2271001079906796</v>
      </c>
      <c r="AC16" s="45">
        <v>4.1729811830449197</v>
      </c>
    </row>
    <row r="17" spans="1:29" ht="15.75" x14ac:dyDescent="0.25">
      <c r="A17" s="13">
        <v>41395</v>
      </c>
      <c r="B17" s="14">
        <f>CHOOSE(CONTROL!$C$42, 4.1904, 4.1904) * CHOOSE(CONTROL!$C$21, $C$9, 100%, $E$9)</f>
        <v>4.1904000000000003</v>
      </c>
      <c r="C17" s="14">
        <f>CHOOSE(CONTROL!$C$42, 4.1984, 4.1984) * CHOOSE(CONTROL!$C$21, $C$9, 100%, $E$9)</f>
        <v>4.1984000000000004</v>
      </c>
      <c r="D17" s="14">
        <f>CHOOSE(CONTROL!$C$42, 4.419, 4.419) * CHOOSE(CONTROL!$C$21, $C$9, 100%, $E$9)</f>
        <v>4.4189999999999996</v>
      </c>
      <c r="E17" s="14">
        <f>CHOOSE(CONTROL!$C$42, 4.4505, 4.4505) * CHOOSE(CONTROL!$C$21, $C$9, 100%, $E$9)</f>
        <v>4.4504999999999999</v>
      </c>
      <c r="F17" s="14">
        <f>CHOOSE(CONTROL!$C$42, 4.2099, 4.2099)*CHOOSE(CONTROL!$C$21, $C$9, 100%, $E$9)</f>
        <v>4.2099000000000002</v>
      </c>
      <c r="G17" s="14">
        <f>CHOOSE(CONTROL!$C$42, 4.2266, 4.2266)*CHOOSE(CONTROL!$C$21, $C$9, 100%, $E$9)</f>
        <v>4.2266000000000004</v>
      </c>
      <c r="H17" s="14">
        <f>CHOOSE(CONTROL!$C$42, 4.4391, 4.4391) * CHOOSE(CONTROL!$C$21, $C$9, 100%, $E$9)</f>
        <v>4.4390999999999998</v>
      </c>
      <c r="I17" s="14">
        <f>CHOOSE(CONTROL!$C$42, 4.2257, 4.2257)* CHOOSE(CONTROL!$C$21, $C$9, 100%, $E$9)</f>
        <v>4.2256999999999998</v>
      </c>
      <c r="J17" s="14">
        <f>CHOOSE(CONTROL!$C$42, 4.2029, 4.2029)* CHOOSE(CONTROL!$C$21, $C$9, 100%, $E$9)</f>
        <v>4.2028999999999996</v>
      </c>
      <c r="K17" s="52"/>
      <c r="L17" s="14">
        <f>CHOOSE(CONTROL!$C$42, 5.0261, 5.0261) * CHOOSE(CONTROL!$C$21, $C$9, 100%, $E$9)</f>
        <v>5.0260999999999996</v>
      </c>
      <c r="M17" s="14">
        <f>CHOOSE(CONTROL!$C$42, 4.135, 4.135) * CHOOSE(CONTROL!$C$21, $C$9, 100%, $E$9)</f>
        <v>4.1349999999999998</v>
      </c>
      <c r="N17" s="14">
        <f>CHOOSE(CONTROL!$C$42, 4.1514, 4.1514) * CHOOSE(CONTROL!$C$21, $C$9, 100%, $E$9)</f>
        <v>4.1513999999999998</v>
      </c>
      <c r="O17" s="14">
        <f>CHOOSE(CONTROL!$C$42, 4.367, 4.367) * CHOOSE(CONTROL!$C$21, $C$9, 100%, $E$9)</f>
        <v>4.367</v>
      </c>
      <c r="P17" s="14">
        <f>CHOOSE(CONTROL!$C$42, 4.1572, 4.1572) * CHOOSE(CONTROL!$C$21, $C$9, 100%, $E$9)</f>
        <v>4.1571999999999996</v>
      </c>
      <c r="Q17" s="14">
        <f>CHOOSE(CONTROL!$C$42, 4.9617, 4.9617) * CHOOSE(CONTROL!$C$21, $C$9, 100%, $E$9)</f>
        <v>4.9617000000000004</v>
      </c>
      <c r="R17" s="14">
        <f>CHOOSE(CONTROL!$C$42, 5.5611, 5.5611) * CHOOSE(CONTROL!$C$21, $C$9, 100%, $E$9)</f>
        <v>5.5610999999999997</v>
      </c>
      <c r="S17" s="14">
        <f>CHOOSE(CONTROL!$C$42, 4.0159, 4.0159) * CHOOSE(CONTROL!$C$21, $C$9, 100%, $E$9)</f>
        <v>4.0159000000000002</v>
      </c>
      <c r="T17" s="57">
        <f>((((430000*CHOOSE(CONTROL!$C$42, 0.4694, 0.4694)+(874000-430000)*CHOOSE(CONTROL!$C$42, 0.7185, 0.7185)+400000*CHOOSE(CONTROL!$C$42, 1.14, 1.14)+30000*0.98)*CHOOSE(CONTROL!$C$42, 31, 31))/1000000))+CHOOSE(CONTROL!$C$42, 0.188, 0.188)+CHOOSE(CONTROL!$C$42, 0, 0)</f>
        <v>31.381936</v>
      </c>
      <c r="U17" s="56">
        <f>(1000*CHOOSE(CONTROL!$C$42, 695, 695)*CHOOSE(CONTROL!$C$42, 0.5599, 0.5599)*CHOOSE(CONTROL!$C$42, 31, 31))/1000000</f>
        <v>12.063045499999998</v>
      </c>
      <c r="V17" s="56">
        <f>(1000*CHOOSE(CONTROL!$C$42, 580, 580)*CHOOSE(CONTROL!$C$42, 0.275, 0.275)*CHOOSE(CONTROL!$C$42, 31, 31))/1000000</f>
        <v>4.9444999999999997</v>
      </c>
      <c r="W17" s="56">
        <f>(1000*CHOOSE(CONTROL!$C$42, 0.1146, 0.1146)*CHOOSE(CONTROL!$C$42, 200, 200)*CHOOSE(CONTROL!$C$42, 31, 31))/1000000</f>
        <v>0.71052000000000004</v>
      </c>
      <c r="X17" s="56">
        <f>31*0.1790888*145000/1000000</f>
        <v>0.80500415599999997</v>
      </c>
      <c r="Y17" s="56">
        <f t="shared" ref="Y17:Y27" si="0">(0.16*2500000)/1000000</f>
        <v>0.4</v>
      </c>
      <c r="Z17" s="14">
        <f>CHOOSE(CONTROL!$C$42, 4.1402, 4.1402) * CHOOSE(CONTROL!$C$21, $C$9, 100%, $E$9)</f>
        <v>4.1402000000000001</v>
      </c>
      <c r="AA17" s="55">
        <f>(131500*31*(6/31))/1000000</f>
        <v>0.78900000000000003</v>
      </c>
      <c r="AB17" s="49">
        <f>(B17*194.205+C17*267.466+D17*133.845+E17*213.484+F17*40+G17*25+H17*30+I17*100+J17*300)/(194.205+267.466+133.845+213.484+30+40+25+100+300)</f>
        <v>4.2706836529141103</v>
      </c>
      <c r="AC17" s="45">
        <f t="shared" ref="AC17:AC22" si="1">(M17*240+N17*120+O17*235+P17*100)/(240+120+235+100)</f>
        <v>4.2194719424460434</v>
      </c>
    </row>
    <row r="18" spans="1:29" ht="15.75" x14ac:dyDescent="0.25">
      <c r="A18" s="13">
        <v>41426</v>
      </c>
      <c r="B18" s="14">
        <f>CHOOSE(CONTROL!$C$42, 4.2383, 4.2383) * CHOOSE(CONTROL!$C$21, $C$9, 100%, $E$9)</f>
        <v>4.2382999999999997</v>
      </c>
      <c r="C18" s="14">
        <f>CHOOSE(CONTROL!$C$42, 4.2463, 4.2463) * CHOOSE(CONTROL!$C$21, $C$9, 100%, $E$9)</f>
        <v>4.2462999999999997</v>
      </c>
      <c r="D18" s="14">
        <f>CHOOSE(CONTROL!$C$42, 4.481, 4.481) * CHOOSE(CONTROL!$C$21, $C$9, 100%, $E$9)</f>
        <v>4.4809999999999999</v>
      </c>
      <c r="E18" s="14">
        <f>CHOOSE(CONTROL!$C$42, 4.5125, 4.5125) * CHOOSE(CONTROL!$C$21, $C$9, 100%, $E$9)</f>
        <v>4.5125000000000002</v>
      </c>
      <c r="F18" s="14">
        <f>CHOOSE(CONTROL!$C$42, 4.259, 4.259)*CHOOSE(CONTROL!$C$21, $C$9, 100%, $E$9)</f>
        <v>4.2590000000000003</v>
      </c>
      <c r="G18" s="14">
        <f>CHOOSE(CONTROL!$C$42, 4.2758, 4.2758)*CHOOSE(CONTROL!$C$21, $C$9, 100%, $E$9)</f>
        <v>4.2758000000000003</v>
      </c>
      <c r="H18" s="14">
        <f>CHOOSE(CONTROL!$C$42, 4.5011, 4.5011) * CHOOSE(CONTROL!$C$21, $C$9, 100%, $E$9)</f>
        <v>4.5011000000000001</v>
      </c>
      <c r="I18" s="14">
        <f>CHOOSE(CONTROL!$C$42, 4.2753, 4.2753)* CHOOSE(CONTROL!$C$21, $C$9, 100%, $E$9)</f>
        <v>4.2752999999999997</v>
      </c>
      <c r="J18" s="14">
        <f>CHOOSE(CONTROL!$C$42, 4.252, 4.252)* CHOOSE(CONTROL!$C$21, $C$9, 100%, $E$9)</f>
        <v>4.2519999999999998</v>
      </c>
      <c r="K18" s="52"/>
      <c r="L18" s="14">
        <f>CHOOSE(CONTROL!$C$42, 5.0881, 5.0881) * CHOOSE(CONTROL!$C$21, $C$9, 100%, $E$9)</f>
        <v>5.0880999999999998</v>
      </c>
      <c r="M18" s="14">
        <f>CHOOSE(CONTROL!$C$42, 4.1832, 4.1832) * CHOOSE(CONTROL!$C$21, $C$9, 100%, $E$9)</f>
        <v>4.1832000000000003</v>
      </c>
      <c r="N18" s="14">
        <f>CHOOSE(CONTROL!$C$42, 4.1998, 4.1998) * CHOOSE(CONTROL!$C$21, $C$9, 100%, $E$9)</f>
        <v>4.1997999999999998</v>
      </c>
      <c r="O18" s="14">
        <f>CHOOSE(CONTROL!$C$42, 4.4279, 4.4279) * CHOOSE(CONTROL!$C$21, $C$9, 100%, $E$9)</f>
        <v>4.4279000000000002</v>
      </c>
      <c r="P18" s="14">
        <f>CHOOSE(CONTROL!$C$42, 4.2059, 4.2059) * CHOOSE(CONTROL!$C$21, $C$9, 100%, $E$9)</f>
        <v>4.2058999999999997</v>
      </c>
      <c r="Q18" s="14">
        <f>CHOOSE(CONTROL!$C$42, 5.0226, 5.0226) * CHOOSE(CONTROL!$C$21, $C$9, 100%, $E$9)</f>
        <v>5.0225999999999997</v>
      </c>
      <c r="R18" s="14">
        <f>CHOOSE(CONTROL!$C$42, 5.6221, 5.6221) * CHOOSE(CONTROL!$C$21, $C$9, 100%, $E$9)</f>
        <v>5.6220999999999997</v>
      </c>
      <c r="S18" s="14">
        <f>CHOOSE(CONTROL!$C$42, 4.0619, 4.0619) * CHOOSE(CONTROL!$C$21, $C$9, 100%, $E$9)</f>
        <v>4.0618999999999996</v>
      </c>
      <c r="T18" s="57">
        <f>((((430000*CHOOSE(CONTROL!$C$42, 0.4694, 0.4694)+(874000-430000)*CHOOSE(CONTROL!$C$42, 0.7185, 0.7185)+400000*CHOOSE(CONTROL!$C$42, 1.14, 1.14)+30000*0.98)*CHOOSE(CONTROL!$C$42, 30, 30))/1000000))+CHOOSE(CONTROL!$C$42, 0.1616, 0.1616)+CHOOSE(CONTROL!$C$42, 0.5074, 0.5074)</f>
        <v>30.856680000000001</v>
      </c>
      <c r="U18" s="56">
        <f>(1000*CHOOSE(CONTROL!$C$42, 695, 695)*CHOOSE(CONTROL!$C$42, 0.5599, 0.5599)*CHOOSE(CONTROL!$C$42, 30, 30))/1000000</f>
        <v>11.673914999999997</v>
      </c>
      <c r="V18" s="56">
        <f>(1000*CHOOSE(CONTROL!$C$42, 580, 580)*CHOOSE(CONTROL!$C$42, 0.275, 0.275)*CHOOSE(CONTROL!$C$42, 30, 30))/1000000</f>
        <v>4.7850000000000001</v>
      </c>
      <c r="W18" s="56">
        <f>(1000*CHOOSE(CONTROL!$C$42, 0.1146, 0.1146)*CHOOSE(CONTROL!$C$42, 200, 200)*CHOOSE(CONTROL!$C$42, 30, 30))/1000000</f>
        <v>0.68759999999999999</v>
      </c>
      <c r="X18" s="56">
        <f>30*0.1790888*145000/1000000</f>
        <v>0.77903627999999991</v>
      </c>
      <c r="Y18" s="56">
        <f t="shared" si="0"/>
        <v>0.4</v>
      </c>
      <c r="Z18" s="14">
        <f>CHOOSE(CONTROL!$C$42, 4.1843, 4.1843) * CHOOSE(CONTROL!$C$21, $C$9, 100%, $E$9)</f>
        <v>4.1843000000000004</v>
      </c>
      <c r="AA18" s="55">
        <f>(131500*30*(6/30))/1000000</f>
        <v>0.78900000000000003</v>
      </c>
      <c r="AB18" s="49">
        <f>(B18*194.205+C18*267.466+D18*133.845+E18*213.484+F18*40+G18*25+H18*30+I18*100+J18*300)/(194.205+267.466+133.845+213.484+30+40+25+100+300)</f>
        <v>4.3231318422546021</v>
      </c>
      <c r="AC18" s="45">
        <f t="shared" si="1"/>
        <v>4.2720726618705038</v>
      </c>
    </row>
    <row r="19" spans="1:29" ht="15.75" x14ac:dyDescent="0.25">
      <c r="A19" s="13">
        <v>41456</v>
      </c>
      <c r="B19" s="14">
        <f>CHOOSE(CONTROL!$C$42, 4.2893, 4.2893) * CHOOSE(CONTROL!$C$21, $C$9, 100%, $E$9)</f>
        <v>4.2892999999999999</v>
      </c>
      <c r="C19" s="14">
        <f>CHOOSE(CONTROL!$C$42, 4.2973, 4.2973) * CHOOSE(CONTROL!$C$21, $C$9, 100%, $E$9)</f>
        <v>4.2972999999999999</v>
      </c>
      <c r="D19" s="14">
        <f>CHOOSE(CONTROL!$C$42, 4.6051, 4.6051) * CHOOSE(CONTROL!$C$21, $C$9, 100%, $E$9)</f>
        <v>4.6051000000000002</v>
      </c>
      <c r="E19" s="14">
        <f>CHOOSE(CONTROL!$C$42, 4.6366, 4.6366) * CHOOSE(CONTROL!$C$21, $C$9, 100%, $E$9)</f>
        <v>4.6365999999999996</v>
      </c>
      <c r="F19" s="14">
        <f>CHOOSE(CONTROL!$C$42, 4.3137, 4.3137)*CHOOSE(CONTROL!$C$21, $C$9, 100%, $E$9)</f>
        <v>4.3136999999999999</v>
      </c>
      <c r="G19" s="14">
        <f>CHOOSE(CONTROL!$C$42, 4.3308, 4.3308)*CHOOSE(CONTROL!$C$21, $C$9, 100%, $E$9)</f>
        <v>4.3308</v>
      </c>
      <c r="H19" s="14">
        <f>CHOOSE(CONTROL!$C$42, 4.6252, 4.6252) * CHOOSE(CONTROL!$C$21, $C$9, 100%, $E$9)</f>
        <v>4.6252000000000004</v>
      </c>
      <c r="I19" s="14">
        <f>CHOOSE(CONTROL!$C$42, 4.3166, 4.3166)* CHOOSE(CONTROL!$C$21, $C$9, 100%, $E$9)</f>
        <v>4.3166000000000002</v>
      </c>
      <c r="J19" s="14">
        <f>CHOOSE(CONTROL!$C$42, 4.3067, 4.3067)* CHOOSE(CONTROL!$C$21, $C$9, 100%, $E$9)</f>
        <v>4.3067000000000002</v>
      </c>
      <c r="K19" s="52"/>
      <c r="L19" s="14">
        <f>CHOOSE(CONTROL!$C$42, 5.2122, 5.2122) * CHOOSE(CONTROL!$C$21, $C$9, 100%, $E$9)</f>
        <v>5.2122000000000002</v>
      </c>
      <c r="M19" s="14">
        <f>CHOOSE(CONTROL!$C$42, 4.237, 4.237) * CHOOSE(CONTROL!$C$21, $C$9, 100%, $E$9)</f>
        <v>4.2370000000000001</v>
      </c>
      <c r="N19" s="14">
        <f>CHOOSE(CONTROL!$C$42, 4.2537, 4.2537) * CHOOSE(CONTROL!$C$21, $C$9, 100%, $E$9)</f>
        <v>4.2537000000000003</v>
      </c>
      <c r="O19" s="14">
        <f>CHOOSE(CONTROL!$C$42, 4.5497, 4.5497) * CHOOSE(CONTROL!$C$21, $C$9, 100%, $E$9)</f>
        <v>4.5496999999999996</v>
      </c>
      <c r="P19" s="14">
        <f>CHOOSE(CONTROL!$C$42, 4.2465, 4.2465) * CHOOSE(CONTROL!$C$21, $C$9, 100%, $E$9)</f>
        <v>4.2465000000000002</v>
      </c>
      <c r="Q19" s="14">
        <f>CHOOSE(CONTROL!$C$42, 5.1444, 5.1444) * CHOOSE(CONTROL!$C$21, $C$9, 100%, $E$9)</f>
        <v>5.1444000000000001</v>
      </c>
      <c r="R19" s="14">
        <f>CHOOSE(CONTROL!$C$42, 5.7443, 5.7443) * CHOOSE(CONTROL!$C$21, $C$9, 100%, $E$9)</f>
        <v>5.7443</v>
      </c>
      <c r="S19" s="14">
        <f>CHOOSE(CONTROL!$C$42, 4.1109, 4.1109) * CHOOSE(CONTROL!$C$21, $C$9, 100%, $E$9)</f>
        <v>4.1109</v>
      </c>
      <c r="T19" s="57">
        <f>((((430000*CHOOSE(CONTROL!$C$42, 0.4694, 0.4694)+(874000-430000)*CHOOSE(CONTROL!$C$42, 0.7185, 0.7185)+400000*CHOOSE(CONTROL!$C$42, 1.14, 1.14)+30000*0.98)*CHOOSE(CONTROL!$C$42, 31, 31))/1000000))+CHOOSE(CONTROL!$C$42, 0.1555, 0.1555)+CHOOSE(CONTROL!$C$42, 0.5217, 0.5217)</f>
        <v>31.871136</v>
      </c>
      <c r="U19" s="56">
        <f>(1000*CHOOSE(CONTROL!$C$42, 695, 695)*CHOOSE(CONTROL!$C$42, 0.5599, 0.5599)*CHOOSE(CONTROL!$C$42, 31, 31))/1000000</f>
        <v>12.063045499999998</v>
      </c>
      <c r="V19" s="56">
        <f>(1000*CHOOSE(CONTROL!$C$42, 580, 580)*CHOOSE(CONTROL!$C$42, 0.275, 0.275)*CHOOSE(CONTROL!$C$42, 31, 31))/1000000</f>
        <v>4.9444999999999997</v>
      </c>
      <c r="W19" s="56">
        <f>(1000*CHOOSE(CONTROL!$C$42, 0.1146, 0.1146)*CHOOSE(CONTROL!$C$42, 200, 200)*CHOOSE(CONTROL!$C$42, 31, 31))/1000000</f>
        <v>0.71052000000000004</v>
      </c>
      <c r="X19" s="56">
        <f>31*0.1790888*145000/1000000</f>
        <v>0.80500415599999997</v>
      </c>
      <c r="Y19" s="56">
        <f t="shared" si="0"/>
        <v>0.4</v>
      </c>
      <c r="Z19" s="14">
        <f>CHOOSE(CONTROL!$C$42, 4.2344, 4.2344) * CHOOSE(CONTROL!$C$21, $C$9, 100%, $E$9)</f>
        <v>4.2343999999999999</v>
      </c>
      <c r="AA19" s="55">
        <f>(131500*31*(6/31))/1000000</f>
        <v>0.78900000000000003</v>
      </c>
      <c r="AB19" s="49">
        <f>(B19*194.205+C19*267.466+D19*133.845+E19*213.484+F19*40+G19*25+H19*30+I19*100+J19*300)/(194.205+267.466+133.845+213.484+30+40+25+100+300)</f>
        <v>4.3955818038343555</v>
      </c>
      <c r="AC19" s="45">
        <f t="shared" si="1"/>
        <v>4.3469834532374101</v>
      </c>
    </row>
    <row r="20" spans="1:29" ht="15.75" x14ac:dyDescent="0.25">
      <c r="A20" s="13">
        <v>41487</v>
      </c>
      <c r="B20" s="14">
        <f>CHOOSE(CONTROL!$C$42, 4.3101, 4.3101) * CHOOSE(CONTROL!$C$21, $C$9, 100%, $E$9)</f>
        <v>4.3101000000000003</v>
      </c>
      <c r="C20" s="14">
        <f>CHOOSE(CONTROL!$C$42, 4.3181, 4.3181) * CHOOSE(CONTROL!$C$21, $C$9, 100%, $E$9)</f>
        <v>4.3181000000000003</v>
      </c>
      <c r="D20" s="14">
        <f>CHOOSE(CONTROL!$C$42, 4.656, 4.656) * CHOOSE(CONTROL!$C$21, $C$9, 100%, $E$9)</f>
        <v>4.6559999999999997</v>
      </c>
      <c r="E20" s="14">
        <f>CHOOSE(CONTROL!$C$42, 4.6874, 4.6874) * CHOOSE(CONTROL!$C$21, $C$9, 100%, $E$9)</f>
        <v>4.6874000000000002</v>
      </c>
      <c r="F20" s="14">
        <f>CHOOSE(CONTROL!$C$42, 4.3348, 4.3348)*CHOOSE(CONTROL!$C$21, $C$9, 100%, $E$9)</f>
        <v>4.3348000000000004</v>
      </c>
      <c r="G20" s="14">
        <f>CHOOSE(CONTROL!$C$42, 4.3519, 4.3519)*CHOOSE(CONTROL!$C$21, $C$9, 100%, $E$9)</f>
        <v>4.3518999999999997</v>
      </c>
      <c r="H20" s="14">
        <f>CHOOSE(CONTROL!$C$42, 4.6761, 4.6761) * CHOOSE(CONTROL!$C$21, $C$9, 100%, $E$9)</f>
        <v>4.6760999999999999</v>
      </c>
      <c r="I20" s="14">
        <f>CHOOSE(CONTROL!$C$42, 4.3375, 4.3375)* CHOOSE(CONTROL!$C$21, $C$9, 100%, $E$9)</f>
        <v>4.3375000000000004</v>
      </c>
      <c r="J20" s="14">
        <f>CHOOSE(CONTROL!$C$42, 4.3278, 4.3278)* CHOOSE(CONTROL!$C$21, $C$9, 100%, $E$9)</f>
        <v>4.3277999999999999</v>
      </c>
      <c r="K20" s="52"/>
      <c r="L20" s="14">
        <f>CHOOSE(CONTROL!$C$42, 5.2631, 5.2631) * CHOOSE(CONTROL!$C$21, $C$9, 100%, $E$9)</f>
        <v>5.2630999999999997</v>
      </c>
      <c r="M20" s="14">
        <f>CHOOSE(CONTROL!$C$42, 4.2577, 4.2577) * CHOOSE(CONTROL!$C$21, $C$9, 100%, $E$9)</f>
        <v>4.2576999999999998</v>
      </c>
      <c r="N20" s="14">
        <f>CHOOSE(CONTROL!$C$42, 4.2745, 4.2745) * CHOOSE(CONTROL!$C$21, $C$9, 100%, $E$9)</f>
        <v>4.2744999999999997</v>
      </c>
      <c r="O20" s="14">
        <f>CHOOSE(CONTROL!$C$42, 4.5997, 4.5997) * CHOOSE(CONTROL!$C$21, $C$9, 100%, $E$9)</f>
        <v>4.5997000000000003</v>
      </c>
      <c r="P20" s="14">
        <f>CHOOSE(CONTROL!$C$42, 4.267, 4.267) * CHOOSE(CONTROL!$C$21, $C$9, 100%, $E$9)</f>
        <v>4.2670000000000003</v>
      </c>
      <c r="Q20" s="14">
        <f>CHOOSE(CONTROL!$C$42, 5.1944, 5.1944) * CHOOSE(CONTROL!$C$21, $C$9, 100%, $E$9)</f>
        <v>5.1943999999999999</v>
      </c>
      <c r="R20" s="14">
        <f>CHOOSE(CONTROL!$C$42, 5.7943, 5.7943) * CHOOSE(CONTROL!$C$21, $C$9, 100%, $E$9)</f>
        <v>5.7942999999999998</v>
      </c>
      <c r="S20" s="14">
        <f>CHOOSE(CONTROL!$C$42, 4.1309, 4.1309) * CHOOSE(CONTROL!$C$21, $C$9, 100%, $E$9)</f>
        <v>4.1308999999999996</v>
      </c>
      <c r="T20" s="57">
        <f>((((430000*CHOOSE(CONTROL!$C$42, 0.4694, 0.4694)+(874000-430000)*CHOOSE(CONTROL!$C$42, 0.7185, 0.7185)+400000*CHOOSE(CONTROL!$C$42, 1.14, 1.14)+30000*0.98)*CHOOSE(CONTROL!$C$42, 31, 31))/1000000))+CHOOSE(CONTROL!$C$42, 0.1911, 0.1911)+CHOOSE(CONTROL!$C$42, 0.5131, 0.5131)</f>
        <v>31.898136000000001</v>
      </c>
      <c r="U20" s="56">
        <f>(1000*CHOOSE(CONTROL!$C$42, 695, 695)*CHOOSE(CONTROL!$C$42, 0.5599, 0.5599)*CHOOSE(CONTROL!$C$42, 31, 31))/1000000</f>
        <v>12.063045499999998</v>
      </c>
      <c r="V20" s="56">
        <f>(1000*CHOOSE(CONTROL!$C$42, 580, 580)*CHOOSE(CONTROL!$C$42, 0.275, 0.275)*CHOOSE(CONTROL!$C$42, 31, 31))/1000000</f>
        <v>4.9444999999999997</v>
      </c>
      <c r="W20" s="56">
        <f>(1000*CHOOSE(CONTROL!$C$42, 0.1146, 0.1146)*CHOOSE(CONTROL!$C$42, 200, 200)*CHOOSE(CONTROL!$C$42, 31, 31))/1000000</f>
        <v>0.71052000000000004</v>
      </c>
      <c r="X20" s="56">
        <f>31*0.1790888*145000/1000000</f>
        <v>0.80500415599999997</v>
      </c>
      <c r="Y20" s="56">
        <f t="shared" si="0"/>
        <v>0.4</v>
      </c>
      <c r="Z20" s="14">
        <f>CHOOSE(CONTROL!$C$42, 4.2549, 4.2549) * CHOOSE(CONTROL!$C$21, $C$9, 100%, $E$9)</f>
        <v>4.2549000000000001</v>
      </c>
      <c r="AA20" s="55">
        <f>(131500*31*(6/31))/1000000</f>
        <v>0.78900000000000003</v>
      </c>
      <c r="AB20" s="49">
        <f>(B20*194.205+C20*267.466+D20*133.845+E20*213.484+F20*40+G20*25+H20*30+I20*100+J20*300)/(194.205+267.466+133.845+213.484+30+40+25+100+300)</f>
        <v>4.4251668916411049</v>
      </c>
      <c r="AC20" s="45">
        <f t="shared" si="1"/>
        <v>4.377579136690648</v>
      </c>
    </row>
    <row r="21" spans="1:29" ht="15.75" x14ac:dyDescent="0.25">
      <c r="A21" s="13">
        <v>41518</v>
      </c>
      <c r="B21" s="14">
        <f>CHOOSE(CONTROL!$C$42, 4.3005, 4.3005) * CHOOSE(CONTROL!$C$21, $C$9, 100%, $E$9)</f>
        <v>4.3005000000000004</v>
      </c>
      <c r="C21" s="14">
        <f>CHOOSE(CONTROL!$C$42, 4.3085, 4.3085) * CHOOSE(CONTROL!$C$21, $C$9, 100%, $E$9)</f>
        <v>4.3085000000000004</v>
      </c>
      <c r="D21" s="14">
        <f>CHOOSE(CONTROL!$C$42, 4.5813, 4.5813) * CHOOSE(CONTROL!$C$21, $C$9, 100%, $E$9)</f>
        <v>4.5812999999999997</v>
      </c>
      <c r="E21" s="14">
        <f>CHOOSE(CONTROL!$C$42, 4.6128, 4.6128) * CHOOSE(CONTROL!$C$21, $C$9, 100%, $E$9)</f>
        <v>4.6128</v>
      </c>
      <c r="F21" s="14">
        <f>CHOOSE(CONTROL!$C$42, 4.3199, 4.3199)*CHOOSE(CONTROL!$C$21, $C$9, 100%, $E$9)</f>
        <v>4.3198999999999996</v>
      </c>
      <c r="G21" s="14">
        <f>CHOOSE(CONTROL!$C$42, 4.337, 4.337)*CHOOSE(CONTROL!$C$21, $C$9, 100%, $E$9)</f>
        <v>4.3369999999999997</v>
      </c>
      <c r="H21" s="14">
        <f>CHOOSE(CONTROL!$C$42, 4.6014, 4.6014) * CHOOSE(CONTROL!$C$21, $C$9, 100%, $E$9)</f>
        <v>4.6013999999999999</v>
      </c>
      <c r="I21" s="14">
        <f>CHOOSE(CONTROL!$C$42, 4.3279, 4.3279)* CHOOSE(CONTROL!$C$21, $C$9, 100%, $E$9)</f>
        <v>4.3278999999999996</v>
      </c>
      <c r="J21" s="14">
        <f>CHOOSE(CONTROL!$C$42, 4.3129, 4.3129)* CHOOSE(CONTROL!$C$21, $C$9, 100%, $E$9)</f>
        <v>4.3129</v>
      </c>
      <c r="K21" s="52"/>
      <c r="L21" s="14">
        <f>CHOOSE(CONTROL!$C$42, 5.1884, 5.1884) * CHOOSE(CONTROL!$C$21, $C$9, 100%, $E$9)</f>
        <v>5.1883999999999997</v>
      </c>
      <c r="M21" s="14">
        <f>CHOOSE(CONTROL!$C$42, 4.243, 4.243) * CHOOSE(CONTROL!$C$21, $C$9, 100%, $E$9)</f>
        <v>4.2430000000000003</v>
      </c>
      <c r="N21" s="14">
        <f>CHOOSE(CONTROL!$C$42, 4.2598, 4.2598) * CHOOSE(CONTROL!$C$21, $C$9, 100%, $E$9)</f>
        <v>4.2598000000000003</v>
      </c>
      <c r="O21" s="14">
        <f>CHOOSE(CONTROL!$C$42, 4.5263, 4.5263) * CHOOSE(CONTROL!$C$21, $C$9, 100%, $E$9)</f>
        <v>4.5263</v>
      </c>
      <c r="P21" s="14">
        <f>CHOOSE(CONTROL!$C$42, 4.2576, 4.2576) * CHOOSE(CONTROL!$C$21, $C$9, 100%, $E$9)</f>
        <v>4.2576000000000001</v>
      </c>
      <c r="Q21" s="14">
        <f>CHOOSE(CONTROL!$C$42, 5.121, 5.121) * CHOOSE(CONTROL!$C$21, $C$9, 100%, $E$9)</f>
        <v>5.1210000000000004</v>
      </c>
      <c r="R21" s="14">
        <f>CHOOSE(CONTROL!$C$42, 5.7208, 5.7208) * CHOOSE(CONTROL!$C$21, $C$9, 100%, $E$9)</f>
        <v>5.7207999999999997</v>
      </c>
      <c r="S21" s="14">
        <f>CHOOSE(CONTROL!$C$42, 4.1217, 4.1217) * CHOOSE(CONTROL!$C$21, $C$9, 100%, $E$9)</f>
        <v>4.1216999999999997</v>
      </c>
      <c r="T21" s="57">
        <f>((((430000*CHOOSE(CONTROL!$C$42, 0.4694, 0.4694)+(874000-430000)*CHOOSE(CONTROL!$C$42, 0.7185, 0.7185)+400000*CHOOSE(CONTROL!$C$42, 1.14, 1.14)+30000*0.98)*CHOOSE(CONTROL!$C$42, 30, 30))/1000000))+CHOOSE(CONTROL!$C$42, 0.1717, 0.1717)+CHOOSE(CONTROL!$C$42, 0.4923, 0.4923)</f>
        <v>30.851680000000002</v>
      </c>
      <c r="U21" s="56">
        <f>(1000*CHOOSE(CONTROL!$C$42, 695, 695)*CHOOSE(CONTROL!$C$42, 0.5599, 0.5599)*CHOOSE(CONTROL!$C$42, 30, 30))/1000000</f>
        <v>11.673914999999997</v>
      </c>
      <c r="V21" s="56">
        <f>(1000*CHOOSE(CONTROL!$C$42, 580, 580)*CHOOSE(CONTROL!$C$42, 0.275, 0.275)*CHOOSE(CONTROL!$C$42, 30, 30))/1000000</f>
        <v>4.7850000000000001</v>
      </c>
      <c r="W21" s="56">
        <f>(1000*CHOOSE(CONTROL!$C$42, 0.1146, 0.1146)*CHOOSE(CONTROL!$C$42, 200, 200)*CHOOSE(CONTROL!$C$42, 30, 30))/1000000</f>
        <v>0.68759999999999999</v>
      </c>
      <c r="X21" s="56">
        <f>30*0.1790888*145000/1000000</f>
        <v>0.77903627999999991</v>
      </c>
      <c r="Y21" s="56">
        <f t="shared" si="0"/>
        <v>0.4</v>
      </c>
      <c r="Z21" s="14">
        <f>CHOOSE(CONTROL!$C$42, 4.2454, 4.2454) * CHOOSE(CONTROL!$C$21, $C$9, 100%, $E$9)</f>
        <v>4.2454000000000001</v>
      </c>
      <c r="AA21" s="55">
        <f>(131500*30*(6/30))/1000000</f>
        <v>0.78900000000000003</v>
      </c>
      <c r="AB21" s="49">
        <f>(B21*194.205+C21*267.466+D21*133.845+E21*213.484+F21*40+G21*25+H21*30+I21*100+J21*300)/(194.205+267.466+133.845+213.484+30+40+25+100+300)</f>
        <v>4.3952622371165644</v>
      </c>
      <c r="AC21" s="45">
        <f t="shared" si="1"/>
        <v>4.3437935251798558</v>
      </c>
    </row>
    <row r="22" spans="1:29" ht="15.75" x14ac:dyDescent="0.25">
      <c r="A22" s="13">
        <v>41548</v>
      </c>
      <c r="B22" s="14">
        <f>CHOOSE(CONTROL!$C$42, 4.3112, 4.3112) * CHOOSE(CONTROL!$C$21, $C$9, 100%, $E$9)</f>
        <v>4.3112000000000004</v>
      </c>
      <c r="C22" s="14">
        <f>CHOOSE(CONTROL!$C$42, 4.3165, 4.3165) * CHOOSE(CONTROL!$C$21, $C$9, 100%, $E$9)</f>
        <v>4.3164999999999996</v>
      </c>
      <c r="D22" s="14">
        <f>CHOOSE(CONTROL!$C$42, 4.5522, 4.5522) * CHOOSE(CONTROL!$C$21, $C$9, 100%, $E$9)</f>
        <v>4.5522</v>
      </c>
      <c r="E22" s="14">
        <f>CHOOSE(CONTROL!$C$42, 4.5814, 4.5814) * CHOOSE(CONTROL!$C$21, $C$9, 100%, $E$9)</f>
        <v>4.5814000000000004</v>
      </c>
      <c r="F22" s="14">
        <f>CHOOSE(CONTROL!$C$42, 4.3274, 4.3274)*CHOOSE(CONTROL!$C$21, $C$9, 100%, $E$9)</f>
        <v>4.3273999999999999</v>
      </c>
      <c r="G22" s="14">
        <f>CHOOSE(CONTROL!$C$42, 4.3443, 4.3443)*CHOOSE(CONTROL!$C$21, $C$9, 100%, $E$9)</f>
        <v>4.3442999999999996</v>
      </c>
      <c r="H22" s="14">
        <f>CHOOSE(CONTROL!$C$42, 4.5718, 4.5718) * CHOOSE(CONTROL!$C$21, $C$9, 100%, $E$9)</f>
        <v>4.5717999999999996</v>
      </c>
      <c r="I22" s="14">
        <f>CHOOSE(CONTROL!$C$42, 4.3404, 4.3404)* CHOOSE(CONTROL!$C$21, $C$9, 100%, $E$9)</f>
        <v>4.3403999999999998</v>
      </c>
      <c r="J22" s="14">
        <f>CHOOSE(CONTROL!$C$42, 4.3204, 4.3204)* CHOOSE(CONTROL!$C$21, $C$9, 100%, $E$9)</f>
        <v>4.3204000000000002</v>
      </c>
      <c r="K22" s="52"/>
      <c r="L22" s="14">
        <f>CHOOSE(CONTROL!$C$42, 5.1588, 5.1588) * CHOOSE(CONTROL!$C$21, $C$9, 100%, $E$9)</f>
        <v>5.1588000000000003</v>
      </c>
      <c r="M22" s="14">
        <f>CHOOSE(CONTROL!$C$42, 4.2504, 4.2504) * CHOOSE(CONTROL!$C$21, $C$9, 100%, $E$9)</f>
        <v>4.2504</v>
      </c>
      <c r="N22" s="14">
        <f>CHOOSE(CONTROL!$C$42, 4.2669, 4.2669) * CHOOSE(CONTROL!$C$21, $C$9, 100%, $E$9)</f>
        <v>4.2668999999999997</v>
      </c>
      <c r="O22" s="14">
        <f>CHOOSE(CONTROL!$C$42, 4.4973, 4.4973) * CHOOSE(CONTROL!$C$21, $C$9, 100%, $E$9)</f>
        <v>4.4973000000000001</v>
      </c>
      <c r="P22" s="14">
        <f>CHOOSE(CONTROL!$C$42, 4.2699, 4.2699) * CHOOSE(CONTROL!$C$21, $C$9, 100%, $E$9)</f>
        <v>4.2698999999999998</v>
      </c>
      <c r="Q22" s="14">
        <f>CHOOSE(CONTROL!$C$42, 5.092, 5.092) * CHOOSE(CONTROL!$C$21, $C$9, 100%, $E$9)</f>
        <v>5.0919999999999996</v>
      </c>
      <c r="R22" s="14">
        <f>CHOOSE(CONTROL!$C$42, 5.6917, 5.6917) * CHOOSE(CONTROL!$C$21, $C$9, 100%, $E$9)</f>
        <v>5.6917</v>
      </c>
      <c r="S22" s="14">
        <f>CHOOSE(CONTROL!$C$42, 4.1337, 4.1337) * CHOOSE(CONTROL!$C$21, $C$9, 100%, $E$9)</f>
        <v>4.1337000000000002</v>
      </c>
      <c r="T2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2" s="56">
        <f>(1000*CHOOSE(CONTROL!$C$42, 695, 695)*CHOOSE(CONTROL!$C$42, 0.5599, 0.5599)*CHOOSE(CONTROL!$C$42, 31, 31))/1000000</f>
        <v>12.063045499999998</v>
      </c>
      <c r="V22" s="56">
        <f>(1000*CHOOSE(CONTROL!$C$42, 580, 580)*CHOOSE(CONTROL!$C$42, 0.275, 0.275)*CHOOSE(CONTROL!$C$42, 31, 31))/1000000</f>
        <v>4.9444999999999997</v>
      </c>
      <c r="W22" s="56">
        <f>(1000*CHOOSE(CONTROL!$C$42, 0.1146, 0.1146)*CHOOSE(CONTROL!$C$42, 200, 200)*CHOOSE(CONTROL!$C$42, 31, 31))/1000000</f>
        <v>0.71052000000000004</v>
      </c>
      <c r="X22" s="56">
        <f>31*0.1790888*145000/1000000</f>
        <v>0.80500415599999997</v>
      </c>
      <c r="Y22" s="56">
        <f t="shared" si="0"/>
        <v>0.4</v>
      </c>
      <c r="Z22" s="14">
        <f>CHOOSE(CONTROL!$C$42, 4.2577, 4.2577) * CHOOSE(CONTROL!$C$21, $C$9, 100%, $E$9)</f>
        <v>4.2576999999999998</v>
      </c>
      <c r="AA22" s="55">
        <f>(131500*31*(6/31))/1000000</f>
        <v>0.78900000000000003</v>
      </c>
      <c r="AB22" s="49">
        <f>(B22*131.881+C22*277.167+D22*79.08+E22*285.872+F22*40+G22*25+H22*0+I22*100+J22*300)/(131.881+277.167+79.08+285.872+0+40+25+100+300)</f>
        <v>4.3958855363196125</v>
      </c>
      <c r="AC22" s="45">
        <f t="shared" si="1"/>
        <v>4.3395388489208635</v>
      </c>
    </row>
    <row r="23" spans="1:29" ht="15.75" x14ac:dyDescent="0.25">
      <c r="A23" s="13">
        <v>41579</v>
      </c>
      <c r="B23" s="14">
        <f>CHOOSE(CONTROL!$C$42, 4.3847, 4.3847) * CHOOSE(CONTROL!$C$21, $C$9, 100%, $E$9)</f>
        <v>4.3846999999999996</v>
      </c>
      <c r="C23" s="14">
        <f>CHOOSE(CONTROL!$C$42, 4.3898, 4.3898) * CHOOSE(CONTROL!$C$21, $C$9, 100%, $E$9)</f>
        <v>4.3898000000000001</v>
      </c>
      <c r="D23" s="14">
        <f>CHOOSE(CONTROL!$C$42, 4.4832, 4.4832) * CHOOSE(CONTROL!$C$21, $C$9, 100%, $E$9)</f>
        <v>4.4832000000000001</v>
      </c>
      <c r="E23" s="14">
        <f>CHOOSE(CONTROL!$C$42, 4.5173, 4.5173) * CHOOSE(CONTROL!$C$21, $C$9, 100%, $E$9)</f>
        <v>4.5172999999999996</v>
      </c>
      <c r="F23" s="14">
        <f>CHOOSE(CONTROL!$C$42, 4.4089, 4.4089)*CHOOSE(CONTROL!$C$21, $C$9, 100%, $E$9)</f>
        <v>4.4089</v>
      </c>
      <c r="G23" s="14">
        <f>CHOOSE(CONTROL!$C$42, 4.426, 4.426)*CHOOSE(CONTROL!$C$21, $C$9, 100%, $E$9)</f>
        <v>4.4260000000000002</v>
      </c>
      <c r="H23" s="14">
        <f>CHOOSE(CONTROL!$C$42, 4.5065, 4.5065) * CHOOSE(CONTROL!$C$21, $C$9, 100%, $E$9)</f>
        <v>4.5065</v>
      </c>
      <c r="I23" s="14">
        <f>CHOOSE(CONTROL!$C$42, 4.4243, 4.4243)* CHOOSE(CONTROL!$C$21, $C$9, 100%, $E$9)</f>
        <v>4.4242999999999997</v>
      </c>
      <c r="J23" s="14">
        <f>CHOOSE(CONTROL!$C$42, 4.4019, 4.4019)* CHOOSE(CONTROL!$C$21, $C$9, 100%, $E$9)</f>
        <v>4.4019000000000004</v>
      </c>
      <c r="K23" s="52"/>
      <c r="L23" s="14">
        <f>CHOOSE(CONTROL!$C$42, 5.0935, 5.0935) * CHOOSE(CONTROL!$C$21, $C$9, 100%, $E$9)</f>
        <v>5.0934999999999997</v>
      </c>
      <c r="M23" s="14">
        <f>CHOOSE(CONTROL!$C$42, 4.3304, 4.3304) * CHOOSE(CONTROL!$C$21, $C$9, 100%, $E$9)</f>
        <v>4.3304</v>
      </c>
      <c r="N23" s="14">
        <f>CHOOSE(CONTROL!$C$42, 4.3472, 4.3472) * CHOOSE(CONTROL!$C$21, $C$9, 100%, $E$9)</f>
        <v>4.3472</v>
      </c>
      <c r="O23" s="14">
        <f>CHOOSE(CONTROL!$C$42, 4.4332, 4.4332) * CHOOSE(CONTROL!$C$21, $C$9, 100%, $E$9)</f>
        <v>4.4332000000000003</v>
      </c>
      <c r="P23" s="14">
        <f>CHOOSE(CONTROL!$C$42, 4.3523, 4.3523) * CHOOSE(CONTROL!$C$21, $C$9, 100%, $E$9)</f>
        <v>4.3522999999999996</v>
      </c>
      <c r="Q23" s="14">
        <f>CHOOSE(CONTROL!$C$42, 5.0279, 5.0279) * CHOOSE(CONTROL!$C$21, $C$9, 100%, $E$9)</f>
        <v>5.0278999999999998</v>
      </c>
      <c r="R23" s="14">
        <f>CHOOSE(CONTROL!$C$42, 5.6274, 5.6274) * CHOOSE(CONTROL!$C$21, $C$9, 100%, $E$9)</f>
        <v>5.6273999999999997</v>
      </c>
      <c r="S23" s="14">
        <f>CHOOSE(CONTROL!$C$42, 4.2047, 4.2047) * CHOOSE(CONTROL!$C$21, $C$9, 100%, $E$9)</f>
        <v>4.2046999999999999</v>
      </c>
      <c r="T2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3" s="56">
        <f>(1000*CHOOSE(CONTROL!$C$42, 695, 695)*CHOOSE(CONTROL!$C$42, 0.5599, 0.5599)*CHOOSE(CONTROL!$C$42, 30, 30))/1000000</f>
        <v>11.673914999999997</v>
      </c>
      <c r="V23" s="56">
        <f>(1000*CHOOSE(CONTROL!$C$42, 580, 580)*CHOOSE(CONTROL!$C$42, 0.275, 0.275)*CHOOSE(CONTROL!$C$42, 30, 30))/1000000</f>
        <v>4.7850000000000001</v>
      </c>
      <c r="W23" s="56">
        <f>(1000*CHOOSE(CONTROL!$C$42, 0.1146, 0.1146)*CHOOSE(CONTROL!$C$42, 200, 200)*CHOOSE(CONTROL!$C$42, 30, 30))/1000000</f>
        <v>0.68759999999999999</v>
      </c>
      <c r="X23" s="56">
        <v>0</v>
      </c>
      <c r="Y23" s="56">
        <f t="shared" si="0"/>
        <v>0.4</v>
      </c>
      <c r="Z23" s="14">
        <f>CHOOSE(CONTROL!$C$42, 4.3309, 4.3309) * CHOOSE(CONTROL!$C$21, $C$9, 100%, $E$9)</f>
        <v>4.3308999999999997</v>
      </c>
      <c r="AA23" s="55">
        <f>(131500*30*(6/30))/1000000</f>
        <v>0.78900000000000003</v>
      </c>
      <c r="AB23" s="49">
        <f>(B23*122.58+C23*297.941+D23*89.177+E23*200.302+F23*40+G23*0+H23*0+I23*100+J23*300)/(122.58+297.941+89.177+200.302+0+40+0+100+300)</f>
        <v>4.4255273728695652</v>
      </c>
      <c r="AC23" s="45">
        <f>(M23*240+N23*0+O23*355+P23*100)/(240+0+355+100)</f>
        <v>4.386060431654677</v>
      </c>
    </row>
    <row r="24" spans="1:29" ht="15.75" x14ac:dyDescent="0.25">
      <c r="A24" s="13">
        <v>41609</v>
      </c>
      <c r="B24" s="14">
        <f>CHOOSE(CONTROL!$C$42, 4.5408, 4.5408) * CHOOSE(CONTROL!$C$21, $C$9, 100%, $E$9)</f>
        <v>4.5407999999999999</v>
      </c>
      <c r="C24" s="14">
        <f>CHOOSE(CONTROL!$C$42, 4.5459, 4.5459) * CHOOSE(CONTROL!$C$21, $C$9, 100%, $E$9)</f>
        <v>4.5458999999999996</v>
      </c>
      <c r="D24" s="14">
        <f>CHOOSE(CONTROL!$C$42, 4.6393, 4.6393) * CHOOSE(CONTROL!$C$21, $C$9, 100%, $E$9)</f>
        <v>4.6393000000000004</v>
      </c>
      <c r="E24" s="14">
        <f>CHOOSE(CONTROL!$C$42, 4.6734, 4.6734) * CHOOSE(CONTROL!$C$21, $C$9, 100%, $E$9)</f>
        <v>4.6734</v>
      </c>
      <c r="F24" s="14">
        <f>CHOOSE(CONTROL!$C$42, 4.567, 4.567)*CHOOSE(CONTROL!$C$21, $C$9, 100%, $E$9)</f>
        <v>4.5670000000000002</v>
      </c>
      <c r="G24" s="14">
        <f>CHOOSE(CONTROL!$C$42, 4.5846, 4.5846)*CHOOSE(CONTROL!$C$21, $C$9, 100%, $E$9)</f>
        <v>4.5846</v>
      </c>
      <c r="H24" s="14">
        <f>CHOOSE(CONTROL!$C$42, 4.6626, 4.6626) * CHOOSE(CONTROL!$C$21, $C$9, 100%, $E$9)</f>
        <v>4.6626000000000003</v>
      </c>
      <c r="I24" s="14">
        <f>CHOOSE(CONTROL!$C$42, 4.5809, 4.5809)* CHOOSE(CONTROL!$C$21, $C$9, 100%, $E$9)</f>
        <v>4.5808999999999997</v>
      </c>
      <c r="J24" s="14">
        <f>CHOOSE(CONTROL!$C$42, 4.56, 4.56)* CHOOSE(CONTROL!$C$21, $C$9, 100%, $E$9)</f>
        <v>4.5599999999999996</v>
      </c>
      <c r="K24" s="52"/>
      <c r="L24" s="14">
        <f>CHOOSE(CONTROL!$C$42, 5.2496, 5.2496) * CHOOSE(CONTROL!$C$21, $C$9, 100%, $E$9)</f>
        <v>5.2496</v>
      </c>
      <c r="M24" s="14">
        <f>CHOOSE(CONTROL!$C$42, 4.4856, 4.4856) * CHOOSE(CONTROL!$C$21, $C$9, 100%, $E$9)</f>
        <v>4.4855999999999998</v>
      </c>
      <c r="N24" s="14">
        <f>CHOOSE(CONTROL!$C$42, 4.503, 4.503) * CHOOSE(CONTROL!$C$21, $C$9, 100%, $E$9)</f>
        <v>4.5030000000000001</v>
      </c>
      <c r="O24" s="14">
        <f>CHOOSE(CONTROL!$C$42, 4.5865, 4.5865) * CHOOSE(CONTROL!$C$21, $C$9, 100%, $E$9)</f>
        <v>4.5865</v>
      </c>
      <c r="P24" s="14">
        <f>CHOOSE(CONTROL!$C$42, 4.506, 4.506) * CHOOSE(CONTROL!$C$21, $C$9, 100%, $E$9)</f>
        <v>4.5060000000000002</v>
      </c>
      <c r="Q24" s="14">
        <f>CHOOSE(CONTROL!$C$42, 5.1812, 5.1812) * CHOOSE(CONTROL!$C$21, $C$9, 100%, $E$9)</f>
        <v>5.1811999999999996</v>
      </c>
      <c r="R24" s="14">
        <f>CHOOSE(CONTROL!$C$42, 5.7811, 5.7811) * CHOOSE(CONTROL!$C$21, $C$9, 100%, $E$9)</f>
        <v>5.7811000000000003</v>
      </c>
      <c r="S24" s="14">
        <f>CHOOSE(CONTROL!$C$42, 4.3547, 4.3547) * CHOOSE(CONTROL!$C$21, $C$9, 100%, $E$9)</f>
        <v>4.3547000000000002</v>
      </c>
      <c r="T2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4" s="56">
        <f>(1000*CHOOSE(CONTROL!$C$42, 695, 695)*CHOOSE(CONTROL!$C$42, 0.5599, 0.5599)*CHOOSE(CONTROL!$C$42, 31, 31))/1000000</f>
        <v>12.063045499999998</v>
      </c>
      <c r="V24" s="56">
        <f>(1000*CHOOSE(CONTROL!$C$42, 580, 580)*CHOOSE(CONTROL!$C$42, 0.275, 0.275)*CHOOSE(CONTROL!$C$42, 31, 31))/1000000</f>
        <v>4.9444999999999997</v>
      </c>
      <c r="W24" s="56">
        <f>(1000*CHOOSE(CONTROL!$C$42, 0.1146, 0.1146)*CHOOSE(CONTROL!$C$42, 200, 200)*CHOOSE(CONTROL!$C$42, 31, 31))/1000000</f>
        <v>0.71052000000000004</v>
      </c>
      <c r="X24" s="56">
        <v>0</v>
      </c>
      <c r="Y24" s="56">
        <f t="shared" si="0"/>
        <v>0.4</v>
      </c>
      <c r="Z24" s="14">
        <f>CHOOSE(CONTROL!$C$42, 4.4844, 4.4844) * CHOOSE(CONTROL!$C$21, $C$9, 100%, $E$9)</f>
        <v>4.4843999999999999</v>
      </c>
      <c r="AA24" s="55">
        <f>(131500*31*(6/31))/1000000</f>
        <v>0.78900000000000003</v>
      </c>
      <c r="AB24" s="49">
        <f>(B24*122.58+C24*297.941+D24*89.177+E24*200.302+F24*40+G24*0+H24*0+I24*100+J24*300)/(122.58+297.941+89.177+200.302+0+40+0+100+300)</f>
        <v>4.5822621554782605</v>
      </c>
      <c r="AC24" s="45">
        <f>(M24*240+N24*0+O24*355+P24*100)/(240+0+355+100)</f>
        <v>4.5400741007194245</v>
      </c>
    </row>
    <row r="25" spans="1:29" ht="15" x14ac:dyDescent="0.2">
      <c r="A25" s="13">
        <v>41640</v>
      </c>
      <c r="B25" s="14">
        <f>CHOOSE(CONTROL!$C$42, 4.6282, 4.6282) * CHOOSE(CONTROL!$C$21, $C$9, 100%, $E$9)</f>
        <v>4.6281999999999996</v>
      </c>
      <c r="C25" s="14">
        <f>CHOOSE(CONTROL!$C$42, 4.6333, 4.6333) * CHOOSE(CONTROL!$C$21, $C$9, 100%, $E$9)</f>
        <v>4.6333000000000002</v>
      </c>
      <c r="D25" s="14">
        <f>CHOOSE(CONTROL!$C$42, 4.7267, 4.7267) * CHOOSE(CONTROL!$C$21, $C$9, 100%, $E$9)</f>
        <v>4.7267000000000001</v>
      </c>
      <c r="E25" s="14">
        <f>CHOOSE(CONTROL!$C$42, 4.7609, 4.7609) * CHOOSE(CONTROL!$C$21, $C$9, 100%, $E$9)</f>
        <v>4.7609000000000004</v>
      </c>
      <c r="F25" s="14">
        <f>CHOOSE(CONTROL!$C$42, 4.6555, 4.6555)*CHOOSE(CONTROL!$C$21, $C$9, 100%, $E$9)</f>
        <v>4.6555</v>
      </c>
      <c r="G25" s="14">
        <f>CHOOSE(CONTROL!$C$42, 4.6735, 4.6735)*CHOOSE(CONTROL!$C$21, $C$9, 100%, $E$9)</f>
        <v>4.6734999999999998</v>
      </c>
      <c r="H25" s="14">
        <f>CHOOSE(CONTROL!$C$42, 4.75, 4.75) * CHOOSE(CONTROL!$C$21, $C$9, 100%, $E$9)</f>
        <v>4.75</v>
      </c>
      <c r="I25" s="14">
        <f>CHOOSE(CONTROL!$C$42, 4.6686, 4.6686)* CHOOSE(CONTROL!$C$21, $C$9, 100%, $E$9)</f>
        <v>4.6685999999999996</v>
      </c>
      <c r="J25" s="14">
        <f>CHOOSE(CONTROL!$C$42, 4.6485, 4.6485)* CHOOSE(CONTROL!$C$21, $C$9, 100%, $E$9)</f>
        <v>4.6485000000000003</v>
      </c>
      <c r="K25" s="58"/>
      <c r="L25" s="14">
        <f>CHOOSE(CONTROL!$C$42, 5.337, 5.337) * CHOOSE(CONTROL!$C$21, $C$9, 100%, $E$9)</f>
        <v>5.3369999999999997</v>
      </c>
      <c r="M25" s="14">
        <f>CHOOSE(CONTROL!$C$42, 4.5726, 4.5726) * CHOOSE(CONTROL!$C$21, $C$9, 100%, $E$9)</f>
        <v>4.5726000000000004</v>
      </c>
      <c r="N25" s="14">
        <f>CHOOSE(CONTROL!$C$42, 4.5902, 4.5902) * CHOOSE(CONTROL!$C$21, $C$9, 100%, $E$9)</f>
        <v>4.5902000000000003</v>
      </c>
      <c r="O25" s="14">
        <f>CHOOSE(CONTROL!$C$42, 4.6723, 4.6723) * CHOOSE(CONTROL!$C$21, $C$9, 100%, $E$9)</f>
        <v>4.6722999999999999</v>
      </c>
      <c r="P25" s="14">
        <f>CHOOSE(CONTROL!$C$42, 4.5921, 4.5921) * CHOOSE(CONTROL!$C$21, $C$9, 100%, $E$9)</f>
        <v>4.5921000000000003</v>
      </c>
      <c r="Q25" s="14">
        <f>CHOOSE(CONTROL!$C$42, 5.267, 5.267) * CHOOSE(CONTROL!$C$21, $C$9, 100%, $E$9)</f>
        <v>5.2670000000000003</v>
      </c>
      <c r="R25" s="14">
        <f>CHOOSE(CONTROL!$C$42, 5.8672, 5.8672) * CHOOSE(CONTROL!$C$21, $C$9, 100%, $E$9)</f>
        <v>5.8672000000000004</v>
      </c>
      <c r="S25" s="14">
        <f>CHOOSE(CONTROL!$C$42, 4.4387, 4.4387) * CHOOSE(CONTROL!$C$21, $C$9, 100%, $E$9)</f>
        <v>4.4386999999999999</v>
      </c>
      <c r="T2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5" s="56">
        <f>(1000*CHOOSE(CONTROL!$C$42, 695, 695)*CHOOSE(CONTROL!$C$42, 0.5599, 0.5599)*CHOOSE(CONTROL!$C$42, 31, 31))/1000000</f>
        <v>12.063045499999998</v>
      </c>
      <c r="V25" s="56">
        <f>(1000*CHOOSE(CONTROL!$C$42, 580, 580)*CHOOSE(CONTROL!$C$42, 0.275, 0.275)*CHOOSE(CONTROL!$C$42, 31, 31))/1000000</f>
        <v>4.9444999999999997</v>
      </c>
      <c r="W25" s="56">
        <f>(1000*CHOOSE(CONTROL!$C$42, 0.1146, 0.1146)*CHOOSE(CONTROL!$C$42, 200, 200)*CHOOSE(CONTROL!$C$42, 31, 31))/1000000</f>
        <v>0.71052000000000004</v>
      </c>
      <c r="X25" s="56">
        <v>0</v>
      </c>
      <c r="Y25" s="56">
        <f t="shared" si="0"/>
        <v>0.4</v>
      </c>
      <c r="Z25" s="14">
        <f>CHOOSE(CONTROL!$C$42, 4.5704, 4.5704) * CHOOSE(CONTROL!$C$21, $C$9, 100%, $E$9)</f>
        <v>4.5704000000000002</v>
      </c>
      <c r="AA25" s="55">
        <f>(131500*31*(6/31))/1000000</f>
        <v>0.78900000000000003</v>
      </c>
      <c r="AB25" s="49">
        <f>(B25*122.58+C25*297.941+D25*89.177+E25*200.302+F25*40+G25*0+H25*0+I25*100+J25*300)/(122.58+297.941+89.177+200.302+0+40+0+100+300)</f>
        <v>4.6700308773913042</v>
      </c>
      <c r="AC25" s="45">
        <f>(M25*240+N25*0+O25*355+P25*100)/(240+0+355+100)</f>
        <v>4.6263316546762594</v>
      </c>
    </row>
    <row r="26" spans="1:29" ht="15" x14ac:dyDescent="0.2">
      <c r="A26" s="13">
        <v>41671</v>
      </c>
      <c r="B26" s="14">
        <f>CHOOSE(CONTROL!$C$42, 4.6001, 4.6001) * CHOOSE(CONTROL!$C$21, $C$9, 100%, $E$9)</f>
        <v>4.6001000000000003</v>
      </c>
      <c r="C26" s="14">
        <f>CHOOSE(CONTROL!$C$42, 4.6052, 4.6052) * CHOOSE(CONTROL!$C$21, $C$9, 100%, $E$9)</f>
        <v>4.6052</v>
      </c>
      <c r="D26" s="14">
        <f>CHOOSE(CONTROL!$C$42, 4.6986, 4.6986) * CHOOSE(CONTROL!$C$21, $C$9, 100%, $E$9)</f>
        <v>4.6985999999999999</v>
      </c>
      <c r="E26" s="14">
        <f>CHOOSE(CONTROL!$C$42, 4.7328, 4.7328) * CHOOSE(CONTROL!$C$21, $C$9, 100%, $E$9)</f>
        <v>4.7328000000000001</v>
      </c>
      <c r="F26" s="14">
        <f>CHOOSE(CONTROL!$C$42, 4.6271, 4.6271)*CHOOSE(CONTROL!$C$21, $C$9, 100%, $E$9)</f>
        <v>4.6271000000000004</v>
      </c>
      <c r="G26" s="14">
        <f>CHOOSE(CONTROL!$C$42, 4.6449, 4.6449)*CHOOSE(CONTROL!$C$21, $C$9, 100%, $E$9)</f>
        <v>4.6448999999999998</v>
      </c>
      <c r="H26" s="14">
        <f>CHOOSE(CONTROL!$C$42, 4.722, 4.722) * CHOOSE(CONTROL!$C$21, $C$9, 100%, $E$9)</f>
        <v>4.7220000000000004</v>
      </c>
      <c r="I26" s="14">
        <f>CHOOSE(CONTROL!$C$42, 4.6404, 4.6404)* CHOOSE(CONTROL!$C$21, $C$9, 100%, $E$9)</f>
        <v>4.6403999999999996</v>
      </c>
      <c r="J26" s="14">
        <f>CHOOSE(CONTROL!$C$42, 4.6201, 4.6201)* CHOOSE(CONTROL!$C$21, $C$9, 100%, $E$9)</f>
        <v>4.6200999999999999</v>
      </c>
      <c r="K26" s="58"/>
      <c r="L26" s="14">
        <f>CHOOSE(CONTROL!$C$42, 5.309, 5.309) * CHOOSE(CONTROL!$C$21, $C$9, 100%, $E$9)</f>
        <v>5.3090000000000002</v>
      </c>
      <c r="M26" s="14">
        <f>CHOOSE(CONTROL!$C$42, 4.5447, 4.5447) * CHOOSE(CONTROL!$C$21, $C$9, 100%, $E$9)</f>
        <v>4.5446999999999997</v>
      </c>
      <c r="N26" s="14">
        <f>CHOOSE(CONTROL!$C$42, 4.5622, 4.5622) * CHOOSE(CONTROL!$C$21, $C$9, 100%, $E$9)</f>
        <v>4.5621999999999998</v>
      </c>
      <c r="O26" s="14">
        <f>CHOOSE(CONTROL!$C$42, 4.6447, 4.6447) * CHOOSE(CONTROL!$C$21, $C$9, 100%, $E$9)</f>
        <v>4.6447000000000003</v>
      </c>
      <c r="P26" s="14">
        <f>CHOOSE(CONTROL!$C$42, 4.5645, 4.5645) * CHOOSE(CONTROL!$C$21, $C$9, 100%, $E$9)</f>
        <v>4.5644999999999998</v>
      </c>
      <c r="Q26" s="14">
        <f>CHOOSE(CONTROL!$C$42, 5.2394, 5.2394) * CHOOSE(CONTROL!$C$21, $C$9, 100%, $E$9)</f>
        <v>5.2393999999999998</v>
      </c>
      <c r="R26" s="14">
        <f>CHOOSE(CONTROL!$C$42, 5.8395, 5.8395) * CHOOSE(CONTROL!$C$21, $C$9, 100%, $E$9)</f>
        <v>5.8395000000000001</v>
      </c>
      <c r="S26" s="14">
        <f>CHOOSE(CONTROL!$C$42, 4.4117, 4.4117) * CHOOSE(CONTROL!$C$21, $C$9, 100%, $E$9)</f>
        <v>4.4116999999999997</v>
      </c>
      <c r="T2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6" s="56">
        <f>(1000*CHOOSE(CONTROL!$C$42, 695, 695)*CHOOSE(CONTROL!$C$42, 0.5599, 0.5599)*CHOOSE(CONTROL!$C$42, 28, 28))/1000000</f>
        <v>10.895653999999999</v>
      </c>
      <c r="V26" s="56">
        <f>(1000*CHOOSE(CONTROL!$C$42, 580, 580)*CHOOSE(CONTROL!$C$42, 0.275, 0.275)*CHOOSE(CONTROL!$C$42, 28, 28))/1000000</f>
        <v>4.4660000000000002</v>
      </c>
      <c r="W26" s="56">
        <f>(1000*CHOOSE(CONTROL!$C$42, 0.1146, 0.1146)*CHOOSE(CONTROL!$C$42, 200, 200)*CHOOSE(CONTROL!$C$42, 28, 28))/1000000</f>
        <v>0.64176</v>
      </c>
      <c r="X26" s="56">
        <v>0</v>
      </c>
      <c r="Y26" s="56">
        <f t="shared" si="0"/>
        <v>0.4</v>
      </c>
      <c r="Z26" s="14">
        <f>CHOOSE(CONTROL!$C$42, 4.5428, 4.5428) * CHOOSE(CONTROL!$C$21, $C$9, 100%, $E$9)</f>
        <v>4.5427999999999997</v>
      </c>
      <c r="AA26" s="55">
        <f>(131500*28*(6/28))/1000000</f>
        <v>0.78900000000000003</v>
      </c>
      <c r="AB26" s="49">
        <f>(B26*122.58+C26*297.941+D26*89.177+E26*200.302+F26*40+G26*0+H26*0+I26*100+J26*300)/(122.58+297.941+89.177+200.302+0+40+0+100+300)</f>
        <v>4.6418334860869566</v>
      </c>
      <c r="AC26" s="45">
        <f>(M26*240+N26*0+O26*355+P26*100)/(240+0+355+100)</f>
        <v>4.598628057553956</v>
      </c>
    </row>
    <row r="27" spans="1:29" ht="15" x14ac:dyDescent="0.2">
      <c r="A27" s="13">
        <v>41699</v>
      </c>
      <c r="B27" s="14">
        <f>CHOOSE(CONTROL!$C$42, 4.5325, 4.5325) * CHOOSE(CONTROL!$C$21, $C$9, 100%, $E$9)</f>
        <v>4.5324999999999998</v>
      </c>
      <c r="C27" s="14">
        <f>CHOOSE(CONTROL!$C$42, 4.5375, 4.5375) * CHOOSE(CONTROL!$C$21, $C$9, 100%, $E$9)</f>
        <v>4.5374999999999996</v>
      </c>
      <c r="D27" s="14">
        <f>CHOOSE(CONTROL!$C$42, 4.631, 4.631) * CHOOSE(CONTROL!$C$21, $C$9, 100%, $E$9)</f>
        <v>4.6310000000000002</v>
      </c>
      <c r="E27" s="14">
        <f>CHOOSE(CONTROL!$C$42, 4.6651, 4.6651) * CHOOSE(CONTROL!$C$21, $C$9, 100%, $E$9)</f>
        <v>4.6650999999999998</v>
      </c>
      <c r="F27" s="14">
        <f>CHOOSE(CONTROL!$C$42, 4.5585, 4.5585)*CHOOSE(CONTROL!$C$21, $C$9, 100%, $E$9)</f>
        <v>4.5585000000000004</v>
      </c>
      <c r="G27" s="14">
        <f>CHOOSE(CONTROL!$C$42, 4.5762, 4.5762)*CHOOSE(CONTROL!$C$21, $C$9, 100%, $E$9)</f>
        <v>4.5762</v>
      </c>
      <c r="H27" s="14">
        <f>CHOOSE(CONTROL!$C$42, 4.6543, 4.6543) * CHOOSE(CONTROL!$C$21, $C$9, 100%, $E$9)</f>
        <v>4.6543000000000001</v>
      </c>
      <c r="I27" s="14">
        <f>CHOOSE(CONTROL!$C$42, 4.5726, 4.5726)* CHOOSE(CONTROL!$C$21, $C$9, 100%, $E$9)</f>
        <v>4.5726000000000004</v>
      </c>
      <c r="J27" s="14">
        <f>CHOOSE(CONTROL!$C$42, 4.5515, 4.5515)* CHOOSE(CONTROL!$C$21, $C$9, 100%, $E$9)</f>
        <v>4.5514999999999999</v>
      </c>
      <c r="K27" s="58"/>
      <c r="L27" s="14">
        <f>CHOOSE(CONTROL!$C$42, 5.2413, 5.2413) * CHOOSE(CONTROL!$C$21, $C$9, 100%, $E$9)</f>
        <v>5.2412999999999998</v>
      </c>
      <c r="M27" s="14">
        <f>CHOOSE(CONTROL!$C$42, 4.4774, 4.4774) * CHOOSE(CONTROL!$C$21, $C$9, 100%, $E$9)</f>
        <v>4.4774000000000003</v>
      </c>
      <c r="N27" s="14">
        <f>CHOOSE(CONTROL!$C$42, 4.4947, 4.4947) * CHOOSE(CONTROL!$C$21, $C$9, 100%, $E$9)</f>
        <v>4.4946999999999999</v>
      </c>
      <c r="O27" s="14">
        <f>CHOOSE(CONTROL!$C$42, 4.5783, 4.5783) * CHOOSE(CONTROL!$C$21, $C$9, 100%, $E$9)</f>
        <v>4.5782999999999996</v>
      </c>
      <c r="P27" s="14">
        <f>CHOOSE(CONTROL!$C$42, 4.4978, 4.4978) * CHOOSE(CONTROL!$C$21, $C$9, 100%, $E$9)</f>
        <v>4.4977999999999998</v>
      </c>
      <c r="Q27" s="14">
        <f>CHOOSE(CONTROL!$C$42, 5.173, 5.173) * CHOOSE(CONTROL!$C$21, $C$9, 100%, $E$9)</f>
        <v>5.173</v>
      </c>
      <c r="R27" s="14">
        <f>CHOOSE(CONTROL!$C$42, 5.7729, 5.7729) * CHOOSE(CONTROL!$C$21, $C$9, 100%, $E$9)</f>
        <v>5.7728999999999999</v>
      </c>
      <c r="S27" s="14">
        <f>CHOOSE(CONTROL!$C$42, 4.3467, 4.3467) * CHOOSE(CONTROL!$C$21, $C$9, 100%, $E$9)</f>
        <v>4.3467000000000002</v>
      </c>
      <c r="T2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7" s="56">
        <f>(1000*CHOOSE(CONTROL!$C$42, 695, 695)*CHOOSE(CONTROL!$C$42, 0.5599, 0.5599)*CHOOSE(CONTROL!$C$42, 31, 31))/1000000</f>
        <v>12.063045499999998</v>
      </c>
      <c r="V27" s="56">
        <f>(1000*CHOOSE(CONTROL!$C$42, 580, 580)*CHOOSE(CONTROL!$C$42, 0.275, 0.275)*CHOOSE(CONTROL!$C$42, 31, 31))/1000000</f>
        <v>4.9444999999999997</v>
      </c>
      <c r="W27" s="56">
        <f>(1000*CHOOSE(CONTROL!$C$42, 0.1146, 0.1146)*CHOOSE(CONTROL!$C$42, 200, 200)*CHOOSE(CONTROL!$C$42, 31, 31))/1000000</f>
        <v>0.71052000000000004</v>
      </c>
      <c r="X27" s="56">
        <v>0</v>
      </c>
      <c r="Y27" s="56">
        <f t="shared" si="0"/>
        <v>0.4</v>
      </c>
      <c r="Z27" s="14">
        <f>CHOOSE(CONTROL!$C$42, 4.4763, 4.4763) * CHOOSE(CONTROL!$C$21, $C$9, 100%, $E$9)</f>
        <v>4.4763000000000002</v>
      </c>
      <c r="AA27" s="55">
        <f>(131500*31*(6/31))/1000000</f>
        <v>0.78900000000000003</v>
      </c>
      <c r="AB27" s="49">
        <f>(B27*122.58+C27*297.941+D27*89.177+E27*200.302+F27*40+G27*0+H27*0+I27*100+J27*300)/(122.58+297.941+89.177+200.302+0+40+0+100+300)</f>
        <v>4.5738771171304347</v>
      </c>
      <c r="AC27" s="45">
        <f>(M27*240+N27*0+O27*355+P27*100)/(240+0+355+100)</f>
        <v>4.531874100719425</v>
      </c>
    </row>
    <row r="28" spans="1:29" ht="15" x14ac:dyDescent="0.2">
      <c r="A28" s="13">
        <v>41730</v>
      </c>
      <c r="B28" s="14">
        <f>CHOOSE(CONTROL!$C$42, 4.2598, 4.2598) * CHOOSE(CONTROL!$C$21, $C$9, 100%, $E$9)</f>
        <v>4.2598000000000003</v>
      </c>
      <c r="C28" s="14">
        <f>CHOOSE(CONTROL!$C$42, 4.2643, 4.2643) * CHOOSE(CONTROL!$C$21, $C$9, 100%, $E$9)</f>
        <v>4.2643000000000004</v>
      </c>
      <c r="D28" s="14">
        <f>CHOOSE(CONTROL!$C$42, 4.5265, 4.5265) * CHOOSE(CONTROL!$C$21, $C$9, 100%, $E$9)</f>
        <v>4.5265000000000004</v>
      </c>
      <c r="E28" s="14">
        <f>CHOOSE(CONTROL!$C$42, 4.5586, 4.5586) * CHOOSE(CONTROL!$C$21, $C$9, 100%, $E$9)</f>
        <v>4.5586000000000002</v>
      </c>
      <c r="F28" s="14">
        <f>CHOOSE(CONTROL!$C$42, 4.2826, 4.2826)*CHOOSE(CONTROL!$C$21, $C$9, 100%, $E$9)</f>
        <v>4.2826000000000004</v>
      </c>
      <c r="G28" s="14">
        <f>CHOOSE(CONTROL!$C$42, 4.2993, 4.2993)*CHOOSE(CONTROL!$C$21, $C$9, 100%, $E$9)</f>
        <v>4.2992999999999997</v>
      </c>
      <c r="H28" s="14">
        <f>CHOOSE(CONTROL!$C$42, 4.5484, 4.5484) * CHOOSE(CONTROL!$C$21, $C$9, 100%, $E$9)</f>
        <v>4.5484</v>
      </c>
      <c r="I28" s="14">
        <f>CHOOSE(CONTROL!$C$42, 4.2956, 4.2956)* CHOOSE(CONTROL!$C$21, $C$9, 100%, $E$9)</f>
        <v>4.2956000000000003</v>
      </c>
      <c r="J28" s="14">
        <f>CHOOSE(CONTROL!$C$42, 4.2756, 4.2756)* CHOOSE(CONTROL!$C$21, $C$9, 100%, $E$9)</f>
        <v>4.2755999999999998</v>
      </c>
      <c r="K28" s="58"/>
      <c r="L28" s="14">
        <f>CHOOSE(CONTROL!$C$42, 5.1354, 5.1354) * CHOOSE(CONTROL!$C$21, $C$9, 100%, $E$9)</f>
        <v>5.1353999999999997</v>
      </c>
      <c r="M28" s="14">
        <f>CHOOSE(CONTROL!$C$42, 4.2064, 4.2064) * CHOOSE(CONTROL!$C$21, $C$9, 100%, $E$9)</f>
        <v>4.2064000000000004</v>
      </c>
      <c r="N28" s="14">
        <f>CHOOSE(CONTROL!$C$42, 4.2228, 4.2228) * CHOOSE(CONTROL!$C$21, $C$9, 100%, $E$9)</f>
        <v>4.2228000000000003</v>
      </c>
      <c r="O28" s="14">
        <f>CHOOSE(CONTROL!$C$42, 4.4743, 4.4743) * CHOOSE(CONTROL!$C$21, $C$9, 100%, $E$9)</f>
        <v>4.4743000000000004</v>
      </c>
      <c r="P28" s="14">
        <f>CHOOSE(CONTROL!$C$42, 4.2259, 4.2259) * CHOOSE(CONTROL!$C$21, $C$9, 100%, $E$9)</f>
        <v>4.2259000000000002</v>
      </c>
      <c r="Q28" s="14">
        <f>CHOOSE(CONTROL!$C$42, 5.069, 5.069) * CHOOSE(CONTROL!$C$21, $C$9, 100%, $E$9)</f>
        <v>5.069</v>
      </c>
      <c r="R28" s="14">
        <f>CHOOSE(CONTROL!$C$42, 5.6686, 5.6686) * CHOOSE(CONTROL!$C$21, $C$9, 100%, $E$9)</f>
        <v>5.6685999999999996</v>
      </c>
      <c r="S28" s="14">
        <f>CHOOSE(CONTROL!$C$42, 4.0839, 4.0839) * CHOOSE(CONTROL!$C$21, $C$9, 100%, $E$9)</f>
        <v>4.0838999999999999</v>
      </c>
      <c r="T2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8" s="56">
        <f>(1000*CHOOSE(CONTROL!$C$42, 695, 695)*CHOOSE(CONTROL!$C$42, 0.5599, 0.5599)*CHOOSE(CONTROL!$C$42, 30, 30))/1000000</f>
        <v>11.673914999999997</v>
      </c>
      <c r="V28" s="56">
        <f>(1000*CHOOSE(CONTROL!$C$42, 580, 580)*CHOOSE(CONTROL!$C$42, 0.275, 0.275)*CHOOSE(CONTROL!$C$42, 30, 30))/1000000</f>
        <v>4.7850000000000001</v>
      </c>
      <c r="W28" s="56">
        <f>(1000*CHOOSE(CONTROL!$C$42, 0.1146, 0.1146)*CHOOSE(CONTROL!$C$42, 200, 200)*CHOOSE(CONTROL!$C$42, 30, 30))/1000000</f>
        <v>0.68759999999999999</v>
      </c>
      <c r="X28" s="56">
        <f>30*0.1790888*145000/1000000</f>
        <v>0.77903627999999991</v>
      </c>
      <c r="Y28" s="56"/>
      <c r="Z28" s="14">
        <f>CHOOSE(CONTROL!$C$42, 4.1996, 4.1996) * CHOOSE(CONTROL!$C$21, $C$9, 100%, $E$9)</f>
        <v>4.1996000000000002</v>
      </c>
      <c r="AA28" s="55">
        <f>(131500*30*(6/30))/1000000</f>
        <v>0.78900000000000003</v>
      </c>
      <c r="AB28" s="49">
        <f>(B28*141.293+C28*267.993+D28*115.016+E28*249.698+F28*40+G28*25+H28*0+I28*100+J28*300)/(141.293+267.993+115.016+249.698+0+40+25+100+300)</f>
        <v>4.3539969314769982</v>
      </c>
      <c r="AC28" s="45">
        <f t="shared" ref="AC28:AC34" si="2">(M28*240+N28*120+O28*235+P28*100)/(240+120+235+100)</f>
        <v>4.3026223021582739</v>
      </c>
    </row>
    <row r="29" spans="1:29" ht="15" x14ac:dyDescent="0.2">
      <c r="A29" s="13">
        <v>41760</v>
      </c>
      <c r="B29" s="14">
        <f>CHOOSE(CONTROL!$C$42, 4.2685, 4.2685) * CHOOSE(CONTROL!$C$21, $C$9, 100%, $E$9)</f>
        <v>4.2685000000000004</v>
      </c>
      <c r="C29" s="14">
        <f>CHOOSE(CONTROL!$C$42, 4.2765, 4.2765) * CHOOSE(CONTROL!$C$21, $C$9, 100%, $E$9)</f>
        <v>4.2765000000000004</v>
      </c>
      <c r="D29" s="14">
        <f>CHOOSE(CONTROL!$C$42, 4.5356, 4.5356) * CHOOSE(CONTROL!$C$21, $C$9, 100%, $E$9)</f>
        <v>4.5355999999999996</v>
      </c>
      <c r="E29" s="14">
        <f>CHOOSE(CONTROL!$C$42, 4.567, 4.567) * CHOOSE(CONTROL!$C$21, $C$9, 100%, $E$9)</f>
        <v>4.5670000000000002</v>
      </c>
      <c r="F29" s="14">
        <f>CHOOSE(CONTROL!$C$42, 4.29, 4.29)*CHOOSE(CONTROL!$C$21, $C$9, 100%, $E$9)</f>
        <v>4.29</v>
      </c>
      <c r="G29" s="14">
        <f>CHOOSE(CONTROL!$C$42, 4.307, 4.307)*CHOOSE(CONTROL!$C$21, $C$9, 100%, $E$9)</f>
        <v>4.3070000000000004</v>
      </c>
      <c r="H29" s="14">
        <f>CHOOSE(CONTROL!$C$42, 4.5557, 4.5557) * CHOOSE(CONTROL!$C$21, $C$9, 100%, $E$9)</f>
        <v>4.5556999999999999</v>
      </c>
      <c r="I29" s="14">
        <f>CHOOSE(CONTROL!$C$42, 4.3029, 4.3029)* CHOOSE(CONTROL!$C$21, $C$9, 100%, $E$9)</f>
        <v>4.3029000000000002</v>
      </c>
      <c r="J29" s="14">
        <f>CHOOSE(CONTROL!$C$42, 4.283, 4.283)* CHOOSE(CONTROL!$C$21, $C$9, 100%, $E$9)</f>
        <v>4.2830000000000004</v>
      </c>
      <c r="K29" s="58"/>
      <c r="L29" s="14">
        <f>CHOOSE(CONTROL!$C$42, 5.1427, 5.1427) * CHOOSE(CONTROL!$C$21, $C$9, 100%, $E$9)</f>
        <v>5.1426999999999996</v>
      </c>
      <c r="M29" s="14">
        <f>CHOOSE(CONTROL!$C$42, 4.2136, 4.2136) * CHOOSE(CONTROL!$C$21, $C$9, 100%, $E$9)</f>
        <v>4.2135999999999996</v>
      </c>
      <c r="N29" s="14">
        <f>CHOOSE(CONTROL!$C$42, 4.2303, 4.2303) * CHOOSE(CONTROL!$C$21, $C$9, 100%, $E$9)</f>
        <v>4.2302999999999997</v>
      </c>
      <c r="O29" s="14">
        <f>CHOOSE(CONTROL!$C$42, 4.4814, 4.4814) * CHOOSE(CONTROL!$C$21, $C$9, 100%, $E$9)</f>
        <v>4.4813999999999998</v>
      </c>
      <c r="P29" s="14">
        <f>CHOOSE(CONTROL!$C$42, 4.2331, 4.2331) * CHOOSE(CONTROL!$C$21, $C$9, 100%, $E$9)</f>
        <v>4.2331000000000003</v>
      </c>
      <c r="Q29" s="14">
        <f>CHOOSE(CONTROL!$C$42, 5.0761, 5.0761) * CHOOSE(CONTROL!$C$21, $C$9, 100%, $E$9)</f>
        <v>5.0761000000000003</v>
      </c>
      <c r="R29" s="14">
        <f>CHOOSE(CONTROL!$C$42, 5.6758, 5.6758) * CHOOSE(CONTROL!$C$21, $C$9, 100%, $E$9)</f>
        <v>5.6757999999999997</v>
      </c>
      <c r="S29" s="14">
        <f>CHOOSE(CONTROL!$C$42, 4.0909, 4.0909) * CHOOSE(CONTROL!$C$21, $C$9, 100%, $E$9)</f>
        <v>4.0909000000000004</v>
      </c>
      <c r="T29" s="57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29" s="56">
        <f>(1000*CHOOSE(CONTROL!$C$42, 695, 695)*CHOOSE(CONTROL!$C$42, 0.5599, 0.5599)*CHOOSE(CONTROL!$C$42, 31, 31))/1000000</f>
        <v>12.063045499999998</v>
      </c>
      <c r="V29" s="56">
        <f>(1000*CHOOSE(CONTROL!$C$42, 580, 580)*CHOOSE(CONTROL!$C$42, 0.275, 0.275)*CHOOSE(CONTROL!$C$42, 31, 31))/1000000</f>
        <v>4.9444999999999997</v>
      </c>
      <c r="W29" s="56">
        <f>(1000*CHOOSE(CONTROL!$C$42, 0.1146, 0.1146)*CHOOSE(CONTROL!$C$42, 200, 200)*CHOOSE(CONTROL!$C$42, 31, 31))/1000000</f>
        <v>0.71052000000000004</v>
      </c>
      <c r="X29" s="56">
        <f>31*0.1790888*145000/1000000</f>
        <v>0.80500415599999997</v>
      </c>
      <c r="Y29" s="56"/>
      <c r="Z29" s="14">
        <f>CHOOSE(CONTROL!$C$42, 4.2068, 4.2068) * CHOOSE(CONTROL!$C$21, $C$9, 100%, $E$9)</f>
        <v>4.2068000000000003</v>
      </c>
      <c r="AA29" s="55">
        <f>(131500*31*(6/31))/1000000</f>
        <v>0.78900000000000003</v>
      </c>
      <c r="AB29" s="49">
        <f>(B29*194.205+C29*267.466+D29*133.845+E29*213.484+F29*40+G29*25+H29*50+I29*100+J29*300)/(194.205+267.466+133.845+213.484+50+40+25+100+300)</f>
        <v>4.3633543817975839</v>
      </c>
      <c r="AC29" s="45">
        <f t="shared" si="2"/>
        <v>4.3098402877697835</v>
      </c>
    </row>
    <row r="30" spans="1:29" ht="15" x14ac:dyDescent="0.2">
      <c r="A30" s="13">
        <v>41791</v>
      </c>
      <c r="B30" s="14">
        <f>CHOOSE(CONTROL!$C$42, 4.2882, 4.2882) * CHOOSE(CONTROL!$C$21, $C$9, 100%, $E$9)</f>
        <v>4.2881999999999998</v>
      </c>
      <c r="C30" s="14">
        <f>CHOOSE(CONTROL!$C$42, 4.2963, 4.2963) * CHOOSE(CONTROL!$C$21, $C$9, 100%, $E$9)</f>
        <v>4.2962999999999996</v>
      </c>
      <c r="D30" s="14">
        <f>CHOOSE(CONTROL!$C$42, 4.5553, 4.5553) * CHOOSE(CONTROL!$C$21, $C$9, 100%, $E$9)</f>
        <v>4.5552999999999999</v>
      </c>
      <c r="E30" s="14">
        <f>CHOOSE(CONTROL!$C$42, 4.5868, 4.5868) * CHOOSE(CONTROL!$C$21, $C$9, 100%, $E$9)</f>
        <v>4.5868000000000002</v>
      </c>
      <c r="F30" s="14">
        <f>CHOOSE(CONTROL!$C$42, 4.31, 4.31)*CHOOSE(CONTROL!$C$21, $C$9, 100%, $E$9)</f>
        <v>4.3099999999999996</v>
      </c>
      <c r="G30" s="14">
        <f>CHOOSE(CONTROL!$C$42, 4.327, 4.327)*CHOOSE(CONTROL!$C$21, $C$9, 100%, $E$9)</f>
        <v>4.327</v>
      </c>
      <c r="H30" s="14">
        <f>CHOOSE(CONTROL!$C$42, 4.5754, 4.5754) * CHOOSE(CONTROL!$C$21, $C$9, 100%, $E$9)</f>
        <v>4.5754000000000001</v>
      </c>
      <c r="I30" s="14">
        <f>CHOOSE(CONTROL!$C$42, 4.3228, 4.3228)* CHOOSE(CONTROL!$C$21, $C$9, 100%, $E$9)</f>
        <v>4.3228</v>
      </c>
      <c r="J30" s="14">
        <f>CHOOSE(CONTROL!$C$42, 4.303, 4.303)* CHOOSE(CONTROL!$C$21, $C$9, 100%, $E$9)</f>
        <v>4.3029999999999999</v>
      </c>
      <c r="K30" s="58"/>
      <c r="L30" s="14">
        <f>CHOOSE(CONTROL!$C$42, 5.1624, 5.1624) * CHOOSE(CONTROL!$C$21, $C$9, 100%, $E$9)</f>
        <v>5.1623999999999999</v>
      </c>
      <c r="M30" s="14">
        <f>CHOOSE(CONTROL!$C$42, 4.2333, 4.2333) * CHOOSE(CONTROL!$C$21, $C$9, 100%, $E$9)</f>
        <v>4.2332999999999998</v>
      </c>
      <c r="N30" s="14">
        <f>CHOOSE(CONTROL!$C$42, 4.25, 4.25) * CHOOSE(CONTROL!$C$21, $C$9, 100%, $E$9)</f>
        <v>4.25</v>
      </c>
      <c r="O30" s="14">
        <f>CHOOSE(CONTROL!$C$42, 4.5008, 4.5008) * CHOOSE(CONTROL!$C$21, $C$9, 100%, $E$9)</f>
        <v>4.5007999999999999</v>
      </c>
      <c r="P30" s="14">
        <f>CHOOSE(CONTROL!$C$42, 4.2525, 4.2525) * CHOOSE(CONTROL!$C$21, $C$9, 100%, $E$9)</f>
        <v>4.2525000000000004</v>
      </c>
      <c r="Q30" s="14">
        <f>CHOOSE(CONTROL!$C$42, 5.0955, 5.0955) * CHOOSE(CONTROL!$C$21, $C$9, 100%, $E$9)</f>
        <v>5.0955000000000004</v>
      </c>
      <c r="R30" s="14">
        <f>CHOOSE(CONTROL!$C$42, 5.6953, 5.6953) * CHOOSE(CONTROL!$C$21, $C$9, 100%, $E$9)</f>
        <v>5.6952999999999996</v>
      </c>
      <c r="S30" s="14">
        <f>CHOOSE(CONTROL!$C$42, 4.1099, 4.1099) * CHOOSE(CONTROL!$C$21, $C$9, 100%, $E$9)</f>
        <v>4.1098999999999997</v>
      </c>
      <c r="T30" s="57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30" s="56">
        <f>(1000*CHOOSE(CONTROL!$C$42, 695, 695)*CHOOSE(CONTROL!$C$42, 0.5599, 0.5599)*CHOOSE(CONTROL!$C$42, 30, 30))/1000000</f>
        <v>11.673914999999997</v>
      </c>
      <c r="V30" s="56">
        <f>(1000*CHOOSE(CONTROL!$C$42, 580, 580)*CHOOSE(CONTROL!$C$42, 0.275, 0.275)*CHOOSE(CONTROL!$C$42, 30, 30))/1000000</f>
        <v>4.7850000000000001</v>
      </c>
      <c r="W30" s="56">
        <f>(1000*CHOOSE(CONTROL!$C$42, 0.1146, 0.1146)*CHOOSE(CONTROL!$C$42, 200, 200)*CHOOSE(CONTROL!$C$42, 30, 30))/1000000</f>
        <v>0.68759999999999999</v>
      </c>
      <c r="X30" s="56">
        <f>30*0.1790888*145000/1000000</f>
        <v>0.77903627999999991</v>
      </c>
      <c r="Y30" s="56"/>
      <c r="Z30" s="14">
        <f>CHOOSE(CONTROL!$C$42, 4.2262, 4.2262) * CHOOSE(CONTROL!$C$21, $C$9, 100%, $E$9)</f>
        <v>4.2262000000000004</v>
      </c>
      <c r="AA30" s="55">
        <f>(131500*30*(6/30))/1000000</f>
        <v>0.78900000000000003</v>
      </c>
      <c r="AB30" s="49">
        <f>(B30*194.205+C30*267.466+D30*133.845+E30*213.484+F30*40+G30*25+H30*50+I30*100+J30*300)/(194.205+267.466+133.845+213.484+50+40+25+100+300)</f>
        <v>4.3831885169939584</v>
      </c>
      <c r="AC30" s="45">
        <f t="shared" si="2"/>
        <v>4.329395683453237</v>
      </c>
    </row>
    <row r="31" spans="1:29" ht="15" x14ac:dyDescent="0.2">
      <c r="A31" s="13">
        <v>41821</v>
      </c>
      <c r="B31" s="14">
        <f>CHOOSE(CONTROL!$C$42, 4.3215, 4.3215) * CHOOSE(CONTROL!$C$21, $C$9, 100%, $E$9)</f>
        <v>4.3215000000000003</v>
      </c>
      <c r="C31" s="14">
        <f>CHOOSE(CONTROL!$C$42, 4.3296, 4.3296) * CHOOSE(CONTROL!$C$21, $C$9, 100%, $E$9)</f>
        <v>4.3296000000000001</v>
      </c>
      <c r="D31" s="14">
        <f>CHOOSE(CONTROL!$C$42, 4.5886, 4.5886) * CHOOSE(CONTROL!$C$21, $C$9, 100%, $E$9)</f>
        <v>4.5885999999999996</v>
      </c>
      <c r="E31" s="14">
        <f>CHOOSE(CONTROL!$C$42, 4.6201, 4.6201) * CHOOSE(CONTROL!$C$21, $C$9, 100%, $E$9)</f>
        <v>4.6200999999999999</v>
      </c>
      <c r="F31" s="14">
        <f>CHOOSE(CONTROL!$C$42, 4.3437, 4.3437)*CHOOSE(CONTROL!$C$21, $C$9, 100%, $E$9)</f>
        <v>4.3437000000000001</v>
      </c>
      <c r="G31" s="14">
        <f>CHOOSE(CONTROL!$C$42, 4.3609, 4.3609)*CHOOSE(CONTROL!$C$21, $C$9, 100%, $E$9)</f>
        <v>4.3609</v>
      </c>
      <c r="H31" s="14">
        <f>CHOOSE(CONTROL!$C$42, 4.6087, 4.6087) * CHOOSE(CONTROL!$C$21, $C$9, 100%, $E$9)</f>
        <v>4.6086999999999998</v>
      </c>
      <c r="I31" s="14">
        <f>CHOOSE(CONTROL!$C$42, 4.3562, 4.3562)* CHOOSE(CONTROL!$C$21, $C$9, 100%, $E$9)</f>
        <v>4.3562000000000003</v>
      </c>
      <c r="J31" s="14">
        <f>CHOOSE(CONTROL!$C$42, 4.3367, 4.3367)* CHOOSE(CONTROL!$C$21, $C$9, 100%, $E$9)</f>
        <v>4.3367000000000004</v>
      </c>
      <c r="K31" s="58"/>
      <c r="L31" s="14">
        <f>CHOOSE(CONTROL!$C$42, 5.1957, 5.1957) * CHOOSE(CONTROL!$C$21, $C$9, 100%, $E$9)</f>
        <v>5.1957000000000004</v>
      </c>
      <c r="M31" s="14">
        <f>CHOOSE(CONTROL!$C$42, 4.2664, 4.2664) * CHOOSE(CONTROL!$C$21, $C$9, 100%, $E$9)</f>
        <v>4.2664</v>
      </c>
      <c r="N31" s="14">
        <f>CHOOSE(CONTROL!$C$42, 4.2833, 4.2833) * CHOOSE(CONTROL!$C$21, $C$9, 100%, $E$9)</f>
        <v>4.2832999999999997</v>
      </c>
      <c r="O31" s="14">
        <f>CHOOSE(CONTROL!$C$42, 4.5335, 4.5335) * CHOOSE(CONTROL!$C$21, $C$9, 100%, $E$9)</f>
        <v>4.5335000000000001</v>
      </c>
      <c r="P31" s="14">
        <f>CHOOSE(CONTROL!$C$42, 4.2853, 4.2853) * CHOOSE(CONTROL!$C$21, $C$9, 100%, $E$9)</f>
        <v>4.2853000000000003</v>
      </c>
      <c r="Q31" s="14">
        <f>CHOOSE(CONTROL!$C$42, 5.1282, 5.1282) * CHOOSE(CONTROL!$C$21, $C$9, 100%, $E$9)</f>
        <v>5.1281999999999996</v>
      </c>
      <c r="R31" s="14">
        <f>CHOOSE(CONTROL!$C$42, 5.7281, 5.7281) * CHOOSE(CONTROL!$C$21, $C$9, 100%, $E$9)</f>
        <v>5.7281000000000004</v>
      </c>
      <c r="S31" s="14">
        <f>CHOOSE(CONTROL!$C$42, 4.1419, 4.1419) * CHOOSE(CONTROL!$C$21, $C$9, 100%, $E$9)</f>
        <v>4.1418999999999997</v>
      </c>
      <c r="T31" s="57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31" s="56">
        <f>(1000*CHOOSE(CONTROL!$C$42, 695, 695)*CHOOSE(CONTROL!$C$42, 0.5599, 0.5599)*CHOOSE(CONTROL!$C$42, 31, 31))/1000000</f>
        <v>12.063045499999998</v>
      </c>
      <c r="V31" s="56">
        <f>(1000*CHOOSE(CONTROL!$C$42, 580, 580)*CHOOSE(CONTROL!$C$42, 0.275, 0.275)*CHOOSE(CONTROL!$C$42, 31, 31))/1000000</f>
        <v>4.9444999999999997</v>
      </c>
      <c r="W31" s="56">
        <f>(1000*CHOOSE(CONTROL!$C$42, 0.1146, 0.1146)*CHOOSE(CONTROL!$C$42, 200, 200)*CHOOSE(CONTROL!$C$42, 31, 31))/1000000</f>
        <v>0.71052000000000004</v>
      </c>
      <c r="X31" s="56">
        <f>31*0.1790888*145000/1000000</f>
        <v>0.80500415599999997</v>
      </c>
      <c r="Y31" s="56"/>
      <c r="Z31" s="14">
        <f>CHOOSE(CONTROL!$C$42, 4.259, 4.259) * CHOOSE(CONTROL!$C$21, $C$9, 100%, $E$9)</f>
        <v>4.2590000000000003</v>
      </c>
      <c r="AA31" s="55">
        <f>(131500*31*(6/31))/1000000</f>
        <v>0.78900000000000003</v>
      </c>
      <c r="AB31" s="49">
        <f>(B31*194.205+C31*267.466+D31*133.845+E31*213.484+F31*40+G31*25+H31*50+I31*100+J31*300)/(194.205+267.466+133.845+213.484+50+40+25+100+300)</f>
        <v>4.4166101182024171</v>
      </c>
      <c r="AC31" s="45">
        <f t="shared" si="2"/>
        <v>4.3623517985611517</v>
      </c>
    </row>
    <row r="32" spans="1:29" ht="15" x14ac:dyDescent="0.2">
      <c r="A32" s="13">
        <v>41852</v>
      </c>
      <c r="B32" s="14">
        <f>CHOOSE(CONTROL!$C$42, 4.3371, 4.3371) * CHOOSE(CONTROL!$C$21, $C$9, 100%, $E$9)</f>
        <v>4.3371000000000004</v>
      </c>
      <c r="C32" s="14">
        <f>CHOOSE(CONTROL!$C$42, 4.3452, 4.3452) * CHOOSE(CONTROL!$C$21, $C$9, 100%, $E$9)</f>
        <v>4.3452000000000002</v>
      </c>
      <c r="D32" s="14">
        <f>CHOOSE(CONTROL!$C$42, 4.6043, 4.6043) * CHOOSE(CONTROL!$C$21, $C$9, 100%, $E$9)</f>
        <v>4.6043000000000003</v>
      </c>
      <c r="E32" s="14">
        <f>CHOOSE(CONTROL!$C$42, 4.6357, 4.6357) * CHOOSE(CONTROL!$C$21, $C$9, 100%, $E$9)</f>
        <v>4.6356999999999999</v>
      </c>
      <c r="F32" s="14">
        <f>CHOOSE(CONTROL!$C$42, 4.3596, 4.3596)*CHOOSE(CONTROL!$C$21, $C$9, 100%, $E$9)</f>
        <v>4.3596000000000004</v>
      </c>
      <c r="G32" s="14">
        <f>CHOOSE(CONTROL!$C$42, 4.3768, 4.3768)*CHOOSE(CONTROL!$C$21, $C$9, 100%, $E$9)</f>
        <v>4.3768000000000002</v>
      </c>
      <c r="H32" s="14">
        <f>CHOOSE(CONTROL!$C$42, 4.6244, 4.6244) * CHOOSE(CONTROL!$C$21, $C$9, 100%, $E$9)</f>
        <v>4.6243999999999996</v>
      </c>
      <c r="I32" s="14">
        <f>CHOOSE(CONTROL!$C$42, 4.3718, 4.3718)* CHOOSE(CONTROL!$C$21, $C$9, 100%, $E$9)</f>
        <v>4.3718000000000004</v>
      </c>
      <c r="J32" s="14">
        <f>CHOOSE(CONTROL!$C$42, 4.3526, 4.3526)* CHOOSE(CONTROL!$C$21, $C$9, 100%, $E$9)</f>
        <v>4.3525999999999998</v>
      </c>
      <c r="K32" s="58"/>
      <c r="L32" s="14">
        <f>CHOOSE(CONTROL!$C$42, 5.2114, 5.2114) * CHOOSE(CONTROL!$C$21, $C$9, 100%, $E$9)</f>
        <v>5.2114000000000003</v>
      </c>
      <c r="M32" s="14">
        <f>CHOOSE(CONTROL!$C$42, 4.282, 4.282) * CHOOSE(CONTROL!$C$21, $C$9, 100%, $E$9)</f>
        <v>4.282</v>
      </c>
      <c r="N32" s="14">
        <f>CHOOSE(CONTROL!$C$42, 4.2988, 4.2988) * CHOOSE(CONTROL!$C$21, $C$9, 100%, $E$9)</f>
        <v>4.2988</v>
      </c>
      <c r="O32" s="14">
        <f>CHOOSE(CONTROL!$C$42, 4.5489, 4.5489) * CHOOSE(CONTROL!$C$21, $C$9, 100%, $E$9)</f>
        <v>4.5488999999999997</v>
      </c>
      <c r="P32" s="14">
        <f>CHOOSE(CONTROL!$C$42, 4.3007, 4.3007) * CHOOSE(CONTROL!$C$21, $C$9, 100%, $E$9)</f>
        <v>4.3007</v>
      </c>
      <c r="Q32" s="14">
        <f>CHOOSE(CONTROL!$C$42, 5.1436, 5.1436) * CHOOSE(CONTROL!$C$21, $C$9, 100%, $E$9)</f>
        <v>5.1436000000000002</v>
      </c>
      <c r="R32" s="14">
        <f>CHOOSE(CONTROL!$C$42, 5.7434, 5.7434) * CHOOSE(CONTROL!$C$21, $C$9, 100%, $E$9)</f>
        <v>5.7434000000000003</v>
      </c>
      <c r="S32" s="14">
        <f>CHOOSE(CONTROL!$C$42, 4.1569, 4.1569) * CHOOSE(CONTROL!$C$21, $C$9, 100%, $E$9)</f>
        <v>4.1569000000000003</v>
      </c>
      <c r="T32" s="57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32" s="56">
        <f>(1000*CHOOSE(CONTROL!$C$42, 695, 695)*CHOOSE(CONTROL!$C$42, 0.5599, 0.5599)*CHOOSE(CONTROL!$C$42, 31, 31))/1000000</f>
        <v>12.063045499999998</v>
      </c>
      <c r="V32" s="56">
        <f>(1000*CHOOSE(CONTROL!$C$42, 580, 580)*CHOOSE(CONTROL!$C$42, 0.275, 0.275)*CHOOSE(CONTROL!$C$42, 31, 31))/1000000</f>
        <v>4.9444999999999997</v>
      </c>
      <c r="W32" s="56">
        <f>(1000*CHOOSE(CONTROL!$C$42, 0.1146, 0.1146)*CHOOSE(CONTROL!$C$42, 200, 200)*CHOOSE(CONTROL!$C$42, 31, 31))/1000000</f>
        <v>0.71052000000000004</v>
      </c>
      <c r="X32" s="56">
        <f>31*0.1790888*145000/1000000</f>
        <v>0.80500415599999997</v>
      </c>
      <c r="Y32" s="56"/>
      <c r="Z32" s="14">
        <f>CHOOSE(CONTROL!$C$42, 4.2743, 4.2743) * CHOOSE(CONTROL!$C$21, $C$9, 100%, $E$9)</f>
        <v>4.2743000000000002</v>
      </c>
      <c r="AA32" s="55">
        <f>(131500*31*(6/31))/1000000</f>
        <v>0.78900000000000003</v>
      </c>
      <c r="AB32" s="49">
        <f>(B32*194.205+C32*267.466+D32*133.845+E32*213.484+F32*40+G32*25+H32*50+I32*100+J32*300)/(194.205+267.466+133.845+213.484+50+40+25+100+300)</f>
        <v>4.432306707703928</v>
      </c>
      <c r="AC32" s="45">
        <f t="shared" si="2"/>
        <v>4.3778381294964035</v>
      </c>
    </row>
    <row r="33" spans="1:29" ht="15" x14ac:dyDescent="0.2">
      <c r="A33" s="13">
        <v>41883</v>
      </c>
      <c r="B33" s="14">
        <f>CHOOSE(CONTROL!$C$42, 4.3421, 4.3421) * CHOOSE(CONTROL!$C$21, $C$9, 100%, $E$9)</f>
        <v>4.3421000000000003</v>
      </c>
      <c r="C33" s="14">
        <f>CHOOSE(CONTROL!$C$42, 4.3501, 4.3501) * CHOOSE(CONTROL!$C$21, $C$9, 100%, $E$9)</f>
        <v>4.3501000000000003</v>
      </c>
      <c r="D33" s="14">
        <f>CHOOSE(CONTROL!$C$42, 4.6092, 4.6092) * CHOOSE(CONTROL!$C$21, $C$9, 100%, $E$9)</f>
        <v>4.6092000000000004</v>
      </c>
      <c r="E33" s="14">
        <f>CHOOSE(CONTROL!$C$42, 4.6407, 4.6407) * CHOOSE(CONTROL!$C$21, $C$9, 100%, $E$9)</f>
        <v>4.6406999999999998</v>
      </c>
      <c r="F33" s="14">
        <f>CHOOSE(CONTROL!$C$42, 4.3646, 4.3646)*CHOOSE(CONTROL!$C$21, $C$9, 100%, $E$9)</f>
        <v>4.3646000000000003</v>
      </c>
      <c r="G33" s="14">
        <f>CHOOSE(CONTROL!$C$42, 4.3818, 4.3818)*CHOOSE(CONTROL!$C$21, $C$9, 100%, $E$9)</f>
        <v>4.3818000000000001</v>
      </c>
      <c r="H33" s="14">
        <f>CHOOSE(CONTROL!$C$42, 4.6293, 4.6293) * CHOOSE(CONTROL!$C$21, $C$9, 100%, $E$9)</f>
        <v>4.6292999999999997</v>
      </c>
      <c r="I33" s="14">
        <f>CHOOSE(CONTROL!$C$42, 4.3768, 4.3768)* CHOOSE(CONTROL!$C$21, $C$9, 100%, $E$9)</f>
        <v>4.3768000000000002</v>
      </c>
      <c r="J33" s="14">
        <f>CHOOSE(CONTROL!$C$42, 4.3576, 4.3576)* CHOOSE(CONTROL!$C$21, $C$9, 100%, $E$9)</f>
        <v>4.3575999999999997</v>
      </c>
      <c r="K33" s="58"/>
      <c r="L33" s="14">
        <f>CHOOSE(CONTROL!$C$42, 5.2163, 5.2163) * CHOOSE(CONTROL!$C$21, $C$9, 100%, $E$9)</f>
        <v>5.2163000000000004</v>
      </c>
      <c r="M33" s="14">
        <f>CHOOSE(CONTROL!$C$42, 4.2869, 4.2869) * CHOOSE(CONTROL!$C$21, $C$9, 100%, $E$9)</f>
        <v>4.2869000000000002</v>
      </c>
      <c r="N33" s="14">
        <f>CHOOSE(CONTROL!$C$42, 4.3038, 4.3038) * CHOOSE(CONTROL!$C$21, $C$9, 100%, $E$9)</f>
        <v>4.3037999999999998</v>
      </c>
      <c r="O33" s="14">
        <f>CHOOSE(CONTROL!$C$42, 4.5538, 4.5538) * CHOOSE(CONTROL!$C$21, $C$9, 100%, $E$9)</f>
        <v>4.5537999999999998</v>
      </c>
      <c r="P33" s="14">
        <f>CHOOSE(CONTROL!$C$42, 4.3056, 4.3056) * CHOOSE(CONTROL!$C$21, $C$9, 100%, $E$9)</f>
        <v>4.3056000000000001</v>
      </c>
      <c r="Q33" s="14">
        <f>CHOOSE(CONTROL!$C$42, 5.1485, 5.1485) * CHOOSE(CONTROL!$C$21, $C$9, 100%, $E$9)</f>
        <v>5.1485000000000003</v>
      </c>
      <c r="R33" s="14">
        <f>CHOOSE(CONTROL!$C$42, 5.7483, 5.7483) * CHOOSE(CONTROL!$C$21, $C$9, 100%, $E$9)</f>
        <v>5.7483000000000004</v>
      </c>
      <c r="S33" s="14">
        <f>CHOOSE(CONTROL!$C$42, 4.1617, 4.1617) * CHOOSE(CONTROL!$C$21, $C$9, 100%, $E$9)</f>
        <v>4.1616999999999997</v>
      </c>
      <c r="T33" s="57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33" s="56">
        <f>(1000*CHOOSE(CONTROL!$C$42, 695, 695)*CHOOSE(CONTROL!$C$42, 0.5599, 0.5599)*CHOOSE(CONTROL!$C$42, 30, 30))/1000000</f>
        <v>11.673914999999997</v>
      </c>
      <c r="V33" s="56">
        <f>(1000*CHOOSE(CONTROL!$C$42, 580, 580)*CHOOSE(CONTROL!$C$42, 0.275, 0.275)*CHOOSE(CONTROL!$C$42, 30, 30))/1000000</f>
        <v>4.7850000000000001</v>
      </c>
      <c r="W33" s="56">
        <f>(1000*CHOOSE(CONTROL!$C$42, 0.1146, 0.1146)*CHOOSE(CONTROL!$C$42, 200, 200)*CHOOSE(CONTROL!$C$42, 30, 30))/1000000</f>
        <v>0.68759999999999999</v>
      </c>
      <c r="X33" s="56">
        <f>30*0.1790888*145000/1000000</f>
        <v>0.77903627999999991</v>
      </c>
      <c r="Y33" s="56"/>
      <c r="Z33" s="14">
        <f>CHOOSE(CONTROL!$C$42, 4.2792, 4.2792) * CHOOSE(CONTROL!$C$21, $C$9, 100%, $E$9)</f>
        <v>4.2792000000000003</v>
      </c>
      <c r="AA33" s="55">
        <f>(131500*30*(6/30))/1000000</f>
        <v>0.78900000000000003</v>
      </c>
      <c r="AB33" s="49">
        <f>(B33*194.205+C33*267.466+D33*133.845+E33*213.484+F33*40+G33*25+H33*50+I33*100+J33*300)/(194.205+267.466+133.845+213.484+50+40+25+100+300)</f>
        <v>4.4372726207703925</v>
      </c>
      <c r="AC33" s="45">
        <f t="shared" si="2"/>
        <v>4.3827553956834526</v>
      </c>
    </row>
    <row r="34" spans="1:29" ht="15" x14ac:dyDescent="0.2">
      <c r="A34" s="13">
        <v>41913</v>
      </c>
      <c r="B34" s="14">
        <f>CHOOSE(CONTROL!$C$42, 4.3716, 4.3716) * CHOOSE(CONTROL!$C$21, $C$9, 100%, $E$9)</f>
        <v>4.3715999999999999</v>
      </c>
      <c r="C34" s="14">
        <f>CHOOSE(CONTROL!$C$42, 4.3769, 4.3769) * CHOOSE(CONTROL!$C$21, $C$9, 100%, $E$9)</f>
        <v>4.3769</v>
      </c>
      <c r="D34" s="14">
        <f>CHOOSE(CONTROL!$C$42, 4.641, 4.641) * CHOOSE(CONTROL!$C$21, $C$9, 100%, $E$9)</f>
        <v>4.641</v>
      </c>
      <c r="E34" s="14">
        <f>CHOOSE(CONTROL!$C$42, 4.6701, 4.6701) * CHOOSE(CONTROL!$C$21, $C$9, 100%, $E$9)</f>
        <v>4.6700999999999997</v>
      </c>
      <c r="F34" s="14">
        <f>CHOOSE(CONTROL!$C$42, 4.3962, 4.3962)*CHOOSE(CONTROL!$C$21, $C$9, 100%, $E$9)</f>
        <v>4.3962000000000003</v>
      </c>
      <c r="G34" s="14">
        <f>CHOOSE(CONTROL!$C$42, 4.4133, 4.4133)*CHOOSE(CONTROL!$C$21, $C$9, 100%, $E$9)</f>
        <v>4.4132999999999996</v>
      </c>
      <c r="H34" s="14">
        <f>CHOOSE(CONTROL!$C$42, 4.6606, 4.6606) * CHOOSE(CONTROL!$C$21, $C$9, 100%, $E$9)</f>
        <v>4.6605999999999996</v>
      </c>
      <c r="I34" s="14">
        <f>CHOOSE(CONTROL!$C$42, 4.4081, 4.4081)* CHOOSE(CONTROL!$C$21, $C$9, 100%, $E$9)</f>
        <v>4.4081000000000001</v>
      </c>
      <c r="J34" s="14">
        <f>CHOOSE(CONTROL!$C$42, 4.3892, 4.3892)* CHOOSE(CONTROL!$C$21, $C$9, 100%, $E$9)</f>
        <v>4.3891999999999998</v>
      </c>
      <c r="K34" s="58"/>
      <c r="L34" s="14">
        <f>CHOOSE(CONTROL!$C$42, 5.2476, 5.2476) * CHOOSE(CONTROL!$C$21, $C$9, 100%, $E$9)</f>
        <v>5.2476000000000003</v>
      </c>
      <c r="M34" s="14">
        <f>CHOOSE(CONTROL!$C$42, 4.318, 4.318) * CHOOSE(CONTROL!$C$21, $C$9, 100%, $E$9)</f>
        <v>4.3179999999999996</v>
      </c>
      <c r="N34" s="14">
        <f>CHOOSE(CONTROL!$C$42, 4.3347, 4.3347) * CHOOSE(CONTROL!$C$21, $C$9, 100%, $E$9)</f>
        <v>4.3346999999999998</v>
      </c>
      <c r="O34" s="14">
        <f>CHOOSE(CONTROL!$C$42, 4.5844, 4.5844) * CHOOSE(CONTROL!$C$21, $C$9, 100%, $E$9)</f>
        <v>4.5843999999999996</v>
      </c>
      <c r="P34" s="14">
        <f>CHOOSE(CONTROL!$C$42, 4.3364, 4.3364) * CHOOSE(CONTROL!$C$21, $C$9, 100%, $E$9)</f>
        <v>4.3364000000000003</v>
      </c>
      <c r="Q34" s="14">
        <f>CHOOSE(CONTROL!$C$42, 5.1791, 5.1791) * CHOOSE(CONTROL!$C$21, $C$9, 100%, $E$9)</f>
        <v>5.1791</v>
      </c>
      <c r="R34" s="14">
        <f>CHOOSE(CONTROL!$C$42, 5.7791, 5.7791) * CHOOSE(CONTROL!$C$21, $C$9, 100%, $E$9)</f>
        <v>5.7790999999999997</v>
      </c>
      <c r="S34" s="14">
        <f>CHOOSE(CONTROL!$C$42, 4.1917, 4.1917) * CHOOSE(CONTROL!$C$21, $C$9, 100%, $E$9)</f>
        <v>4.1917</v>
      </c>
      <c r="T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" s="56">
        <f>(1000*CHOOSE(CONTROL!$C$42, 695, 695)*CHOOSE(CONTROL!$C$42, 0.5599, 0.5599)*CHOOSE(CONTROL!$C$42, 31, 31))/1000000</f>
        <v>12.063045499999998</v>
      </c>
      <c r="V34" s="56">
        <f>(1000*CHOOSE(CONTROL!$C$42, 580, 580)*CHOOSE(CONTROL!$C$42, 0.275, 0.275)*CHOOSE(CONTROL!$C$42, 31, 31))/1000000</f>
        <v>4.9444999999999997</v>
      </c>
      <c r="W34" s="56">
        <f>(1000*CHOOSE(CONTROL!$C$42, 0.1146, 0.1146)*CHOOSE(CONTROL!$C$42, 200, 200)*CHOOSE(CONTROL!$C$42, 31, 31))/1000000</f>
        <v>0.71052000000000004</v>
      </c>
      <c r="X34" s="56">
        <f>31*0.1790888*145000/1000000</f>
        <v>0.80500415599999997</v>
      </c>
      <c r="Y34" s="56"/>
      <c r="Z34" s="14">
        <f>CHOOSE(CONTROL!$C$42, 4.3099, 4.3099) * CHOOSE(CONTROL!$C$21, $C$9, 100%, $E$9)</f>
        <v>4.3098999999999998</v>
      </c>
      <c r="AA34" s="55">
        <f>(131500*31*(6/31))/1000000</f>
        <v>0.78900000000000003</v>
      </c>
      <c r="AB34" s="49">
        <f>(B34*131.881+C34*277.167+D34*79.08+E34*285.872+F34*40+G34*25+H34*0+I34*100+J34*300)/(131.881+277.167+79.08+285.872+0+40+25+100+300)</f>
        <v>4.4676955844229216</v>
      </c>
      <c r="AC34" s="45">
        <f t="shared" si="2"/>
        <v>4.4136086330935242</v>
      </c>
    </row>
    <row r="35" spans="1:29" ht="15" x14ac:dyDescent="0.2">
      <c r="A35" s="13">
        <v>41944</v>
      </c>
      <c r="B35" s="14">
        <f>CHOOSE(CONTROL!$C$42, 4.4482, 4.4482) * CHOOSE(CONTROL!$C$21, $C$9, 100%, $E$9)</f>
        <v>4.4481999999999999</v>
      </c>
      <c r="C35" s="14">
        <f>CHOOSE(CONTROL!$C$42, 4.4532, 4.4532) * CHOOSE(CONTROL!$C$21, $C$9, 100%, $E$9)</f>
        <v>4.4531999999999998</v>
      </c>
      <c r="D35" s="14">
        <f>CHOOSE(CONTROL!$C$42, 4.5363, 4.5363) * CHOOSE(CONTROL!$C$21, $C$9, 100%, $E$9)</f>
        <v>4.5362999999999998</v>
      </c>
      <c r="E35" s="14">
        <f>CHOOSE(CONTROL!$C$42, 4.5704, 4.5704) * CHOOSE(CONTROL!$C$21, $C$9, 100%, $E$9)</f>
        <v>4.5704000000000002</v>
      </c>
      <c r="F35" s="14">
        <f>CHOOSE(CONTROL!$C$42, 4.4758, 4.4758)*CHOOSE(CONTROL!$C$21, $C$9, 100%, $E$9)</f>
        <v>4.4757999999999996</v>
      </c>
      <c r="G35" s="14">
        <f>CHOOSE(CONTROL!$C$42, 4.4932, 4.4932)*CHOOSE(CONTROL!$C$21, $C$9, 100%, $E$9)</f>
        <v>4.4931999999999999</v>
      </c>
      <c r="H35" s="14">
        <f>CHOOSE(CONTROL!$C$42, 4.5596, 4.5596) * CHOOSE(CONTROL!$C$21, $C$9, 100%, $E$9)</f>
        <v>4.5595999999999997</v>
      </c>
      <c r="I35" s="14">
        <f>CHOOSE(CONTROL!$C$42, 4.4817, 4.4817)* CHOOSE(CONTROL!$C$21, $C$9, 100%, $E$9)</f>
        <v>4.4817</v>
      </c>
      <c r="J35" s="14">
        <f>CHOOSE(CONTROL!$C$42, 4.4688, 4.4688)* CHOOSE(CONTROL!$C$21, $C$9, 100%, $E$9)</f>
        <v>4.4687999999999999</v>
      </c>
      <c r="K35" s="58"/>
      <c r="L35" s="14">
        <f>CHOOSE(CONTROL!$C$42, 5.1466, 5.1466) * CHOOSE(CONTROL!$C$21, $C$9, 100%, $E$9)</f>
        <v>5.1466000000000003</v>
      </c>
      <c r="M35" s="14">
        <f>CHOOSE(CONTROL!$C$42, 4.3961, 4.3961) * CHOOSE(CONTROL!$C$21, $C$9, 100%, $E$9)</f>
        <v>4.3960999999999997</v>
      </c>
      <c r="N35" s="14">
        <f>CHOOSE(CONTROL!$C$42, 4.4132, 4.4132) * CHOOSE(CONTROL!$C$21, $C$9, 100%, $E$9)</f>
        <v>4.4131999999999998</v>
      </c>
      <c r="O35" s="14">
        <f>CHOOSE(CONTROL!$C$42, 4.4853, 4.4853) * CHOOSE(CONTROL!$C$21, $C$9, 100%, $E$9)</f>
        <v>4.4852999999999996</v>
      </c>
      <c r="P35" s="14">
        <f>CHOOSE(CONTROL!$C$42, 4.4086, 4.4086) * CHOOSE(CONTROL!$C$21, $C$9, 100%, $E$9)</f>
        <v>4.4085999999999999</v>
      </c>
      <c r="Q35" s="14">
        <f>CHOOSE(CONTROL!$C$42, 5.08, 5.08) * CHOOSE(CONTROL!$C$21, $C$9, 100%, $E$9)</f>
        <v>5.08</v>
      </c>
      <c r="R35" s="14">
        <f>CHOOSE(CONTROL!$C$42, 5.6797, 5.6797) * CHOOSE(CONTROL!$C$21, $C$9, 100%, $E$9)</f>
        <v>5.6797000000000004</v>
      </c>
      <c r="S35" s="14">
        <f>CHOOSE(CONTROL!$C$42, 4.2657, 4.2657) * CHOOSE(CONTROL!$C$21, $C$9, 100%, $E$9)</f>
        <v>4.2656999999999998</v>
      </c>
      <c r="T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" s="56">
        <f>(1000*CHOOSE(CONTROL!$C$42, 695, 695)*CHOOSE(CONTROL!$C$42, 0.5599, 0.5599)*CHOOSE(CONTROL!$C$42, 30, 30))/1000000</f>
        <v>11.673914999999997</v>
      </c>
      <c r="V35" s="56">
        <f>(1000*CHOOSE(CONTROL!$C$42, 580, 580)*CHOOSE(CONTROL!$C$42, 0.275, 0.275)*CHOOSE(CONTROL!$C$42, 30, 30))/1000000</f>
        <v>4.7850000000000001</v>
      </c>
      <c r="W35" s="56">
        <f>(1000*CHOOSE(CONTROL!$C$42, 0.1146, 0.1146)*CHOOSE(CONTROL!$C$42, 200, 200)*CHOOSE(CONTROL!$C$42, 30, 30))/1000000</f>
        <v>0.68759999999999999</v>
      </c>
      <c r="X35" s="56">
        <v>0</v>
      </c>
      <c r="Y35" s="56"/>
      <c r="Z35" s="14">
        <f>CHOOSE(CONTROL!$C$42, 4.3933, 4.3933) * CHOOSE(CONTROL!$C$21, $C$9, 100%, $E$9)</f>
        <v>4.3933</v>
      </c>
      <c r="AA35" s="55">
        <f>(131500*30*(6/30))/1000000</f>
        <v>0.78900000000000003</v>
      </c>
      <c r="AB35" s="49">
        <f>(B35*122.58+C35*297.941+D35*89.177+E35*200.302+F35*40+G35*0+H35*0+I35*100+J35*300)/(122.58+297.941+89.177+200.302+0+40+0+100+300)</f>
        <v>4.4868583505217394</v>
      </c>
      <c r="AC35" s="45">
        <f>(M35*240+N35*0+O35*355+P35*100)/(240+0+355+100)</f>
        <v>4.443461151079136</v>
      </c>
    </row>
    <row r="36" spans="1:29" ht="15" x14ac:dyDescent="0.2">
      <c r="A36" s="13">
        <v>41974</v>
      </c>
      <c r="B36" s="14">
        <f>CHOOSE(CONTROL!$C$42, 4.6376, 4.6376) * CHOOSE(CONTROL!$C$21, $C$9, 100%, $E$9)</f>
        <v>4.6375999999999999</v>
      </c>
      <c r="C36" s="14">
        <f>CHOOSE(CONTROL!$C$42, 4.6426, 4.6426) * CHOOSE(CONTROL!$C$21, $C$9, 100%, $E$9)</f>
        <v>4.6425999999999998</v>
      </c>
      <c r="D36" s="14">
        <f>CHOOSE(CONTROL!$C$42, 4.7257, 4.7257) * CHOOSE(CONTROL!$C$21, $C$9, 100%, $E$9)</f>
        <v>4.7256999999999998</v>
      </c>
      <c r="E36" s="14">
        <f>CHOOSE(CONTROL!$C$42, 4.7598, 4.7598) * CHOOSE(CONTROL!$C$21, $C$9, 100%, $E$9)</f>
        <v>4.7598000000000003</v>
      </c>
      <c r="F36" s="14">
        <f>CHOOSE(CONTROL!$C$42, 4.6676, 4.6676)*CHOOSE(CONTROL!$C$21, $C$9, 100%, $E$9)</f>
        <v>4.6676000000000002</v>
      </c>
      <c r="G36" s="14">
        <f>CHOOSE(CONTROL!$C$42, 4.6856, 4.6856)*CHOOSE(CONTROL!$C$21, $C$9, 100%, $E$9)</f>
        <v>4.6856</v>
      </c>
      <c r="H36" s="14">
        <f>CHOOSE(CONTROL!$C$42, 4.749, 4.749) * CHOOSE(CONTROL!$C$21, $C$9, 100%, $E$9)</f>
        <v>4.7489999999999997</v>
      </c>
      <c r="I36" s="14">
        <f>CHOOSE(CONTROL!$C$42, 4.6717, 4.6717)* CHOOSE(CONTROL!$C$21, $C$9, 100%, $E$9)</f>
        <v>4.6717000000000004</v>
      </c>
      <c r="J36" s="14">
        <f>CHOOSE(CONTROL!$C$42, 4.6606, 4.6606)* CHOOSE(CONTROL!$C$21, $C$9, 100%, $E$9)</f>
        <v>4.6605999999999996</v>
      </c>
      <c r="K36" s="58"/>
      <c r="L36" s="14">
        <f>CHOOSE(CONTROL!$C$42, 5.336, 5.336) * CHOOSE(CONTROL!$C$21, $C$9, 100%, $E$9)</f>
        <v>5.3360000000000003</v>
      </c>
      <c r="M36" s="14">
        <f>CHOOSE(CONTROL!$C$42, 4.5845, 4.5845) * CHOOSE(CONTROL!$C$21, $C$9, 100%, $E$9)</f>
        <v>4.5845000000000002</v>
      </c>
      <c r="N36" s="14">
        <f>CHOOSE(CONTROL!$C$42, 4.6022, 4.6022) * CHOOSE(CONTROL!$C$21, $C$9, 100%, $E$9)</f>
        <v>4.6021999999999998</v>
      </c>
      <c r="O36" s="14">
        <f>CHOOSE(CONTROL!$C$42, 4.6713, 4.6713) * CHOOSE(CONTROL!$C$21, $C$9, 100%, $E$9)</f>
        <v>4.6712999999999996</v>
      </c>
      <c r="P36" s="14">
        <f>CHOOSE(CONTROL!$C$42, 4.5952, 4.5952) * CHOOSE(CONTROL!$C$21, $C$9, 100%, $E$9)</f>
        <v>4.5952000000000002</v>
      </c>
      <c r="Q36" s="14">
        <f>CHOOSE(CONTROL!$C$42, 5.266, 5.266) * CHOOSE(CONTROL!$C$21, $C$9, 100%, $E$9)</f>
        <v>5.266</v>
      </c>
      <c r="R36" s="14">
        <f>CHOOSE(CONTROL!$C$42, 5.8661, 5.8661) * CHOOSE(CONTROL!$C$21, $C$9, 100%, $E$9)</f>
        <v>5.8661000000000003</v>
      </c>
      <c r="S36" s="14">
        <f>CHOOSE(CONTROL!$C$42, 4.4477, 4.4477) * CHOOSE(CONTROL!$C$21, $C$9, 100%, $E$9)</f>
        <v>4.4477000000000002</v>
      </c>
      <c r="T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" s="56">
        <f>(1000*CHOOSE(CONTROL!$C$42, 695, 695)*CHOOSE(CONTROL!$C$42, 0.5599, 0.5599)*CHOOSE(CONTROL!$C$42, 31, 31))/1000000</f>
        <v>12.063045499999998</v>
      </c>
      <c r="V36" s="56">
        <f>(1000*CHOOSE(CONTROL!$C$42, 580, 580)*CHOOSE(CONTROL!$C$42, 0.275, 0.275)*CHOOSE(CONTROL!$C$42, 31, 31))/1000000</f>
        <v>4.9444999999999997</v>
      </c>
      <c r="W36" s="56">
        <f>(1000*CHOOSE(CONTROL!$C$42, 0.1146, 0.1146)*CHOOSE(CONTROL!$C$42, 200, 200)*CHOOSE(CONTROL!$C$42, 31, 31))/1000000</f>
        <v>0.71052000000000004</v>
      </c>
      <c r="X36" s="56">
        <v>0</v>
      </c>
      <c r="Y36" s="56"/>
      <c r="Z36" s="14">
        <f>CHOOSE(CONTROL!$C$42, 4.5796, 4.5796) * CHOOSE(CONTROL!$C$21, $C$9, 100%, $E$9)</f>
        <v>4.5796000000000001</v>
      </c>
      <c r="AA36" s="55">
        <f>(131500*31*(6/31))/1000000</f>
        <v>0.78900000000000003</v>
      </c>
      <c r="AB36" s="49">
        <f>(B36*122.58+C36*297.941+D36*89.177+E36*200.302+F36*40+G36*0+H36*0+I36*100+J36*300)/(122.58+297.941+89.177+200.302+0+40+0+100+300)</f>
        <v>4.6770200896521743</v>
      </c>
      <c r="AC36" s="45">
        <f>(M36*240+N36*0+O36*355+P36*100)/(240+0+355+100)</f>
        <v>4.630376258992805</v>
      </c>
    </row>
    <row r="37" spans="1:29" ht="15.75" x14ac:dyDescent="0.25">
      <c r="A37" s="13">
        <v>42005</v>
      </c>
      <c r="B37" s="14">
        <f>CHOOSE(CONTROL!$C$42, 4.7302, 4.7302) * CHOOSE(CONTROL!$C$21, $C$9, 100%, $E$9)</f>
        <v>4.7302</v>
      </c>
      <c r="C37" s="14">
        <f>CHOOSE(CONTROL!$C$42, 4.7353, 4.7353) * CHOOSE(CONTROL!$C$21, $C$9, 100%, $E$9)</f>
        <v>4.7352999999999996</v>
      </c>
      <c r="D37" s="14">
        <f>CHOOSE(CONTROL!$C$42, 4.8287, 4.8287) * CHOOSE(CONTROL!$C$21, $C$9, 100%, $E$9)</f>
        <v>4.8287000000000004</v>
      </c>
      <c r="E37" s="14">
        <f>CHOOSE(CONTROL!$C$42, 4.8628, 4.8628) * CHOOSE(CONTROL!$C$21, $C$9, 100%, $E$9)</f>
        <v>4.8628</v>
      </c>
      <c r="F37" s="14">
        <f>CHOOSE(CONTROL!$C$42, 4.7575, 4.7575)*CHOOSE(CONTROL!$C$21, $C$9, 100%, $E$9)</f>
        <v>4.7575000000000003</v>
      </c>
      <c r="G37" s="14">
        <f>CHOOSE(CONTROL!$C$42, 4.7755, 4.7755)*CHOOSE(CONTROL!$C$21, $C$9, 100%, $E$9)</f>
        <v>4.7755000000000001</v>
      </c>
      <c r="H37" s="14">
        <f>CHOOSE(CONTROL!$C$42, 4.852, 4.852) * CHOOSE(CONTROL!$C$21, $C$9, 100%, $E$9)</f>
        <v>4.8520000000000003</v>
      </c>
      <c r="I37" s="14">
        <f>CHOOSE(CONTROL!$C$42, 4.7709, 4.7709)* CHOOSE(CONTROL!$C$21, $C$9, 100%, $E$9)</f>
        <v>4.7709000000000001</v>
      </c>
      <c r="J37" s="14">
        <f>CHOOSE(CONTROL!$C$42, 4.7505, 4.7505)* CHOOSE(CONTROL!$C$21, $C$9, 100%, $E$9)</f>
        <v>4.7504999999999997</v>
      </c>
      <c r="K37" s="52"/>
      <c r="L37" s="14">
        <f>CHOOSE(CONTROL!$C$42, 5.439, 5.439) * CHOOSE(CONTROL!$C$21, $C$9, 100%, $E$9)</f>
        <v>5.4390000000000001</v>
      </c>
      <c r="M37" s="14">
        <f>CHOOSE(CONTROL!$C$42, 4.6728, 4.6728) * CHOOSE(CONTROL!$C$21, $C$9, 100%, $E$9)</f>
        <v>4.6727999999999996</v>
      </c>
      <c r="N37" s="14">
        <f>CHOOSE(CONTROL!$C$42, 4.6904, 4.6904) * CHOOSE(CONTROL!$C$21, $C$9, 100%, $E$9)</f>
        <v>4.6904000000000003</v>
      </c>
      <c r="O37" s="14">
        <f>CHOOSE(CONTROL!$C$42, 4.7725, 4.7725) * CHOOSE(CONTROL!$C$21, $C$9, 100%, $E$9)</f>
        <v>4.7725</v>
      </c>
      <c r="P37" s="14">
        <f>CHOOSE(CONTROL!$C$42, 4.6926, 4.6926) * CHOOSE(CONTROL!$C$21, $C$9, 100%, $E$9)</f>
        <v>4.6925999999999997</v>
      </c>
      <c r="Q37" s="14">
        <f>CHOOSE(CONTROL!$C$42, 5.3672, 5.3672) * CHOOSE(CONTROL!$C$21, $C$9, 100%, $E$9)</f>
        <v>5.3672000000000004</v>
      </c>
      <c r="R37" s="14">
        <f>CHOOSE(CONTROL!$C$42, 5.9676, 5.9676) * CHOOSE(CONTROL!$C$21, $C$9, 100%, $E$9)</f>
        <v>5.9676</v>
      </c>
      <c r="S37" s="14">
        <f>CHOOSE(CONTROL!$C$42, 4.5367, 4.5367) * CHOOSE(CONTROL!$C$21, $C$9, 100%, $E$9)</f>
        <v>4.5366999999999997</v>
      </c>
      <c r="T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" s="56">
        <f>(1000*CHOOSE(CONTROL!$C$42, 695, 695)*CHOOSE(CONTROL!$C$42, 0.5599, 0.5599)*CHOOSE(CONTROL!$C$42, 31, 31))/1000000</f>
        <v>12.063045499999998</v>
      </c>
      <c r="V37" s="56">
        <f>(1000*CHOOSE(CONTROL!$C$42, 580, 580)*CHOOSE(CONTROL!$C$42, 0.275, 0.275)*CHOOSE(CONTROL!$C$42, 31, 31))/1000000</f>
        <v>4.9444999999999997</v>
      </c>
      <c r="W37" s="56">
        <f>(1000*CHOOSE(CONTROL!$C$42, 0.1146, 0.1146)*CHOOSE(CONTROL!$C$42, 200, 200)*CHOOSE(CONTROL!$C$42, 31, 31))/1000000</f>
        <v>0.71052000000000004</v>
      </c>
      <c r="X37" s="56">
        <v>0</v>
      </c>
      <c r="Y37" s="56"/>
      <c r="Z37" s="14">
        <f>CHOOSE(CONTROL!$C$42, 4.6707, 4.6707) * CHOOSE(CONTROL!$C$21, $C$9, 100%, $E$9)</f>
        <v>4.6707000000000001</v>
      </c>
      <c r="AA37" s="55">
        <f>(131500*31*(6/31))/1000000</f>
        <v>0.78900000000000003</v>
      </c>
      <c r="AB37" s="49">
        <f>(B37*122.58+C37*297.941+D37*89.177+E37*200.302+F37*40+G37*0+H37*0+I37*100+J37*300)/(122.58+297.941+89.177+200.302+0+40+0+100+300)</f>
        <v>4.7720395467826089</v>
      </c>
      <c r="AC37" s="45">
        <f>(M37*240+N37*0+O37*355+P37*100)/(240+0+355+100)</f>
        <v>4.7265748201438855</v>
      </c>
    </row>
    <row r="38" spans="1:29" ht="15.75" x14ac:dyDescent="0.25">
      <c r="A38" s="13">
        <v>42036</v>
      </c>
      <c r="B38" s="14">
        <f>CHOOSE(CONTROL!$C$42, 4.7167, 4.7167) * CHOOSE(CONTROL!$C$21, $C$9, 100%, $E$9)</f>
        <v>4.7167000000000003</v>
      </c>
      <c r="C38" s="14">
        <f>CHOOSE(CONTROL!$C$42, 4.7217, 4.7217) * CHOOSE(CONTROL!$C$21, $C$9, 100%, $E$9)</f>
        <v>4.7217000000000002</v>
      </c>
      <c r="D38" s="14">
        <f>CHOOSE(CONTROL!$C$42, 4.8152, 4.8152) * CHOOSE(CONTROL!$C$21, $C$9, 100%, $E$9)</f>
        <v>4.8151999999999999</v>
      </c>
      <c r="E38" s="14">
        <f>CHOOSE(CONTROL!$C$42, 4.8493, 4.8493) * CHOOSE(CONTROL!$C$21, $C$9, 100%, $E$9)</f>
        <v>4.8493000000000004</v>
      </c>
      <c r="F38" s="14">
        <f>CHOOSE(CONTROL!$C$42, 4.7436, 4.7436)*CHOOSE(CONTROL!$C$21, $C$9, 100%, $E$9)</f>
        <v>4.7435999999999998</v>
      </c>
      <c r="G38" s="14">
        <f>CHOOSE(CONTROL!$C$42, 4.7615, 4.7615)*CHOOSE(CONTROL!$C$21, $C$9, 100%, $E$9)</f>
        <v>4.7614999999999998</v>
      </c>
      <c r="H38" s="14">
        <f>CHOOSE(CONTROL!$C$42, 4.8385, 4.8385) * CHOOSE(CONTROL!$C$21, $C$9, 100%, $E$9)</f>
        <v>4.8384999999999998</v>
      </c>
      <c r="I38" s="14">
        <f>CHOOSE(CONTROL!$C$42, 4.7573, 4.7573)* CHOOSE(CONTROL!$C$21, $C$9, 100%, $E$9)</f>
        <v>4.7572999999999999</v>
      </c>
      <c r="J38" s="14">
        <f>CHOOSE(CONTROL!$C$42, 4.7366, 4.7366)* CHOOSE(CONTROL!$C$21, $C$9, 100%, $E$9)</f>
        <v>4.7366000000000001</v>
      </c>
      <c r="K38" s="52"/>
      <c r="L38" s="14">
        <f>CHOOSE(CONTROL!$C$42, 5.4255, 5.4255) * CHOOSE(CONTROL!$C$21, $C$9, 100%, $E$9)</f>
        <v>5.4255000000000004</v>
      </c>
      <c r="M38" s="14">
        <f>CHOOSE(CONTROL!$C$42, 4.6591, 4.6591) * CHOOSE(CONTROL!$C$21, $C$9, 100%, $E$9)</f>
        <v>4.6590999999999996</v>
      </c>
      <c r="N38" s="14">
        <f>CHOOSE(CONTROL!$C$42, 4.6767, 4.6767) * CHOOSE(CONTROL!$C$21, $C$9, 100%, $E$9)</f>
        <v>4.6767000000000003</v>
      </c>
      <c r="O38" s="14">
        <f>CHOOSE(CONTROL!$C$42, 4.7592, 4.7592) * CHOOSE(CONTROL!$C$21, $C$9, 100%, $E$9)</f>
        <v>4.7591999999999999</v>
      </c>
      <c r="P38" s="14">
        <f>CHOOSE(CONTROL!$C$42, 4.6793, 4.6793) * CHOOSE(CONTROL!$C$21, $C$9, 100%, $E$9)</f>
        <v>4.6792999999999996</v>
      </c>
      <c r="Q38" s="14">
        <f>CHOOSE(CONTROL!$C$42, 5.3539, 5.3539) * CHOOSE(CONTROL!$C$21, $C$9, 100%, $E$9)</f>
        <v>5.3539000000000003</v>
      </c>
      <c r="R38" s="14">
        <f>CHOOSE(CONTROL!$C$42, 5.9543, 5.9543) * CHOOSE(CONTROL!$C$21, $C$9, 100%, $E$9)</f>
        <v>5.9542999999999999</v>
      </c>
      <c r="S38" s="14">
        <f>CHOOSE(CONTROL!$C$42, 4.5237, 4.5237) * CHOOSE(CONTROL!$C$21, $C$9, 100%, $E$9)</f>
        <v>4.5236999999999998</v>
      </c>
      <c r="T3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8" s="56">
        <f>(1000*CHOOSE(CONTROL!$C$42, 695, 695)*CHOOSE(CONTROL!$C$42, 0.5599, 0.5599)*CHOOSE(CONTROL!$C$42, 28, 28))/1000000</f>
        <v>10.895653999999999</v>
      </c>
      <c r="V38" s="56">
        <f>(1000*CHOOSE(CONTROL!$C$42, 580, 580)*CHOOSE(CONTROL!$C$42, 0.275, 0.275)*CHOOSE(CONTROL!$C$42, 28, 28))/1000000</f>
        <v>4.4660000000000002</v>
      </c>
      <c r="W38" s="56">
        <f>(1000*CHOOSE(CONTROL!$C$42, 0.1146, 0.1146)*CHOOSE(CONTROL!$C$42, 200, 200)*CHOOSE(CONTROL!$C$42, 28, 28))/1000000</f>
        <v>0.64176</v>
      </c>
      <c r="X38" s="56">
        <v>0</v>
      </c>
      <c r="Y38" s="56"/>
      <c r="Z38" s="14">
        <f>CHOOSE(CONTROL!$C$42, 4.6574, 4.6574) * CHOOSE(CONTROL!$C$21, $C$9, 100%, $E$9)</f>
        <v>4.6574</v>
      </c>
      <c r="AA38" s="55">
        <f>(131500*28*(6/28))/1000000</f>
        <v>0.78900000000000003</v>
      </c>
      <c r="AB38" s="49">
        <f>(B38*122.58+C38*297.941+D38*89.177+E38*200.302+F38*40+G38*0+H38*0+I38*100+J38*300)/(122.58+297.941+89.177+200.302+0+40+0+100+300)</f>
        <v>4.7583866823478269</v>
      </c>
      <c r="AC38" s="45">
        <f>(M38*240+N38*0+O38*355+P38*100)/(240+0+355+100)</f>
        <v>4.7131366906474819</v>
      </c>
    </row>
    <row r="39" spans="1:29" ht="15.75" x14ac:dyDescent="0.25">
      <c r="A39" s="13">
        <v>42064</v>
      </c>
      <c r="B39" s="14">
        <f>CHOOSE(CONTROL!$C$42, 4.6313, 4.6313) * CHOOSE(CONTROL!$C$21, $C$9, 100%, $E$9)</f>
        <v>4.6313000000000004</v>
      </c>
      <c r="C39" s="14">
        <f>CHOOSE(CONTROL!$C$42, 4.6364, 4.6364) * CHOOSE(CONTROL!$C$21, $C$9, 100%, $E$9)</f>
        <v>4.6364000000000001</v>
      </c>
      <c r="D39" s="14">
        <f>CHOOSE(CONTROL!$C$42, 4.7299, 4.7299) * CHOOSE(CONTROL!$C$21, $C$9, 100%, $E$9)</f>
        <v>4.7298999999999998</v>
      </c>
      <c r="E39" s="14">
        <f>CHOOSE(CONTROL!$C$42, 4.764, 4.764) * CHOOSE(CONTROL!$C$21, $C$9, 100%, $E$9)</f>
        <v>4.7640000000000002</v>
      </c>
      <c r="F39" s="14">
        <f>CHOOSE(CONTROL!$C$42, 4.6574, 4.6574)*CHOOSE(CONTROL!$C$21, $C$9, 100%, $E$9)</f>
        <v>4.6574</v>
      </c>
      <c r="G39" s="14">
        <f>CHOOSE(CONTROL!$C$42, 4.675, 4.675)*CHOOSE(CONTROL!$C$21, $C$9, 100%, $E$9)</f>
        <v>4.6749999999999998</v>
      </c>
      <c r="H39" s="14">
        <f>CHOOSE(CONTROL!$C$42, 4.7532, 4.7532) * CHOOSE(CONTROL!$C$21, $C$9, 100%, $E$9)</f>
        <v>4.7531999999999996</v>
      </c>
      <c r="I39" s="14">
        <f>CHOOSE(CONTROL!$C$42, 4.6717, 4.6717)* CHOOSE(CONTROL!$C$21, $C$9, 100%, $E$9)</f>
        <v>4.6717000000000004</v>
      </c>
      <c r="J39" s="14">
        <f>CHOOSE(CONTROL!$C$42, 4.6504, 4.6504)* CHOOSE(CONTROL!$C$21, $C$9, 100%, $E$9)</f>
        <v>4.6504000000000003</v>
      </c>
      <c r="K39" s="52"/>
      <c r="L39" s="14">
        <f>CHOOSE(CONTROL!$C$42, 5.3402, 5.3402) * CHOOSE(CONTROL!$C$21, $C$9, 100%, $E$9)</f>
        <v>5.3402000000000003</v>
      </c>
      <c r="M39" s="14">
        <f>CHOOSE(CONTROL!$C$42, 4.5745, 4.5745) * CHOOSE(CONTROL!$C$21, $C$9, 100%, $E$9)</f>
        <v>4.5744999999999996</v>
      </c>
      <c r="N39" s="14">
        <f>CHOOSE(CONTROL!$C$42, 4.5918, 4.5918) * CHOOSE(CONTROL!$C$21, $C$9, 100%, $E$9)</f>
        <v>4.5918000000000001</v>
      </c>
      <c r="O39" s="14">
        <f>CHOOSE(CONTROL!$C$42, 4.6754, 4.6754) * CHOOSE(CONTROL!$C$21, $C$9, 100%, $E$9)</f>
        <v>4.6753999999999998</v>
      </c>
      <c r="P39" s="14">
        <f>CHOOSE(CONTROL!$C$42, 4.5952, 4.5952) * CHOOSE(CONTROL!$C$21, $C$9, 100%, $E$9)</f>
        <v>4.5952000000000002</v>
      </c>
      <c r="Q39" s="14">
        <f>CHOOSE(CONTROL!$C$42, 5.2701, 5.2701) * CHOOSE(CONTROL!$C$21, $C$9, 100%, $E$9)</f>
        <v>5.2701000000000002</v>
      </c>
      <c r="R39" s="14">
        <f>CHOOSE(CONTROL!$C$42, 5.8702, 5.8702) * CHOOSE(CONTROL!$C$21, $C$9, 100%, $E$9)</f>
        <v>5.8701999999999996</v>
      </c>
      <c r="S39" s="14">
        <f>CHOOSE(CONTROL!$C$42, 4.4417, 4.4417) * CHOOSE(CONTROL!$C$21, $C$9, 100%, $E$9)</f>
        <v>4.4417</v>
      </c>
      <c r="T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" s="56">
        <f>(1000*CHOOSE(CONTROL!$C$42, 695, 695)*CHOOSE(CONTROL!$C$42, 0.5599, 0.5599)*CHOOSE(CONTROL!$C$42, 31, 31))/1000000</f>
        <v>12.063045499999998</v>
      </c>
      <c r="V39" s="56">
        <f>(1000*CHOOSE(CONTROL!$C$42, 580, 580)*CHOOSE(CONTROL!$C$42, 0.275, 0.275)*CHOOSE(CONTROL!$C$42, 31, 31))/1000000</f>
        <v>4.9444999999999997</v>
      </c>
      <c r="W39" s="56">
        <f>(1000*CHOOSE(CONTROL!$C$42, 0.1146, 0.1146)*CHOOSE(CONTROL!$C$42, 200, 200)*CHOOSE(CONTROL!$C$42, 31, 31))/1000000</f>
        <v>0.71052000000000004</v>
      </c>
      <c r="X39" s="56">
        <v>0</v>
      </c>
      <c r="Y39" s="56"/>
      <c r="Z39" s="14">
        <f>CHOOSE(CONTROL!$C$42, 4.5735, 4.5735) * CHOOSE(CONTROL!$C$21, $C$9, 100%, $E$9)</f>
        <v>4.5735000000000001</v>
      </c>
      <c r="AA39" s="55">
        <f>(131500*31*(6/31))/1000000</f>
        <v>0.78900000000000003</v>
      </c>
      <c r="AB39" s="49">
        <f>(B39*122.58+C39*297.941+D39*89.177+E39*200.302+F39*40+G39*0+H39*0+I39*100+J39*300)/(122.58+297.941+89.177+200.302+0+40+0+100+300)</f>
        <v>4.6727838493043485</v>
      </c>
      <c r="AC39" s="45">
        <f>(M39*240+N39*0+O39*355+P39*100)/(240+0+355+100)</f>
        <v>4.6290172661870503</v>
      </c>
    </row>
    <row r="40" spans="1:29" ht="15.75" x14ac:dyDescent="0.25">
      <c r="A40" s="13">
        <v>42095</v>
      </c>
      <c r="B40" s="14">
        <f>CHOOSE(CONTROL!$C$42, 4.3129, 4.3129) * CHOOSE(CONTROL!$C$21, $C$9, 100%, $E$9)</f>
        <v>4.3129</v>
      </c>
      <c r="C40" s="14">
        <f>CHOOSE(CONTROL!$C$42, 4.3173, 4.3173) * CHOOSE(CONTROL!$C$21, $C$9, 100%, $E$9)</f>
        <v>4.3173000000000004</v>
      </c>
      <c r="D40" s="14">
        <f>CHOOSE(CONTROL!$C$42, 4.5796, 4.5796) * CHOOSE(CONTROL!$C$21, $C$9, 100%, $E$9)</f>
        <v>4.5796000000000001</v>
      </c>
      <c r="E40" s="14">
        <f>CHOOSE(CONTROL!$C$42, 4.6117, 4.6117) * CHOOSE(CONTROL!$C$21, $C$9, 100%, $E$9)</f>
        <v>4.6116999999999999</v>
      </c>
      <c r="F40" s="14">
        <f>CHOOSE(CONTROL!$C$42, 4.3357, 4.3357)*CHOOSE(CONTROL!$C$21, $C$9, 100%, $E$9)</f>
        <v>4.3357000000000001</v>
      </c>
      <c r="G40" s="14">
        <f>CHOOSE(CONTROL!$C$42, 4.3524, 4.3524)*CHOOSE(CONTROL!$C$21, $C$9, 100%, $E$9)</f>
        <v>4.3524000000000003</v>
      </c>
      <c r="H40" s="14">
        <f>CHOOSE(CONTROL!$C$42, 4.6015, 4.6015) * CHOOSE(CONTROL!$C$21, $C$9, 100%, $E$9)</f>
        <v>4.6014999999999997</v>
      </c>
      <c r="I40" s="14">
        <f>CHOOSE(CONTROL!$C$42, 4.3489, 4.3489)* CHOOSE(CONTROL!$C$21, $C$9, 100%, $E$9)</f>
        <v>4.3489000000000004</v>
      </c>
      <c r="J40" s="14">
        <f>CHOOSE(CONTROL!$C$42, 4.3287, 4.3287)* CHOOSE(CONTROL!$C$21, $C$9, 100%, $E$9)</f>
        <v>4.3287000000000004</v>
      </c>
      <c r="K40" s="52"/>
      <c r="L40" s="14">
        <f>CHOOSE(CONTROL!$C$42, 5.1885, 5.1885) * CHOOSE(CONTROL!$C$21, $C$9, 100%, $E$9)</f>
        <v>5.1885000000000003</v>
      </c>
      <c r="M40" s="14">
        <f>CHOOSE(CONTROL!$C$42, 4.2585, 4.2585) * CHOOSE(CONTROL!$C$21, $C$9, 100%, $E$9)</f>
        <v>4.2584999999999997</v>
      </c>
      <c r="N40" s="14">
        <f>CHOOSE(CONTROL!$C$42, 4.2749, 4.2749) * CHOOSE(CONTROL!$C$21, $C$9, 100%, $E$9)</f>
        <v>4.2748999999999997</v>
      </c>
      <c r="O40" s="14">
        <f>CHOOSE(CONTROL!$C$42, 4.5264, 4.5264) * CHOOSE(CONTROL!$C$21, $C$9, 100%, $E$9)</f>
        <v>4.5263999999999998</v>
      </c>
      <c r="P40" s="14">
        <f>CHOOSE(CONTROL!$C$42, 4.2782, 4.2782) * CHOOSE(CONTROL!$C$21, $C$9, 100%, $E$9)</f>
        <v>4.2782</v>
      </c>
      <c r="Q40" s="14">
        <f>CHOOSE(CONTROL!$C$42, 5.1211, 5.1211) * CHOOSE(CONTROL!$C$21, $C$9, 100%, $E$9)</f>
        <v>5.1211000000000002</v>
      </c>
      <c r="R40" s="14">
        <f>CHOOSE(CONTROL!$C$42, 5.7209, 5.7209) * CHOOSE(CONTROL!$C$21, $C$9, 100%, $E$9)</f>
        <v>5.7209000000000003</v>
      </c>
      <c r="S40" s="14">
        <f>CHOOSE(CONTROL!$C$42, 4.1349, 4.1349) * CHOOSE(CONTROL!$C$21, $C$9, 100%, $E$9)</f>
        <v>4.1349</v>
      </c>
      <c r="T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" s="56">
        <f>(1000*CHOOSE(CONTROL!$C$42, 695, 695)*CHOOSE(CONTROL!$C$42, 0.5599, 0.5599)*CHOOSE(CONTROL!$C$42, 30, 30))/1000000</f>
        <v>11.673914999999997</v>
      </c>
      <c r="V40" s="56">
        <f>(1000*CHOOSE(CONTROL!$C$42, 580, 580)*CHOOSE(CONTROL!$C$42, 0.275, 0.275)*CHOOSE(CONTROL!$C$42, 30, 30))/1000000</f>
        <v>4.7850000000000001</v>
      </c>
      <c r="W40" s="56">
        <f>(1000*CHOOSE(CONTROL!$C$42, 0.1146, 0.1146)*CHOOSE(CONTROL!$C$42, 200, 200)*CHOOSE(CONTROL!$C$42, 30, 30))/1000000</f>
        <v>0.68759999999999999</v>
      </c>
      <c r="X40" s="56">
        <f>(30*0.1790888*245000/1000000)+(30*0.2374*100000/1000000)</f>
        <v>2.0285026799999999</v>
      </c>
      <c r="Y40" s="56"/>
      <c r="Z40" s="14">
        <f>CHOOSE(CONTROL!$C$42, 4.2518, 4.2518) * CHOOSE(CONTROL!$C$21, $C$9, 100%, $E$9)</f>
        <v>4.2518000000000002</v>
      </c>
      <c r="AA40" s="55">
        <f>(131500*30*(6/30))/1000000</f>
        <v>0.78900000000000003</v>
      </c>
      <c r="AB40" s="49">
        <f>(B40*141.293+C40*267.993+D40*115.016+E40*89.698+F40*40+G40*185+H40*0+I40*100+J40*300)/(141.293+267.993+115.016+89.698+0+40+185+100+300)</f>
        <v>4.3736063751412431</v>
      </c>
      <c r="AC40" s="45">
        <f t="shared" ref="AC40:AC46" si="3">(M40*240+N40*160+O40*195+P40*100)/(240+160+195+100)</f>
        <v>4.3402762589928052</v>
      </c>
    </row>
    <row r="41" spans="1:29" ht="15.75" x14ac:dyDescent="0.25">
      <c r="A41" s="13">
        <v>42125</v>
      </c>
      <c r="B41" s="14">
        <f>CHOOSE(CONTROL!$C$42, 4.3267, 4.3267) * CHOOSE(CONTROL!$C$21, $C$9, 100%, $E$9)</f>
        <v>4.3266999999999998</v>
      </c>
      <c r="C41" s="14">
        <f>CHOOSE(CONTROL!$C$42, 4.3348, 4.3348) * CHOOSE(CONTROL!$C$21, $C$9, 100%, $E$9)</f>
        <v>4.3348000000000004</v>
      </c>
      <c r="D41" s="14">
        <f>CHOOSE(CONTROL!$C$42, 4.5939, 4.5939) * CHOOSE(CONTROL!$C$21, $C$9, 100%, $E$9)</f>
        <v>4.5938999999999997</v>
      </c>
      <c r="E41" s="14">
        <f>CHOOSE(CONTROL!$C$42, 4.6253, 4.6253) * CHOOSE(CONTROL!$C$21, $C$9, 100%, $E$9)</f>
        <v>4.6253000000000002</v>
      </c>
      <c r="F41" s="14">
        <f>CHOOSE(CONTROL!$C$42, 4.3483, 4.3483)*CHOOSE(CONTROL!$C$21, $C$9, 100%, $E$9)</f>
        <v>4.3483000000000001</v>
      </c>
      <c r="G41" s="14">
        <f>CHOOSE(CONTROL!$C$42, 4.3652, 4.3652)*CHOOSE(CONTROL!$C$21, $C$9, 100%, $E$9)</f>
        <v>4.3651999999999997</v>
      </c>
      <c r="H41" s="14">
        <f>CHOOSE(CONTROL!$C$42, 4.6139, 4.6139) * CHOOSE(CONTROL!$C$21, $C$9, 100%, $E$9)</f>
        <v>4.6139000000000001</v>
      </c>
      <c r="I41" s="14">
        <f>CHOOSE(CONTROL!$C$42, 4.3614, 4.3614)* CHOOSE(CONTROL!$C$21, $C$9, 100%, $E$9)</f>
        <v>4.3613999999999997</v>
      </c>
      <c r="J41" s="14">
        <f>CHOOSE(CONTROL!$C$42, 4.3413, 4.3413)* CHOOSE(CONTROL!$C$21, $C$9, 100%, $E$9)</f>
        <v>4.3413000000000004</v>
      </c>
      <c r="K41" s="52"/>
      <c r="L41" s="14">
        <f>CHOOSE(CONTROL!$C$42, 5.2009, 5.2009) * CHOOSE(CONTROL!$C$21, $C$9, 100%, $E$9)</f>
        <v>5.2008999999999999</v>
      </c>
      <c r="M41" s="14">
        <f>CHOOSE(CONTROL!$C$42, 4.2709, 4.2709) * CHOOSE(CONTROL!$C$21, $C$9, 100%, $E$9)</f>
        <v>4.2709000000000001</v>
      </c>
      <c r="N41" s="14">
        <f>CHOOSE(CONTROL!$C$42, 4.2875, 4.2875) * CHOOSE(CONTROL!$C$21, $C$9, 100%, $E$9)</f>
        <v>4.2874999999999996</v>
      </c>
      <c r="O41" s="14">
        <f>CHOOSE(CONTROL!$C$42, 4.5387, 4.5387) * CHOOSE(CONTROL!$C$21, $C$9, 100%, $E$9)</f>
        <v>4.5387000000000004</v>
      </c>
      <c r="P41" s="14">
        <f>CHOOSE(CONTROL!$C$42, 4.2905, 4.2905) * CHOOSE(CONTROL!$C$21, $C$9, 100%, $E$9)</f>
        <v>4.2904999999999998</v>
      </c>
      <c r="Q41" s="14">
        <f>CHOOSE(CONTROL!$C$42, 5.1334, 5.1334) * CHOOSE(CONTROL!$C$21, $C$9, 100%, $E$9)</f>
        <v>5.1334</v>
      </c>
      <c r="R41" s="14">
        <f>CHOOSE(CONTROL!$C$42, 5.7332, 5.7332) * CHOOSE(CONTROL!$C$21, $C$9, 100%, $E$9)</f>
        <v>5.7332000000000001</v>
      </c>
      <c r="S41" s="14">
        <f>CHOOSE(CONTROL!$C$42, 4.1469, 4.1469) * CHOOSE(CONTROL!$C$21, $C$9, 100%, $E$9)</f>
        <v>4.1468999999999996</v>
      </c>
      <c r="T41" s="57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41" s="56">
        <f>(1000*CHOOSE(CONTROL!$C$42, 695, 695)*CHOOSE(CONTROL!$C$42, 0.5599, 0.5599)*CHOOSE(CONTROL!$C$42, 31, 31))/1000000</f>
        <v>12.063045499999998</v>
      </c>
      <c r="V41" s="56">
        <f>(1000*CHOOSE(CONTROL!$C$42, 580, 580)*CHOOSE(CONTROL!$C$42, 0.275, 0.275)*CHOOSE(CONTROL!$C$42, 31, 31))/1000000</f>
        <v>4.9444999999999997</v>
      </c>
      <c r="W41" s="56">
        <f>(1000*CHOOSE(CONTROL!$C$42, 0.1146, 0.1146)*CHOOSE(CONTROL!$C$42, 200, 200)*CHOOSE(CONTROL!$C$42, 31, 31))/1000000</f>
        <v>0.71052000000000004</v>
      </c>
      <c r="X41" s="56">
        <f>(31*0.1790888*245000/1000000)+(31*0.2374*100000/1000000)</f>
        <v>2.0961194359999999</v>
      </c>
      <c r="Y41" s="56"/>
      <c r="Z41" s="14">
        <f>CHOOSE(CONTROL!$C$42, 4.2641, 4.2641) * CHOOSE(CONTROL!$C$21, $C$9, 100%, $E$9)</f>
        <v>4.2641</v>
      </c>
      <c r="AA41" s="55">
        <f>(131500*31*(6/31))/1000000</f>
        <v>0.78900000000000003</v>
      </c>
      <c r="AB41" s="49">
        <f>(B41*194.205+C41*267.466+D41*133.845+E41*53.484+F41*40+G41*185+H41*50+I41*100+J41*300)/(194.205+267.466+133.845+53.484+50+40+185+100+300)</f>
        <v>4.3902171306646522</v>
      </c>
      <c r="AC41" s="45">
        <f t="shared" si="3"/>
        <v>4.3526798561151079</v>
      </c>
    </row>
    <row r="42" spans="1:29" ht="15.75" x14ac:dyDescent="0.25">
      <c r="A42" s="13">
        <v>42156</v>
      </c>
      <c r="B42" s="14">
        <f>CHOOSE(CONTROL!$C$42, 4.3496, 4.3496) * CHOOSE(CONTROL!$C$21, $C$9, 100%, $E$9)</f>
        <v>4.3495999999999997</v>
      </c>
      <c r="C42" s="14">
        <f>CHOOSE(CONTROL!$C$42, 4.3577, 4.3577) * CHOOSE(CONTROL!$C$21, $C$9, 100%, $E$9)</f>
        <v>4.3577000000000004</v>
      </c>
      <c r="D42" s="14">
        <f>CHOOSE(CONTROL!$C$42, 4.6167, 4.6167) * CHOOSE(CONTROL!$C$21, $C$9, 100%, $E$9)</f>
        <v>4.6166999999999998</v>
      </c>
      <c r="E42" s="14">
        <f>CHOOSE(CONTROL!$C$42, 4.6482, 4.6482) * CHOOSE(CONTROL!$C$21, $C$9, 100%, $E$9)</f>
        <v>4.6482000000000001</v>
      </c>
      <c r="F42" s="14">
        <f>CHOOSE(CONTROL!$C$42, 4.3714, 4.3714)*CHOOSE(CONTROL!$C$21, $C$9, 100%, $E$9)</f>
        <v>4.3714000000000004</v>
      </c>
      <c r="G42" s="14">
        <f>CHOOSE(CONTROL!$C$42, 4.3884, 4.3884)*CHOOSE(CONTROL!$C$21, $C$9, 100%, $E$9)</f>
        <v>4.3883999999999999</v>
      </c>
      <c r="H42" s="14">
        <f>CHOOSE(CONTROL!$C$42, 4.6368, 4.6368) * CHOOSE(CONTROL!$C$21, $C$9, 100%, $E$9)</f>
        <v>4.6368</v>
      </c>
      <c r="I42" s="14">
        <f>CHOOSE(CONTROL!$C$42, 4.3844, 4.3844)* CHOOSE(CONTROL!$C$21, $C$9, 100%, $E$9)</f>
        <v>4.3844000000000003</v>
      </c>
      <c r="J42" s="14">
        <f>CHOOSE(CONTROL!$C$42, 4.3644, 4.3644)* CHOOSE(CONTROL!$C$21, $C$9, 100%, $E$9)</f>
        <v>4.3643999999999998</v>
      </c>
      <c r="K42" s="52"/>
      <c r="L42" s="14">
        <f>CHOOSE(CONTROL!$C$42, 5.2238, 5.2238) * CHOOSE(CONTROL!$C$21, $C$9, 100%, $E$9)</f>
        <v>5.2237999999999998</v>
      </c>
      <c r="M42" s="14">
        <f>CHOOSE(CONTROL!$C$42, 4.2936, 4.2936) * CHOOSE(CONTROL!$C$21, $C$9, 100%, $E$9)</f>
        <v>4.2935999999999996</v>
      </c>
      <c r="N42" s="14">
        <f>CHOOSE(CONTROL!$C$42, 4.3103, 4.3103) * CHOOSE(CONTROL!$C$21, $C$9, 100%, $E$9)</f>
        <v>4.3102999999999998</v>
      </c>
      <c r="O42" s="14">
        <f>CHOOSE(CONTROL!$C$42, 4.5611, 4.5611) * CHOOSE(CONTROL!$C$21, $C$9, 100%, $E$9)</f>
        <v>4.5610999999999997</v>
      </c>
      <c r="P42" s="14">
        <f>CHOOSE(CONTROL!$C$42, 4.313, 4.313) * CHOOSE(CONTROL!$C$21, $C$9, 100%, $E$9)</f>
        <v>4.3129999999999997</v>
      </c>
      <c r="Q42" s="14">
        <f>CHOOSE(CONTROL!$C$42, 5.1558, 5.1558) * CHOOSE(CONTROL!$C$21, $C$9, 100%, $E$9)</f>
        <v>5.1558000000000002</v>
      </c>
      <c r="R42" s="14">
        <f>CHOOSE(CONTROL!$C$42, 5.7557, 5.7557) * CHOOSE(CONTROL!$C$21, $C$9, 100%, $E$9)</f>
        <v>5.7557</v>
      </c>
      <c r="S42" s="14">
        <f>CHOOSE(CONTROL!$C$42, 4.1689, 4.1689) * CHOOSE(CONTROL!$C$21, $C$9, 100%, $E$9)</f>
        <v>4.1688999999999998</v>
      </c>
      <c r="T42" s="57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42" s="56">
        <f>(1000*CHOOSE(CONTROL!$C$42, 695, 695)*CHOOSE(CONTROL!$C$42, 0.5599, 0.5599)*CHOOSE(CONTROL!$C$42, 30, 30))/1000000</f>
        <v>11.673914999999997</v>
      </c>
      <c r="V42" s="56">
        <f>(1000*CHOOSE(CONTROL!$C$42, 580, 580)*CHOOSE(CONTROL!$C$42, 0.275, 0.275)*CHOOSE(CONTROL!$C$42, 30, 30))/1000000</f>
        <v>4.7850000000000001</v>
      </c>
      <c r="W42" s="56">
        <f>(1000*CHOOSE(CONTROL!$C$42, 0.1146, 0.1146)*CHOOSE(CONTROL!$C$42, 200, 200)*CHOOSE(CONTROL!$C$42, 30, 30))/1000000</f>
        <v>0.68759999999999999</v>
      </c>
      <c r="X42" s="56">
        <f>(30*0.1790888*245000/1000000)+(30*0.2374*100000/1000000)</f>
        <v>2.0285026799999999</v>
      </c>
      <c r="Y42" s="56"/>
      <c r="Z42" s="14">
        <f>CHOOSE(CONTROL!$C$42, 4.2866, 4.2866) * CHOOSE(CONTROL!$C$21, $C$9, 100%, $E$9)</f>
        <v>4.2866</v>
      </c>
      <c r="AA42" s="55">
        <f>(131500*30*(6/30))/1000000</f>
        <v>0.78900000000000003</v>
      </c>
      <c r="AB42" s="49">
        <f>(B42*194.205+C42*267.466+D42*133.845+E42*53.484+F42*40+G42*185+H42*50+I42*100+J42*300)/(194.205+267.466+133.845+53.484+50+40+185+100+300)</f>
        <v>4.4132078523413902</v>
      </c>
      <c r="AC42" s="45">
        <f t="shared" si="3"/>
        <v>4.3752899280575539</v>
      </c>
    </row>
    <row r="43" spans="1:29" ht="15.75" x14ac:dyDescent="0.25">
      <c r="A43" s="13">
        <v>42186</v>
      </c>
      <c r="B43" s="14">
        <f>CHOOSE(CONTROL!$C$42, 4.3829, 4.3829) * CHOOSE(CONTROL!$C$21, $C$9, 100%, $E$9)</f>
        <v>4.3829000000000002</v>
      </c>
      <c r="C43" s="14">
        <f>CHOOSE(CONTROL!$C$42, 4.391, 4.391) * CHOOSE(CONTROL!$C$21, $C$9, 100%, $E$9)</f>
        <v>4.391</v>
      </c>
      <c r="D43" s="14">
        <f>CHOOSE(CONTROL!$C$42, 4.65, 4.65) * CHOOSE(CONTROL!$C$21, $C$9, 100%, $E$9)</f>
        <v>4.6500000000000004</v>
      </c>
      <c r="E43" s="14">
        <f>CHOOSE(CONTROL!$C$42, 4.6815, 4.6815) * CHOOSE(CONTROL!$C$21, $C$9, 100%, $E$9)</f>
        <v>4.6814999999999998</v>
      </c>
      <c r="F43" s="14">
        <f>CHOOSE(CONTROL!$C$42, 4.4051, 4.4051)*CHOOSE(CONTROL!$C$21, $C$9, 100%, $E$9)</f>
        <v>4.4051</v>
      </c>
      <c r="G43" s="14">
        <f>CHOOSE(CONTROL!$C$42, 4.4223, 4.4223)*CHOOSE(CONTROL!$C$21, $C$9, 100%, $E$9)</f>
        <v>4.4222999999999999</v>
      </c>
      <c r="H43" s="14">
        <f>CHOOSE(CONTROL!$C$42, 4.6701, 4.6701) * CHOOSE(CONTROL!$C$21, $C$9, 100%, $E$9)</f>
        <v>4.6700999999999997</v>
      </c>
      <c r="I43" s="14">
        <f>CHOOSE(CONTROL!$C$42, 4.4178, 4.4178)* CHOOSE(CONTROL!$C$21, $C$9, 100%, $E$9)</f>
        <v>4.4177999999999997</v>
      </c>
      <c r="J43" s="14">
        <f>CHOOSE(CONTROL!$C$42, 4.3981, 4.3981)* CHOOSE(CONTROL!$C$21, $C$9, 100%, $E$9)</f>
        <v>4.3981000000000003</v>
      </c>
      <c r="K43" s="52"/>
      <c r="L43" s="14">
        <f>CHOOSE(CONTROL!$C$42, 5.2571, 5.2571) * CHOOSE(CONTROL!$C$21, $C$9, 100%, $E$9)</f>
        <v>5.2571000000000003</v>
      </c>
      <c r="M43" s="14">
        <f>CHOOSE(CONTROL!$C$42, 4.3267, 4.3267) * CHOOSE(CONTROL!$C$21, $C$9, 100%, $E$9)</f>
        <v>4.3266999999999998</v>
      </c>
      <c r="N43" s="14">
        <f>CHOOSE(CONTROL!$C$42, 4.3436, 4.3436) * CHOOSE(CONTROL!$C$21, $C$9, 100%, $E$9)</f>
        <v>4.3436000000000003</v>
      </c>
      <c r="O43" s="14">
        <f>CHOOSE(CONTROL!$C$42, 4.5938, 4.5938) * CHOOSE(CONTROL!$C$21, $C$9, 100%, $E$9)</f>
        <v>4.5937999999999999</v>
      </c>
      <c r="P43" s="14">
        <f>CHOOSE(CONTROL!$C$42, 4.3458, 4.3458) * CHOOSE(CONTROL!$C$21, $C$9, 100%, $E$9)</f>
        <v>4.3457999999999997</v>
      </c>
      <c r="Q43" s="14">
        <f>CHOOSE(CONTROL!$C$42, 5.1885, 5.1885) * CHOOSE(CONTROL!$C$21, $C$9, 100%, $E$9)</f>
        <v>5.1885000000000003</v>
      </c>
      <c r="R43" s="14">
        <f>CHOOSE(CONTROL!$C$42, 5.7885, 5.7885) * CHOOSE(CONTROL!$C$21, $C$9, 100%, $E$9)</f>
        <v>5.7885</v>
      </c>
      <c r="S43" s="14">
        <f>CHOOSE(CONTROL!$C$42, 4.2009, 4.2009) * CHOOSE(CONTROL!$C$21, $C$9, 100%, $E$9)</f>
        <v>4.2008999999999999</v>
      </c>
      <c r="T43" s="57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43" s="56">
        <f>(1000*CHOOSE(CONTROL!$C$42, 695, 695)*CHOOSE(CONTROL!$C$42, 0.5599, 0.5599)*CHOOSE(CONTROL!$C$42, 31, 31))/1000000</f>
        <v>12.063045499999998</v>
      </c>
      <c r="V43" s="56">
        <f>(1000*CHOOSE(CONTROL!$C$42, 580, 580)*CHOOSE(CONTROL!$C$42, 0.275, 0.275)*CHOOSE(CONTROL!$C$42, 31, 31))/1000000</f>
        <v>4.9444999999999997</v>
      </c>
      <c r="W43" s="56">
        <f>(1000*CHOOSE(CONTROL!$C$42, 0.1146, 0.1146)*CHOOSE(CONTROL!$C$42, 200, 200)*CHOOSE(CONTROL!$C$42, 31, 31))/1000000</f>
        <v>0.71052000000000004</v>
      </c>
      <c r="X43" s="56">
        <f>(31*0.1790888*245000/1000000)+(31*0.2374*100000/1000000)</f>
        <v>2.0961194359999999</v>
      </c>
      <c r="Y43" s="56"/>
      <c r="Z43" s="14">
        <f>CHOOSE(CONTROL!$C$42, 4.3194, 4.3194) * CHOOSE(CONTROL!$C$21, $C$9, 100%, $E$9)</f>
        <v>4.3193999999999999</v>
      </c>
      <c r="AA43" s="55">
        <f>(131500*31*(6/31))/1000000</f>
        <v>0.78900000000000003</v>
      </c>
      <c r="AB43" s="49">
        <f>(B43*194.205+C43*267.466+D43*133.845+E43*53.484+F43*40+G43*185+H43*50+I43*100+J43*300)/(194.205+267.466+133.845+53.484+50+40+185+100+300)</f>
        <v>4.4467019611027192</v>
      </c>
      <c r="AC43" s="45">
        <f t="shared" si="3"/>
        <v>4.4082805755395684</v>
      </c>
    </row>
    <row r="44" spans="1:29" ht="15.75" x14ac:dyDescent="0.25">
      <c r="A44" s="13">
        <v>42217</v>
      </c>
      <c r="B44" s="14">
        <f>CHOOSE(CONTROL!$C$42, 4.4017, 4.4017) * CHOOSE(CONTROL!$C$21, $C$9, 100%, $E$9)</f>
        <v>4.4016999999999999</v>
      </c>
      <c r="C44" s="14">
        <f>CHOOSE(CONTROL!$C$42, 4.4097, 4.4097) * CHOOSE(CONTROL!$C$21, $C$9, 100%, $E$9)</f>
        <v>4.4097</v>
      </c>
      <c r="D44" s="14">
        <f>CHOOSE(CONTROL!$C$42, 4.6688, 4.6688) * CHOOSE(CONTROL!$C$21, $C$9, 100%, $E$9)</f>
        <v>4.6688000000000001</v>
      </c>
      <c r="E44" s="14">
        <f>CHOOSE(CONTROL!$C$42, 4.7002, 4.7002) * CHOOSE(CONTROL!$C$21, $C$9, 100%, $E$9)</f>
        <v>4.7001999999999997</v>
      </c>
      <c r="F44" s="14">
        <f>CHOOSE(CONTROL!$C$42, 4.4241, 4.4241)*CHOOSE(CONTROL!$C$21, $C$9, 100%, $E$9)</f>
        <v>4.4241000000000001</v>
      </c>
      <c r="G44" s="14">
        <f>CHOOSE(CONTROL!$C$42, 4.4413, 4.4413)*CHOOSE(CONTROL!$C$21, $C$9, 100%, $E$9)</f>
        <v>4.4413</v>
      </c>
      <c r="H44" s="14">
        <f>CHOOSE(CONTROL!$C$42, 4.6889, 4.6889) * CHOOSE(CONTROL!$C$21, $C$9, 100%, $E$9)</f>
        <v>4.6889000000000003</v>
      </c>
      <c r="I44" s="14">
        <f>CHOOSE(CONTROL!$C$42, 4.4365, 4.4365)* CHOOSE(CONTROL!$C$21, $C$9, 100%, $E$9)</f>
        <v>4.4364999999999997</v>
      </c>
      <c r="J44" s="14">
        <f>CHOOSE(CONTROL!$C$42, 4.4171, 4.4171)* CHOOSE(CONTROL!$C$21, $C$9, 100%, $E$9)</f>
        <v>4.4170999999999996</v>
      </c>
      <c r="K44" s="52"/>
      <c r="L44" s="14">
        <f>CHOOSE(CONTROL!$C$42, 5.2759, 5.2759) * CHOOSE(CONTROL!$C$21, $C$9, 100%, $E$9)</f>
        <v>5.2759</v>
      </c>
      <c r="M44" s="14">
        <f>CHOOSE(CONTROL!$C$42, 4.3453, 4.3453) * CHOOSE(CONTROL!$C$21, $C$9, 100%, $E$9)</f>
        <v>4.3452999999999999</v>
      </c>
      <c r="N44" s="14">
        <f>CHOOSE(CONTROL!$C$42, 4.3622, 4.3622) * CHOOSE(CONTROL!$C$21, $C$9, 100%, $E$9)</f>
        <v>4.3621999999999996</v>
      </c>
      <c r="O44" s="14">
        <f>CHOOSE(CONTROL!$C$42, 4.6122, 4.6122) * CHOOSE(CONTROL!$C$21, $C$9, 100%, $E$9)</f>
        <v>4.6121999999999996</v>
      </c>
      <c r="P44" s="14">
        <f>CHOOSE(CONTROL!$C$42, 4.3643, 4.3643) * CHOOSE(CONTROL!$C$21, $C$9, 100%, $E$9)</f>
        <v>4.3643000000000001</v>
      </c>
      <c r="Q44" s="14">
        <f>CHOOSE(CONTROL!$C$42, 5.2069, 5.2069) * CHOOSE(CONTROL!$C$21, $C$9, 100%, $E$9)</f>
        <v>5.2069000000000001</v>
      </c>
      <c r="R44" s="14">
        <f>CHOOSE(CONTROL!$C$42, 5.807, 5.807) * CHOOSE(CONTROL!$C$21, $C$9, 100%, $E$9)</f>
        <v>5.8070000000000004</v>
      </c>
      <c r="S44" s="14">
        <f>CHOOSE(CONTROL!$C$42, 4.2189, 4.2189) * CHOOSE(CONTROL!$C$21, $C$9, 100%, $E$9)</f>
        <v>4.2188999999999997</v>
      </c>
      <c r="T44" s="57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44" s="56">
        <f>(1000*CHOOSE(CONTROL!$C$42, 695, 695)*CHOOSE(CONTROL!$C$42, 0.5599, 0.5599)*CHOOSE(CONTROL!$C$42, 31, 31))/1000000</f>
        <v>12.063045499999998</v>
      </c>
      <c r="V44" s="56">
        <f>(1000*CHOOSE(CONTROL!$C$42, 580, 580)*CHOOSE(CONTROL!$C$42, 0.275, 0.275)*CHOOSE(CONTROL!$C$42, 31, 31))/1000000</f>
        <v>4.9444999999999997</v>
      </c>
      <c r="W44" s="56">
        <f>(1000*CHOOSE(CONTROL!$C$42, 0.1146, 0.1146)*CHOOSE(CONTROL!$C$42, 200, 200)*CHOOSE(CONTROL!$C$42, 31, 31))/1000000</f>
        <v>0.71052000000000004</v>
      </c>
      <c r="X44" s="56">
        <f>(31*0.1790888*245000/1000000)+(31*0.2374*100000/1000000)</f>
        <v>2.0961194359999999</v>
      </c>
      <c r="Y44" s="56"/>
      <c r="Z44" s="14">
        <f>CHOOSE(CONTROL!$C$42, 4.3378, 4.3378) * CHOOSE(CONTROL!$C$21, $C$9, 100%, $E$9)</f>
        <v>4.3377999999999997</v>
      </c>
      <c r="AA44" s="55">
        <f>(131500*31*(6/31))/1000000</f>
        <v>0.78900000000000003</v>
      </c>
      <c r="AB44" s="49">
        <f>(B44*194.205+C44*267.466+D44*133.845+E44*53.484+F44*40+G44*185+H44*50+I44*100+J44*300)/(194.205+267.466+133.845+53.484+50+40+185+100+300)</f>
        <v>4.4655494724320235</v>
      </c>
      <c r="AC44" s="45">
        <f t="shared" si="3"/>
        <v>4.4268100719424455</v>
      </c>
    </row>
    <row r="45" spans="1:29" ht="15.75" x14ac:dyDescent="0.25">
      <c r="A45" s="13">
        <v>42248</v>
      </c>
      <c r="B45" s="14">
        <f>CHOOSE(CONTROL!$C$42, 4.4046, 4.4046) * CHOOSE(CONTROL!$C$21, $C$9, 100%, $E$9)</f>
        <v>4.4046000000000003</v>
      </c>
      <c r="C45" s="14">
        <f>CHOOSE(CONTROL!$C$42, 4.4126, 4.4126) * CHOOSE(CONTROL!$C$21, $C$9, 100%, $E$9)</f>
        <v>4.4126000000000003</v>
      </c>
      <c r="D45" s="14">
        <f>CHOOSE(CONTROL!$C$42, 4.6717, 4.6717) * CHOOSE(CONTROL!$C$21, $C$9, 100%, $E$9)</f>
        <v>4.6717000000000004</v>
      </c>
      <c r="E45" s="14">
        <f>CHOOSE(CONTROL!$C$42, 4.7031, 4.7031) * CHOOSE(CONTROL!$C$21, $C$9, 100%, $E$9)</f>
        <v>4.7031000000000001</v>
      </c>
      <c r="F45" s="14">
        <f>CHOOSE(CONTROL!$C$42, 4.427, 4.427)*CHOOSE(CONTROL!$C$21, $C$9, 100%, $E$9)</f>
        <v>4.4269999999999996</v>
      </c>
      <c r="G45" s="14">
        <f>CHOOSE(CONTROL!$C$42, 4.4443, 4.4443)*CHOOSE(CONTROL!$C$21, $C$9, 100%, $E$9)</f>
        <v>4.4443000000000001</v>
      </c>
      <c r="H45" s="14">
        <f>CHOOSE(CONTROL!$C$42, 4.6918, 4.6918) * CHOOSE(CONTROL!$C$21, $C$9, 100%, $E$9)</f>
        <v>4.6917999999999997</v>
      </c>
      <c r="I45" s="14">
        <f>CHOOSE(CONTROL!$C$42, 4.4395, 4.4395)* CHOOSE(CONTROL!$C$21, $C$9, 100%, $E$9)</f>
        <v>4.4394999999999998</v>
      </c>
      <c r="J45" s="14">
        <f>CHOOSE(CONTROL!$C$42, 4.42, 4.42)* CHOOSE(CONTROL!$C$21, $C$9, 100%, $E$9)</f>
        <v>4.42</v>
      </c>
      <c r="K45" s="52"/>
      <c r="L45" s="14">
        <f>CHOOSE(CONTROL!$C$42, 5.2788, 5.2788) * CHOOSE(CONTROL!$C$21, $C$9, 100%, $E$9)</f>
        <v>5.2788000000000004</v>
      </c>
      <c r="M45" s="14">
        <f>CHOOSE(CONTROL!$C$42, 4.3482, 4.3482) * CHOOSE(CONTROL!$C$21, $C$9, 100%, $E$9)</f>
        <v>4.3482000000000003</v>
      </c>
      <c r="N45" s="14">
        <f>CHOOSE(CONTROL!$C$42, 4.3651, 4.3651) * CHOOSE(CONTROL!$C$21, $C$9, 100%, $E$9)</f>
        <v>4.3651</v>
      </c>
      <c r="O45" s="14">
        <f>CHOOSE(CONTROL!$C$42, 4.6151, 4.6151) * CHOOSE(CONTROL!$C$21, $C$9, 100%, $E$9)</f>
        <v>4.6151</v>
      </c>
      <c r="P45" s="14">
        <f>CHOOSE(CONTROL!$C$42, 4.3671, 4.3671) * CHOOSE(CONTROL!$C$21, $C$9, 100%, $E$9)</f>
        <v>4.3670999999999998</v>
      </c>
      <c r="Q45" s="14">
        <f>CHOOSE(CONTROL!$C$42, 5.2098, 5.2098) * CHOOSE(CONTROL!$C$21, $C$9, 100%, $E$9)</f>
        <v>5.2098000000000004</v>
      </c>
      <c r="R45" s="14">
        <f>CHOOSE(CONTROL!$C$42, 5.8098, 5.8098) * CHOOSE(CONTROL!$C$21, $C$9, 100%, $E$9)</f>
        <v>5.8098000000000001</v>
      </c>
      <c r="S45" s="14">
        <f>CHOOSE(CONTROL!$C$42, 4.2217, 4.2217) * CHOOSE(CONTROL!$C$21, $C$9, 100%, $E$9)</f>
        <v>4.2217000000000002</v>
      </c>
      <c r="T45" s="57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45" s="56">
        <f>(1000*CHOOSE(CONTROL!$C$42, 695, 695)*CHOOSE(CONTROL!$C$42, 0.5599, 0.5599)*CHOOSE(CONTROL!$C$42, 30, 30))/1000000</f>
        <v>11.673914999999997</v>
      </c>
      <c r="V45" s="56">
        <f>(1000*CHOOSE(CONTROL!$C$42, 580, 580)*CHOOSE(CONTROL!$C$42, 0.275, 0.275)*CHOOSE(CONTROL!$C$42, 30, 30))/1000000</f>
        <v>4.7850000000000001</v>
      </c>
      <c r="W45" s="56">
        <f>(1000*CHOOSE(CONTROL!$C$42, 0.1146, 0.1146)*CHOOSE(CONTROL!$C$42, 200, 200)*CHOOSE(CONTROL!$C$42, 30, 30))/1000000</f>
        <v>0.68759999999999999</v>
      </c>
      <c r="X45" s="56">
        <f>(30*0.1790888*245000/1000000)+(30*0.2374*100000/1000000)</f>
        <v>2.0285026799999999</v>
      </c>
      <c r="Y45" s="56"/>
      <c r="Z45" s="14">
        <f>CHOOSE(CONTROL!$C$42, 4.3406, 4.3406) * CHOOSE(CONTROL!$C$21, $C$9, 100%, $E$9)</f>
        <v>4.3406000000000002</v>
      </c>
      <c r="AA45" s="55">
        <f>(131500*30*(6/30))/1000000</f>
        <v>0.78900000000000003</v>
      </c>
      <c r="AB45" s="49">
        <f>(B45*194.205+C45*267.466+D45*133.845+E45*53.484+F45*40+G45*185+H45*50+I45*100+J45*300)/(194.205+267.466+133.845+53.484+50+40+185+100+300)</f>
        <v>4.4684709981117825</v>
      </c>
      <c r="AC45" s="45">
        <f t="shared" si="3"/>
        <v>4.4296956834532377</v>
      </c>
    </row>
    <row r="46" spans="1:29" ht="15.75" x14ac:dyDescent="0.25">
      <c r="A46" s="13">
        <v>42278</v>
      </c>
      <c r="B46" s="14">
        <f>CHOOSE(CONTROL!$C$42, 4.4371, 4.4371) * CHOOSE(CONTROL!$C$21, $C$9, 100%, $E$9)</f>
        <v>4.4371</v>
      </c>
      <c r="C46" s="14">
        <f>CHOOSE(CONTROL!$C$42, 4.4425, 4.4425) * CHOOSE(CONTROL!$C$21, $C$9, 100%, $E$9)</f>
        <v>4.4424999999999999</v>
      </c>
      <c r="D46" s="14">
        <f>CHOOSE(CONTROL!$C$42, 4.7065, 4.7065) * CHOOSE(CONTROL!$C$21, $C$9, 100%, $E$9)</f>
        <v>4.7065000000000001</v>
      </c>
      <c r="E46" s="14">
        <f>CHOOSE(CONTROL!$C$42, 4.7356, 4.7356) * CHOOSE(CONTROL!$C$21, $C$9, 100%, $E$9)</f>
        <v>4.7355999999999998</v>
      </c>
      <c r="F46" s="14">
        <f>CHOOSE(CONTROL!$C$42, 4.4618, 4.4618)*CHOOSE(CONTROL!$C$21, $C$9, 100%, $E$9)</f>
        <v>4.4618000000000002</v>
      </c>
      <c r="G46" s="14">
        <f>CHOOSE(CONTROL!$C$42, 4.4789, 4.4789)*CHOOSE(CONTROL!$C$21, $C$9, 100%, $E$9)</f>
        <v>4.4789000000000003</v>
      </c>
      <c r="H46" s="14">
        <f>CHOOSE(CONTROL!$C$42, 4.7261, 4.7261) * CHOOSE(CONTROL!$C$21, $C$9, 100%, $E$9)</f>
        <v>4.7260999999999997</v>
      </c>
      <c r="I46" s="14">
        <f>CHOOSE(CONTROL!$C$42, 4.4739, 4.4739)* CHOOSE(CONTROL!$C$21, $C$9, 100%, $E$9)</f>
        <v>4.4739000000000004</v>
      </c>
      <c r="J46" s="14">
        <f>CHOOSE(CONTROL!$C$42, 4.4548, 4.4548)* CHOOSE(CONTROL!$C$21, $C$9, 100%, $E$9)</f>
        <v>4.4547999999999996</v>
      </c>
      <c r="K46" s="52"/>
      <c r="L46" s="14">
        <f>CHOOSE(CONTROL!$C$42, 5.3131, 5.3131) * CHOOSE(CONTROL!$C$21, $C$9, 100%, $E$9)</f>
        <v>5.3131000000000004</v>
      </c>
      <c r="M46" s="14">
        <f>CHOOSE(CONTROL!$C$42, 4.3823, 4.3823) * CHOOSE(CONTROL!$C$21, $C$9, 100%, $E$9)</f>
        <v>4.3822999999999999</v>
      </c>
      <c r="N46" s="14">
        <f>CHOOSE(CONTROL!$C$42, 4.3991, 4.3991) * CHOOSE(CONTROL!$C$21, $C$9, 100%, $E$9)</f>
        <v>4.3990999999999998</v>
      </c>
      <c r="O46" s="14">
        <f>CHOOSE(CONTROL!$C$42, 4.6488, 4.6488) * CHOOSE(CONTROL!$C$21, $C$9, 100%, $E$9)</f>
        <v>4.6487999999999996</v>
      </c>
      <c r="P46" s="14">
        <f>CHOOSE(CONTROL!$C$42, 4.4009, 4.4009) * CHOOSE(CONTROL!$C$21, $C$9, 100%, $E$9)</f>
        <v>4.4009</v>
      </c>
      <c r="Q46" s="14">
        <f>CHOOSE(CONTROL!$C$42, 5.2435, 5.2435) * CHOOSE(CONTROL!$C$21, $C$9, 100%, $E$9)</f>
        <v>5.2435</v>
      </c>
      <c r="R46" s="14">
        <f>CHOOSE(CONTROL!$C$42, 5.8436, 5.8436) * CHOOSE(CONTROL!$C$21, $C$9, 100%, $E$9)</f>
        <v>5.8436000000000003</v>
      </c>
      <c r="S46" s="14">
        <f>CHOOSE(CONTROL!$C$42, 4.2547, 4.2547) * CHOOSE(CONTROL!$C$21, $C$9, 100%, $E$9)</f>
        <v>4.2546999999999997</v>
      </c>
      <c r="T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" s="56">
        <f>(1000*CHOOSE(CONTROL!$C$42, 695, 695)*CHOOSE(CONTROL!$C$42, 0.5599, 0.5599)*CHOOSE(CONTROL!$C$42, 31, 31))/1000000</f>
        <v>12.063045499999998</v>
      </c>
      <c r="V46" s="56">
        <f>(1000*CHOOSE(CONTROL!$C$42, 580, 580)*CHOOSE(CONTROL!$C$42, 0.275, 0.275)*CHOOSE(CONTROL!$C$42, 31, 31))/1000000</f>
        <v>4.9444999999999997</v>
      </c>
      <c r="W46" s="56">
        <f>(1000*CHOOSE(CONTROL!$C$42, 0.1146, 0.1146)*CHOOSE(CONTROL!$C$42, 200, 200)*CHOOSE(CONTROL!$C$42, 31, 31))/1000000</f>
        <v>0.71052000000000004</v>
      </c>
      <c r="X46" s="56">
        <f>(31*0.1790888*245000/1000000)+(31*0.2374*100000/1000000)</f>
        <v>2.0961194359999999</v>
      </c>
      <c r="Y46" s="56"/>
      <c r="Z46" s="14">
        <f>CHOOSE(CONTROL!$C$42, 4.3744, 4.3744) * CHOOSE(CONTROL!$C$21, $C$9, 100%, $E$9)</f>
        <v>4.3743999999999996</v>
      </c>
      <c r="AA46" s="55">
        <f>(131500*31*(6/31))/1000000</f>
        <v>0.78900000000000003</v>
      </c>
      <c r="AB46" s="49">
        <f>(B46*131.881+C46*277.167+D46*79.08+E46*125.872+F46*40+G46*185+H46*0+I46*100+J46*300)/(131.881+277.167+79.08+125.872+0+40+185+100+300)</f>
        <v>4.5001223129943506</v>
      </c>
      <c r="AC46" s="45">
        <f t="shared" si="3"/>
        <v>4.4636172661870503</v>
      </c>
    </row>
    <row r="47" spans="1:29" ht="15.75" x14ac:dyDescent="0.25">
      <c r="A47" s="13">
        <v>42309</v>
      </c>
      <c r="B47" s="14">
        <f>CHOOSE(CONTROL!$C$42, 4.5158, 4.5158) * CHOOSE(CONTROL!$C$21, $C$9, 100%, $E$9)</f>
        <v>4.5157999999999996</v>
      </c>
      <c r="C47" s="14">
        <f>CHOOSE(CONTROL!$C$42, 4.5209, 4.5209) * CHOOSE(CONTROL!$C$21, $C$9, 100%, $E$9)</f>
        <v>4.5209000000000001</v>
      </c>
      <c r="D47" s="14">
        <f>CHOOSE(CONTROL!$C$42, 4.6039, 4.6039) * CHOOSE(CONTROL!$C$21, $C$9, 100%, $E$9)</f>
        <v>4.6039000000000003</v>
      </c>
      <c r="E47" s="14">
        <f>CHOOSE(CONTROL!$C$42, 4.6381, 4.6381) * CHOOSE(CONTROL!$C$21, $C$9, 100%, $E$9)</f>
        <v>4.6380999999999997</v>
      </c>
      <c r="F47" s="14">
        <f>CHOOSE(CONTROL!$C$42, 4.5434, 4.5434)*CHOOSE(CONTROL!$C$21, $C$9, 100%, $E$9)</f>
        <v>4.5434000000000001</v>
      </c>
      <c r="G47" s="14">
        <f>CHOOSE(CONTROL!$C$42, 4.5608, 4.5608)*CHOOSE(CONTROL!$C$21, $C$9, 100%, $E$9)</f>
        <v>4.5608000000000004</v>
      </c>
      <c r="H47" s="14">
        <f>CHOOSE(CONTROL!$C$42, 4.6272, 4.6272) * CHOOSE(CONTROL!$C$21, $C$9, 100%, $E$9)</f>
        <v>4.6272000000000002</v>
      </c>
      <c r="I47" s="14">
        <f>CHOOSE(CONTROL!$C$42, 4.5496, 4.5496)* CHOOSE(CONTROL!$C$21, $C$9, 100%, $E$9)</f>
        <v>4.5495999999999999</v>
      </c>
      <c r="J47" s="14">
        <f>CHOOSE(CONTROL!$C$42, 4.5364, 4.5364)* CHOOSE(CONTROL!$C$21, $C$9, 100%, $E$9)</f>
        <v>4.5364000000000004</v>
      </c>
      <c r="K47" s="52"/>
      <c r="L47" s="14">
        <f>CHOOSE(CONTROL!$C$42, 5.2142, 5.2142) * CHOOSE(CONTROL!$C$21, $C$9, 100%, $E$9)</f>
        <v>5.2141999999999999</v>
      </c>
      <c r="M47" s="14">
        <f>CHOOSE(CONTROL!$C$42, 4.4625, 4.4625) * CHOOSE(CONTROL!$C$21, $C$9, 100%, $E$9)</f>
        <v>4.4625000000000004</v>
      </c>
      <c r="N47" s="14">
        <f>CHOOSE(CONTROL!$C$42, 4.4796, 4.4796) * CHOOSE(CONTROL!$C$21, $C$9, 100%, $E$9)</f>
        <v>4.4795999999999996</v>
      </c>
      <c r="O47" s="14">
        <f>CHOOSE(CONTROL!$C$42, 4.5517, 4.5517) * CHOOSE(CONTROL!$C$21, $C$9, 100%, $E$9)</f>
        <v>4.5517000000000003</v>
      </c>
      <c r="P47" s="14">
        <f>CHOOSE(CONTROL!$C$42, 4.4753, 4.4753) * CHOOSE(CONTROL!$C$21, $C$9, 100%, $E$9)</f>
        <v>4.4752999999999998</v>
      </c>
      <c r="Q47" s="14">
        <f>CHOOSE(CONTROL!$C$42, 5.1464, 5.1464) * CHOOSE(CONTROL!$C$21, $C$9, 100%, $E$9)</f>
        <v>5.1463999999999999</v>
      </c>
      <c r="R47" s="14">
        <f>CHOOSE(CONTROL!$C$42, 5.7463, 5.7463) * CHOOSE(CONTROL!$C$21, $C$9, 100%, $E$9)</f>
        <v>5.7462999999999997</v>
      </c>
      <c r="S47" s="14">
        <f>CHOOSE(CONTROL!$C$42, 4.3307, 4.3307) * CHOOSE(CONTROL!$C$21, $C$9, 100%, $E$9)</f>
        <v>4.3307000000000002</v>
      </c>
      <c r="T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" s="56">
        <f>(1000*CHOOSE(CONTROL!$C$42, 695, 695)*CHOOSE(CONTROL!$C$42, 0.5599, 0.5599)*CHOOSE(CONTROL!$C$42, 30, 30))/1000000</f>
        <v>11.673914999999997</v>
      </c>
      <c r="V47" s="56">
        <f>(1000*CHOOSE(CONTROL!$C$42, 580, 580)*CHOOSE(CONTROL!$C$42, 0.275, 0.275)*CHOOSE(CONTROL!$C$42, 30, 30))/1000000</f>
        <v>4.7850000000000001</v>
      </c>
      <c r="W47" s="56">
        <f>(1000*CHOOSE(CONTROL!$C$42, 0.1146, 0.1146)*CHOOSE(CONTROL!$C$42, 200, 200)*CHOOSE(CONTROL!$C$42, 30, 30))/1000000</f>
        <v>0.68759999999999999</v>
      </c>
      <c r="X47" s="56">
        <f>(30*0.1790888*100000/1000000)+(30*0.2374*100000/1000000)</f>
        <v>1.2494664</v>
      </c>
      <c r="Y47" s="56"/>
      <c r="Z47" s="14">
        <f>CHOOSE(CONTROL!$C$42, 4.4599, 4.4599) * CHOOSE(CONTROL!$C$21, $C$9, 100%, $E$9)</f>
        <v>4.4599000000000002</v>
      </c>
      <c r="AA47" s="55">
        <f>(131500*30*(6/30))/1000000</f>
        <v>0.78900000000000003</v>
      </c>
      <c r="AB47" s="49">
        <f>(B47*122.58+C47*297.941+D47*89.177+E47*40.302+F47*40+G47*160+H47*0+I47*100+J47*300)/(122.58+297.941+89.177+40.302+0+40+160+100+300)</f>
        <v>4.5437729803478266</v>
      </c>
      <c r="AC47" s="45">
        <f>(M47*240+N47*40+O47*315+P47*100)/(240+40+315+100)</f>
        <v>4.5057546762589924</v>
      </c>
    </row>
    <row r="48" spans="1:29" ht="15.75" x14ac:dyDescent="0.25">
      <c r="A48" s="13">
        <v>42339</v>
      </c>
      <c r="B48" s="14">
        <f>CHOOSE(CONTROL!$C$42, 4.7031, 4.7031) * CHOOSE(CONTROL!$C$21, $C$9, 100%, $E$9)</f>
        <v>4.7031000000000001</v>
      </c>
      <c r="C48" s="14">
        <f>CHOOSE(CONTROL!$C$42, 4.7082, 4.7082) * CHOOSE(CONTROL!$C$21, $C$9, 100%, $E$9)</f>
        <v>4.7081999999999997</v>
      </c>
      <c r="D48" s="14">
        <f>CHOOSE(CONTROL!$C$42, 4.7913, 4.7913) * CHOOSE(CONTROL!$C$21, $C$9, 100%, $E$9)</f>
        <v>4.7912999999999997</v>
      </c>
      <c r="E48" s="14">
        <f>CHOOSE(CONTROL!$C$42, 4.8254, 4.8254) * CHOOSE(CONTROL!$C$21, $C$9, 100%, $E$9)</f>
        <v>4.8254000000000001</v>
      </c>
      <c r="F48" s="14">
        <f>CHOOSE(CONTROL!$C$42, 4.7332, 4.7332)*CHOOSE(CONTROL!$C$21, $C$9, 100%, $E$9)</f>
        <v>4.7332000000000001</v>
      </c>
      <c r="G48" s="14">
        <f>CHOOSE(CONTROL!$C$42, 4.7512, 4.7512)*CHOOSE(CONTROL!$C$21, $C$9, 100%, $E$9)</f>
        <v>4.7511999999999999</v>
      </c>
      <c r="H48" s="14">
        <f>CHOOSE(CONTROL!$C$42, 4.8146, 4.8146) * CHOOSE(CONTROL!$C$21, $C$9, 100%, $E$9)</f>
        <v>4.8146000000000004</v>
      </c>
      <c r="I48" s="14">
        <f>CHOOSE(CONTROL!$C$42, 4.7375, 4.7375)* CHOOSE(CONTROL!$C$21, $C$9, 100%, $E$9)</f>
        <v>4.7374999999999998</v>
      </c>
      <c r="J48" s="14">
        <f>CHOOSE(CONTROL!$C$42, 4.7262, 4.7262)* CHOOSE(CONTROL!$C$21, $C$9, 100%, $E$9)</f>
        <v>4.7262000000000004</v>
      </c>
      <c r="K48" s="52"/>
      <c r="L48" s="14">
        <f>CHOOSE(CONTROL!$C$42, 5.4016, 5.4016) * CHOOSE(CONTROL!$C$21, $C$9, 100%, $E$9)</f>
        <v>5.4016000000000002</v>
      </c>
      <c r="M48" s="14">
        <f>CHOOSE(CONTROL!$C$42, 4.6489, 4.6489) * CHOOSE(CONTROL!$C$21, $C$9, 100%, $E$9)</f>
        <v>4.6489000000000003</v>
      </c>
      <c r="N48" s="14">
        <f>CHOOSE(CONTROL!$C$42, 4.6666, 4.6666) * CHOOSE(CONTROL!$C$21, $C$9, 100%, $E$9)</f>
        <v>4.6665999999999999</v>
      </c>
      <c r="O48" s="14">
        <f>CHOOSE(CONTROL!$C$42, 4.7357, 4.7357) * CHOOSE(CONTROL!$C$21, $C$9, 100%, $E$9)</f>
        <v>4.7356999999999996</v>
      </c>
      <c r="P48" s="14">
        <f>CHOOSE(CONTROL!$C$42, 4.6598, 4.6598) * CHOOSE(CONTROL!$C$21, $C$9, 100%, $E$9)</f>
        <v>4.6597999999999997</v>
      </c>
      <c r="Q48" s="14">
        <f>CHOOSE(CONTROL!$C$42, 5.3304, 5.3304) * CHOOSE(CONTROL!$C$21, $C$9, 100%, $E$9)</f>
        <v>5.3304</v>
      </c>
      <c r="R48" s="14">
        <f>CHOOSE(CONTROL!$C$42, 5.9307, 5.9307) * CHOOSE(CONTROL!$C$21, $C$9, 100%, $E$9)</f>
        <v>5.9306999999999999</v>
      </c>
      <c r="S48" s="14">
        <f>CHOOSE(CONTROL!$C$42, 4.5107, 4.5107) * CHOOSE(CONTROL!$C$21, $C$9, 100%, $E$9)</f>
        <v>4.5106999999999999</v>
      </c>
      <c r="T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" s="56">
        <f>(1000*CHOOSE(CONTROL!$C$42, 695, 695)*CHOOSE(CONTROL!$C$42, 0.5599, 0.5599)*CHOOSE(CONTROL!$C$42, 31, 31))/1000000</f>
        <v>12.063045499999998</v>
      </c>
      <c r="V48" s="56">
        <f>(1000*CHOOSE(CONTROL!$C$42, 580, 580)*CHOOSE(CONTROL!$C$42, 0.275, 0.275)*CHOOSE(CONTROL!$C$42, 31, 31))/1000000</f>
        <v>4.9444999999999997</v>
      </c>
      <c r="W48" s="56">
        <f>(1000*CHOOSE(CONTROL!$C$42, 0.1146, 0.1146)*CHOOSE(CONTROL!$C$42, 200, 200)*CHOOSE(CONTROL!$C$42, 31, 31))/1000000</f>
        <v>0.71052000000000004</v>
      </c>
      <c r="X48" s="56">
        <f>(31*0.1790888*100000/1000000)+(31*0.2374*100000/1000000)</f>
        <v>1.2911152800000001</v>
      </c>
      <c r="Y48" s="56"/>
      <c r="Z48" s="14">
        <f>CHOOSE(CONTROL!$C$42, 4.6441, 4.6441) * CHOOSE(CONTROL!$C$21, $C$9, 100%, $E$9)</f>
        <v>4.6440999999999999</v>
      </c>
      <c r="AA48" s="55">
        <f>(131500*31*(6/31))/1000000</f>
        <v>0.78900000000000003</v>
      </c>
      <c r="AB48" s="49">
        <f>(B48*122.58+C48*297.941+D48*89.177+E48*40.302+F48*40+G48*160+H48*0+I48*100+J48*300)/(122.58+297.941+89.177+40.302+0+40+160+100+300)</f>
        <v>4.732303343565218</v>
      </c>
      <c r="AC48" s="45">
        <f>(M48*240+N48*40+O48*315+P48*100)/(240+40+315+100)</f>
        <v>4.690828057553956</v>
      </c>
    </row>
    <row r="49" spans="1:29" ht="15.75" x14ac:dyDescent="0.25">
      <c r="A49" s="13">
        <v>42370</v>
      </c>
      <c r="B49" s="14">
        <f>CHOOSE(CONTROL!$C$42, 4.7789, 4.7789) * CHOOSE(CONTROL!$C$21, $C$9, 100%, $E$9)</f>
        <v>4.7789000000000001</v>
      </c>
      <c r="C49" s="14">
        <f>CHOOSE(CONTROL!$C$42, 4.7839, 4.7839) * CHOOSE(CONTROL!$C$21, $C$9, 100%, $E$9)</f>
        <v>4.7839</v>
      </c>
      <c r="D49" s="14">
        <f>CHOOSE(CONTROL!$C$42, 4.8774, 4.8774) * CHOOSE(CONTROL!$C$21, $C$9, 100%, $E$9)</f>
        <v>4.8773999999999997</v>
      </c>
      <c r="E49" s="14">
        <f>CHOOSE(CONTROL!$C$42, 4.9115, 4.9115) * CHOOSE(CONTROL!$C$21, $C$9, 100%, $E$9)</f>
        <v>4.9115000000000002</v>
      </c>
      <c r="F49" s="14">
        <f>CHOOSE(CONTROL!$C$42, 4.8062, 4.8062)*CHOOSE(CONTROL!$C$21, $C$9, 100%, $E$9)</f>
        <v>4.8061999999999996</v>
      </c>
      <c r="G49" s="14">
        <f>CHOOSE(CONTROL!$C$42, 4.8241, 4.8241)*CHOOSE(CONTROL!$C$21, $C$9, 100%, $E$9)</f>
        <v>4.8240999999999996</v>
      </c>
      <c r="H49" s="14">
        <f>CHOOSE(CONTROL!$C$42, 4.9007, 4.9007) * CHOOSE(CONTROL!$C$21, $C$9, 100%, $E$9)</f>
        <v>4.9006999999999996</v>
      </c>
      <c r="I49" s="14">
        <f>CHOOSE(CONTROL!$C$42, 4.8197, 4.8197)* CHOOSE(CONTROL!$C$21, $C$9, 100%, $E$9)</f>
        <v>4.8197000000000001</v>
      </c>
      <c r="J49" s="14">
        <f>CHOOSE(CONTROL!$C$42, 4.7992, 4.7992)* CHOOSE(CONTROL!$C$21, $C$9, 100%, $E$9)</f>
        <v>4.7991999999999999</v>
      </c>
      <c r="K49" s="52"/>
      <c r="L49" s="14">
        <f>CHOOSE(CONTROL!$C$42, 5.4877, 5.4877) * CHOOSE(CONTROL!$C$21, $C$9, 100%, $E$9)</f>
        <v>5.4877000000000002</v>
      </c>
      <c r="M49" s="14">
        <f>CHOOSE(CONTROL!$C$42, 4.7205, 4.7205) * CHOOSE(CONTROL!$C$21, $C$9, 100%, $E$9)</f>
        <v>4.7205000000000004</v>
      </c>
      <c r="N49" s="14">
        <f>CHOOSE(CONTROL!$C$42, 4.7382, 4.7382) * CHOOSE(CONTROL!$C$21, $C$9, 100%, $E$9)</f>
        <v>4.7382</v>
      </c>
      <c r="O49" s="14">
        <f>CHOOSE(CONTROL!$C$42, 4.8202, 4.8202) * CHOOSE(CONTROL!$C$21, $C$9, 100%, $E$9)</f>
        <v>4.8201999999999998</v>
      </c>
      <c r="P49" s="14">
        <f>CHOOSE(CONTROL!$C$42, 4.7405, 4.7405) * CHOOSE(CONTROL!$C$21, $C$9, 100%, $E$9)</f>
        <v>4.7404999999999999</v>
      </c>
      <c r="Q49" s="14">
        <f>CHOOSE(CONTROL!$C$42, 5.4149, 5.4149) * CHOOSE(CONTROL!$C$21, $C$9, 100%, $E$9)</f>
        <v>5.4149000000000003</v>
      </c>
      <c r="R49" s="14">
        <f>CHOOSE(CONTROL!$C$42, 6.0155, 6.0155) * CHOOSE(CONTROL!$C$21, $C$9, 100%, $E$9)</f>
        <v>6.0155000000000003</v>
      </c>
      <c r="S49" s="14">
        <f>CHOOSE(CONTROL!$C$42, 4.5835, 4.5835) * CHOOSE(CONTROL!$C$21, $C$9, 100%, $E$9)</f>
        <v>4.5834999999999999</v>
      </c>
      <c r="T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" s="56">
        <f>(1000*CHOOSE(CONTROL!$C$42, 695, 695)*CHOOSE(CONTROL!$C$42, 0.5599, 0.5599)*CHOOSE(CONTROL!$C$42, 31, 31))/1000000</f>
        <v>12.063045499999998</v>
      </c>
      <c r="V49" s="56">
        <f>(1000*CHOOSE(CONTROL!$C$42, 580, 580)*CHOOSE(CONTROL!$C$42, 0.275, 0.275)*CHOOSE(CONTROL!$C$42, 31, 31))/1000000</f>
        <v>4.9444999999999997</v>
      </c>
      <c r="W49" s="56">
        <f>(1000*CHOOSE(CONTROL!$C$42, 0.1146, 0.1146)*CHOOSE(CONTROL!$C$42, 200, 200)*CHOOSE(CONTROL!$C$42, 31, 31))/1000000</f>
        <v>0.71052000000000004</v>
      </c>
      <c r="X49" s="56">
        <f>(31*0.1790888*100000/1000000)+(31*0.2374*100000/1000000)</f>
        <v>1.2911152800000001</v>
      </c>
      <c r="Y49" s="56"/>
      <c r="Z49" s="14"/>
      <c r="AA49" s="55"/>
      <c r="AB49" s="49">
        <f>(B49*122.58+C49*297.941+D49*89.177+E49*40.302+F49*40+G49*160+H49*0+I49*100+J49*300)/(122.58+297.941+89.177+40.302+0+40+160+100+300)</f>
        <v>4.8085623345217394</v>
      </c>
      <c r="AC49" s="45">
        <f>(M49*'RAP TEMPLATE-GAS AVAILABILITY'!O48+N49*'RAP TEMPLATE-GAS AVAILABILITY'!P48+O49*'RAP TEMPLATE-GAS AVAILABILITY'!Q48+P49*'RAP TEMPLATE-GAS AVAILABILITY'!R48)/('RAP TEMPLATE-GAS AVAILABILITY'!O48+'RAP TEMPLATE-GAS AVAILABILITY'!P48+'RAP TEMPLATE-GAS AVAILABILITY'!Q48+'RAP TEMPLATE-GAS AVAILABILITY'!R48)</f>
        <v>4.7695841726618706</v>
      </c>
    </row>
    <row r="50" spans="1:29" ht="15.75" x14ac:dyDescent="0.25">
      <c r="A50" s="13">
        <v>42401</v>
      </c>
      <c r="B50" s="14">
        <f>CHOOSE(CONTROL!$C$42, 4.8738, 4.8738) * CHOOSE(CONTROL!$C$21, $C$9, 100%, $E$9)</f>
        <v>4.8738000000000001</v>
      </c>
      <c r="C50" s="14">
        <f>CHOOSE(CONTROL!$C$42, 4.8788, 4.8788) * CHOOSE(CONTROL!$C$21, $C$9, 100%, $E$9)</f>
        <v>4.8788</v>
      </c>
      <c r="D50" s="14">
        <f>CHOOSE(CONTROL!$C$42, 4.9723, 4.9723) * CHOOSE(CONTROL!$C$21, $C$9, 100%, $E$9)</f>
        <v>4.9722999999999997</v>
      </c>
      <c r="E50" s="14">
        <f>CHOOSE(CONTROL!$C$42, 5.0064, 5.0064) * CHOOSE(CONTROL!$C$21, $C$9, 100%, $E$9)</f>
        <v>5.0064000000000002</v>
      </c>
      <c r="F50" s="14">
        <f>CHOOSE(CONTROL!$C$42, 4.9007, 4.9007)*CHOOSE(CONTROL!$C$21, $C$9, 100%, $E$9)</f>
        <v>4.9006999999999996</v>
      </c>
      <c r="G50" s="14">
        <f>CHOOSE(CONTROL!$C$42, 4.9186, 4.9186)*CHOOSE(CONTROL!$C$21, $C$9, 100%, $E$9)</f>
        <v>4.9185999999999996</v>
      </c>
      <c r="H50" s="14">
        <f>CHOOSE(CONTROL!$C$42, 4.9956, 4.9956) * CHOOSE(CONTROL!$C$21, $C$9, 100%, $E$9)</f>
        <v>4.9955999999999996</v>
      </c>
      <c r="I50" s="14">
        <f>CHOOSE(CONTROL!$C$42, 4.9149, 4.9149)* CHOOSE(CONTROL!$C$21, $C$9, 100%, $E$9)</f>
        <v>4.9149000000000003</v>
      </c>
      <c r="J50" s="14">
        <f>CHOOSE(CONTROL!$C$42, 4.8937, 4.8937)* CHOOSE(CONTROL!$C$21, $C$9, 100%, $E$9)</f>
        <v>4.8936999999999999</v>
      </c>
      <c r="K50" s="52"/>
      <c r="L50" s="14">
        <f>CHOOSE(CONTROL!$C$42, 5.5826, 5.5826) * CHOOSE(CONTROL!$C$21, $C$9, 100%, $E$9)</f>
        <v>5.5826000000000002</v>
      </c>
      <c r="M50" s="14">
        <f>CHOOSE(CONTROL!$C$42, 4.8134, 4.8134) * CHOOSE(CONTROL!$C$21, $C$9, 100%, $E$9)</f>
        <v>4.8133999999999997</v>
      </c>
      <c r="N50" s="14">
        <f>CHOOSE(CONTROL!$C$42, 4.8309, 4.8309) * CHOOSE(CONTROL!$C$21, $C$9, 100%, $E$9)</f>
        <v>4.8308999999999997</v>
      </c>
      <c r="O50" s="14">
        <f>CHOOSE(CONTROL!$C$42, 4.9134, 4.9134) * CHOOSE(CONTROL!$C$21, $C$9, 100%, $E$9)</f>
        <v>4.9134000000000002</v>
      </c>
      <c r="P50" s="14">
        <f>CHOOSE(CONTROL!$C$42, 4.834, 4.834) * CHOOSE(CONTROL!$C$21, $C$9, 100%, $E$9)</f>
        <v>4.8339999999999996</v>
      </c>
      <c r="Q50" s="14">
        <f>CHOOSE(CONTROL!$C$42, 5.5081, 5.5081) * CHOOSE(CONTROL!$C$21, $C$9, 100%, $E$9)</f>
        <v>5.5080999999999998</v>
      </c>
      <c r="R50" s="14">
        <f>CHOOSE(CONTROL!$C$42, 6.1089, 6.1089) * CHOOSE(CONTROL!$C$21, $C$9, 100%, $E$9)</f>
        <v>6.1089000000000002</v>
      </c>
      <c r="S50" s="14">
        <f>CHOOSE(CONTROL!$C$42, 4.6747, 4.6747) * CHOOSE(CONTROL!$C$21, $C$9, 100%, $E$9)</f>
        <v>4.6746999999999996</v>
      </c>
      <c r="T5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0" s="56">
        <f>(1000*CHOOSE(CONTROL!$C$42, 695, 695)*CHOOSE(CONTROL!$C$42, 0.5599, 0.5599)*CHOOSE(CONTROL!$C$42, 29, 29))/1000000</f>
        <v>11.284784499999999</v>
      </c>
      <c r="V50" s="56">
        <f>(1000*CHOOSE(CONTROL!$C$42, 580, 580)*CHOOSE(CONTROL!$C$42, 0.275, 0.275)*CHOOSE(CONTROL!$C$42, 29, 29))/1000000</f>
        <v>4.6254999999999997</v>
      </c>
      <c r="W50" s="56">
        <f>(1000*CHOOSE(CONTROL!$C$42, 0.1146, 0.1146)*CHOOSE(CONTROL!$C$42, 200, 200)*CHOOSE(CONTROL!$C$42, 29, 29))/1000000</f>
        <v>0.66468000000000005</v>
      </c>
      <c r="X50" s="56">
        <f>(29*0.1790888*100000/1000000)+(29*0.2374*100000/1000000)</f>
        <v>1.2078175199999999</v>
      </c>
      <c r="Y50" s="56"/>
      <c r="Z50" s="14"/>
      <c r="AA50" s="55"/>
      <c r="AB50" s="49">
        <f>(B50*122.58+C50*297.941+D50*89.177+E50*40.302+F50*40+G50*160+H50*0+I50*100+J50*300)/(122.58+297.941+89.177+40.302+0+40+160+100+300)</f>
        <v>4.9033145084347822</v>
      </c>
      <c r="AC50" s="45">
        <f>(M50*'RAP TEMPLATE-GAS AVAILABILITY'!O49+N50*'RAP TEMPLATE-GAS AVAILABILITY'!P49+O50*'RAP TEMPLATE-GAS AVAILABILITY'!Q49+P50*'RAP TEMPLATE-GAS AVAILABILITY'!R49)/('RAP TEMPLATE-GAS AVAILABILITY'!O49+'RAP TEMPLATE-GAS AVAILABILITY'!P49+'RAP TEMPLATE-GAS AVAILABILITY'!Q49+'RAP TEMPLATE-GAS AVAILABILITY'!R49)</f>
        <v>4.8626949640287771</v>
      </c>
    </row>
    <row r="51" spans="1:29" ht="15.75" x14ac:dyDescent="0.25">
      <c r="A51" s="13">
        <v>42430</v>
      </c>
      <c r="B51" s="14">
        <f>CHOOSE(CONTROL!$C$42, 4.7454, 4.7454) * CHOOSE(CONTROL!$C$21, $C$9, 100%, $E$9)</f>
        <v>4.7454000000000001</v>
      </c>
      <c r="C51" s="14">
        <f>CHOOSE(CONTROL!$C$42, 4.7505, 4.7505) * CHOOSE(CONTROL!$C$21, $C$9, 100%, $E$9)</f>
        <v>4.7504999999999997</v>
      </c>
      <c r="D51" s="14">
        <f>CHOOSE(CONTROL!$C$42, 4.8439, 4.8439) * CHOOSE(CONTROL!$C$21, $C$9, 100%, $E$9)</f>
        <v>4.8438999999999997</v>
      </c>
      <c r="E51" s="14">
        <f>CHOOSE(CONTROL!$C$42, 4.878, 4.878) * CHOOSE(CONTROL!$C$21, $C$9, 100%, $E$9)</f>
        <v>4.8780000000000001</v>
      </c>
      <c r="F51" s="14">
        <f>CHOOSE(CONTROL!$C$42, 4.7715, 4.7715)*CHOOSE(CONTROL!$C$21, $C$9, 100%, $E$9)</f>
        <v>4.7714999999999996</v>
      </c>
      <c r="G51" s="14">
        <f>CHOOSE(CONTROL!$C$42, 4.7891, 4.7891)*CHOOSE(CONTROL!$C$21, $C$9, 100%, $E$9)</f>
        <v>4.7891000000000004</v>
      </c>
      <c r="H51" s="14">
        <f>CHOOSE(CONTROL!$C$42, 4.8672, 4.8672) * CHOOSE(CONTROL!$C$21, $C$9, 100%, $E$9)</f>
        <v>4.8672000000000004</v>
      </c>
      <c r="I51" s="14">
        <f>CHOOSE(CONTROL!$C$42, 4.7862, 4.7862)* CHOOSE(CONTROL!$C$21, $C$9, 100%, $E$9)</f>
        <v>4.7862</v>
      </c>
      <c r="J51" s="14">
        <f>CHOOSE(CONTROL!$C$42, 4.7645, 4.7645)* CHOOSE(CONTROL!$C$21, $C$9, 100%, $E$9)</f>
        <v>4.7645</v>
      </c>
      <c r="K51" s="52"/>
      <c r="L51" s="14">
        <f>CHOOSE(CONTROL!$C$42, 5.4542, 5.4542) * CHOOSE(CONTROL!$C$21, $C$9, 100%, $E$9)</f>
        <v>5.4542000000000002</v>
      </c>
      <c r="M51" s="14">
        <f>CHOOSE(CONTROL!$C$42, 4.6865, 4.6865) * CHOOSE(CONTROL!$C$21, $C$9, 100%, $E$9)</f>
        <v>4.6864999999999997</v>
      </c>
      <c r="N51" s="14">
        <f>CHOOSE(CONTROL!$C$42, 4.7038, 4.7038) * CHOOSE(CONTROL!$C$21, $C$9, 100%, $E$9)</f>
        <v>4.7038000000000002</v>
      </c>
      <c r="O51" s="14">
        <f>CHOOSE(CONTROL!$C$42, 4.7874, 4.7874) * CHOOSE(CONTROL!$C$21, $C$9, 100%, $E$9)</f>
        <v>4.7873999999999999</v>
      </c>
      <c r="P51" s="14">
        <f>CHOOSE(CONTROL!$C$42, 4.7076, 4.7076) * CHOOSE(CONTROL!$C$21, $C$9, 100%, $E$9)</f>
        <v>4.7076000000000002</v>
      </c>
      <c r="Q51" s="14">
        <f>CHOOSE(CONTROL!$C$42, 5.3821, 5.3821) * CHOOSE(CONTROL!$C$21, $C$9, 100%, $E$9)</f>
        <v>5.3821000000000003</v>
      </c>
      <c r="R51" s="14">
        <f>CHOOSE(CONTROL!$C$42, 5.9825, 5.9825) * CHOOSE(CONTROL!$C$21, $C$9, 100%, $E$9)</f>
        <v>5.9824999999999999</v>
      </c>
      <c r="S51" s="14">
        <f>CHOOSE(CONTROL!$C$42, 4.5513, 4.5513) * CHOOSE(CONTROL!$C$21, $C$9, 100%, $E$9)</f>
        <v>4.5513000000000003</v>
      </c>
      <c r="T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" s="56">
        <f>(1000*CHOOSE(CONTROL!$C$42, 695, 695)*CHOOSE(CONTROL!$C$42, 0.5599, 0.5599)*CHOOSE(CONTROL!$C$42, 31, 31))/1000000</f>
        <v>12.063045499999998</v>
      </c>
      <c r="V51" s="56">
        <f>(1000*CHOOSE(CONTROL!$C$42, 580, 580)*CHOOSE(CONTROL!$C$42, 0.275, 0.275)*CHOOSE(CONTROL!$C$42, 31, 31))/1000000</f>
        <v>4.9444999999999997</v>
      </c>
      <c r="W51" s="56">
        <f>(1000*CHOOSE(CONTROL!$C$42, 0.1146, 0.1146)*CHOOSE(CONTROL!$C$42, 200, 200)*CHOOSE(CONTROL!$C$42, 31, 31))/1000000</f>
        <v>0.71052000000000004</v>
      </c>
      <c r="X51" s="56">
        <f>(31*0.1790888*100000/1000000)+(31*0.2374*100000/1000000)</f>
        <v>1.2911152800000001</v>
      </c>
      <c r="Y51" s="56"/>
      <c r="Z51" s="14"/>
      <c r="AA51" s="55"/>
      <c r="AB51" s="49">
        <f>(B51*122.58+C51*297.941+D51*89.177+E51*40.302+F51*40+G51*160+H51*0+I51*100+J51*300)/(122.58+297.941+89.177+40.302+0+40+160+100+300)</f>
        <v>4.774524764173913</v>
      </c>
      <c r="AC51" s="45">
        <f>(M51*'RAP TEMPLATE-GAS AVAILABILITY'!O50+N51*'RAP TEMPLATE-GAS AVAILABILITY'!P50+O51*'RAP TEMPLATE-GAS AVAILABILITY'!Q50+P51*'RAP TEMPLATE-GAS AVAILABILITY'!R50)/('RAP TEMPLATE-GAS AVAILABILITY'!O50+'RAP TEMPLATE-GAS AVAILABILITY'!P50+'RAP TEMPLATE-GAS AVAILABILITY'!Q50+'RAP TEMPLATE-GAS AVAILABILITY'!R50)</f>
        <v>4.7362633093525188</v>
      </c>
    </row>
    <row r="52" spans="1:29" ht="15.75" x14ac:dyDescent="0.25">
      <c r="A52" s="13">
        <v>42461</v>
      </c>
      <c r="B52" s="14">
        <f>CHOOSE(CONTROL!$C$42, 4.742, 4.742) * CHOOSE(CONTROL!$C$21, $C$9, 100%, $E$9)</f>
        <v>4.742</v>
      </c>
      <c r="C52" s="14">
        <f>CHOOSE(CONTROL!$C$42, 4.7464, 4.7464) * CHOOSE(CONTROL!$C$21, $C$9, 100%, $E$9)</f>
        <v>4.7464000000000004</v>
      </c>
      <c r="D52" s="14">
        <f>CHOOSE(CONTROL!$C$42, 5.0087, 5.0087) * CHOOSE(CONTROL!$C$21, $C$9, 100%, $E$9)</f>
        <v>5.0087000000000002</v>
      </c>
      <c r="E52" s="14">
        <f>CHOOSE(CONTROL!$C$42, 5.0408, 5.0408) * CHOOSE(CONTROL!$C$21, $C$9, 100%, $E$9)</f>
        <v>5.0407999999999999</v>
      </c>
      <c r="F52" s="14">
        <f>CHOOSE(CONTROL!$C$42, 4.7648, 4.7648)*CHOOSE(CONTROL!$C$21, $C$9, 100%, $E$9)</f>
        <v>4.7648000000000001</v>
      </c>
      <c r="G52" s="14">
        <f>CHOOSE(CONTROL!$C$42, 4.7815, 4.7815)*CHOOSE(CONTROL!$C$21, $C$9, 100%, $E$9)</f>
        <v>4.7815000000000003</v>
      </c>
      <c r="H52" s="14">
        <f>CHOOSE(CONTROL!$C$42, 5.0306, 5.0306) * CHOOSE(CONTROL!$C$21, $C$9, 100%, $E$9)</f>
        <v>5.0305999999999997</v>
      </c>
      <c r="I52" s="14">
        <f>CHOOSE(CONTROL!$C$42, 4.7793, 4.7793)* CHOOSE(CONTROL!$C$21, $C$9, 100%, $E$9)</f>
        <v>4.7793000000000001</v>
      </c>
      <c r="J52" s="14">
        <f>CHOOSE(CONTROL!$C$42, 4.7578, 4.7578)* CHOOSE(CONTROL!$C$21, $C$9, 100%, $E$9)</f>
        <v>4.7577999999999996</v>
      </c>
      <c r="K52" s="52"/>
      <c r="L52" s="14">
        <f>CHOOSE(CONTROL!$C$42, 5.6176, 5.6176) * CHOOSE(CONTROL!$C$21, $C$9, 100%, $E$9)</f>
        <v>5.6176000000000004</v>
      </c>
      <c r="M52" s="14">
        <f>CHOOSE(CONTROL!$C$42, 4.6799, 4.6799) * CHOOSE(CONTROL!$C$21, $C$9, 100%, $E$9)</f>
        <v>4.6798999999999999</v>
      </c>
      <c r="N52" s="14">
        <f>CHOOSE(CONTROL!$C$42, 4.6963, 4.6963) * CHOOSE(CONTROL!$C$21, $C$9, 100%, $E$9)</f>
        <v>4.6962999999999999</v>
      </c>
      <c r="O52" s="14">
        <f>CHOOSE(CONTROL!$C$42, 4.9478, 4.9478) * CHOOSE(CONTROL!$C$21, $C$9, 100%, $E$9)</f>
        <v>4.9478</v>
      </c>
      <c r="P52" s="14">
        <f>CHOOSE(CONTROL!$C$42, 4.7008, 4.7008) * CHOOSE(CONTROL!$C$21, $C$9, 100%, $E$9)</f>
        <v>4.7008000000000001</v>
      </c>
      <c r="Q52" s="14">
        <f>CHOOSE(CONTROL!$C$42, 5.5425, 5.5425) * CHOOSE(CONTROL!$C$21, $C$9, 100%, $E$9)</f>
        <v>5.5425000000000004</v>
      </c>
      <c r="R52" s="14">
        <f>CHOOSE(CONTROL!$C$42, 6.1433, 6.1433) * CHOOSE(CONTROL!$C$21, $C$9, 100%, $E$9)</f>
        <v>6.1433</v>
      </c>
      <c r="S52" s="14">
        <f>CHOOSE(CONTROL!$C$42, 4.5473, 4.5473) * CHOOSE(CONTROL!$C$21, $C$9, 100%, $E$9)</f>
        <v>4.5472999999999999</v>
      </c>
      <c r="T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" s="56">
        <f>(1000*CHOOSE(CONTROL!$C$42, 695, 695)*CHOOSE(CONTROL!$C$42, 0.5599, 0.5599)*CHOOSE(CONTROL!$C$42, 30, 30))/1000000</f>
        <v>11.673914999999997</v>
      </c>
      <c r="V52" s="56">
        <f>(1000*CHOOSE(CONTROL!$C$42, 580, 580)*CHOOSE(CONTROL!$C$42, 0.275, 0.275)*CHOOSE(CONTROL!$C$42, 30, 30))/1000000</f>
        <v>4.7850000000000001</v>
      </c>
      <c r="W52" s="56">
        <f>(1000*CHOOSE(CONTROL!$C$42, 0.1146, 0.1146)*CHOOSE(CONTROL!$C$42, 200, 200)*CHOOSE(CONTROL!$C$42, 30, 30))/1000000</f>
        <v>0.68759999999999999</v>
      </c>
      <c r="X52" s="56">
        <f>(30*0.1790888*245000/1000000)+(30*0.2374*100000/1000000)</f>
        <v>2.0285026799999999</v>
      </c>
      <c r="Y52" s="56"/>
      <c r="Z52" s="14"/>
      <c r="AA52" s="55"/>
      <c r="AB52" s="49">
        <f>(B52*141.293+C52*267.993+D52*115.016+E52*89.698+F52*40+G52*185+H52*0+I52*100+J52*300)/(141.293+267.993+115.016+89.698+0+40+185+100+300)</f>
        <v>4.8028112984665059</v>
      </c>
      <c r="AC52" s="45">
        <f>(M52*'RAP TEMPLATE-GAS AVAILABILITY'!O51+N52*'RAP TEMPLATE-GAS AVAILABILITY'!P51+O52*'RAP TEMPLATE-GAS AVAILABILITY'!Q51+P52*'RAP TEMPLATE-GAS AVAILABILITY'!R51)/('RAP TEMPLATE-GAS AVAILABILITY'!O51+'RAP TEMPLATE-GAS AVAILABILITY'!P51+'RAP TEMPLATE-GAS AVAILABILITY'!Q51+'RAP TEMPLATE-GAS AVAILABILITY'!R51)</f>
        <v>4.7618489208633088</v>
      </c>
    </row>
    <row r="53" spans="1:29" ht="15.75" x14ac:dyDescent="0.25">
      <c r="A53" s="13">
        <v>42491</v>
      </c>
      <c r="B53" s="14">
        <f>CHOOSE(CONTROL!$C$42, 4.7949, 4.7949) * CHOOSE(CONTROL!$C$21, $C$9, 100%, $E$9)</f>
        <v>4.7949000000000002</v>
      </c>
      <c r="C53" s="14">
        <f>CHOOSE(CONTROL!$C$42, 4.803, 4.803) * CHOOSE(CONTROL!$C$21, $C$9, 100%, $E$9)</f>
        <v>4.8029999999999999</v>
      </c>
      <c r="D53" s="14">
        <f>CHOOSE(CONTROL!$C$42, 5.0621, 5.0621) * CHOOSE(CONTROL!$C$21, $C$9, 100%, $E$9)</f>
        <v>5.0621</v>
      </c>
      <c r="E53" s="14">
        <f>CHOOSE(CONTROL!$C$42, 5.0935, 5.0935) * CHOOSE(CONTROL!$C$21, $C$9, 100%, $E$9)</f>
        <v>5.0934999999999997</v>
      </c>
      <c r="F53" s="14">
        <f>CHOOSE(CONTROL!$C$42, 4.8165, 4.8165)*CHOOSE(CONTROL!$C$21, $C$9, 100%, $E$9)</f>
        <v>4.8164999999999996</v>
      </c>
      <c r="G53" s="14">
        <f>CHOOSE(CONTROL!$C$42, 4.8334, 4.8334)*CHOOSE(CONTROL!$C$21, $C$9, 100%, $E$9)</f>
        <v>4.8334000000000001</v>
      </c>
      <c r="H53" s="14">
        <f>CHOOSE(CONTROL!$C$42, 5.0822, 5.0822) * CHOOSE(CONTROL!$C$21, $C$9, 100%, $E$9)</f>
        <v>5.0822000000000003</v>
      </c>
      <c r="I53" s="14">
        <f>CHOOSE(CONTROL!$C$42, 4.8311, 4.8311)* CHOOSE(CONTROL!$C$21, $C$9, 100%, $E$9)</f>
        <v>4.8311000000000002</v>
      </c>
      <c r="J53" s="14">
        <f>CHOOSE(CONTROL!$C$42, 4.8095, 4.8095)* CHOOSE(CONTROL!$C$21, $C$9, 100%, $E$9)</f>
        <v>4.8094999999999999</v>
      </c>
      <c r="K53" s="52"/>
      <c r="L53" s="14">
        <f>CHOOSE(CONTROL!$C$42, 5.6692, 5.6692) * CHOOSE(CONTROL!$C$21, $C$9, 100%, $E$9)</f>
        <v>5.6692</v>
      </c>
      <c r="M53" s="14">
        <f>CHOOSE(CONTROL!$C$42, 4.7307, 4.7307) * CHOOSE(CONTROL!$C$21, $C$9, 100%, $E$9)</f>
        <v>4.7306999999999997</v>
      </c>
      <c r="N53" s="14">
        <f>CHOOSE(CONTROL!$C$42, 4.7473, 4.7473) * CHOOSE(CONTROL!$C$21, $C$9, 100%, $E$9)</f>
        <v>4.7473000000000001</v>
      </c>
      <c r="O53" s="14">
        <f>CHOOSE(CONTROL!$C$42, 4.9984, 4.9984) * CHOOSE(CONTROL!$C$21, $C$9, 100%, $E$9)</f>
        <v>4.9984000000000002</v>
      </c>
      <c r="P53" s="14">
        <f>CHOOSE(CONTROL!$C$42, 4.7517, 4.7517) * CHOOSE(CONTROL!$C$21, $C$9, 100%, $E$9)</f>
        <v>4.7516999999999996</v>
      </c>
      <c r="Q53" s="14">
        <f>CHOOSE(CONTROL!$C$42, 5.5931, 5.5931) * CHOOSE(CONTROL!$C$21, $C$9, 100%, $E$9)</f>
        <v>5.5930999999999997</v>
      </c>
      <c r="R53" s="14">
        <f>CHOOSE(CONTROL!$C$42, 6.1941, 6.1941) * CHOOSE(CONTROL!$C$21, $C$9, 100%, $E$9)</f>
        <v>6.1940999999999997</v>
      </c>
      <c r="S53" s="14">
        <f>CHOOSE(CONTROL!$C$42, 4.5968, 4.5968) * CHOOSE(CONTROL!$C$21, $C$9, 100%, $E$9)</f>
        <v>4.5968</v>
      </c>
      <c r="T5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3" s="56">
        <f>(1000*CHOOSE(CONTROL!$C$42, 695, 695)*CHOOSE(CONTROL!$C$42, 0.5599, 0.5599)*CHOOSE(CONTROL!$C$42, 31, 31))/1000000</f>
        <v>12.063045499999998</v>
      </c>
      <c r="V53" s="56">
        <f>(1000*CHOOSE(CONTROL!$C$42, 580, 580)*CHOOSE(CONTROL!$C$42, 0.275, 0.275)*CHOOSE(CONTROL!$C$42, 31, 31))/1000000</f>
        <v>4.9444999999999997</v>
      </c>
      <c r="W53" s="56">
        <f>(1000*CHOOSE(CONTROL!$C$42, 0.1146, 0.1146)*CHOOSE(CONTROL!$C$42, 121.5, 121.5)*CHOOSE(CONTROL!$C$42, 31, 31))/1000000</f>
        <v>0.43164089999999994</v>
      </c>
      <c r="X53" s="56">
        <f>(31*0.1790888*245000/1000000)+(31*0.2374*100000/1000000)</f>
        <v>2.0961194359999999</v>
      </c>
      <c r="Y53" s="56"/>
      <c r="Z53" s="14"/>
      <c r="AA53" s="55"/>
      <c r="AB53" s="49">
        <f>(B53*194.205+C53*267.466+D53*133.845+E53*53.484+F53*40+G53*185+H53*0+I53*100+J53*300)/(194.205+267.466+133.845+53.484+0+40+185+100+300)</f>
        <v>4.8497561075353222</v>
      </c>
      <c r="AC53" s="45">
        <f>(M53*'RAP TEMPLATE-GAS AVAILABILITY'!O52+N53*'RAP TEMPLATE-GAS AVAILABILITY'!P52+O53*'RAP TEMPLATE-GAS AVAILABILITY'!Q52+P53*'RAP TEMPLATE-GAS AVAILABILITY'!R52)/('RAP TEMPLATE-GAS AVAILABILITY'!O52+'RAP TEMPLATE-GAS AVAILABILITY'!P52+'RAP TEMPLATE-GAS AVAILABILITY'!Q52+'RAP TEMPLATE-GAS AVAILABILITY'!R52)</f>
        <v>4.8126532374100721</v>
      </c>
    </row>
    <row r="54" spans="1:29" ht="15.75" x14ac:dyDescent="0.25">
      <c r="A54" s="13">
        <v>42522</v>
      </c>
      <c r="B54" s="14">
        <f>CHOOSE(CONTROL!$C$42, 4.9407, 4.9407) * CHOOSE(CONTROL!$C$21, $C$9, 100%, $E$9)</f>
        <v>4.9406999999999996</v>
      </c>
      <c r="C54" s="14">
        <f>CHOOSE(CONTROL!$C$42, 4.9488, 4.9488) * CHOOSE(CONTROL!$C$21, $C$9, 100%, $E$9)</f>
        <v>4.9488000000000003</v>
      </c>
      <c r="D54" s="14">
        <f>CHOOSE(CONTROL!$C$42, 5.2079, 5.2079) * CHOOSE(CONTROL!$C$21, $C$9, 100%, $E$9)</f>
        <v>5.2079000000000004</v>
      </c>
      <c r="E54" s="14">
        <f>CHOOSE(CONTROL!$C$42, 5.2393, 5.2393) * CHOOSE(CONTROL!$C$21, $C$9, 100%, $E$9)</f>
        <v>5.2393000000000001</v>
      </c>
      <c r="F54" s="14">
        <f>CHOOSE(CONTROL!$C$42, 4.9625, 4.9625)*CHOOSE(CONTROL!$C$21, $C$9, 100%, $E$9)</f>
        <v>4.9625000000000004</v>
      </c>
      <c r="G54" s="14">
        <f>CHOOSE(CONTROL!$C$42, 4.9796, 4.9796)*CHOOSE(CONTROL!$C$21, $C$9, 100%, $E$9)</f>
        <v>4.9795999999999996</v>
      </c>
      <c r="H54" s="14">
        <f>CHOOSE(CONTROL!$C$42, 5.228, 5.228) * CHOOSE(CONTROL!$C$21, $C$9, 100%, $E$9)</f>
        <v>5.2279999999999998</v>
      </c>
      <c r="I54" s="14">
        <f>CHOOSE(CONTROL!$C$42, 4.9773, 4.9773)* CHOOSE(CONTROL!$C$21, $C$9, 100%, $E$9)</f>
        <v>4.9772999999999996</v>
      </c>
      <c r="J54" s="14">
        <f>CHOOSE(CONTROL!$C$42, 4.9555, 4.9555)* CHOOSE(CONTROL!$C$21, $C$9, 100%, $E$9)</f>
        <v>4.9554999999999998</v>
      </c>
      <c r="K54" s="52"/>
      <c r="L54" s="14">
        <f>CHOOSE(CONTROL!$C$42, 5.815, 5.815) * CHOOSE(CONTROL!$C$21, $C$9, 100%, $E$9)</f>
        <v>5.8150000000000004</v>
      </c>
      <c r="M54" s="14">
        <f>CHOOSE(CONTROL!$C$42, 4.8741, 4.8741) * CHOOSE(CONTROL!$C$21, $C$9, 100%, $E$9)</f>
        <v>4.8741000000000003</v>
      </c>
      <c r="N54" s="14">
        <f>CHOOSE(CONTROL!$C$42, 4.8908, 4.8908) * CHOOSE(CONTROL!$C$21, $C$9, 100%, $E$9)</f>
        <v>4.8907999999999996</v>
      </c>
      <c r="O54" s="14">
        <f>CHOOSE(CONTROL!$C$42, 5.1416, 5.1416) * CHOOSE(CONTROL!$C$21, $C$9, 100%, $E$9)</f>
        <v>5.1416000000000004</v>
      </c>
      <c r="P54" s="14">
        <f>CHOOSE(CONTROL!$C$42, 4.8953, 4.8953) * CHOOSE(CONTROL!$C$21, $C$9, 100%, $E$9)</f>
        <v>4.8952999999999998</v>
      </c>
      <c r="Q54" s="14">
        <f>CHOOSE(CONTROL!$C$42, 5.7363, 5.7363) * CHOOSE(CONTROL!$C$21, $C$9, 100%, $E$9)</f>
        <v>5.7363</v>
      </c>
      <c r="R54" s="14">
        <f>CHOOSE(CONTROL!$C$42, 6.3377, 6.3377) * CHOOSE(CONTROL!$C$21, $C$9, 100%, $E$9)</f>
        <v>6.3376999999999999</v>
      </c>
      <c r="S54" s="14">
        <f>CHOOSE(CONTROL!$C$42, 4.7369, 4.7369) * CHOOSE(CONTROL!$C$21, $C$9, 100%, $E$9)</f>
        <v>4.7369000000000003</v>
      </c>
      <c r="T5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4" s="56">
        <f>(1000*CHOOSE(CONTROL!$C$42, 695, 695)*CHOOSE(CONTROL!$C$42, 0.5599, 0.5599)*CHOOSE(CONTROL!$C$42, 30, 30))/1000000</f>
        <v>11.673914999999997</v>
      </c>
      <c r="V54" s="56">
        <f>(1000*CHOOSE(CONTROL!$C$42, 580, 580)*CHOOSE(CONTROL!$C$42, 0.275, 0.275)*CHOOSE(CONTROL!$C$42, 30, 30))/1000000</f>
        <v>4.7850000000000001</v>
      </c>
      <c r="W54" s="56">
        <f>(1000*CHOOSE(CONTROL!$C$42, 0.1146, 0.1146)*CHOOSE(CONTROL!$C$42, 121.5, 121.5)*CHOOSE(CONTROL!$C$42, 30, 30))/1000000</f>
        <v>0.417717</v>
      </c>
      <c r="X54" s="56">
        <f>(30*0.1790888*245000/1000000)+(30*0.2374*100000/1000000)</f>
        <v>2.0285026799999999</v>
      </c>
      <c r="Y54" s="56"/>
      <c r="Z54" s="14"/>
      <c r="AA54" s="55"/>
      <c r="AB54" s="49">
        <f>(B54*194.205+C54*267.466+D54*133.845+E54*53.484+F54*40+G54*185+H54*0+I54*100+J54*300)/(194.205+267.466+133.845+53.484+0+40+185+100+300)</f>
        <v>4.9956989646781782</v>
      </c>
      <c r="AC54" s="45">
        <f>(M54*'RAP TEMPLATE-GAS AVAILABILITY'!O53+N54*'RAP TEMPLATE-GAS AVAILABILITY'!P53+O54*'RAP TEMPLATE-GAS AVAILABILITY'!Q53+P54*'RAP TEMPLATE-GAS AVAILABILITY'!R53)/('RAP TEMPLATE-GAS AVAILABILITY'!O53+'RAP TEMPLATE-GAS AVAILABILITY'!P53+'RAP TEMPLATE-GAS AVAILABILITY'!Q53+'RAP TEMPLATE-GAS AVAILABILITY'!R53)</f>
        <v>4.9560489208633092</v>
      </c>
    </row>
    <row r="55" spans="1:29" ht="15.75" x14ac:dyDescent="0.25">
      <c r="A55" s="13">
        <v>42552</v>
      </c>
      <c r="B55" s="14">
        <f>CHOOSE(CONTROL!$C$42, 4.8562, 4.8562) * CHOOSE(CONTROL!$C$21, $C$9, 100%, $E$9)</f>
        <v>4.8562000000000003</v>
      </c>
      <c r="C55" s="14">
        <f>CHOOSE(CONTROL!$C$42, 4.8642, 4.8642) * CHOOSE(CONTROL!$C$21, $C$9, 100%, $E$9)</f>
        <v>4.8642000000000003</v>
      </c>
      <c r="D55" s="14">
        <f>CHOOSE(CONTROL!$C$42, 5.1233, 5.1233) * CHOOSE(CONTROL!$C$21, $C$9, 100%, $E$9)</f>
        <v>5.1233000000000004</v>
      </c>
      <c r="E55" s="14">
        <f>CHOOSE(CONTROL!$C$42, 5.1547, 5.1547) * CHOOSE(CONTROL!$C$21, $C$9, 100%, $E$9)</f>
        <v>5.1547000000000001</v>
      </c>
      <c r="F55" s="14">
        <f>CHOOSE(CONTROL!$C$42, 4.8784, 4.8784)*CHOOSE(CONTROL!$C$21, $C$9, 100%, $E$9)</f>
        <v>4.8784000000000001</v>
      </c>
      <c r="G55" s="14">
        <f>CHOOSE(CONTROL!$C$42, 4.8955, 4.8955)*CHOOSE(CONTROL!$C$21, $C$9, 100%, $E$9)</f>
        <v>4.8955000000000002</v>
      </c>
      <c r="H55" s="14">
        <f>CHOOSE(CONTROL!$C$42, 5.1434, 5.1434) * CHOOSE(CONTROL!$C$21, $C$9, 100%, $E$9)</f>
        <v>5.1433999999999997</v>
      </c>
      <c r="I55" s="14">
        <f>CHOOSE(CONTROL!$C$42, 4.8925, 4.8925)* CHOOSE(CONTROL!$C$21, $C$9, 100%, $E$9)</f>
        <v>4.8925000000000001</v>
      </c>
      <c r="J55" s="14">
        <f>CHOOSE(CONTROL!$C$42, 4.8714, 4.8714)* CHOOSE(CONTROL!$C$21, $C$9, 100%, $E$9)</f>
        <v>4.8714000000000004</v>
      </c>
      <c r="K55" s="52"/>
      <c r="L55" s="14">
        <f>CHOOSE(CONTROL!$C$42, 5.7304, 5.7304) * CHOOSE(CONTROL!$C$21, $C$9, 100%, $E$9)</f>
        <v>5.7304000000000004</v>
      </c>
      <c r="M55" s="14">
        <f>CHOOSE(CONTROL!$C$42, 4.7914, 4.7914) * CHOOSE(CONTROL!$C$21, $C$9, 100%, $E$9)</f>
        <v>4.7914000000000003</v>
      </c>
      <c r="N55" s="14">
        <f>CHOOSE(CONTROL!$C$42, 4.8083, 4.8083) * CHOOSE(CONTROL!$C$21, $C$9, 100%, $E$9)</f>
        <v>4.8083</v>
      </c>
      <c r="O55" s="14">
        <f>CHOOSE(CONTROL!$C$42, 5.0585, 5.0585) * CHOOSE(CONTROL!$C$21, $C$9, 100%, $E$9)</f>
        <v>5.0585000000000004</v>
      </c>
      <c r="P55" s="14">
        <f>CHOOSE(CONTROL!$C$42, 4.8119, 4.8119) * CHOOSE(CONTROL!$C$21, $C$9, 100%, $E$9)</f>
        <v>4.8118999999999996</v>
      </c>
      <c r="Q55" s="14">
        <f>CHOOSE(CONTROL!$C$42, 5.6532, 5.6532) * CHOOSE(CONTROL!$C$21, $C$9, 100%, $E$9)</f>
        <v>5.6532</v>
      </c>
      <c r="R55" s="14">
        <f>CHOOSE(CONTROL!$C$42, 6.2544, 6.2544) * CHOOSE(CONTROL!$C$21, $C$9, 100%, $E$9)</f>
        <v>6.2544000000000004</v>
      </c>
      <c r="S55" s="14">
        <f>CHOOSE(CONTROL!$C$42, 4.6556, 4.6556) * CHOOSE(CONTROL!$C$21, $C$9, 100%, $E$9)</f>
        <v>4.6555999999999997</v>
      </c>
      <c r="T5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5" s="56">
        <f>(1000*CHOOSE(CONTROL!$C$42, 695, 695)*CHOOSE(CONTROL!$C$42, 0.5599, 0.5599)*CHOOSE(CONTROL!$C$42, 31, 31))/1000000</f>
        <v>12.063045499999998</v>
      </c>
      <c r="V55" s="56">
        <f>(1000*CHOOSE(CONTROL!$C$42, 580, 580)*CHOOSE(CONTROL!$C$42, 0.275, 0.275)*CHOOSE(CONTROL!$C$42, 31, 31))/1000000</f>
        <v>4.9444999999999997</v>
      </c>
      <c r="W55" s="56">
        <f>(1000*CHOOSE(CONTROL!$C$42, 0.1146, 0.1146)*CHOOSE(CONTROL!$C$42, 121.5, 121.5)*CHOOSE(CONTROL!$C$42, 31, 31))/1000000</f>
        <v>0.43164089999999994</v>
      </c>
      <c r="X55" s="56">
        <f>(31*0.1790888*245000/1000000)+(31*0.2374*100000/1000000)</f>
        <v>2.0961194359999999</v>
      </c>
      <c r="Y55" s="56"/>
      <c r="Z55" s="14"/>
      <c r="AA55" s="55"/>
      <c r="AB55" s="49">
        <f>(B55*194.205+C55*267.466+D55*133.845+E55*53.484+F55*40+G55*185+H55*0+I55*100+J55*300)/(194.205+267.466+133.845+53.484+0+40+185+100+300)</f>
        <v>4.9113045537676614</v>
      </c>
      <c r="AC55" s="45">
        <f>(M55*'RAP TEMPLATE-GAS AVAILABILITY'!O54+N55*'RAP TEMPLATE-GAS AVAILABILITY'!P54+O55*'RAP TEMPLATE-GAS AVAILABILITY'!Q54+P55*'RAP TEMPLATE-GAS AVAILABILITY'!R54)/('RAP TEMPLATE-GAS AVAILABILITY'!O54+'RAP TEMPLATE-GAS AVAILABILITY'!P54+'RAP TEMPLATE-GAS AVAILABILITY'!Q54+'RAP TEMPLATE-GAS AVAILABILITY'!R54)</f>
        <v>4.8731820143884894</v>
      </c>
    </row>
    <row r="56" spans="1:29" ht="15.75" x14ac:dyDescent="0.25">
      <c r="A56" s="13">
        <v>42583</v>
      </c>
      <c r="B56" s="14">
        <f>CHOOSE(CONTROL!$C$42, 4.6264, 4.6264) * CHOOSE(CONTROL!$C$21, $C$9, 100%, $E$9)</f>
        <v>4.6264000000000003</v>
      </c>
      <c r="C56" s="14">
        <f>CHOOSE(CONTROL!$C$42, 4.6344, 4.6344) * CHOOSE(CONTROL!$C$21, $C$9, 100%, $E$9)</f>
        <v>4.6344000000000003</v>
      </c>
      <c r="D56" s="14">
        <f>CHOOSE(CONTROL!$C$42, 4.8935, 4.8935) * CHOOSE(CONTROL!$C$21, $C$9, 100%, $E$9)</f>
        <v>4.8935000000000004</v>
      </c>
      <c r="E56" s="14">
        <f>CHOOSE(CONTROL!$C$42, 4.9249, 4.9249) * CHOOSE(CONTROL!$C$21, $C$9, 100%, $E$9)</f>
        <v>4.9249000000000001</v>
      </c>
      <c r="F56" s="14">
        <f>CHOOSE(CONTROL!$C$42, 4.6488, 4.6488)*CHOOSE(CONTROL!$C$21, $C$9, 100%, $E$9)</f>
        <v>4.6487999999999996</v>
      </c>
      <c r="G56" s="14">
        <f>CHOOSE(CONTROL!$C$42, 4.666, 4.666)*CHOOSE(CONTROL!$C$21, $C$9, 100%, $E$9)</f>
        <v>4.6660000000000004</v>
      </c>
      <c r="H56" s="14">
        <f>CHOOSE(CONTROL!$C$42, 4.9136, 4.9136) * CHOOSE(CONTROL!$C$21, $C$9, 100%, $E$9)</f>
        <v>4.9135999999999997</v>
      </c>
      <c r="I56" s="14">
        <f>CHOOSE(CONTROL!$C$42, 4.6619, 4.6619)* CHOOSE(CONTROL!$C$21, $C$9, 100%, $E$9)</f>
        <v>4.6619000000000002</v>
      </c>
      <c r="J56" s="14">
        <f>CHOOSE(CONTROL!$C$42, 4.6418, 4.6418)* CHOOSE(CONTROL!$C$21, $C$9, 100%, $E$9)</f>
        <v>4.6417999999999999</v>
      </c>
      <c r="K56" s="52"/>
      <c r="L56" s="14">
        <f>CHOOSE(CONTROL!$C$42, 5.5006, 5.5006) * CHOOSE(CONTROL!$C$21, $C$9, 100%, $E$9)</f>
        <v>5.5006000000000004</v>
      </c>
      <c r="M56" s="14">
        <f>CHOOSE(CONTROL!$C$42, 4.566, 4.566) * CHOOSE(CONTROL!$C$21, $C$9, 100%, $E$9)</f>
        <v>4.5659999999999998</v>
      </c>
      <c r="N56" s="14">
        <f>CHOOSE(CONTROL!$C$42, 4.5829, 4.5829) * CHOOSE(CONTROL!$C$21, $C$9, 100%, $E$9)</f>
        <v>4.5829000000000004</v>
      </c>
      <c r="O56" s="14">
        <f>CHOOSE(CONTROL!$C$42, 4.8329, 4.8329) * CHOOSE(CONTROL!$C$21, $C$9, 100%, $E$9)</f>
        <v>4.8329000000000004</v>
      </c>
      <c r="P56" s="14">
        <f>CHOOSE(CONTROL!$C$42, 4.5856, 4.5856) * CHOOSE(CONTROL!$C$21, $C$9, 100%, $E$9)</f>
        <v>4.5856000000000003</v>
      </c>
      <c r="Q56" s="14">
        <f>CHOOSE(CONTROL!$C$42, 5.4276, 5.4276) * CHOOSE(CONTROL!$C$21, $C$9, 100%, $E$9)</f>
        <v>5.4276</v>
      </c>
      <c r="R56" s="14">
        <f>CHOOSE(CONTROL!$C$42, 6.0282, 6.0282) * CHOOSE(CONTROL!$C$21, $C$9, 100%, $E$9)</f>
        <v>6.0282</v>
      </c>
      <c r="S56" s="14">
        <f>CHOOSE(CONTROL!$C$42, 4.4348, 4.4348) * CHOOSE(CONTROL!$C$21, $C$9, 100%, $E$9)</f>
        <v>4.4348000000000001</v>
      </c>
      <c r="T5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6" s="56">
        <f>(1000*CHOOSE(CONTROL!$C$42, 695, 695)*CHOOSE(CONTROL!$C$42, 0.5599, 0.5599)*CHOOSE(CONTROL!$C$42, 31, 31))/1000000</f>
        <v>12.063045499999998</v>
      </c>
      <c r="V56" s="56">
        <f>(1000*CHOOSE(CONTROL!$C$42, 580, 580)*CHOOSE(CONTROL!$C$42, 0.275, 0.275)*CHOOSE(CONTROL!$C$42, 31, 31))/1000000</f>
        <v>4.9444999999999997</v>
      </c>
      <c r="W56" s="56">
        <f>(1000*CHOOSE(CONTROL!$C$42, 0.1146, 0.1146)*CHOOSE(CONTROL!$C$42, 121.5, 121.5)*CHOOSE(CONTROL!$C$42, 31, 31))/1000000</f>
        <v>0.43164089999999994</v>
      </c>
      <c r="X56" s="56">
        <f>(31*0.1790888*245000/1000000)+(31*0.2374*100000/1000000)</f>
        <v>2.0961194359999999</v>
      </c>
      <c r="Y56" s="56"/>
      <c r="Z56" s="14"/>
      <c r="AA56" s="55"/>
      <c r="AB56" s="49">
        <f>(B56*194.205+C56*267.466+D56*133.845+E56*53.484+F56*40+G56*185+H56*0+I56*100+J56*300)/(194.205+267.466+133.845+53.484+0+40+185+100+300)</f>
        <v>4.6815386981946627</v>
      </c>
      <c r="AC56" s="45">
        <f>(M56*'RAP TEMPLATE-GAS AVAILABILITY'!O55+N56*'RAP TEMPLATE-GAS AVAILABILITY'!P55+O56*'RAP TEMPLATE-GAS AVAILABILITY'!Q55+P56*'RAP TEMPLATE-GAS AVAILABILITY'!R55)/('RAP TEMPLATE-GAS AVAILABILITY'!O55+'RAP TEMPLATE-GAS AVAILABILITY'!P55+'RAP TEMPLATE-GAS AVAILABILITY'!Q55+'RAP TEMPLATE-GAS AVAILABILITY'!R55)</f>
        <v>4.6475964028776984</v>
      </c>
    </row>
    <row r="57" spans="1:29" ht="15.75" x14ac:dyDescent="0.25">
      <c r="A57" s="13">
        <v>42614</v>
      </c>
      <c r="B57" s="14">
        <f>CHOOSE(CONTROL!$C$42, 4.3421, 4.3421) * CHOOSE(CONTROL!$C$21, $C$9, 100%, $E$9)</f>
        <v>4.3421000000000003</v>
      </c>
      <c r="C57" s="14">
        <f>CHOOSE(CONTROL!$C$42, 4.3501, 4.3501) * CHOOSE(CONTROL!$C$21, $C$9, 100%, $E$9)</f>
        <v>4.3501000000000003</v>
      </c>
      <c r="D57" s="14">
        <f>CHOOSE(CONTROL!$C$42, 4.6092, 4.6092) * CHOOSE(CONTROL!$C$21, $C$9, 100%, $E$9)</f>
        <v>4.6092000000000004</v>
      </c>
      <c r="E57" s="14">
        <f>CHOOSE(CONTROL!$C$42, 4.6407, 4.6407) * CHOOSE(CONTROL!$C$21, $C$9, 100%, $E$9)</f>
        <v>4.6406999999999998</v>
      </c>
      <c r="F57" s="14">
        <f>CHOOSE(CONTROL!$C$42, 4.3645, 4.3645)*CHOOSE(CONTROL!$C$21, $C$9, 100%, $E$9)</f>
        <v>4.3644999999999996</v>
      </c>
      <c r="G57" s="14">
        <f>CHOOSE(CONTROL!$C$42, 4.3818, 4.3818)*CHOOSE(CONTROL!$C$21, $C$9, 100%, $E$9)</f>
        <v>4.3818000000000001</v>
      </c>
      <c r="H57" s="14">
        <f>CHOOSE(CONTROL!$C$42, 4.6293, 4.6293) * CHOOSE(CONTROL!$C$21, $C$9, 100%, $E$9)</f>
        <v>4.6292999999999997</v>
      </c>
      <c r="I57" s="14">
        <f>CHOOSE(CONTROL!$C$42, 4.3768, 4.3768)* CHOOSE(CONTROL!$C$21, $C$9, 100%, $E$9)</f>
        <v>4.3768000000000002</v>
      </c>
      <c r="J57" s="14">
        <f>CHOOSE(CONTROL!$C$42, 4.3575, 4.3575)* CHOOSE(CONTROL!$C$21, $C$9, 100%, $E$9)</f>
        <v>4.3574999999999999</v>
      </c>
      <c r="K57" s="52"/>
      <c r="L57" s="14">
        <f>CHOOSE(CONTROL!$C$42, 5.2163, 5.2163) * CHOOSE(CONTROL!$C$21, $C$9, 100%, $E$9)</f>
        <v>5.2163000000000004</v>
      </c>
      <c r="M57" s="14">
        <f>CHOOSE(CONTROL!$C$42, 4.2869, 4.2869) * CHOOSE(CONTROL!$C$21, $C$9, 100%, $E$9)</f>
        <v>4.2869000000000002</v>
      </c>
      <c r="N57" s="14">
        <f>CHOOSE(CONTROL!$C$42, 4.3038, 4.3038) * CHOOSE(CONTROL!$C$21, $C$9, 100%, $E$9)</f>
        <v>4.3037999999999998</v>
      </c>
      <c r="O57" s="14">
        <f>CHOOSE(CONTROL!$C$42, 4.5537, 4.5537) * CHOOSE(CONTROL!$C$21, $C$9, 100%, $E$9)</f>
        <v>4.5537000000000001</v>
      </c>
      <c r="P57" s="14">
        <f>CHOOSE(CONTROL!$C$42, 4.3056, 4.3056) * CHOOSE(CONTROL!$C$21, $C$9, 100%, $E$9)</f>
        <v>4.3056000000000001</v>
      </c>
      <c r="Q57" s="14">
        <f>CHOOSE(CONTROL!$C$42, 5.1484, 5.1484) * CHOOSE(CONTROL!$C$21, $C$9, 100%, $E$9)</f>
        <v>5.1483999999999996</v>
      </c>
      <c r="R57" s="14">
        <f>CHOOSE(CONTROL!$C$42, 5.7483, 5.7483) * CHOOSE(CONTROL!$C$21, $C$9, 100%, $E$9)</f>
        <v>5.7483000000000004</v>
      </c>
      <c r="S57" s="14">
        <f>CHOOSE(CONTROL!$C$42, 4.1617, 4.1617) * CHOOSE(CONTROL!$C$21, $C$9, 100%, $E$9)</f>
        <v>4.1616999999999997</v>
      </c>
      <c r="T5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7" s="56">
        <f>(1000*CHOOSE(CONTROL!$C$42, 695, 695)*CHOOSE(CONTROL!$C$42, 0.5599, 0.5599)*CHOOSE(CONTROL!$C$42, 30, 30))/1000000</f>
        <v>11.673914999999997</v>
      </c>
      <c r="V57" s="56">
        <f>(1000*CHOOSE(CONTROL!$C$42, 580, 580)*CHOOSE(CONTROL!$C$42, 0.275, 0.275)*CHOOSE(CONTROL!$C$42, 30, 30))/1000000</f>
        <v>4.7850000000000001</v>
      </c>
      <c r="W57" s="56">
        <f>(1000*CHOOSE(CONTROL!$C$42, 0.1146, 0.1146)*CHOOSE(CONTROL!$C$42, 121.5, 121.5)*CHOOSE(CONTROL!$C$42, 30, 30))/1000000</f>
        <v>0.417717</v>
      </c>
      <c r="X57" s="56">
        <f>(30*0.1790888*245000/1000000)+(30*0.2374*100000/1000000)</f>
        <v>2.0285026799999999</v>
      </c>
      <c r="Y57" s="56"/>
      <c r="Z57" s="14"/>
      <c r="AA57" s="55"/>
      <c r="AB57" s="49">
        <f>(B57*194.205+C57*267.466+D57*133.845+E57*53.484+F57*40+G57*185+H57*0+I57*100+J57*300)/(194.205+267.466+133.845+53.484+0+40+185+100+300)</f>
        <v>4.397194623155416</v>
      </c>
      <c r="AC57" s="45">
        <f>(M57*'RAP TEMPLATE-GAS AVAILABILITY'!O56+N57*'RAP TEMPLATE-GAS AVAILABILITY'!P56+O57*'RAP TEMPLATE-GAS AVAILABILITY'!Q56+P57*'RAP TEMPLATE-GAS AVAILABILITY'!R56)/('RAP TEMPLATE-GAS AVAILABILITY'!O56+'RAP TEMPLATE-GAS AVAILABILITY'!P56+'RAP TEMPLATE-GAS AVAILABILITY'!Q56+'RAP TEMPLATE-GAS AVAILABILITY'!R56)</f>
        <v>4.368338848920863</v>
      </c>
    </row>
    <row r="58" spans="1:29" ht="15.75" x14ac:dyDescent="0.25">
      <c r="A58" s="13">
        <v>42644</v>
      </c>
      <c r="B58" s="14">
        <f>CHOOSE(CONTROL!$C$42, 4.2611, 4.2611) * CHOOSE(CONTROL!$C$21, $C$9, 100%, $E$9)</f>
        <v>4.2610999999999999</v>
      </c>
      <c r="C58" s="14">
        <f>CHOOSE(CONTROL!$C$42, 4.2665, 4.2665) * CHOOSE(CONTROL!$C$21, $C$9, 100%, $E$9)</f>
        <v>4.2664999999999997</v>
      </c>
      <c r="D58" s="14">
        <f>CHOOSE(CONTROL!$C$42, 4.5305, 4.5305) * CHOOSE(CONTROL!$C$21, $C$9, 100%, $E$9)</f>
        <v>4.5305</v>
      </c>
      <c r="E58" s="14">
        <f>CHOOSE(CONTROL!$C$42, 4.5596, 4.5596) * CHOOSE(CONTROL!$C$21, $C$9, 100%, $E$9)</f>
        <v>4.5595999999999997</v>
      </c>
      <c r="F58" s="14">
        <f>CHOOSE(CONTROL!$C$42, 4.2858, 4.2858)*CHOOSE(CONTROL!$C$21, $C$9, 100%, $E$9)</f>
        <v>4.2858000000000001</v>
      </c>
      <c r="G58" s="14">
        <f>CHOOSE(CONTROL!$C$42, 4.3029, 4.3029)*CHOOSE(CONTROL!$C$21, $C$9, 100%, $E$9)</f>
        <v>4.3029000000000002</v>
      </c>
      <c r="H58" s="14">
        <f>CHOOSE(CONTROL!$C$42, 4.5501, 4.5501) * CHOOSE(CONTROL!$C$21, $C$9, 100%, $E$9)</f>
        <v>4.5500999999999996</v>
      </c>
      <c r="I58" s="14">
        <f>CHOOSE(CONTROL!$C$42, 4.2973, 4.2973)* CHOOSE(CONTROL!$C$21, $C$9, 100%, $E$9)</f>
        <v>4.2972999999999999</v>
      </c>
      <c r="J58" s="14">
        <f>CHOOSE(CONTROL!$C$42, 4.2788, 4.2788)* CHOOSE(CONTROL!$C$21, $C$9, 100%, $E$9)</f>
        <v>4.2788000000000004</v>
      </c>
      <c r="K58" s="52"/>
      <c r="L58" s="14">
        <f>CHOOSE(CONTROL!$C$42, 5.1371, 5.1371) * CHOOSE(CONTROL!$C$21, $C$9, 100%, $E$9)</f>
        <v>5.1371000000000002</v>
      </c>
      <c r="M58" s="14">
        <f>CHOOSE(CONTROL!$C$42, 4.2095, 4.2095) * CHOOSE(CONTROL!$C$21, $C$9, 100%, $E$9)</f>
        <v>4.2095000000000002</v>
      </c>
      <c r="N58" s="14">
        <f>CHOOSE(CONTROL!$C$42, 4.2263, 4.2263) * CHOOSE(CONTROL!$C$21, $C$9, 100%, $E$9)</f>
        <v>4.2263000000000002</v>
      </c>
      <c r="O58" s="14">
        <f>CHOOSE(CONTROL!$C$42, 4.476, 4.476) * CHOOSE(CONTROL!$C$21, $C$9, 100%, $E$9)</f>
        <v>4.476</v>
      </c>
      <c r="P58" s="14">
        <f>CHOOSE(CONTROL!$C$42, 4.2276, 4.2276) * CHOOSE(CONTROL!$C$21, $C$9, 100%, $E$9)</f>
        <v>4.2275999999999998</v>
      </c>
      <c r="Q58" s="14">
        <f>CHOOSE(CONTROL!$C$42, 5.0707, 5.0707) * CHOOSE(CONTROL!$C$21, $C$9, 100%, $E$9)</f>
        <v>5.0707000000000004</v>
      </c>
      <c r="R58" s="14">
        <f>CHOOSE(CONTROL!$C$42, 5.6703, 5.6703) * CHOOSE(CONTROL!$C$21, $C$9, 100%, $E$9)</f>
        <v>5.6703000000000001</v>
      </c>
      <c r="S58" s="14">
        <f>CHOOSE(CONTROL!$C$42, 4.0856, 4.0856) * CHOOSE(CONTROL!$C$21, $C$9, 100%, $E$9)</f>
        <v>4.0856000000000003</v>
      </c>
      <c r="T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" s="56">
        <f>(1000*CHOOSE(CONTROL!$C$42, 695, 695)*CHOOSE(CONTROL!$C$42, 0.5599, 0.5599)*CHOOSE(CONTROL!$C$42, 31, 31))/1000000</f>
        <v>12.063045499999998</v>
      </c>
      <c r="V58" s="56">
        <f>(1000*CHOOSE(CONTROL!$C$42, 580, 580)*CHOOSE(CONTROL!$C$42, 0.275, 0.275)*CHOOSE(CONTROL!$C$42, 31, 31))/1000000</f>
        <v>4.9444999999999997</v>
      </c>
      <c r="W58" s="56">
        <f>(1000*CHOOSE(CONTROL!$C$42, 0.1146, 0.1146)*CHOOSE(CONTROL!$C$42, 121.5, 121.5)*CHOOSE(CONTROL!$C$42, 31, 31))/1000000</f>
        <v>0.43164089999999994</v>
      </c>
      <c r="X58" s="56">
        <f>(31*0.1790888*245000/1000000)+(31*0.2374*100000/1000000)</f>
        <v>2.0961194359999999</v>
      </c>
      <c r="Y58" s="56"/>
      <c r="Z58" s="14"/>
      <c r="AA58" s="55"/>
      <c r="AB58" s="49">
        <f>(B58*131.881+C58*277.167+D58*79.08+E58*125.872+F58*40+G58*185+H58*0+I58*100+J58*300)/(131.881+277.167+79.08+125.872+0+40+185+100+300)</f>
        <v>4.3240738868442286</v>
      </c>
      <c r="AC58" s="45">
        <f>(M58*'RAP TEMPLATE-GAS AVAILABILITY'!O57+N58*'RAP TEMPLATE-GAS AVAILABILITY'!P57+O58*'RAP TEMPLATE-GAS AVAILABILITY'!Q57+P58*'RAP TEMPLATE-GAS AVAILABILITY'!R57)/('RAP TEMPLATE-GAS AVAILABILITY'!O57+'RAP TEMPLATE-GAS AVAILABILITY'!P57+'RAP TEMPLATE-GAS AVAILABILITY'!Q57+'RAP TEMPLATE-GAS AVAILABILITY'!R57)</f>
        <v>4.2907453237410076</v>
      </c>
    </row>
    <row r="59" spans="1:29" ht="15.75" x14ac:dyDescent="0.25">
      <c r="A59" s="13">
        <v>42675</v>
      </c>
      <c r="B59" s="14">
        <f>CHOOSE(CONTROL!$C$42, 4.3817, 4.3817) * CHOOSE(CONTROL!$C$21, $C$9, 100%, $E$9)</f>
        <v>4.3817000000000004</v>
      </c>
      <c r="C59" s="14">
        <f>CHOOSE(CONTROL!$C$42, 4.3868, 4.3868) * CHOOSE(CONTROL!$C$21, $C$9, 100%, $E$9)</f>
        <v>4.3868</v>
      </c>
      <c r="D59" s="14">
        <f>CHOOSE(CONTROL!$C$42, 4.4698, 4.4698) * CHOOSE(CONTROL!$C$21, $C$9, 100%, $E$9)</f>
        <v>4.4698000000000002</v>
      </c>
      <c r="E59" s="14">
        <f>CHOOSE(CONTROL!$C$42, 4.5039, 4.5039) * CHOOSE(CONTROL!$C$21, $C$9, 100%, $E$9)</f>
        <v>4.5038999999999998</v>
      </c>
      <c r="F59" s="14">
        <f>CHOOSE(CONTROL!$C$42, 4.4093, 4.4093)*CHOOSE(CONTROL!$C$21, $C$9, 100%, $E$9)</f>
        <v>4.4093</v>
      </c>
      <c r="G59" s="14">
        <f>CHOOSE(CONTROL!$C$42, 4.4267, 4.4267)*CHOOSE(CONTROL!$C$21, $C$9, 100%, $E$9)</f>
        <v>4.4267000000000003</v>
      </c>
      <c r="H59" s="14">
        <f>CHOOSE(CONTROL!$C$42, 4.4931, 4.4931) * CHOOSE(CONTROL!$C$21, $C$9, 100%, $E$9)</f>
        <v>4.4931000000000001</v>
      </c>
      <c r="I59" s="14">
        <f>CHOOSE(CONTROL!$C$42, 4.415, 4.415)* CHOOSE(CONTROL!$C$21, $C$9, 100%, $E$9)</f>
        <v>4.415</v>
      </c>
      <c r="J59" s="14">
        <f>CHOOSE(CONTROL!$C$42, 4.4023, 4.4023)* CHOOSE(CONTROL!$C$21, $C$9, 100%, $E$9)</f>
        <v>4.4023000000000003</v>
      </c>
      <c r="K59" s="52"/>
      <c r="L59" s="14">
        <f>CHOOSE(CONTROL!$C$42, 5.0801, 5.0801) * CHOOSE(CONTROL!$C$21, $C$9, 100%, $E$9)</f>
        <v>5.0800999999999998</v>
      </c>
      <c r="M59" s="14">
        <f>CHOOSE(CONTROL!$C$42, 4.3308, 4.3308) * CHOOSE(CONTROL!$C$21, $C$9, 100%, $E$9)</f>
        <v>4.3308</v>
      </c>
      <c r="N59" s="14">
        <f>CHOOSE(CONTROL!$C$42, 4.3479, 4.3479) * CHOOSE(CONTROL!$C$21, $C$9, 100%, $E$9)</f>
        <v>4.3479000000000001</v>
      </c>
      <c r="O59" s="14">
        <f>CHOOSE(CONTROL!$C$42, 4.42, 4.42) * CHOOSE(CONTROL!$C$21, $C$9, 100%, $E$9)</f>
        <v>4.42</v>
      </c>
      <c r="P59" s="14">
        <f>CHOOSE(CONTROL!$C$42, 4.3432, 4.3432) * CHOOSE(CONTROL!$C$21, $C$9, 100%, $E$9)</f>
        <v>4.3432000000000004</v>
      </c>
      <c r="Q59" s="14">
        <f>CHOOSE(CONTROL!$C$42, 5.0147, 5.0147) * CHOOSE(CONTROL!$C$21, $C$9, 100%, $E$9)</f>
        <v>5.0147000000000004</v>
      </c>
      <c r="R59" s="14">
        <f>CHOOSE(CONTROL!$C$42, 5.6142, 5.6142) * CHOOSE(CONTROL!$C$21, $C$9, 100%, $E$9)</f>
        <v>5.6142000000000003</v>
      </c>
      <c r="S59" s="14">
        <f>CHOOSE(CONTROL!$C$42, 4.2018, 4.2018) * CHOOSE(CONTROL!$C$21, $C$9, 100%, $E$9)</f>
        <v>4.2018000000000004</v>
      </c>
      <c r="T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" s="56">
        <f>(1000*CHOOSE(CONTROL!$C$42, 695, 695)*CHOOSE(CONTROL!$C$42, 0.5599, 0.5599)*CHOOSE(CONTROL!$C$42, 30, 30))/1000000</f>
        <v>11.673914999999997</v>
      </c>
      <c r="V59" s="56">
        <f>(1000*CHOOSE(CONTROL!$C$42, 580, 580)*CHOOSE(CONTROL!$C$42, 0.275, 0.275)*CHOOSE(CONTROL!$C$42, 30, 30))/1000000</f>
        <v>4.7850000000000001</v>
      </c>
      <c r="W59" s="56">
        <f>(1000*CHOOSE(CONTROL!$C$42, 0.1146, 0.1146)*CHOOSE(CONTROL!$C$42, 121.5, 121.5)*CHOOSE(CONTROL!$C$42, 30, 30))/1000000</f>
        <v>0.417717</v>
      </c>
      <c r="X59" s="56">
        <f>(30*0.1790888*100000/1000000)+(30*0.2374*100000/1000000)</f>
        <v>1.2494664</v>
      </c>
      <c r="Y59" s="56"/>
      <c r="Z59" s="14"/>
      <c r="AA59" s="55"/>
      <c r="AB59" s="49">
        <f>(B59*122.58+C59*297.941+D59*89.177+E59*40.302+F59*40+G59*160+H59*0+I59*100+J59*300)/(122.58+297.941+89.177+40.302+0+40+160+100+300)</f>
        <v>4.4096259975652172</v>
      </c>
      <c r="AC59" s="45">
        <f>(M59*'RAP TEMPLATE-GAS AVAILABILITY'!O58+N59*'RAP TEMPLATE-GAS AVAILABILITY'!P58+O59*'RAP TEMPLATE-GAS AVAILABILITY'!Q58+P59*'RAP TEMPLATE-GAS AVAILABILITY'!R58)/('RAP TEMPLATE-GAS AVAILABILITY'!O58+'RAP TEMPLATE-GAS AVAILABILITY'!P58+'RAP TEMPLATE-GAS AVAILABILITY'!Q58+'RAP TEMPLATE-GAS AVAILABILITY'!R58)</f>
        <v>4.3739971223021588</v>
      </c>
    </row>
    <row r="60" spans="1:29" ht="15.75" x14ac:dyDescent="0.25">
      <c r="A60" s="13">
        <v>42705</v>
      </c>
      <c r="B60" s="14">
        <f>CHOOSE(CONTROL!$C$42, 4.6894, 4.6894) * CHOOSE(CONTROL!$C$21, $C$9, 100%, $E$9)</f>
        <v>4.6894</v>
      </c>
      <c r="C60" s="14">
        <f>CHOOSE(CONTROL!$C$42, 4.6945, 4.6945) * CHOOSE(CONTROL!$C$21, $C$9, 100%, $E$9)</f>
        <v>4.6944999999999997</v>
      </c>
      <c r="D60" s="14">
        <f>CHOOSE(CONTROL!$C$42, 4.7775, 4.7775) * CHOOSE(CONTROL!$C$21, $C$9, 100%, $E$9)</f>
        <v>4.7774999999999999</v>
      </c>
      <c r="E60" s="14">
        <f>CHOOSE(CONTROL!$C$42, 4.8116, 4.8116) * CHOOSE(CONTROL!$C$21, $C$9, 100%, $E$9)</f>
        <v>4.8116000000000003</v>
      </c>
      <c r="F60" s="14">
        <f>CHOOSE(CONTROL!$C$42, 4.7195, 4.7195)*CHOOSE(CONTROL!$C$21, $C$9, 100%, $E$9)</f>
        <v>4.7195</v>
      </c>
      <c r="G60" s="14">
        <f>CHOOSE(CONTROL!$C$42, 4.7375, 4.7375)*CHOOSE(CONTROL!$C$21, $C$9, 100%, $E$9)</f>
        <v>4.7374999999999998</v>
      </c>
      <c r="H60" s="14">
        <f>CHOOSE(CONTROL!$C$42, 4.8008, 4.8008) * CHOOSE(CONTROL!$C$21, $C$9, 100%, $E$9)</f>
        <v>4.8007999999999997</v>
      </c>
      <c r="I60" s="14">
        <f>CHOOSE(CONTROL!$C$42, 4.7237, 4.7237)* CHOOSE(CONTROL!$C$21, $C$9, 100%, $E$9)</f>
        <v>4.7237</v>
      </c>
      <c r="J60" s="14">
        <f>CHOOSE(CONTROL!$C$42, 4.7125, 4.7125)* CHOOSE(CONTROL!$C$21, $C$9, 100%, $E$9)</f>
        <v>4.7125000000000004</v>
      </c>
      <c r="K60" s="52"/>
      <c r="L60" s="14">
        <f>CHOOSE(CONTROL!$C$42, 5.3878, 5.3878) * CHOOSE(CONTROL!$C$21, $C$9, 100%, $E$9)</f>
        <v>5.3878000000000004</v>
      </c>
      <c r="M60" s="14">
        <f>CHOOSE(CONTROL!$C$42, 4.6354, 4.6354) * CHOOSE(CONTROL!$C$21, $C$9, 100%, $E$9)</f>
        <v>4.6353999999999997</v>
      </c>
      <c r="N60" s="14">
        <f>CHOOSE(CONTROL!$C$42, 4.6531, 4.6531) * CHOOSE(CONTROL!$C$21, $C$9, 100%, $E$9)</f>
        <v>4.6531000000000002</v>
      </c>
      <c r="O60" s="14">
        <f>CHOOSE(CONTROL!$C$42, 4.7222, 4.7222) * CHOOSE(CONTROL!$C$21, $C$9, 100%, $E$9)</f>
        <v>4.7222</v>
      </c>
      <c r="P60" s="14">
        <f>CHOOSE(CONTROL!$C$42, 4.6463, 4.6463) * CHOOSE(CONTROL!$C$21, $C$9, 100%, $E$9)</f>
        <v>4.6463000000000001</v>
      </c>
      <c r="Q60" s="14">
        <f>CHOOSE(CONTROL!$C$42, 5.3169, 5.3169) * CHOOSE(CONTROL!$C$21, $C$9, 100%, $E$9)</f>
        <v>5.3169000000000004</v>
      </c>
      <c r="R60" s="14">
        <f>CHOOSE(CONTROL!$C$42, 5.9172, 5.9172) * CHOOSE(CONTROL!$C$21, $C$9, 100%, $E$9)</f>
        <v>5.9172000000000002</v>
      </c>
      <c r="S60" s="14">
        <f>CHOOSE(CONTROL!$C$42, 4.4975, 4.4975) * CHOOSE(CONTROL!$C$21, $C$9, 100%, $E$9)</f>
        <v>4.4974999999999996</v>
      </c>
      <c r="T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" s="56">
        <f>(1000*CHOOSE(CONTROL!$C$42, 695, 695)*CHOOSE(CONTROL!$C$42, 0.5599, 0.5599)*CHOOSE(CONTROL!$C$42, 31, 31))/1000000</f>
        <v>12.063045499999998</v>
      </c>
      <c r="V60" s="56">
        <f>(1000*CHOOSE(CONTROL!$C$42, 580, 580)*CHOOSE(CONTROL!$C$42, 0.275, 0.275)*CHOOSE(CONTROL!$C$42, 31, 31))/1000000</f>
        <v>4.9444999999999997</v>
      </c>
      <c r="W60" s="56">
        <f>(1000*CHOOSE(CONTROL!$C$42, 0.1146, 0.1146)*CHOOSE(CONTROL!$C$42, 121.5, 121.5)*CHOOSE(CONTROL!$C$42, 31, 31))/1000000</f>
        <v>0.43164089999999994</v>
      </c>
      <c r="X60" s="56">
        <f>(31*0.1790888*100000/1000000)+(31*0.2374*100000/1000000)</f>
        <v>1.2911152800000001</v>
      </c>
      <c r="Y60" s="56"/>
      <c r="Z60" s="14"/>
      <c r="AA60" s="55"/>
      <c r="AB60" s="49">
        <f>(B60*122.58+C60*297.941+D60*89.177+E60*40.302+F60*40+G60*160+H60*0+I60*100+J60*300)/(122.58+297.941+89.177+40.302+0+40+160+100+300)</f>
        <v>4.7185833888695656</v>
      </c>
      <c r="AC60" s="45">
        <f>(M60*'RAP TEMPLATE-GAS AVAILABILITY'!O59+N60*'RAP TEMPLATE-GAS AVAILABILITY'!P59+O60*'RAP TEMPLATE-GAS AVAILABILITY'!Q59+P60*'RAP TEMPLATE-GAS AVAILABILITY'!R59)/('RAP TEMPLATE-GAS AVAILABILITY'!O59+'RAP TEMPLATE-GAS AVAILABILITY'!P59+'RAP TEMPLATE-GAS AVAILABILITY'!Q59+'RAP TEMPLATE-GAS AVAILABILITY'!R59)</f>
        <v>4.6773280575539564</v>
      </c>
    </row>
    <row r="61" spans="1:29" ht="15.75" x14ac:dyDescent="0.25">
      <c r="A61" s="13">
        <v>42736</v>
      </c>
      <c r="B61" s="14">
        <f>CHOOSE(CONTROL!$C$42, 5.1284, 5.1284) * CHOOSE(CONTROL!$C$21, $C$9, 100%, $E$9)</f>
        <v>5.1284000000000001</v>
      </c>
      <c r="C61" s="14">
        <f>CHOOSE(CONTROL!$C$42, 5.1334, 5.1334) * CHOOSE(CONTROL!$C$21, $C$9, 100%, $E$9)</f>
        <v>5.1334</v>
      </c>
      <c r="D61" s="14">
        <f>CHOOSE(CONTROL!$C$42, 5.2269, 5.2269) * CHOOSE(CONTROL!$C$21, $C$9, 100%, $E$9)</f>
        <v>5.2268999999999997</v>
      </c>
      <c r="E61" s="14">
        <f>CHOOSE(CONTROL!$C$42, 5.261, 5.261) * CHOOSE(CONTROL!$C$21, $C$9, 100%, $E$9)</f>
        <v>5.2610000000000001</v>
      </c>
      <c r="F61" s="14">
        <f>CHOOSE(CONTROL!$C$42, 5.1557, 5.1557)*CHOOSE(CONTROL!$C$21, $C$9, 100%, $E$9)</f>
        <v>5.1557000000000004</v>
      </c>
      <c r="G61" s="14">
        <f>CHOOSE(CONTROL!$C$42, 5.1736, 5.1736)*CHOOSE(CONTROL!$C$21, $C$9, 100%, $E$9)</f>
        <v>5.1736000000000004</v>
      </c>
      <c r="H61" s="14">
        <f>CHOOSE(CONTROL!$C$42, 5.2502, 5.2502) * CHOOSE(CONTROL!$C$21, $C$9, 100%, $E$9)</f>
        <v>5.2502000000000004</v>
      </c>
      <c r="I61" s="14">
        <f>CHOOSE(CONTROL!$C$42, 5.1703, 5.1703)* CHOOSE(CONTROL!$C$21, $C$9, 100%, $E$9)</f>
        <v>5.1703000000000001</v>
      </c>
      <c r="J61" s="14">
        <f>CHOOSE(CONTROL!$C$42, 5.1487, 5.1487)* CHOOSE(CONTROL!$C$21, $C$9, 100%, $E$9)</f>
        <v>5.1486999999999998</v>
      </c>
      <c r="K61" s="52">
        <f>CHOOSE(CONTROL!$C$42, 5.1664, 5.1664) * CHOOSE(CONTROL!$C$21, $C$9, 100%, $E$9)</f>
        <v>5.1664000000000003</v>
      </c>
      <c r="L61" s="14">
        <f>CHOOSE(CONTROL!$C$42, 5.8372, 5.8372) * CHOOSE(CONTROL!$C$21, $C$9, 100%, $E$9)</f>
        <v>5.8372000000000002</v>
      </c>
      <c r="M61" s="14">
        <f>CHOOSE(CONTROL!$C$42, 5.0638, 5.0638) * CHOOSE(CONTROL!$C$21, $C$9, 100%, $E$9)</f>
        <v>5.0637999999999996</v>
      </c>
      <c r="N61" s="14">
        <f>CHOOSE(CONTROL!$C$42, 5.0814, 5.0814) * CHOOSE(CONTROL!$C$21, $C$9, 100%, $E$9)</f>
        <v>5.0814000000000004</v>
      </c>
      <c r="O61" s="14">
        <f>CHOOSE(CONTROL!$C$42, 5.1635, 5.1635) * CHOOSE(CONTROL!$C$21, $C$9, 100%, $E$9)</f>
        <v>5.1635</v>
      </c>
      <c r="P61" s="14">
        <f>CHOOSE(CONTROL!$C$42, 5.0848, 5.0848) * CHOOSE(CONTROL!$C$21, $C$9, 100%, $E$9)</f>
        <v>5.0848000000000004</v>
      </c>
      <c r="Q61" s="14">
        <f>CHOOSE(CONTROL!$C$42, 5.7582, 5.7582) * CHOOSE(CONTROL!$C$21, $C$9, 100%, $E$9)</f>
        <v>5.7582000000000004</v>
      </c>
      <c r="R61" s="14">
        <f>CHOOSE(CONTROL!$C$42, 6.3596, 6.3596) * CHOOSE(CONTROL!$C$21, $C$9, 100%, $E$9)</f>
        <v>6.3596000000000004</v>
      </c>
      <c r="S61" s="14">
        <f>CHOOSE(CONTROL!$C$42, 4.9193, 4.9193) * CHOOSE(CONTROL!$C$21, $C$9, 100%, $E$9)</f>
        <v>4.9192999999999998</v>
      </c>
      <c r="T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1" s="56">
        <f>(1000*CHOOSE(CONTROL!$C$42, 695, 695)*CHOOSE(CONTROL!$C$42, 0.5599, 0.5599)*CHOOSE(CONTROL!$C$42, 31, 31))/1000000</f>
        <v>12.063045499999998</v>
      </c>
      <c r="V61" s="56">
        <f>(1000*CHOOSE(CONTROL!$C$42, 580, 580)*CHOOSE(CONTROL!$C$42, 0.275, 0.275)*CHOOSE(CONTROL!$C$42, 31, 31))/1000000</f>
        <v>4.9444999999999997</v>
      </c>
      <c r="W61" s="56">
        <f>(1000*CHOOSE(CONTROL!$C$42, 0.1146, 0.1146)*CHOOSE(CONTROL!$C$42, 121.5, 121.5)*CHOOSE(CONTROL!$C$42, 31, 31))/1000000</f>
        <v>0.43164089999999994</v>
      </c>
      <c r="X61" s="56">
        <f>(31*0.1790888*100000/1000000)+(31*0.2374*100000/1000000)</f>
        <v>1.2911152800000001</v>
      </c>
      <c r="Y61" s="56"/>
      <c r="Z61" s="14"/>
      <c r="AA61" s="55"/>
      <c r="AB61" s="49">
        <f>(B61*122.58+C61*297.941+D61*89.177+E61*40.302+F61*40+G61*160+H61*0+I61*100+J61*300)/(122.58+297.941+89.177+40.302+0+40+160+100+300)</f>
        <v>5.1581579866956515</v>
      </c>
      <c r="AC61" s="45">
        <f>(M61*'RAP TEMPLATE-GAS AVAILABILITY'!O60+N61*'RAP TEMPLATE-GAS AVAILABILITY'!P60+O61*'RAP TEMPLATE-GAS AVAILABILITY'!Q60+P61*'RAP TEMPLATE-GAS AVAILABILITY'!R60)/('RAP TEMPLATE-GAS AVAILABILITY'!O60+'RAP TEMPLATE-GAS AVAILABILITY'!P60+'RAP TEMPLATE-GAS AVAILABILITY'!Q60+'RAP TEMPLATE-GAS AVAILABILITY'!R60)</f>
        <v>5.1130223021582735</v>
      </c>
    </row>
    <row r="62" spans="1:29" ht="15.75" x14ac:dyDescent="0.25">
      <c r="A62" s="13">
        <v>42767</v>
      </c>
      <c r="B62" s="14">
        <f>CHOOSE(CONTROL!$C$42, 5.2302, 5.2302) * CHOOSE(CONTROL!$C$21, $C$9, 100%, $E$9)</f>
        <v>5.2302</v>
      </c>
      <c r="C62" s="14">
        <f>CHOOSE(CONTROL!$C$42, 5.2353, 5.2353) * CHOOSE(CONTROL!$C$21, $C$9, 100%, $E$9)</f>
        <v>5.2352999999999996</v>
      </c>
      <c r="D62" s="14">
        <f>CHOOSE(CONTROL!$C$42, 5.3288, 5.3288) * CHOOSE(CONTROL!$C$21, $C$9, 100%, $E$9)</f>
        <v>5.3288000000000002</v>
      </c>
      <c r="E62" s="14">
        <f>CHOOSE(CONTROL!$C$42, 5.3629, 5.3629) * CHOOSE(CONTROL!$C$21, $C$9, 100%, $E$9)</f>
        <v>5.3628999999999998</v>
      </c>
      <c r="F62" s="14">
        <f>CHOOSE(CONTROL!$C$42, 5.2572, 5.2572)*CHOOSE(CONTROL!$C$21, $C$9, 100%, $E$9)</f>
        <v>5.2572000000000001</v>
      </c>
      <c r="G62" s="14">
        <f>CHOOSE(CONTROL!$C$42, 5.275, 5.275)*CHOOSE(CONTROL!$C$21, $C$9, 100%, $E$9)</f>
        <v>5.2750000000000004</v>
      </c>
      <c r="H62" s="14">
        <f>CHOOSE(CONTROL!$C$42, 5.3521, 5.3521) * CHOOSE(CONTROL!$C$21, $C$9, 100%, $E$9)</f>
        <v>5.3521000000000001</v>
      </c>
      <c r="I62" s="14">
        <f>CHOOSE(CONTROL!$C$42, 5.2725, 5.2725)* CHOOSE(CONTROL!$C$21, $C$9, 100%, $E$9)</f>
        <v>5.2725</v>
      </c>
      <c r="J62" s="14">
        <f>CHOOSE(CONTROL!$C$42, 5.2502, 5.2502)* CHOOSE(CONTROL!$C$21, $C$9, 100%, $E$9)</f>
        <v>5.2502000000000004</v>
      </c>
      <c r="K62" s="52">
        <f>CHOOSE(CONTROL!$C$42, 5.2686, 5.2686) * CHOOSE(CONTROL!$C$21, $C$9, 100%, $E$9)</f>
        <v>5.2686000000000002</v>
      </c>
      <c r="L62" s="14">
        <f>CHOOSE(CONTROL!$C$42, 5.9391, 5.9391) * CHOOSE(CONTROL!$C$21, $C$9, 100%, $E$9)</f>
        <v>5.9390999999999998</v>
      </c>
      <c r="M62" s="14">
        <f>CHOOSE(CONTROL!$C$42, 5.1634, 5.1634) * CHOOSE(CONTROL!$C$21, $C$9, 100%, $E$9)</f>
        <v>5.1634000000000002</v>
      </c>
      <c r="N62" s="14">
        <f>CHOOSE(CONTROL!$C$42, 5.181, 5.181) * CHOOSE(CONTROL!$C$21, $C$9, 100%, $E$9)</f>
        <v>5.181</v>
      </c>
      <c r="O62" s="14">
        <f>CHOOSE(CONTROL!$C$42, 5.2635, 5.2635) * CHOOSE(CONTROL!$C$21, $C$9, 100%, $E$9)</f>
        <v>5.2634999999999996</v>
      </c>
      <c r="P62" s="14">
        <f>CHOOSE(CONTROL!$C$42, 5.1851, 5.1851) * CHOOSE(CONTROL!$C$21, $C$9, 100%, $E$9)</f>
        <v>5.1851000000000003</v>
      </c>
      <c r="Q62" s="14">
        <f>CHOOSE(CONTROL!$C$42, 5.8582, 5.8582) * CHOOSE(CONTROL!$C$21, $C$9, 100%, $E$9)</f>
        <v>5.8582000000000001</v>
      </c>
      <c r="R62" s="14">
        <f>CHOOSE(CONTROL!$C$42, 6.4598, 6.4598) * CHOOSE(CONTROL!$C$21, $C$9, 100%, $E$9)</f>
        <v>6.4598000000000004</v>
      </c>
      <c r="S62" s="14">
        <f>CHOOSE(CONTROL!$C$42, 5.0172, 5.0172) * CHOOSE(CONTROL!$C$21, $C$9, 100%, $E$9)</f>
        <v>5.0171999999999999</v>
      </c>
      <c r="T6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2" s="56">
        <f>(1000*CHOOSE(CONTROL!$C$42, 695, 695)*CHOOSE(CONTROL!$C$42, 0.5599, 0.5599)*CHOOSE(CONTROL!$C$42, 28, 28))/1000000</f>
        <v>10.895653999999999</v>
      </c>
      <c r="V62" s="56">
        <f>(1000*CHOOSE(CONTROL!$C$42, 580, 580)*CHOOSE(CONTROL!$C$42, 0.275, 0.275)*CHOOSE(CONTROL!$C$42, 28, 28))/1000000</f>
        <v>4.4660000000000002</v>
      </c>
      <c r="W62" s="56">
        <f>(1000*CHOOSE(CONTROL!$C$42, 0.1146, 0.1146)*CHOOSE(CONTROL!$C$42, 121.5, 121.5)*CHOOSE(CONTROL!$C$42, 28, 28))/1000000</f>
        <v>0.38986920000000003</v>
      </c>
      <c r="X62" s="56">
        <f>(28*0.1790888*100000/1000000)+(28*0.2374*100000/1000000)</f>
        <v>1.16616864</v>
      </c>
      <c r="Y62" s="56"/>
      <c r="Z62" s="14"/>
      <c r="AA62" s="55"/>
      <c r="AB62" s="49">
        <f>(B62*122.58+C62*297.941+D62*89.177+E62*40.302+F62*40+G62*160+H62*0+I62*100+J62*300)/(122.58+297.941+89.177+40.302+0+40+160+100+300)</f>
        <v>5.2598855884347824</v>
      </c>
      <c r="AC62" s="45">
        <f>(M62*'RAP TEMPLATE-GAS AVAILABILITY'!O61+N62*'RAP TEMPLATE-GAS AVAILABILITY'!P61+O62*'RAP TEMPLATE-GAS AVAILABILITY'!Q61+P62*'RAP TEMPLATE-GAS AVAILABILITY'!R61)/('RAP TEMPLATE-GAS AVAILABILITY'!O61+'RAP TEMPLATE-GAS AVAILABILITY'!P61+'RAP TEMPLATE-GAS AVAILABILITY'!Q61+'RAP TEMPLATE-GAS AVAILABILITY'!R61)</f>
        <v>5.2129043165467621</v>
      </c>
    </row>
    <row r="63" spans="1:29" ht="15.75" x14ac:dyDescent="0.25">
      <c r="A63" s="13">
        <v>42795</v>
      </c>
      <c r="B63" s="14">
        <f>CHOOSE(CONTROL!$C$42, 5.0924, 5.0924) * CHOOSE(CONTROL!$C$21, $C$9, 100%, $E$9)</f>
        <v>5.0923999999999996</v>
      </c>
      <c r="C63" s="14">
        <f>CHOOSE(CONTROL!$C$42, 5.0975, 5.0975) * CHOOSE(CONTROL!$C$21, $C$9, 100%, $E$9)</f>
        <v>5.0975000000000001</v>
      </c>
      <c r="D63" s="14">
        <f>CHOOSE(CONTROL!$C$42, 5.191, 5.191) * CHOOSE(CONTROL!$C$21, $C$9, 100%, $E$9)</f>
        <v>5.1909999999999998</v>
      </c>
      <c r="E63" s="14">
        <f>CHOOSE(CONTROL!$C$42, 5.2251, 5.2251) * CHOOSE(CONTROL!$C$21, $C$9, 100%, $E$9)</f>
        <v>5.2251000000000003</v>
      </c>
      <c r="F63" s="14">
        <f>CHOOSE(CONTROL!$C$42, 5.1185, 5.1185)*CHOOSE(CONTROL!$C$21, $C$9, 100%, $E$9)</f>
        <v>5.1185</v>
      </c>
      <c r="G63" s="14">
        <f>CHOOSE(CONTROL!$C$42, 5.1362, 5.1362)*CHOOSE(CONTROL!$C$21, $C$9, 100%, $E$9)</f>
        <v>5.1361999999999997</v>
      </c>
      <c r="H63" s="14">
        <f>CHOOSE(CONTROL!$C$42, 5.2143, 5.2143) * CHOOSE(CONTROL!$C$21, $C$9, 100%, $E$9)</f>
        <v>5.2142999999999997</v>
      </c>
      <c r="I63" s="14">
        <f>CHOOSE(CONTROL!$C$42, 5.1343, 5.1343)* CHOOSE(CONTROL!$C$21, $C$9, 100%, $E$9)</f>
        <v>5.1342999999999996</v>
      </c>
      <c r="J63" s="14">
        <f>CHOOSE(CONTROL!$C$42, 5.1115, 5.1115)* CHOOSE(CONTROL!$C$21, $C$9, 100%, $E$9)</f>
        <v>5.1115000000000004</v>
      </c>
      <c r="K63" s="52">
        <f>CHOOSE(CONTROL!$C$42, 5.1304, 5.1304) * CHOOSE(CONTROL!$C$21, $C$9, 100%, $E$9)</f>
        <v>5.1303999999999998</v>
      </c>
      <c r="L63" s="14">
        <f>CHOOSE(CONTROL!$C$42, 5.8013, 5.8013) * CHOOSE(CONTROL!$C$21, $C$9, 100%, $E$9)</f>
        <v>5.8013000000000003</v>
      </c>
      <c r="M63" s="14">
        <f>CHOOSE(CONTROL!$C$42, 5.0273, 5.0273) * CHOOSE(CONTROL!$C$21, $C$9, 100%, $E$9)</f>
        <v>5.0273000000000003</v>
      </c>
      <c r="N63" s="14">
        <f>CHOOSE(CONTROL!$C$42, 5.0446, 5.0446) * CHOOSE(CONTROL!$C$21, $C$9, 100%, $E$9)</f>
        <v>5.0446</v>
      </c>
      <c r="O63" s="14">
        <f>CHOOSE(CONTROL!$C$42, 5.1282, 5.1282) * CHOOSE(CONTROL!$C$21, $C$9, 100%, $E$9)</f>
        <v>5.1281999999999996</v>
      </c>
      <c r="P63" s="14">
        <f>CHOOSE(CONTROL!$C$42, 5.0494, 5.0494) * CHOOSE(CONTROL!$C$21, $C$9, 100%, $E$9)</f>
        <v>5.0494000000000003</v>
      </c>
      <c r="Q63" s="14">
        <f>CHOOSE(CONTROL!$C$42, 5.7229, 5.7229) * CHOOSE(CONTROL!$C$21, $C$9, 100%, $E$9)</f>
        <v>5.7229000000000001</v>
      </c>
      <c r="R63" s="14">
        <f>CHOOSE(CONTROL!$C$42, 6.3242, 6.3242) * CHOOSE(CONTROL!$C$21, $C$9, 100%, $E$9)</f>
        <v>6.3242000000000003</v>
      </c>
      <c r="S63" s="14">
        <f>CHOOSE(CONTROL!$C$42, 4.8848, 4.8848) * CHOOSE(CONTROL!$C$21, $C$9, 100%, $E$9)</f>
        <v>4.8848000000000003</v>
      </c>
      <c r="T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3" s="56">
        <f>(1000*CHOOSE(CONTROL!$C$42, 695, 695)*CHOOSE(CONTROL!$C$42, 0.5599, 0.5599)*CHOOSE(CONTROL!$C$42, 31, 31))/1000000</f>
        <v>12.063045499999998</v>
      </c>
      <c r="V63" s="56">
        <f>(1000*CHOOSE(CONTROL!$C$42, 580, 580)*CHOOSE(CONTROL!$C$42, 0.275, 0.275)*CHOOSE(CONTROL!$C$42, 31, 31))/1000000</f>
        <v>4.9444999999999997</v>
      </c>
      <c r="W63" s="56">
        <f>(1000*CHOOSE(CONTROL!$C$42, 0.1146, 0.1146)*CHOOSE(CONTROL!$C$42, 121.5, 121.5)*CHOOSE(CONTROL!$C$42, 31, 31))/1000000</f>
        <v>0.43164089999999994</v>
      </c>
      <c r="X63" s="56">
        <f>(31*0.1790888*100000/1000000)+(31*0.2374*100000/1000000)</f>
        <v>1.2911152800000001</v>
      </c>
      <c r="Y63" s="56"/>
      <c r="Z63" s="14"/>
      <c r="AA63" s="55"/>
      <c r="AB63" s="49">
        <f>(B63*122.58+C63*297.941+D63*89.177+E63*40.302+F63*40+G63*160+H63*0+I63*100+J63*300)/(122.58+297.941+89.177+40.302+0+40+160+100+300)</f>
        <v>5.1216455884347827</v>
      </c>
      <c r="AC63" s="45">
        <f>(M63*'RAP TEMPLATE-GAS AVAILABILITY'!O62+N63*'RAP TEMPLATE-GAS AVAILABILITY'!P62+O63*'RAP TEMPLATE-GAS AVAILABILITY'!Q62+P63*'RAP TEMPLATE-GAS AVAILABILITY'!R62)/('RAP TEMPLATE-GAS AVAILABILITY'!O62+'RAP TEMPLATE-GAS AVAILABILITY'!P62+'RAP TEMPLATE-GAS AVAILABILITY'!Q62+'RAP TEMPLATE-GAS AVAILABILITY'!R62)</f>
        <v>5.0772071942446049</v>
      </c>
    </row>
    <row r="64" spans="1:29" ht="15.75" x14ac:dyDescent="0.25">
      <c r="A64" s="13">
        <v>42826</v>
      </c>
      <c r="B64" s="14">
        <f>CHOOSE(CONTROL!$C$42, 5.0887, 5.0887) * CHOOSE(CONTROL!$C$21, $C$9, 100%, $E$9)</f>
        <v>5.0887000000000002</v>
      </c>
      <c r="C64" s="14">
        <f>CHOOSE(CONTROL!$C$42, 5.0932, 5.0932) * CHOOSE(CONTROL!$C$21, $C$9, 100%, $E$9)</f>
        <v>5.0932000000000004</v>
      </c>
      <c r="D64" s="14">
        <f>CHOOSE(CONTROL!$C$42, 5.3554, 5.3554) * CHOOSE(CONTROL!$C$21, $C$9, 100%, $E$9)</f>
        <v>5.3554000000000004</v>
      </c>
      <c r="E64" s="14">
        <f>CHOOSE(CONTROL!$C$42, 5.3875, 5.3875) * CHOOSE(CONTROL!$C$21, $C$9, 100%, $E$9)</f>
        <v>5.3875000000000002</v>
      </c>
      <c r="F64" s="14">
        <f>CHOOSE(CONTROL!$C$42, 5.1115, 5.1115)*CHOOSE(CONTROL!$C$21, $C$9, 100%, $E$9)</f>
        <v>5.1115000000000004</v>
      </c>
      <c r="G64" s="14">
        <f>CHOOSE(CONTROL!$C$42, 5.1282, 5.1282)*CHOOSE(CONTROL!$C$21, $C$9, 100%, $E$9)</f>
        <v>5.1281999999999996</v>
      </c>
      <c r="H64" s="14">
        <f>CHOOSE(CONTROL!$C$42, 5.3773, 5.3773) * CHOOSE(CONTROL!$C$21, $C$9, 100%, $E$9)</f>
        <v>5.3773</v>
      </c>
      <c r="I64" s="14">
        <f>CHOOSE(CONTROL!$C$42, 5.1271, 5.1271)* CHOOSE(CONTROL!$C$21, $C$9, 100%, $E$9)</f>
        <v>5.1271000000000004</v>
      </c>
      <c r="J64" s="14">
        <f>CHOOSE(CONTROL!$C$42, 5.1045, 5.1045)* CHOOSE(CONTROL!$C$21, $C$9, 100%, $E$9)</f>
        <v>5.1044999999999998</v>
      </c>
      <c r="K64" s="52">
        <f>CHOOSE(CONTROL!$C$42, 5.1232, 5.1232) * CHOOSE(CONTROL!$C$21, $C$9, 100%, $E$9)</f>
        <v>5.1231999999999998</v>
      </c>
      <c r="L64" s="14">
        <f>CHOOSE(CONTROL!$C$42, 5.9643, 5.9643) * CHOOSE(CONTROL!$C$21, $C$9, 100%, $E$9)</f>
        <v>5.9642999999999997</v>
      </c>
      <c r="M64" s="14">
        <f>CHOOSE(CONTROL!$C$42, 5.0204, 5.0204) * CHOOSE(CONTROL!$C$21, $C$9, 100%, $E$9)</f>
        <v>5.0204000000000004</v>
      </c>
      <c r="N64" s="14">
        <f>CHOOSE(CONTROL!$C$42, 5.0368, 5.0368) * CHOOSE(CONTROL!$C$21, $C$9, 100%, $E$9)</f>
        <v>5.0368000000000004</v>
      </c>
      <c r="O64" s="14">
        <f>CHOOSE(CONTROL!$C$42, 5.2883, 5.2883) * CHOOSE(CONTROL!$C$21, $C$9, 100%, $E$9)</f>
        <v>5.2882999999999996</v>
      </c>
      <c r="P64" s="14">
        <f>CHOOSE(CONTROL!$C$42, 5.0424, 5.0424) * CHOOSE(CONTROL!$C$21, $C$9, 100%, $E$9)</f>
        <v>5.0423999999999998</v>
      </c>
      <c r="Q64" s="14">
        <f>CHOOSE(CONTROL!$C$42, 5.883, 5.883) * CHOOSE(CONTROL!$C$21, $C$9, 100%, $E$9)</f>
        <v>5.883</v>
      </c>
      <c r="R64" s="14">
        <f>CHOOSE(CONTROL!$C$42, 6.4847, 6.4847) * CHOOSE(CONTROL!$C$21, $C$9, 100%, $E$9)</f>
        <v>6.4847000000000001</v>
      </c>
      <c r="S64" s="14">
        <f>CHOOSE(CONTROL!$C$42, 4.8804, 4.8804) * CHOOSE(CONTROL!$C$21, $C$9, 100%, $E$9)</f>
        <v>4.8803999999999998</v>
      </c>
      <c r="T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4" s="56">
        <f>(1000*CHOOSE(CONTROL!$C$42, 695, 695)*CHOOSE(CONTROL!$C$42, 0.5599, 0.5599)*CHOOSE(CONTROL!$C$42, 30, 30))/1000000</f>
        <v>11.673914999999997</v>
      </c>
      <c r="V64" s="56">
        <f>(1000*CHOOSE(CONTROL!$C$42, 580, 580)*CHOOSE(CONTROL!$C$42, 0.275, 0.275)*CHOOSE(CONTROL!$C$42, 30, 30))/1000000</f>
        <v>4.7850000000000001</v>
      </c>
      <c r="W64" s="56">
        <f>(1000*CHOOSE(CONTROL!$C$42, 0.1146, 0.1146)*CHOOSE(CONTROL!$C$42, 121.5, 121.5)*CHOOSE(CONTROL!$C$42, 30, 30))/1000000</f>
        <v>0.417717</v>
      </c>
      <c r="X64" s="56">
        <f>(30*0.1790888*245000/1000000)+(30*0.2374*100000/1000000)</f>
        <v>2.0285026799999999</v>
      </c>
      <c r="Y64" s="56"/>
      <c r="Z64" s="14"/>
      <c r="AA64" s="55"/>
      <c r="AB64" s="49">
        <f>(B64*141.293+C64*267.993+D64*115.016+E64*89.698+F64*40+G64*185+H64*0+I64*100+J64*300)/(141.293+267.993+115.016+89.698+0+40+185+100+300)</f>
        <v>5.1496217095238093</v>
      </c>
      <c r="AC64" s="45">
        <f>(M64*'RAP TEMPLATE-GAS AVAILABILITY'!O63+N64*'RAP TEMPLATE-GAS AVAILABILITY'!P63+O64*'RAP TEMPLATE-GAS AVAILABILITY'!Q63+P64*'RAP TEMPLATE-GAS AVAILABILITY'!R63)/('RAP TEMPLATE-GAS AVAILABILITY'!O63+'RAP TEMPLATE-GAS AVAILABILITY'!P63+'RAP TEMPLATE-GAS AVAILABILITY'!Q63+'RAP TEMPLATE-GAS AVAILABILITY'!R63)</f>
        <v>5.1025071942446036</v>
      </c>
    </row>
    <row r="65" spans="1:29" ht="15.75" x14ac:dyDescent="0.25">
      <c r="A65" s="13">
        <v>42856</v>
      </c>
      <c r="B65" s="14">
        <f>CHOOSE(CONTROL!$C$42, 5.1454, 5.1454) * CHOOSE(CONTROL!$C$21, $C$9, 100%, $E$9)</f>
        <v>5.1454000000000004</v>
      </c>
      <c r="C65" s="14">
        <f>CHOOSE(CONTROL!$C$42, 5.1535, 5.1535) * CHOOSE(CONTROL!$C$21, $C$9, 100%, $E$9)</f>
        <v>5.1535000000000002</v>
      </c>
      <c r="D65" s="14">
        <f>CHOOSE(CONTROL!$C$42, 5.4126, 5.4126) * CHOOSE(CONTROL!$C$21, $C$9, 100%, $E$9)</f>
        <v>5.4126000000000003</v>
      </c>
      <c r="E65" s="14">
        <f>CHOOSE(CONTROL!$C$42, 5.444, 5.444) * CHOOSE(CONTROL!$C$21, $C$9, 100%, $E$9)</f>
        <v>5.444</v>
      </c>
      <c r="F65" s="14">
        <f>CHOOSE(CONTROL!$C$42, 5.167, 5.167)*CHOOSE(CONTROL!$C$21, $C$9, 100%, $E$9)</f>
        <v>5.1669999999999998</v>
      </c>
      <c r="G65" s="14">
        <f>CHOOSE(CONTROL!$C$42, 5.1839, 5.1839)*CHOOSE(CONTROL!$C$21, $C$9, 100%, $E$9)</f>
        <v>5.1839000000000004</v>
      </c>
      <c r="H65" s="14">
        <f>CHOOSE(CONTROL!$C$42, 5.4327, 5.4327) * CHOOSE(CONTROL!$C$21, $C$9, 100%, $E$9)</f>
        <v>5.4326999999999996</v>
      </c>
      <c r="I65" s="14">
        <f>CHOOSE(CONTROL!$C$42, 5.1827, 5.1827)* CHOOSE(CONTROL!$C$21, $C$9, 100%, $E$9)</f>
        <v>5.1826999999999996</v>
      </c>
      <c r="J65" s="14">
        <f>CHOOSE(CONTROL!$C$42, 5.16, 5.16)* CHOOSE(CONTROL!$C$21, $C$9, 100%, $E$9)</f>
        <v>5.16</v>
      </c>
      <c r="K65" s="52">
        <f>CHOOSE(CONTROL!$C$42, 5.1788, 5.1788) * CHOOSE(CONTROL!$C$21, $C$9, 100%, $E$9)</f>
        <v>5.1787999999999998</v>
      </c>
      <c r="L65" s="14">
        <f>CHOOSE(CONTROL!$C$42, 6.0197, 6.0197) * CHOOSE(CONTROL!$C$21, $C$9, 100%, $E$9)</f>
        <v>6.0197000000000003</v>
      </c>
      <c r="M65" s="14">
        <f>CHOOSE(CONTROL!$C$42, 5.0748, 5.0748) * CHOOSE(CONTROL!$C$21, $C$9, 100%, $E$9)</f>
        <v>5.0747999999999998</v>
      </c>
      <c r="N65" s="14">
        <f>CHOOSE(CONTROL!$C$42, 5.0915, 5.0915) * CHOOSE(CONTROL!$C$21, $C$9, 100%, $E$9)</f>
        <v>5.0914999999999999</v>
      </c>
      <c r="O65" s="14">
        <f>CHOOSE(CONTROL!$C$42, 5.3426, 5.3426) * CHOOSE(CONTROL!$C$21, $C$9, 100%, $E$9)</f>
        <v>5.3426</v>
      </c>
      <c r="P65" s="14">
        <f>CHOOSE(CONTROL!$C$42, 5.0969, 5.0969) * CHOOSE(CONTROL!$C$21, $C$9, 100%, $E$9)</f>
        <v>5.0968999999999998</v>
      </c>
      <c r="Q65" s="14">
        <f>CHOOSE(CONTROL!$C$42, 5.9373, 5.9373) * CHOOSE(CONTROL!$C$21, $C$9, 100%, $E$9)</f>
        <v>5.9372999999999996</v>
      </c>
      <c r="R65" s="14">
        <f>CHOOSE(CONTROL!$C$42, 6.5392, 6.5392) * CHOOSE(CONTROL!$C$21, $C$9, 100%, $E$9)</f>
        <v>6.5392000000000001</v>
      </c>
      <c r="S65" s="14">
        <f>CHOOSE(CONTROL!$C$42, 4.9336, 4.9336) * CHOOSE(CONTROL!$C$21, $C$9, 100%, $E$9)</f>
        <v>4.9336000000000002</v>
      </c>
      <c r="T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5" s="56">
        <f>(1000*CHOOSE(CONTROL!$C$42, 695, 695)*CHOOSE(CONTROL!$C$42, 0.5599, 0.5599)*CHOOSE(CONTROL!$C$42, 31, 31))/1000000</f>
        <v>12.063045499999998</v>
      </c>
      <c r="V65" s="56">
        <f>(1000*CHOOSE(CONTROL!$C$42, 580, 580)*CHOOSE(CONTROL!$C$42, 0.275, 0.275)*CHOOSE(CONTROL!$C$42, 31, 31))/1000000</f>
        <v>4.9444999999999997</v>
      </c>
      <c r="W65" s="56">
        <f>(1000*CHOOSE(CONTROL!$C$42, 0.1146, 0.1146)*CHOOSE(CONTROL!$C$42, 121.5, 121.5)*CHOOSE(CONTROL!$C$42, 31, 31))/1000000</f>
        <v>0.43164089999999994</v>
      </c>
      <c r="X65" s="56">
        <f>(31*0.1790888*245000/1000000)+(31*0.2374*100000/1000000)</f>
        <v>2.0961194359999999</v>
      </c>
      <c r="Y65" s="56"/>
      <c r="Z65" s="14"/>
      <c r="AA65" s="55"/>
      <c r="AB65" s="49">
        <f>(B65*194.205+C65*267.466+D65*133.845+E65*53.484+F65*40+G65*185+H65*0+I65*100+J65*300)/(194.205+267.466+133.845+53.484+0+40+185+100+300)</f>
        <v>5.2003424497645208</v>
      </c>
      <c r="AC65" s="45">
        <f>(M65*'RAP TEMPLATE-GAS AVAILABILITY'!O64+N65*'RAP TEMPLATE-GAS AVAILABILITY'!P64+O65*'RAP TEMPLATE-GAS AVAILABILITY'!Q64+P65*'RAP TEMPLATE-GAS AVAILABILITY'!R64)/('RAP TEMPLATE-GAS AVAILABILITY'!O64+'RAP TEMPLATE-GAS AVAILABILITY'!P64+'RAP TEMPLATE-GAS AVAILABILITY'!Q64+'RAP TEMPLATE-GAS AVAILABILITY'!R64)</f>
        <v>5.1569625899280584</v>
      </c>
    </row>
    <row r="66" spans="1:29" ht="15.75" x14ac:dyDescent="0.25">
      <c r="A66" s="13">
        <v>42887</v>
      </c>
      <c r="B66" s="14">
        <f>CHOOSE(CONTROL!$C$42, 5.3019, 5.3019) * CHOOSE(CONTROL!$C$21, $C$9, 100%, $E$9)</f>
        <v>5.3018999999999998</v>
      </c>
      <c r="C66" s="14">
        <f>CHOOSE(CONTROL!$C$42, 5.31, 5.31) * CHOOSE(CONTROL!$C$21, $C$9, 100%, $E$9)</f>
        <v>5.31</v>
      </c>
      <c r="D66" s="14">
        <f>CHOOSE(CONTROL!$C$42, 5.5691, 5.5691) * CHOOSE(CONTROL!$C$21, $C$9, 100%, $E$9)</f>
        <v>5.5690999999999997</v>
      </c>
      <c r="E66" s="14">
        <f>CHOOSE(CONTROL!$C$42, 5.6005, 5.6005) * CHOOSE(CONTROL!$C$21, $C$9, 100%, $E$9)</f>
        <v>5.6005000000000003</v>
      </c>
      <c r="F66" s="14">
        <f>CHOOSE(CONTROL!$C$42, 5.3237, 5.3237)*CHOOSE(CONTROL!$C$21, $C$9, 100%, $E$9)</f>
        <v>5.3236999999999997</v>
      </c>
      <c r="G66" s="14">
        <f>CHOOSE(CONTROL!$C$42, 5.3407, 5.3407)*CHOOSE(CONTROL!$C$21, $C$9, 100%, $E$9)</f>
        <v>5.3407</v>
      </c>
      <c r="H66" s="14">
        <f>CHOOSE(CONTROL!$C$42, 5.5891, 5.5891) * CHOOSE(CONTROL!$C$21, $C$9, 100%, $E$9)</f>
        <v>5.5891000000000002</v>
      </c>
      <c r="I66" s="14">
        <f>CHOOSE(CONTROL!$C$42, 5.3396, 5.3396)* CHOOSE(CONTROL!$C$21, $C$9, 100%, $E$9)</f>
        <v>5.3395999999999999</v>
      </c>
      <c r="J66" s="14">
        <f>CHOOSE(CONTROL!$C$42, 5.3167, 5.3167)* CHOOSE(CONTROL!$C$21, $C$9, 100%, $E$9)</f>
        <v>5.3167</v>
      </c>
      <c r="K66" s="52">
        <f>CHOOSE(CONTROL!$C$42, 5.3357, 5.3357) * CHOOSE(CONTROL!$C$21, $C$9, 100%, $E$9)</f>
        <v>5.3357000000000001</v>
      </c>
      <c r="L66" s="14">
        <f>CHOOSE(CONTROL!$C$42, 6.1761, 6.1761) * CHOOSE(CONTROL!$C$21, $C$9, 100%, $E$9)</f>
        <v>6.1760999999999999</v>
      </c>
      <c r="M66" s="14">
        <f>CHOOSE(CONTROL!$C$42, 5.2288, 5.2288) * CHOOSE(CONTROL!$C$21, $C$9, 100%, $E$9)</f>
        <v>5.2287999999999997</v>
      </c>
      <c r="N66" s="14">
        <f>CHOOSE(CONTROL!$C$42, 5.2455, 5.2455) * CHOOSE(CONTROL!$C$21, $C$9, 100%, $E$9)</f>
        <v>5.2454999999999998</v>
      </c>
      <c r="O66" s="14">
        <f>CHOOSE(CONTROL!$C$42, 5.4963, 5.4963) * CHOOSE(CONTROL!$C$21, $C$9, 100%, $E$9)</f>
        <v>5.4962999999999997</v>
      </c>
      <c r="P66" s="14">
        <f>CHOOSE(CONTROL!$C$42, 5.2511, 5.2511) * CHOOSE(CONTROL!$C$21, $C$9, 100%, $E$9)</f>
        <v>5.2511000000000001</v>
      </c>
      <c r="Q66" s="14">
        <f>CHOOSE(CONTROL!$C$42, 6.091, 6.091) * CHOOSE(CONTROL!$C$21, $C$9, 100%, $E$9)</f>
        <v>6.0910000000000002</v>
      </c>
      <c r="R66" s="14">
        <f>CHOOSE(CONTROL!$C$42, 6.6932, 6.6932) * CHOOSE(CONTROL!$C$21, $C$9, 100%, $E$9)</f>
        <v>6.6932</v>
      </c>
      <c r="S66" s="14">
        <f>CHOOSE(CONTROL!$C$42, 5.084, 5.084) * CHOOSE(CONTROL!$C$21, $C$9, 100%, $E$9)</f>
        <v>5.0839999999999996</v>
      </c>
      <c r="T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6" s="56">
        <f>(1000*CHOOSE(CONTROL!$C$42, 695, 695)*CHOOSE(CONTROL!$C$42, 0.5599, 0.5599)*CHOOSE(CONTROL!$C$42, 30, 30))/1000000</f>
        <v>11.673914999999997</v>
      </c>
      <c r="V66" s="56">
        <f>(1000*CHOOSE(CONTROL!$C$42, 580, 580)*CHOOSE(CONTROL!$C$42, 0.275, 0.275)*CHOOSE(CONTROL!$C$42, 30, 30))/1000000</f>
        <v>4.7850000000000001</v>
      </c>
      <c r="W66" s="56">
        <f>(1000*CHOOSE(CONTROL!$C$42, 0.1146, 0.1146)*CHOOSE(CONTROL!$C$42, 121.5, 121.5)*CHOOSE(CONTROL!$C$42, 30, 30))/1000000</f>
        <v>0.417717</v>
      </c>
      <c r="X66" s="56">
        <f>(30*0.1790888*245000/1000000)+(30*0.2374*100000/1000000)</f>
        <v>2.0285026799999999</v>
      </c>
      <c r="Y66" s="56"/>
      <c r="Z66" s="14"/>
      <c r="AA66" s="55"/>
      <c r="AB66" s="49">
        <f>(B66*194.205+C66*267.466+D66*133.845+E66*53.484+F66*40+G66*185+H66*0+I66*100+J66*300)/(194.205+267.466+133.845+53.484+0+40+185+100+300)</f>
        <v>5.3569707857142861</v>
      </c>
      <c r="AC66" s="45">
        <f>(M66*'RAP TEMPLATE-GAS AVAILABILITY'!O65+N66*'RAP TEMPLATE-GAS AVAILABILITY'!P65+O66*'RAP TEMPLATE-GAS AVAILABILITY'!Q65+P66*'RAP TEMPLATE-GAS AVAILABILITY'!R65)/('RAP TEMPLATE-GAS AVAILABILITY'!O65+'RAP TEMPLATE-GAS AVAILABILITY'!P65+'RAP TEMPLATE-GAS AVAILABILITY'!Q65+'RAP TEMPLATE-GAS AVAILABILITY'!R65)</f>
        <v>5.3109071942446047</v>
      </c>
    </row>
    <row r="67" spans="1:29" ht="15.75" x14ac:dyDescent="0.25">
      <c r="A67" s="13">
        <v>42917</v>
      </c>
      <c r="B67" s="14">
        <f>CHOOSE(CONTROL!$C$42, 5.2111, 5.2111) * CHOOSE(CONTROL!$C$21, $C$9, 100%, $E$9)</f>
        <v>5.2111000000000001</v>
      </c>
      <c r="C67" s="14">
        <f>CHOOSE(CONTROL!$C$42, 5.2192, 5.2192) * CHOOSE(CONTROL!$C$21, $C$9, 100%, $E$9)</f>
        <v>5.2191999999999998</v>
      </c>
      <c r="D67" s="14">
        <f>CHOOSE(CONTROL!$C$42, 5.4783, 5.4783) * CHOOSE(CONTROL!$C$21, $C$9, 100%, $E$9)</f>
        <v>5.4782999999999999</v>
      </c>
      <c r="E67" s="14">
        <f>CHOOSE(CONTROL!$C$42, 5.5097, 5.5097) * CHOOSE(CONTROL!$C$21, $C$9, 100%, $E$9)</f>
        <v>5.5096999999999996</v>
      </c>
      <c r="F67" s="14">
        <f>CHOOSE(CONTROL!$C$42, 5.2333, 5.2333)*CHOOSE(CONTROL!$C$21, $C$9, 100%, $E$9)</f>
        <v>5.2332999999999998</v>
      </c>
      <c r="G67" s="14">
        <f>CHOOSE(CONTROL!$C$42, 5.2505, 5.2505)*CHOOSE(CONTROL!$C$21, $C$9, 100%, $E$9)</f>
        <v>5.2504999999999997</v>
      </c>
      <c r="H67" s="14">
        <f>CHOOSE(CONTROL!$C$42, 5.4983, 5.4983) * CHOOSE(CONTROL!$C$21, $C$9, 100%, $E$9)</f>
        <v>5.4983000000000004</v>
      </c>
      <c r="I67" s="14">
        <f>CHOOSE(CONTROL!$C$42, 5.2486, 5.2486)* CHOOSE(CONTROL!$C$21, $C$9, 100%, $E$9)</f>
        <v>5.2485999999999997</v>
      </c>
      <c r="J67" s="14">
        <f>CHOOSE(CONTROL!$C$42, 5.2263, 5.2263)* CHOOSE(CONTROL!$C$21, $C$9, 100%, $E$9)</f>
        <v>5.2263000000000002</v>
      </c>
      <c r="K67" s="52">
        <f>CHOOSE(CONTROL!$C$42, 5.2447, 5.2447) * CHOOSE(CONTROL!$C$21, $C$9, 100%, $E$9)</f>
        <v>5.2446999999999999</v>
      </c>
      <c r="L67" s="14">
        <f>CHOOSE(CONTROL!$C$42, 6.0853, 6.0853) * CHOOSE(CONTROL!$C$21, $C$9, 100%, $E$9)</f>
        <v>6.0853000000000002</v>
      </c>
      <c r="M67" s="14">
        <f>CHOOSE(CONTROL!$C$42, 5.14, 5.14) * CHOOSE(CONTROL!$C$21, $C$9, 100%, $E$9)</f>
        <v>5.14</v>
      </c>
      <c r="N67" s="14">
        <f>CHOOSE(CONTROL!$C$42, 5.1569, 5.1569) * CHOOSE(CONTROL!$C$21, $C$9, 100%, $E$9)</f>
        <v>5.1569000000000003</v>
      </c>
      <c r="O67" s="14">
        <f>CHOOSE(CONTROL!$C$42, 5.4071, 5.4071) * CHOOSE(CONTROL!$C$21, $C$9, 100%, $E$9)</f>
        <v>5.4070999999999998</v>
      </c>
      <c r="P67" s="14">
        <f>CHOOSE(CONTROL!$C$42, 5.1616, 5.1616) * CHOOSE(CONTROL!$C$21, $C$9, 100%, $E$9)</f>
        <v>5.1616</v>
      </c>
      <c r="Q67" s="14">
        <f>CHOOSE(CONTROL!$C$42, 6.0018, 6.0018) * CHOOSE(CONTROL!$C$21, $C$9, 100%, $E$9)</f>
        <v>6.0018000000000002</v>
      </c>
      <c r="R67" s="14">
        <f>CHOOSE(CONTROL!$C$42, 6.6038, 6.6038) * CHOOSE(CONTROL!$C$21, $C$9, 100%, $E$9)</f>
        <v>6.6037999999999997</v>
      </c>
      <c r="S67" s="14">
        <f>CHOOSE(CONTROL!$C$42, 4.9967, 4.9967) * CHOOSE(CONTROL!$C$21, $C$9, 100%, $E$9)</f>
        <v>4.9966999999999997</v>
      </c>
      <c r="T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7" s="56">
        <f>(1000*CHOOSE(CONTROL!$C$42, 695, 695)*CHOOSE(CONTROL!$C$42, 0.5599, 0.5599)*CHOOSE(CONTROL!$C$42, 31, 31))/1000000</f>
        <v>12.063045499999998</v>
      </c>
      <c r="V67" s="56">
        <f>(1000*CHOOSE(CONTROL!$C$42, 580, 580)*CHOOSE(CONTROL!$C$42, 0.275, 0.275)*CHOOSE(CONTROL!$C$42, 31, 31))/1000000</f>
        <v>4.9444999999999997</v>
      </c>
      <c r="W67" s="56">
        <f>(1000*CHOOSE(CONTROL!$C$42, 0.1146, 0.1146)*CHOOSE(CONTROL!$C$42, 121.5, 121.5)*CHOOSE(CONTROL!$C$42, 31, 31))/1000000</f>
        <v>0.43164089999999994</v>
      </c>
      <c r="X67" s="56">
        <f>(31*0.1790888*245000/1000000)+(31*0.2374*100000/1000000)</f>
        <v>2.0961194359999999</v>
      </c>
      <c r="Y67" s="56"/>
      <c r="Z67" s="14"/>
      <c r="AA67" s="55"/>
      <c r="AB67" s="49">
        <f>(B67*194.205+C67*267.466+D67*133.845+E67*53.484+F67*40+G67*185+H67*0+I67*100+J67*300)/(194.205+267.466+133.845+53.484+0+40+185+100+300)</f>
        <v>5.2663489646781789</v>
      </c>
      <c r="AC67" s="45">
        <f>(M67*'RAP TEMPLATE-GAS AVAILABILITY'!O66+N67*'RAP TEMPLATE-GAS AVAILABILITY'!P66+O67*'RAP TEMPLATE-GAS AVAILABILITY'!Q66+P67*'RAP TEMPLATE-GAS AVAILABILITY'!R66)/('RAP TEMPLATE-GAS AVAILABILITY'!O66+'RAP TEMPLATE-GAS AVAILABILITY'!P66+'RAP TEMPLATE-GAS AVAILABILITY'!Q66+'RAP TEMPLATE-GAS AVAILABILITY'!R66)</f>
        <v>5.221940287769784</v>
      </c>
    </row>
    <row r="68" spans="1:29" ht="15.75" x14ac:dyDescent="0.25">
      <c r="A68" s="13">
        <v>42948</v>
      </c>
      <c r="B68" s="14">
        <f>CHOOSE(CONTROL!$C$42, 4.9645, 4.9645) * CHOOSE(CONTROL!$C$21, $C$9, 100%, $E$9)</f>
        <v>4.9645000000000001</v>
      </c>
      <c r="C68" s="14">
        <f>CHOOSE(CONTROL!$C$42, 4.9725, 4.9725) * CHOOSE(CONTROL!$C$21, $C$9, 100%, $E$9)</f>
        <v>4.9725000000000001</v>
      </c>
      <c r="D68" s="14">
        <f>CHOOSE(CONTROL!$C$42, 5.2316, 5.2316) * CHOOSE(CONTROL!$C$21, $C$9, 100%, $E$9)</f>
        <v>5.2316000000000003</v>
      </c>
      <c r="E68" s="14">
        <f>CHOOSE(CONTROL!$C$42, 5.2631, 5.2631) * CHOOSE(CONTROL!$C$21, $C$9, 100%, $E$9)</f>
        <v>5.2630999999999997</v>
      </c>
      <c r="F68" s="14">
        <f>CHOOSE(CONTROL!$C$42, 4.9869, 4.9869)*CHOOSE(CONTROL!$C$21, $C$9, 100%, $E$9)</f>
        <v>4.9869000000000003</v>
      </c>
      <c r="G68" s="14">
        <f>CHOOSE(CONTROL!$C$42, 5.0041, 5.0041)*CHOOSE(CONTROL!$C$21, $C$9, 100%, $E$9)</f>
        <v>5.0041000000000002</v>
      </c>
      <c r="H68" s="14">
        <f>CHOOSE(CONTROL!$C$42, 5.2517, 5.2517) * CHOOSE(CONTROL!$C$21, $C$9, 100%, $E$9)</f>
        <v>5.2516999999999996</v>
      </c>
      <c r="I68" s="14">
        <f>CHOOSE(CONTROL!$C$42, 5.0012, 5.0012)* CHOOSE(CONTROL!$C$21, $C$9, 100%, $E$9)</f>
        <v>5.0011999999999999</v>
      </c>
      <c r="J68" s="14">
        <f>CHOOSE(CONTROL!$C$42, 4.9799, 4.9799)* CHOOSE(CONTROL!$C$21, $C$9, 100%, $E$9)</f>
        <v>4.9798999999999998</v>
      </c>
      <c r="K68" s="52">
        <f>CHOOSE(CONTROL!$C$42, 4.9973, 4.9973) * CHOOSE(CONTROL!$C$21, $C$9, 100%, $E$9)</f>
        <v>4.9973000000000001</v>
      </c>
      <c r="L68" s="14">
        <f>CHOOSE(CONTROL!$C$42, 5.8387, 5.8387) * CHOOSE(CONTROL!$C$21, $C$9, 100%, $E$9)</f>
        <v>5.8387000000000002</v>
      </c>
      <c r="M68" s="14">
        <f>CHOOSE(CONTROL!$C$42, 4.898, 4.898) * CHOOSE(CONTROL!$C$21, $C$9, 100%, $E$9)</f>
        <v>4.8979999999999997</v>
      </c>
      <c r="N68" s="14">
        <f>CHOOSE(CONTROL!$C$42, 4.9149, 4.9149) * CHOOSE(CONTROL!$C$21, $C$9, 100%, $E$9)</f>
        <v>4.9149000000000003</v>
      </c>
      <c r="O68" s="14">
        <f>CHOOSE(CONTROL!$C$42, 5.1649, 5.1649) * CHOOSE(CONTROL!$C$21, $C$9, 100%, $E$9)</f>
        <v>5.1649000000000003</v>
      </c>
      <c r="P68" s="14">
        <f>CHOOSE(CONTROL!$C$42, 4.9187, 4.9187) * CHOOSE(CONTROL!$C$21, $C$9, 100%, $E$9)</f>
        <v>4.9187000000000003</v>
      </c>
      <c r="Q68" s="14">
        <f>CHOOSE(CONTROL!$C$42, 5.7596, 5.7596) * CHOOSE(CONTROL!$C$21, $C$9, 100%, $E$9)</f>
        <v>5.7595999999999998</v>
      </c>
      <c r="R68" s="14">
        <f>CHOOSE(CONTROL!$C$42, 6.361, 6.361) * CHOOSE(CONTROL!$C$21, $C$9, 100%, $E$9)</f>
        <v>6.3609999999999998</v>
      </c>
      <c r="S68" s="14">
        <f>CHOOSE(CONTROL!$C$42, 4.7598, 4.7598) * CHOOSE(CONTROL!$C$21, $C$9, 100%, $E$9)</f>
        <v>4.7598000000000003</v>
      </c>
      <c r="T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8" s="56">
        <f>(1000*CHOOSE(CONTROL!$C$42, 695, 695)*CHOOSE(CONTROL!$C$42, 0.5599, 0.5599)*CHOOSE(CONTROL!$C$42, 31, 31))/1000000</f>
        <v>12.063045499999998</v>
      </c>
      <c r="V68" s="56">
        <f>(1000*CHOOSE(CONTROL!$C$42, 580, 580)*CHOOSE(CONTROL!$C$42, 0.275, 0.275)*CHOOSE(CONTROL!$C$42, 31, 31))/1000000</f>
        <v>4.9444999999999997</v>
      </c>
      <c r="W68" s="56">
        <f>(1000*CHOOSE(CONTROL!$C$42, 0.1146, 0.1146)*CHOOSE(CONTROL!$C$42, 121.5, 121.5)*CHOOSE(CONTROL!$C$42, 31, 31))/1000000</f>
        <v>0.43164089999999994</v>
      </c>
      <c r="X68" s="56">
        <f>(31*0.1790888*245000/1000000)+(31*0.2374*100000/1000000)</f>
        <v>2.0961194359999999</v>
      </c>
      <c r="Y68" s="56"/>
      <c r="Z68" s="14"/>
      <c r="AA68" s="55"/>
      <c r="AB68" s="49">
        <f>(B68*194.205+C68*267.466+D68*133.845+E68*53.484+F68*40+G68*185+H68*0+I68*100+J68*300)/(194.205+267.466+133.845+53.484+0+40+185+100+300)</f>
        <v>5.0197370878335947</v>
      </c>
      <c r="AC68" s="45">
        <f>(M68*'RAP TEMPLATE-GAS AVAILABILITY'!O67+N68*'RAP TEMPLATE-GAS AVAILABILITY'!P67+O68*'RAP TEMPLATE-GAS AVAILABILITY'!Q67+P68*'RAP TEMPLATE-GAS AVAILABILITY'!R67)/('RAP TEMPLATE-GAS AVAILABILITY'!O67+'RAP TEMPLATE-GAS AVAILABILITY'!P67+'RAP TEMPLATE-GAS AVAILABILITY'!Q67+'RAP TEMPLATE-GAS AVAILABILITY'!R67)</f>
        <v>4.9797546762589935</v>
      </c>
    </row>
    <row r="69" spans="1:29" ht="15.75" x14ac:dyDescent="0.25">
      <c r="A69" s="13">
        <v>42979</v>
      </c>
      <c r="B69" s="14">
        <f>CHOOSE(CONTROL!$C$42, 4.6594, 4.6594) * CHOOSE(CONTROL!$C$21, $C$9, 100%, $E$9)</f>
        <v>4.6593999999999998</v>
      </c>
      <c r="C69" s="14">
        <f>CHOOSE(CONTROL!$C$42, 4.6674, 4.6674) * CHOOSE(CONTROL!$C$21, $C$9, 100%, $E$9)</f>
        <v>4.6673999999999998</v>
      </c>
      <c r="D69" s="14">
        <f>CHOOSE(CONTROL!$C$42, 4.9265, 4.9265) * CHOOSE(CONTROL!$C$21, $C$9, 100%, $E$9)</f>
        <v>4.9264999999999999</v>
      </c>
      <c r="E69" s="14">
        <f>CHOOSE(CONTROL!$C$42, 4.958, 4.958) * CHOOSE(CONTROL!$C$21, $C$9, 100%, $E$9)</f>
        <v>4.9580000000000002</v>
      </c>
      <c r="F69" s="14">
        <f>CHOOSE(CONTROL!$C$42, 4.6819, 4.6819)*CHOOSE(CONTROL!$C$21, $C$9, 100%, $E$9)</f>
        <v>4.6818999999999997</v>
      </c>
      <c r="G69" s="14">
        <f>CHOOSE(CONTROL!$C$42, 4.6991, 4.6991)*CHOOSE(CONTROL!$C$21, $C$9, 100%, $E$9)</f>
        <v>4.6990999999999996</v>
      </c>
      <c r="H69" s="14">
        <f>CHOOSE(CONTROL!$C$42, 4.9466, 4.9466) * CHOOSE(CONTROL!$C$21, $C$9, 100%, $E$9)</f>
        <v>4.9466000000000001</v>
      </c>
      <c r="I69" s="14">
        <f>CHOOSE(CONTROL!$C$42, 4.6951, 4.6951)* CHOOSE(CONTROL!$C$21, $C$9, 100%, $E$9)</f>
        <v>4.6951000000000001</v>
      </c>
      <c r="J69" s="14">
        <f>CHOOSE(CONTROL!$C$42, 4.6749, 4.6749)* CHOOSE(CONTROL!$C$21, $C$9, 100%, $E$9)</f>
        <v>4.6749000000000001</v>
      </c>
      <c r="K69" s="52">
        <f>CHOOSE(CONTROL!$C$42, 4.6912, 4.6912) * CHOOSE(CONTROL!$C$21, $C$9, 100%, $E$9)</f>
        <v>4.6912000000000003</v>
      </c>
      <c r="L69" s="14">
        <f>CHOOSE(CONTROL!$C$42, 5.5336, 5.5336) * CHOOSE(CONTROL!$C$21, $C$9, 100%, $E$9)</f>
        <v>5.5335999999999999</v>
      </c>
      <c r="M69" s="14">
        <f>CHOOSE(CONTROL!$C$42, 4.5985, 4.5985) * CHOOSE(CONTROL!$C$21, $C$9, 100%, $E$9)</f>
        <v>4.5984999999999996</v>
      </c>
      <c r="N69" s="14">
        <f>CHOOSE(CONTROL!$C$42, 4.6154, 4.6154) * CHOOSE(CONTROL!$C$21, $C$9, 100%, $E$9)</f>
        <v>4.6154000000000002</v>
      </c>
      <c r="O69" s="14">
        <f>CHOOSE(CONTROL!$C$42, 4.8653, 4.8653) * CHOOSE(CONTROL!$C$21, $C$9, 100%, $E$9)</f>
        <v>4.8653000000000004</v>
      </c>
      <c r="P69" s="14">
        <f>CHOOSE(CONTROL!$C$42, 4.6182, 4.6182) * CHOOSE(CONTROL!$C$21, $C$9, 100%, $E$9)</f>
        <v>4.6181999999999999</v>
      </c>
      <c r="Q69" s="14">
        <f>CHOOSE(CONTROL!$C$42, 5.46, 5.46) * CHOOSE(CONTROL!$C$21, $C$9, 100%, $E$9)</f>
        <v>5.46</v>
      </c>
      <c r="R69" s="14">
        <f>CHOOSE(CONTROL!$C$42, 6.0607, 6.0607) * CHOOSE(CONTROL!$C$21, $C$9, 100%, $E$9)</f>
        <v>6.0606999999999998</v>
      </c>
      <c r="S69" s="14">
        <f>CHOOSE(CONTROL!$C$42, 4.4666, 4.4666) * CHOOSE(CONTROL!$C$21, $C$9, 100%, $E$9)</f>
        <v>4.4665999999999997</v>
      </c>
      <c r="T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9" s="56">
        <f>(1000*CHOOSE(CONTROL!$C$42, 695, 695)*CHOOSE(CONTROL!$C$42, 0.5599, 0.5599)*CHOOSE(CONTROL!$C$42, 30, 30))/1000000</f>
        <v>11.673914999999997</v>
      </c>
      <c r="V69" s="56">
        <f>(1000*CHOOSE(CONTROL!$C$42, 580, 580)*CHOOSE(CONTROL!$C$42, 0.275, 0.275)*CHOOSE(CONTROL!$C$42, 30, 30))/1000000</f>
        <v>4.7850000000000001</v>
      </c>
      <c r="W69" s="56">
        <f>(1000*CHOOSE(CONTROL!$C$42, 0.1146, 0.1146)*CHOOSE(CONTROL!$C$42, 121.5, 121.5)*CHOOSE(CONTROL!$C$42, 30, 30))/1000000</f>
        <v>0.417717</v>
      </c>
      <c r="X69" s="56">
        <f>(30*0.1790888*245000/1000000)+(30*0.2374*100000/1000000)</f>
        <v>2.0285026799999999</v>
      </c>
      <c r="Y69" s="56"/>
      <c r="Z69" s="14"/>
      <c r="AA69" s="55"/>
      <c r="AB69" s="49">
        <f>(B69*194.205+C69*267.466+D69*133.845+E69*53.484+F69*40+G69*185+H69*0+I69*100+J69*300)/(194.205+267.466+133.845+53.484+0+40+185+100+300)</f>
        <v>4.7145998036891674</v>
      </c>
      <c r="AC69" s="45">
        <f>(M69*'RAP TEMPLATE-GAS AVAILABILITY'!O68+N69*'RAP TEMPLATE-GAS AVAILABILITY'!P68+O69*'RAP TEMPLATE-GAS AVAILABILITY'!Q68+P69*'RAP TEMPLATE-GAS AVAILABILITY'!R68)/('RAP TEMPLATE-GAS AVAILABILITY'!O68+'RAP TEMPLATE-GAS AVAILABILITY'!P68+'RAP TEMPLATE-GAS AVAILABILITY'!Q68+'RAP TEMPLATE-GAS AVAILABILITY'!R68)</f>
        <v>4.6800827338129496</v>
      </c>
    </row>
    <row r="70" spans="1:29" ht="15.75" x14ac:dyDescent="0.25">
      <c r="A70" s="13">
        <v>43009</v>
      </c>
      <c r="B70" s="14">
        <f>CHOOSE(CONTROL!$C$42, 4.5727, 4.5727) * CHOOSE(CONTROL!$C$21, $C$9, 100%, $E$9)</f>
        <v>4.5727000000000002</v>
      </c>
      <c r="C70" s="14">
        <f>CHOOSE(CONTROL!$C$42, 4.578, 4.578) * CHOOSE(CONTROL!$C$21, $C$9, 100%, $E$9)</f>
        <v>4.5780000000000003</v>
      </c>
      <c r="D70" s="14">
        <f>CHOOSE(CONTROL!$C$42, 4.842, 4.842) * CHOOSE(CONTROL!$C$21, $C$9, 100%, $E$9)</f>
        <v>4.8419999999999996</v>
      </c>
      <c r="E70" s="14">
        <f>CHOOSE(CONTROL!$C$42, 4.8712, 4.8712) * CHOOSE(CONTROL!$C$21, $C$9, 100%, $E$9)</f>
        <v>4.8712</v>
      </c>
      <c r="F70" s="14">
        <f>CHOOSE(CONTROL!$C$42, 4.5973, 4.5973)*CHOOSE(CONTROL!$C$21, $C$9, 100%, $E$9)</f>
        <v>4.5972999999999997</v>
      </c>
      <c r="G70" s="14">
        <f>CHOOSE(CONTROL!$C$42, 4.6144, 4.6144)*CHOOSE(CONTROL!$C$21, $C$9, 100%, $E$9)</f>
        <v>4.6143999999999998</v>
      </c>
      <c r="H70" s="14">
        <f>CHOOSE(CONTROL!$C$42, 4.8616, 4.8616) * CHOOSE(CONTROL!$C$21, $C$9, 100%, $E$9)</f>
        <v>4.8616000000000001</v>
      </c>
      <c r="I70" s="14">
        <f>CHOOSE(CONTROL!$C$42, 4.6098, 4.6098)* CHOOSE(CONTROL!$C$21, $C$9, 100%, $E$9)</f>
        <v>4.6097999999999999</v>
      </c>
      <c r="J70" s="14">
        <f>CHOOSE(CONTROL!$C$42, 4.5903, 4.5903)* CHOOSE(CONTROL!$C$21, $C$9, 100%, $E$9)</f>
        <v>4.5903</v>
      </c>
      <c r="K70" s="52">
        <f>CHOOSE(CONTROL!$C$42, 4.606, 4.606) * CHOOSE(CONTROL!$C$21, $C$9, 100%, $E$9)</f>
        <v>4.6059999999999999</v>
      </c>
      <c r="L70" s="14">
        <f>CHOOSE(CONTROL!$C$42, 5.4486, 5.4486) * CHOOSE(CONTROL!$C$21, $C$9, 100%, $E$9)</f>
        <v>5.4485999999999999</v>
      </c>
      <c r="M70" s="14">
        <f>CHOOSE(CONTROL!$C$42, 4.5154, 4.5154) * CHOOSE(CONTROL!$C$21, $C$9, 100%, $E$9)</f>
        <v>4.5153999999999996</v>
      </c>
      <c r="N70" s="14">
        <f>CHOOSE(CONTROL!$C$42, 4.5322, 4.5322) * CHOOSE(CONTROL!$C$21, $C$9, 100%, $E$9)</f>
        <v>4.5321999999999996</v>
      </c>
      <c r="O70" s="14">
        <f>CHOOSE(CONTROL!$C$42, 4.7819, 4.7819) * CHOOSE(CONTROL!$C$21, $C$9, 100%, $E$9)</f>
        <v>4.7819000000000003</v>
      </c>
      <c r="P70" s="14">
        <f>CHOOSE(CONTROL!$C$42, 4.5344, 4.5344) * CHOOSE(CONTROL!$C$21, $C$9, 100%, $E$9)</f>
        <v>4.5343999999999998</v>
      </c>
      <c r="Q70" s="14">
        <f>CHOOSE(CONTROL!$C$42, 5.3766, 5.3766) * CHOOSE(CONTROL!$C$21, $C$9, 100%, $E$9)</f>
        <v>5.3765999999999998</v>
      </c>
      <c r="R70" s="14">
        <f>CHOOSE(CONTROL!$C$42, 5.977, 5.977) * CHOOSE(CONTROL!$C$21, $C$9, 100%, $E$9)</f>
        <v>5.9770000000000003</v>
      </c>
      <c r="S70" s="14">
        <f>CHOOSE(CONTROL!$C$42, 4.3849, 4.3849) * CHOOSE(CONTROL!$C$21, $C$9, 100%, $E$9)</f>
        <v>4.3849</v>
      </c>
      <c r="T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0" s="56">
        <f>(1000*CHOOSE(CONTROL!$C$42, 695, 695)*CHOOSE(CONTROL!$C$42, 0.5599, 0.5599)*CHOOSE(CONTROL!$C$42, 31, 31))/1000000</f>
        <v>12.063045499999998</v>
      </c>
      <c r="V70" s="56">
        <f>(1000*CHOOSE(CONTROL!$C$42, 580, 580)*CHOOSE(CONTROL!$C$42, 0.275, 0.275)*CHOOSE(CONTROL!$C$42, 31, 31))/1000000</f>
        <v>4.9444999999999997</v>
      </c>
      <c r="W70" s="56">
        <f>(1000*CHOOSE(CONTROL!$C$42, 0.1146, 0.1146)*CHOOSE(CONTROL!$C$42, 121.5, 121.5)*CHOOSE(CONTROL!$C$42, 31, 31))/1000000</f>
        <v>0.43164089999999994</v>
      </c>
      <c r="X70" s="56">
        <f>(31*0.1790888*245000/1000000)+(31*0.2374*100000/1000000)</f>
        <v>2.0961194359999999</v>
      </c>
      <c r="Y70" s="56"/>
      <c r="Z70" s="14"/>
      <c r="AA70" s="55"/>
      <c r="AB70" s="49">
        <f>(B70*131.881+C70*277.167+D70*79.08+E70*125.872+F70*40+G70*185+H70*0+I70*100+J70*300)/(131.881+277.167+79.08+125.872+0+40+185+100+300)</f>
        <v>4.6356754004035521</v>
      </c>
      <c r="AC70" s="45">
        <f>(M70*'RAP TEMPLATE-GAS AVAILABILITY'!O69+N70*'RAP TEMPLATE-GAS AVAILABILITY'!P69+O70*'RAP TEMPLATE-GAS AVAILABILITY'!Q69+P70*'RAP TEMPLATE-GAS AVAILABILITY'!R69)/('RAP TEMPLATE-GAS AVAILABILITY'!O69+'RAP TEMPLATE-GAS AVAILABILITY'!P69+'RAP TEMPLATE-GAS AVAILABILITY'!Q69+'RAP TEMPLATE-GAS AVAILABILITY'!R69)</f>
        <v>4.5967748201438852</v>
      </c>
    </row>
    <row r="71" spans="1:29" ht="15.75" x14ac:dyDescent="0.25">
      <c r="A71" s="13">
        <v>43040</v>
      </c>
      <c r="B71" s="14">
        <f>CHOOSE(CONTROL!$C$42, 4.7021, 4.7021) * CHOOSE(CONTROL!$C$21, $C$9, 100%, $E$9)</f>
        <v>4.7020999999999997</v>
      </c>
      <c r="C71" s="14">
        <f>CHOOSE(CONTROL!$C$42, 4.7072, 4.7072) * CHOOSE(CONTROL!$C$21, $C$9, 100%, $E$9)</f>
        <v>4.7072000000000003</v>
      </c>
      <c r="D71" s="14">
        <f>CHOOSE(CONTROL!$C$42, 4.7902, 4.7902) * CHOOSE(CONTROL!$C$21, $C$9, 100%, $E$9)</f>
        <v>4.7901999999999996</v>
      </c>
      <c r="E71" s="14">
        <f>CHOOSE(CONTROL!$C$42, 4.8243, 4.8243) * CHOOSE(CONTROL!$C$21, $C$9, 100%, $E$9)</f>
        <v>4.8243</v>
      </c>
      <c r="F71" s="14">
        <f>CHOOSE(CONTROL!$C$42, 4.7297, 4.7297)*CHOOSE(CONTROL!$C$21, $C$9, 100%, $E$9)</f>
        <v>4.7297000000000002</v>
      </c>
      <c r="G71" s="14">
        <f>CHOOSE(CONTROL!$C$42, 4.7471, 4.7471)*CHOOSE(CONTROL!$C$21, $C$9, 100%, $E$9)</f>
        <v>4.7470999999999997</v>
      </c>
      <c r="H71" s="14">
        <f>CHOOSE(CONTROL!$C$42, 4.8135, 4.8135) * CHOOSE(CONTROL!$C$21, $C$9, 100%, $E$9)</f>
        <v>4.8135000000000003</v>
      </c>
      <c r="I71" s="14">
        <f>CHOOSE(CONTROL!$C$42, 4.7364, 4.7364)* CHOOSE(CONTROL!$C$21, $C$9, 100%, $E$9)</f>
        <v>4.7363999999999997</v>
      </c>
      <c r="J71" s="14">
        <f>CHOOSE(CONTROL!$C$42, 4.7227, 4.7227)* CHOOSE(CONTROL!$C$21, $C$9, 100%, $E$9)</f>
        <v>4.7226999999999997</v>
      </c>
      <c r="K71" s="52">
        <f>CHOOSE(CONTROL!$C$42, 4.7326, 4.7326) * CHOOSE(CONTROL!$C$21, $C$9, 100%, $E$9)</f>
        <v>4.7325999999999997</v>
      </c>
      <c r="L71" s="14">
        <f>CHOOSE(CONTROL!$C$42, 5.4005, 5.4005) * CHOOSE(CONTROL!$C$21, $C$9, 100%, $E$9)</f>
        <v>5.4005000000000001</v>
      </c>
      <c r="M71" s="14">
        <f>CHOOSE(CONTROL!$C$42, 4.6455, 4.6455) * CHOOSE(CONTROL!$C$21, $C$9, 100%, $E$9)</f>
        <v>4.6455000000000002</v>
      </c>
      <c r="N71" s="14">
        <f>CHOOSE(CONTROL!$C$42, 4.6625, 4.6625) * CHOOSE(CONTROL!$C$21, $C$9, 100%, $E$9)</f>
        <v>4.6624999999999996</v>
      </c>
      <c r="O71" s="14">
        <f>CHOOSE(CONTROL!$C$42, 4.7346, 4.7346) * CHOOSE(CONTROL!$C$21, $C$9, 100%, $E$9)</f>
        <v>4.7346000000000004</v>
      </c>
      <c r="P71" s="14">
        <f>CHOOSE(CONTROL!$C$42, 4.6588, 4.6588) * CHOOSE(CONTROL!$C$21, $C$9, 100%, $E$9)</f>
        <v>4.6588000000000003</v>
      </c>
      <c r="Q71" s="14">
        <f>CHOOSE(CONTROL!$C$42, 5.3293, 5.3293) * CHOOSE(CONTROL!$C$21, $C$9, 100%, $E$9)</f>
        <v>5.3292999999999999</v>
      </c>
      <c r="R71" s="14">
        <f>CHOOSE(CONTROL!$C$42, 5.9297, 5.9297) * CHOOSE(CONTROL!$C$21, $C$9, 100%, $E$9)</f>
        <v>5.9297000000000004</v>
      </c>
      <c r="S71" s="14">
        <f>CHOOSE(CONTROL!$C$42, 4.5097, 4.5097) * CHOOSE(CONTROL!$C$21, $C$9, 100%, $E$9)</f>
        <v>4.5096999999999996</v>
      </c>
      <c r="T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1" s="56">
        <f>(1000*CHOOSE(CONTROL!$C$42, 695, 695)*CHOOSE(CONTROL!$C$42, 0.5599, 0.5599)*CHOOSE(CONTROL!$C$42, 30, 30))/1000000</f>
        <v>11.673914999999997</v>
      </c>
      <c r="V71" s="56">
        <f>(1000*CHOOSE(CONTROL!$C$42, 580, 580)*CHOOSE(CONTROL!$C$42, 0.275, 0.275)*CHOOSE(CONTROL!$C$42, 30, 30))/1000000</f>
        <v>4.7850000000000001</v>
      </c>
      <c r="W71" s="56">
        <f>(1000*CHOOSE(CONTROL!$C$42, 0.1146, 0.1146)*CHOOSE(CONTROL!$C$42, 121.5, 121.5)*CHOOSE(CONTROL!$C$42, 30, 30))/1000000</f>
        <v>0.417717</v>
      </c>
      <c r="X71" s="56">
        <f>(30*0.1790888*100000/1000000)+(30*0.2374*100000/1000000)</f>
        <v>1.2494664</v>
      </c>
      <c r="Y71" s="56"/>
      <c r="Z71" s="14"/>
      <c r="AA71" s="55"/>
      <c r="AB71" s="49">
        <f>(B71*122.58+C71*297.941+D71*89.177+E71*40.302+F71*40+G71*160+H71*0+I71*100+J71*300)/(122.58+297.941+89.177+40.302+0+40+160+100+300)</f>
        <v>4.7301129540869571</v>
      </c>
      <c r="AC71" s="45">
        <f>(M71*'RAP TEMPLATE-GAS AVAILABILITY'!O70+N71*'RAP TEMPLATE-GAS AVAILABILITY'!P70+O71*'RAP TEMPLATE-GAS AVAILABILITY'!Q70+P71*'RAP TEMPLATE-GAS AVAILABILITY'!R70)/('RAP TEMPLATE-GAS AVAILABILITY'!O70+'RAP TEMPLATE-GAS AVAILABILITY'!P70+'RAP TEMPLATE-GAS AVAILABILITY'!Q70+'RAP TEMPLATE-GAS AVAILABILITY'!R70)</f>
        <v>4.6887755395683461</v>
      </c>
    </row>
    <row r="72" spans="1:29" ht="15.75" x14ac:dyDescent="0.25">
      <c r="A72" s="13">
        <v>43070</v>
      </c>
      <c r="B72" s="14">
        <f>CHOOSE(CONTROL!$C$42, 5.0323, 5.0323) * CHOOSE(CONTROL!$C$21, $C$9, 100%, $E$9)</f>
        <v>5.0323000000000002</v>
      </c>
      <c r="C72" s="14">
        <f>CHOOSE(CONTROL!$C$42, 5.0374, 5.0374) * CHOOSE(CONTROL!$C$21, $C$9, 100%, $E$9)</f>
        <v>5.0373999999999999</v>
      </c>
      <c r="D72" s="14">
        <f>CHOOSE(CONTROL!$C$42, 5.1205, 5.1205) * CHOOSE(CONTROL!$C$21, $C$9, 100%, $E$9)</f>
        <v>5.1204999999999998</v>
      </c>
      <c r="E72" s="14">
        <f>CHOOSE(CONTROL!$C$42, 5.1546, 5.1546) * CHOOSE(CONTROL!$C$21, $C$9, 100%, $E$9)</f>
        <v>5.1546000000000003</v>
      </c>
      <c r="F72" s="14">
        <f>CHOOSE(CONTROL!$C$42, 5.0624, 5.0624)*CHOOSE(CONTROL!$C$21, $C$9, 100%, $E$9)</f>
        <v>5.0624000000000002</v>
      </c>
      <c r="G72" s="14">
        <f>CHOOSE(CONTROL!$C$42, 5.0804, 5.0804)*CHOOSE(CONTROL!$C$21, $C$9, 100%, $E$9)</f>
        <v>5.0804</v>
      </c>
      <c r="H72" s="14">
        <f>CHOOSE(CONTROL!$C$42, 5.1438, 5.1438) * CHOOSE(CONTROL!$C$21, $C$9, 100%, $E$9)</f>
        <v>5.1437999999999997</v>
      </c>
      <c r="I72" s="14">
        <f>CHOOSE(CONTROL!$C$42, 5.0677, 5.0677)* CHOOSE(CONTROL!$C$21, $C$9, 100%, $E$9)</f>
        <v>5.0677000000000003</v>
      </c>
      <c r="J72" s="14">
        <f>CHOOSE(CONTROL!$C$42, 5.0554, 5.0554)* CHOOSE(CONTROL!$C$21, $C$9, 100%, $E$9)</f>
        <v>5.0553999999999997</v>
      </c>
      <c r="K72" s="52">
        <f>CHOOSE(CONTROL!$C$42, 5.0638, 5.0638) * CHOOSE(CONTROL!$C$21, $C$9, 100%, $E$9)</f>
        <v>5.0637999999999996</v>
      </c>
      <c r="L72" s="14">
        <f>CHOOSE(CONTROL!$C$42, 5.7308, 5.7308) * CHOOSE(CONTROL!$C$21, $C$9, 100%, $E$9)</f>
        <v>5.7308000000000003</v>
      </c>
      <c r="M72" s="14">
        <f>CHOOSE(CONTROL!$C$42, 4.9722, 4.9722) * CHOOSE(CONTROL!$C$21, $C$9, 100%, $E$9)</f>
        <v>4.9722</v>
      </c>
      <c r="N72" s="14">
        <f>CHOOSE(CONTROL!$C$42, 4.9899, 4.9899) * CHOOSE(CONTROL!$C$21, $C$9, 100%, $E$9)</f>
        <v>4.9898999999999996</v>
      </c>
      <c r="O72" s="14">
        <f>CHOOSE(CONTROL!$C$42, 5.0589, 5.0589) * CHOOSE(CONTROL!$C$21, $C$9, 100%, $E$9)</f>
        <v>5.0589000000000004</v>
      </c>
      <c r="P72" s="14">
        <f>CHOOSE(CONTROL!$C$42, 4.9841, 4.9841) * CHOOSE(CONTROL!$C$21, $C$9, 100%, $E$9)</f>
        <v>4.9840999999999998</v>
      </c>
      <c r="Q72" s="14">
        <f>CHOOSE(CONTROL!$C$42, 5.6536, 5.6536) * CHOOSE(CONTROL!$C$21, $C$9, 100%, $E$9)</f>
        <v>5.6536</v>
      </c>
      <c r="R72" s="14">
        <f>CHOOSE(CONTROL!$C$42, 6.2548, 6.2548) * CHOOSE(CONTROL!$C$21, $C$9, 100%, $E$9)</f>
        <v>6.2548000000000004</v>
      </c>
      <c r="S72" s="14">
        <f>CHOOSE(CONTROL!$C$42, 4.827, 4.827) * CHOOSE(CONTROL!$C$21, $C$9, 100%, $E$9)</f>
        <v>4.827</v>
      </c>
      <c r="T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2" s="56">
        <f>(1000*CHOOSE(CONTROL!$C$42, 695, 695)*CHOOSE(CONTROL!$C$42, 0.5599, 0.5599)*CHOOSE(CONTROL!$C$42, 31, 31))/1000000</f>
        <v>12.063045499999998</v>
      </c>
      <c r="V72" s="56">
        <f>(1000*CHOOSE(CONTROL!$C$42, 580, 580)*CHOOSE(CONTROL!$C$42, 0.275, 0.275)*CHOOSE(CONTROL!$C$42, 31, 31))/1000000</f>
        <v>4.9444999999999997</v>
      </c>
      <c r="W72" s="56">
        <f>(1000*CHOOSE(CONTROL!$C$42, 0.1146, 0.1146)*CHOOSE(CONTROL!$C$42, 121.5, 121.5)*CHOOSE(CONTROL!$C$42, 31, 31))/1000000</f>
        <v>0.43164089999999994</v>
      </c>
      <c r="X72" s="56">
        <f>(31*0.1790888*100000/1000000)+(31*0.2374*100000/1000000)</f>
        <v>1.2911152800000001</v>
      </c>
      <c r="Y72" s="56"/>
      <c r="Z72" s="14"/>
      <c r="AA72" s="55"/>
      <c r="AB72" s="49">
        <f>(B72*122.58+C72*297.941+D72*89.177+E72*40.302+F72*40+G72*160+H72*0+I72*100+J72*300)/(122.58+297.941+89.177+40.302+0+40+160+100+300)</f>
        <v>5.061590300086956</v>
      </c>
      <c r="AC72" s="45">
        <f>(M72*'RAP TEMPLATE-GAS AVAILABILITY'!O71+N72*'RAP TEMPLATE-GAS AVAILABILITY'!P71+O72*'RAP TEMPLATE-GAS AVAILABILITY'!Q71+P72*'RAP TEMPLATE-GAS AVAILABILITY'!R71)/('RAP TEMPLATE-GAS AVAILABILITY'!O71+'RAP TEMPLATE-GAS AVAILABILITY'!P71+'RAP TEMPLATE-GAS AVAILABILITY'!Q71+'RAP TEMPLATE-GAS AVAILABILITY'!R71)</f>
        <v>5.0142266187050355</v>
      </c>
    </row>
    <row r="73" spans="1:29" ht="15.75" x14ac:dyDescent="0.25">
      <c r="A73" s="13">
        <v>43101</v>
      </c>
      <c r="B73" s="14">
        <f>CHOOSE(CONTROL!$C$42, 6.0007, 6.0007) * CHOOSE(CONTROL!$C$21, $C$9, 100%, $E$9)</f>
        <v>6.0007000000000001</v>
      </c>
      <c r="C73" s="14">
        <f>CHOOSE(CONTROL!$C$42, 6.0058, 6.0058) * CHOOSE(CONTROL!$C$21, $C$9, 100%, $E$9)</f>
        <v>6.0057999999999998</v>
      </c>
      <c r="D73" s="14">
        <f>CHOOSE(CONTROL!$C$42, 6.0993, 6.0993) * CHOOSE(CONTROL!$C$21, $C$9, 100%, $E$9)</f>
        <v>6.0993000000000004</v>
      </c>
      <c r="E73" s="14">
        <f>CHOOSE(CONTROL!$C$42, 6.1334, 6.1334) * CHOOSE(CONTROL!$C$21, $C$9, 100%, $E$9)</f>
        <v>6.1334</v>
      </c>
      <c r="F73" s="14">
        <f>CHOOSE(CONTROL!$C$42, 6.028, 6.028)*CHOOSE(CONTROL!$C$21, $C$9, 100%, $E$9)</f>
        <v>6.0279999999999996</v>
      </c>
      <c r="G73" s="14">
        <f>CHOOSE(CONTROL!$C$42, 6.046, 6.046)*CHOOSE(CONTROL!$C$21, $C$9, 100%, $E$9)</f>
        <v>6.0460000000000003</v>
      </c>
      <c r="H73" s="14">
        <f>CHOOSE(CONTROL!$C$42, 6.1226, 6.1226) * CHOOSE(CONTROL!$C$21, $C$9, 100%, $E$9)</f>
        <v>6.1226000000000003</v>
      </c>
      <c r="I73" s="14">
        <f>CHOOSE(CONTROL!$C$42, 6.0454, 6.0454)* CHOOSE(CONTROL!$C$21, $C$9, 100%, $E$9)</f>
        <v>6.0453999999999999</v>
      </c>
      <c r="J73" s="14">
        <f>CHOOSE(CONTROL!$C$42, 6.021, 6.021)* CHOOSE(CONTROL!$C$21, $C$9, 100%, $E$9)</f>
        <v>6.0209999999999999</v>
      </c>
      <c r="K73" s="52">
        <f>CHOOSE(CONTROL!$C$42, 6.0415, 6.0415) * CHOOSE(CONTROL!$C$21, $C$9, 100%, $E$9)</f>
        <v>6.0415000000000001</v>
      </c>
      <c r="L73" s="14">
        <f>CHOOSE(CONTROL!$C$42, 6.7096, 6.7096) * CHOOSE(CONTROL!$C$21, $C$9, 100%, $E$9)</f>
        <v>6.7096</v>
      </c>
      <c r="M73" s="14">
        <f>CHOOSE(CONTROL!$C$42, 5.9204, 5.9204) * CHOOSE(CONTROL!$C$21, $C$9, 100%, $E$9)</f>
        <v>5.9203999999999999</v>
      </c>
      <c r="N73" s="14">
        <f>CHOOSE(CONTROL!$C$42, 5.9381, 5.9381) * CHOOSE(CONTROL!$C$21, $C$9, 100%, $E$9)</f>
        <v>5.9381000000000004</v>
      </c>
      <c r="O73" s="14">
        <f>CHOOSE(CONTROL!$C$42, 6.0201, 6.0201) * CHOOSE(CONTROL!$C$21, $C$9, 100%, $E$9)</f>
        <v>6.0201000000000002</v>
      </c>
      <c r="P73" s="14">
        <f>CHOOSE(CONTROL!$C$42, 5.9441, 5.9441) * CHOOSE(CONTROL!$C$21, $C$9, 100%, $E$9)</f>
        <v>5.9440999999999997</v>
      </c>
      <c r="Q73" s="14">
        <f>CHOOSE(CONTROL!$C$42, 6.6148, 6.6148) * CHOOSE(CONTROL!$C$21, $C$9, 100%, $E$9)</f>
        <v>6.6147999999999998</v>
      </c>
      <c r="R73" s="14">
        <f>CHOOSE(CONTROL!$C$42, 7.2184, 7.2184) * CHOOSE(CONTROL!$C$21, $C$9, 100%, $E$9)</f>
        <v>7.2183999999999999</v>
      </c>
      <c r="S73" s="14">
        <f>CHOOSE(CONTROL!$C$42, 5.7576, 5.7576) * CHOOSE(CONTROL!$C$21, $C$9, 100%, $E$9)</f>
        <v>5.7576000000000001</v>
      </c>
      <c r="T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3" s="56">
        <f>(1000*CHOOSE(CONTROL!$C$42, 695, 695)*CHOOSE(CONTROL!$C$42, 0.5599, 0.5599)*CHOOSE(CONTROL!$C$42, 31, 31))/1000000</f>
        <v>12.063045499999998</v>
      </c>
      <c r="V73" s="56">
        <f>(1000*CHOOSE(CONTROL!$C$42, 500, 500)*CHOOSE(CONTROL!$C$42, 0.275, 0.275)*CHOOSE(CONTROL!$C$42, 31, 31))/1000000</f>
        <v>4.2625000000000002</v>
      </c>
      <c r="W73" s="56">
        <f>(1000*CHOOSE(CONTROL!$C$42, 0.1146, 0.1146)*CHOOSE(CONTROL!$C$42, 121.5, 121.5)*CHOOSE(CONTROL!$C$42, 31, 31))/1000000</f>
        <v>0.43164089999999994</v>
      </c>
      <c r="X73" s="56">
        <f>(31*0.1790888*100000/1000000)+(31*0.2374*100000/1000000)</f>
        <v>1.2911152800000001</v>
      </c>
      <c r="Y73" s="56"/>
      <c r="Z73" s="14"/>
      <c r="AA73" s="55"/>
      <c r="AB73" s="49">
        <f>(B73*122.58+C73*297.941+D73*89.177+E73*40.302+F73*40+G73*160+H73*0+I73*100+J73*300)/(122.58+297.941+89.177+40.302+0+40+160+100+300)</f>
        <v>6.0307525449565214</v>
      </c>
      <c r="AC73" s="45">
        <f>(M73*'RAP TEMPLATE-GAS AVAILABILITY'!O72+N73*'RAP TEMPLATE-GAS AVAILABILITY'!P72+O73*'RAP TEMPLATE-GAS AVAILABILITY'!Q72+P73*'RAP TEMPLATE-GAS AVAILABILITY'!R72)/('RAP TEMPLATE-GAS AVAILABILITY'!O72+'RAP TEMPLATE-GAS AVAILABILITY'!P72+'RAP TEMPLATE-GAS AVAILABILITY'!Q72+'RAP TEMPLATE-GAS AVAILABILITY'!R72)</f>
        <v>5.9700165467625901</v>
      </c>
    </row>
    <row r="74" spans="1:29" ht="15.75" x14ac:dyDescent="0.25">
      <c r="A74" s="13">
        <v>43132</v>
      </c>
      <c r="B74" s="14">
        <f>CHOOSE(CONTROL!$C$42, 6.1199, 6.1199) * CHOOSE(CONTROL!$C$21, $C$9, 100%, $E$9)</f>
        <v>6.1199000000000003</v>
      </c>
      <c r="C74" s="14">
        <f>CHOOSE(CONTROL!$C$42, 6.125, 6.125) * CHOOSE(CONTROL!$C$21, $C$9, 100%, $E$9)</f>
        <v>6.125</v>
      </c>
      <c r="D74" s="14">
        <f>CHOOSE(CONTROL!$C$42, 6.2185, 6.2185) * CHOOSE(CONTROL!$C$21, $C$9, 100%, $E$9)</f>
        <v>6.2184999999999997</v>
      </c>
      <c r="E74" s="14">
        <f>CHOOSE(CONTROL!$C$42, 6.2526, 6.2526) * CHOOSE(CONTROL!$C$21, $C$9, 100%, $E$9)</f>
        <v>6.2526000000000002</v>
      </c>
      <c r="F74" s="14">
        <f>CHOOSE(CONTROL!$C$42, 6.1469, 6.1469)*CHOOSE(CONTROL!$C$21, $C$9, 100%, $E$9)</f>
        <v>6.1468999999999996</v>
      </c>
      <c r="G74" s="14">
        <f>CHOOSE(CONTROL!$C$42, 6.1648, 6.1648)*CHOOSE(CONTROL!$C$21, $C$9, 100%, $E$9)</f>
        <v>6.1647999999999996</v>
      </c>
      <c r="H74" s="14">
        <f>CHOOSE(CONTROL!$C$42, 6.2418, 6.2418) * CHOOSE(CONTROL!$C$21, $C$9, 100%, $E$9)</f>
        <v>6.2417999999999996</v>
      </c>
      <c r="I74" s="14">
        <f>CHOOSE(CONTROL!$C$42, 6.165, 6.165)* CHOOSE(CONTROL!$C$21, $C$9, 100%, $E$9)</f>
        <v>6.165</v>
      </c>
      <c r="J74" s="14">
        <f>CHOOSE(CONTROL!$C$42, 6.1399, 6.1399)* CHOOSE(CONTROL!$C$21, $C$9, 100%, $E$9)</f>
        <v>6.1398999999999999</v>
      </c>
      <c r="K74" s="52">
        <f>CHOOSE(CONTROL!$C$42, 6.1611, 6.1611) * CHOOSE(CONTROL!$C$21, $C$9, 100%, $E$9)</f>
        <v>6.1611000000000002</v>
      </c>
      <c r="L74" s="14">
        <f>CHOOSE(CONTROL!$C$42, 6.8288, 6.8288) * CHOOSE(CONTROL!$C$21, $C$9, 100%, $E$9)</f>
        <v>6.8288000000000002</v>
      </c>
      <c r="M74" s="14">
        <f>CHOOSE(CONTROL!$C$42, 6.0371, 6.0371) * CHOOSE(CONTROL!$C$21, $C$9, 100%, $E$9)</f>
        <v>6.0370999999999997</v>
      </c>
      <c r="N74" s="14">
        <f>CHOOSE(CONTROL!$C$42, 6.0547, 6.0547) * CHOOSE(CONTROL!$C$21, $C$9, 100%, $E$9)</f>
        <v>6.0547000000000004</v>
      </c>
      <c r="O74" s="14">
        <f>CHOOSE(CONTROL!$C$42, 6.1372, 6.1372) * CHOOSE(CONTROL!$C$21, $C$9, 100%, $E$9)</f>
        <v>6.1372</v>
      </c>
      <c r="P74" s="14">
        <f>CHOOSE(CONTROL!$C$42, 6.0615, 6.0615) * CHOOSE(CONTROL!$C$21, $C$9, 100%, $E$9)</f>
        <v>6.0614999999999997</v>
      </c>
      <c r="Q74" s="14">
        <f>CHOOSE(CONTROL!$C$42, 6.7319, 6.7319) * CHOOSE(CONTROL!$C$21, $C$9, 100%, $E$9)</f>
        <v>6.7319000000000004</v>
      </c>
      <c r="R74" s="14">
        <f>CHOOSE(CONTROL!$C$42, 7.3357, 7.3357) * CHOOSE(CONTROL!$C$21, $C$9, 100%, $E$9)</f>
        <v>7.3357000000000001</v>
      </c>
      <c r="S74" s="14">
        <f>CHOOSE(CONTROL!$C$42, 5.8721, 5.8721) * CHOOSE(CONTROL!$C$21, $C$9, 100%, $E$9)</f>
        <v>5.8720999999999997</v>
      </c>
      <c r="T7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4" s="56">
        <f>(1000*CHOOSE(CONTROL!$C$42, 695, 695)*CHOOSE(CONTROL!$C$42, 0.5599, 0.5599)*CHOOSE(CONTROL!$C$42, 28, 28))/1000000</f>
        <v>10.895653999999999</v>
      </c>
      <c r="V74" s="56">
        <f>(1000*CHOOSE(CONTROL!$C$42, 500, 500)*CHOOSE(CONTROL!$C$42, 0.275, 0.275)*CHOOSE(CONTROL!$C$42, 28, 28))/1000000</f>
        <v>3.85</v>
      </c>
      <c r="W74" s="56">
        <f>(1000*CHOOSE(CONTROL!$C$42, 0.1146, 0.1146)*CHOOSE(CONTROL!$C$42, 121.5, 121.5)*CHOOSE(CONTROL!$C$42, 28, 28))/1000000</f>
        <v>0.38986920000000003</v>
      </c>
      <c r="X74" s="56">
        <f>(28*0.1790888*100000/1000000)+(28*0.2374*100000/1000000)</f>
        <v>1.16616864</v>
      </c>
      <c r="Y74" s="56"/>
      <c r="Z74" s="14"/>
      <c r="AA74" s="55"/>
      <c r="AB74" s="49">
        <f>(B74*122.58+C74*297.941+D74*89.177+E74*40.302+F74*40+G74*160+H74*0+I74*100+J74*300)/(122.58+297.941+89.177+40.302+0+40+160+100+300)</f>
        <v>6.1498429797391312</v>
      </c>
      <c r="AC74" s="45">
        <f>(M74*'RAP TEMPLATE-GAS AVAILABILITY'!O73+N74*'RAP TEMPLATE-GAS AVAILABILITY'!P73+O74*'RAP TEMPLATE-GAS AVAILABILITY'!Q73+P74*'RAP TEMPLATE-GAS AVAILABILITY'!R73)/('RAP TEMPLATE-GAS AVAILABILITY'!O73+'RAP TEMPLATE-GAS AVAILABILITY'!P73+'RAP TEMPLATE-GAS AVAILABILITY'!Q73+'RAP TEMPLATE-GAS AVAILABILITY'!R73)</f>
        <v>6.0869928057553961</v>
      </c>
    </row>
    <row r="75" spans="1:29" ht="15.75" x14ac:dyDescent="0.25">
      <c r="A75" s="13">
        <v>43160</v>
      </c>
      <c r="B75" s="14">
        <f>CHOOSE(CONTROL!$C$42, 5.9587, 5.9587) * CHOOSE(CONTROL!$C$21, $C$9, 100%, $E$9)</f>
        <v>5.9587000000000003</v>
      </c>
      <c r="C75" s="14">
        <f>CHOOSE(CONTROL!$C$42, 5.9638, 5.9638) * CHOOSE(CONTROL!$C$21, $C$9, 100%, $E$9)</f>
        <v>5.9638</v>
      </c>
      <c r="D75" s="14">
        <f>CHOOSE(CONTROL!$C$42, 6.0572, 6.0572) * CHOOSE(CONTROL!$C$21, $C$9, 100%, $E$9)</f>
        <v>6.0571999999999999</v>
      </c>
      <c r="E75" s="14">
        <f>CHOOSE(CONTROL!$C$42, 6.0913, 6.0913) * CHOOSE(CONTROL!$C$21, $C$9, 100%, $E$9)</f>
        <v>6.0913000000000004</v>
      </c>
      <c r="F75" s="14">
        <f>CHOOSE(CONTROL!$C$42, 5.9848, 5.9848)*CHOOSE(CONTROL!$C$21, $C$9, 100%, $E$9)</f>
        <v>5.9847999999999999</v>
      </c>
      <c r="G75" s="14">
        <f>CHOOSE(CONTROL!$C$42, 6.0024, 6.0024)*CHOOSE(CONTROL!$C$21, $C$9, 100%, $E$9)</f>
        <v>6.0023999999999997</v>
      </c>
      <c r="H75" s="14">
        <f>CHOOSE(CONTROL!$C$42, 6.0805, 6.0805) * CHOOSE(CONTROL!$C$21, $C$9, 100%, $E$9)</f>
        <v>6.0804999999999998</v>
      </c>
      <c r="I75" s="14">
        <f>CHOOSE(CONTROL!$C$42, 6.0033, 6.0033)* CHOOSE(CONTROL!$C$21, $C$9, 100%, $E$9)</f>
        <v>6.0033000000000003</v>
      </c>
      <c r="J75" s="14">
        <f>CHOOSE(CONTROL!$C$42, 5.9778, 5.9778)* CHOOSE(CONTROL!$C$21, $C$9, 100%, $E$9)</f>
        <v>5.9778000000000002</v>
      </c>
      <c r="K75" s="52">
        <f>CHOOSE(CONTROL!$C$42, 5.9994, 5.9994) * CHOOSE(CONTROL!$C$21, $C$9, 100%, $E$9)</f>
        <v>5.9993999999999996</v>
      </c>
      <c r="L75" s="14">
        <f>CHOOSE(CONTROL!$C$42, 6.6675, 6.6675) * CHOOSE(CONTROL!$C$21, $C$9, 100%, $E$9)</f>
        <v>6.6675000000000004</v>
      </c>
      <c r="M75" s="14">
        <f>CHOOSE(CONTROL!$C$42, 5.8779, 5.8779) * CHOOSE(CONTROL!$C$21, $C$9, 100%, $E$9)</f>
        <v>5.8779000000000003</v>
      </c>
      <c r="N75" s="14">
        <f>CHOOSE(CONTROL!$C$42, 5.8953, 5.8953) * CHOOSE(CONTROL!$C$21, $C$9, 100%, $E$9)</f>
        <v>5.8952999999999998</v>
      </c>
      <c r="O75" s="14">
        <f>CHOOSE(CONTROL!$C$42, 5.9789, 5.9789) * CHOOSE(CONTROL!$C$21, $C$9, 100%, $E$9)</f>
        <v>5.9789000000000003</v>
      </c>
      <c r="P75" s="14">
        <f>CHOOSE(CONTROL!$C$42, 5.9027, 5.9027) * CHOOSE(CONTROL!$C$21, $C$9, 100%, $E$9)</f>
        <v>5.9027000000000003</v>
      </c>
      <c r="Q75" s="14">
        <f>CHOOSE(CONTROL!$C$42, 6.5736, 6.5736) * CHOOSE(CONTROL!$C$21, $C$9, 100%, $E$9)</f>
        <v>6.5735999999999999</v>
      </c>
      <c r="R75" s="14">
        <f>CHOOSE(CONTROL!$C$42, 7.177, 7.177) * CHOOSE(CONTROL!$C$21, $C$9, 100%, $E$9)</f>
        <v>7.1769999999999996</v>
      </c>
      <c r="S75" s="14">
        <f>CHOOSE(CONTROL!$C$42, 5.7172, 5.7172) * CHOOSE(CONTROL!$C$21, $C$9, 100%, $E$9)</f>
        <v>5.7172000000000001</v>
      </c>
      <c r="T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5" s="56">
        <f>(1000*CHOOSE(CONTROL!$C$42, 695, 695)*CHOOSE(CONTROL!$C$42, 0.5599, 0.5599)*CHOOSE(CONTROL!$C$42, 31, 31))/1000000</f>
        <v>12.063045499999998</v>
      </c>
      <c r="V75" s="56">
        <f>(1000*CHOOSE(CONTROL!$C$42, 500, 500)*CHOOSE(CONTROL!$C$42, 0.275, 0.275)*CHOOSE(CONTROL!$C$42, 31, 31))/1000000</f>
        <v>4.2625000000000002</v>
      </c>
      <c r="W75" s="56">
        <f>(1000*CHOOSE(CONTROL!$C$42, 0.1146, 0.1146)*CHOOSE(CONTROL!$C$42, 121.5, 121.5)*CHOOSE(CONTROL!$C$42, 31, 31))/1000000</f>
        <v>0.43164089999999994</v>
      </c>
      <c r="X75" s="56">
        <f>(31*0.1790888*100000/1000000)+(31*0.2374*100000/1000000)</f>
        <v>1.2911152800000001</v>
      </c>
      <c r="Y75" s="56"/>
      <c r="Z75" s="14"/>
      <c r="AA75" s="55"/>
      <c r="AB75" s="49">
        <f>(B75*122.58+C75*297.941+D75*89.177+E75*40.302+F75*40+G75*160+H75*0+I75*100+J75*300)/(122.58+297.941+89.177+40.302+0+40+160+100+300)</f>
        <v>5.9881551989565214</v>
      </c>
      <c r="AC75" s="45">
        <f>(M75*'RAP TEMPLATE-GAS AVAILABILITY'!O74+N75*'RAP TEMPLATE-GAS AVAILABILITY'!P74+O75*'RAP TEMPLATE-GAS AVAILABILITY'!Q74+P75*'RAP TEMPLATE-GAS AVAILABILITY'!R74)/('RAP TEMPLATE-GAS AVAILABILITY'!O74+'RAP TEMPLATE-GAS AVAILABILITY'!P74+'RAP TEMPLATE-GAS AVAILABILITY'!Q74+'RAP TEMPLATE-GAS AVAILABILITY'!R74)</f>
        <v>5.9282467625899278</v>
      </c>
    </row>
    <row r="76" spans="1:29" ht="15.75" x14ac:dyDescent="0.25">
      <c r="A76" s="13">
        <v>43191</v>
      </c>
      <c r="B76" s="14">
        <f>CHOOSE(CONTROL!$C$42, 5.9541, 5.9541) * CHOOSE(CONTROL!$C$21, $C$9, 100%, $E$9)</f>
        <v>5.9541000000000004</v>
      </c>
      <c r="C76" s="14">
        <f>CHOOSE(CONTROL!$C$42, 5.9586, 5.9586) * CHOOSE(CONTROL!$C$21, $C$9, 100%, $E$9)</f>
        <v>5.9585999999999997</v>
      </c>
      <c r="D76" s="14">
        <f>CHOOSE(CONTROL!$C$42, 6.2208, 6.2208) * CHOOSE(CONTROL!$C$21, $C$9, 100%, $E$9)</f>
        <v>6.2207999999999997</v>
      </c>
      <c r="E76" s="14">
        <f>CHOOSE(CONTROL!$C$42, 6.2529, 6.2529) * CHOOSE(CONTROL!$C$21, $C$9, 100%, $E$9)</f>
        <v>6.2529000000000003</v>
      </c>
      <c r="F76" s="14">
        <f>CHOOSE(CONTROL!$C$42, 5.9769, 5.9769)*CHOOSE(CONTROL!$C$21, $C$9, 100%, $E$9)</f>
        <v>5.9768999999999997</v>
      </c>
      <c r="G76" s="14">
        <f>CHOOSE(CONTROL!$C$42, 5.9937, 5.9937)*CHOOSE(CONTROL!$C$21, $C$9, 100%, $E$9)</f>
        <v>5.9936999999999996</v>
      </c>
      <c r="H76" s="14">
        <f>CHOOSE(CONTROL!$C$42, 6.2427, 6.2427) * CHOOSE(CONTROL!$C$21, $C$9, 100%, $E$9)</f>
        <v>6.2427000000000001</v>
      </c>
      <c r="I76" s="14">
        <f>CHOOSE(CONTROL!$C$42, 5.9953, 5.9953)* CHOOSE(CONTROL!$C$21, $C$9, 100%, $E$9)</f>
        <v>5.9953000000000003</v>
      </c>
      <c r="J76" s="14">
        <f>CHOOSE(CONTROL!$C$42, 5.9699, 5.9699)* CHOOSE(CONTROL!$C$21, $C$9, 100%, $E$9)</f>
        <v>5.9699</v>
      </c>
      <c r="K76" s="52">
        <f>CHOOSE(CONTROL!$C$42, 5.9914, 5.9914) * CHOOSE(CONTROL!$C$21, $C$9, 100%, $E$9)</f>
        <v>5.9913999999999996</v>
      </c>
      <c r="L76" s="14">
        <f>CHOOSE(CONTROL!$C$42, 6.8297, 6.8297) * CHOOSE(CONTROL!$C$21, $C$9, 100%, $E$9)</f>
        <v>6.8296999999999999</v>
      </c>
      <c r="M76" s="14">
        <f>CHOOSE(CONTROL!$C$42, 5.8703, 5.8703) * CHOOSE(CONTROL!$C$21, $C$9, 100%, $E$9)</f>
        <v>5.8703000000000003</v>
      </c>
      <c r="N76" s="14">
        <f>CHOOSE(CONTROL!$C$42, 5.8867, 5.8867) * CHOOSE(CONTROL!$C$21, $C$9, 100%, $E$9)</f>
        <v>5.8867000000000003</v>
      </c>
      <c r="O76" s="14">
        <f>CHOOSE(CONTROL!$C$42, 6.1381, 6.1381) * CHOOSE(CONTROL!$C$21, $C$9, 100%, $E$9)</f>
        <v>6.1380999999999997</v>
      </c>
      <c r="P76" s="14">
        <f>CHOOSE(CONTROL!$C$42, 5.8949, 5.8949) * CHOOSE(CONTROL!$C$21, $C$9, 100%, $E$9)</f>
        <v>5.8948999999999998</v>
      </c>
      <c r="Q76" s="14">
        <f>CHOOSE(CONTROL!$C$42, 6.7328, 6.7328) * CHOOSE(CONTROL!$C$21, $C$9, 100%, $E$9)</f>
        <v>6.7328000000000001</v>
      </c>
      <c r="R76" s="14">
        <f>CHOOSE(CONTROL!$C$42, 7.3367, 7.3367) * CHOOSE(CONTROL!$C$21, $C$9, 100%, $E$9)</f>
        <v>7.3367000000000004</v>
      </c>
      <c r="S76" s="14">
        <f>CHOOSE(CONTROL!$C$42, 5.712, 5.712) * CHOOSE(CONTROL!$C$21, $C$9, 100%, $E$9)</f>
        <v>5.7119999999999997</v>
      </c>
      <c r="T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6" s="56">
        <f>(1000*CHOOSE(CONTROL!$C$42, 695, 695)*CHOOSE(CONTROL!$C$42, 0.5599, 0.5599)*CHOOSE(CONTROL!$C$42, 30, 30))/1000000</f>
        <v>11.673914999999997</v>
      </c>
      <c r="V76" s="56">
        <f>(1000*CHOOSE(CONTROL!$C$42, 500, 500)*CHOOSE(CONTROL!$C$42, 0.275, 0.275)*CHOOSE(CONTROL!$C$42, 30, 30))/1000000</f>
        <v>4.125</v>
      </c>
      <c r="W76" s="56">
        <f>(1000*CHOOSE(CONTROL!$C$42, 0.1146, 0.1146)*CHOOSE(CONTROL!$C$42, 121.5, 121.5)*CHOOSE(CONTROL!$C$42, 30, 30))/1000000</f>
        <v>0.417717</v>
      </c>
      <c r="X76" s="56">
        <f>(30*0.1790888*245000/1000000)+(30*0.2374*100000/1000000)</f>
        <v>2.0285026799999999</v>
      </c>
      <c r="Y76" s="56"/>
      <c r="Z76" s="14"/>
      <c r="AA76" s="55"/>
      <c r="AB76" s="49">
        <f>(B76*141.293+C76*267.993+D76*115.016+E76*89.698+F76*40+G76*185+H76*0+I76*100+J76*300)/(141.293+267.993+115.016+89.698+0+40+185+100+300)</f>
        <v>6.0152626296206613</v>
      </c>
      <c r="AC76" s="45">
        <f>(M76*'RAP TEMPLATE-GAS AVAILABILITY'!O75+N76*'RAP TEMPLATE-GAS AVAILABILITY'!P75+O76*'RAP TEMPLATE-GAS AVAILABILITY'!Q75+P76*'RAP TEMPLATE-GAS AVAILABILITY'!R75)/('RAP TEMPLATE-GAS AVAILABILITY'!O75+'RAP TEMPLATE-GAS AVAILABILITY'!P75+'RAP TEMPLATE-GAS AVAILABILITY'!Q75+'RAP TEMPLATE-GAS AVAILABILITY'!R75)</f>
        <v>5.9527532374100716</v>
      </c>
    </row>
    <row r="77" spans="1:29" ht="15.75" x14ac:dyDescent="0.25">
      <c r="A77" s="13">
        <v>43221</v>
      </c>
      <c r="B77" s="14">
        <f>CHOOSE(CONTROL!$C$42, 6.0203, 6.0203) * CHOOSE(CONTROL!$C$21, $C$9, 100%, $E$9)</f>
        <v>6.0202999999999998</v>
      </c>
      <c r="C77" s="14">
        <f>CHOOSE(CONTROL!$C$42, 6.0283, 6.0283) * CHOOSE(CONTROL!$C$21, $C$9, 100%, $E$9)</f>
        <v>6.0282999999999998</v>
      </c>
      <c r="D77" s="14">
        <f>CHOOSE(CONTROL!$C$42, 6.2874, 6.2874) * CHOOSE(CONTROL!$C$21, $C$9, 100%, $E$9)</f>
        <v>6.2873999999999999</v>
      </c>
      <c r="E77" s="14">
        <f>CHOOSE(CONTROL!$C$42, 6.3189, 6.3189) * CHOOSE(CONTROL!$C$21, $C$9, 100%, $E$9)</f>
        <v>6.3189000000000002</v>
      </c>
      <c r="F77" s="14">
        <f>CHOOSE(CONTROL!$C$42, 6.0418, 6.0418)*CHOOSE(CONTROL!$C$21, $C$9, 100%, $E$9)</f>
        <v>6.0418000000000003</v>
      </c>
      <c r="G77" s="14">
        <f>CHOOSE(CONTROL!$C$42, 6.0588, 6.0588)*CHOOSE(CONTROL!$C$21, $C$9, 100%, $E$9)</f>
        <v>6.0587999999999997</v>
      </c>
      <c r="H77" s="14">
        <f>CHOOSE(CONTROL!$C$42, 6.3075, 6.3075) * CHOOSE(CONTROL!$C$21, $C$9, 100%, $E$9)</f>
        <v>6.3075000000000001</v>
      </c>
      <c r="I77" s="14">
        <f>CHOOSE(CONTROL!$C$42, 6.0603, 6.0603)* CHOOSE(CONTROL!$C$21, $C$9, 100%, $E$9)</f>
        <v>6.0602999999999998</v>
      </c>
      <c r="J77" s="14">
        <f>CHOOSE(CONTROL!$C$42, 6.0348, 6.0348)* CHOOSE(CONTROL!$C$21, $C$9, 100%, $E$9)</f>
        <v>6.0347999999999997</v>
      </c>
      <c r="K77" s="52">
        <f>CHOOSE(CONTROL!$C$42, 6.0564, 6.0564) * CHOOSE(CONTROL!$C$21, $C$9, 100%, $E$9)</f>
        <v>6.0564</v>
      </c>
      <c r="L77" s="14">
        <f>CHOOSE(CONTROL!$C$42, 6.8945, 6.8945) * CHOOSE(CONTROL!$C$21, $C$9, 100%, $E$9)</f>
        <v>6.8944999999999999</v>
      </c>
      <c r="M77" s="14">
        <f>CHOOSE(CONTROL!$C$42, 5.934, 5.934) * CHOOSE(CONTROL!$C$21, $C$9, 100%, $E$9)</f>
        <v>5.9340000000000002</v>
      </c>
      <c r="N77" s="14">
        <f>CHOOSE(CONTROL!$C$42, 5.9507, 5.9507) * CHOOSE(CONTROL!$C$21, $C$9, 100%, $E$9)</f>
        <v>5.9507000000000003</v>
      </c>
      <c r="O77" s="14">
        <f>CHOOSE(CONTROL!$C$42, 6.2018, 6.2018) * CHOOSE(CONTROL!$C$21, $C$9, 100%, $E$9)</f>
        <v>6.2018000000000004</v>
      </c>
      <c r="P77" s="14">
        <f>CHOOSE(CONTROL!$C$42, 5.9587, 5.9587) * CHOOSE(CONTROL!$C$21, $C$9, 100%, $E$9)</f>
        <v>5.9587000000000003</v>
      </c>
      <c r="Q77" s="14">
        <f>CHOOSE(CONTROL!$C$42, 6.7965, 6.7965) * CHOOSE(CONTROL!$C$21, $C$9, 100%, $E$9)</f>
        <v>6.7965</v>
      </c>
      <c r="R77" s="14">
        <f>CHOOSE(CONTROL!$C$42, 7.4005, 7.4005) * CHOOSE(CONTROL!$C$21, $C$9, 100%, $E$9)</f>
        <v>7.4005000000000001</v>
      </c>
      <c r="S77" s="14">
        <f>CHOOSE(CONTROL!$C$42, 5.7743, 5.7743) * CHOOSE(CONTROL!$C$21, $C$9, 100%, $E$9)</f>
        <v>5.7743000000000002</v>
      </c>
      <c r="T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7" s="56">
        <f>(1000*CHOOSE(CONTROL!$C$42, 695, 695)*CHOOSE(CONTROL!$C$42, 0.5599, 0.5599)*CHOOSE(CONTROL!$C$42, 31, 31))/1000000</f>
        <v>12.063045499999998</v>
      </c>
      <c r="V77" s="56">
        <f>(1000*CHOOSE(CONTROL!$C$42, 500, 500)*CHOOSE(CONTROL!$C$42, 0.275, 0.275)*CHOOSE(CONTROL!$C$42, 31, 31))/1000000</f>
        <v>4.2625000000000002</v>
      </c>
      <c r="W77" s="56">
        <f>(1000*CHOOSE(CONTROL!$C$42, 0.1146, 0.1146)*CHOOSE(CONTROL!$C$42, 121.5, 121.5)*CHOOSE(CONTROL!$C$42, 31, 31))/1000000</f>
        <v>0.43164089999999994</v>
      </c>
      <c r="X77" s="56">
        <f>(31*0.1790888*245000/1000000)+(31*0.2374*100000/1000000)</f>
        <v>2.0961194359999999</v>
      </c>
      <c r="Y77" s="56"/>
      <c r="Z77" s="14"/>
      <c r="AA77" s="55"/>
      <c r="AB77" s="49">
        <f>(B77*194.205+C77*267.466+D77*133.845+E77*53.484+F77*40+G77*185+H77*0+I77*100+J77*300)/(194.205+267.466+133.845+53.484+0+40+185+100+300)</f>
        <v>6.0753961930141287</v>
      </c>
      <c r="AC77" s="45">
        <f>(M77*'RAP TEMPLATE-GAS AVAILABILITY'!O76+N77*'RAP TEMPLATE-GAS AVAILABILITY'!P76+O77*'RAP TEMPLATE-GAS AVAILABILITY'!Q76+P77*'RAP TEMPLATE-GAS AVAILABILITY'!R76)/('RAP TEMPLATE-GAS AVAILABILITY'!O76+'RAP TEMPLATE-GAS AVAILABILITY'!P76+'RAP TEMPLATE-GAS AVAILABILITY'!Q76+'RAP TEMPLATE-GAS AVAILABILITY'!R76)</f>
        <v>6.0165366906474826</v>
      </c>
    </row>
    <row r="78" spans="1:29" ht="15.75" x14ac:dyDescent="0.25">
      <c r="A78" s="13">
        <v>43252</v>
      </c>
      <c r="B78" s="14">
        <f>CHOOSE(CONTROL!$C$42, 6.2035, 6.2035) * CHOOSE(CONTROL!$C$21, $C$9, 100%, $E$9)</f>
        <v>6.2035</v>
      </c>
      <c r="C78" s="14">
        <f>CHOOSE(CONTROL!$C$42, 6.2115, 6.2115) * CHOOSE(CONTROL!$C$21, $C$9, 100%, $E$9)</f>
        <v>6.2115</v>
      </c>
      <c r="D78" s="14">
        <f>CHOOSE(CONTROL!$C$42, 6.4706, 6.4706) * CHOOSE(CONTROL!$C$21, $C$9, 100%, $E$9)</f>
        <v>6.4706000000000001</v>
      </c>
      <c r="E78" s="14">
        <f>CHOOSE(CONTROL!$C$42, 6.5021, 6.5021) * CHOOSE(CONTROL!$C$21, $C$9, 100%, $E$9)</f>
        <v>6.5021000000000004</v>
      </c>
      <c r="F78" s="14">
        <f>CHOOSE(CONTROL!$C$42, 6.2253, 6.2253)*CHOOSE(CONTROL!$C$21, $C$9, 100%, $E$9)</f>
        <v>6.2252999999999998</v>
      </c>
      <c r="G78" s="14">
        <f>CHOOSE(CONTROL!$C$42, 6.2423, 6.2423)*CHOOSE(CONTROL!$C$21, $C$9, 100%, $E$9)</f>
        <v>6.2423000000000002</v>
      </c>
      <c r="H78" s="14">
        <f>CHOOSE(CONTROL!$C$42, 6.4907, 6.4907) * CHOOSE(CONTROL!$C$21, $C$9, 100%, $E$9)</f>
        <v>6.4907000000000004</v>
      </c>
      <c r="I78" s="14">
        <f>CHOOSE(CONTROL!$C$42, 6.244, 6.244)* CHOOSE(CONTROL!$C$21, $C$9, 100%, $E$9)</f>
        <v>6.2439999999999998</v>
      </c>
      <c r="J78" s="14">
        <f>CHOOSE(CONTROL!$C$42, 6.2183, 6.2183)* CHOOSE(CONTROL!$C$21, $C$9, 100%, $E$9)</f>
        <v>6.2183000000000002</v>
      </c>
      <c r="K78" s="52">
        <f>CHOOSE(CONTROL!$C$42, 6.2401, 6.2401) * CHOOSE(CONTROL!$C$21, $C$9, 100%, $E$9)</f>
        <v>6.2401</v>
      </c>
      <c r="L78" s="14">
        <f>CHOOSE(CONTROL!$C$42, 7.0777, 7.0777) * CHOOSE(CONTROL!$C$21, $C$9, 100%, $E$9)</f>
        <v>7.0777000000000001</v>
      </c>
      <c r="M78" s="14">
        <f>CHOOSE(CONTROL!$C$42, 6.1141, 6.1141) * CHOOSE(CONTROL!$C$21, $C$9, 100%, $E$9)</f>
        <v>6.1140999999999996</v>
      </c>
      <c r="N78" s="14">
        <f>CHOOSE(CONTROL!$C$42, 6.1308, 6.1308) * CHOOSE(CONTROL!$C$21, $C$9, 100%, $E$9)</f>
        <v>6.1307999999999998</v>
      </c>
      <c r="O78" s="14">
        <f>CHOOSE(CONTROL!$C$42, 6.3816, 6.3816) * CHOOSE(CONTROL!$C$21, $C$9, 100%, $E$9)</f>
        <v>6.3815999999999997</v>
      </c>
      <c r="P78" s="14">
        <f>CHOOSE(CONTROL!$C$42, 6.1391, 6.1391) * CHOOSE(CONTROL!$C$21, $C$9, 100%, $E$9)</f>
        <v>6.1391</v>
      </c>
      <c r="Q78" s="14">
        <f>CHOOSE(CONTROL!$C$42, 6.9763, 6.9763) * CHOOSE(CONTROL!$C$21, $C$9, 100%, $E$9)</f>
        <v>6.9763000000000002</v>
      </c>
      <c r="R78" s="14">
        <f>CHOOSE(CONTROL!$C$42, 7.5808, 7.5808) * CHOOSE(CONTROL!$C$21, $C$9, 100%, $E$9)</f>
        <v>7.5808</v>
      </c>
      <c r="S78" s="14">
        <f>CHOOSE(CONTROL!$C$42, 5.9503, 5.9503) * CHOOSE(CONTROL!$C$21, $C$9, 100%, $E$9)</f>
        <v>5.9503000000000004</v>
      </c>
      <c r="T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8" s="56">
        <f>(1000*CHOOSE(CONTROL!$C$42, 695, 695)*CHOOSE(CONTROL!$C$42, 0.5599, 0.5599)*CHOOSE(CONTROL!$C$42, 30, 30))/1000000</f>
        <v>11.673914999999997</v>
      </c>
      <c r="V78" s="56">
        <f>(1000*CHOOSE(CONTROL!$C$42, 500, 500)*CHOOSE(CONTROL!$C$42, 0.275, 0.275)*CHOOSE(CONTROL!$C$42, 30, 30))/1000000</f>
        <v>4.125</v>
      </c>
      <c r="W78" s="56">
        <f>(1000*CHOOSE(CONTROL!$C$42, 0.1146, 0.1146)*CHOOSE(CONTROL!$C$42, 121.5, 121.5)*CHOOSE(CONTROL!$C$42, 30, 30))/1000000</f>
        <v>0.417717</v>
      </c>
      <c r="X78" s="56">
        <f>(30*0.1790888*245000/1000000)+(30*0.2374*100000/1000000)</f>
        <v>2.0285026799999999</v>
      </c>
      <c r="Y78" s="56"/>
      <c r="Z78" s="14"/>
      <c r="AA78" s="55"/>
      <c r="AB78" s="49">
        <f>(B78*194.205+C78*267.466+D78*133.845+E78*53.484+F78*40+G78*185+H78*0+I78*100+J78*300)/(194.205+267.466+133.845+53.484+0+40+185+100+300)</f>
        <v>6.2587590658555721</v>
      </c>
      <c r="AC78" s="45">
        <f>(M78*'RAP TEMPLATE-GAS AVAILABILITY'!O77+N78*'RAP TEMPLATE-GAS AVAILABILITY'!P77+O78*'RAP TEMPLATE-GAS AVAILABILITY'!Q77+P78*'RAP TEMPLATE-GAS AVAILABILITY'!R77)/('RAP TEMPLATE-GAS AVAILABILITY'!O77+'RAP TEMPLATE-GAS AVAILABILITY'!P77+'RAP TEMPLATE-GAS AVAILABILITY'!Q77+'RAP TEMPLATE-GAS AVAILABILITY'!R77)</f>
        <v>6.1965956834532374</v>
      </c>
    </row>
    <row r="79" spans="1:29" ht="15.75" x14ac:dyDescent="0.25">
      <c r="A79" s="13">
        <v>43282</v>
      </c>
      <c r="B79" s="14">
        <f>CHOOSE(CONTROL!$C$42, 6.0972, 6.0972) * CHOOSE(CONTROL!$C$21, $C$9, 100%, $E$9)</f>
        <v>6.0972</v>
      </c>
      <c r="C79" s="14">
        <f>CHOOSE(CONTROL!$C$42, 6.1052, 6.1052) * CHOOSE(CONTROL!$C$21, $C$9, 100%, $E$9)</f>
        <v>6.1052</v>
      </c>
      <c r="D79" s="14">
        <f>CHOOSE(CONTROL!$C$42, 6.3643, 6.3643) * CHOOSE(CONTROL!$C$21, $C$9, 100%, $E$9)</f>
        <v>6.3643000000000001</v>
      </c>
      <c r="E79" s="14">
        <f>CHOOSE(CONTROL!$C$42, 6.3958, 6.3958) * CHOOSE(CONTROL!$C$21, $C$9, 100%, $E$9)</f>
        <v>6.3958000000000004</v>
      </c>
      <c r="F79" s="14">
        <f>CHOOSE(CONTROL!$C$42, 6.1194, 6.1194)*CHOOSE(CONTROL!$C$21, $C$9, 100%, $E$9)</f>
        <v>6.1193999999999997</v>
      </c>
      <c r="G79" s="14">
        <f>CHOOSE(CONTROL!$C$42, 6.1366, 6.1366)*CHOOSE(CONTROL!$C$21, $C$9, 100%, $E$9)</f>
        <v>6.1365999999999996</v>
      </c>
      <c r="H79" s="14">
        <f>CHOOSE(CONTROL!$C$42, 6.3844, 6.3844) * CHOOSE(CONTROL!$C$21, $C$9, 100%, $E$9)</f>
        <v>6.3844000000000003</v>
      </c>
      <c r="I79" s="14">
        <f>CHOOSE(CONTROL!$C$42, 6.1374, 6.1374)* CHOOSE(CONTROL!$C$21, $C$9, 100%, $E$9)</f>
        <v>6.1374000000000004</v>
      </c>
      <c r="J79" s="14">
        <f>CHOOSE(CONTROL!$C$42, 6.1124, 6.1124)* CHOOSE(CONTROL!$C$21, $C$9, 100%, $E$9)</f>
        <v>6.1124000000000001</v>
      </c>
      <c r="K79" s="52">
        <f>CHOOSE(CONTROL!$C$42, 6.1335, 6.1335) * CHOOSE(CONTROL!$C$21, $C$9, 100%, $E$9)</f>
        <v>6.1334999999999997</v>
      </c>
      <c r="L79" s="14">
        <f>CHOOSE(CONTROL!$C$42, 6.9714, 6.9714) * CHOOSE(CONTROL!$C$21, $C$9, 100%, $E$9)</f>
        <v>6.9714</v>
      </c>
      <c r="M79" s="14">
        <f>CHOOSE(CONTROL!$C$42, 6.0102, 6.0102) * CHOOSE(CONTROL!$C$21, $C$9, 100%, $E$9)</f>
        <v>6.0102000000000002</v>
      </c>
      <c r="N79" s="14">
        <f>CHOOSE(CONTROL!$C$42, 6.027, 6.027) * CHOOSE(CONTROL!$C$21, $C$9, 100%, $E$9)</f>
        <v>6.0270000000000001</v>
      </c>
      <c r="O79" s="14">
        <f>CHOOSE(CONTROL!$C$42, 6.2773, 6.2773) * CHOOSE(CONTROL!$C$21, $C$9, 100%, $E$9)</f>
        <v>6.2773000000000003</v>
      </c>
      <c r="P79" s="14">
        <f>CHOOSE(CONTROL!$C$42, 6.0344, 6.0344) * CHOOSE(CONTROL!$C$21, $C$9, 100%, $E$9)</f>
        <v>6.0343999999999998</v>
      </c>
      <c r="Q79" s="14">
        <f>CHOOSE(CONTROL!$C$42, 6.872, 6.872) * CHOOSE(CONTROL!$C$21, $C$9, 100%, $E$9)</f>
        <v>6.8719999999999999</v>
      </c>
      <c r="R79" s="14">
        <f>CHOOSE(CONTROL!$C$42, 7.4762, 7.4762) * CHOOSE(CONTROL!$C$21, $C$9, 100%, $E$9)</f>
        <v>7.4762000000000004</v>
      </c>
      <c r="S79" s="14">
        <f>CHOOSE(CONTROL!$C$42, 5.8482, 5.8482) * CHOOSE(CONTROL!$C$21, $C$9, 100%, $E$9)</f>
        <v>5.8482000000000003</v>
      </c>
      <c r="T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9" s="56">
        <f>(1000*CHOOSE(CONTROL!$C$42, 695, 695)*CHOOSE(CONTROL!$C$42, 0.5599, 0.5599)*CHOOSE(CONTROL!$C$42, 31, 31))/1000000</f>
        <v>12.063045499999998</v>
      </c>
      <c r="V79" s="56">
        <f>(1000*CHOOSE(CONTROL!$C$42, 500, 500)*CHOOSE(CONTROL!$C$42, 0.275, 0.275)*CHOOSE(CONTROL!$C$42, 31, 31))/1000000</f>
        <v>4.2625000000000002</v>
      </c>
      <c r="W79" s="56">
        <f>(1000*CHOOSE(CONTROL!$C$42, 0.1146, 0.1146)*CHOOSE(CONTROL!$C$42, 121.5, 121.5)*CHOOSE(CONTROL!$C$42, 31, 31))/1000000</f>
        <v>0.43164089999999994</v>
      </c>
      <c r="X79" s="56">
        <f>(31*0.1790888*245000/1000000)+(31*0.2374*100000/1000000)</f>
        <v>2.0961194359999999</v>
      </c>
      <c r="Y79" s="56"/>
      <c r="Z79" s="14"/>
      <c r="AA79" s="55"/>
      <c r="AB79" s="49">
        <f>(B79*194.205+C79*267.466+D79*133.845+E79*53.484+F79*40+G79*185+H79*0+I79*100+J79*300)/(194.205+267.466+133.845+53.484+0+40+185+100+300)</f>
        <v>6.1526293955259028</v>
      </c>
      <c r="AC79" s="45">
        <f>(M79*'RAP TEMPLATE-GAS AVAILABILITY'!O78+N79*'RAP TEMPLATE-GAS AVAILABILITY'!P78+O79*'RAP TEMPLATE-GAS AVAILABILITY'!Q78+P79*'RAP TEMPLATE-GAS AVAILABILITY'!R78)/('RAP TEMPLATE-GAS AVAILABILITY'!O78+'RAP TEMPLATE-GAS AVAILABILITY'!P78+'RAP TEMPLATE-GAS AVAILABILITY'!Q78+'RAP TEMPLATE-GAS AVAILABILITY'!R78)</f>
        <v>6.0924913669064749</v>
      </c>
    </row>
    <row r="80" spans="1:29" ht="15.75" x14ac:dyDescent="0.25">
      <c r="A80" s="13">
        <v>43313</v>
      </c>
      <c r="B80" s="14">
        <f>CHOOSE(CONTROL!$C$42, 5.8085, 5.8085) * CHOOSE(CONTROL!$C$21, $C$9, 100%, $E$9)</f>
        <v>5.8085000000000004</v>
      </c>
      <c r="C80" s="14">
        <f>CHOOSE(CONTROL!$C$42, 5.8166, 5.8166) * CHOOSE(CONTROL!$C$21, $C$9, 100%, $E$9)</f>
        <v>5.8166000000000002</v>
      </c>
      <c r="D80" s="14">
        <f>CHOOSE(CONTROL!$C$42, 6.0757, 6.0757) * CHOOSE(CONTROL!$C$21, $C$9, 100%, $E$9)</f>
        <v>6.0757000000000003</v>
      </c>
      <c r="E80" s="14">
        <f>CHOOSE(CONTROL!$C$42, 6.1071, 6.1071) * CHOOSE(CONTROL!$C$21, $C$9, 100%, $E$9)</f>
        <v>6.1071</v>
      </c>
      <c r="F80" s="14">
        <f>CHOOSE(CONTROL!$C$42, 5.831, 5.831)*CHOOSE(CONTROL!$C$21, $C$9, 100%, $E$9)</f>
        <v>5.8310000000000004</v>
      </c>
      <c r="G80" s="14">
        <f>CHOOSE(CONTROL!$C$42, 5.8482, 5.8482)*CHOOSE(CONTROL!$C$21, $C$9, 100%, $E$9)</f>
        <v>5.8482000000000003</v>
      </c>
      <c r="H80" s="14">
        <f>CHOOSE(CONTROL!$C$42, 6.0958, 6.0958) * CHOOSE(CONTROL!$C$21, $C$9, 100%, $E$9)</f>
        <v>6.0957999999999997</v>
      </c>
      <c r="I80" s="14">
        <f>CHOOSE(CONTROL!$C$42, 5.8478, 5.8478)* CHOOSE(CONTROL!$C$21, $C$9, 100%, $E$9)</f>
        <v>5.8478000000000003</v>
      </c>
      <c r="J80" s="14">
        <f>CHOOSE(CONTROL!$C$42, 5.824, 5.824)* CHOOSE(CONTROL!$C$21, $C$9, 100%, $E$9)</f>
        <v>5.8239999999999998</v>
      </c>
      <c r="K80" s="52">
        <f>CHOOSE(CONTROL!$C$42, 5.8439, 5.8439) * CHOOSE(CONTROL!$C$21, $C$9, 100%, $E$9)</f>
        <v>5.8438999999999997</v>
      </c>
      <c r="L80" s="14">
        <f>CHOOSE(CONTROL!$C$42, 6.6828, 6.6828) * CHOOSE(CONTROL!$C$21, $C$9, 100%, $E$9)</f>
        <v>6.6828000000000003</v>
      </c>
      <c r="M80" s="14">
        <f>CHOOSE(CONTROL!$C$42, 5.7269, 5.7269) * CHOOSE(CONTROL!$C$21, $C$9, 100%, $E$9)</f>
        <v>5.7268999999999997</v>
      </c>
      <c r="N80" s="14">
        <f>CHOOSE(CONTROL!$C$42, 5.7438, 5.7438) * CHOOSE(CONTROL!$C$21, $C$9, 100%, $E$9)</f>
        <v>5.7438000000000002</v>
      </c>
      <c r="O80" s="14">
        <f>CHOOSE(CONTROL!$C$42, 5.9938, 5.9938) * CHOOSE(CONTROL!$C$21, $C$9, 100%, $E$9)</f>
        <v>5.9938000000000002</v>
      </c>
      <c r="P80" s="14">
        <f>CHOOSE(CONTROL!$C$42, 5.7501, 5.7501) * CHOOSE(CONTROL!$C$21, $C$9, 100%, $E$9)</f>
        <v>5.7500999999999998</v>
      </c>
      <c r="Q80" s="14">
        <f>CHOOSE(CONTROL!$C$42, 6.5885, 6.5885) * CHOOSE(CONTROL!$C$21, $C$9, 100%, $E$9)</f>
        <v>6.5884999999999998</v>
      </c>
      <c r="R80" s="14">
        <f>CHOOSE(CONTROL!$C$42, 7.192, 7.192) * CHOOSE(CONTROL!$C$21, $C$9, 100%, $E$9)</f>
        <v>7.1920000000000002</v>
      </c>
      <c r="S80" s="14">
        <f>CHOOSE(CONTROL!$C$42, 5.5708, 5.5708) * CHOOSE(CONTROL!$C$21, $C$9, 100%, $E$9)</f>
        <v>5.5708000000000002</v>
      </c>
      <c r="T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0" s="56">
        <f>(1000*CHOOSE(CONTROL!$C$42, 695, 695)*CHOOSE(CONTROL!$C$42, 0.5599, 0.5599)*CHOOSE(CONTROL!$C$42, 31, 31))/1000000</f>
        <v>12.063045499999998</v>
      </c>
      <c r="V80" s="56">
        <f>(1000*CHOOSE(CONTROL!$C$42, 500, 500)*CHOOSE(CONTROL!$C$42, 0.275, 0.275)*CHOOSE(CONTROL!$C$42, 31, 31))/1000000</f>
        <v>4.2625000000000002</v>
      </c>
      <c r="W80" s="56">
        <f>(1000*CHOOSE(CONTROL!$C$42, 0.1146, 0.1146)*CHOOSE(CONTROL!$C$42, 121.5, 121.5)*CHOOSE(CONTROL!$C$42, 31, 31))/1000000</f>
        <v>0.43164089999999994</v>
      </c>
      <c r="X80" s="56">
        <f>(31*0.1790888*245000/1000000)+(31*0.2374*100000/1000000)</f>
        <v>2.0961194359999999</v>
      </c>
      <c r="Y80" s="56"/>
      <c r="Z80" s="14"/>
      <c r="AA80" s="55"/>
      <c r="AB80" s="49">
        <f>(B80*194.205+C80*267.466+D80*133.845+E80*53.484+F80*40+G80*185+H80*0+I80*100+J80*300)/(194.205+267.466+133.845+53.484+0+40+185+100+300)</f>
        <v>5.8640138783359497</v>
      </c>
      <c r="AC80" s="45">
        <f>(M80*'RAP TEMPLATE-GAS AVAILABILITY'!O79+N80*'RAP TEMPLATE-GAS AVAILABILITY'!P79+O80*'RAP TEMPLATE-GAS AVAILABILITY'!Q79+P80*'RAP TEMPLATE-GAS AVAILABILITY'!R79)/('RAP TEMPLATE-GAS AVAILABILITY'!O79+'RAP TEMPLATE-GAS AVAILABILITY'!P79+'RAP TEMPLATE-GAS AVAILABILITY'!Q79+'RAP TEMPLATE-GAS AVAILABILITY'!R79)</f>
        <v>5.8090143884892091</v>
      </c>
    </row>
    <row r="81" spans="1:29" ht="15.75" x14ac:dyDescent="0.25">
      <c r="A81" s="13">
        <v>43344</v>
      </c>
      <c r="B81" s="14">
        <f>CHOOSE(CONTROL!$C$42, 5.4515, 5.4515) * CHOOSE(CONTROL!$C$21, $C$9, 100%, $E$9)</f>
        <v>5.4515000000000002</v>
      </c>
      <c r="C81" s="14">
        <f>CHOOSE(CONTROL!$C$42, 5.4595, 5.4595) * CHOOSE(CONTROL!$C$21, $C$9, 100%, $E$9)</f>
        <v>5.4595000000000002</v>
      </c>
      <c r="D81" s="14">
        <f>CHOOSE(CONTROL!$C$42, 5.7186, 5.7186) * CHOOSE(CONTROL!$C$21, $C$9, 100%, $E$9)</f>
        <v>5.7186000000000003</v>
      </c>
      <c r="E81" s="14">
        <f>CHOOSE(CONTROL!$C$42, 5.7501, 5.7501) * CHOOSE(CONTROL!$C$21, $C$9, 100%, $E$9)</f>
        <v>5.7500999999999998</v>
      </c>
      <c r="F81" s="14">
        <f>CHOOSE(CONTROL!$C$42, 5.474, 5.474)*CHOOSE(CONTROL!$C$21, $C$9, 100%, $E$9)</f>
        <v>5.4740000000000002</v>
      </c>
      <c r="G81" s="14">
        <f>CHOOSE(CONTROL!$C$42, 5.4912, 5.4912)*CHOOSE(CONTROL!$C$21, $C$9, 100%, $E$9)</f>
        <v>5.4912000000000001</v>
      </c>
      <c r="H81" s="14">
        <f>CHOOSE(CONTROL!$C$42, 5.7387, 5.7387) * CHOOSE(CONTROL!$C$21, $C$9, 100%, $E$9)</f>
        <v>5.7386999999999997</v>
      </c>
      <c r="I81" s="14">
        <f>CHOOSE(CONTROL!$C$42, 5.4897, 5.4897)* CHOOSE(CONTROL!$C$21, $C$9, 100%, $E$9)</f>
        <v>5.4897</v>
      </c>
      <c r="J81" s="14">
        <f>CHOOSE(CONTROL!$C$42, 5.467, 5.467)* CHOOSE(CONTROL!$C$21, $C$9, 100%, $E$9)</f>
        <v>5.4669999999999996</v>
      </c>
      <c r="K81" s="52">
        <f>CHOOSE(CONTROL!$C$42, 5.4858, 5.4858) * CHOOSE(CONTROL!$C$21, $C$9, 100%, $E$9)</f>
        <v>5.4858000000000002</v>
      </c>
      <c r="L81" s="14">
        <f>CHOOSE(CONTROL!$C$42, 6.3257, 6.3257) * CHOOSE(CONTROL!$C$21, $C$9, 100%, $E$9)</f>
        <v>6.3257000000000003</v>
      </c>
      <c r="M81" s="14">
        <f>CHOOSE(CONTROL!$C$42, 5.3763, 5.3763) * CHOOSE(CONTROL!$C$21, $C$9, 100%, $E$9)</f>
        <v>5.3762999999999996</v>
      </c>
      <c r="N81" s="14">
        <f>CHOOSE(CONTROL!$C$42, 5.3932, 5.3932) * CHOOSE(CONTROL!$C$21, $C$9, 100%, $E$9)</f>
        <v>5.3932000000000002</v>
      </c>
      <c r="O81" s="14">
        <f>CHOOSE(CONTROL!$C$42, 5.6432, 5.6432) * CHOOSE(CONTROL!$C$21, $C$9, 100%, $E$9)</f>
        <v>5.6432000000000002</v>
      </c>
      <c r="P81" s="14">
        <f>CHOOSE(CONTROL!$C$42, 5.3984, 5.3984) * CHOOSE(CONTROL!$C$21, $C$9, 100%, $E$9)</f>
        <v>5.3983999999999996</v>
      </c>
      <c r="Q81" s="14">
        <f>CHOOSE(CONTROL!$C$42, 6.2379, 6.2379) * CHOOSE(CONTROL!$C$21, $C$9, 100%, $E$9)</f>
        <v>6.2378999999999998</v>
      </c>
      <c r="R81" s="14">
        <f>CHOOSE(CONTROL!$C$42, 6.8405, 6.8405) * CHOOSE(CONTROL!$C$21, $C$9, 100%, $E$9)</f>
        <v>6.8404999999999996</v>
      </c>
      <c r="S81" s="14">
        <f>CHOOSE(CONTROL!$C$42, 5.2277, 5.2277) * CHOOSE(CONTROL!$C$21, $C$9, 100%, $E$9)</f>
        <v>5.2276999999999996</v>
      </c>
      <c r="T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1" s="56">
        <f>(1000*CHOOSE(CONTROL!$C$42, 695, 695)*CHOOSE(CONTROL!$C$42, 0.5599, 0.5599)*CHOOSE(CONTROL!$C$42, 30, 30))/1000000</f>
        <v>11.673914999999997</v>
      </c>
      <c r="V81" s="56">
        <f>(1000*CHOOSE(CONTROL!$C$42, 500, 500)*CHOOSE(CONTROL!$C$42, 0.275, 0.275)*CHOOSE(CONTROL!$C$42, 30, 30))/1000000</f>
        <v>4.125</v>
      </c>
      <c r="W81" s="56">
        <f>(1000*CHOOSE(CONTROL!$C$42, 0.1146, 0.1146)*CHOOSE(CONTROL!$C$42, 121.5, 121.5)*CHOOSE(CONTROL!$C$42, 30, 30))/1000000</f>
        <v>0.417717</v>
      </c>
      <c r="X81" s="56">
        <f>(30*0.1790888*245000/1000000)+(30*0.2374*100000/1000000)</f>
        <v>2.0285026799999999</v>
      </c>
      <c r="Y81" s="56"/>
      <c r="Z81" s="14"/>
      <c r="AA81" s="55"/>
      <c r="AB81" s="49">
        <f>(B81*194.205+C81*267.466+D81*133.845+E81*53.484+F81*40+G81*185+H81*0+I81*100+J81*300)/(194.205+267.466+133.845+53.484+0+40+185+100+300)</f>
        <v>5.5068960360282571</v>
      </c>
      <c r="AC81" s="45">
        <f>(M81*'RAP TEMPLATE-GAS AVAILABILITY'!O80+N81*'RAP TEMPLATE-GAS AVAILABILITY'!P80+O81*'RAP TEMPLATE-GAS AVAILABILITY'!Q80+P81*'RAP TEMPLATE-GAS AVAILABILITY'!R80)/('RAP TEMPLATE-GAS AVAILABILITY'!O80+'RAP TEMPLATE-GAS AVAILABILITY'!P80+'RAP TEMPLATE-GAS AVAILABILITY'!Q80+'RAP TEMPLATE-GAS AVAILABILITY'!R80)</f>
        <v>5.4582561151079139</v>
      </c>
    </row>
    <row r="82" spans="1:29" ht="15.75" x14ac:dyDescent="0.25">
      <c r="A82" s="13">
        <v>43374</v>
      </c>
      <c r="B82" s="14">
        <f>CHOOSE(CONTROL!$C$42, 5.3503, 5.3503) * CHOOSE(CONTROL!$C$21, $C$9, 100%, $E$9)</f>
        <v>5.3502999999999998</v>
      </c>
      <c r="C82" s="14">
        <f>CHOOSE(CONTROL!$C$42, 5.3556, 5.3556) * CHOOSE(CONTROL!$C$21, $C$9, 100%, $E$9)</f>
        <v>5.3555999999999999</v>
      </c>
      <c r="D82" s="14">
        <f>CHOOSE(CONTROL!$C$42, 5.6196, 5.6196) * CHOOSE(CONTROL!$C$21, $C$9, 100%, $E$9)</f>
        <v>5.6196000000000002</v>
      </c>
      <c r="E82" s="14">
        <f>CHOOSE(CONTROL!$C$42, 5.6488, 5.6488) * CHOOSE(CONTROL!$C$21, $C$9, 100%, $E$9)</f>
        <v>5.6487999999999996</v>
      </c>
      <c r="F82" s="14">
        <f>CHOOSE(CONTROL!$C$42, 5.3749, 5.3749)*CHOOSE(CONTROL!$C$21, $C$9, 100%, $E$9)</f>
        <v>5.3749000000000002</v>
      </c>
      <c r="G82" s="14">
        <f>CHOOSE(CONTROL!$C$42, 5.392, 5.392)*CHOOSE(CONTROL!$C$21, $C$9, 100%, $E$9)</f>
        <v>5.3920000000000003</v>
      </c>
      <c r="H82" s="14">
        <f>CHOOSE(CONTROL!$C$42, 5.6392, 5.6392) * CHOOSE(CONTROL!$C$21, $C$9, 100%, $E$9)</f>
        <v>5.6391999999999998</v>
      </c>
      <c r="I82" s="14">
        <f>CHOOSE(CONTROL!$C$42, 5.3899, 5.3899)* CHOOSE(CONTROL!$C$21, $C$9, 100%, $E$9)</f>
        <v>5.3898999999999999</v>
      </c>
      <c r="J82" s="14">
        <f>CHOOSE(CONTROL!$C$42, 5.3679, 5.3679)* CHOOSE(CONTROL!$C$21, $C$9, 100%, $E$9)</f>
        <v>5.3678999999999997</v>
      </c>
      <c r="K82" s="52">
        <f>CHOOSE(CONTROL!$C$42, 5.386, 5.386) * CHOOSE(CONTROL!$C$21, $C$9, 100%, $E$9)</f>
        <v>5.3860000000000001</v>
      </c>
      <c r="L82" s="14">
        <f>CHOOSE(CONTROL!$C$42, 6.2262, 6.2262) * CHOOSE(CONTROL!$C$21, $C$9, 100%, $E$9)</f>
        <v>6.2262000000000004</v>
      </c>
      <c r="M82" s="14">
        <f>CHOOSE(CONTROL!$C$42, 5.279, 5.279) * CHOOSE(CONTROL!$C$21, $C$9, 100%, $E$9)</f>
        <v>5.2789999999999999</v>
      </c>
      <c r="N82" s="14">
        <f>CHOOSE(CONTROL!$C$42, 5.2958, 5.2958) * CHOOSE(CONTROL!$C$21, $C$9, 100%, $E$9)</f>
        <v>5.2957999999999998</v>
      </c>
      <c r="O82" s="14">
        <f>CHOOSE(CONTROL!$C$42, 5.5455, 5.5455) * CHOOSE(CONTROL!$C$21, $C$9, 100%, $E$9)</f>
        <v>5.5454999999999997</v>
      </c>
      <c r="P82" s="14">
        <f>CHOOSE(CONTROL!$C$42, 5.3004, 5.3004) * CHOOSE(CONTROL!$C$21, $C$9, 100%, $E$9)</f>
        <v>5.3003999999999998</v>
      </c>
      <c r="Q82" s="14">
        <f>CHOOSE(CONTROL!$C$42, 6.1402, 6.1402) * CHOOSE(CONTROL!$C$21, $C$9, 100%, $E$9)</f>
        <v>6.1402000000000001</v>
      </c>
      <c r="R82" s="14">
        <f>CHOOSE(CONTROL!$C$42, 6.7425, 6.7425) * CHOOSE(CONTROL!$C$21, $C$9, 100%, $E$9)</f>
        <v>6.7424999999999997</v>
      </c>
      <c r="S82" s="14">
        <f>CHOOSE(CONTROL!$C$42, 5.1321, 5.1321) * CHOOSE(CONTROL!$C$21, $C$9, 100%, $E$9)</f>
        <v>5.1321000000000003</v>
      </c>
      <c r="T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2" s="56">
        <f>(1000*CHOOSE(CONTROL!$C$42, 695, 695)*CHOOSE(CONTROL!$C$42, 0.5599, 0.5599)*CHOOSE(CONTROL!$C$42, 31, 31))/1000000</f>
        <v>12.063045499999998</v>
      </c>
      <c r="V82" s="56">
        <f>(1000*CHOOSE(CONTROL!$C$42, 500, 500)*CHOOSE(CONTROL!$C$42, 0.275, 0.275)*CHOOSE(CONTROL!$C$42, 31, 31))/1000000</f>
        <v>4.2625000000000002</v>
      </c>
      <c r="W82" s="56">
        <f>(1000*CHOOSE(CONTROL!$C$42, 0.1146, 0.1146)*CHOOSE(CONTROL!$C$42, 121.5, 121.5)*CHOOSE(CONTROL!$C$42, 31, 31))/1000000</f>
        <v>0.43164089999999994</v>
      </c>
      <c r="X82" s="56">
        <f>(31*0.1790888*245000/1000000)+(31*0.2374*100000/1000000)</f>
        <v>2.0961194359999999</v>
      </c>
      <c r="Y82" s="56"/>
      <c r="Z82" s="14"/>
      <c r="AA82" s="55"/>
      <c r="AB82" s="49">
        <f>(B82*131.881+C82*277.167+D82*79.08+E82*125.872+F82*40+G82*185+H82*0+I82*100+J82*300)/(131.881+277.167+79.08+125.872+0+40+185+100+300)</f>
        <v>5.4134771760290556</v>
      </c>
      <c r="AC82" s="45">
        <f>(M82*'RAP TEMPLATE-GAS AVAILABILITY'!O81+N82*'RAP TEMPLATE-GAS AVAILABILITY'!P81+O82*'RAP TEMPLATE-GAS AVAILABILITY'!Q81+P82*'RAP TEMPLATE-GAS AVAILABILITY'!R81)/('RAP TEMPLATE-GAS AVAILABILITY'!O81+'RAP TEMPLATE-GAS AVAILABILITY'!P81+'RAP TEMPLATE-GAS AVAILABILITY'!Q81+'RAP TEMPLATE-GAS AVAILABILITY'!R81)</f>
        <v>5.3607201438848922</v>
      </c>
    </row>
    <row r="83" spans="1:29" ht="15.75" x14ac:dyDescent="0.25">
      <c r="A83" s="13">
        <v>43405</v>
      </c>
      <c r="B83" s="14">
        <f>CHOOSE(CONTROL!$C$42, 5.5018, 5.5018) * CHOOSE(CONTROL!$C$21, $C$9, 100%, $E$9)</f>
        <v>5.5018000000000002</v>
      </c>
      <c r="C83" s="14">
        <f>CHOOSE(CONTROL!$C$42, 5.5069, 5.5069) * CHOOSE(CONTROL!$C$21, $C$9, 100%, $E$9)</f>
        <v>5.5068999999999999</v>
      </c>
      <c r="D83" s="14">
        <f>CHOOSE(CONTROL!$C$42, 5.5899, 5.5899) * CHOOSE(CONTROL!$C$21, $C$9, 100%, $E$9)</f>
        <v>5.5899000000000001</v>
      </c>
      <c r="E83" s="14">
        <f>CHOOSE(CONTROL!$C$42, 5.6241, 5.6241) * CHOOSE(CONTROL!$C$21, $C$9, 100%, $E$9)</f>
        <v>5.6241000000000003</v>
      </c>
      <c r="F83" s="14">
        <f>CHOOSE(CONTROL!$C$42, 5.5294, 5.5294)*CHOOSE(CONTROL!$C$21, $C$9, 100%, $E$9)</f>
        <v>5.5293999999999999</v>
      </c>
      <c r="G83" s="14">
        <f>CHOOSE(CONTROL!$C$42, 5.5468, 5.5468)*CHOOSE(CONTROL!$C$21, $C$9, 100%, $E$9)</f>
        <v>5.5468000000000002</v>
      </c>
      <c r="H83" s="14">
        <f>CHOOSE(CONTROL!$C$42, 5.6132, 5.6132) * CHOOSE(CONTROL!$C$21, $C$9, 100%, $E$9)</f>
        <v>5.6132</v>
      </c>
      <c r="I83" s="14">
        <f>CHOOSE(CONTROL!$C$42, 5.5387, 5.5387)* CHOOSE(CONTROL!$C$21, $C$9, 100%, $E$9)</f>
        <v>5.5387000000000004</v>
      </c>
      <c r="J83" s="14">
        <f>CHOOSE(CONTROL!$C$42, 5.5224, 5.5224)* CHOOSE(CONTROL!$C$21, $C$9, 100%, $E$9)</f>
        <v>5.5224000000000002</v>
      </c>
      <c r="K83" s="52">
        <f>CHOOSE(CONTROL!$C$42, 5.5348, 5.5348) * CHOOSE(CONTROL!$C$21, $C$9, 100%, $E$9)</f>
        <v>5.5347999999999997</v>
      </c>
      <c r="L83" s="14">
        <f>CHOOSE(CONTROL!$C$42, 6.2002, 6.2002) * CHOOSE(CONTROL!$C$21, $C$9, 100%, $E$9)</f>
        <v>6.2001999999999997</v>
      </c>
      <c r="M83" s="14">
        <f>CHOOSE(CONTROL!$C$42, 5.4308, 5.4308) * CHOOSE(CONTROL!$C$21, $C$9, 100%, $E$9)</f>
        <v>5.4307999999999996</v>
      </c>
      <c r="N83" s="14">
        <f>CHOOSE(CONTROL!$C$42, 5.4479, 5.4479) * CHOOSE(CONTROL!$C$21, $C$9, 100%, $E$9)</f>
        <v>5.4478999999999997</v>
      </c>
      <c r="O83" s="14">
        <f>CHOOSE(CONTROL!$C$42, 5.52, 5.52) * CHOOSE(CONTROL!$C$21, $C$9, 100%, $E$9)</f>
        <v>5.52</v>
      </c>
      <c r="P83" s="14">
        <f>CHOOSE(CONTROL!$C$42, 5.4465, 5.4465) * CHOOSE(CONTROL!$C$21, $C$9, 100%, $E$9)</f>
        <v>5.4465000000000003</v>
      </c>
      <c r="Q83" s="14">
        <f>CHOOSE(CONTROL!$C$42, 6.1147, 6.1147) * CHOOSE(CONTROL!$C$21, $C$9, 100%, $E$9)</f>
        <v>6.1147</v>
      </c>
      <c r="R83" s="14">
        <f>CHOOSE(CONTROL!$C$42, 6.717, 6.717) * CHOOSE(CONTROL!$C$21, $C$9, 100%, $E$9)</f>
        <v>6.7169999999999996</v>
      </c>
      <c r="S83" s="14">
        <f>CHOOSE(CONTROL!$C$42, 5.2782, 5.2782) * CHOOSE(CONTROL!$C$21, $C$9, 100%, $E$9)</f>
        <v>5.2782</v>
      </c>
      <c r="T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3" s="56">
        <f>(1000*CHOOSE(CONTROL!$C$42, 695, 695)*CHOOSE(CONTROL!$C$42, 0.5599, 0.5599)*CHOOSE(CONTROL!$C$42, 30, 30))/1000000</f>
        <v>11.673914999999997</v>
      </c>
      <c r="V83" s="56">
        <f>(1000*CHOOSE(CONTROL!$C$42, 500, 500)*CHOOSE(CONTROL!$C$42, 0.275, 0.275)*CHOOSE(CONTROL!$C$42, 30, 30))/1000000</f>
        <v>4.125</v>
      </c>
      <c r="W83" s="56">
        <f>(1000*CHOOSE(CONTROL!$C$42, 0.1146, 0.1146)*CHOOSE(CONTROL!$C$42, 121.5, 121.5)*CHOOSE(CONTROL!$C$42, 30, 30))/1000000</f>
        <v>0.417717</v>
      </c>
      <c r="X83" s="56">
        <f>(30*0.1790888*100000/1000000)+(30*0.2374*100000/1000000)</f>
        <v>1.2494664</v>
      </c>
      <c r="Y83" s="56"/>
      <c r="Z83" s="14"/>
      <c r="AA83" s="55"/>
      <c r="AB83" s="49">
        <f>(B83*122.58+C83*297.941+D83*89.177+E83*40.302+F83*40+G83*160+H83*0+I83*100+J83*300)/(122.58+297.941+89.177+40.302+0+40+160+100+300)</f>
        <v>5.5300425455652169</v>
      </c>
      <c r="AC83" s="45">
        <f>(M83*'RAP TEMPLATE-GAS AVAILABILITY'!O82+N83*'RAP TEMPLATE-GAS AVAILABILITY'!P82+O83*'RAP TEMPLATE-GAS AVAILABILITY'!Q82+P83*'RAP TEMPLATE-GAS AVAILABILITY'!R82)/('RAP TEMPLATE-GAS AVAILABILITY'!O82+'RAP TEMPLATE-GAS AVAILABILITY'!P82+'RAP TEMPLATE-GAS AVAILABILITY'!Q82+'RAP TEMPLATE-GAS AVAILABILITY'!R82)</f>
        <v>5.4744719424460433</v>
      </c>
    </row>
    <row r="84" spans="1:29" ht="15.75" x14ac:dyDescent="0.25">
      <c r="A84" s="13">
        <v>43435</v>
      </c>
      <c r="B84" s="14">
        <f>CHOOSE(CONTROL!$C$42, 5.8884, 5.8884) * CHOOSE(CONTROL!$C$21, $C$9, 100%, $E$9)</f>
        <v>5.8883999999999999</v>
      </c>
      <c r="C84" s="14">
        <f>CHOOSE(CONTROL!$C$42, 5.8934, 5.8934) * CHOOSE(CONTROL!$C$21, $C$9, 100%, $E$9)</f>
        <v>5.8933999999999997</v>
      </c>
      <c r="D84" s="14">
        <f>CHOOSE(CONTROL!$C$42, 5.9765, 5.9765) * CHOOSE(CONTROL!$C$21, $C$9, 100%, $E$9)</f>
        <v>5.9764999999999997</v>
      </c>
      <c r="E84" s="14">
        <f>CHOOSE(CONTROL!$C$42, 6.0106, 6.0106) * CHOOSE(CONTROL!$C$21, $C$9, 100%, $E$9)</f>
        <v>6.0106000000000002</v>
      </c>
      <c r="F84" s="14">
        <f>CHOOSE(CONTROL!$C$42, 5.9184, 5.9184)*CHOOSE(CONTROL!$C$21, $C$9, 100%, $E$9)</f>
        <v>5.9184000000000001</v>
      </c>
      <c r="G84" s="14">
        <f>CHOOSE(CONTROL!$C$42, 5.9364, 5.9364)*CHOOSE(CONTROL!$C$21, $C$9, 100%, $E$9)</f>
        <v>5.9363999999999999</v>
      </c>
      <c r="H84" s="14">
        <f>CHOOSE(CONTROL!$C$42, 5.9998, 5.9998) * CHOOSE(CONTROL!$C$21, $C$9, 100%, $E$9)</f>
        <v>5.9997999999999996</v>
      </c>
      <c r="I84" s="14">
        <f>CHOOSE(CONTROL!$C$42, 5.9264, 5.9264)* CHOOSE(CONTROL!$C$21, $C$9, 100%, $E$9)</f>
        <v>5.9264000000000001</v>
      </c>
      <c r="J84" s="14">
        <f>CHOOSE(CONTROL!$C$42, 5.9114, 5.9114)* CHOOSE(CONTROL!$C$21, $C$9, 100%, $E$9)</f>
        <v>5.9114000000000004</v>
      </c>
      <c r="K84" s="52">
        <f>CHOOSE(CONTROL!$C$42, 5.9225, 5.9225) * CHOOSE(CONTROL!$C$21, $C$9, 100%, $E$9)</f>
        <v>5.9225000000000003</v>
      </c>
      <c r="L84" s="14">
        <f>CHOOSE(CONTROL!$C$42, 6.5868, 6.5868) * CHOOSE(CONTROL!$C$21, $C$9, 100%, $E$9)</f>
        <v>6.5868000000000002</v>
      </c>
      <c r="M84" s="14">
        <f>CHOOSE(CONTROL!$C$42, 5.8128, 5.8128) * CHOOSE(CONTROL!$C$21, $C$9, 100%, $E$9)</f>
        <v>5.8128000000000002</v>
      </c>
      <c r="N84" s="14">
        <f>CHOOSE(CONTROL!$C$42, 5.8305, 5.8305) * CHOOSE(CONTROL!$C$21, $C$9, 100%, $E$9)</f>
        <v>5.8304999999999998</v>
      </c>
      <c r="O84" s="14">
        <f>CHOOSE(CONTROL!$C$42, 5.8996, 5.8996) * CHOOSE(CONTROL!$C$21, $C$9, 100%, $E$9)</f>
        <v>5.8996000000000004</v>
      </c>
      <c r="P84" s="14">
        <f>CHOOSE(CONTROL!$C$42, 5.8273, 5.8273) * CHOOSE(CONTROL!$C$21, $C$9, 100%, $E$9)</f>
        <v>5.8273000000000001</v>
      </c>
      <c r="Q84" s="14">
        <f>CHOOSE(CONTROL!$C$42, 6.4943, 6.4943) * CHOOSE(CONTROL!$C$21, $C$9, 100%, $E$9)</f>
        <v>6.4943</v>
      </c>
      <c r="R84" s="14">
        <f>CHOOSE(CONTROL!$C$42, 7.0975, 7.0975) * CHOOSE(CONTROL!$C$21, $C$9, 100%, $E$9)</f>
        <v>7.0975000000000001</v>
      </c>
      <c r="S84" s="14">
        <f>CHOOSE(CONTROL!$C$42, 5.6496, 5.6496) * CHOOSE(CONTROL!$C$21, $C$9, 100%, $E$9)</f>
        <v>5.6496000000000004</v>
      </c>
      <c r="T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4" s="56">
        <f>(1000*CHOOSE(CONTROL!$C$42, 695, 695)*CHOOSE(CONTROL!$C$42, 0.5599, 0.5599)*CHOOSE(CONTROL!$C$42, 31, 31))/1000000</f>
        <v>12.063045499999998</v>
      </c>
      <c r="V84" s="56">
        <f>(1000*CHOOSE(CONTROL!$C$42, 500, 500)*CHOOSE(CONTROL!$C$42, 0.275, 0.275)*CHOOSE(CONTROL!$C$42, 31, 31))/1000000</f>
        <v>4.2625000000000002</v>
      </c>
      <c r="W84" s="56">
        <f>(1000*CHOOSE(CONTROL!$C$42, 0.1146, 0.1146)*CHOOSE(CONTROL!$C$42, 121.5, 121.5)*CHOOSE(CONTROL!$C$42, 31, 31))/1000000</f>
        <v>0.43164089999999994</v>
      </c>
      <c r="X84" s="56">
        <f>(31*0.1790888*100000/1000000)+(31*0.2374*100000/1000000)</f>
        <v>1.2911152800000001</v>
      </c>
      <c r="Y84" s="56"/>
      <c r="Z84" s="14"/>
      <c r="AA84" s="55"/>
      <c r="AB84" s="49">
        <f>(B84*122.58+C84*297.941+D84*89.177+E84*40.302+F84*40+G84*160+H84*0+I84*100+J84*300)/(122.58+297.941+89.177+40.302+0+40+160+100+300)</f>
        <v>5.917835741826087</v>
      </c>
      <c r="AC84" s="45">
        <f>(M84*'RAP TEMPLATE-GAS AVAILABILITY'!O83+N84*'RAP TEMPLATE-GAS AVAILABILITY'!P83+O84*'RAP TEMPLATE-GAS AVAILABILITY'!Q83+P84*'RAP TEMPLATE-GAS AVAILABILITY'!R83)/('RAP TEMPLATE-GAS AVAILABILITY'!O83+'RAP TEMPLATE-GAS AVAILABILITY'!P83+'RAP TEMPLATE-GAS AVAILABILITY'!Q83+'RAP TEMPLATE-GAS AVAILABILITY'!R83)</f>
        <v>5.8552460431654678</v>
      </c>
    </row>
    <row r="85" spans="1:29" ht="15.75" x14ac:dyDescent="0.25">
      <c r="A85" s="13">
        <v>43466</v>
      </c>
      <c r="B85" s="14">
        <f>CHOOSE(CONTROL!$C$42, 6.5617, 6.5617) * CHOOSE(CONTROL!$C$21, $C$9, 100%, $E$9)</f>
        <v>6.5617000000000001</v>
      </c>
      <c r="C85" s="14">
        <f>CHOOSE(CONTROL!$C$42, 6.5667, 6.5667) * CHOOSE(CONTROL!$C$21, $C$9, 100%, $E$9)</f>
        <v>6.5667</v>
      </c>
      <c r="D85" s="14">
        <f>CHOOSE(CONTROL!$C$42, 6.6602, 6.6602) * CHOOSE(CONTROL!$C$21, $C$9, 100%, $E$9)</f>
        <v>6.6601999999999997</v>
      </c>
      <c r="E85" s="14">
        <f>CHOOSE(CONTROL!$C$42, 6.6943, 6.6943) * CHOOSE(CONTROL!$C$21, $C$9, 100%, $E$9)</f>
        <v>6.6943000000000001</v>
      </c>
      <c r="F85" s="14">
        <f>CHOOSE(CONTROL!$C$42, 6.589, 6.589)*CHOOSE(CONTROL!$C$21, $C$9, 100%, $E$9)</f>
        <v>6.5890000000000004</v>
      </c>
      <c r="G85" s="14">
        <f>CHOOSE(CONTROL!$C$42, 6.6069, 6.6069)*CHOOSE(CONTROL!$C$21, $C$9, 100%, $E$9)</f>
        <v>6.6069000000000004</v>
      </c>
      <c r="H85" s="14">
        <f>CHOOSE(CONTROL!$C$42, 6.6835, 6.6835) * CHOOSE(CONTROL!$C$21, $C$9, 100%, $E$9)</f>
        <v>6.6835000000000004</v>
      </c>
      <c r="I85" s="14">
        <f>CHOOSE(CONTROL!$C$42, 6.6081, 6.6081)* CHOOSE(CONTROL!$C$21, $C$9, 100%, $E$9)</f>
        <v>6.6081000000000003</v>
      </c>
      <c r="J85" s="14">
        <f>CHOOSE(CONTROL!$C$42, 6.582, 6.582)* CHOOSE(CONTROL!$C$21, $C$9, 100%, $E$9)</f>
        <v>6.5819999999999999</v>
      </c>
      <c r="K85" s="52">
        <f>CHOOSE(CONTROL!$C$42, 6.6042, 6.6042) * CHOOSE(CONTROL!$C$21, $C$9, 100%, $E$9)</f>
        <v>6.6041999999999996</v>
      </c>
      <c r="L85" s="14">
        <f>CHOOSE(CONTROL!$C$42, 7.2705, 7.2705) * CHOOSE(CONTROL!$C$21, $C$9, 100%, $E$9)</f>
        <v>7.2705000000000002</v>
      </c>
      <c r="M85" s="14">
        <f>CHOOSE(CONTROL!$C$42, 6.4713, 6.4713) * CHOOSE(CONTROL!$C$21, $C$9, 100%, $E$9)</f>
        <v>6.4713000000000003</v>
      </c>
      <c r="N85" s="14">
        <f>CHOOSE(CONTROL!$C$42, 6.4889, 6.4889) * CHOOSE(CONTROL!$C$21, $C$9, 100%, $E$9)</f>
        <v>6.4889000000000001</v>
      </c>
      <c r="O85" s="14">
        <f>CHOOSE(CONTROL!$C$42, 6.571, 6.571) * CHOOSE(CONTROL!$C$21, $C$9, 100%, $E$9)</f>
        <v>6.5709999999999997</v>
      </c>
      <c r="P85" s="14">
        <f>CHOOSE(CONTROL!$C$42, 6.4967, 6.4967) * CHOOSE(CONTROL!$C$21, $C$9, 100%, $E$9)</f>
        <v>6.4966999999999997</v>
      </c>
      <c r="Q85" s="14">
        <f>CHOOSE(CONTROL!$C$42, 7.1657, 7.1657) * CHOOSE(CONTROL!$C$21, $C$9, 100%, $E$9)</f>
        <v>7.1657000000000002</v>
      </c>
      <c r="R85" s="14">
        <f>CHOOSE(CONTROL!$C$42, 7.7706, 7.7706) * CHOOSE(CONTROL!$C$21, $C$9, 100%, $E$9)</f>
        <v>7.7706</v>
      </c>
      <c r="S85" s="14">
        <f>CHOOSE(CONTROL!$C$42, 6.2966, 6.2966) * CHOOSE(CONTROL!$C$21, $C$9, 100%, $E$9)</f>
        <v>6.2965999999999998</v>
      </c>
      <c r="T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5" s="56">
        <f>(1000*CHOOSE(CONTROL!$C$42, 695, 695)*CHOOSE(CONTROL!$C$42, 0.5599, 0.5599)*CHOOSE(CONTROL!$C$42, 31, 31))/1000000</f>
        <v>12.063045499999998</v>
      </c>
      <c r="V85" s="56">
        <f>(1000*CHOOSE(CONTROL!$C$42, 500, 500)*CHOOSE(CONTROL!$C$42, 0.275, 0.275)*CHOOSE(CONTROL!$C$42, 31, 31))/1000000</f>
        <v>4.2625000000000002</v>
      </c>
      <c r="W85" s="56">
        <f>(1000*CHOOSE(CONTROL!$C$42, 0.1146, 0.1146)*CHOOSE(CONTROL!$C$42, 121.5, 121.5)*CHOOSE(CONTROL!$C$42, 31, 31))/1000000</f>
        <v>0.43164089999999994</v>
      </c>
      <c r="X85" s="56">
        <f>(31*0.1790888*100000/1000000)+(31*0.2374*100000/1000000)</f>
        <v>1.2911152800000001</v>
      </c>
      <c r="Y85" s="56"/>
      <c r="Z85" s="14"/>
      <c r="AA85" s="55"/>
      <c r="AB85" s="49">
        <f>(B85*122.58+C85*297.941+D85*89.177+E85*40.302+F85*40+G85*160+H85*0+I85*100+J85*300)/(122.58+297.941+89.177+40.302+0+40+160+100+300)</f>
        <v>6.5918492910434789</v>
      </c>
      <c r="AC85" s="45">
        <f>(M85*'RAP TEMPLATE-GAS AVAILABILITY'!O84+N85*'RAP TEMPLATE-GAS AVAILABILITY'!P84+O85*'RAP TEMPLATE-GAS AVAILABILITY'!Q84+P85*'RAP TEMPLATE-GAS AVAILABILITY'!R84)/('RAP TEMPLATE-GAS AVAILABILITY'!O84+'RAP TEMPLATE-GAS AVAILABILITY'!P84+'RAP TEMPLATE-GAS AVAILABILITY'!Q84+'RAP TEMPLATE-GAS AVAILABILITY'!R84)</f>
        <v>6.5211553956834525</v>
      </c>
    </row>
    <row r="86" spans="1:29" ht="15.75" x14ac:dyDescent="0.25">
      <c r="A86" s="13">
        <v>43497</v>
      </c>
      <c r="B86" s="14">
        <f>CHOOSE(CONTROL!$C$42, 6.692, 6.692) * CHOOSE(CONTROL!$C$21, $C$9, 100%, $E$9)</f>
        <v>6.6920000000000002</v>
      </c>
      <c r="C86" s="14">
        <f>CHOOSE(CONTROL!$C$42, 6.6971, 6.6971) * CHOOSE(CONTROL!$C$21, $C$9, 100%, $E$9)</f>
        <v>6.6970999999999998</v>
      </c>
      <c r="D86" s="14">
        <f>CHOOSE(CONTROL!$C$42, 6.7906, 6.7906) * CHOOSE(CONTROL!$C$21, $C$9, 100%, $E$9)</f>
        <v>6.7906000000000004</v>
      </c>
      <c r="E86" s="14">
        <f>CHOOSE(CONTROL!$C$42, 6.8247, 6.8247) * CHOOSE(CONTROL!$C$21, $C$9, 100%, $E$9)</f>
        <v>6.8247</v>
      </c>
      <c r="F86" s="14">
        <f>CHOOSE(CONTROL!$C$42, 6.719, 6.719)*CHOOSE(CONTROL!$C$21, $C$9, 100%, $E$9)</f>
        <v>6.7190000000000003</v>
      </c>
      <c r="G86" s="14">
        <f>CHOOSE(CONTROL!$C$42, 6.7369, 6.7369)*CHOOSE(CONTROL!$C$21, $C$9, 100%, $E$9)</f>
        <v>6.7369000000000003</v>
      </c>
      <c r="H86" s="14">
        <f>CHOOSE(CONTROL!$C$42, 6.8139, 6.8139) * CHOOSE(CONTROL!$C$21, $C$9, 100%, $E$9)</f>
        <v>6.8139000000000003</v>
      </c>
      <c r="I86" s="14">
        <f>CHOOSE(CONTROL!$C$42, 6.7389, 6.7389)* CHOOSE(CONTROL!$C$21, $C$9, 100%, $E$9)</f>
        <v>6.7389000000000001</v>
      </c>
      <c r="J86" s="14">
        <f>CHOOSE(CONTROL!$C$42, 6.712, 6.712)* CHOOSE(CONTROL!$C$21, $C$9, 100%, $E$9)</f>
        <v>6.7119999999999997</v>
      </c>
      <c r="K86" s="52">
        <f>CHOOSE(CONTROL!$C$42, 6.735, 6.735) * CHOOSE(CONTROL!$C$21, $C$9, 100%, $E$9)</f>
        <v>6.7350000000000003</v>
      </c>
      <c r="L86" s="14">
        <f>CHOOSE(CONTROL!$C$42, 7.4009, 7.4009) * CHOOSE(CONTROL!$C$21, $C$9, 100%, $E$9)</f>
        <v>7.4009</v>
      </c>
      <c r="M86" s="14">
        <f>CHOOSE(CONTROL!$C$42, 6.599, 6.599) * CHOOSE(CONTROL!$C$21, $C$9, 100%, $E$9)</f>
        <v>6.5990000000000002</v>
      </c>
      <c r="N86" s="14">
        <f>CHOOSE(CONTROL!$C$42, 6.6165, 6.6165) * CHOOSE(CONTROL!$C$21, $C$9, 100%, $E$9)</f>
        <v>6.6165000000000003</v>
      </c>
      <c r="O86" s="14">
        <f>CHOOSE(CONTROL!$C$42, 6.699, 6.699) * CHOOSE(CONTROL!$C$21, $C$9, 100%, $E$9)</f>
        <v>6.6989999999999998</v>
      </c>
      <c r="P86" s="14">
        <f>CHOOSE(CONTROL!$C$42, 6.6251, 6.6251) * CHOOSE(CONTROL!$C$21, $C$9, 100%, $E$9)</f>
        <v>6.6250999999999998</v>
      </c>
      <c r="Q86" s="14">
        <f>CHOOSE(CONTROL!$C$42, 7.2937, 7.2937) * CHOOSE(CONTROL!$C$21, $C$9, 100%, $E$9)</f>
        <v>7.2937000000000003</v>
      </c>
      <c r="R86" s="14">
        <f>CHOOSE(CONTROL!$C$42, 7.899, 7.899) * CHOOSE(CONTROL!$C$21, $C$9, 100%, $E$9)</f>
        <v>7.899</v>
      </c>
      <c r="S86" s="14">
        <f>CHOOSE(CONTROL!$C$42, 6.4218, 6.4218) * CHOOSE(CONTROL!$C$21, $C$9, 100%, $E$9)</f>
        <v>6.4218000000000002</v>
      </c>
      <c r="T8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6" s="56">
        <f>(1000*CHOOSE(CONTROL!$C$42, 695, 695)*CHOOSE(CONTROL!$C$42, 0.5599, 0.5599)*CHOOSE(CONTROL!$C$42, 28, 28))/1000000</f>
        <v>10.895653999999999</v>
      </c>
      <c r="V86" s="56">
        <f>(1000*CHOOSE(CONTROL!$C$42, 500, 500)*CHOOSE(CONTROL!$C$42, 0.275, 0.275)*CHOOSE(CONTROL!$C$42, 28, 28))/1000000</f>
        <v>3.85</v>
      </c>
      <c r="W86" s="56">
        <f>(1000*CHOOSE(CONTROL!$C$42, 0.1146, 0.1146)*CHOOSE(CONTROL!$C$42, 121.5, 121.5)*CHOOSE(CONTROL!$C$42, 28, 28))/1000000</f>
        <v>0.38986920000000003</v>
      </c>
      <c r="X86" s="56">
        <f>(28*0.1790888*100000/1000000)+(28*0.2374*100000/1000000)</f>
        <v>1.16616864</v>
      </c>
      <c r="Y86" s="56"/>
      <c r="Z86" s="14"/>
      <c r="AA86" s="55"/>
      <c r="AB86" s="49">
        <f>(B86*122.58+C86*297.941+D86*89.177+E86*40.302+F86*40+G86*160+H86*0+I86*100+J86*300)/(122.58+297.941+89.177+40.302+0+40+160+100+300)</f>
        <v>6.7220995014782599</v>
      </c>
      <c r="AC86" s="45">
        <f>(M86*'RAP TEMPLATE-GAS AVAILABILITY'!O85+N86*'RAP TEMPLATE-GAS AVAILABILITY'!P85+O86*'RAP TEMPLATE-GAS AVAILABILITY'!Q85+P86*'RAP TEMPLATE-GAS AVAILABILITY'!R85)/('RAP TEMPLATE-GAS AVAILABILITY'!O85+'RAP TEMPLATE-GAS AVAILABILITY'!P85+'RAP TEMPLATE-GAS AVAILABILITY'!Q85+'RAP TEMPLATE-GAS AVAILABILITY'!R85)</f>
        <v>6.6490863309352513</v>
      </c>
    </row>
    <row r="87" spans="1:29" ht="15.75" x14ac:dyDescent="0.25">
      <c r="A87" s="13">
        <v>43525</v>
      </c>
      <c r="B87" s="14">
        <f>CHOOSE(CONTROL!$C$42, 6.5157, 6.5157) * CHOOSE(CONTROL!$C$21, $C$9, 100%, $E$9)</f>
        <v>6.5156999999999998</v>
      </c>
      <c r="C87" s="14">
        <f>CHOOSE(CONTROL!$C$42, 6.5208, 6.5208) * CHOOSE(CONTROL!$C$21, $C$9, 100%, $E$9)</f>
        <v>6.5208000000000004</v>
      </c>
      <c r="D87" s="14">
        <f>CHOOSE(CONTROL!$C$42, 6.6142, 6.6142) * CHOOSE(CONTROL!$C$21, $C$9, 100%, $E$9)</f>
        <v>6.6142000000000003</v>
      </c>
      <c r="E87" s="14">
        <f>CHOOSE(CONTROL!$C$42, 6.6483, 6.6483) * CHOOSE(CONTROL!$C$21, $C$9, 100%, $E$9)</f>
        <v>6.6482999999999999</v>
      </c>
      <c r="F87" s="14">
        <f>CHOOSE(CONTROL!$C$42, 6.5418, 6.5418)*CHOOSE(CONTROL!$C$21, $C$9, 100%, $E$9)</f>
        <v>6.5418000000000003</v>
      </c>
      <c r="G87" s="14">
        <f>CHOOSE(CONTROL!$C$42, 6.5594, 6.5594)*CHOOSE(CONTROL!$C$21, $C$9, 100%, $E$9)</f>
        <v>6.5594000000000001</v>
      </c>
      <c r="H87" s="14">
        <f>CHOOSE(CONTROL!$C$42, 6.6375, 6.6375) * CHOOSE(CONTROL!$C$21, $C$9, 100%, $E$9)</f>
        <v>6.6375000000000002</v>
      </c>
      <c r="I87" s="14">
        <f>CHOOSE(CONTROL!$C$42, 6.562, 6.562)* CHOOSE(CONTROL!$C$21, $C$9, 100%, $E$9)</f>
        <v>6.5620000000000003</v>
      </c>
      <c r="J87" s="14">
        <f>CHOOSE(CONTROL!$C$42, 6.5348, 6.5348)* CHOOSE(CONTROL!$C$21, $C$9, 100%, $E$9)</f>
        <v>6.5347999999999997</v>
      </c>
      <c r="K87" s="52">
        <f>CHOOSE(CONTROL!$C$42, 6.5581, 6.5581) * CHOOSE(CONTROL!$C$21, $C$9, 100%, $E$9)</f>
        <v>6.5580999999999996</v>
      </c>
      <c r="L87" s="14">
        <f>CHOOSE(CONTROL!$C$42, 7.2245, 7.2245) * CHOOSE(CONTROL!$C$21, $C$9, 100%, $E$9)</f>
        <v>7.2244999999999999</v>
      </c>
      <c r="M87" s="14">
        <f>CHOOSE(CONTROL!$C$42, 6.4249, 6.4249) * CHOOSE(CONTROL!$C$21, $C$9, 100%, $E$9)</f>
        <v>6.4249000000000001</v>
      </c>
      <c r="N87" s="14">
        <f>CHOOSE(CONTROL!$C$42, 6.4423, 6.4423) * CHOOSE(CONTROL!$C$21, $C$9, 100%, $E$9)</f>
        <v>6.4423000000000004</v>
      </c>
      <c r="O87" s="14">
        <f>CHOOSE(CONTROL!$C$42, 6.5258, 6.5258) * CHOOSE(CONTROL!$C$21, $C$9, 100%, $E$9)</f>
        <v>6.5258000000000003</v>
      </c>
      <c r="P87" s="14">
        <f>CHOOSE(CONTROL!$C$42, 6.4514, 6.4514) * CHOOSE(CONTROL!$C$21, $C$9, 100%, $E$9)</f>
        <v>6.4513999999999996</v>
      </c>
      <c r="Q87" s="14">
        <f>CHOOSE(CONTROL!$C$42, 7.1205, 7.1205) * CHOOSE(CONTROL!$C$21, $C$9, 100%, $E$9)</f>
        <v>7.1204999999999998</v>
      </c>
      <c r="R87" s="14">
        <f>CHOOSE(CONTROL!$C$42, 7.7253, 7.7253) * CHOOSE(CONTROL!$C$21, $C$9, 100%, $E$9)</f>
        <v>7.7252999999999998</v>
      </c>
      <c r="S87" s="14">
        <f>CHOOSE(CONTROL!$C$42, 6.2524, 6.2524) * CHOOSE(CONTROL!$C$21, $C$9, 100%, $E$9)</f>
        <v>6.2523999999999997</v>
      </c>
      <c r="T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7" s="56">
        <f>(1000*CHOOSE(CONTROL!$C$42, 695, 695)*CHOOSE(CONTROL!$C$42, 0.5599, 0.5599)*CHOOSE(CONTROL!$C$42, 31, 31))/1000000</f>
        <v>12.063045499999998</v>
      </c>
      <c r="V87" s="56">
        <f>(1000*CHOOSE(CONTROL!$C$42, 500, 500)*CHOOSE(CONTROL!$C$42, 0.275, 0.275)*CHOOSE(CONTROL!$C$42, 31, 31))/1000000</f>
        <v>4.2625000000000002</v>
      </c>
      <c r="W87" s="56">
        <f>(1000*CHOOSE(CONTROL!$C$42, 0.1146, 0.1146)*CHOOSE(CONTROL!$C$42, 121.5, 121.5)*CHOOSE(CONTROL!$C$42, 31, 31))/1000000</f>
        <v>0.43164089999999994</v>
      </c>
      <c r="X87" s="56">
        <f>(31*0.1790888*100000/1000000)+(31*0.2374*100000/1000000)</f>
        <v>1.2911152800000001</v>
      </c>
      <c r="Y87" s="56"/>
      <c r="Z87" s="14"/>
      <c r="AA87" s="55"/>
      <c r="AB87" s="49">
        <f>(B87*122.58+C87*297.941+D87*89.177+E87*40.302+F87*40+G87*160+H87*0+I87*100+J87*300)/(122.58+297.941+89.177+40.302+0+40+160+100+300)</f>
        <v>6.5453030250434772</v>
      </c>
      <c r="AC87" s="45">
        <f>(M87*'RAP TEMPLATE-GAS AVAILABILITY'!O86+N87*'RAP TEMPLATE-GAS AVAILABILITY'!P86+O87*'RAP TEMPLATE-GAS AVAILABILITY'!Q86+P87*'RAP TEMPLATE-GAS AVAILABILITY'!R86)/('RAP TEMPLATE-GAS AVAILABILITY'!O86+'RAP TEMPLATE-GAS AVAILABILITY'!P86+'RAP TEMPLATE-GAS AVAILABILITY'!Q86+'RAP TEMPLATE-GAS AVAILABILITY'!R86)</f>
        <v>6.4754460431654683</v>
      </c>
    </row>
    <row r="88" spans="1:29" ht="15.75" x14ac:dyDescent="0.25">
      <c r="A88" s="13">
        <v>43556</v>
      </c>
      <c r="B88" s="14">
        <f>CHOOSE(CONTROL!$C$42, 6.5106, 6.5106) * CHOOSE(CONTROL!$C$21, $C$9, 100%, $E$9)</f>
        <v>6.5106000000000002</v>
      </c>
      <c r="C88" s="14">
        <f>CHOOSE(CONTROL!$C$42, 6.5151, 6.5151) * CHOOSE(CONTROL!$C$21, $C$9, 100%, $E$9)</f>
        <v>6.5151000000000003</v>
      </c>
      <c r="D88" s="14">
        <f>CHOOSE(CONTROL!$C$42, 6.7773, 6.7773) * CHOOSE(CONTROL!$C$21, $C$9, 100%, $E$9)</f>
        <v>6.7773000000000003</v>
      </c>
      <c r="E88" s="14">
        <f>CHOOSE(CONTROL!$C$42, 6.8094, 6.8094) * CHOOSE(CONTROL!$C$21, $C$9, 100%, $E$9)</f>
        <v>6.8094000000000001</v>
      </c>
      <c r="F88" s="14">
        <f>CHOOSE(CONTROL!$C$42, 6.5334, 6.5334)*CHOOSE(CONTROL!$C$21, $C$9, 100%, $E$9)</f>
        <v>6.5334000000000003</v>
      </c>
      <c r="G88" s="14">
        <f>CHOOSE(CONTROL!$C$42, 6.5501, 6.5501)*CHOOSE(CONTROL!$C$21, $C$9, 100%, $E$9)</f>
        <v>6.5500999999999996</v>
      </c>
      <c r="H88" s="14">
        <f>CHOOSE(CONTROL!$C$42, 6.7992, 6.7992) * CHOOSE(CONTROL!$C$21, $C$9, 100%, $E$9)</f>
        <v>6.7991999999999999</v>
      </c>
      <c r="I88" s="14">
        <f>CHOOSE(CONTROL!$C$42, 6.5535, 6.5535)* CHOOSE(CONTROL!$C$21, $C$9, 100%, $E$9)</f>
        <v>6.5534999999999997</v>
      </c>
      <c r="J88" s="14">
        <f>CHOOSE(CONTROL!$C$42, 6.5264, 6.5264)* CHOOSE(CONTROL!$C$21, $C$9, 100%, $E$9)</f>
        <v>6.5263999999999998</v>
      </c>
      <c r="K88" s="52">
        <f>CHOOSE(CONTROL!$C$42, 6.5496, 6.5496) * CHOOSE(CONTROL!$C$21, $C$9, 100%, $E$9)</f>
        <v>6.5495999999999999</v>
      </c>
      <c r="L88" s="14">
        <f>CHOOSE(CONTROL!$C$42, 7.3862, 7.3862) * CHOOSE(CONTROL!$C$21, $C$9, 100%, $E$9)</f>
        <v>7.3861999999999997</v>
      </c>
      <c r="M88" s="14">
        <f>CHOOSE(CONTROL!$C$42, 6.4167, 6.4167) * CHOOSE(CONTROL!$C$21, $C$9, 100%, $E$9)</f>
        <v>6.4166999999999996</v>
      </c>
      <c r="N88" s="14">
        <f>CHOOSE(CONTROL!$C$42, 6.4331, 6.4331) * CHOOSE(CONTROL!$C$21, $C$9, 100%, $E$9)</f>
        <v>6.4330999999999996</v>
      </c>
      <c r="O88" s="14">
        <f>CHOOSE(CONTROL!$C$42, 6.6846, 6.6846) * CHOOSE(CONTROL!$C$21, $C$9, 100%, $E$9)</f>
        <v>6.6845999999999997</v>
      </c>
      <c r="P88" s="14">
        <f>CHOOSE(CONTROL!$C$42, 6.443, 6.443) * CHOOSE(CONTROL!$C$21, $C$9, 100%, $E$9)</f>
        <v>6.4429999999999996</v>
      </c>
      <c r="Q88" s="14">
        <f>CHOOSE(CONTROL!$C$42, 7.2793, 7.2793) * CHOOSE(CONTROL!$C$21, $C$9, 100%, $E$9)</f>
        <v>7.2793000000000001</v>
      </c>
      <c r="R88" s="14">
        <f>CHOOSE(CONTROL!$C$42, 7.8845, 7.8845) * CHOOSE(CONTROL!$C$21, $C$9, 100%, $E$9)</f>
        <v>7.8845000000000001</v>
      </c>
      <c r="S88" s="14">
        <f>CHOOSE(CONTROL!$C$42, 6.2467, 6.2467) * CHOOSE(CONTROL!$C$21, $C$9, 100%, $E$9)</f>
        <v>6.2466999999999997</v>
      </c>
      <c r="T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8" s="56">
        <f>(1000*CHOOSE(CONTROL!$C$42, 695, 695)*CHOOSE(CONTROL!$C$42, 0.5599, 0.5599)*CHOOSE(CONTROL!$C$42, 30, 30))/1000000</f>
        <v>11.673914999999997</v>
      </c>
      <c r="V88" s="56">
        <f>(1000*CHOOSE(CONTROL!$C$42, 500, 500)*CHOOSE(CONTROL!$C$42, 0.275, 0.275)*CHOOSE(CONTROL!$C$42, 30, 30))/1000000</f>
        <v>4.125</v>
      </c>
      <c r="W88" s="56">
        <f>(1000*CHOOSE(CONTROL!$C$42, 0.1146, 0.1146)*CHOOSE(CONTROL!$C$42, 121.5, 121.5)*CHOOSE(CONTROL!$C$42, 30, 30))/1000000</f>
        <v>0.417717</v>
      </c>
      <c r="X88" s="56">
        <f>(30*0.1790888*245000/1000000)+(30*0.2374*100000/1000000)</f>
        <v>2.0285026799999999</v>
      </c>
      <c r="Y88" s="56"/>
      <c r="Z88" s="14"/>
      <c r="AA88" s="55"/>
      <c r="AB88" s="49">
        <f>(B88*141.293+C88*267.993+D88*115.016+E88*89.698+F88*40+G88*185+H88*0+I88*100+J88*300)/(141.293+267.993+115.016+89.698+0+40+185+100+300)</f>
        <v>6.5718849056497168</v>
      </c>
      <c r="AC88" s="45">
        <f>(M88*'RAP TEMPLATE-GAS AVAILABILITY'!O87+N88*'RAP TEMPLATE-GAS AVAILABILITY'!P87+O88*'RAP TEMPLATE-GAS AVAILABILITY'!Q87+P88*'RAP TEMPLATE-GAS AVAILABILITY'!R87)/('RAP TEMPLATE-GAS AVAILABILITY'!O87+'RAP TEMPLATE-GAS AVAILABILITY'!P87+'RAP TEMPLATE-GAS AVAILABILITY'!Q87+'RAP TEMPLATE-GAS AVAILABILITY'!R87)</f>
        <v>6.4994258992805749</v>
      </c>
    </row>
    <row r="89" spans="1:29" ht="15.75" x14ac:dyDescent="0.25">
      <c r="A89" s="13">
        <v>43586</v>
      </c>
      <c r="B89" s="14">
        <f>CHOOSE(CONTROL!$C$42, 6.5829, 6.5829) * CHOOSE(CONTROL!$C$21, $C$9, 100%, $E$9)</f>
        <v>6.5829000000000004</v>
      </c>
      <c r="C89" s="14">
        <f>CHOOSE(CONTROL!$C$42, 6.5909, 6.5909) * CHOOSE(CONTROL!$C$21, $C$9, 100%, $E$9)</f>
        <v>6.5909000000000004</v>
      </c>
      <c r="D89" s="14">
        <f>CHOOSE(CONTROL!$C$42, 6.85, 6.85) * CHOOSE(CONTROL!$C$21, $C$9, 100%, $E$9)</f>
        <v>6.85</v>
      </c>
      <c r="E89" s="14">
        <f>CHOOSE(CONTROL!$C$42, 6.8814, 6.8814) * CHOOSE(CONTROL!$C$21, $C$9, 100%, $E$9)</f>
        <v>6.8814000000000002</v>
      </c>
      <c r="F89" s="14">
        <f>CHOOSE(CONTROL!$C$42, 6.6044, 6.6044)*CHOOSE(CONTROL!$C$21, $C$9, 100%, $E$9)</f>
        <v>6.6044</v>
      </c>
      <c r="G89" s="14">
        <f>CHOOSE(CONTROL!$C$42, 6.6214, 6.6214)*CHOOSE(CONTROL!$C$21, $C$9, 100%, $E$9)</f>
        <v>6.6214000000000004</v>
      </c>
      <c r="H89" s="14">
        <f>CHOOSE(CONTROL!$C$42, 6.8701, 6.8701) * CHOOSE(CONTROL!$C$21, $C$9, 100%, $E$9)</f>
        <v>6.8700999999999999</v>
      </c>
      <c r="I89" s="14">
        <f>CHOOSE(CONTROL!$C$42, 6.6246, 6.6246)* CHOOSE(CONTROL!$C$21, $C$9, 100%, $E$9)</f>
        <v>6.6246</v>
      </c>
      <c r="J89" s="14">
        <f>CHOOSE(CONTROL!$C$42, 6.5974, 6.5974)* CHOOSE(CONTROL!$C$21, $C$9, 100%, $E$9)</f>
        <v>6.5974000000000004</v>
      </c>
      <c r="K89" s="52">
        <f>CHOOSE(CONTROL!$C$42, 6.6207, 6.6207) * CHOOSE(CONTROL!$C$21, $C$9, 100%, $E$9)</f>
        <v>6.6207000000000003</v>
      </c>
      <c r="L89" s="14">
        <f>CHOOSE(CONTROL!$C$42, 7.4571, 7.4571) * CHOOSE(CONTROL!$C$21, $C$9, 100%, $E$9)</f>
        <v>7.4570999999999996</v>
      </c>
      <c r="M89" s="14">
        <f>CHOOSE(CONTROL!$C$42, 6.4864, 6.4864) * CHOOSE(CONTROL!$C$21, $C$9, 100%, $E$9)</f>
        <v>6.4863999999999997</v>
      </c>
      <c r="N89" s="14">
        <f>CHOOSE(CONTROL!$C$42, 6.5031, 6.5031) * CHOOSE(CONTROL!$C$21, $C$9, 100%, $E$9)</f>
        <v>6.5030999999999999</v>
      </c>
      <c r="O89" s="14">
        <f>CHOOSE(CONTROL!$C$42, 6.7542, 6.7542) * CHOOSE(CONTROL!$C$21, $C$9, 100%, $E$9)</f>
        <v>6.7542</v>
      </c>
      <c r="P89" s="14">
        <f>CHOOSE(CONTROL!$C$42, 6.5128, 6.5128) * CHOOSE(CONTROL!$C$21, $C$9, 100%, $E$9)</f>
        <v>6.5128000000000004</v>
      </c>
      <c r="Q89" s="14">
        <f>CHOOSE(CONTROL!$C$42, 7.3489, 7.3489) * CHOOSE(CONTROL!$C$21, $C$9, 100%, $E$9)</f>
        <v>7.3489000000000004</v>
      </c>
      <c r="R89" s="14">
        <f>CHOOSE(CONTROL!$C$42, 7.9543, 7.9543) * CHOOSE(CONTROL!$C$21, $C$9, 100%, $E$9)</f>
        <v>7.9542999999999999</v>
      </c>
      <c r="S89" s="14">
        <f>CHOOSE(CONTROL!$C$42, 6.3148, 6.3148) * CHOOSE(CONTROL!$C$21, $C$9, 100%, $E$9)</f>
        <v>6.3148</v>
      </c>
      <c r="T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9" s="56">
        <f>(1000*CHOOSE(CONTROL!$C$42, 695, 695)*CHOOSE(CONTROL!$C$42, 0.5599, 0.5599)*CHOOSE(CONTROL!$C$42, 31, 31))/1000000</f>
        <v>12.063045499999998</v>
      </c>
      <c r="V89" s="56">
        <f>(1000*CHOOSE(CONTROL!$C$42, 500, 500)*CHOOSE(CONTROL!$C$42, 0.275, 0.275)*CHOOSE(CONTROL!$C$42, 31, 31))/1000000</f>
        <v>4.2625000000000002</v>
      </c>
      <c r="W89" s="56">
        <f>(1000*CHOOSE(CONTROL!$C$42, 0.1146, 0.1146)*CHOOSE(CONTROL!$C$42, 121.5, 121.5)*CHOOSE(CONTROL!$C$42, 31, 31))/1000000</f>
        <v>0.43164089999999994</v>
      </c>
      <c r="X89" s="56">
        <f>(31*0.1790888*245000/1000000)+(31*0.2374*100000/1000000)</f>
        <v>2.0961194359999999</v>
      </c>
      <c r="Y89" s="56"/>
      <c r="Z89" s="14"/>
      <c r="AA89" s="55"/>
      <c r="AB89" s="49">
        <f>(B89*194.205+C89*267.466+D89*133.845+E89*53.484+F89*40+G89*185+H89*0+I89*100+J89*300)/(194.205+267.466+133.845+53.484+0+40+185+100+300)</f>
        <v>6.6381254328885397</v>
      </c>
      <c r="AC89" s="45">
        <f>(M89*'RAP TEMPLATE-GAS AVAILABILITY'!O88+N89*'RAP TEMPLATE-GAS AVAILABILITY'!P88+O89*'RAP TEMPLATE-GAS AVAILABILITY'!Q88+P89*'RAP TEMPLATE-GAS AVAILABILITY'!R88)/('RAP TEMPLATE-GAS AVAILABILITY'!O88+'RAP TEMPLATE-GAS AVAILABILITY'!P88+'RAP TEMPLATE-GAS AVAILABILITY'!Q88+'RAP TEMPLATE-GAS AVAILABILITY'!R88)</f>
        <v>6.5691812949640287</v>
      </c>
    </row>
    <row r="90" spans="1:29" ht="15.75" x14ac:dyDescent="0.25">
      <c r="A90" s="13">
        <v>43617</v>
      </c>
      <c r="B90" s="14">
        <f>CHOOSE(CONTROL!$C$42, 6.7832, 6.7832) * CHOOSE(CONTROL!$C$21, $C$9, 100%, $E$9)</f>
        <v>6.7831999999999999</v>
      </c>
      <c r="C90" s="14">
        <f>CHOOSE(CONTROL!$C$42, 6.7912, 6.7912) * CHOOSE(CONTROL!$C$21, $C$9, 100%, $E$9)</f>
        <v>6.7911999999999999</v>
      </c>
      <c r="D90" s="14">
        <f>CHOOSE(CONTROL!$C$42, 7.0503, 7.0503) * CHOOSE(CONTROL!$C$21, $C$9, 100%, $E$9)</f>
        <v>7.0503</v>
      </c>
      <c r="E90" s="14">
        <f>CHOOSE(CONTROL!$C$42, 7.0818, 7.0818) * CHOOSE(CONTROL!$C$21, $C$9, 100%, $E$9)</f>
        <v>7.0818000000000003</v>
      </c>
      <c r="F90" s="14">
        <f>CHOOSE(CONTROL!$C$42, 6.805, 6.805)*CHOOSE(CONTROL!$C$21, $C$9, 100%, $E$9)</f>
        <v>6.8049999999999997</v>
      </c>
      <c r="G90" s="14">
        <f>CHOOSE(CONTROL!$C$42, 6.822, 6.822)*CHOOSE(CONTROL!$C$21, $C$9, 100%, $E$9)</f>
        <v>6.8220000000000001</v>
      </c>
      <c r="H90" s="14">
        <f>CHOOSE(CONTROL!$C$42, 7.0704, 7.0704) * CHOOSE(CONTROL!$C$21, $C$9, 100%, $E$9)</f>
        <v>7.0704000000000002</v>
      </c>
      <c r="I90" s="14">
        <f>CHOOSE(CONTROL!$C$42, 6.8255, 6.8255)* CHOOSE(CONTROL!$C$21, $C$9, 100%, $E$9)</f>
        <v>6.8254999999999999</v>
      </c>
      <c r="J90" s="14">
        <f>CHOOSE(CONTROL!$C$42, 6.798, 6.798)* CHOOSE(CONTROL!$C$21, $C$9, 100%, $E$9)</f>
        <v>6.798</v>
      </c>
      <c r="K90" s="52">
        <f>CHOOSE(CONTROL!$C$42, 6.8216, 6.8216) * CHOOSE(CONTROL!$C$21, $C$9, 100%, $E$9)</f>
        <v>6.8216000000000001</v>
      </c>
      <c r="L90" s="14">
        <f>CHOOSE(CONTROL!$C$42, 7.6574, 7.6574) * CHOOSE(CONTROL!$C$21, $C$9, 100%, $E$9)</f>
        <v>7.6574</v>
      </c>
      <c r="M90" s="14">
        <f>CHOOSE(CONTROL!$C$42, 6.6834, 6.6834) * CHOOSE(CONTROL!$C$21, $C$9, 100%, $E$9)</f>
        <v>6.6833999999999998</v>
      </c>
      <c r="N90" s="14">
        <f>CHOOSE(CONTROL!$C$42, 6.7001, 6.7001) * CHOOSE(CONTROL!$C$21, $C$9, 100%, $E$9)</f>
        <v>6.7000999999999999</v>
      </c>
      <c r="O90" s="14">
        <f>CHOOSE(CONTROL!$C$42, 6.9509, 6.9509) * CHOOSE(CONTROL!$C$21, $C$9, 100%, $E$9)</f>
        <v>6.9508999999999999</v>
      </c>
      <c r="P90" s="14">
        <f>CHOOSE(CONTROL!$C$42, 6.7101, 6.7101) * CHOOSE(CONTROL!$C$21, $C$9, 100%, $E$9)</f>
        <v>6.7100999999999997</v>
      </c>
      <c r="Q90" s="14">
        <f>CHOOSE(CONTROL!$C$42, 7.5456, 7.5456) * CHOOSE(CONTROL!$C$21, $C$9, 100%, $E$9)</f>
        <v>7.5456000000000003</v>
      </c>
      <c r="R90" s="14">
        <f>CHOOSE(CONTROL!$C$42, 8.1515, 8.1515) * CHOOSE(CONTROL!$C$21, $C$9, 100%, $E$9)</f>
        <v>8.1515000000000004</v>
      </c>
      <c r="S90" s="14">
        <f>CHOOSE(CONTROL!$C$42, 6.5073, 6.5073) * CHOOSE(CONTROL!$C$21, $C$9, 100%, $E$9)</f>
        <v>6.5072999999999999</v>
      </c>
      <c r="T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0" s="56">
        <f>(1000*CHOOSE(CONTROL!$C$42, 695, 695)*CHOOSE(CONTROL!$C$42, 0.5599, 0.5599)*CHOOSE(CONTROL!$C$42, 30, 30))/1000000</f>
        <v>11.673914999999997</v>
      </c>
      <c r="V90" s="56">
        <f>(1000*CHOOSE(CONTROL!$C$42, 500, 500)*CHOOSE(CONTROL!$C$42, 0.275, 0.275)*CHOOSE(CONTROL!$C$42, 30, 30))/1000000</f>
        <v>4.125</v>
      </c>
      <c r="W90" s="56">
        <f>(1000*CHOOSE(CONTROL!$C$42, 0.1146, 0.1146)*CHOOSE(CONTROL!$C$42, 121.5, 121.5)*CHOOSE(CONTROL!$C$42, 30, 30))/1000000</f>
        <v>0.417717</v>
      </c>
      <c r="X90" s="56">
        <f>(30*0.1790888*245000/1000000)+(30*0.2374*100000/1000000)</f>
        <v>2.0285026799999999</v>
      </c>
      <c r="Y90" s="56"/>
      <c r="Z90" s="14"/>
      <c r="AA90" s="55"/>
      <c r="AB90" s="49">
        <f>(B90*194.205+C90*267.466+D90*133.845+E90*53.484+F90*40+G90*185+H90*0+I90*100+J90*300)/(194.205+267.466+133.845+53.484+0+40+185+100+300)</f>
        <v>6.838600353139717</v>
      </c>
      <c r="AC90" s="45">
        <f>(M90*'RAP TEMPLATE-GAS AVAILABILITY'!O89+N90*'RAP TEMPLATE-GAS AVAILABILITY'!P89+O90*'RAP TEMPLATE-GAS AVAILABILITY'!Q89+P90*'RAP TEMPLATE-GAS AVAILABILITY'!R89)/('RAP TEMPLATE-GAS AVAILABILITY'!O89+'RAP TEMPLATE-GAS AVAILABILITY'!P89+'RAP TEMPLATE-GAS AVAILABILITY'!Q89+'RAP TEMPLATE-GAS AVAILABILITY'!R89)</f>
        <v>6.7661402877697849</v>
      </c>
    </row>
    <row r="91" spans="1:29" ht="15.75" x14ac:dyDescent="0.25">
      <c r="A91" s="13">
        <v>43647</v>
      </c>
      <c r="B91" s="14">
        <f>CHOOSE(CONTROL!$C$42, 6.667, 6.667) * CHOOSE(CONTROL!$C$21, $C$9, 100%, $E$9)</f>
        <v>6.6669999999999998</v>
      </c>
      <c r="C91" s="14">
        <f>CHOOSE(CONTROL!$C$42, 6.675, 6.675) * CHOOSE(CONTROL!$C$21, $C$9, 100%, $E$9)</f>
        <v>6.6749999999999998</v>
      </c>
      <c r="D91" s="14">
        <f>CHOOSE(CONTROL!$C$42, 6.9341, 6.9341) * CHOOSE(CONTROL!$C$21, $C$9, 100%, $E$9)</f>
        <v>6.9340999999999999</v>
      </c>
      <c r="E91" s="14">
        <f>CHOOSE(CONTROL!$C$42, 6.9655, 6.9655) * CHOOSE(CONTROL!$C$21, $C$9, 100%, $E$9)</f>
        <v>6.9654999999999996</v>
      </c>
      <c r="F91" s="14">
        <f>CHOOSE(CONTROL!$C$42, 6.6892, 6.6892)*CHOOSE(CONTROL!$C$21, $C$9, 100%, $E$9)</f>
        <v>6.6891999999999996</v>
      </c>
      <c r="G91" s="14">
        <f>CHOOSE(CONTROL!$C$42, 6.7063, 6.7063)*CHOOSE(CONTROL!$C$21, $C$9, 100%, $E$9)</f>
        <v>6.7062999999999997</v>
      </c>
      <c r="H91" s="14">
        <f>CHOOSE(CONTROL!$C$42, 6.9542, 6.9542) * CHOOSE(CONTROL!$C$21, $C$9, 100%, $E$9)</f>
        <v>6.9542000000000002</v>
      </c>
      <c r="I91" s="14">
        <f>CHOOSE(CONTROL!$C$42, 6.7089, 6.7089)* CHOOSE(CONTROL!$C$21, $C$9, 100%, $E$9)</f>
        <v>6.7088999999999999</v>
      </c>
      <c r="J91" s="14">
        <f>CHOOSE(CONTROL!$C$42, 6.6822, 6.6822)* CHOOSE(CONTROL!$C$21, $C$9, 100%, $E$9)</f>
        <v>6.6821999999999999</v>
      </c>
      <c r="K91" s="52">
        <f>CHOOSE(CONTROL!$C$42, 6.705, 6.705) * CHOOSE(CONTROL!$C$21, $C$9, 100%, $E$9)</f>
        <v>6.7050000000000001</v>
      </c>
      <c r="L91" s="14">
        <f>CHOOSE(CONTROL!$C$42, 7.5412, 7.5412) * CHOOSE(CONTROL!$C$21, $C$9, 100%, $E$9)</f>
        <v>7.5411999999999999</v>
      </c>
      <c r="M91" s="14">
        <f>CHOOSE(CONTROL!$C$42, 6.5697, 6.5697) * CHOOSE(CONTROL!$C$21, $C$9, 100%, $E$9)</f>
        <v>6.5697000000000001</v>
      </c>
      <c r="N91" s="14">
        <f>CHOOSE(CONTROL!$C$42, 6.5865, 6.5865) * CHOOSE(CONTROL!$C$21, $C$9, 100%, $E$9)</f>
        <v>6.5865</v>
      </c>
      <c r="O91" s="14">
        <f>CHOOSE(CONTROL!$C$42, 6.8368, 6.8368) * CHOOSE(CONTROL!$C$21, $C$9, 100%, $E$9)</f>
        <v>6.8368000000000002</v>
      </c>
      <c r="P91" s="14">
        <f>CHOOSE(CONTROL!$C$42, 6.5957, 6.5957) * CHOOSE(CONTROL!$C$21, $C$9, 100%, $E$9)</f>
        <v>6.5956999999999999</v>
      </c>
      <c r="Q91" s="14">
        <f>CHOOSE(CONTROL!$C$42, 7.4315, 7.4315) * CHOOSE(CONTROL!$C$21, $C$9, 100%, $E$9)</f>
        <v>7.4314999999999998</v>
      </c>
      <c r="R91" s="14">
        <f>CHOOSE(CONTROL!$C$42, 8.0371, 8.0371) * CHOOSE(CONTROL!$C$21, $C$9, 100%, $E$9)</f>
        <v>8.0371000000000006</v>
      </c>
      <c r="S91" s="14">
        <f>CHOOSE(CONTROL!$C$42, 6.3956, 6.3956) * CHOOSE(CONTROL!$C$21, $C$9, 100%, $E$9)</f>
        <v>6.3956</v>
      </c>
      <c r="T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1" s="56">
        <f>(1000*CHOOSE(CONTROL!$C$42, 695, 695)*CHOOSE(CONTROL!$C$42, 0.5599, 0.5599)*CHOOSE(CONTROL!$C$42, 31, 31))/1000000</f>
        <v>12.063045499999998</v>
      </c>
      <c r="V91" s="56">
        <f>(1000*CHOOSE(CONTROL!$C$42, 500, 500)*CHOOSE(CONTROL!$C$42, 0.275, 0.275)*CHOOSE(CONTROL!$C$42, 31, 31))/1000000</f>
        <v>4.2625000000000002</v>
      </c>
      <c r="W91" s="56">
        <f>(1000*CHOOSE(CONTROL!$C$42, 0.1146, 0.1146)*CHOOSE(CONTROL!$C$42, 121.5, 121.5)*CHOOSE(CONTROL!$C$42, 31, 31))/1000000</f>
        <v>0.43164089999999994</v>
      </c>
      <c r="X91" s="56">
        <f>(31*0.1790888*245000/1000000)+(31*0.2374*100000/1000000)</f>
        <v>2.0961194359999999</v>
      </c>
      <c r="Y91" s="56"/>
      <c r="Z91" s="14"/>
      <c r="AA91" s="55"/>
      <c r="AB91" s="49">
        <f>(B91*194.205+C91*267.466+D91*133.845+E91*53.484+F91*40+G91*185+H91*0+I91*100+J91*300)/(194.205+267.466+133.845+53.484+0+40+185+100+300)</f>
        <v>6.7225441142072224</v>
      </c>
      <c r="AC91" s="45">
        <f>(M91*'RAP TEMPLATE-GAS AVAILABILITY'!O90+N91*'RAP TEMPLATE-GAS AVAILABILITY'!P90+O91*'RAP TEMPLATE-GAS AVAILABILITY'!Q90+P91*'RAP TEMPLATE-GAS AVAILABILITY'!R90)/('RAP TEMPLATE-GAS AVAILABILITY'!O90+'RAP TEMPLATE-GAS AVAILABILITY'!P90+'RAP TEMPLATE-GAS AVAILABILITY'!Q90+'RAP TEMPLATE-GAS AVAILABILITY'!R90)</f>
        <v>6.6522503597122302</v>
      </c>
    </row>
    <row r="92" spans="1:29" ht="15.75" x14ac:dyDescent="0.25">
      <c r="A92" s="13">
        <v>43678</v>
      </c>
      <c r="B92" s="14">
        <f>CHOOSE(CONTROL!$C$42, 6.3513, 6.3513) * CHOOSE(CONTROL!$C$21, $C$9, 100%, $E$9)</f>
        <v>6.3513000000000002</v>
      </c>
      <c r="C92" s="14">
        <f>CHOOSE(CONTROL!$C$42, 6.3593, 6.3593) * CHOOSE(CONTROL!$C$21, $C$9, 100%, $E$9)</f>
        <v>6.3593000000000002</v>
      </c>
      <c r="D92" s="14">
        <f>CHOOSE(CONTROL!$C$42, 6.6184, 6.6184) * CHOOSE(CONTROL!$C$21, $C$9, 100%, $E$9)</f>
        <v>6.6184000000000003</v>
      </c>
      <c r="E92" s="14">
        <f>CHOOSE(CONTROL!$C$42, 6.6498, 6.6498) * CHOOSE(CONTROL!$C$21, $C$9, 100%, $E$9)</f>
        <v>6.6497999999999999</v>
      </c>
      <c r="F92" s="14">
        <f>CHOOSE(CONTROL!$C$42, 6.3737, 6.3737)*CHOOSE(CONTROL!$C$21, $C$9, 100%, $E$9)</f>
        <v>6.3737000000000004</v>
      </c>
      <c r="G92" s="14">
        <f>CHOOSE(CONTROL!$C$42, 6.3909, 6.3909)*CHOOSE(CONTROL!$C$21, $C$9, 100%, $E$9)</f>
        <v>6.3909000000000002</v>
      </c>
      <c r="H92" s="14">
        <f>CHOOSE(CONTROL!$C$42, 6.6385, 6.6385) * CHOOSE(CONTROL!$C$21, $C$9, 100%, $E$9)</f>
        <v>6.6384999999999996</v>
      </c>
      <c r="I92" s="14">
        <f>CHOOSE(CONTROL!$C$42, 6.3923, 6.3923)* CHOOSE(CONTROL!$C$21, $C$9, 100%, $E$9)</f>
        <v>6.3922999999999996</v>
      </c>
      <c r="J92" s="14">
        <f>CHOOSE(CONTROL!$C$42, 6.3667, 6.3667)* CHOOSE(CONTROL!$C$21, $C$9, 100%, $E$9)</f>
        <v>6.3666999999999998</v>
      </c>
      <c r="K92" s="52">
        <f>CHOOSE(CONTROL!$C$42, 6.3884, 6.3884) * CHOOSE(CONTROL!$C$21, $C$9, 100%, $E$9)</f>
        <v>6.3883999999999999</v>
      </c>
      <c r="L92" s="14">
        <f>CHOOSE(CONTROL!$C$42, 7.2255, 7.2255) * CHOOSE(CONTROL!$C$21, $C$9, 100%, $E$9)</f>
        <v>7.2255000000000003</v>
      </c>
      <c r="M92" s="14">
        <f>CHOOSE(CONTROL!$C$42, 6.2598, 6.2598) * CHOOSE(CONTROL!$C$21, $C$9, 100%, $E$9)</f>
        <v>6.2598000000000003</v>
      </c>
      <c r="N92" s="14">
        <f>CHOOSE(CONTROL!$C$42, 6.2767, 6.2767) * CHOOSE(CONTROL!$C$21, $C$9, 100%, $E$9)</f>
        <v>6.2766999999999999</v>
      </c>
      <c r="O92" s="14">
        <f>CHOOSE(CONTROL!$C$42, 6.5268, 6.5268) * CHOOSE(CONTROL!$C$21, $C$9, 100%, $E$9)</f>
        <v>6.5267999999999997</v>
      </c>
      <c r="P92" s="14">
        <f>CHOOSE(CONTROL!$C$42, 6.2847, 6.2847) * CHOOSE(CONTROL!$C$21, $C$9, 100%, $E$9)</f>
        <v>6.2847</v>
      </c>
      <c r="Q92" s="14">
        <f>CHOOSE(CONTROL!$C$42, 7.1215, 7.1215) * CHOOSE(CONTROL!$C$21, $C$9, 100%, $E$9)</f>
        <v>7.1215000000000002</v>
      </c>
      <c r="R92" s="14">
        <f>CHOOSE(CONTROL!$C$42, 7.7263, 7.7263) * CHOOSE(CONTROL!$C$21, $C$9, 100%, $E$9)</f>
        <v>7.7263000000000002</v>
      </c>
      <c r="S92" s="14">
        <f>CHOOSE(CONTROL!$C$42, 6.0923, 6.0923) * CHOOSE(CONTROL!$C$21, $C$9, 100%, $E$9)</f>
        <v>6.0922999999999998</v>
      </c>
      <c r="T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2" s="56">
        <f>(1000*CHOOSE(CONTROL!$C$42, 695, 695)*CHOOSE(CONTROL!$C$42, 0.5599, 0.5599)*CHOOSE(CONTROL!$C$42, 31, 31))/1000000</f>
        <v>12.063045499999998</v>
      </c>
      <c r="V92" s="56">
        <f>(1000*CHOOSE(CONTROL!$C$42, 500, 500)*CHOOSE(CONTROL!$C$42, 0.275, 0.275)*CHOOSE(CONTROL!$C$42, 31, 31))/1000000</f>
        <v>4.2625000000000002</v>
      </c>
      <c r="W92" s="56">
        <f>(1000*CHOOSE(CONTROL!$C$42, 0.1146, 0.1146)*CHOOSE(CONTROL!$C$42, 121.5, 121.5)*CHOOSE(CONTROL!$C$42, 31, 31))/1000000</f>
        <v>0.43164089999999994</v>
      </c>
      <c r="X92" s="56">
        <f>(31*0.1790888*245000/1000000)+(31*0.2374*100000/1000000)</f>
        <v>2.0961194359999999</v>
      </c>
      <c r="Y92" s="56"/>
      <c r="Z92" s="14"/>
      <c r="AA92" s="55"/>
      <c r="AB92" s="49">
        <f>(B92*194.205+C92*267.466+D92*133.845+E92*53.484+F92*40+G92*185+H92*0+I92*100+J92*300)/(194.205+267.466+133.845+53.484+0+40+185+100+300)</f>
        <v>6.4068704093406597</v>
      </c>
      <c r="AC92" s="45">
        <f>(M92*'RAP TEMPLATE-GAS AVAILABILITY'!O91+N92*'RAP TEMPLATE-GAS AVAILABILITY'!P91+O92*'RAP TEMPLATE-GAS AVAILABILITY'!Q91+P92*'RAP TEMPLATE-GAS AVAILABILITY'!R91)/('RAP TEMPLATE-GAS AVAILABILITY'!O91+'RAP TEMPLATE-GAS AVAILABILITY'!P91+'RAP TEMPLATE-GAS AVAILABILITY'!Q91+'RAP TEMPLATE-GAS AVAILABILITY'!R91)</f>
        <v>6.342187050359712</v>
      </c>
    </row>
    <row r="93" spans="1:29" ht="15.75" x14ac:dyDescent="0.25">
      <c r="A93" s="13">
        <v>43709</v>
      </c>
      <c r="B93" s="14">
        <f>CHOOSE(CONTROL!$C$42, 5.9608, 5.9608) * CHOOSE(CONTROL!$C$21, $C$9, 100%, $E$9)</f>
        <v>5.9607999999999999</v>
      </c>
      <c r="C93" s="14">
        <f>CHOOSE(CONTROL!$C$42, 5.9688, 5.9688) * CHOOSE(CONTROL!$C$21, $C$9, 100%, $E$9)</f>
        <v>5.9687999999999999</v>
      </c>
      <c r="D93" s="14">
        <f>CHOOSE(CONTROL!$C$42, 6.2279, 6.2279) * CHOOSE(CONTROL!$C$21, $C$9, 100%, $E$9)</f>
        <v>6.2279</v>
      </c>
      <c r="E93" s="14">
        <f>CHOOSE(CONTROL!$C$42, 6.2594, 6.2594) * CHOOSE(CONTROL!$C$21, $C$9, 100%, $E$9)</f>
        <v>6.2594000000000003</v>
      </c>
      <c r="F93" s="14">
        <f>CHOOSE(CONTROL!$C$42, 5.9833, 5.9833)*CHOOSE(CONTROL!$C$21, $C$9, 100%, $E$9)</f>
        <v>5.9832999999999998</v>
      </c>
      <c r="G93" s="14">
        <f>CHOOSE(CONTROL!$C$42, 6.0005, 6.0005)*CHOOSE(CONTROL!$C$21, $C$9, 100%, $E$9)</f>
        <v>6.0004999999999997</v>
      </c>
      <c r="H93" s="14">
        <f>CHOOSE(CONTROL!$C$42, 6.248, 6.248) * CHOOSE(CONTROL!$C$21, $C$9, 100%, $E$9)</f>
        <v>6.2480000000000002</v>
      </c>
      <c r="I93" s="14">
        <f>CHOOSE(CONTROL!$C$42, 6.0006, 6.0006)* CHOOSE(CONTROL!$C$21, $C$9, 100%, $E$9)</f>
        <v>6.0006000000000004</v>
      </c>
      <c r="J93" s="14">
        <f>CHOOSE(CONTROL!$C$42, 5.9763, 5.9763)* CHOOSE(CONTROL!$C$21, $C$9, 100%, $E$9)</f>
        <v>5.9763000000000002</v>
      </c>
      <c r="K93" s="52">
        <f>CHOOSE(CONTROL!$C$42, 5.9967, 5.9967) * CHOOSE(CONTROL!$C$21, $C$9, 100%, $E$9)</f>
        <v>5.9966999999999997</v>
      </c>
      <c r="L93" s="14">
        <f>CHOOSE(CONTROL!$C$42, 6.835, 6.835) * CHOOSE(CONTROL!$C$21, $C$9, 100%, $E$9)</f>
        <v>6.835</v>
      </c>
      <c r="M93" s="14">
        <f>CHOOSE(CONTROL!$C$42, 5.8765, 5.8765) * CHOOSE(CONTROL!$C$21, $C$9, 100%, $E$9)</f>
        <v>5.8765000000000001</v>
      </c>
      <c r="N93" s="14">
        <f>CHOOSE(CONTROL!$C$42, 5.8934, 5.8934) * CHOOSE(CONTROL!$C$21, $C$9, 100%, $E$9)</f>
        <v>5.8933999999999997</v>
      </c>
      <c r="O93" s="14">
        <f>CHOOSE(CONTROL!$C$42, 6.1433, 6.1433) * CHOOSE(CONTROL!$C$21, $C$9, 100%, $E$9)</f>
        <v>6.1433</v>
      </c>
      <c r="P93" s="14">
        <f>CHOOSE(CONTROL!$C$42, 5.9001, 5.9001) * CHOOSE(CONTROL!$C$21, $C$9, 100%, $E$9)</f>
        <v>5.9001000000000001</v>
      </c>
      <c r="Q93" s="14">
        <f>CHOOSE(CONTROL!$C$42, 6.738, 6.738) * CHOOSE(CONTROL!$C$21, $C$9, 100%, $E$9)</f>
        <v>6.7380000000000004</v>
      </c>
      <c r="R93" s="14">
        <f>CHOOSE(CONTROL!$C$42, 7.3419, 7.3419) * CHOOSE(CONTROL!$C$21, $C$9, 100%, $E$9)</f>
        <v>7.3418999999999999</v>
      </c>
      <c r="S93" s="14">
        <f>CHOOSE(CONTROL!$C$42, 5.7171, 5.7171) * CHOOSE(CONTROL!$C$21, $C$9, 100%, $E$9)</f>
        <v>5.7171000000000003</v>
      </c>
      <c r="T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3" s="56">
        <f>(1000*CHOOSE(CONTROL!$C$42, 695, 695)*CHOOSE(CONTROL!$C$42, 0.5599, 0.5599)*CHOOSE(CONTROL!$C$42, 30, 30))/1000000</f>
        <v>11.673914999999997</v>
      </c>
      <c r="V93" s="56">
        <f>(1000*CHOOSE(CONTROL!$C$42, 500, 500)*CHOOSE(CONTROL!$C$42, 0.275, 0.275)*CHOOSE(CONTROL!$C$42, 30, 30))/1000000</f>
        <v>4.125</v>
      </c>
      <c r="W93" s="56">
        <f>(1000*CHOOSE(CONTROL!$C$42, 0.1146, 0.1146)*CHOOSE(CONTROL!$C$42, 121.5, 121.5)*CHOOSE(CONTROL!$C$42, 30, 30))/1000000</f>
        <v>0.417717</v>
      </c>
      <c r="X93" s="56">
        <f>(30*0.1790888*245000/1000000)+(30*0.2374*100000/1000000)</f>
        <v>2.0285026799999999</v>
      </c>
      <c r="Y93" s="56"/>
      <c r="Z93" s="14"/>
      <c r="AA93" s="55"/>
      <c r="AB93" s="49">
        <f>(B93*194.205+C93*267.466+D93*133.845+E93*53.484+F93*40+G93*185+H93*0+I93*100+J93*300)/(194.205+267.466+133.845+53.484+0+40+185+100+300)</f>
        <v>6.0163216247252755</v>
      </c>
      <c r="AC93" s="45">
        <f>(M93*'RAP TEMPLATE-GAS AVAILABILITY'!O92+N93*'RAP TEMPLATE-GAS AVAILABILITY'!P92+O93*'RAP TEMPLATE-GAS AVAILABILITY'!Q92+P93*'RAP TEMPLATE-GAS AVAILABILITY'!R92)/('RAP TEMPLATE-GAS AVAILABILITY'!O92+'RAP TEMPLATE-GAS AVAILABILITY'!P92+'RAP TEMPLATE-GAS AVAILABILITY'!Q92+'RAP TEMPLATE-GAS AVAILABILITY'!R92)</f>
        <v>5.9586438848920871</v>
      </c>
    </row>
    <row r="94" spans="1:29" ht="15.75" x14ac:dyDescent="0.25">
      <c r="A94" s="13">
        <v>43739</v>
      </c>
      <c r="B94" s="14">
        <f>CHOOSE(CONTROL!$C$42, 5.8503, 5.8503) * CHOOSE(CONTROL!$C$21, $C$9, 100%, $E$9)</f>
        <v>5.8502999999999998</v>
      </c>
      <c r="C94" s="14">
        <f>CHOOSE(CONTROL!$C$42, 5.8556, 5.8556) * CHOOSE(CONTROL!$C$21, $C$9, 100%, $E$9)</f>
        <v>5.8555999999999999</v>
      </c>
      <c r="D94" s="14">
        <f>CHOOSE(CONTROL!$C$42, 6.1196, 6.1196) * CHOOSE(CONTROL!$C$21, $C$9, 100%, $E$9)</f>
        <v>6.1196000000000002</v>
      </c>
      <c r="E94" s="14">
        <f>CHOOSE(CONTROL!$C$42, 6.1488, 6.1488) * CHOOSE(CONTROL!$C$21, $C$9, 100%, $E$9)</f>
        <v>6.1487999999999996</v>
      </c>
      <c r="F94" s="14">
        <f>CHOOSE(CONTROL!$C$42, 5.8749, 5.8749)*CHOOSE(CONTROL!$C$21, $C$9, 100%, $E$9)</f>
        <v>5.8749000000000002</v>
      </c>
      <c r="G94" s="14">
        <f>CHOOSE(CONTROL!$C$42, 5.892, 5.892)*CHOOSE(CONTROL!$C$21, $C$9, 100%, $E$9)</f>
        <v>5.8920000000000003</v>
      </c>
      <c r="H94" s="14">
        <f>CHOOSE(CONTROL!$C$42, 6.1392, 6.1392) * CHOOSE(CONTROL!$C$21, $C$9, 100%, $E$9)</f>
        <v>6.1391999999999998</v>
      </c>
      <c r="I94" s="14">
        <f>CHOOSE(CONTROL!$C$42, 5.8914, 5.8914)* CHOOSE(CONTROL!$C$21, $C$9, 100%, $E$9)</f>
        <v>5.8914</v>
      </c>
      <c r="J94" s="14">
        <f>CHOOSE(CONTROL!$C$42, 5.8679, 5.8679)* CHOOSE(CONTROL!$C$21, $C$9, 100%, $E$9)</f>
        <v>5.8678999999999997</v>
      </c>
      <c r="K94" s="52">
        <f>CHOOSE(CONTROL!$C$42, 5.8875, 5.8875) * CHOOSE(CONTROL!$C$21, $C$9, 100%, $E$9)</f>
        <v>5.8875000000000002</v>
      </c>
      <c r="L94" s="14">
        <f>CHOOSE(CONTROL!$C$42, 6.7262, 6.7262) * CHOOSE(CONTROL!$C$21, $C$9, 100%, $E$9)</f>
        <v>6.7262000000000004</v>
      </c>
      <c r="M94" s="14">
        <f>CHOOSE(CONTROL!$C$42, 5.77, 5.77) * CHOOSE(CONTROL!$C$21, $C$9, 100%, $E$9)</f>
        <v>5.77</v>
      </c>
      <c r="N94" s="14">
        <f>CHOOSE(CONTROL!$C$42, 5.7868, 5.7868) * CHOOSE(CONTROL!$C$21, $C$9, 100%, $E$9)</f>
        <v>5.7868000000000004</v>
      </c>
      <c r="O94" s="14">
        <f>CHOOSE(CONTROL!$C$42, 6.0365, 6.0365) * CHOOSE(CONTROL!$C$21, $C$9, 100%, $E$9)</f>
        <v>6.0365000000000002</v>
      </c>
      <c r="P94" s="14">
        <f>CHOOSE(CONTROL!$C$42, 5.7929, 5.7929) * CHOOSE(CONTROL!$C$21, $C$9, 100%, $E$9)</f>
        <v>5.7929000000000004</v>
      </c>
      <c r="Q94" s="14">
        <f>CHOOSE(CONTROL!$C$42, 6.6312, 6.6312) * CHOOSE(CONTROL!$C$21, $C$9, 100%, $E$9)</f>
        <v>6.6311999999999998</v>
      </c>
      <c r="R94" s="14">
        <f>CHOOSE(CONTROL!$C$42, 7.2348, 7.2348) * CHOOSE(CONTROL!$C$21, $C$9, 100%, $E$9)</f>
        <v>7.2347999999999999</v>
      </c>
      <c r="S94" s="14">
        <f>CHOOSE(CONTROL!$C$42, 5.6126, 5.6126) * CHOOSE(CONTROL!$C$21, $C$9, 100%, $E$9)</f>
        <v>5.6125999999999996</v>
      </c>
      <c r="T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4" s="56">
        <f>(1000*CHOOSE(CONTROL!$C$42, 695, 695)*CHOOSE(CONTROL!$C$42, 0.5599, 0.5599)*CHOOSE(CONTROL!$C$42, 31, 31))/1000000</f>
        <v>12.063045499999998</v>
      </c>
      <c r="V94" s="56">
        <f>(1000*CHOOSE(CONTROL!$C$42, 500, 500)*CHOOSE(CONTROL!$C$42, 0.275, 0.275)*CHOOSE(CONTROL!$C$42, 31, 31))/1000000</f>
        <v>4.2625000000000002</v>
      </c>
      <c r="W94" s="56">
        <f>(1000*CHOOSE(CONTROL!$C$42, 0.1146, 0.1146)*CHOOSE(CONTROL!$C$42, 121.5, 121.5)*CHOOSE(CONTROL!$C$42, 31, 31))/1000000</f>
        <v>0.43164089999999994</v>
      </c>
      <c r="X94" s="56">
        <f>(31*0.1790888*245000/1000000)+(31*0.2374*100000/1000000)</f>
        <v>2.0961194359999999</v>
      </c>
      <c r="Y94" s="56"/>
      <c r="Z94" s="14"/>
      <c r="AA94" s="55"/>
      <c r="AB94" s="49">
        <f>(B94*131.881+C94*277.167+D94*79.08+E94*125.872+F94*40+G94*185+H94*0+I94*100+J94*300)/(131.881+277.167+79.08+125.872+0+40+185+100+300)</f>
        <v>5.9135982414043591</v>
      </c>
      <c r="AC94" s="45">
        <f>(M94*'RAP TEMPLATE-GAS AVAILABILITY'!O93+N94*'RAP TEMPLATE-GAS AVAILABILITY'!P93+O94*'RAP TEMPLATE-GAS AVAILABILITY'!Q93+P94*'RAP TEMPLATE-GAS AVAILABILITY'!R93)/('RAP TEMPLATE-GAS AVAILABILITY'!O93+'RAP TEMPLATE-GAS AVAILABILITY'!P93+'RAP TEMPLATE-GAS AVAILABILITY'!Q93+'RAP TEMPLATE-GAS AVAILABILITY'!R93)</f>
        <v>5.8519359712230221</v>
      </c>
    </row>
    <row r="95" spans="1:29" ht="15.75" x14ac:dyDescent="0.25">
      <c r="A95" s="13">
        <v>43770</v>
      </c>
      <c r="B95" s="14">
        <f>CHOOSE(CONTROL!$C$42, 6.016, 6.016) * CHOOSE(CONTROL!$C$21, $C$9, 100%, $E$9)</f>
        <v>6.016</v>
      </c>
      <c r="C95" s="14">
        <f>CHOOSE(CONTROL!$C$42, 6.0211, 6.0211) * CHOOSE(CONTROL!$C$21, $C$9, 100%, $E$9)</f>
        <v>6.0210999999999997</v>
      </c>
      <c r="D95" s="14">
        <f>CHOOSE(CONTROL!$C$42, 6.1042, 6.1042) * CHOOSE(CONTROL!$C$21, $C$9, 100%, $E$9)</f>
        <v>6.1041999999999996</v>
      </c>
      <c r="E95" s="14">
        <f>CHOOSE(CONTROL!$C$42, 6.1383, 6.1383) * CHOOSE(CONTROL!$C$21, $C$9, 100%, $E$9)</f>
        <v>6.1383000000000001</v>
      </c>
      <c r="F95" s="14">
        <f>CHOOSE(CONTROL!$C$42, 6.0437, 6.0437)*CHOOSE(CONTROL!$C$21, $C$9, 100%, $E$9)</f>
        <v>6.0437000000000003</v>
      </c>
      <c r="G95" s="14">
        <f>CHOOSE(CONTROL!$C$42, 6.061, 6.061)*CHOOSE(CONTROL!$C$21, $C$9, 100%, $E$9)</f>
        <v>6.0609999999999999</v>
      </c>
      <c r="H95" s="14">
        <f>CHOOSE(CONTROL!$C$42, 6.1275, 6.1275) * CHOOSE(CONTROL!$C$21, $C$9, 100%, $E$9)</f>
        <v>6.1275000000000004</v>
      </c>
      <c r="I95" s="14">
        <f>CHOOSE(CONTROL!$C$42, 6.0545, 6.0545)* CHOOSE(CONTROL!$C$21, $C$9, 100%, $E$9)</f>
        <v>6.0545</v>
      </c>
      <c r="J95" s="14">
        <f>CHOOSE(CONTROL!$C$42, 6.0367, 6.0367)* CHOOSE(CONTROL!$C$21, $C$9, 100%, $E$9)</f>
        <v>6.0366999999999997</v>
      </c>
      <c r="K95" s="52">
        <f>CHOOSE(CONTROL!$C$42, 6.0506, 6.0506) * CHOOSE(CONTROL!$C$21, $C$9, 100%, $E$9)</f>
        <v>6.0506000000000002</v>
      </c>
      <c r="L95" s="14">
        <f>CHOOSE(CONTROL!$C$42, 6.7145, 6.7145) * CHOOSE(CONTROL!$C$21, $C$9, 100%, $E$9)</f>
        <v>6.7145000000000001</v>
      </c>
      <c r="M95" s="14">
        <f>CHOOSE(CONTROL!$C$42, 5.9358, 5.9358) * CHOOSE(CONTROL!$C$21, $C$9, 100%, $E$9)</f>
        <v>5.9358000000000004</v>
      </c>
      <c r="N95" s="14">
        <f>CHOOSE(CONTROL!$C$42, 5.9528, 5.9528) * CHOOSE(CONTROL!$C$21, $C$9, 100%, $E$9)</f>
        <v>5.9527999999999999</v>
      </c>
      <c r="O95" s="14">
        <f>CHOOSE(CONTROL!$C$42, 6.025, 6.025) * CHOOSE(CONTROL!$C$21, $C$9, 100%, $E$9)</f>
        <v>6.0250000000000004</v>
      </c>
      <c r="P95" s="14">
        <f>CHOOSE(CONTROL!$C$42, 5.953, 5.953) * CHOOSE(CONTROL!$C$21, $C$9, 100%, $E$9)</f>
        <v>5.9530000000000003</v>
      </c>
      <c r="Q95" s="14">
        <f>CHOOSE(CONTROL!$C$42, 6.6197, 6.6197) * CHOOSE(CONTROL!$C$21, $C$9, 100%, $E$9)</f>
        <v>6.6196999999999999</v>
      </c>
      <c r="R95" s="14">
        <f>CHOOSE(CONTROL!$C$42, 7.2232, 7.2232) * CHOOSE(CONTROL!$C$21, $C$9, 100%, $E$9)</f>
        <v>7.2232000000000003</v>
      </c>
      <c r="S95" s="14">
        <f>CHOOSE(CONTROL!$C$42, 5.7723, 5.7723) * CHOOSE(CONTROL!$C$21, $C$9, 100%, $E$9)</f>
        <v>5.7723000000000004</v>
      </c>
      <c r="T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5" s="56">
        <f>(1000*CHOOSE(CONTROL!$C$42, 695, 695)*CHOOSE(CONTROL!$C$42, 0.5599, 0.5599)*CHOOSE(CONTROL!$C$42, 30, 30))/1000000</f>
        <v>11.673914999999997</v>
      </c>
      <c r="V95" s="56">
        <f>(1000*CHOOSE(CONTROL!$C$42, 500, 500)*CHOOSE(CONTROL!$C$42, 0.275, 0.275)*CHOOSE(CONTROL!$C$42, 30, 30))/1000000</f>
        <v>4.125</v>
      </c>
      <c r="W95" s="56">
        <f>(1000*CHOOSE(CONTROL!$C$42, 0.1146, 0.1146)*CHOOSE(CONTROL!$C$42, 121.5, 121.5)*CHOOSE(CONTROL!$C$42, 30, 30))/1000000</f>
        <v>0.417717</v>
      </c>
      <c r="X95" s="56">
        <f>(30*0.1790888*100000/1000000)+(30*0.2374*100000/1000000)</f>
        <v>1.2494664</v>
      </c>
      <c r="Y95" s="56"/>
      <c r="Z95" s="14"/>
      <c r="AA95" s="55"/>
      <c r="AB95" s="49">
        <f>(B95*122.58+C95*297.941+D95*89.177+E95*40.302+F95*40+G95*160+H95*0+I95*100+J95*300)/(122.58+297.941+89.177+40.302+0+40+160+100+300)</f>
        <v>6.0444189957391297</v>
      </c>
      <c r="AC95" s="45">
        <f>(M95*'RAP TEMPLATE-GAS AVAILABILITY'!O94+N95*'RAP TEMPLATE-GAS AVAILABILITY'!P94+O95*'RAP TEMPLATE-GAS AVAILABILITY'!Q94+P95*'RAP TEMPLATE-GAS AVAILABILITY'!R94)/('RAP TEMPLATE-GAS AVAILABILITY'!O94+'RAP TEMPLATE-GAS AVAILABILITY'!P94+'RAP TEMPLATE-GAS AVAILABILITY'!Q94+'RAP TEMPLATE-GAS AVAILABILITY'!R94)</f>
        <v>5.979682014388489</v>
      </c>
    </row>
    <row r="96" spans="1:29" ht="15.75" x14ac:dyDescent="0.25">
      <c r="A96" s="13">
        <v>43800</v>
      </c>
      <c r="B96" s="14">
        <f>CHOOSE(CONTROL!$C$42, 6.4388, 6.4388) * CHOOSE(CONTROL!$C$21, $C$9, 100%, $E$9)</f>
        <v>6.4387999999999996</v>
      </c>
      <c r="C96" s="14">
        <f>CHOOSE(CONTROL!$C$42, 6.4438, 6.4438) * CHOOSE(CONTROL!$C$21, $C$9, 100%, $E$9)</f>
        <v>6.4438000000000004</v>
      </c>
      <c r="D96" s="14">
        <f>CHOOSE(CONTROL!$C$42, 6.5269, 6.5269) * CHOOSE(CONTROL!$C$21, $C$9, 100%, $E$9)</f>
        <v>6.5269000000000004</v>
      </c>
      <c r="E96" s="14">
        <f>CHOOSE(CONTROL!$C$42, 6.561, 6.561) * CHOOSE(CONTROL!$C$21, $C$9, 100%, $E$9)</f>
        <v>6.5609999999999999</v>
      </c>
      <c r="F96" s="14">
        <f>CHOOSE(CONTROL!$C$42, 6.4688, 6.4688)*CHOOSE(CONTROL!$C$21, $C$9, 100%, $E$9)</f>
        <v>6.4687999999999999</v>
      </c>
      <c r="G96" s="14">
        <f>CHOOSE(CONTROL!$C$42, 6.4868, 6.4868)*CHOOSE(CONTROL!$C$21, $C$9, 100%, $E$9)</f>
        <v>6.4867999999999997</v>
      </c>
      <c r="H96" s="14">
        <f>CHOOSE(CONTROL!$C$42, 6.5502, 6.5502) * CHOOSE(CONTROL!$C$21, $C$9, 100%, $E$9)</f>
        <v>6.5502000000000002</v>
      </c>
      <c r="I96" s="14">
        <f>CHOOSE(CONTROL!$C$42, 6.4786, 6.4786)* CHOOSE(CONTROL!$C$21, $C$9, 100%, $E$9)</f>
        <v>6.4786000000000001</v>
      </c>
      <c r="J96" s="14">
        <f>CHOOSE(CONTROL!$C$42, 6.4618, 6.4618)* CHOOSE(CONTROL!$C$21, $C$9, 100%, $E$9)</f>
        <v>6.4618000000000002</v>
      </c>
      <c r="K96" s="52">
        <f>CHOOSE(CONTROL!$C$42, 6.4747, 6.4747) * CHOOSE(CONTROL!$C$21, $C$9, 100%, $E$9)</f>
        <v>6.4747000000000003</v>
      </c>
      <c r="L96" s="14">
        <f>CHOOSE(CONTROL!$C$42, 7.1372, 7.1372) * CHOOSE(CONTROL!$C$21, $C$9, 100%, $E$9)</f>
        <v>7.1372</v>
      </c>
      <c r="M96" s="14">
        <f>CHOOSE(CONTROL!$C$42, 6.3533, 6.3533) * CHOOSE(CONTROL!$C$21, $C$9, 100%, $E$9)</f>
        <v>6.3532999999999999</v>
      </c>
      <c r="N96" s="14">
        <f>CHOOSE(CONTROL!$C$42, 6.371, 6.371) * CHOOSE(CONTROL!$C$21, $C$9, 100%, $E$9)</f>
        <v>6.3710000000000004</v>
      </c>
      <c r="O96" s="14">
        <f>CHOOSE(CONTROL!$C$42, 6.4401, 6.4401) * CHOOSE(CONTROL!$C$21, $C$9, 100%, $E$9)</f>
        <v>6.4401000000000002</v>
      </c>
      <c r="P96" s="14">
        <f>CHOOSE(CONTROL!$C$42, 6.3694, 6.3694) * CHOOSE(CONTROL!$C$21, $C$9, 100%, $E$9)</f>
        <v>6.3693999999999997</v>
      </c>
      <c r="Q96" s="14">
        <f>CHOOSE(CONTROL!$C$42, 7.0348, 7.0348) * CHOOSE(CONTROL!$C$21, $C$9, 100%, $E$9)</f>
        <v>7.0347999999999997</v>
      </c>
      <c r="R96" s="14">
        <f>CHOOSE(CONTROL!$C$42, 7.6394, 7.6394) * CHOOSE(CONTROL!$C$21, $C$9, 100%, $E$9)</f>
        <v>7.6394000000000002</v>
      </c>
      <c r="S96" s="14">
        <f>CHOOSE(CONTROL!$C$42, 6.1785, 6.1785) * CHOOSE(CONTROL!$C$21, $C$9, 100%, $E$9)</f>
        <v>6.1784999999999997</v>
      </c>
      <c r="T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6" s="56">
        <f>(1000*CHOOSE(CONTROL!$C$42, 695, 695)*CHOOSE(CONTROL!$C$42, 0.5599, 0.5599)*CHOOSE(CONTROL!$C$42, 31, 31))/1000000</f>
        <v>12.063045499999998</v>
      </c>
      <c r="V96" s="56">
        <f>(1000*CHOOSE(CONTROL!$C$42, 500, 500)*CHOOSE(CONTROL!$C$42, 0.275, 0.275)*CHOOSE(CONTROL!$C$42, 31, 31))/1000000</f>
        <v>4.2625000000000002</v>
      </c>
      <c r="W96" s="56">
        <f>(1000*CHOOSE(CONTROL!$C$42, 0.1146, 0.1146)*CHOOSE(CONTROL!$C$42, 121.5, 121.5)*CHOOSE(CONTROL!$C$42, 31, 31))/1000000</f>
        <v>0.43164089999999994</v>
      </c>
      <c r="X96" s="56">
        <f>(31*0.1790888*100000/1000000)+(31*0.2374*100000/1000000)</f>
        <v>1.2911152800000001</v>
      </c>
      <c r="Y96" s="56"/>
      <c r="Z96" s="14"/>
      <c r="AA96" s="55"/>
      <c r="AB96" s="49">
        <f>(B96*122.58+C96*297.941+D96*89.177+E96*40.302+F96*40+G96*160+H96*0+I96*100+J96*300)/(122.58+297.941+89.177+40.302+0+40+160+100+300)</f>
        <v>6.4683922635652165</v>
      </c>
      <c r="AC96" s="45">
        <f>(M96*'RAP TEMPLATE-GAS AVAILABILITY'!O95+N96*'RAP TEMPLATE-GAS AVAILABILITY'!P95+O96*'RAP TEMPLATE-GAS AVAILABILITY'!Q95+P96*'RAP TEMPLATE-GAS AVAILABILITY'!R95)/('RAP TEMPLATE-GAS AVAILABILITY'!O95+'RAP TEMPLATE-GAS AVAILABILITY'!P95+'RAP TEMPLATE-GAS AVAILABILITY'!Q95+'RAP TEMPLATE-GAS AVAILABILITY'!R95)</f>
        <v>6.3959762589928051</v>
      </c>
    </row>
    <row r="97" spans="1:29" ht="15.75" x14ac:dyDescent="0.25">
      <c r="A97" s="13">
        <v>43831</v>
      </c>
      <c r="B97" s="14">
        <f>CHOOSE(CONTROL!$C$42, 7.1197, 7.1197) * CHOOSE(CONTROL!$C$21, $C$9, 100%, $E$9)</f>
        <v>7.1196999999999999</v>
      </c>
      <c r="C97" s="14">
        <f>CHOOSE(CONTROL!$C$42, 7.1248, 7.1248) * CHOOSE(CONTROL!$C$21, $C$9, 100%, $E$9)</f>
        <v>7.1247999999999996</v>
      </c>
      <c r="D97" s="14">
        <f>CHOOSE(CONTROL!$C$42, 7.2183, 7.2183) * CHOOSE(CONTROL!$C$21, $C$9, 100%, $E$9)</f>
        <v>7.2183000000000002</v>
      </c>
      <c r="E97" s="14">
        <f>CHOOSE(CONTROL!$C$42, 7.2524, 7.2524) * CHOOSE(CONTROL!$C$21, $C$9, 100%, $E$9)</f>
        <v>7.2523999999999997</v>
      </c>
      <c r="F97" s="14">
        <f>CHOOSE(CONTROL!$C$42, 7.147, 7.147)*CHOOSE(CONTROL!$C$21, $C$9, 100%, $E$9)</f>
        <v>7.1470000000000002</v>
      </c>
      <c r="G97" s="14">
        <f>CHOOSE(CONTROL!$C$42, 7.165, 7.165)*CHOOSE(CONTROL!$C$21, $C$9, 100%, $E$9)</f>
        <v>7.165</v>
      </c>
      <c r="H97" s="14">
        <f>CHOOSE(CONTROL!$C$42, 7.2416, 7.2416) * CHOOSE(CONTROL!$C$21, $C$9, 100%, $E$9)</f>
        <v>7.2416</v>
      </c>
      <c r="I97" s="14">
        <f>CHOOSE(CONTROL!$C$42, 7.1679, 7.1679)* CHOOSE(CONTROL!$C$21, $C$9, 100%, $E$9)</f>
        <v>7.1679000000000004</v>
      </c>
      <c r="J97" s="14">
        <f>CHOOSE(CONTROL!$C$42, 7.14, 7.14)* CHOOSE(CONTROL!$C$21, $C$9, 100%, $E$9)</f>
        <v>7.14</v>
      </c>
      <c r="K97" s="52">
        <f>CHOOSE(CONTROL!$C$42, 7.164, 7.164) * CHOOSE(CONTROL!$C$21, $C$9, 100%, $E$9)</f>
        <v>7.1639999999999997</v>
      </c>
      <c r="L97" s="14">
        <f>CHOOSE(CONTROL!$C$42, 7.8286, 7.8286) * CHOOSE(CONTROL!$C$21, $C$9, 100%, $E$9)</f>
        <v>7.8285999999999998</v>
      </c>
      <c r="M97" s="14">
        <f>CHOOSE(CONTROL!$C$42, 7.0193, 7.0193) * CHOOSE(CONTROL!$C$21, $C$9, 100%, $E$9)</f>
        <v>7.0193000000000003</v>
      </c>
      <c r="N97" s="14">
        <f>CHOOSE(CONTROL!$C$42, 7.0369, 7.0369) * CHOOSE(CONTROL!$C$21, $C$9, 100%, $E$9)</f>
        <v>7.0369000000000002</v>
      </c>
      <c r="O97" s="14">
        <f>CHOOSE(CONTROL!$C$42, 7.119, 7.119) * CHOOSE(CONTROL!$C$21, $C$9, 100%, $E$9)</f>
        <v>7.1189999999999998</v>
      </c>
      <c r="P97" s="14">
        <f>CHOOSE(CONTROL!$C$42, 7.0464, 7.0464) * CHOOSE(CONTROL!$C$21, $C$9, 100%, $E$9)</f>
        <v>7.0464000000000002</v>
      </c>
      <c r="Q97" s="14">
        <f>CHOOSE(CONTROL!$C$42, 7.7137, 7.7137) * CHOOSE(CONTROL!$C$21, $C$9, 100%, $E$9)</f>
        <v>7.7137000000000002</v>
      </c>
      <c r="R97" s="14">
        <f>CHOOSE(CONTROL!$C$42, 8.32, 8.32) * CHOOSE(CONTROL!$C$21, $C$9, 100%, $E$9)</f>
        <v>8.32</v>
      </c>
      <c r="S97" s="14">
        <f>CHOOSE(CONTROL!$C$42, 6.8328, 6.8328) * CHOOSE(CONTROL!$C$21, $C$9, 100%, $E$9)</f>
        <v>6.8327999999999998</v>
      </c>
      <c r="T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7" s="56">
        <f>(1000*CHOOSE(CONTROL!$C$42, 695, 695)*CHOOSE(CONTROL!$C$42, 0.5599, 0.5599)*CHOOSE(CONTROL!$C$42, 31, 31))/1000000</f>
        <v>12.063045499999998</v>
      </c>
      <c r="V97" s="56">
        <f>(1000*CHOOSE(CONTROL!$C$42, 500, 500)*CHOOSE(CONTROL!$C$42, 0.275, 0.275)*CHOOSE(CONTROL!$C$42, 31, 31))/1000000</f>
        <v>4.2625000000000002</v>
      </c>
      <c r="W97" s="56">
        <f>(1000*CHOOSE(CONTROL!$C$42, 0.1146, 0.1146)*CHOOSE(CONTROL!$C$42, 121.5, 121.5)*CHOOSE(CONTROL!$C$42, 31, 31))/1000000</f>
        <v>0.43164089999999994</v>
      </c>
      <c r="X97" s="56">
        <f>(31*0.1790888*100000/1000000)+(31*0.2374*100000/1000000)</f>
        <v>1.2911152800000001</v>
      </c>
      <c r="Y97" s="56"/>
      <c r="Z97" s="14"/>
      <c r="AA97" s="55"/>
      <c r="AB97" s="49">
        <f>(B97*122.58+C97*297.941+D97*89.177+E97*40.302+F97*40+G97*160+H97*0+I97*100+J97*300)/(122.58+297.941+89.177+40.302+0+40+160+100+300)</f>
        <v>7.150056892782608</v>
      </c>
      <c r="AC97" s="45">
        <f>(M97*'RAP TEMPLATE-GAS AVAILABILITY'!O96+N97*'RAP TEMPLATE-GAS AVAILABILITY'!P96+O97*'RAP TEMPLATE-GAS AVAILABILITY'!Q96+P97*'RAP TEMPLATE-GAS AVAILABILITY'!R96)/('RAP TEMPLATE-GAS AVAILABILITY'!O96+'RAP TEMPLATE-GAS AVAILABILITY'!P96+'RAP TEMPLATE-GAS AVAILABILITY'!Q96+'RAP TEMPLATE-GAS AVAILABILITY'!R96)</f>
        <v>7.0694000000000017</v>
      </c>
    </row>
    <row r="98" spans="1:29" ht="15.75" x14ac:dyDescent="0.25">
      <c r="A98" s="13">
        <v>43862</v>
      </c>
      <c r="B98" s="14">
        <f>CHOOSE(CONTROL!$C$42, 7.2612, 7.2612) * CHOOSE(CONTROL!$C$21, $C$9, 100%, $E$9)</f>
        <v>7.2611999999999997</v>
      </c>
      <c r="C98" s="14">
        <f>CHOOSE(CONTROL!$C$42, 7.2663, 7.2663) * CHOOSE(CONTROL!$C$21, $C$9, 100%, $E$9)</f>
        <v>7.2663000000000002</v>
      </c>
      <c r="D98" s="14">
        <f>CHOOSE(CONTROL!$C$42, 7.3597, 7.3597) * CHOOSE(CONTROL!$C$21, $C$9, 100%, $E$9)</f>
        <v>7.3597000000000001</v>
      </c>
      <c r="E98" s="14">
        <f>CHOOSE(CONTROL!$C$42, 7.3938, 7.3938) * CHOOSE(CONTROL!$C$21, $C$9, 100%, $E$9)</f>
        <v>7.3937999999999997</v>
      </c>
      <c r="F98" s="14">
        <f>CHOOSE(CONTROL!$C$42, 7.2881, 7.2881)*CHOOSE(CONTROL!$C$21, $C$9, 100%, $E$9)</f>
        <v>7.2881</v>
      </c>
      <c r="G98" s="14">
        <f>CHOOSE(CONTROL!$C$42, 7.306, 7.306)*CHOOSE(CONTROL!$C$21, $C$9, 100%, $E$9)</f>
        <v>7.306</v>
      </c>
      <c r="H98" s="14">
        <f>CHOOSE(CONTROL!$C$42, 7.383, 7.383) * CHOOSE(CONTROL!$C$21, $C$9, 100%, $E$9)</f>
        <v>7.383</v>
      </c>
      <c r="I98" s="14">
        <f>CHOOSE(CONTROL!$C$42, 7.3098, 7.3098)* CHOOSE(CONTROL!$C$21, $C$9, 100%, $E$9)</f>
        <v>7.3098000000000001</v>
      </c>
      <c r="J98" s="14">
        <f>CHOOSE(CONTROL!$C$42, 7.2811, 7.2811)* CHOOSE(CONTROL!$C$21, $C$9, 100%, $E$9)</f>
        <v>7.2811000000000003</v>
      </c>
      <c r="K98" s="52">
        <f>CHOOSE(CONTROL!$C$42, 7.3059, 7.3059) * CHOOSE(CONTROL!$C$21, $C$9, 100%, $E$9)</f>
        <v>7.3059000000000003</v>
      </c>
      <c r="L98" s="14">
        <f>CHOOSE(CONTROL!$C$42, 7.97, 7.97) * CHOOSE(CONTROL!$C$21, $C$9, 100%, $E$9)</f>
        <v>7.97</v>
      </c>
      <c r="M98" s="14">
        <f>CHOOSE(CONTROL!$C$42, 7.1579, 7.1579) * CHOOSE(CONTROL!$C$21, $C$9, 100%, $E$9)</f>
        <v>7.1578999999999997</v>
      </c>
      <c r="N98" s="14">
        <f>CHOOSE(CONTROL!$C$42, 7.1754, 7.1754) * CHOOSE(CONTROL!$C$21, $C$9, 100%, $E$9)</f>
        <v>7.1753999999999998</v>
      </c>
      <c r="O98" s="14">
        <f>CHOOSE(CONTROL!$C$42, 7.2579, 7.2579) * CHOOSE(CONTROL!$C$21, $C$9, 100%, $E$9)</f>
        <v>7.2579000000000002</v>
      </c>
      <c r="P98" s="14">
        <f>CHOOSE(CONTROL!$C$42, 7.1857, 7.1857) * CHOOSE(CONTROL!$C$21, $C$9, 100%, $E$9)</f>
        <v>7.1856999999999998</v>
      </c>
      <c r="Q98" s="14">
        <f>CHOOSE(CONTROL!$C$42, 7.8526, 7.8526) * CHOOSE(CONTROL!$C$21, $C$9, 100%, $E$9)</f>
        <v>7.8525999999999998</v>
      </c>
      <c r="R98" s="14">
        <f>CHOOSE(CONTROL!$C$42, 8.4593, 8.4593) * CHOOSE(CONTROL!$C$21, $C$9, 100%, $E$9)</f>
        <v>8.4593000000000007</v>
      </c>
      <c r="S98" s="14">
        <f>CHOOSE(CONTROL!$C$42, 6.9688, 6.9688) * CHOOSE(CONTROL!$C$21, $C$9, 100%, $E$9)</f>
        <v>6.9687999999999999</v>
      </c>
      <c r="T9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98" s="56">
        <f>(1000*CHOOSE(CONTROL!$C$42, 695, 695)*CHOOSE(CONTROL!$C$42, 0.5599, 0.5599)*CHOOSE(CONTROL!$C$42, 29, 29))/1000000</f>
        <v>11.284784499999999</v>
      </c>
      <c r="V98" s="56">
        <f>(1000*CHOOSE(CONTROL!$C$42, 500, 500)*CHOOSE(CONTROL!$C$42, 0.275, 0.275)*CHOOSE(CONTROL!$C$42, 29, 29))/1000000</f>
        <v>3.9874999999999998</v>
      </c>
      <c r="W98" s="56">
        <f>(1000*CHOOSE(CONTROL!$C$42, 0.1146, 0.1146)*CHOOSE(CONTROL!$C$42, 121.5, 121.5)*CHOOSE(CONTROL!$C$42, 29, 29))/1000000</f>
        <v>0.40379309999999996</v>
      </c>
      <c r="X98" s="56">
        <f>(29*0.1790888*100000/1000000)+(29*0.2374*100000/1000000)</f>
        <v>1.2078175199999999</v>
      </c>
      <c r="Y98" s="56"/>
      <c r="Z98" s="14"/>
      <c r="AA98" s="55"/>
      <c r="AB98" s="49">
        <f>(B98*122.58+C98*297.941+D98*89.177+E98*40.302+F98*40+G98*160+H98*0+I98*100+J98*300)/(122.58+297.941+89.177+40.302+0+40+160+100+300)</f>
        <v>7.2913925902608687</v>
      </c>
      <c r="AC98" s="45">
        <f>(M98*'RAP TEMPLATE-GAS AVAILABILITY'!O97+N98*'RAP TEMPLATE-GAS AVAILABILITY'!P97+O98*'RAP TEMPLATE-GAS AVAILABILITY'!Q97+P98*'RAP TEMPLATE-GAS AVAILABILITY'!R97)/('RAP TEMPLATE-GAS AVAILABILITY'!O97+'RAP TEMPLATE-GAS AVAILABILITY'!P97+'RAP TEMPLATE-GAS AVAILABILITY'!Q97+'RAP TEMPLATE-GAS AVAILABILITY'!R97)</f>
        <v>7.2082309352517981</v>
      </c>
    </row>
    <row r="99" spans="1:29" ht="15.75" x14ac:dyDescent="0.25">
      <c r="A99" s="13">
        <v>43891</v>
      </c>
      <c r="B99" s="14">
        <f>CHOOSE(CONTROL!$C$42, 7.0698, 7.0698) * CHOOSE(CONTROL!$C$21, $C$9, 100%, $E$9)</f>
        <v>7.0697999999999999</v>
      </c>
      <c r="C99" s="14">
        <f>CHOOSE(CONTROL!$C$42, 7.0749, 7.0749) * CHOOSE(CONTROL!$C$21, $C$9, 100%, $E$9)</f>
        <v>7.0749000000000004</v>
      </c>
      <c r="D99" s="14">
        <f>CHOOSE(CONTROL!$C$42, 7.1684, 7.1684) * CHOOSE(CONTROL!$C$21, $C$9, 100%, $E$9)</f>
        <v>7.1684000000000001</v>
      </c>
      <c r="E99" s="14">
        <f>CHOOSE(CONTROL!$C$42, 7.2025, 7.2025) * CHOOSE(CONTROL!$C$21, $C$9, 100%, $E$9)</f>
        <v>7.2024999999999997</v>
      </c>
      <c r="F99" s="14">
        <f>CHOOSE(CONTROL!$C$42, 7.0959, 7.0959)*CHOOSE(CONTROL!$C$21, $C$9, 100%, $E$9)</f>
        <v>7.0959000000000003</v>
      </c>
      <c r="G99" s="14">
        <f>CHOOSE(CONTROL!$C$42, 7.1136, 7.1136)*CHOOSE(CONTROL!$C$21, $C$9, 100%, $E$9)</f>
        <v>7.1135999999999999</v>
      </c>
      <c r="H99" s="14">
        <f>CHOOSE(CONTROL!$C$42, 7.1917, 7.1917) * CHOOSE(CONTROL!$C$21, $C$9, 100%, $E$9)</f>
        <v>7.1917</v>
      </c>
      <c r="I99" s="14">
        <f>CHOOSE(CONTROL!$C$42, 7.1179, 7.1179)* CHOOSE(CONTROL!$C$21, $C$9, 100%, $E$9)</f>
        <v>7.1178999999999997</v>
      </c>
      <c r="J99" s="14">
        <f>CHOOSE(CONTROL!$C$42, 7.0889, 7.0889)* CHOOSE(CONTROL!$C$21, $C$9, 100%, $E$9)</f>
        <v>7.0888999999999998</v>
      </c>
      <c r="K99" s="52">
        <f>CHOOSE(CONTROL!$C$42, 7.114, 7.114) * CHOOSE(CONTROL!$C$21, $C$9, 100%, $E$9)</f>
        <v>7.1139999999999999</v>
      </c>
      <c r="L99" s="14">
        <f>CHOOSE(CONTROL!$C$42, 7.7787, 7.7787) * CHOOSE(CONTROL!$C$21, $C$9, 100%, $E$9)</f>
        <v>7.7786999999999997</v>
      </c>
      <c r="M99" s="14">
        <f>CHOOSE(CONTROL!$C$42, 6.9691, 6.9691) * CHOOSE(CONTROL!$C$21, $C$9, 100%, $E$9)</f>
        <v>6.9691000000000001</v>
      </c>
      <c r="N99" s="14">
        <f>CHOOSE(CONTROL!$C$42, 6.9864, 6.9864) * CHOOSE(CONTROL!$C$21, $C$9, 100%, $E$9)</f>
        <v>6.9863999999999997</v>
      </c>
      <c r="O99" s="14">
        <f>CHOOSE(CONTROL!$C$42, 7.07, 7.07) * CHOOSE(CONTROL!$C$21, $C$9, 100%, $E$9)</f>
        <v>7.07</v>
      </c>
      <c r="P99" s="14">
        <f>CHOOSE(CONTROL!$C$42, 6.9972, 6.9972) * CHOOSE(CONTROL!$C$21, $C$9, 100%, $E$9)</f>
        <v>6.9972000000000003</v>
      </c>
      <c r="Q99" s="14">
        <f>CHOOSE(CONTROL!$C$42, 7.6647, 7.6647) * CHOOSE(CONTROL!$C$21, $C$9, 100%, $E$9)</f>
        <v>7.6646999999999998</v>
      </c>
      <c r="R99" s="14">
        <f>CHOOSE(CONTROL!$C$42, 8.2709, 8.2709) * CHOOSE(CONTROL!$C$21, $C$9, 100%, $E$9)</f>
        <v>8.2708999999999993</v>
      </c>
      <c r="S99" s="14">
        <f>CHOOSE(CONTROL!$C$42, 6.7849, 6.7849) * CHOOSE(CONTROL!$C$21, $C$9, 100%, $E$9)</f>
        <v>6.7849000000000004</v>
      </c>
      <c r="T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9" s="56">
        <f>(1000*CHOOSE(CONTROL!$C$42, 695, 695)*CHOOSE(CONTROL!$C$42, 0.5599, 0.5599)*CHOOSE(CONTROL!$C$42, 31, 31))/1000000</f>
        <v>12.063045499999998</v>
      </c>
      <c r="V99" s="56">
        <f>(1000*CHOOSE(CONTROL!$C$42, 500, 500)*CHOOSE(CONTROL!$C$42, 0.275, 0.275)*CHOOSE(CONTROL!$C$42, 31, 31))/1000000</f>
        <v>4.2625000000000002</v>
      </c>
      <c r="W99" s="56">
        <f>(1000*CHOOSE(CONTROL!$C$42, 0.1146, 0.1146)*CHOOSE(CONTROL!$C$42, 121.5, 121.5)*CHOOSE(CONTROL!$C$42, 31, 31))/1000000</f>
        <v>0.43164089999999994</v>
      </c>
      <c r="X99" s="56">
        <f>(31*0.1790888*100000/1000000)+(31*0.2374*100000/1000000)</f>
        <v>1.2911152800000001</v>
      </c>
      <c r="Y99" s="56"/>
      <c r="Z99" s="14"/>
      <c r="AA99" s="55"/>
      <c r="AB99" s="49">
        <f>(B99*122.58+C99*297.941+D99*89.177+E99*40.302+F99*40+G99*160+H99*0+I99*100+J99*300)/(122.58+297.941+89.177+40.302+0+40+160+100+300)</f>
        <v>7.0995847188695658</v>
      </c>
      <c r="AC99" s="45">
        <f>(M99*'RAP TEMPLATE-GAS AVAILABILITY'!O98+N99*'RAP TEMPLATE-GAS AVAILABILITY'!P98+O99*'RAP TEMPLATE-GAS AVAILABILITY'!Q98+P99*'RAP TEMPLATE-GAS AVAILABILITY'!R98)/('RAP TEMPLATE-GAS AVAILABILITY'!O98+'RAP TEMPLATE-GAS AVAILABILITY'!P98+'RAP TEMPLATE-GAS AVAILABILITY'!Q98+'RAP TEMPLATE-GAS AVAILABILITY'!R98)</f>
        <v>7.0198705035971232</v>
      </c>
    </row>
    <row r="100" spans="1:29" ht="15.75" x14ac:dyDescent="0.25">
      <c r="A100" s="13">
        <v>43922</v>
      </c>
      <c r="B100" s="14">
        <f>CHOOSE(CONTROL!$C$42, 7.0642, 7.0642) * CHOOSE(CONTROL!$C$21, $C$9, 100%, $E$9)</f>
        <v>7.0641999999999996</v>
      </c>
      <c r="C100" s="14">
        <f>CHOOSE(CONTROL!$C$42, 7.0687, 7.0687) * CHOOSE(CONTROL!$C$21, $C$9, 100%, $E$9)</f>
        <v>7.0686999999999998</v>
      </c>
      <c r="D100" s="14">
        <f>CHOOSE(CONTROL!$C$42, 7.3309, 7.3309) * CHOOSE(CONTROL!$C$21, $C$9, 100%, $E$9)</f>
        <v>7.3308999999999997</v>
      </c>
      <c r="E100" s="14">
        <f>CHOOSE(CONTROL!$C$42, 7.363, 7.363) * CHOOSE(CONTROL!$C$21, $C$9, 100%, $E$9)</f>
        <v>7.3630000000000004</v>
      </c>
      <c r="F100" s="14">
        <f>CHOOSE(CONTROL!$C$42, 7.087, 7.087)*CHOOSE(CONTROL!$C$21, $C$9, 100%, $E$9)</f>
        <v>7.0869999999999997</v>
      </c>
      <c r="G100" s="14">
        <f>CHOOSE(CONTROL!$C$42, 7.1038, 7.1038)*CHOOSE(CONTROL!$C$21, $C$9, 100%, $E$9)</f>
        <v>7.1037999999999997</v>
      </c>
      <c r="H100" s="14">
        <f>CHOOSE(CONTROL!$C$42, 7.3528, 7.3528) * CHOOSE(CONTROL!$C$21, $C$9, 100%, $E$9)</f>
        <v>7.3528000000000002</v>
      </c>
      <c r="I100" s="14">
        <f>CHOOSE(CONTROL!$C$42, 7.1088, 7.1088)* CHOOSE(CONTROL!$C$21, $C$9, 100%, $E$9)</f>
        <v>7.1087999999999996</v>
      </c>
      <c r="J100" s="14">
        <f>CHOOSE(CONTROL!$C$42, 7.08, 7.08)* CHOOSE(CONTROL!$C$21, $C$9, 100%, $E$9)</f>
        <v>7.08</v>
      </c>
      <c r="K100" s="52">
        <f>CHOOSE(CONTROL!$C$42, 7.1049, 7.1049) * CHOOSE(CONTROL!$C$21, $C$9, 100%, $E$9)</f>
        <v>7.1048999999999998</v>
      </c>
      <c r="L100" s="14">
        <f>CHOOSE(CONTROL!$C$42, 7.9398, 7.9398) * CHOOSE(CONTROL!$C$21, $C$9, 100%, $E$9)</f>
        <v>7.9398</v>
      </c>
      <c r="M100" s="14">
        <f>CHOOSE(CONTROL!$C$42, 6.9604, 6.9604) * CHOOSE(CONTROL!$C$21, $C$9, 100%, $E$9)</f>
        <v>6.9603999999999999</v>
      </c>
      <c r="N100" s="14">
        <f>CHOOSE(CONTROL!$C$42, 6.9768, 6.9768) * CHOOSE(CONTROL!$C$21, $C$9, 100%, $E$9)</f>
        <v>6.9767999999999999</v>
      </c>
      <c r="O100" s="14">
        <f>CHOOSE(CONTROL!$C$42, 7.2283, 7.2283) * CHOOSE(CONTROL!$C$21, $C$9, 100%, $E$9)</f>
        <v>7.2282999999999999</v>
      </c>
      <c r="P100" s="14">
        <f>CHOOSE(CONTROL!$C$42, 6.9883, 6.9883) * CHOOSE(CONTROL!$C$21, $C$9, 100%, $E$9)</f>
        <v>6.9882999999999997</v>
      </c>
      <c r="Q100" s="14">
        <f>CHOOSE(CONTROL!$C$42, 7.823, 7.823) * CHOOSE(CONTROL!$C$21, $C$9, 100%, $E$9)</f>
        <v>7.8230000000000004</v>
      </c>
      <c r="R100" s="14">
        <f>CHOOSE(CONTROL!$C$42, 8.4295, 8.4295) * CHOOSE(CONTROL!$C$21, $C$9, 100%, $E$9)</f>
        <v>8.4295000000000009</v>
      </c>
      <c r="S100" s="14">
        <f>CHOOSE(CONTROL!$C$42, 6.7787, 6.7787) * CHOOSE(CONTROL!$C$21, $C$9, 100%, $E$9)</f>
        <v>6.7786999999999997</v>
      </c>
      <c r="T1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0" s="56">
        <f>(1000*CHOOSE(CONTROL!$C$42, 695, 695)*CHOOSE(CONTROL!$C$42, 0.5599, 0.5599)*CHOOSE(CONTROL!$C$42, 30, 30))/1000000</f>
        <v>11.673914999999997</v>
      </c>
      <c r="V100" s="56">
        <f>(1000*CHOOSE(CONTROL!$C$42, 500, 500)*CHOOSE(CONTROL!$C$42, 0.275, 0.275)*CHOOSE(CONTROL!$C$42, 30, 30))/1000000</f>
        <v>4.125</v>
      </c>
      <c r="W100" s="56">
        <f>(1000*CHOOSE(CONTROL!$C$42, 0.1146, 0.1146)*CHOOSE(CONTROL!$C$42, 121.5, 121.5)*CHOOSE(CONTROL!$C$42, 30, 30))/1000000</f>
        <v>0.417717</v>
      </c>
      <c r="X100" s="56">
        <f>(30*0.1790888*245000/1000000)+(30*0.2374*100000/1000000)</f>
        <v>2.0285026799999999</v>
      </c>
      <c r="Y100" s="56"/>
      <c r="Z100" s="14"/>
      <c r="AA100" s="55"/>
      <c r="AB100" s="49">
        <f>(B100*141.293+C100*267.993+D100*115.016+E100*89.698+F100*40+G100*185+H100*0+I100*100+J100*300)/(141.293+267.993+115.016+89.698+0+40+185+100+300)</f>
        <v>7.1256370444713486</v>
      </c>
      <c r="AC100" s="45">
        <f>(M100*'RAP TEMPLATE-GAS AVAILABILITY'!O99+N100*'RAP TEMPLATE-GAS AVAILABILITY'!P99+O100*'RAP TEMPLATE-GAS AVAILABILITY'!Q99+P100*'RAP TEMPLATE-GAS AVAILABILITY'!R99)/('RAP TEMPLATE-GAS AVAILABILITY'!O99+'RAP TEMPLATE-GAS AVAILABILITY'!P99+'RAP TEMPLATE-GAS AVAILABILITY'!Q99+'RAP TEMPLATE-GAS AVAILABILITY'!R99)</f>
        <v>7.0433561151079136</v>
      </c>
    </row>
    <row r="101" spans="1:29" ht="15.75" x14ac:dyDescent="0.25">
      <c r="A101" s="13">
        <v>43952</v>
      </c>
      <c r="B101" s="14">
        <f>CHOOSE(CONTROL!$C$42, 7.1425, 7.1425) * CHOOSE(CONTROL!$C$21, $C$9, 100%, $E$9)</f>
        <v>7.1425000000000001</v>
      </c>
      <c r="C101" s="14">
        <f>CHOOSE(CONTROL!$C$42, 7.1505, 7.1505) * CHOOSE(CONTROL!$C$21, $C$9, 100%, $E$9)</f>
        <v>7.1505000000000001</v>
      </c>
      <c r="D101" s="14">
        <f>CHOOSE(CONTROL!$C$42, 7.4096, 7.4096) * CHOOSE(CONTROL!$C$21, $C$9, 100%, $E$9)</f>
        <v>7.4096000000000002</v>
      </c>
      <c r="E101" s="14">
        <f>CHOOSE(CONTROL!$C$42, 7.4411, 7.4411) * CHOOSE(CONTROL!$C$21, $C$9, 100%, $E$9)</f>
        <v>7.4410999999999996</v>
      </c>
      <c r="F101" s="14">
        <f>CHOOSE(CONTROL!$C$42, 7.164, 7.164)*CHOOSE(CONTROL!$C$21, $C$9, 100%, $E$9)</f>
        <v>7.1639999999999997</v>
      </c>
      <c r="G101" s="14">
        <f>CHOOSE(CONTROL!$C$42, 7.181, 7.181)*CHOOSE(CONTROL!$C$21, $C$9, 100%, $E$9)</f>
        <v>7.181</v>
      </c>
      <c r="H101" s="14">
        <f>CHOOSE(CONTROL!$C$42, 7.4297, 7.4297) * CHOOSE(CONTROL!$C$21, $C$9, 100%, $E$9)</f>
        <v>7.4297000000000004</v>
      </c>
      <c r="I101" s="14">
        <f>CHOOSE(CONTROL!$C$42, 7.186, 7.186)* CHOOSE(CONTROL!$C$21, $C$9, 100%, $E$9)</f>
        <v>7.1859999999999999</v>
      </c>
      <c r="J101" s="14">
        <f>CHOOSE(CONTROL!$C$42, 7.157, 7.157)* CHOOSE(CONTROL!$C$21, $C$9, 100%, $E$9)</f>
        <v>7.157</v>
      </c>
      <c r="K101" s="52">
        <f>CHOOSE(CONTROL!$C$42, 7.1821, 7.1821) * CHOOSE(CONTROL!$C$21, $C$9, 100%, $E$9)</f>
        <v>7.1821000000000002</v>
      </c>
      <c r="L101" s="14">
        <f>CHOOSE(CONTROL!$C$42, 8.0167, 8.0167) * CHOOSE(CONTROL!$C$21, $C$9, 100%, $E$9)</f>
        <v>8.0167000000000002</v>
      </c>
      <c r="M101" s="14">
        <f>CHOOSE(CONTROL!$C$42, 7.036, 7.036) * CHOOSE(CONTROL!$C$21, $C$9, 100%, $E$9)</f>
        <v>7.0359999999999996</v>
      </c>
      <c r="N101" s="14">
        <f>CHOOSE(CONTROL!$C$42, 7.0527, 7.0527) * CHOOSE(CONTROL!$C$21, $C$9, 100%, $E$9)</f>
        <v>7.0526999999999997</v>
      </c>
      <c r="O101" s="14">
        <f>CHOOSE(CONTROL!$C$42, 7.3038, 7.3038) * CHOOSE(CONTROL!$C$21, $C$9, 100%, $E$9)</f>
        <v>7.3037999999999998</v>
      </c>
      <c r="P101" s="14">
        <f>CHOOSE(CONTROL!$C$42, 7.0641, 7.0641) * CHOOSE(CONTROL!$C$21, $C$9, 100%, $E$9)</f>
        <v>7.0640999999999998</v>
      </c>
      <c r="Q101" s="14">
        <f>CHOOSE(CONTROL!$C$42, 7.8985, 7.8985) * CHOOSE(CONTROL!$C$21, $C$9, 100%, $E$9)</f>
        <v>7.8985000000000003</v>
      </c>
      <c r="R101" s="14">
        <f>CHOOSE(CONTROL!$C$42, 8.5052, 8.5052) * CHOOSE(CONTROL!$C$21, $C$9, 100%, $E$9)</f>
        <v>8.5052000000000003</v>
      </c>
      <c r="S101" s="14">
        <f>CHOOSE(CONTROL!$C$42, 6.8526, 6.8526) * CHOOSE(CONTROL!$C$21, $C$9, 100%, $E$9)</f>
        <v>6.8525999999999998</v>
      </c>
      <c r="T1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1" s="56">
        <f>(1000*CHOOSE(CONTROL!$C$42, 695, 695)*CHOOSE(CONTROL!$C$42, 0.5599, 0.5599)*CHOOSE(CONTROL!$C$42, 31, 31))/1000000</f>
        <v>12.063045499999998</v>
      </c>
      <c r="V101" s="56">
        <f>(1000*CHOOSE(CONTROL!$C$42, 500, 500)*CHOOSE(CONTROL!$C$42, 0.275, 0.275)*CHOOSE(CONTROL!$C$42, 31, 31))/1000000</f>
        <v>4.2625000000000002</v>
      </c>
      <c r="W101" s="56">
        <f>(1000*CHOOSE(CONTROL!$C$42, 0.1146, 0.1146)*CHOOSE(CONTROL!$C$42, 121.5, 121.5)*CHOOSE(CONTROL!$C$42, 31, 31))/1000000</f>
        <v>0.43164089999999994</v>
      </c>
      <c r="X101" s="56">
        <f>(31*0.1790888*245000/1000000)+(31*0.2374*100000/1000000)</f>
        <v>2.0961194359999999</v>
      </c>
      <c r="Y101" s="56"/>
      <c r="Z101" s="14"/>
      <c r="AA101" s="55"/>
      <c r="AB101" s="49">
        <f>(B101*194.205+C101*267.466+D101*133.845+E101*53.484+F101*40+G101*185+H101*0+I101*100+J101*300)/(194.205+267.466+133.845+53.484+0+40+185+100+300)</f>
        <v>7.1978709182888547</v>
      </c>
      <c r="AC101" s="45">
        <f>(M101*'RAP TEMPLATE-GAS AVAILABILITY'!O100+N101*'RAP TEMPLATE-GAS AVAILABILITY'!P100+O101*'RAP TEMPLATE-GAS AVAILABILITY'!Q100+P101*'RAP TEMPLATE-GAS AVAILABILITY'!R100)/('RAP TEMPLATE-GAS AVAILABILITY'!O100+'RAP TEMPLATE-GAS AVAILABILITY'!P100+'RAP TEMPLATE-GAS AVAILABILITY'!Q100+'RAP TEMPLATE-GAS AVAILABILITY'!R100)</f>
        <v>7.1190258992805751</v>
      </c>
    </row>
    <row r="102" spans="1:29" ht="15.75" x14ac:dyDescent="0.25">
      <c r="A102" s="13">
        <v>43983</v>
      </c>
      <c r="B102" s="14">
        <f>CHOOSE(CONTROL!$C$42, 7.3599, 7.3599) * CHOOSE(CONTROL!$C$21, $C$9, 100%, $E$9)</f>
        <v>7.3598999999999997</v>
      </c>
      <c r="C102" s="14">
        <f>CHOOSE(CONTROL!$C$42, 7.3679, 7.3679) * CHOOSE(CONTROL!$C$21, $C$9, 100%, $E$9)</f>
        <v>7.3678999999999997</v>
      </c>
      <c r="D102" s="14">
        <f>CHOOSE(CONTROL!$C$42, 7.627, 7.627) * CHOOSE(CONTROL!$C$21, $C$9, 100%, $E$9)</f>
        <v>7.6269999999999998</v>
      </c>
      <c r="E102" s="14">
        <f>CHOOSE(CONTROL!$C$42, 7.6585, 7.6585) * CHOOSE(CONTROL!$C$21, $C$9, 100%, $E$9)</f>
        <v>7.6585000000000001</v>
      </c>
      <c r="F102" s="14">
        <f>CHOOSE(CONTROL!$C$42, 7.3817, 7.3817)*CHOOSE(CONTROL!$C$21, $C$9, 100%, $E$9)</f>
        <v>7.3817000000000004</v>
      </c>
      <c r="G102" s="14">
        <f>CHOOSE(CONTROL!$C$42, 7.3987, 7.3987)*CHOOSE(CONTROL!$C$21, $C$9, 100%, $E$9)</f>
        <v>7.3986999999999998</v>
      </c>
      <c r="H102" s="14">
        <f>CHOOSE(CONTROL!$C$42, 7.6471, 7.6471) * CHOOSE(CONTROL!$C$21, $C$9, 100%, $E$9)</f>
        <v>7.6471</v>
      </c>
      <c r="I102" s="14">
        <f>CHOOSE(CONTROL!$C$42, 7.404, 7.404)* CHOOSE(CONTROL!$C$21, $C$9, 100%, $E$9)</f>
        <v>7.4039999999999999</v>
      </c>
      <c r="J102" s="14">
        <f>CHOOSE(CONTROL!$C$42, 7.3747, 7.3747)* CHOOSE(CONTROL!$C$21, $C$9, 100%, $E$9)</f>
        <v>7.3746999999999998</v>
      </c>
      <c r="K102" s="52">
        <f>CHOOSE(CONTROL!$C$42, 7.4001, 7.4001) * CHOOSE(CONTROL!$C$21, $C$9, 100%, $E$9)</f>
        <v>7.4001000000000001</v>
      </c>
      <c r="L102" s="14">
        <f>CHOOSE(CONTROL!$C$42, 8.2341, 8.2341) * CHOOSE(CONTROL!$C$21, $C$9, 100%, $E$9)</f>
        <v>8.2340999999999998</v>
      </c>
      <c r="M102" s="14">
        <f>CHOOSE(CONTROL!$C$42, 7.2497, 7.2497) * CHOOSE(CONTROL!$C$21, $C$9, 100%, $E$9)</f>
        <v>7.2496999999999998</v>
      </c>
      <c r="N102" s="14">
        <f>CHOOSE(CONTROL!$C$42, 7.2664, 7.2664) * CHOOSE(CONTROL!$C$21, $C$9, 100%, $E$9)</f>
        <v>7.2664</v>
      </c>
      <c r="O102" s="14">
        <f>CHOOSE(CONTROL!$C$42, 7.5173, 7.5173) * CHOOSE(CONTROL!$C$21, $C$9, 100%, $E$9)</f>
        <v>7.5172999999999996</v>
      </c>
      <c r="P102" s="14">
        <f>CHOOSE(CONTROL!$C$42, 7.2782, 7.2782) * CHOOSE(CONTROL!$C$21, $C$9, 100%, $E$9)</f>
        <v>7.2782</v>
      </c>
      <c r="Q102" s="14">
        <f>CHOOSE(CONTROL!$C$42, 8.112, 8.112) * CHOOSE(CONTROL!$C$21, $C$9, 100%, $E$9)</f>
        <v>8.1120000000000001</v>
      </c>
      <c r="R102" s="14">
        <f>CHOOSE(CONTROL!$C$42, 8.7192, 8.7192) * CHOOSE(CONTROL!$C$21, $C$9, 100%, $E$9)</f>
        <v>8.7192000000000007</v>
      </c>
      <c r="S102" s="14">
        <f>CHOOSE(CONTROL!$C$42, 7.0615, 7.0615) * CHOOSE(CONTROL!$C$21, $C$9, 100%, $E$9)</f>
        <v>7.0614999999999997</v>
      </c>
      <c r="T1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2" s="56">
        <f>(1000*CHOOSE(CONTROL!$C$42, 695, 695)*CHOOSE(CONTROL!$C$42, 0.5599, 0.5599)*CHOOSE(CONTROL!$C$42, 30, 30))/1000000</f>
        <v>11.673914999999997</v>
      </c>
      <c r="V102" s="56">
        <f>(1000*CHOOSE(CONTROL!$C$42, 500, 500)*CHOOSE(CONTROL!$C$42, 0.275, 0.275)*CHOOSE(CONTROL!$C$42, 30, 30))/1000000</f>
        <v>4.125</v>
      </c>
      <c r="W102" s="56">
        <f>(1000*CHOOSE(CONTROL!$C$42, 0.1146, 0.1146)*CHOOSE(CONTROL!$C$42, 121.5, 121.5)*CHOOSE(CONTROL!$C$42, 30, 30))/1000000</f>
        <v>0.417717</v>
      </c>
      <c r="X102" s="56">
        <f>(30*0.1790888*245000/1000000)+(30*0.2374*100000/1000000)</f>
        <v>2.0285026799999999</v>
      </c>
      <c r="Y102" s="56"/>
      <c r="Z102" s="14"/>
      <c r="AA102" s="55"/>
      <c r="AB102" s="49">
        <f>(B102*194.205+C102*267.466+D102*133.845+E102*53.484+F102*40+G102*185+H102*0+I102*100+J102*300)/(194.205+267.466+133.845+53.484+0+40+185+100+300)</f>
        <v>7.4154416404238601</v>
      </c>
      <c r="AC102" s="45">
        <f>(M102*'RAP TEMPLATE-GAS AVAILABILITY'!O101+N102*'RAP TEMPLATE-GAS AVAILABILITY'!P101+O102*'RAP TEMPLATE-GAS AVAILABILITY'!Q101+P102*'RAP TEMPLATE-GAS AVAILABILITY'!R101)/('RAP TEMPLATE-GAS AVAILABILITY'!O101+'RAP TEMPLATE-GAS AVAILABILITY'!P101+'RAP TEMPLATE-GAS AVAILABILITY'!Q101+'RAP TEMPLATE-GAS AVAILABILITY'!R101)</f>
        <v>7.3327273381294953</v>
      </c>
    </row>
    <row r="103" spans="1:29" ht="15.75" x14ac:dyDescent="0.25">
      <c r="A103" s="13">
        <v>44013</v>
      </c>
      <c r="B103" s="14">
        <f>CHOOSE(CONTROL!$C$42, 7.2338, 7.2338) * CHOOSE(CONTROL!$C$21, $C$9, 100%, $E$9)</f>
        <v>7.2337999999999996</v>
      </c>
      <c r="C103" s="14">
        <f>CHOOSE(CONTROL!$C$42, 7.2418, 7.2418) * CHOOSE(CONTROL!$C$21, $C$9, 100%, $E$9)</f>
        <v>7.2417999999999996</v>
      </c>
      <c r="D103" s="14">
        <f>CHOOSE(CONTROL!$C$42, 7.5009, 7.5009) * CHOOSE(CONTROL!$C$21, $C$9, 100%, $E$9)</f>
        <v>7.5008999999999997</v>
      </c>
      <c r="E103" s="14">
        <f>CHOOSE(CONTROL!$C$42, 7.5323, 7.5323) * CHOOSE(CONTROL!$C$21, $C$9, 100%, $E$9)</f>
        <v>7.5323000000000002</v>
      </c>
      <c r="F103" s="14">
        <f>CHOOSE(CONTROL!$C$42, 7.256, 7.256)*CHOOSE(CONTROL!$C$21, $C$9, 100%, $E$9)</f>
        <v>7.2560000000000002</v>
      </c>
      <c r="G103" s="14">
        <f>CHOOSE(CONTROL!$C$42, 7.2731, 7.2731)*CHOOSE(CONTROL!$C$21, $C$9, 100%, $E$9)</f>
        <v>7.2731000000000003</v>
      </c>
      <c r="H103" s="14">
        <f>CHOOSE(CONTROL!$C$42, 7.521, 7.521) * CHOOSE(CONTROL!$C$21, $C$9, 100%, $E$9)</f>
        <v>7.5209999999999999</v>
      </c>
      <c r="I103" s="14">
        <f>CHOOSE(CONTROL!$C$42, 7.2775, 7.2775)* CHOOSE(CONTROL!$C$21, $C$9, 100%, $E$9)</f>
        <v>7.2774999999999999</v>
      </c>
      <c r="J103" s="14">
        <f>CHOOSE(CONTROL!$C$42, 7.249, 7.249)* CHOOSE(CONTROL!$C$21, $C$9, 100%, $E$9)</f>
        <v>7.2489999999999997</v>
      </c>
      <c r="K103" s="52">
        <f>CHOOSE(CONTROL!$C$42, 7.2736, 7.2736) * CHOOSE(CONTROL!$C$21, $C$9, 100%, $E$9)</f>
        <v>7.2736000000000001</v>
      </c>
      <c r="L103" s="14">
        <f>CHOOSE(CONTROL!$C$42, 8.108, 8.108) * CHOOSE(CONTROL!$C$21, $C$9, 100%, $E$9)</f>
        <v>8.1080000000000005</v>
      </c>
      <c r="M103" s="14">
        <f>CHOOSE(CONTROL!$C$42, 7.1263, 7.1263) * CHOOSE(CONTROL!$C$21, $C$9, 100%, $E$9)</f>
        <v>7.1262999999999996</v>
      </c>
      <c r="N103" s="14">
        <f>CHOOSE(CONTROL!$C$42, 7.1431, 7.1431) * CHOOSE(CONTROL!$C$21, $C$9, 100%, $E$9)</f>
        <v>7.1430999999999996</v>
      </c>
      <c r="O103" s="14">
        <f>CHOOSE(CONTROL!$C$42, 7.3934, 7.3934) * CHOOSE(CONTROL!$C$21, $C$9, 100%, $E$9)</f>
        <v>7.3933999999999997</v>
      </c>
      <c r="P103" s="14">
        <f>CHOOSE(CONTROL!$C$42, 7.154, 7.154) * CHOOSE(CONTROL!$C$21, $C$9, 100%, $E$9)</f>
        <v>7.1539999999999999</v>
      </c>
      <c r="Q103" s="14">
        <f>CHOOSE(CONTROL!$C$42, 7.9881, 7.9881) * CHOOSE(CONTROL!$C$21, $C$9, 100%, $E$9)</f>
        <v>7.9881000000000002</v>
      </c>
      <c r="R103" s="14">
        <f>CHOOSE(CONTROL!$C$42, 8.5951, 8.5951) * CHOOSE(CONTROL!$C$21, $C$9, 100%, $E$9)</f>
        <v>8.5951000000000004</v>
      </c>
      <c r="S103" s="14">
        <f>CHOOSE(CONTROL!$C$42, 6.9403, 6.9403) * CHOOSE(CONTROL!$C$21, $C$9, 100%, $E$9)</f>
        <v>6.9402999999999997</v>
      </c>
      <c r="T1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3" s="56">
        <f>(1000*CHOOSE(CONTROL!$C$42, 695, 695)*CHOOSE(CONTROL!$C$42, 0.5599, 0.5599)*CHOOSE(CONTROL!$C$42, 31, 31))/1000000</f>
        <v>12.063045499999998</v>
      </c>
      <c r="V103" s="56">
        <f>(1000*CHOOSE(CONTROL!$C$42, 500, 500)*CHOOSE(CONTROL!$C$42, 0.275, 0.275)*CHOOSE(CONTROL!$C$42, 31, 31))/1000000</f>
        <v>4.2625000000000002</v>
      </c>
      <c r="W103" s="56">
        <f>(1000*CHOOSE(CONTROL!$C$42, 0.1146, 0.1146)*CHOOSE(CONTROL!$C$42, 121.5, 121.5)*CHOOSE(CONTROL!$C$42, 31, 31))/1000000</f>
        <v>0.43164089999999994</v>
      </c>
      <c r="X103" s="56">
        <f>(31*0.1790888*245000/1000000)+(31*0.2374*100000/1000000)</f>
        <v>2.0961194359999999</v>
      </c>
      <c r="Y103" s="56"/>
      <c r="Z103" s="14"/>
      <c r="AA103" s="55"/>
      <c r="AB103" s="49">
        <f>(B103*194.205+C103*267.466+D103*133.845+E103*53.484+F103*40+G103*185+H103*0+I103*100+J103*300)/(194.205+267.466+133.845+53.484+0+40+185+100+300)</f>
        <v>7.2894854014913655</v>
      </c>
      <c r="AC103" s="45">
        <f>(M103*'RAP TEMPLATE-GAS AVAILABILITY'!O102+N103*'RAP TEMPLATE-GAS AVAILABILITY'!P102+O103*'RAP TEMPLATE-GAS AVAILABILITY'!Q102+P103*'RAP TEMPLATE-GAS AVAILABILITY'!R102)/('RAP TEMPLATE-GAS AVAILABILITY'!O102+'RAP TEMPLATE-GAS AVAILABILITY'!P102+'RAP TEMPLATE-GAS AVAILABILITY'!Q102+'RAP TEMPLATE-GAS AVAILABILITY'!R102)</f>
        <v>7.2090949640287754</v>
      </c>
    </row>
    <row r="104" spans="1:29" ht="15.75" x14ac:dyDescent="0.25">
      <c r="A104" s="13">
        <v>44044</v>
      </c>
      <c r="B104" s="14">
        <f>CHOOSE(CONTROL!$C$42, 6.8912, 6.8912) * CHOOSE(CONTROL!$C$21, $C$9, 100%, $E$9)</f>
        <v>6.8912000000000004</v>
      </c>
      <c r="C104" s="14">
        <f>CHOOSE(CONTROL!$C$42, 6.8992, 6.8992) * CHOOSE(CONTROL!$C$21, $C$9, 100%, $E$9)</f>
        <v>6.8992000000000004</v>
      </c>
      <c r="D104" s="14">
        <f>CHOOSE(CONTROL!$C$42, 7.1583, 7.1583) * CHOOSE(CONTROL!$C$21, $C$9, 100%, $E$9)</f>
        <v>7.1582999999999997</v>
      </c>
      <c r="E104" s="14">
        <f>CHOOSE(CONTROL!$C$42, 7.1898, 7.1898) * CHOOSE(CONTROL!$C$21, $C$9, 100%, $E$9)</f>
        <v>7.1898</v>
      </c>
      <c r="F104" s="14">
        <f>CHOOSE(CONTROL!$C$42, 6.9136, 6.9136)*CHOOSE(CONTROL!$C$21, $C$9, 100%, $E$9)</f>
        <v>6.9135999999999997</v>
      </c>
      <c r="G104" s="14">
        <f>CHOOSE(CONTROL!$C$42, 6.9308, 6.9308)*CHOOSE(CONTROL!$C$21, $C$9, 100%, $E$9)</f>
        <v>6.9307999999999996</v>
      </c>
      <c r="H104" s="14">
        <f>CHOOSE(CONTROL!$C$42, 7.1784, 7.1784) * CHOOSE(CONTROL!$C$21, $C$9, 100%, $E$9)</f>
        <v>7.1783999999999999</v>
      </c>
      <c r="I104" s="14">
        <f>CHOOSE(CONTROL!$C$42, 6.9339, 6.9339)* CHOOSE(CONTROL!$C$21, $C$9, 100%, $E$9)</f>
        <v>6.9339000000000004</v>
      </c>
      <c r="J104" s="14">
        <f>CHOOSE(CONTROL!$C$42, 6.9066, 6.9066)* CHOOSE(CONTROL!$C$21, $C$9, 100%, $E$9)</f>
        <v>6.9066000000000001</v>
      </c>
      <c r="K104" s="52">
        <f>CHOOSE(CONTROL!$C$42, 6.93, 6.93) * CHOOSE(CONTROL!$C$21, $C$9, 100%, $E$9)</f>
        <v>6.93</v>
      </c>
      <c r="L104" s="14">
        <f>CHOOSE(CONTROL!$C$42, 7.7654, 7.7654) * CHOOSE(CONTROL!$C$21, $C$9, 100%, $E$9)</f>
        <v>7.7653999999999996</v>
      </c>
      <c r="M104" s="14">
        <f>CHOOSE(CONTROL!$C$42, 6.7901, 6.7901) * CHOOSE(CONTROL!$C$21, $C$9, 100%, $E$9)</f>
        <v>6.7900999999999998</v>
      </c>
      <c r="N104" s="14">
        <f>CHOOSE(CONTROL!$C$42, 6.807, 6.807) * CHOOSE(CONTROL!$C$21, $C$9, 100%, $E$9)</f>
        <v>6.8070000000000004</v>
      </c>
      <c r="O104" s="14">
        <f>CHOOSE(CONTROL!$C$42, 7.057, 7.057) * CHOOSE(CONTROL!$C$21, $C$9, 100%, $E$9)</f>
        <v>7.0570000000000004</v>
      </c>
      <c r="P104" s="14">
        <f>CHOOSE(CONTROL!$C$42, 6.8165, 6.8165) * CHOOSE(CONTROL!$C$21, $C$9, 100%, $E$9)</f>
        <v>6.8164999999999996</v>
      </c>
      <c r="Q104" s="14">
        <f>CHOOSE(CONTROL!$C$42, 7.6517, 7.6517) * CHOOSE(CONTROL!$C$21, $C$9, 100%, $E$9)</f>
        <v>7.6516999999999999</v>
      </c>
      <c r="R104" s="14">
        <f>CHOOSE(CONTROL!$C$42, 8.2578, 8.2578) * CHOOSE(CONTROL!$C$21, $C$9, 100%, $E$9)</f>
        <v>8.2577999999999996</v>
      </c>
      <c r="S104" s="14">
        <f>CHOOSE(CONTROL!$C$42, 6.6111, 6.6111) * CHOOSE(CONTROL!$C$21, $C$9, 100%, $E$9)</f>
        <v>6.6111000000000004</v>
      </c>
      <c r="T1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4" s="56">
        <f>(1000*CHOOSE(CONTROL!$C$42, 695, 695)*CHOOSE(CONTROL!$C$42, 0.5599, 0.5599)*CHOOSE(CONTROL!$C$42, 31, 31))/1000000</f>
        <v>12.063045499999998</v>
      </c>
      <c r="V104" s="56">
        <f>(1000*CHOOSE(CONTROL!$C$42, 500, 500)*CHOOSE(CONTROL!$C$42, 0.275, 0.275)*CHOOSE(CONTROL!$C$42, 31, 31))/1000000</f>
        <v>4.2625000000000002</v>
      </c>
      <c r="W104" s="56">
        <f>(1000*CHOOSE(CONTROL!$C$42, 0.1146, 0.1146)*CHOOSE(CONTROL!$C$42, 121.5, 121.5)*CHOOSE(CONTROL!$C$42, 31, 31))/1000000</f>
        <v>0.43164089999999994</v>
      </c>
      <c r="X104" s="56">
        <f>(31*0.1790888*245000/1000000)+(31*0.2374*100000/1000000)</f>
        <v>2.0961194359999999</v>
      </c>
      <c r="Y104" s="56"/>
      <c r="Z104" s="14"/>
      <c r="AA104" s="55"/>
      <c r="AB104" s="49">
        <f>(B104*194.205+C104*267.466+D104*133.845+E104*53.484+F104*40+G104*185+H104*0+I104*100+J104*300)/(194.205+267.466+133.845+53.484+0+40+185+100+300)</f>
        <v>6.9469080454474117</v>
      </c>
      <c r="AC104" s="45">
        <f>(M104*'RAP TEMPLATE-GAS AVAILABILITY'!O103+N104*'RAP TEMPLATE-GAS AVAILABILITY'!P103+O104*'RAP TEMPLATE-GAS AVAILABILITY'!Q103+P104*'RAP TEMPLATE-GAS AVAILABILITY'!R103)/('RAP TEMPLATE-GAS AVAILABILITY'!O103+'RAP TEMPLATE-GAS AVAILABILITY'!P103+'RAP TEMPLATE-GAS AVAILABILITY'!Q103+'RAP TEMPLATE-GAS AVAILABILITY'!R103)</f>
        <v>6.8726748201438852</v>
      </c>
    </row>
    <row r="105" spans="1:29" ht="15.75" x14ac:dyDescent="0.25">
      <c r="A105" s="13">
        <v>44075</v>
      </c>
      <c r="B105" s="14">
        <f>CHOOSE(CONTROL!$C$42, 6.4675, 6.4675) * CHOOSE(CONTROL!$C$21, $C$9, 100%, $E$9)</f>
        <v>6.4675000000000002</v>
      </c>
      <c r="C105" s="14">
        <f>CHOOSE(CONTROL!$C$42, 6.4755, 6.4755) * CHOOSE(CONTROL!$C$21, $C$9, 100%, $E$9)</f>
        <v>6.4755000000000003</v>
      </c>
      <c r="D105" s="14">
        <f>CHOOSE(CONTROL!$C$42, 6.7346, 6.7346) * CHOOSE(CONTROL!$C$21, $C$9, 100%, $E$9)</f>
        <v>6.7346000000000004</v>
      </c>
      <c r="E105" s="14">
        <f>CHOOSE(CONTROL!$C$42, 6.7661, 6.7661) * CHOOSE(CONTROL!$C$21, $C$9, 100%, $E$9)</f>
        <v>6.7660999999999998</v>
      </c>
      <c r="F105" s="14">
        <f>CHOOSE(CONTROL!$C$42, 6.49, 6.49)*CHOOSE(CONTROL!$C$21, $C$9, 100%, $E$9)</f>
        <v>6.49</v>
      </c>
      <c r="G105" s="14">
        <f>CHOOSE(CONTROL!$C$42, 6.5072, 6.5072)*CHOOSE(CONTROL!$C$21, $C$9, 100%, $E$9)</f>
        <v>6.5072000000000001</v>
      </c>
      <c r="H105" s="14">
        <f>CHOOSE(CONTROL!$C$42, 6.7547, 6.7547) * CHOOSE(CONTROL!$C$21, $C$9, 100%, $E$9)</f>
        <v>6.7546999999999997</v>
      </c>
      <c r="I105" s="14">
        <f>CHOOSE(CONTROL!$C$42, 6.5088, 6.5088)* CHOOSE(CONTROL!$C$21, $C$9, 100%, $E$9)</f>
        <v>6.5087999999999999</v>
      </c>
      <c r="J105" s="14">
        <f>CHOOSE(CONTROL!$C$42, 6.483, 6.483)* CHOOSE(CONTROL!$C$21, $C$9, 100%, $E$9)</f>
        <v>6.4829999999999997</v>
      </c>
      <c r="K105" s="52">
        <f>CHOOSE(CONTROL!$C$42, 6.5049, 6.5049) * CHOOSE(CONTROL!$C$21, $C$9, 100%, $E$9)</f>
        <v>6.5049000000000001</v>
      </c>
      <c r="L105" s="14">
        <f>CHOOSE(CONTROL!$C$42, 7.3417, 7.3417) * CHOOSE(CONTROL!$C$21, $C$9, 100%, $E$9)</f>
        <v>7.3417000000000003</v>
      </c>
      <c r="M105" s="14">
        <f>CHOOSE(CONTROL!$C$42, 6.374, 6.374) * CHOOSE(CONTROL!$C$21, $C$9, 100%, $E$9)</f>
        <v>6.3739999999999997</v>
      </c>
      <c r="N105" s="14">
        <f>CHOOSE(CONTROL!$C$42, 6.391, 6.391) * CHOOSE(CONTROL!$C$21, $C$9, 100%, $E$9)</f>
        <v>6.391</v>
      </c>
      <c r="O105" s="14">
        <f>CHOOSE(CONTROL!$C$42, 6.6409, 6.6409) * CHOOSE(CONTROL!$C$21, $C$9, 100%, $E$9)</f>
        <v>6.6409000000000002</v>
      </c>
      <c r="P105" s="14">
        <f>CHOOSE(CONTROL!$C$42, 6.3992, 6.3992) * CHOOSE(CONTROL!$C$21, $C$9, 100%, $E$9)</f>
        <v>6.3992000000000004</v>
      </c>
      <c r="Q105" s="14">
        <f>CHOOSE(CONTROL!$C$42, 7.2356, 7.2356) * CHOOSE(CONTROL!$C$21, $C$9, 100%, $E$9)</f>
        <v>7.2355999999999998</v>
      </c>
      <c r="R105" s="14">
        <f>CHOOSE(CONTROL!$C$42, 7.8407, 7.8407) * CHOOSE(CONTROL!$C$21, $C$9, 100%, $E$9)</f>
        <v>7.8407</v>
      </c>
      <c r="S105" s="14">
        <f>CHOOSE(CONTROL!$C$42, 6.204, 6.204) * CHOOSE(CONTROL!$C$21, $C$9, 100%, $E$9)</f>
        <v>6.2039999999999997</v>
      </c>
      <c r="T1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5" s="56">
        <f>(1000*CHOOSE(CONTROL!$C$42, 695, 695)*CHOOSE(CONTROL!$C$42, 0.5599, 0.5599)*CHOOSE(CONTROL!$C$42, 30, 30))/1000000</f>
        <v>11.673914999999997</v>
      </c>
      <c r="V105" s="56">
        <f>(1000*CHOOSE(CONTROL!$C$42, 500, 500)*CHOOSE(CONTROL!$C$42, 0.275, 0.275)*CHOOSE(CONTROL!$C$42, 30, 30))/1000000</f>
        <v>4.125</v>
      </c>
      <c r="W105" s="56">
        <f>(1000*CHOOSE(CONTROL!$C$42, 0.1146, 0.1146)*CHOOSE(CONTROL!$C$42, 121.5, 121.5)*CHOOSE(CONTROL!$C$42, 30, 30))/1000000</f>
        <v>0.417717</v>
      </c>
      <c r="X105" s="56">
        <f>(30*0.1790888*245000/1000000)+(30*0.2374*100000/1000000)</f>
        <v>2.0285026799999999</v>
      </c>
      <c r="Y105" s="56"/>
      <c r="Z105" s="14"/>
      <c r="AA105" s="55"/>
      <c r="AB105" s="49">
        <f>(B105*194.205+C105*267.466+D105*133.845+E105*53.484+F105*40+G105*185+H105*0+I105*100+J105*300)/(194.205+267.466+133.845+53.484+0+40+185+100+300)</f>
        <v>6.5231393641287294</v>
      </c>
      <c r="AC105" s="45">
        <f>(M105*'RAP TEMPLATE-GAS AVAILABILITY'!O104+N105*'RAP TEMPLATE-GAS AVAILABILITY'!P104+O105*'RAP TEMPLATE-GAS AVAILABILITY'!Q104+P105*'RAP TEMPLATE-GAS AVAILABILITY'!R104)/('RAP TEMPLATE-GAS AVAILABILITY'!O104+'RAP TEMPLATE-GAS AVAILABILITY'!P104+'RAP TEMPLATE-GAS AVAILABILITY'!Q104+'RAP TEMPLATE-GAS AVAILABILITY'!R104)</f>
        <v>6.4564251798561152</v>
      </c>
    </row>
    <row r="106" spans="1:29" ht="15.75" x14ac:dyDescent="0.25">
      <c r="A106" s="13">
        <v>44105</v>
      </c>
      <c r="B106" s="14">
        <f>CHOOSE(CONTROL!$C$42, 6.3477, 6.3477) * CHOOSE(CONTROL!$C$21, $C$9, 100%, $E$9)</f>
        <v>6.3476999999999997</v>
      </c>
      <c r="C106" s="14">
        <f>CHOOSE(CONTROL!$C$42, 6.353, 6.353) * CHOOSE(CONTROL!$C$21, $C$9, 100%, $E$9)</f>
        <v>6.3529999999999998</v>
      </c>
      <c r="D106" s="14">
        <f>CHOOSE(CONTROL!$C$42, 6.6171, 6.6171) * CHOOSE(CONTROL!$C$21, $C$9, 100%, $E$9)</f>
        <v>6.6170999999999998</v>
      </c>
      <c r="E106" s="14">
        <f>CHOOSE(CONTROL!$C$42, 6.6462, 6.6462) * CHOOSE(CONTROL!$C$21, $C$9, 100%, $E$9)</f>
        <v>6.6462000000000003</v>
      </c>
      <c r="F106" s="14">
        <f>CHOOSE(CONTROL!$C$42, 6.3723, 6.3723)*CHOOSE(CONTROL!$C$21, $C$9, 100%, $E$9)</f>
        <v>6.3723000000000001</v>
      </c>
      <c r="G106" s="14">
        <f>CHOOSE(CONTROL!$C$42, 6.3894, 6.3894)*CHOOSE(CONTROL!$C$21, $C$9, 100%, $E$9)</f>
        <v>6.3894000000000002</v>
      </c>
      <c r="H106" s="14">
        <f>CHOOSE(CONTROL!$C$42, 6.6366, 6.6366) * CHOOSE(CONTROL!$C$21, $C$9, 100%, $E$9)</f>
        <v>6.6365999999999996</v>
      </c>
      <c r="I106" s="14">
        <f>CHOOSE(CONTROL!$C$42, 6.3904, 6.3904)* CHOOSE(CONTROL!$C$21, $C$9, 100%, $E$9)</f>
        <v>6.3903999999999996</v>
      </c>
      <c r="J106" s="14">
        <f>CHOOSE(CONTROL!$C$42, 6.3653, 6.3653)* CHOOSE(CONTROL!$C$21, $C$9, 100%, $E$9)</f>
        <v>6.3653000000000004</v>
      </c>
      <c r="K106" s="52">
        <f>CHOOSE(CONTROL!$C$42, 6.3865, 6.3865) * CHOOSE(CONTROL!$C$21, $C$9, 100%, $E$9)</f>
        <v>6.3864999999999998</v>
      </c>
      <c r="L106" s="14">
        <f>CHOOSE(CONTROL!$C$42, 7.2236, 7.2236) * CHOOSE(CONTROL!$C$21, $C$9, 100%, $E$9)</f>
        <v>7.2236000000000002</v>
      </c>
      <c r="M106" s="14">
        <f>CHOOSE(CONTROL!$C$42, 6.2585, 6.2585) * CHOOSE(CONTROL!$C$21, $C$9, 100%, $E$9)</f>
        <v>6.2584999999999997</v>
      </c>
      <c r="N106" s="14">
        <f>CHOOSE(CONTROL!$C$42, 6.2753, 6.2753) * CHOOSE(CONTROL!$C$21, $C$9, 100%, $E$9)</f>
        <v>6.2752999999999997</v>
      </c>
      <c r="O106" s="14">
        <f>CHOOSE(CONTROL!$C$42, 6.525, 6.525) * CHOOSE(CONTROL!$C$21, $C$9, 100%, $E$9)</f>
        <v>6.5250000000000004</v>
      </c>
      <c r="P106" s="14">
        <f>CHOOSE(CONTROL!$C$42, 6.2829, 6.2829) * CHOOSE(CONTROL!$C$21, $C$9, 100%, $E$9)</f>
        <v>6.2828999999999997</v>
      </c>
      <c r="Q106" s="14">
        <f>CHOOSE(CONTROL!$C$42, 7.1197, 7.1197) * CHOOSE(CONTROL!$C$21, $C$9, 100%, $E$9)</f>
        <v>7.1196999999999999</v>
      </c>
      <c r="R106" s="14">
        <f>CHOOSE(CONTROL!$C$42, 7.7245, 7.7245) * CHOOSE(CONTROL!$C$21, $C$9, 100%, $E$9)</f>
        <v>7.7244999999999999</v>
      </c>
      <c r="S106" s="14">
        <f>CHOOSE(CONTROL!$C$42, 6.0905, 6.0905) * CHOOSE(CONTROL!$C$21, $C$9, 100%, $E$9)</f>
        <v>6.0904999999999996</v>
      </c>
      <c r="T1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6" s="56">
        <f>(1000*CHOOSE(CONTROL!$C$42, 695, 695)*CHOOSE(CONTROL!$C$42, 0.5599, 0.5599)*CHOOSE(CONTROL!$C$42, 31, 31))/1000000</f>
        <v>12.063045499999998</v>
      </c>
      <c r="V106" s="56">
        <f>(1000*CHOOSE(CONTROL!$C$42, 500, 500)*CHOOSE(CONTROL!$C$42, 0.275, 0.275)*CHOOSE(CONTROL!$C$42, 31, 31))/1000000</f>
        <v>4.2625000000000002</v>
      </c>
      <c r="W106" s="56">
        <f>(1000*CHOOSE(CONTROL!$C$42, 0.1146, 0.1146)*CHOOSE(CONTROL!$C$42, 121.5, 121.5)*CHOOSE(CONTROL!$C$42, 31, 31))/1000000</f>
        <v>0.43164089999999994</v>
      </c>
      <c r="X106" s="56">
        <f>(31*0.1790888*245000/1000000)+(31*0.2374*100000/1000000)</f>
        <v>2.0961194359999999</v>
      </c>
      <c r="Y106" s="56"/>
      <c r="Z106" s="14"/>
      <c r="AA106" s="55"/>
      <c r="AB106" s="49">
        <f>(B106*131.881+C106*277.167+D106*79.08+E106*125.872+F106*40+G106*185+H106*0+I106*100+J106*300)/(131.881+277.167+79.08+125.872+0+40+185+100+300)</f>
        <v>6.4111337603712668</v>
      </c>
      <c r="AC106" s="45">
        <f>(M106*'RAP TEMPLATE-GAS AVAILABILITY'!O105+N106*'RAP TEMPLATE-GAS AVAILABILITY'!P105+O106*'RAP TEMPLATE-GAS AVAILABILITY'!Q105+P106*'RAP TEMPLATE-GAS AVAILABILITY'!R105)/('RAP TEMPLATE-GAS AVAILABILITY'!O105+'RAP TEMPLATE-GAS AVAILABILITY'!P105+'RAP TEMPLATE-GAS AVAILABILITY'!Q105+'RAP TEMPLATE-GAS AVAILABILITY'!R105)</f>
        <v>6.3406517985611508</v>
      </c>
    </row>
    <row r="107" spans="1:29" ht="15.75" x14ac:dyDescent="0.25">
      <c r="A107" s="13">
        <v>44136</v>
      </c>
      <c r="B107" s="14">
        <f>CHOOSE(CONTROL!$C$42, 6.5276, 6.5276) * CHOOSE(CONTROL!$C$21, $C$9, 100%, $E$9)</f>
        <v>6.5275999999999996</v>
      </c>
      <c r="C107" s="14">
        <f>CHOOSE(CONTROL!$C$42, 6.5327, 6.5327) * CHOOSE(CONTROL!$C$21, $C$9, 100%, $E$9)</f>
        <v>6.5327000000000002</v>
      </c>
      <c r="D107" s="14">
        <f>CHOOSE(CONTROL!$C$42, 6.6158, 6.6158) * CHOOSE(CONTROL!$C$21, $C$9, 100%, $E$9)</f>
        <v>6.6158000000000001</v>
      </c>
      <c r="E107" s="14">
        <f>CHOOSE(CONTROL!$C$42, 6.6499, 6.6499) * CHOOSE(CONTROL!$C$21, $C$9, 100%, $E$9)</f>
        <v>6.6498999999999997</v>
      </c>
      <c r="F107" s="14">
        <f>CHOOSE(CONTROL!$C$42, 6.5552, 6.5552)*CHOOSE(CONTROL!$C$21, $C$9, 100%, $E$9)</f>
        <v>6.5552000000000001</v>
      </c>
      <c r="G107" s="14">
        <f>CHOOSE(CONTROL!$C$42, 6.5726, 6.5726)*CHOOSE(CONTROL!$C$21, $C$9, 100%, $E$9)</f>
        <v>6.5726000000000004</v>
      </c>
      <c r="H107" s="14">
        <f>CHOOSE(CONTROL!$C$42, 6.6391, 6.6391) * CHOOSE(CONTROL!$C$21, $C$9, 100%, $E$9)</f>
        <v>6.6391</v>
      </c>
      <c r="I107" s="14">
        <f>CHOOSE(CONTROL!$C$42, 6.5677, 6.5677)* CHOOSE(CONTROL!$C$21, $C$9, 100%, $E$9)</f>
        <v>6.5677000000000003</v>
      </c>
      <c r="J107" s="14">
        <f>CHOOSE(CONTROL!$C$42, 6.5482, 6.5482)* CHOOSE(CONTROL!$C$21, $C$9, 100%, $E$9)</f>
        <v>6.5481999999999996</v>
      </c>
      <c r="K107" s="52">
        <f>CHOOSE(CONTROL!$C$42, 6.5638, 6.5638) * CHOOSE(CONTROL!$C$21, $C$9, 100%, $E$9)</f>
        <v>6.5637999999999996</v>
      </c>
      <c r="L107" s="14">
        <f>CHOOSE(CONTROL!$C$42, 7.2261, 7.2261) * CHOOSE(CONTROL!$C$21, $C$9, 100%, $E$9)</f>
        <v>7.2260999999999997</v>
      </c>
      <c r="M107" s="14">
        <f>CHOOSE(CONTROL!$C$42, 6.4382, 6.4382) * CHOOSE(CONTROL!$C$21, $C$9, 100%, $E$9)</f>
        <v>6.4382000000000001</v>
      </c>
      <c r="N107" s="14">
        <f>CHOOSE(CONTROL!$C$42, 6.4552, 6.4552) * CHOOSE(CONTROL!$C$21, $C$9, 100%, $E$9)</f>
        <v>6.4551999999999996</v>
      </c>
      <c r="O107" s="14">
        <f>CHOOSE(CONTROL!$C$42, 6.5273, 6.5273) * CHOOSE(CONTROL!$C$21, $C$9, 100%, $E$9)</f>
        <v>6.5273000000000003</v>
      </c>
      <c r="P107" s="14">
        <f>CHOOSE(CONTROL!$C$42, 6.457, 6.457) * CHOOSE(CONTROL!$C$21, $C$9, 100%, $E$9)</f>
        <v>6.4569999999999999</v>
      </c>
      <c r="Q107" s="14">
        <f>CHOOSE(CONTROL!$C$42, 7.122, 7.122) * CHOOSE(CONTROL!$C$21, $C$9, 100%, $E$9)</f>
        <v>7.1219999999999999</v>
      </c>
      <c r="R107" s="14">
        <f>CHOOSE(CONTROL!$C$42, 7.7268, 7.7268) * CHOOSE(CONTROL!$C$21, $C$9, 100%, $E$9)</f>
        <v>7.7267999999999999</v>
      </c>
      <c r="S107" s="14">
        <f>CHOOSE(CONTROL!$C$42, 6.2639, 6.2639) * CHOOSE(CONTROL!$C$21, $C$9, 100%, $E$9)</f>
        <v>6.2638999999999996</v>
      </c>
      <c r="T1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7" s="56">
        <f>(1000*CHOOSE(CONTROL!$C$42, 695, 695)*CHOOSE(CONTROL!$C$42, 0.5599, 0.5599)*CHOOSE(CONTROL!$C$42, 30, 30))/1000000</f>
        <v>11.673914999999997</v>
      </c>
      <c r="V107" s="56">
        <f>(1000*CHOOSE(CONTROL!$C$42, 500, 500)*CHOOSE(CONTROL!$C$42, 0.275, 0.275)*CHOOSE(CONTROL!$C$42, 30, 30))/1000000</f>
        <v>4.125</v>
      </c>
      <c r="W107" s="56">
        <f>(1000*CHOOSE(CONTROL!$C$42, 0.1146, 0.1146)*CHOOSE(CONTROL!$C$42, 121.5, 121.5)*CHOOSE(CONTROL!$C$42, 30, 30))/1000000</f>
        <v>0.417717</v>
      </c>
      <c r="X107" s="56">
        <f>(30*0.1790888*100000/1000000)+(30*0.2374*100000/1000000)</f>
        <v>1.2494664</v>
      </c>
      <c r="Y107" s="56"/>
      <c r="Z107" s="14"/>
      <c r="AA107" s="55"/>
      <c r="AB107" s="49">
        <f>(B107*122.58+C107*297.941+D107*89.177+E107*40.302+F107*40+G107*160+H107*0+I107*100+J107*300)/(122.58+297.941+89.177+40.302+0+40+160+100+300)</f>
        <v>6.5561285609565223</v>
      </c>
      <c r="AC107" s="45">
        <f>(M107*'RAP TEMPLATE-GAS AVAILABILITY'!O106+N107*'RAP TEMPLATE-GAS AVAILABILITY'!P106+O107*'RAP TEMPLATE-GAS AVAILABILITY'!Q106+P107*'RAP TEMPLATE-GAS AVAILABILITY'!R106)/('RAP TEMPLATE-GAS AVAILABILITY'!O106+'RAP TEMPLATE-GAS AVAILABILITY'!P106+'RAP TEMPLATE-GAS AVAILABILITY'!Q106+'RAP TEMPLATE-GAS AVAILABILITY'!R106)</f>
        <v>6.4822669064748206</v>
      </c>
    </row>
    <row r="108" spans="1:29" ht="15.75" x14ac:dyDescent="0.25">
      <c r="A108" s="13">
        <v>44166</v>
      </c>
      <c r="B108" s="14">
        <f>CHOOSE(CONTROL!$C$42, 6.9864, 6.9864) * CHOOSE(CONTROL!$C$21, $C$9, 100%, $E$9)</f>
        <v>6.9863999999999997</v>
      </c>
      <c r="C108" s="14">
        <f>CHOOSE(CONTROL!$C$42, 6.9914, 6.9914) * CHOOSE(CONTROL!$C$21, $C$9, 100%, $E$9)</f>
        <v>6.9913999999999996</v>
      </c>
      <c r="D108" s="14">
        <f>CHOOSE(CONTROL!$C$42, 7.0745, 7.0745) * CHOOSE(CONTROL!$C$21, $C$9, 100%, $E$9)</f>
        <v>7.0744999999999996</v>
      </c>
      <c r="E108" s="14">
        <f>CHOOSE(CONTROL!$C$42, 7.1086, 7.1086) * CHOOSE(CONTROL!$C$21, $C$9, 100%, $E$9)</f>
        <v>7.1086</v>
      </c>
      <c r="F108" s="14">
        <f>CHOOSE(CONTROL!$C$42, 7.0164, 7.0164)*CHOOSE(CONTROL!$C$21, $C$9, 100%, $E$9)</f>
        <v>7.0164</v>
      </c>
      <c r="G108" s="14">
        <f>CHOOSE(CONTROL!$C$42, 7.0344, 7.0344)*CHOOSE(CONTROL!$C$21, $C$9, 100%, $E$9)</f>
        <v>7.0343999999999998</v>
      </c>
      <c r="H108" s="14">
        <f>CHOOSE(CONTROL!$C$42, 7.0978, 7.0978) * CHOOSE(CONTROL!$C$21, $C$9, 100%, $E$9)</f>
        <v>7.0978000000000003</v>
      </c>
      <c r="I108" s="14">
        <f>CHOOSE(CONTROL!$C$42, 7.0279, 7.0279)* CHOOSE(CONTROL!$C$21, $C$9, 100%, $E$9)</f>
        <v>7.0278999999999998</v>
      </c>
      <c r="J108" s="14">
        <f>CHOOSE(CONTROL!$C$42, 7.0094, 7.0094)* CHOOSE(CONTROL!$C$21, $C$9, 100%, $E$9)</f>
        <v>7.0094000000000003</v>
      </c>
      <c r="K108" s="52">
        <f>CHOOSE(CONTROL!$C$42, 7.024, 7.024) * CHOOSE(CONTROL!$C$21, $C$9, 100%, $E$9)</f>
        <v>7.024</v>
      </c>
      <c r="L108" s="14">
        <f>CHOOSE(CONTROL!$C$42, 7.6848, 7.6848) * CHOOSE(CONTROL!$C$21, $C$9, 100%, $E$9)</f>
        <v>7.6848000000000001</v>
      </c>
      <c r="M108" s="14">
        <f>CHOOSE(CONTROL!$C$42, 6.891, 6.891) * CHOOSE(CONTROL!$C$21, $C$9, 100%, $E$9)</f>
        <v>6.891</v>
      </c>
      <c r="N108" s="14">
        <f>CHOOSE(CONTROL!$C$42, 6.9087, 6.9087) * CHOOSE(CONTROL!$C$21, $C$9, 100%, $E$9)</f>
        <v>6.9086999999999996</v>
      </c>
      <c r="O108" s="14">
        <f>CHOOSE(CONTROL!$C$42, 6.9778, 6.9778) * CHOOSE(CONTROL!$C$21, $C$9, 100%, $E$9)</f>
        <v>6.9778000000000002</v>
      </c>
      <c r="P108" s="14">
        <f>CHOOSE(CONTROL!$C$42, 6.9088, 6.9088) * CHOOSE(CONTROL!$C$21, $C$9, 100%, $E$9)</f>
        <v>6.9088000000000003</v>
      </c>
      <c r="Q108" s="14">
        <f>CHOOSE(CONTROL!$C$42, 7.5725, 7.5725) * CHOOSE(CONTROL!$C$21, $C$9, 100%, $E$9)</f>
        <v>7.5724999999999998</v>
      </c>
      <c r="R108" s="14">
        <f>CHOOSE(CONTROL!$C$42, 8.1784, 8.1784) * CHOOSE(CONTROL!$C$21, $C$9, 100%, $E$9)</f>
        <v>8.1783999999999999</v>
      </c>
      <c r="S108" s="14">
        <f>CHOOSE(CONTROL!$C$42, 6.7046, 6.7046) * CHOOSE(CONTROL!$C$21, $C$9, 100%, $E$9)</f>
        <v>6.7046000000000001</v>
      </c>
      <c r="T1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8" s="56">
        <f>(1000*CHOOSE(CONTROL!$C$42, 695, 695)*CHOOSE(CONTROL!$C$42, 0.5599, 0.5599)*CHOOSE(CONTROL!$C$42, 31, 31))/1000000</f>
        <v>12.063045499999998</v>
      </c>
      <c r="V108" s="56">
        <f>(1000*CHOOSE(CONTROL!$C$42, 500, 500)*CHOOSE(CONTROL!$C$42, 0.275, 0.275)*CHOOSE(CONTROL!$C$42, 31, 31))/1000000</f>
        <v>4.2625000000000002</v>
      </c>
      <c r="W108" s="56">
        <f>(1000*CHOOSE(CONTROL!$C$42, 0.1146, 0.1146)*CHOOSE(CONTROL!$C$42, 121.5, 121.5)*CHOOSE(CONTROL!$C$42, 31, 31))/1000000</f>
        <v>0.43164089999999994</v>
      </c>
      <c r="X108" s="56">
        <f>(31*0.1790888*100000/1000000)+(31*0.2374*100000/1000000)</f>
        <v>1.2911152800000001</v>
      </c>
      <c r="Y108" s="56"/>
      <c r="Z108" s="14"/>
      <c r="AA108" s="55"/>
      <c r="AB108" s="49">
        <f>(B108*122.58+C108*297.941+D108*89.177+E108*40.302+F108*40+G108*160+H108*0+I108*100+J108*300)/(122.58+297.941+89.177+40.302+0+40+160+100+300)</f>
        <v>7.0161400896521746</v>
      </c>
      <c r="AC108" s="45">
        <f>(M108*'RAP TEMPLATE-GAS AVAILABILITY'!O107+N108*'RAP TEMPLATE-GAS AVAILABILITY'!P107+O108*'RAP TEMPLATE-GAS AVAILABILITY'!Q107+P108*'RAP TEMPLATE-GAS AVAILABILITY'!R107)/('RAP TEMPLATE-GAS AVAILABILITY'!O107+'RAP TEMPLATE-GAS AVAILABILITY'!P107+'RAP TEMPLATE-GAS AVAILABILITY'!Q107+'RAP TEMPLATE-GAS AVAILABILITY'!R107)</f>
        <v>6.9339208633093525</v>
      </c>
    </row>
    <row r="109" spans="1:29" ht="15.75" x14ac:dyDescent="0.25">
      <c r="A109" s="13">
        <v>44197</v>
      </c>
      <c r="B109" s="14">
        <f>CHOOSE(CONTROL!$C$42, 7.5344, 7.5344) * CHOOSE(CONTROL!$C$21, $C$9, 100%, $E$9)</f>
        <v>7.5343999999999998</v>
      </c>
      <c r="C109" s="14">
        <f>CHOOSE(CONTROL!$C$42, 7.5394, 7.5394) * CHOOSE(CONTROL!$C$21, $C$9, 100%, $E$9)</f>
        <v>7.5393999999999997</v>
      </c>
      <c r="D109" s="14">
        <f>CHOOSE(CONTROL!$C$42, 7.6329, 7.6329) * CHOOSE(CONTROL!$C$21, $C$9, 100%, $E$9)</f>
        <v>7.6329000000000002</v>
      </c>
      <c r="E109" s="14">
        <f>CHOOSE(CONTROL!$C$42, 7.667, 7.667) * CHOOSE(CONTROL!$C$21, $C$9, 100%, $E$9)</f>
        <v>7.6669999999999998</v>
      </c>
      <c r="F109" s="14">
        <f>CHOOSE(CONTROL!$C$42, 7.5617, 7.5617)*CHOOSE(CONTROL!$C$21, $C$9, 100%, $E$9)</f>
        <v>7.5617000000000001</v>
      </c>
      <c r="G109" s="14">
        <f>CHOOSE(CONTROL!$C$42, 7.5796, 7.5796)*CHOOSE(CONTROL!$C$21, $C$9, 100%, $E$9)</f>
        <v>7.5796000000000001</v>
      </c>
      <c r="H109" s="14">
        <f>CHOOSE(CONTROL!$C$42, 7.6562, 7.6562) * CHOOSE(CONTROL!$C$21, $C$9, 100%, $E$9)</f>
        <v>7.6562000000000001</v>
      </c>
      <c r="I109" s="14">
        <f>CHOOSE(CONTROL!$C$42, 7.5839, 7.5839)* CHOOSE(CONTROL!$C$21, $C$9, 100%, $E$9)</f>
        <v>7.5838999999999999</v>
      </c>
      <c r="J109" s="14">
        <f>CHOOSE(CONTROL!$C$42, 7.5547, 7.5547)* CHOOSE(CONTROL!$C$21, $C$9, 100%, $E$9)</f>
        <v>7.5547000000000004</v>
      </c>
      <c r="K109" s="52">
        <f>CHOOSE(CONTROL!$C$42, 7.58, 7.58) * CHOOSE(CONTROL!$C$21, $C$9, 100%, $E$9)</f>
        <v>7.58</v>
      </c>
      <c r="L109" s="14">
        <f>CHOOSE(CONTROL!$C$42, 8.2432, 8.2432) * CHOOSE(CONTROL!$C$21, $C$9, 100%, $E$9)</f>
        <v>8.2431999999999999</v>
      </c>
      <c r="M109" s="14">
        <f>CHOOSE(CONTROL!$C$42, 7.4265, 7.4265) * CHOOSE(CONTROL!$C$21, $C$9, 100%, $E$9)</f>
        <v>7.4264999999999999</v>
      </c>
      <c r="N109" s="14">
        <f>CHOOSE(CONTROL!$C$42, 7.4441, 7.4441) * CHOOSE(CONTROL!$C$21, $C$9, 100%, $E$9)</f>
        <v>7.4440999999999997</v>
      </c>
      <c r="O109" s="14">
        <f>CHOOSE(CONTROL!$C$42, 7.5262, 7.5262) * CHOOSE(CONTROL!$C$21, $C$9, 100%, $E$9)</f>
        <v>7.5262000000000002</v>
      </c>
      <c r="P109" s="14">
        <f>CHOOSE(CONTROL!$C$42, 7.4548, 7.4548) * CHOOSE(CONTROL!$C$21, $C$9, 100%, $E$9)</f>
        <v>7.4547999999999996</v>
      </c>
      <c r="Q109" s="14">
        <f>CHOOSE(CONTROL!$C$42, 8.1209, 8.1209) * CHOOSE(CONTROL!$C$21, $C$9, 100%, $E$9)</f>
        <v>8.1209000000000007</v>
      </c>
      <c r="R109" s="14">
        <f>CHOOSE(CONTROL!$C$42, 8.7282, 8.7282) * CHOOSE(CONTROL!$C$21, $C$9, 100%, $E$9)</f>
        <v>8.7281999999999993</v>
      </c>
      <c r="S109" s="14">
        <f>CHOOSE(CONTROL!$C$42, 7.2312, 7.2312) * CHOOSE(CONTROL!$C$21, $C$9, 100%, $E$9)</f>
        <v>7.2312000000000003</v>
      </c>
      <c r="T1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9" s="56">
        <f>(1000*CHOOSE(CONTROL!$C$42, 695, 695)*CHOOSE(CONTROL!$C$42, 0.5599, 0.5599)*CHOOSE(CONTROL!$C$42, 31, 31))/1000000</f>
        <v>12.063045499999998</v>
      </c>
      <c r="V109" s="56">
        <f>(1000*CHOOSE(CONTROL!$C$42, 500, 500)*CHOOSE(CONTROL!$C$42, 0.275, 0.275)*CHOOSE(CONTROL!$C$42, 31, 31))/1000000</f>
        <v>4.2625000000000002</v>
      </c>
      <c r="W109" s="56">
        <f>(1000*CHOOSE(CONTROL!$C$42, 0.1146, 0.1146)*CHOOSE(CONTROL!$C$42, 121.5, 121.5)*CHOOSE(CONTROL!$C$42, 31, 31))/1000000</f>
        <v>0.43164089999999994</v>
      </c>
      <c r="X109" s="56">
        <f>(31*0.1790888*100000/1000000)+(31*0.2374*100000/1000000)</f>
        <v>1.2911152800000001</v>
      </c>
      <c r="Y109" s="56"/>
      <c r="Z109" s="14"/>
      <c r="AA109" s="55"/>
      <c r="AB109" s="49">
        <f>(B109*122.58+C109*297.941+D109*89.177+E109*40.302+F109*40+G109*160+H109*0+I109*100+J109*300)/(122.58+297.941+89.177+40.302+0+40+160+100+300)</f>
        <v>7.5648188562608709</v>
      </c>
      <c r="AC109" s="45">
        <f>(M109*'RAP TEMPLATE-GAS AVAILABILITY'!O108+N109*'RAP TEMPLATE-GAS AVAILABILITY'!P108+O109*'RAP TEMPLATE-GAS AVAILABILITY'!Q108+P109*'RAP TEMPLATE-GAS AVAILABILITY'!R108)/('RAP TEMPLATE-GAS AVAILABILITY'!O108+'RAP TEMPLATE-GAS AVAILABILITY'!P108+'RAP TEMPLATE-GAS AVAILABILITY'!Q108+'RAP TEMPLATE-GAS AVAILABILITY'!R108)</f>
        <v>7.4767726618705037</v>
      </c>
    </row>
    <row r="110" spans="1:29" ht="15.75" x14ac:dyDescent="0.25">
      <c r="A110" s="13">
        <v>44228</v>
      </c>
      <c r="B110" s="14">
        <f>CHOOSE(CONTROL!$C$42, 7.6841, 7.6841) * CHOOSE(CONTROL!$C$21, $C$9, 100%, $E$9)</f>
        <v>7.6840999999999999</v>
      </c>
      <c r="C110" s="14">
        <f>CHOOSE(CONTROL!$C$42, 7.6892, 7.6892) * CHOOSE(CONTROL!$C$21, $C$9, 100%, $E$9)</f>
        <v>7.6891999999999996</v>
      </c>
      <c r="D110" s="14">
        <f>CHOOSE(CONTROL!$C$42, 7.7826, 7.7826) * CHOOSE(CONTROL!$C$21, $C$9, 100%, $E$9)</f>
        <v>7.7826000000000004</v>
      </c>
      <c r="E110" s="14">
        <f>CHOOSE(CONTROL!$C$42, 7.8167, 7.8167) * CHOOSE(CONTROL!$C$21, $C$9, 100%, $E$9)</f>
        <v>7.8167</v>
      </c>
      <c r="F110" s="14">
        <f>CHOOSE(CONTROL!$C$42, 7.711, 7.711)*CHOOSE(CONTROL!$C$21, $C$9, 100%, $E$9)</f>
        <v>7.7110000000000003</v>
      </c>
      <c r="G110" s="14">
        <f>CHOOSE(CONTROL!$C$42, 7.7289, 7.7289)*CHOOSE(CONTROL!$C$21, $C$9, 100%, $E$9)</f>
        <v>7.7289000000000003</v>
      </c>
      <c r="H110" s="14">
        <f>CHOOSE(CONTROL!$C$42, 7.8059, 7.8059) * CHOOSE(CONTROL!$C$21, $C$9, 100%, $E$9)</f>
        <v>7.8059000000000003</v>
      </c>
      <c r="I110" s="14">
        <f>CHOOSE(CONTROL!$C$42, 7.7341, 7.7341)* CHOOSE(CONTROL!$C$21, $C$9, 100%, $E$9)</f>
        <v>7.7340999999999998</v>
      </c>
      <c r="J110" s="14">
        <f>CHOOSE(CONTROL!$C$42, 7.704, 7.704)* CHOOSE(CONTROL!$C$21, $C$9, 100%, $E$9)</f>
        <v>7.7039999999999997</v>
      </c>
      <c r="K110" s="52">
        <f>CHOOSE(CONTROL!$C$42, 7.7302, 7.7302) * CHOOSE(CONTROL!$C$21, $C$9, 100%, $E$9)</f>
        <v>7.7302</v>
      </c>
      <c r="L110" s="14">
        <f>CHOOSE(CONTROL!$C$42, 8.3929, 8.3929) * CHOOSE(CONTROL!$C$21, $C$9, 100%, $E$9)</f>
        <v>8.3928999999999991</v>
      </c>
      <c r="M110" s="14">
        <f>CHOOSE(CONTROL!$C$42, 7.5732, 7.5732) * CHOOSE(CONTROL!$C$21, $C$9, 100%, $E$9)</f>
        <v>7.5731999999999999</v>
      </c>
      <c r="N110" s="14">
        <f>CHOOSE(CONTROL!$C$42, 7.5907, 7.5907) * CHOOSE(CONTROL!$C$21, $C$9, 100%, $E$9)</f>
        <v>7.5907</v>
      </c>
      <c r="O110" s="14">
        <f>CHOOSE(CONTROL!$C$42, 7.6732, 7.6732) * CHOOSE(CONTROL!$C$21, $C$9, 100%, $E$9)</f>
        <v>7.6731999999999996</v>
      </c>
      <c r="P110" s="14">
        <f>CHOOSE(CONTROL!$C$42, 7.6023, 7.6023) * CHOOSE(CONTROL!$C$21, $C$9, 100%, $E$9)</f>
        <v>7.6022999999999996</v>
      </c>
      <c r="Q110" s="14">
        <f>CHOOSE(CONTROL!$C$42, 8.2679, 8.2679) * CHOOSE(CONTROL!$C$21, $C$9, 100%, $E$9)</f>
        <v>8.2678999999999991</v>
      </c>
      <c r="R110" s="14">
        <f>CHOOSE(CONTROL!$C$42, 8.8756, 8.8756) * CHOOSE(CONTROL!$C$21, $C$9, 100%, $E$9)</f>
        <v>8.8756000000000004</v>
      </c>
      <c r="S110" s="14">
        <f>CHOOSE(CONTROL!$C$42, 7.3751, 7.3751) * CHOOSE(CONTROL!$C$21, $C$9, 100%, $E$9)</f>
        <v>7.3750999999999998</v>
      </c>
      <c r="T11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10" s="56">
        <f>(1000*CHOOSE(CONTROL!$C$42, 695, 695)*CHOOSE(CONTROL!$C$42, 0.5599, 0.5599)*CHOOSE(CONTROL!$C$42, 28, 28))/1000000</f>
        <v>10.895653999999999</v>
      </c>
      <c r="V110" s="56">
        <f>(1000*CHOOSE(CONTROL!$C$42, 500, 500)*CHOOSE(CONTROL!$C$42, 0.275, 0.275)*CHOOSE(CONTROL!$C$42, 28, 28))/1000000</f>
        <v>3.85</v>
      </c>
      <c r="W110" s="56">
        <f>(1000*CHOOSE(CONTROL!$C$42, 0.1146, 0.1146)*CHOOSE(CONTROL!$C$42, 121.5, 121.5)*CHOOSE(CONTROL!$C$42, 28, 28))/1000000</f>
        <v>0.38986920000000003</v>
      </c>
      <c r="X110" s="56">
        <f>(28*0.1790888*100000/1000000)+(28*0.2374*100000/1000000)</f>
        <v>1.16616864</v>
      </c>
      <c r="Y110" s="56"/>
      <c r="Z110" s="14"/>
      <c r="AA110" s="55"/>
      <c r="AB110" s="49">
        <f>(B110*122.58+C110*297.941+D110*89.177+E110*40.302+F110*40+G110*160+H110*0+I110*100+J110*300)/(122.58+297.941+89.177+40.302+0+40+160+100+300)</f>
        <v>7.7144143293913023</v>
      </c>
      <c r="AC110" s="45">
        <f>(M110*'RAP TEMPLATE-GAS AVAILABILITY'!O109+N110*'RAP TEMPLATE-GAS AVAILABILITY'!P109+O110*'RAP TEMPLATE-GAS AVAILABILITY'!Q109+P110*'RAP TEMPLATE-GAS AVAILABILITY'!R109)/('RAP TEMPLATE-GAS AVAILABILITY'!O109+'RAP TEMPLATE-GAS AVAILABILITY'!P109+'RAP TEMPLATE-GAS AVAILABILITY'!Q109+'RAP TEMPLATE-GAS AVAILABILITY'!R109)</f>
        <v>7.6237179856115116</v>
      </c>
    </row>
    <row r="111" spans="1:29" ht="15.75" x14ac:dyDescent="0.25">
      <c r="A111" s="13">
        <v>44256</v>
      </c>
      <c r="B111" s="14">
        <f>CHOOSE(CONTROL!$C$42, 7.4816, 7.4816) * CHOOSE(CONTROL!$C$21, $C$9, 100%, $E$9)</f>
        <v>7.4816000000000003</v>
      </c>
      <c r="C111" s="14">
        <f>CHOOSE(CONTROL!$C$42, 7.4866, 7.4866) * CHOOSE(CONTROL!$C$21, $C$9, 100%, $E$9)</f>
        <v>7.4866000000000001</v>
      </c>
      <c r="D111" s="14">
        <f>CHOOSE(CONTROL!$C$42, 7.5801, 7.5801) * CHOOSE(CONTROL!$C$21, $C$9, 100%, $E$9)</f>
        <v>7.5800999999999998</v>
      </c>
      <c r="E111" s="14">
        <f>CHOOSE(CONTROL!$C$42, 7.6142, 7.6142) * CHOOSE(CONTROL!$C$21, $C$9, 100%, $E$9)</f>
        <v>7.6142000000000003</v>
      </c>
      <c r="F111" s="14">
        <f>CHOOSE(CONTROL!$C$42, 7.5076, 7.5076)*CHOOSE(CONTROL!$C$21, $C$9, 100%, $E$9)</f>
        <v>7.5076000000000001</v>
      </c>
      <c r="G111" s="14">
        <f>CHOOSE(CONTROL!$C$42, 7.5253, 7.5253)*CHOOSE(CONTROL!$C$21, $C$9, 100%, $E$9)</f>
        <v>7.5252999999999997</v>
      </c>
      <c r="H111" s="14">
        <f>CHOOSE(CONTROL!$C$42, 7.6034, 7.6034) * CHOOSE(CONTROL!$C$21, $C$9, 100%, $E$9)</f>
        <v>7.6033999999999997</v>
      </c>
      <c r="I111" s="14">
        <f>CHOOSE(CONTROL!$C$42, 7.5309, 7.5309)* CHOOSE(CONTROL!$C$21, $C$9, 100%, $E$9)</f>
        <v>7.5308999999999999</v>
      </c>
      <c r="J111" s="14">
        <f>CHOOSE(CONTROL!$C$42, 7.5006, 7.5006)* CHOOSE(CONTROL!$C$21, $C$9, 100%, $E$9)</f>
        <v>7.5006000000000004</v>
      </c>
      <c r="K111" s="52">
        <f>CHOOSE(CONTROL!$C$42, 7.527, 7.527) * CHOOSE(CONTROL!$C$21, $C$9, 100%, $E$9)</f>
        <v>7.5270000000000001</v>
      </c>
      <c r="L111" s="14">
        <f>CHOOSE(CONTROL!$C$42, 8.1904, 8.1904) * CHOOSE(CONTROL!$C$21, $C$9, 100%, $E$9)</f>
        <v>8.1904000000000003</v>
      </c>
      <c r="M111" s="14">
        <f>CHOOSE(CONTROL!$C$42, 7.3734, 7.3734) * CHOOSE(CONTROL!$C$21, $C$9, 100%, $E$9)</f>
        <v>7.3734000000000002</v>
      </c>
      <c r="N111" s="14">
        <f>CHOOSE(CONTROL!$C$42, 7.3908, 7.3908) * CHOOSE(CONTROL!$C$21, $C$9, 100%, $E$9)</f>
        <v>7.3907999999999996</v>
      </c>
      <c r="O111" s="14">
        <f>CHOOSE(CONTROL!$C$42, 7.4743, 7.4743) * CHOOSE(CONTROL!$C$21, $C$9, 100%, $E$9)</f>
        <v>7.4743000000000004</v>
      </c>
      <c r="P111" s="14">
        <f>CHOOSE(CONTROL!$C$42, 7.4028, 7.4028) * CHOOSE(CONTROL!$C$21, $C$9, 100%, $E$9)</f>
        <v>7.4028</v>
      </c>
      <c r="Q111" s="14">
        <f>CHOOSE(CONTROL!$C$42, 8.069, 8.069) * CHOOSE(CONTROL!$C$21, $C$9, 100%, $E$9)</f>
        <v>8.0690000000000008</v>
      </c>
      <c r="R111" s="14">
        <f>CHOOSE(CONTROL!$C$42, 8.6762, 8.6762) * CHOOSE(CONTROL!$C$21, $C$9, 100%, $E$9)</f>
        <v>8.6761999999999997</v>
      </c>
      <c r="S111" s="14">
        <f>CHOOSE(CONTROL!$C$42, 7.1805, 7.1805) * CHOOSE(CONTROL!$C$21, $C$9, 100%, $E$9)</f>
        <v>7.1805000000000003</v>
      </c>
      <c r="T1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11" s="56">
        <f>(1000*CHOOSE(CONTROL!$C$42, 695, 695)*CHOOSE(CONTROL!$C$42, 0.5599, 0.5599)*CHOOSE(CONTROL!$C$42, 31, 31))/1000000</f>
        <v>12.063045499999998</v>
      </c>
      <c r="V111" s="56">
        <f>(1000*CHOOSE(CONTROL!$C$42, 500, 500)*CHOOSE(CONTROL!$C$42, 0.275, 0.275)*CHOOSE(CONTROL!$C$42, 31, 31))/1000000</f>
        <v>4.2625000000000002</v>
      </c>
      <c r="W111" s="56">
        <f>(1000*CHOOSE(CONTROL!$C$42, 0.1146, 0.1146)*CHOOSE(CONTROL!$C$42, 121.5, 121.5)*CHOOSE(CONTROL!$C$42, 31, 31))/1000000</f>
        <v>0.43164089999999994</v>
      </c>
      <c r="X111" s="56">
        <f>(31*0.1790888*100000/1000000)+(31*0.2374*100000/1000000)</f>
        <v>1.2911152800000001</v>
      </c>
      <c r="Y111" s="56"/>
      <c r="Z111" s="14"/>
      <c r="AA111" s="55"/>
      <c r="AB111" s="49">
        <f>(B111*122.58+C111*297.941+D111*89.177+E111*40.302+F111*40+G111*160+H111*0+I111*100+J111*300)/(122.58+297.941+89.177+40.302+0+40+160+100+300)</f>
        <v>7.5114084214782606</v>
      </c>
      <c r="AC111" s="45">
        <f>(M111*'RAP TEMPLATE-GAS AVAILABILITY'!O110+N111*'RAP TEMPLATE-GAS AVAILABILITY'!P110+O111*'RAP TEMPLATE-GAS AVAILABILITY'!Q110+P111*'RAP TEMPLATE-GAS AVAILABILITY'!R110)/('RAP TEMPLATE-GAS AVAILABILITY'!O110+'RAP TEMPLATE-GAS AVAILABILITY'!P110+'RAP TEMPLATE-GAS AVAILABILITY'!Q110+'RAP TEMPLATE-GAS AVAILABILITY'!R110)</f>
        <v>7.4243633093525174</v>
      </c>
    </row>
    <row r="112" spans="1:29" ht="15.75" x14ac:dyDescent="0.25">
      <c r="A112" s="13">
        <v>44287</v>
      </c>
      <c r="B112" s="14">
        <f>CHOOSE(CONTROL!$C$42, 7.4756, 7.4756) * CHOOSE(CONTROL!$C$21, $C$9, 100%, $E$9)</f>
        <v>7.4756</v>
      </c>
      <c r="C112" s="14">
        <f>CHOOSE(CONTROL!$C$42, 7.48, 7.48) * CHOOSE(CONTROL!$C$21, $C$9, 100%, $E$9)</f>
        <v>7.48</v>
      </c>
      <c r="D112" s="14">
        <f>CHOOSE(CONTROL!$C$42, 7.7423, 7.7423) * CHOOSE(CONTROL!$C$21, $C$9, 100%, $E$9)</f>
        <v>7.7423000000000002</v>
      </c>
      <c r="E112" s="14">
        <f>CHOOSE(CONTROL!$C$42, 7.7744, 7.7744) * CHOOSE(CONTROL!$C$21, $C$9, 100%, $E$9)</f>
        <v>7.7744</v>
      </c>
      <c r="F112" s="14">
        <f>CHOOSE(CONTROL!$C$42, 7.4984, 7.4984)*CHOOSE(CONTROL!$C$21, $C$9, 100%, $E$9)</f>
        <v>7.4984000000000002</v>
      </c>
      <c r="G112" s="14">
        <f>CHOOSE(CONTROL!$C$42, 7.5151, 7.5151)*CHOOSE(CONTROL!$C$21, $C$9, 100%, $E$9)</f>
        <v>7.5151000000000003</v>
      </c>
      <c r="H112" s="14">
        <f>CHOOSE(CONTROL!$C$42, 7.7642, 7.7642) * CHOOSE(CONTROL!$C$21, $C$9, 100%, $E$9)</f>
        <v>7.7641999999999998</v>
      </c>
      <c r="I112" s="14">
        <f>CHOOSE(CONTROL!$C$42, 7.5215, 7.5215)* CHOOSE(CONTROL!$C$21, $C$9, 100%, $E$9)</f>
        <v>7.5214999999999996</v>
      </c>
      <c r="J112" s="14">
        <f>CHOOSE(CONTROL!$C$42, 7.4914, 7.4914)* CHOOSE(CONTROL!$C$21, $C$9, 100%, $E$9)</f>
        <v>7.4913999999999996</v>
      </c>
      <c r="K112" s="52">
        <f>CHOOSE(CONTROL!$C$42, 7.5176, 7.5176) * CHOOSE(CONTROL!$C$21, $C$9, 100%, $E$9)</f>
        <v>7.5175999999999998</v>
      </c>
      <c r="L112" s="14">
        <f>CHOOSE(CONTROL!$C$42, 8.3512, 8.3512) * CHOOSE(CONTROL!$C$21, $C$9, 100%, $E$9)</f>
        <v>8.3512000000000004</v>
      </c>
      <c r="M112" s="14">
        <f>CHOOSE(CONTROL!$C$42, 7.3643, 7.3643) * CHOOSE(CONTROL!$C$21, $C$9, 100%, $E$9)</f>
        <v>7.3643000000000001</v>
      </c>
      <c r="N112" s="14">
        <f>CHOOSE(CONTROL!$C$42, 7.3807, 7.3807) * CHOOSE(CONTROL!$C$21, $C$9, 100%, $E$9)</f>
        <v>7.3807</v>
      </c>
      <c r="O112" s="14">
        <f>CHOOSE(CONTROL!$C$42, 7.6322, 7.6322) * CHOOSE(CONTROL!$C$21, $C$9, 100%, $E$9)</f>
        <v>7.6322000000000001</v>
      </c>
      <c r="P112" s="14">
        <f>CHOOSE(CONTROL!$C$42, 7.3935, 7.3935) * CHOOSE(CONTROL!$C$21, $C$9, 100%, $E$9)</f>
        <v>7.3935000000000004</v>
      </c>
      <c r="Q112" s="14">
        <f>CHOOSE(CONTROL!$C$42, 8.2269, 8.2269) * CHOOSE(CONTROL!$C$21, $C$9, 100%, $E$9)</f>
        <v>8.2269000000000005</v>
      </c>
      <c r="R112" s="14">
        <f>CHOOSE(CONTROL!$C$42, 8.8345, 8.8345) * CHOOSE(CONTROL!$C$21, $C$9, 100%, $E$9)</f>
        <v>8.8345000000000002</v>
      </c>
      <c r="S112" s="14">
        <f>CHOOSE(CONTROL!$C$42, 7.174, 7.174) * CHOOSE(CONTROL!$C$21, $C$9, 100%, $E$9)</f>
        <v>7.1740000000000004</v>
      </c>
      <c r="T1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12" s="56">
        <f>(1000*CHOOSE(CONTROL!$C$42, 695, 695)*CHOOSE(CONTROL!$C$42, 0.5599, 0.5599)*CHOOSE(CONTROL!$C$42, 30, 30))/1000000</f>
        <v>11.673914999999997</v>
      </c>
      <c r="V112" s="56">
        <f>(1000*CHOOSE(CONTROL!$C$42, 500, 500)*CHOOSE(CONTROL!$C$42, 0.275, 0.275)*CHOOSE(CONTROL!$C$42, 30, 30))/1000000</f>
        <v>4.125</v>
      </c>
      <c r="W112" s="56">
        <f>(1000*CHOOSE(CONTROL!$C$42, 0.1146, 0.1146)*CHOOSE(CONTROL!$C$42, 121.5, 121.5)*CHOOSE(CONTROL!$C$42, 30, 30))/1000000</f>
        <v>0.417717</v>
      </c>
      <c r="X112" s="56">
        <f>(30*0.1790888*245000/1000000)+(30*0.2374*100000/1000000)</f>
        <v>2.0285026799999999</v>
      </c>
      <c r="Y112" s="56"/>
      <c r="Z112" s="14"/>
      <c r="AA112" s="55"/>
      <c r="AB112" s="49">
        <f>(B112*141.293+C112*267.993+D112*115.016+E112*89.698+F112*40+G112*185+H112*0+I112*100+J112*300)/(141.293+267.993+115.016+89.698+0+40+185+100+300)</f>
        <v>7.5371054066182399</v>
      </c>
      <c r="AC112" s="45">
        <f>(M112*'RAP TEMPLATE-GAS AVAILABILITY'!O111+N112*'RAP TEMPLATE-GAS AVAILABILITY'!P111+O112*'RAP TEMPLATE-GAS AVAILABILITY'!Q111+P112*'RAP TEMPLATE-GAS AVAILABILITY'!R111)/('RAP TEMPLATE-GAS AVAILABILITY'!O111+'RAP TEMPLATE-GAS AVAILABILITY'!P111+'RAP TEMPLATE-GAS AVAILABILITY'!Q111+'RAP TEMPLATE-GAS AVAILABILITY'!R111)</f>
        <v>7.4474431654676261</v>
      </c>
    </row>
    <row r="113" spans="1:29" ht="15.75" x14ac:dyDescent="0.25">
      <c r="A113" s="13">
        <v>44317</v>
      </c>
      <c r="B113" s="14">
        <f>CHOOSE(CONTROL!$C$42, 7.5584, 7.5584) * CHOOSE(CONTROL!$C$21, $C$9, 100%, $E$9)</f>
        <v>7.5583999999999998</v>
      </c>
      <c r="C113" s="14">
        <f>CHOOSE(CONTROL!$C$42, 7.5664, 7.5664) * CHOOSE(CONTROL!$C$21, $C$9, 100%, $E$9)</f>
        <v>7.5663999999999998</v>
      </c>
      <c r="D113" s="14">
        <f>CHOOSE(CONTROL!$C$42, 7.8255, 7.8255) * CHOOSE(CONTROL!$C$21, $C$9, 100%, $E$9)</f>
        <v>7.8254999999999999</v>
      </c>
      <c r="E113" s="14">
        <f>CHOOSE(CONTROL!$C$42, 7.8569, 7.8569) * CHOOSE(CONTROL!$C$21, $C$9, 100%, $E$9)</f>
        <v>7.8569000000000004</v>
      </c>
      <c r="F113" s="14">
        <f>CHOOSE(CONTROL!$C$42, 7.5799, 7.5799)*CHOOSE(CONTROL!$C$21, $C$9, 100%, $E$9)</f>
        <v>7.5799000000000003</v>
      </c>
      <c r="G113" s="14">
        <f>CHOOSE(CONTROL!$C$42, 7.5968, 7.5968)*CHOOSE(CONTROL!$C$21, $C$9, 100%, $E$9)</f>
        <v>7.5968</v>
      </c>
      <c r="H113" s="14">
        <f>CHOOSE(CONTROL!$C$42, 7.8456, 7.8456) * CHOOSE(CONTROL!$C$21, $C$9, 100%, $E$9)</f>
        <v>7.8456000000000001</v>
      </c>
      <c r="I113" s="14">
        <f>CHOOSE(CONTROL!$C$42, 7.6031, 7.6031)* CHOOSE(CONTROL!$C$21, $C$9, 100%, $E$9)</f>
        <v>7.6031000000000004</v>
      </c>
      <c r="J113" s="14">
        <f>CHOOSE(CONTROL!$C$42, 7.5729, 7.5729)* CHOOSE(CONTROL!$C$21, $C$9, 100%, $E$9)</f>
        <v>7.5728999999999997</v>
      </c>
      <c r="K113" s="52">
        <f>CHOOSE(CONTROL!$C$42, 7.5992, 7.5992) * CHOOSE(CONTROL!$C$21, $C$9, 100%, $E$9)</f>
        <v>7.5991999999999997</v>
      </c>
      <c r="L113" s="14">
        <f>CHOOSE(CONTROL!$C$42, 8.4326, 8.4326) * CHOOSE(CONTROL!$C$21, $C$9, 100%, $E$9)</f>
        <v>8.4326000000000008</v>
      </c>
      <c r="M113" s="14">
        <f>CHOOSE(CONTROL!$C$42, 7.4444, 7.4444) * CHOOSE(CONTROL!$C$21, $C$9, 100%, $E$9)</f>
        <v>7.4443999999999999</v>
      </c>
      <c r="N113" s="14">
        <f>CHOOSE(CONTROL!$C$42, 7.461, 7.461) * CHOOSE(CONTROL!$C$21, $C$9, 100%, $E$9)</f>
        <v>7.4610000000000003</v>
      </c>
      <c r="O113" s="14">
        <f>CHOOSE(CONTROL!$C$42, 7.7121, 7.7121) * CHOOSE(CONTROL!$C$21, $C$9, 100%, $E$9)</f>
        <v>7.7121000000000004</v>
      </c>
      <c r="P113" s="14">
        <f>CHOOSE(CONTROL!$C$42, 7.4737, 7.4737) * CHOOSE(CONTROL!$C$21, $C$9, 100%, $E$9)</f>
        <v>7.4737</v>
      </c>
      <c r="Q113" s="14">
        <f>CHOOSE(CONTROL!$C$42, 8.3068, 8.3068) * CHOOSE(CONTROL!$C$21, $C$9, 100%, $E$9)</f>
        <v>8.3068000000000008</v>
      </c>
      <c r="R113" s="14">
        <f>CHOOSE(CONTROL!$C$42, 8.9146, 8.9146) * CHOOSE(CONTROL!$C$21, $C$9, 100%, $E$9)</f>
        <v>8.9146000000000001</v>
      </c>
      <c r="S113" s="14">
        <f>CHOOSE(CONTROL!$C$42, 7.2522, 7.2522) * CHOOSE(CONTROL!$C$21, $C$9, 100%, $E$9)</f>
        <v>7.2522000000000002</v>
      </c>
      <c r="T1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13" s="56">
        <f>(1000*CHOOSE(CONTROL!$C$42, 695, 695)*CHOOSE(CONTROL!$C$42, 0.5599, 0.5599)*CHOOSE(CONTROL!$C$42, 31, 31))/1000000</f>
        <v>12.063045499999998</v>
      </c>
      <c r="V113" s="56">
        <f>(1000*CHOOSE(CONTROL!$C$42, 500, 500)*CHOOSE(CONTROL!$C$42, 0.275, 0.275)*CHOOSE(CONTROL!$C$42, 31, 31))/1000000</f>
        <v>4.2625000000000002</v>
      </c>
      <c r="W113" s="56">
        <f>(1000*CHOOSE(CONTROL!$C$42, 0.1146, 0.1146)*CHOOSE(CONTROL!$C$42, 121.5, 121.5)*CHOOSE(CONTROL!$C$42, 31, 31))/1000000</f>
        <v>0.43164089999999994</v>
      </c>
      <c r="X113" s="56">
        <f>(31*0.1790888*245000/1000000)+(31*0.2374*100000/1000000)</f>
        <v>2.0961194359999999</v>
      </c>
      <c r="Y113" s="56"/>
      <c r="Z113" s="14"/>
      <c r="AA113" s="55"/>
      <c r="AB113" s="49">
        <f>(B113*194.205+C113*267.466+D113*133.845+E113*53.484+F113*40+G113*185+H113*0+I113*100+J113*300)/(194.205+267.466+133.845+53.484+0+40+185+100+300)</f>
        <v>7.6138463905023555</v>
      </c>
      <c r="AC113" s="45">
        <f>(M113*'RAP TEMPLATE-GAS AVAILABILITY'!O112+N113*'RAP TEMPLATE-GAS AVAILABILITY'!P112+O113*'RAP TEMPLATE-GAS AVAILABILITY'!Q112+P113*'RAP TEMPLATE-GAS AVAILABILITY'!R112)/('RAP TEMPLATE-GAS AVAILABILITY'!O112+'RAP TEMPLATE-GAS AVAILABILITY'!P112+'RAP TEMPLATE-GAS AVAILABILITY'!Q112+'RAP TEMPLATE-GAS AVAILABILITY'!R112)</f>
        <v>7.5275474820143877</v>
      </c>
    </row>
    <row r="114" spans="1:29" ht="15.75" x14ac:dyDescent="0.25">
      <c r="A114" s="13">
        <v>44348</v>
      </c>
      <c r="B114" s="14">
        <f>CHOOSE(CONTROL!$C$42, 7.7884, 7.7884) * CHOOSE(CONTROL!$C$21, $C$9, 100%, $E$9)</f>
        <v>7.7884000000000002</v>
      </c>
      <c r="C114" s="14">
        <f>CHOOSE(CONTROL!$C$42, 7.7964, 7.7964) * CHOOSE(CONTROL!$C$21, $C$9, 100%, $E$9)</f>
        <v>7.7964000000000002</v>
      </c>
      <c r="D114" s="14">
        <f>CHOOSE(CONTROL!$C$42, 8.0555, 8.0555) * CHOOSE(CONTROL!$C$21, $C$9, 100%, $E$9)</f>
        <v>8.0555000000000003</v>
      </c>
      <c r="E114" s="14">
        <f>CHOOSE(CONTROL!$C$42, 8.087, 8.087) * CHOOSE(CONTROL!$C$21, $C$9, 100%, $E$9)</f>
        <v>8.0869999999999997</v>
      </c>
      <c r="F114" s="14">
        <f>CHOOSE(CONTROL!$C$42, 7.8102, 7.8102)*CHOOSE(CONTROL!$C$21, $C$9, 100%, $E$9)</f>
        <v>7.8102</v>
      </c>
      <c r="G114" s="14">
        <f>CHOOSE(CONTROL!$C$42, 7.8272, 7.8272)*CHOOSE(CONTROL!$C$21, $C$9, 100%, $E$9)</f>
        <v>7.8272000000000004</v>
      </c>
      <c r="H114" s="14">
        <f>CHOOSE(CONTROL!$C$42, 8.0756, 8.0756) * CHOOSE(CONTROL!$C$21, $C$9, 100%, $E$9)</f>
        <v>8.0755999999999997</v>
      </c>
      <c r="I114" s="14">
        <f>CHOOSE(CONTROL!$C$42, 7.8339, 7.8339)* CHOOSE(CONTROL!$C$21, $C$9, 100%, $E$9)</f>
        <v>7.8338999999999999</v>
      </c>
      <c r="J114" s="14">
        <f>CHOOSE(CONTROL!$C$42, 7.8032, 7.8032)* CHOOSE(CONTROL!$C$21, $C$9, 100%, $E$9)</f>
        <v>7.8032000000000004</v>
      </c>
      <c r="K114" s="52">
        <f>CHOOSE(CONTROL!$C$42, 7.83, 7.83) * CHOOSE(CONTROL!$C$21, $C$9, 100%, $E$9)</f>
        <v>7.83</v>
      </c>
      <c r="L114" s="14">
        <f>CHOOSE(CONTROL!$C$42, 8.6626, 8.6626) * CHOOSE(CONTROL!$C$21, $C$9, 100%, $E$9)</f>
        <v>8.6625999999999994</v>
      </c>
      <c r="M114" s="14">
        <f>CHOOSE(CONTROL!$C$42, 7.6705, 7.6705) * CHOOSE(CONTROL!$C$21, $C$9, 100%, $E$9)</f>
        <v>7.6704999999999997</v>
      </c>
      <c r="N114" s="14">
        <f>CHOOSE(CONTROL!$C$42, 7.6872, 7.6872) * CHOOSE(CONTROL!$C$21, $C$9, 100%, $E$9)</f>
        <v>7.6871999999999998</v>
      </c>
      <c r="O114" s="14">
        <f>CHOOSE(CONTROL!$C$42, 7.9381, 7.9381) * CHOOSE(CONTROL!$C$21, $C$9, 100%, $E$9)</f>
        <v>7.9381000000000004</v>
      </c>
      <c r="P114" s="14">
        <f>CHOOSE(CONTROL!$C$42, 7.7003, 7.7003) * CHOOSE(CONTROL!$C$21, $C$9, 100%, $E$9)</f>
        <v>7.7003000000000004</v>
      </c>
      <c r="Q114" s="14">
        <f>CHOOSE(CONTROL!$C$42, 8.5328, 8.5328) * CHOOSE(CONTROL!$C$21, $C$9, 100%, $E$9)</f>
        <v>8.5327999999999999</v>
      </c>
      <c r="R114" s="14">
        <f>CHOOSE(CONTROL!$C$42, 9.1411, 9.1411) * CHOOSE(CONTROL!$C$21, $C$9, 100%, $E$9)</f>
        <v>9.1410999999999998</v>
      </c>
      <c r="S114" s="14">
        <f>CHOOSE(CONTROL!$C$42, 7.4732, 7.4732) * CHOOSE(CONTROL!$C$21, $C$9, 100%, $E$9)</f>
        <v>7.4732000000000003</v>
      </c>
      <c r="T1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14" s="56">
        <f>(1000*CHOOSE(CONTROL!$C$42, 695, 695)*CHOOSE(CONTROL!$C$42, 0.5599, 0.5599)*CHOOSE(CONTROL!$C$42, 30, 30))/1000000</f>
        <v>11.673914999999997</v>
      </c>
      <c r="V114" s="56">
        <f>(1000*CHOOSE(CONTROL!$C$42, 500, 500)*CHOOSE(CONTROL!$C$42, 0.275, 0.275)*CHOOSE(CONTROL!$C$42, 30, 30))/1000000</f>
        <v>4.125</v>
      </c>
      <c r="W114" s="56">
        <f>(1000*CHOOSE(CONTROL!$C$42, 0.1146, 0.1146)*CHOOSE(CONTROL!$C$42, 121.5, 121.5)*CHOOSE(CONTROL!$C$42, 30, 30))/1000000</f>
        <v>0.417717</v>
      </c>
      <c r="X114" s="56">
        <f>(30*0.1790888*245000/1000000)+(30*0.2374*100000/1000000)</f>
        <v>2.0285026799999999</v>
      </c>
      <c r="Y114" s="56"/>
      <c r="Z114" s="14"/>
      <c r="AA114" s="55"/>
      <c r="AB114" s="49">
        <f>(B114*194.205+C114*267.466+D114*133.845+E114*53.484+F114*40+G114*185+H114*0+I114*100+J114*300)/(194.205+267.466+133.845+53.484+0+40+185+100+300)</f>
        <v>7.8440515305337524</v>
      </c>
      <c r="AC114" s="45">
        <f>(M114*'RAP TEMPLATE-GAS AVAILABILITY'!O113+N114*'RAP TEMPLATE-GAS AVAILABILITY'!P113+O114*'RAP TEMPLATE-GAS AVAILABILITY'!Q113+P114*'RAP TEMPLATE-GAS AVAILABILITY'!R113)/('RAP TEMPLATE-GAS AVAILABILITY'!O113+'RAP TEMPLATE-GAS AVAILABILITY'!P113+'RAP TEMPLATE-GAS AVAILABILITY'!Q113+'RAP TEMPLATE-GAS AVAILABILITY'!R113)</f>
        <v>7.7537143884892075</v>
      </c>
    </row>
    <row r="115" spans="1:29" ht="15.75" x14ac:dyDescent="0.25">
      <c r="A115" s="13">
        <v>44378</v>
      </c>
      <c r="B115" s="14">
        <f>CHOOSE(CONTROL!$C$42, 7.6549, 7.6549) * CHOOSE(CONTROL!$C$21, $C$9, 100%, $E$9)</f>
        <v>7.6548999999999996</v>
      </c>
      <c r="C115" s="14">
        <f>CHOOSE(CONTROL!$C$42, 7.6629, 7.6629) * CHOOSE(CONTROL!$C$21, $C$9, 100%, $E$9)</f>
        <v>7.6628999999999996</v>
      </c>
      <c r="D115" s="14">
        <f>CHOOSE(CONTROL!$C$42, 7.922, 7.922) * CHOOSE(CONTROL!$C$21, $C$9, 100%, $E$9)</f>
        <v>7.9219999999999997</v>
      </c>
      <c r="E115" s="14">
        <f>CHOOSE(CONTROL!$C$42, 7.9535, 7.9535) * CHOOSE(CONTROL!$C$21, $C$9, 100%, $E$9)</f>
        <v>7.9535</v>
      </c>
      <c r="F115" s="14">
        <f>CHOOSE(CONTROL!$C$42, 7.6771, 7.6771)*CHOOSE(CONTROL!$C$21, $C$9, 100%, $E$9)</f>
        <v>7.6771000000000003</v>
      </c>
      <c r="G115" s="14">
        <f>CHOOSE(CONTROL!$C$42, 7.6943, 7.6943)*CHOOSE(CONTROL!$C$21, $C$9, 100%, $E$9)</f>
        <v>7.6943000000000001</v>
      </c>
      <c r="H115" s="14">
        <f>CHOOSE(CONTROL!$C$42, 7.9421, 7.9421) * CHOOSE(CONTROL!$C$21, $C$9, 100%, $E$9)</f>
        <v>7.9420999999999999</v>
      </c>
      <c r="I115" s="14">
        <f>CHOOSE(CONTROL!$C$42, 7.7, 7.7)* CHOOSE(CONTROL!$C$21, $C$9, 100%, $E$9)</f>
        <v>7.7</v>
      </c>
      <c r="J115" s="14">
        <f>CHOOSE(CONTROL!$C$42, 7.6701, 7.6701)* CHOOSE(CONTROL!$C$21, $C$9, 100%, $E$9)</f>
        <v>7.6700999999999997</v>
      </c>
      <c r="K115" s="52">
        <f>CHOOSE(CONTROL!$C$42, 7.6961, 7.6961) * CHOOSE(CONTROL!$C$21, $C$9, 100%, $E$9)</f>
        <v>7.6961000000000004</v>
      </c>
      <c r="L115" s="14">
        <f>CHOOSE(CONTROL!$C$42, 8.5291, 8.5291) * CHOOSE(CONTROL!$C$21, $C$9, 100%, $E$9)</f>
        <v>8.5290999999999997</v>
      </c>
      <c r="M115" s="14">
        <f>CHOOSE(CONTROL!$C$42, 7.5399, 7.5399) * CHOOSE(CONTROL!$C$21, $C$9, 100%, $E$9)</f>
        <v>7.5399000000000003</v>
      </c>
      <c r="N115" s="14">
        <f>CHOOSE(CONTROL!$C$42, 7.5567, 7.5567) * CHOOSE(CONTROL!$C$21, $C$9, 100%, $E$9)</f>
        <v>7.5567000000000002</v>
      </c>
      <c r="O115" s="14">
        <f>CHOOSE(CONTROL!$C$42, 7.807, 7.807) * CHOOSE(CONTROL!$C$21, $C$9, 100%, $E$9)</f>
        <v>7.8070000000000004</v>
      </c>
      <c r="P115" s="14">
        <f>CHOOSE(CONTROL!$C$42, 7.5688, 7.5688) * CHOOSE(CONTROL!$C$21, $C$9, 100%, $E$9)</f>
        <v>7.5688000000000004</v>
      </c>
      <c r="Q115" s="14">
        <f>CHOOSE(CONTROL!$C$42, 8.4017, 8.4017) * CHOOSE(CONTROL!$C$21, $C$9, 100%, $E$9)</f>
        <v>8.4016999999999999</v>
      </c>
      <c r="R115" s="14">
        <f>CHOOSE(CONTROL!$C$42, 9.0097, 9.0097) * CHOOSE(CONTROL!$C$21, $C$9, 100%, $E$9)</f>
        <v>9.0097000000000005</v>
      </c>
      <c r="S115" s="14">
        <f>CHOOSE(CONTROL!$C$42, 7.345, 7.345) * CHOOSE(CONTROL!$C$21, $C$9, 100%, $E$9)</f>
        <v>7.3449999999999998</v>
      </c>
      <c r="T1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15" s="56">
        <f>(1000*CHOOSE(CONTROL!$C$42, 695, 695)*CHOOSE(CONTROL!$C$42, 0.5599, 0.5599)*CHOOSE(CONTROL!$C$42, 31, 31))/1000000</f>
        <v>12.063045499999998</v>
      </c>
      <c r="V115" s="56">
        <f>(1000*CHOOSE(CONTROL!$C$42, 500, 500)*CHOOSE(CONTROL!$C$42, 0.275, 0.275)*CHOOSE(CONTROL!$C$42, 31, 31))/1000000</f>
        <v>4.2625000000000002</v>
      </c>
      <c r="W115" s="56">
        <f>(1000*CHOOSE(CONTROL!$C$42, 0.1146, 0.1146)*CHOOSE(CONTROL!$C$42, 121.5, 121.5)*CHOOSE(CONTROL!$C$42, 31, 31))/1000000</f>
        <v>0.43164089999999994</v>
      </c>
      <c r="X115" s="56">
        <f>(31*0.1790888*245000/1000000)+(31*0.2374*100000/1000000)</f>
        <v>2.0961194359999999</v>
      </c>
      <c r="Y115" s="56"/>
      <c r="Z115" s="14"/>
      <c r="AA115" s="55"/>
      <c r="AB115" s="49">
        <f>(B115*194.205+C115*267.466+D115*133.845+E115*53.484+F115*40+G115*185+H115*0+I115*100+J115*300)/(194.205+267.466+133.845+53.484+0+40+185+100+300)</f>
        <v>7.7107140109105181</v>
      </c>
      <c r="AC115" s="45">
        <f>(M115*'RAP TEMPLATE-GAS AVAILABILITY'!O114+N115*'RAP TEMPLATE-GAS AVAILABILITY'!P114+O115*'RAP TEMPLATE-GAS AVAILABILITY'!Q114+P115*'RAP TEMPLATE-GAS AVAILABILITY'!R114)/('RAP TEMPLATE-GAS AVAILABILITY'!O114+'RAP TEMPLATE-GAS AVAILABILITY'!P114+'RAP TEMPLATE-GAS AVAILABILITY'!Q114+'RAP TEMPLATE-GAS AVAILABILITY'!R114)</f>
        <v>7.6228676258992802</v>
      </c>
    </row>
    <row r="116" spans="1:29" ht="15.75" x14ac:dyDescent="0.25">
      <c r="A116" s="13">
        <v>44409</v>
      </c>
      <c r="B116" s="14">
        <f>CHOOSE(CONTROL!$C$42, 7.2924, 7.2924) * CHOOSE(CONTROL!$C$21, $C$9, 100%, $E$9)</f>
        <v>7.2923999999999998</v>
      </c>
      <c r="C116" s="14">
        <f>CHOOSE(CONTROL!$C$42, 7.3004, 7.3004) * CHOOSE(CONTROL!$C$21, $C$9, 100%, $E$9)</f>
        <v>7.3003999999999998</v>
      </c>
      <c r="D116" s="14">
        <f>CHOOSE(CONTROL!$C$42, 7.5595, 7.5595) * CHOOSE(CONTROL!$C$21, $C$9, 100%, $E$9)</f>
        <v>7.5594999999999999</v>
      </c>
      <c r="E116" s="14">
        <f>CHOOSE(CONTROL!$C$42, 7.5909, 7.5909) * CHOOSE(CONTROL!$C$21, $C$9, 100%, $E$9)</f>
        <v>7.5909000000000004</v>
      </c>
      <c r="F116" s="14">
        <f>CHOOSE(CONTROL!$C$42, 7.3148, 7.3148)*CHOOSE(CONTROL!$C$21, $C$9, 100%, $E$9)</f>
        <v>7.3148</v>
      </c>
      <c r="G116" s="14">
        <f>CHOOSE(CONTROL!$C$42, 7.332, 7.332)*CHOOSE(CONTROL!$C$21, $C$9, 100%, $E$9)</f>
        <v>7.3319999999999999</v>
      </c>
      <c r="H116" s="14">
        <f>CHOOSE(CONTROL!$C$42, 7.5796, 7.5796) * CHOOSE(CONTROL!$C$21, $C$9, 100%, $E$9)</f>
        <v>7.5796000000000001</v>
      </c>
      <c r="I116" s="14">
        <f>CHOOSE(CONTROL!$C$42, 7.3363, 7.3363)* CHOOSE(CONTROL!$C$21, $C$9, 100%, $E$9)</f>
        <v>7.3362999999999996</v>
      </c>
      <c r="J116" s="14">
        <f>CHOOSE(CONTROL!$C$42, 7.3078, 7.3078)* CHOOSE(CONTROL!$C$21, $C$9, 100%, $E$9)</f>
        <v>7.3078000000000003</v>
      </c>
      <c r="K116" s="52">
        <f>CHOOSE(CONTROL!$C$42, 7.3324, 7.3324) * CHOOSE(CONTROL!$C$21, $C$9, 100%, $E$9)</f>
        <v>7.3323999999999998</v>
      </c>
      <c r="L116" s="14">
        <f>CHOOSE(CONTROL!$C$42, 8.1666, 8.1666) * CHOOSE(CONTROL!$C$21, $C$9, 100%, $E$9)</f>
        <v>8.1666000000000007</v>
      </c>
      <c r="M116" s="14">
        <f>CHOOSE(CONTROL!$C$42, 7.184, 7.184) * CHOOSE(CONTROL!$C$21, $C$9, 100%, $E$9)</f>
        <v>7.1840000000000002</v>
      </c>
      <c r="N116" s="14">
        <f>CHOOSE(CONTROL!$C$42, 7.2009, 7.2009) * CHOOSE(CONTROL!$C$21, $C$9, 100%, $E$9)</f>
        <v>7.2008999999999999</v>
      </c>
      <c r="O116" s="14">
        <f>CHOOSE(CONTROL!$C$42, 7.4509, 7.4509) * CHOOSE(CONTROL!$C$21, $C$9, 100%, $E$9)</f>
        <v>7.4508999999999999</v>
      </c>
      <c r="P116" s="14">
        <f>CHOOSE(CONTROL!$C$42, 7.2117, 7.2117) * CHOOSE(CONTROL!$C$21, $C$9, 100%, $E$9)</f>
        <v>7.2117000000000004</v>
      </c>
      <c r="Q116" s="14">
        <f>CHOOSE(CONTROL!$C$42, 8.0456, 8.0456) * CHOOSE(CONTROL!$C$21, $C$9, 100%, $E$9)</f>
        <v>8.0456000000000003</v>
      </c>
      <c r="R116" s="14">
        <f>CHOOSE(CONTROL!$C$42, 8.6528, 8.6528) * CHOOSE(CONTROL!$C$21, $C$9, 100%, $E$9)</f>
        <v>8.6527999999999992</v>
      </c>
      <c r="S116" s="14">
        <f>CHOOSE(CONTROL!$C$42, 6.9966, 6.9966) * CHOOSE(CONTROL!$C$21, $C$9, 100%, $E$9)</f>
        <v>6.9965999999999999</v>
      </c>
      <c r="T1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16" s="56">
        <f>(1000*CHOOSE(CONTROL!$C$42, 695, 695)*CHOOSE(CONTROL!$C$42, 0.5599, 0.5599)*CHOOSE(CONTROL!$C$42, 31, 31))/1000000</f>
        <v>12.063045499999998</v>
      </c>
      <c r="V116" s="56">
        <f>(1000*CHOOSE(CONTROL!$C$42, 500, 500)*CHOOSE(CONTROL!$C$42, 0.275, 0.275)*CHOOSE(CONTROL!$C$42, 31, 31))/1000000</f>
        <v>4.2625000000000002</v>
      </c>
      <c r="W116" s="56">
        <f>(1000*CHOOSE(CONTROL!$C$42, 0.1146, 0.1146)*CHOOSE(CONTROL!$C$42, 121.5, 121.5)*CHOOSE(CONTROL!$C$42, 31, 31))/1000000</f>
        <v>0.43164089999999994</v>
      </c>
      <c r="X116" s="56">
        <f>(31*0.1790888*245000/1000000)+(31*0.2374*100000/1000000)</f>
        <v>2.0961194359999999</v>
      </c>
      <c r="Y116" s="56"/>
      <c r="Z116" s="14"/>
      <c r="AA116" s="55"/>
      <c r="AB116" s="49">
        <f>(B116*194.205+C116*267.466+D116*133.845+E116*53.484+F116*40+G116*185+H116*0+I116*100+J116*300)/(194.205+267.466+133.845+53.484+0+40+185+100+300)</f>
        <v>7.3481980388540027</v>
      </c>
      <c r="AC116" s="45">
        <f>(M116*'RAP TEMPLATE-GAS AVAILABILITY'!O115+N116*'RAP TEMPLATE-GAS AVAILABILITY'!P115+O116*'RAP TEMPLATE-GAS AVAILABILITY'!Q115+P116*'RAP TEMPLATE-GAS AVAILABILITY'!R115)/('RAP TEMPLATE-GAS AVAILABILITY'!O115+'RAP TEMPLATE-GAS AVAILABILITY'!P115+'RAP TEMPLATE-GAS AVAILABILITY'!Q115+'RAP TEMPLATE-GAS AVAILABILITY'!R115)</f>
        <v>7.2667618705035979</v>
      </c>
    </row>
    <row r="117" spans="1:29" ht="15.75" x14ac:dyDescent="0.25">
      <c r="A117" s="13">
        <v>44440</v>
      </c>
      <c r="B117" s="14">
        <f>CHOOSE(CONTROL!$C$42, 6.844, 6.844) * CHOOSE(CONTROL!$C$21, $C$9, 100%, $E$9)</f>
        <v>6.8440000000000003</v>
      </c>
      <c r="C117" s="14">
        <f>CHOOSE(CONTROL!$C$42, 6.852, 6.852) * CHOOSE(CONTROL!$C$21, $C$9, 100%, $E$9)</f>
        <v>6.8520000000000003</v>
      </c>
      <c r="D117" s="14">
        <f>CHOOSE(CONTROL!$C$42, 7.1111, 7.1111) * CHOOSE(CONTROL!$C$21, $C$9, 100%, $E$9)</f>
        <v>7.1111000000000004</v>
      </c>
      <c r="E117" s="14">
        <f>CHOOSE(CONTROL!$C$42, 7.1425, 7.1425) * CHOOSE(CONTROL!$C$21, $C$9, 100%, $E$9)</f>
        <v>7.1425000000000001</v>
      </c>
      <c r="F117" s="14">
        <f>CHOOSE(CONTROL!$C$42, 6.8664, 6.8664)*CHOOSE(CONTROL!$C$21, $C$9, 100%, $E$9)</f>
        <v>6.8663999999999996</v>
      </c>
      <c r="G117" s="14">
        <f>CHOOSE(CONTROL!$C$42, 6.8837, 6.8837)*CHOOSE(CONTROL!$C$21, $C$9, 100%, $E$9)</f>
        <v>6.8837000000000002</v>
      </c>
      <c r="H117" s="14">
        <f>CHOOSE(CONTROL!$C$42, 7.1312, 7.1312) * CHOOSE(CONTROL!$C$21, $C$9, 100%, $E$9)</f>
        <v>7.1311999999999998</v>
      </c>
      <c r="I117" s="14">
        <f>CHOOSE(CONTROL!$C$42, 6.8865, 6.8865)* CHOOSE(CONTROL!$C$21, $C$9, 100%, $E$9)</f>
        <v>6.8864999999999998</v>
      </c>
      <c r="J117" s="14">
        <f>CHOOSE(CONTROL!$C$42, 6.8594, 6.8594)* CHOOSE(CONTROL!$C$21, $C$9, 100%, $E$9)</f>
        <v>6.8593999999999999</v>
      </c>
      <c r="K117" s="52">
        <f>CHOOSE(CONTROL!$C$42, 6.8826, 6.8826) * CHOOSE(CONTROL!$C$21, $C$9, 100%, $E$9)</f>
        <v>6.8826000000000001</v>
      </c>
      <c r="L117" s="14">
        <f>CHOOSE(CONTROL!$C$42, 7.7182, 7.7182) * CHOOSE(CONTROL!$C$21, $C$9, 100%, $E$9)</f>
        <v>7.7182000000000004</v>
      </c>
      <c r="M117" s="14">
        <f>CHOOSE(CONTROL!$C$42, 6.7438, 6.7438) * CHOOSE(CONTROL!$C$21, $C$9, 100%, $E$9)</f>
        <v>6.7438000000000002</v>
      </c>
      <c r="N117" s="14">
        <f>CHOOSE(CONTROL!$C$42, 6.7607, 6.7607) * CHOOSE(CONTROL!$C$21, $C$9, 100%, $E$9)</f>
        <v>6.7606999999999999</v>
      </c>
      <c r="O117" s="14">
        <f>CHOOSE(CONTROL!$C$42, 7.0106, 7.0106) * CHOOSE(CONTROL!$C$21, $C$9, 100%, $E$9)</f>
        <v>7.0106000000000002</v>
      </c>
      <c r="P117" s="14">
        <f>CHOOSE(CONTROL!$C$42, 6.77, 6.77) * CHOOSE(CONTROL!$C$21, $C$9, 100%, $E$9)</f>
        <v>6.77</v>
      </c>
      <c r="Q117" s="14">
        <f>CHOOSE(CONTROL!$C$42, 7.6053, 7.6053) * CHOOSE(CONTROL!$C$21, $C$9, 100%, $E$9)</f>
        <v>7.6052999999999997</v>
      </c>
      <c r="R117" s="14">
        <f>CHOOSE(CONTROL!$C$42, 8.2113, 8.2113) * CHOOSE(CONTROL!$C$21, $C$9, 100%, $E$9)</f>
        <v>8.2112999999999996</v>
      </c>
      <c r="S117" s="14">
        <f>CHOOSE(CONTROL!$C$42, 6.5657, 6.5657) * CHOOSE(CONTROL!$C$21, $C$9, 100%, $E$9)</f>
        <v>6.5656999999999996</v>
      </c>
      <c r="T1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17" s="56">
        <f>(1000*CHOOSE(CONTROL!$C$42, 695, 695)*CHOOSE(CONTROL!$C$42, 0.5599, 0.5599)*CHOOSE(CONTROL!$C$42, 30, 30))/1000000</f>
        <v>11.673914999999997</v>
      </c>
      <c r="V117" s="56">
        <f>(1000*CHOOSE(CONTROL!$C$42, 500, 500)*CHOOSE(CONTROL!$C$42, 0.275, 0.275)*CHOOSE(CONTROL!$C$42, 30, 30))/1000000</f>
        <v>4.125</v>
      </c>
      <c r="W117" s="56">
        <f>(1000*CHOOSE(CONTROL!$C$42, 0.1146, 0.1146)*CHOOSE(CONTROL!$C$42, 121.5, 121.5)*CHOOSE(CONTROL!$C$42, 30, 30))/1000000</f>
        <v>0.417717</v>
      </c>
      <c r="X117" s="56">
        <f>(30*0.1790888*245000/1000000)+(30*0.2374*100000/1000000)</f>
        <v>2.0285026799999999</v>
      </c>
      <c r="Y117" s="56"/>
      <c r="Z117" s="14"/>
      <c r="AA117" s="55"/>
      <c r="AB117" s="49">
        <f>(B117*194.205+C117*267.466+D117*133.845+E117*53.484+F117*40+G117*185+H117*0+I117*100+J117*300)/(194.205+267.466+133.845+53.484+0+40+185+100+300)</f>
        <v>6.8997026699372048</v>
      </c>
      <c r="AC117" s="45">
        <f>(M117*'RAP TEMPLATE-GAS AVAILABILITY'!O116+N117*'RAP TEMPLATE-GAS AVAILABILITY'!P116+O117*'RAP TEMPLATE-GAS AVAILABILITY'!Q116+P117*'RAP TEMPLATE-GAS AVAILABILITY'!R116)/('RAP TEMPLATE-GAS AVAILABILITY'!O116+'RAP TEMPLATE-GAS AVAILABILITY'!P116+'RAP TEMPLATE-GAS AVAILABILITY'!Q116+'RAP TEMPLATE-GAS AVAILABILITY'!R116)</f>
        <v>6.826317985611511</v>
      </c>
    </row>
    <row r="118" spans="1:29" ht="15.75" x14ac:dyDescent="0.25">
      <c r="A118" s="13">
        <v>44470</v>
      </c>
      <c r="B118" s="14">
        <f>CHOOSE(CONTROL!$C$42, 6.7173, 6.7173) * CHOOSE(CONTROL!$C$21, $C$9, 100%, $E$9)</f>
        <v>6.7172999999999998</v>
      </c>
      <c r="C118" s="14">
        <f>CHOOSE(CONTROL!$C$42, 6.7226, 6.7226) * CHOOSE(CONTROL!$C$21, $C$9, 100%, $E$9)</f>
        <v>6.7225999999999999</v>
      </c>
      <c r="D118" s="14">
        <f>CHOOSE(CONTROL!$C$42, 6.9867, 6.9867) * CHOOSE(CONTROL!$C$21, $C$9, 100%, $E$9)</f>
        <v>6.9866999999999999</v>
      </c>
      <c r="E118" s="14">
        <f>CHOOSE(CONTROL!$C$42, 7.0158, 7.0158) * CHOOSE(CONTROL!$C$21, $C$9, 100%, $E$9)</f>
        <v>7.0157999999999996</v>
      </c>
      <c r="F118" s="14">
        <f>CHOOSE(CONTROL!$C$42, 6.7419, 6.7419)*CHOOSE(CONTROL!$C$21, $C$9, 100%, $E$9)</f>
        <v>6.7419000000000002</v>
      </c>
      <c r="G118" s="14">
        <f>CHOOSE(CONTROL!$C$42, 6.759, 6.759)*CHOOSE(CONTROL!$C$21, $C$9, 100%, $E$9)</f>
        <v>6.7590000000000003</v>
      </c>
      <c r="H118" s="14">
        <f>CHOOSE(CONTROL!$C$42, 7.0062, 7.0062) * CHOOSE(CONTROL!$C$21, $C$9, 100%, $E$9)</f>
        <v>7.0061999999999998</v>
      </c>
      <c r="I118" s="14">
        <f>CHOOSE(CONTROL!$C$42, 6.7612, 6.7612)* CHOOSE(CONTROL!$C$21, $C$9, 100%, $E$9)</f>
        <v>6.7611999999999997</v>
      </c>
      <c r="J118" s="14">
        <f>CHOOSE(CONTROL!$C$42, 6.7349, 6.7349)* CHOOSE(CONTROL!$C$21, $C$9, 100%, $E$9)</f>
        <v>6.7348999999999997</v>
      </c>
      <c r="K118" s="52">
        <f>CHOOSE(CONTROL!$C$42, 6.7573, 6.7573) * CHOOSE(CONTROL!$C$21, $C$9, 100%, $E$9)</f>
        <v>6.7572999999999999</v>
      </c>
      <c r="L118" s="14">
        <f>CHOOSE(CONTROL!$C$42, 7.5932, 7.5932) * CHOOSE(CONTROL!$C$21, $C$9, 100%, $E$9)</f>
        <v>7.5932000000000004</v>
      </c>
      <c r="M118" s="14">
        <f>CHOOSE(CONTROL!$C$42, 6.6215, 6.6215) * CHOOSE(CONTROL!$C$21, $C$9, 100%, $E$9)</f>
        <v>6.6215000000000002</v>
      </c>
      <c r="N118" s="14">
        <f>CHOOSE(CONTROL!$C$42, 6.6382, 6.6382) * CHOOSE(CONTROL!$C$21, $C$9, 100%, $E$9)</f>
        <v>6.6382000000000003</v>
      </c>
      <c r="O118" s="14">
        <f>CHOOSE(CONTROL!$C$42, 6.8879, 6.8879) * CHOOSE(CONTROL!$C$21, $C$9, 100%, $E$9)</f>
        <v>6.8879000000000001</v>
      </c>
      <c r="P118" s="14">
        <f>CHOOSE(CONTROL!$C$42, 6.6469, 6.6469) * CHOOSE(CONTROL!$C$21, $C$9, 100%, $E$9)</f>
        <v>6.6468999999999996</v>
      </c>
      <c r="Q118" s="14">
        <f>CHOOSE(CONTROL!$C$42, 7.4826, 7.4826) * CHOOSE(CONTROL!$C$21, $C$9, 100%, $E$9)</f>
        <v>7.4825999999999997</v>
      </c>
      <c r="R118" s="14">
        <f>CHOOSE(CONTROL!$C$42, 8.0883, 8.0883) * CHOOSE(CONTROL!$C$21, $C$9, 100%, $E$9)</f>
        <v>8.0883000000000003</v>
      </c>
      <c r="S118" s="14">
        <f>CHOOSE(CONTROL!$C$42, 6.4457, 6.4457) * CHOOSE(CONTROL!$C$21, $C$9, 100%, $E$9)</f>
        <v>6.4457000000000004</v>
      </c>
      <c r="T1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18" s="56">
        <f>(1000*CHOOSE(CONTROL!$C$42, 695, 695)*CHOOSE(CONTROL!$C$42, 0.5599, 0.5599)*CHOOSE(CONTROL!$C$42, 31, 31))/1000000</f>
        <v>12.063045499999998</v>
      </c>
      <c r="V118" s="56">
        <f>(1000*CHOOSE(CONTROL!$C$42, 500, 500)*CHOOSE(CONTROL!$C$42, 0.275, 0.275)*CHOOSE(CONTROL!$C$42, 31, 31))/1000000</f>
        <v>4.2625000000000002</v>
      </c>
      <c r="W118" s="56">
        <f>(1000*CHOOSE(CONTROL!$C$42, 0.1146, 0.1146)*CHOOSE(CONTROL!$C$42, 121.5, 121.5)*CHOOSE(CONTROL!$C$42, 31, 31))/1000000</f>
        <v>0.43164089999999994</v>
      </c>
      <c r="X118" s="56">
        <f>(31*0.1790888*245000/1000000)+(31*0.2374*100000/1000000)</f>
        <v>2.0961194359999999</v>
      </c>
      <c r="Y118" s="56"/>
      <c r="Z118" s="14"/>
      <c r="AA118" s="55"/>
      <c r="AB118" s="49">
        <f>(B118*131.881+C118*277.167+D118*79.08+E118*125.872+F118*40+G118*185+H118*0+I118*100+J118*300)/(131.881+277.167+79.08+125.872+0+40+185+100+300)</f>
        <v>6.780830612671509</v>
      </c>
      <c r="AC118" s="45">
        <f>(M118*'RAP TEMPLATE-GAS AVAILABILITY'!O117+N118*'RAP TEMPLATE-GAS AVAILABILITY'!P117+O118*'RAP TEMPLATE-GAS AVAILABILITY'!Q117+P118*'RAP TEMPLATE-GAS AVAILABILITY'!R117)/('RAP TEMPLATE-GAS AVAILABILITY'!O117+'RAP TEMPLATE-GAS AVAILABILITY'!P117+'RAP TEMPLATE-GAS AVAILABILITY'!Q117+'RAP TEMPLATE-GAS AVAILABILITY'!R117)</f>
        <v>6.7037446043165465</v>
      </c>
    </row>
    <row r="119" spans="1:29" ht="15.75" x14ac:dyDescent="0.25">
      <c r="A119" s="13">
        <v>44501</v>
      </c>
      <c r="B119" s="14">
        <f>CHOOSE(CONTROL!$C$42, 6.9077, 6.9077) * CHOOSE(CONTROL!$C$21, $C$9, 100%, $E$9)</f>
        <v>6.9077000000000002</v>
      </c>
      <c r="C119" s="14">
        <f>CHOOSE(CONTROL!$C$42, 6.9128, 6.9128) * CHOOSE(CONTROL!$C$21, $C$9, 100%, $E$9)</f>
        <v>6.9127999999999998</v>
      </c>
      <c r="D119" s="14">
        <f>CHOOSE(CONTROL!$C$42, 6.9959, 6.9959) * CHOOSE(CONTROL!$C$21, $C$9, 100%, $E$9)</f>
        <v>6.9958999999999998</v>
      </c>
      <c r="E119" s="14">
        <f>CHOOSE(CONTROL!$C$42, 7.03, 7.03) * CHOOSE(CONTROL!$C$21, $C$9, 100%, $E$9)</f>
        <v>7.03</v>
      </c>
      <c r="F119" s="14">
        <f>CHOOSE(CONTROL!$C$42, 6.9354, 6.9354)*CHOOSE(CONTROL!$C$21, $C$9, 100%, $E$9)</f>
        <v>6.9353999999999996</v>
      </c>
      <c r="G119" s="14">
        <f>CHOOSE(CONTROL!$C$42, 6.9527, 6.9527)*CHOOSE(CONTROL!$C$21, $C$9, 100%, $E$9)</f>
        <v>6.9527000000000001</v>
      </c>
      <c r="H119" s="14">
        <f>CHOOSE(CONTROL!$C$42, 7.0192, 7.0192) * CHOOSE(CONTROL!$C$21, $C$9, 100%, $E$9)</f>
        <v>7.0191999999999997</v>
      </c>
      <c r="I119" s="14">
        <f>CHOOSE(CONTROL!$C$42, 6.949, 6.949)* CHOOSE(CONTROL!$C$21, $C$9, 100%, $E$9)</f>
        <v>6.9489999999999998</v>
      </c>
      <c r="J119" s="14">
        <f>CHOOSE(CONTROL!$C$42, 6.9284, 6.9284)* CHOOSE(CONTROL!$C$21, $C$9, 100%, $E$9)</f>
        <v>6.9283999999999999</v>
      </c>
      <c r="K119" s="52">
        <f>CHOOSE(CONTROL!$C$42, 6.9451, 6.9451) * CHOOSE(CONTROL!$C$21, $C$9, 100%, $E$9)</f>
        <v>6.9451000000000001</v>
      </c>
      <c r="L119" s="14">
        <f>CHOOSE(CONTROL!$C$42, 7.6062, 7.6062) * CHOOSE(CONTROL!$C$21, $C$9, 100%, $E$9)</f>
        <v>7.6062000000000003</v>
      </c>
      <c r="M119" s="14">
        <f>CHOOSE(CONTROL!$C$42, 6.8114, 6.8114) * CHOOSE(CONTROL!$C$21, $C$9, 100%, $E$9)</f>
        <v>6.8113999999999999</v>
      </c>
      <c r="N119" s="14">
        <f>CHOOSE(CONTROL!$C$42, 6.8285, 6.8285) * CHOOSE(CONTROL!$C$21, $C$9, 100%, $E$9)</f>
        <v>6.8285</v>
      </c>
      <c r="O119" s="14">
        <f>CHOOSE(CONTROL!$C$42, 6.9006, 6.9006) * CHOOSE(CONTROL!$C$21, $C$9, 100%, $E$9)</f>
        <v>6.9005999999999998</v>
      </c>
      <c r="P119" s="14">
        <f>CHOOSE(CONTROL!$C$42, 6.8314, 6.8314) * CHOOSE(CONTROL!$C$21, $C$9, 100%, $E$9)</f>
        <v>6.8314000000000004</v>
      </c>
      <c r="Q119" s="14">
        <f>CHOOSE(CONTROL!$C$42, 7.4953, 7.4953) * CHOOSE(CONTROL!$C$21, $C$9, 100%, $E$9)</f>
        <v>7.4953000000000003</v>
      </c>
      <c r="R119" s="14">
        <f>CHOOSE(CONTROL!$C$42, 8.101, 8.101) * CHOOSE(CONTROL!$C$21, $C$9, 100%, $E$9)</f>
        <v>8.1010000000000009</v>
      </c>
      <c r="S119" s="14">
        <f>CHOOSE(CONTROL!$C$42, 6.6291, 6.6291) * CHOOSE(CONTROL!$C$21, $C$9, 100%, $E$9)</f>
        <v>6.6291000000000002</v>
      </c>
      <c r="T1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19" s="56">
        <f>(1000*CHOOSE(CONTROL!$C$42, 695, 695)*CHOOSE(CONTROL!$C$42, 0.5599, 0.5599)*CHOOSE(CONTROL!$C$42, 30, 30))/1000000</f>
        <v>11.673914999999997</v>
      </c>
      <c r="V119" s="56">
        <f>(1000*CHOOSE(CONTROL!$C$42, 500, 500)*CHOOSE(CONTROL!$C$42, 0.275, 0.275)*CHOOSE(CONTROL!$C$42, 30, 30))/1000000</f>
        <v>4.125</v>
      </c>
      <c r="W119" s="56">
        <f>(1000*CHOOSE(CONTROL!$C$42, 0.1146, 0.1146)*CHOOSE(CONTROL!$C$42, 121.5, 121.5)*CHOOSE(CONTROL!$C$42, 30, 30))/1000000</f>
        <v>0.417717</v>
      </c>
      <c r="X119" s="56">
        <f>(30*0.1790888*100000/1000000)+(30*0.2374*100000/1000000)</f>
        <v>1.2494664</v>
      </c>
      <c r="Y119" s="56"/>
      <c r="Z119" s="14"/>
      <c r="AA119" s="55"/>
      <c r="AB119" s="49">
        <f>(B119*122.58+C119*297.941+D119*89.177+E119*40.302+F119*40+G119*160+H119*0+I119*100+J119*300)/(122.58+297.941+89.177+40.302+0+40+160+100+300)</f>
        <v>6.9363624740000001</v>
      </c>
      <c r="AC119" s="45">
        <f>(M119*'RAP TEMPLATE-GAS AVAILABILITY'!O118+N119*'RAP TEMPLATE-GAS AVAILABILITY'!P118+O119*'RAP TEMPLATE-GAS AVAILABILITY'!Q118+P119*'RAP TEMPLATE-GAS AVAILABILITY'!R118)/('RAP TEMPLATE-GAS AVAILABILITY'!O118+'RAP TEMPLATE-GAS AVAILABILITY'!P118+'RAP TEMPLATE-GAS AVAILABILITY'!Q118+'RAP TEMPLATE-GAS AVAILABILITY'!R118)</f>
        <v>6.8556906474820138</v>
      </c>
    </row>
    <row r="120" spans="1:29" ht="15.75" x14ac:dyDescent="0.25">
      <c r="A120" s="13">
        <v>44531</v>
      </c>
      <c r="B120" s="14">
        <f>CHOOSE(CONTROL!$C$42, 7.3932, 7.3932) * CHOOSE(CONTROL!$C$21, $C$9, 100%, $E$9)</f>
        <v>7.3932000000000002</v>
      </c>
      <c r="C120" s="14">
        <f>CHOOSE(CONTROL!$C$42, 7.3983, 7.3983) * CHOOSE(CONTROL!$C$21, $C$9, 100%, $E$9)</f>
        <v>7.3982999999999999</v>
      </c>
      <c r="D120" s="14">
        <f>CHOOSE(CONTROL!$C$42, 7.4814, 7.4814) * CHOOSE(CONTROL!$C$21, $C$9, 100%, $E$9)</f>
        <v>7.4813999999999998</v>
      </c>
      <c r="E120" s="14">
        <f>CHOOSE(CONTROL!$C$42, 7.5155, 7.5155) * CHOOSE(CONTROL!$C$21, $C$9, 100%, $E$9)</f>
        <v>7.5155000000000003</v>
      </c>
      <c r="F120" s="14">
        <f>CHOOSE(CONTROL!$C$42, 7.4233, 7.4233)*CHOOSE(CONTROL!$C$21, $C$9, 100%, $E$9)</f>
        <v>7.4233000000000002</v>
      </c>
      <c r="G120" s="14">
        <f>CHOOSE(CONTROL!$C$42, 7.4413, 7.4413)*CHOOSE(CONTROL!$C$21, $C$9, 100%, $E$9)</f>
        <v>7.4413</v>
      </c>
      <c r="H120" s="14">
        <f>CHOOSE(CONTROL!$C$42, 7.5047, 7.5047) * CHOOSE(CONTROL!$C$21, $C$9, 100%, $E$9)</f>
        <v>7.5046999999999997</v>
      </c>
      <c r="I120" s="14">
        <f>CHOOSE(CONTROL!$C$42, 7.436, 7.436)* CHOOSE(CONTROL!$C$21, $C$9, 100%, $E$9)</f>
        <v>7.4359999999999999</v>
      </c>
      <c r="J120" s="14">
        <f>CHOOSE(CONTROL!$C$42, 7.4163, 7.4163)* CHOOSE(CONTROL!$C$21, $C$9, 100%, $E$9)</f>
        <v>7.4162999999999997</v>
      </c>
      <c r="K120" s="52">
        <f>CHOOSE(CONTROL!$C$42, 7.4321, 7.4321) * CHOOSE(CONTROL!$C$21, $C$9, 100%, $E$9)</f>
        <v>7.4321000000000002</v>
      </c>
      <c r="L120" s="14">
        <f>CHOOSE(CONTROL!$C$42, 8.0917, 8.0917) * CHOOSE(CONTROL!$C$21, $C$9, 100%, $E$9)</f>
        <v>8.0916999999999994</v>
      </c>
      <c r="M120" s="14">
        <f>CHOOSE(CONTROL!$C$42, 7.2906, 7.2906) * CHOOSE(CONTROL!$C$21, $C$9, 100%, $E$9)</f>
        <v>7.2906000000000004</v>
      </c>
      <c r="N120" s="14">
        <f>CHOOSE(CONTROL!$C$42, 7.3083, 7.3083) * CHOOSE(CONTROL!$C$21, $C$9, 100%, $E$9)</f>
        <v>7.3083</v>
      </c>
      <c r="O120" s="14">
        <f>CHOOSE(CONTROL!$C$42, 7.3774, 7.3774) * CHOOSE(CONTROL!$C$21, $C$9, 100%, $E$9)</f>
        <v>7.3773999999999997</v>
      </c>
      <c r="P120" s="14">
        <f>CHOOSE(CONTROL!$C$42, 7.3096, 7.3096) * CHOOSE(CONTROL!$C$21, $C$9, 100%, $E$9)</f>
        <v>7.3095999999999997</v>
      </c>
      <c r="Q120" s="14">
        <f>CHOOSE(CONTROL!$C$42, 7.9721, 7.9721) * CHOOSE(CONTROL!$C$21, $C$9, 100%, $E$9)</f>
        <v>7.9721000000000002</v>
      </c>
      <c r="R120" s="14">
        <f>CHOOSE(CONTROL!$C$42, 8.579, 8.579) * CHOOSE(CONTROL!$C$21, $C$9, 100%, $E$9)</f>
        <v>8.5790000000000006</v>
      </c>
      <c r="S120" s="14">
        <f>CHOOSE(CONTROL!$C$42, 7.0956, 7.0956) * CHOOSE(CONTROL!$C$21, $C$9, 100%, $E$9)</f>
        <v>7.0956000000000001</v>
      </c>
      <c r="T1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20" s="56">
        <f>(1000*CHOOSE(CONTROL!$C$42, 695, 695)*CHOOSE(CONTROL!$C$42, 0.5599, 0.5599)*CHOOSE(CONTROL!$C$42, 31, 31))/1000000</f>
        <v>12.063045499999998</v>
      </c>
      <c r="V120" s="56">
        <f>(1000*CHOOSE(CONTROL!$C$42, 500, 500)*CHOOSE(CONTROL!$C$42, 0.275, 0.275)*CHOOSE(CONTROL!$C$42, 31, 31))/1000000</f>
        <v>4.2625000000000002</v>
      </c>
      <c r="W120" s="56">
        <f>(1000*CHOOSE(CONTROL!$C$42, 0.1146, 0.1146)*CHOOSE(CONTROL!$C$42, 121.5, 121.5)*CHOOSE(CONTROL!$C$42, 31, 31))/1000000</f>
        <v>0.43164089999999994</v>
      </c>
      <c r="X120" s="56">
        <f>(31*0.1790888*100000/1000000)+(31*0.2374*100000/1000000)</f>
        <v>1.2911152800000001</v>
      </c>
      <c r="Y120" s="56"/>
      <c r="Z120" s="14"/>
      <c r="AA120" s="55"/>
      <c r="AB120" s="49">
        <f>(B120*122.58+C120*297.941+D120*89.177+E120*40.302+F120*40+G120*160+H120*0+I120*100+J120*300)/(122.58+297.941+89.177+40.302+0+40+160+100+300)</f>
        <v>7.4231337783478262</v>
      </c>
      <c r="AC120" s="45">
        <f>(M120*'RAP TEMPLATE-GAS AVAILABILITY'!O119+N120*'RAP TEMPLATE-GAS AVAILABILITY'!P119+O120*'RAP TEMPLATE-GAS AVAILABILITY'!Q119+P120*'RAP TEMPLATE-GAS AVAILABILITY'!R119)/('RAP TEMPLATE-GAS AVAILABILITY'!O119+'RAP TEMPLATE-GAS AVAILABILITY'!P119+'RAP TEMPLATE-GAS AVAILABILITY'!Q119+'RAP TEMPLATE-GAS AVAILABILITY'!R119)</f>
        <v>7.3336935251798563</v>
      </c>
    </row>
    <row r="121" spans="1:29" ht="15.75" x14ac:dyDescent="0.25">
      <c r="A121" s="13">
        <v>44562</v>
      </c>
      <c r="B121" s="14">
        <f>CHOOSE(CONTROL!$C$42, 7.851, 7.851) * CHOOSE(CONTROL!$C$21, $C$9, 100%, $E$9)</f>
        <v>7.851</v>
      </c>
      <c r="C121" s="14">
        <f>CHOOSE(CONTROL!$C$42, 7.8561, 7.8561) * CHOOSE(CONTROL!$C$21, $C$9, 100%, $E$9)</f>
        <v>7.8560999999999996</v>
      </c>
      <c r="D121" s="14">
        <f>CHOOSE(CONTROL!$C$42, 7.9496, 7.9496) * CHOOSE(CONTROL!$C$21, $C$9, 100%, $E$9)</f>
        <v>7.9496000000000002</v>
      </c>
      <c r="E121" s="14">
        <f>CHOOSE(CONTROL!$C$42, 7.9837, 7.9837) * CHOOSE(CONTROL!$C$21, $C$9, 100%, $E$9)</f>
        <v>7.9836999999999998</v>
      </c>
      <c r="F121" s="14">
        <f>CHOOSE(CONTROL!$C$42, 7.8783, 7.8783)*CHOOSE(CONTROL!$C$21, $C$9, 100%, $E$9)</f>
        <v>7.8783000000000003</v>
      </c>
      <c r="G121" s="14">
        <f>CHOOSE(CONTROL!$C$42, 7.8963, 7.8963)*CHOOSE(CONTROL!$C$21, $C$9, 100%, $E$9)</f>
        <v>7.8963000000000001</v>
      </c>
      <c r="H121" s="14">
        <f>CHOOSE(CONTROL!$C$42, 7.9729, 7.9729) * CHOOSE(CONTROL!$C$21, $C$9, 100%, $E$9)</f>
        <v>7.9729000000000001</v>
      </c>
      <c r="I121" s="14">
        <f>CHOOSE(CONTROL!$C$42, 7.9015, 7.9015)* CHOOSE(CONTROL!$C$21, $C$9, 100%, $E$9)</f>
        <v>7.9015000000000004</v>
      </c>
      <c r="J121" s="14">
        <f>CHOOSE(CONTROL!$C$42, 7.8713, 7.8713)* CHOOSE(CONTROL!$C$21, $C$9, 100%, $E$9)</f>
        <v>7.8712999999999997</v>
      </c>
      <c r="K121" s="52">
        <f>CHOOSE(CONTROL!$C$42, 7.8976, 7.8976) * CHOOSE(CONTROL!$C$21, $C$9, 100%, $E$9)</f>
        <v>7.8975999999999997</v>
      </c>
      <c r="L121" s="14">
        <f>CHOOSE(CONTROL!$C$42, 8.5599, 8.5599) * CHOOSE(CONTROL!$C$21, $C$9, 100%, $E$9)</f>
        <v>8.5599000000000007</v>
      </c>
      <c r="M121" s="14">
        <f>CHOOSE(CONTROL!$C$42, 7.7375, 7.7375) * CHOOSE(CONTROL!$C$21, $C$9, 100%, $E$9)</f>
        <v>7.7374999999999998</v>
      </c>
      <c r="N121" s="14">
        <f>CHOOSE(CONTROL!$C$42, 7.7551, 7.7551) * CHOOSE(CONTROL!$C$21, $C$9, 100%, $E$9)</f>
        <v>7.7550999999999997</v>
      </c>
      <c r="O121" s="14">
        <f>CHOOSE(CONTROL!$C$42, 7.8372, 7.8372) * CHOOSE(CONTROL!$C$21, $C$9, 100%, $E$9)</f>
        <v>7.8372000000000002</v>
      </c>
      <c r="P121" s="14">
        <f>CHOOSE(CONTROL!$C$42, 7.7667, 7.7667) * CHOOSE(CONTROL!$C$21, $C$9, 100%, $E$9)</f>
        <v>7.7667000000000002</v>
      </c>
      <c r="Q121" s="14">
        <f>CHOOSE(CONTROL!$C$42, 8.4319, 8.4319) * CHOOSE(CONTROL!$C$21, $C$9, 100%, $E$9)</f>
        <v>8.4319000000000006</v>
      </c>
      <c r="R121" s="14">
        <f>CHOOSE(CONTROL!$C$42, 9.0399, 9.0399) * CHOOSE(CONTROL!$C$21, $C$9, 100%, $E$9)</f>
        <v>9.0398999999999994</v>
      </c>
      <c r="S121" s="14">
        <f>CHOOSE(CONTROL!$C$42, 7.5355, 7.5355) * CHOOSE(CONTROL!$C$21, $C$9, 100%, $E$9)</f>
        <v>7.5354999999999999</v>
      </c>
      <c r="T1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21" s="56">
        <f>(1000*CHOOSE(CONTROL!$C$42, 695, 695)*CHOOSE(CONTROL!$C$42, 0.5599, 0.5599)*CHOOSE(CONTROL!$C$42, 31, 31))/1000000</f>
        <v>12.063045499999998</v>
      </c>
      <c r="V121" s="56">
        <f>(1000*CHOOSE(CONTROL!$C$42, 500, 500)*CHOOSE(CONTROL!$C$42, 0.275, 0.275)*CHOOSE(CONTROL!$C$42, 31, 31))/1000000</f>
        <v>4.2625000000000002</v>
      </c>
      <c r="W121" s="56">
        <f>(1000*CHOOSE(CONTROL!$C$42, 0.1146, 0.1146)*CHOOSE(CONTROL!$C$42, 121.5, 121.5)*CHOOSE(CONTROL!$C$42, 31, 31))/1000000</f>
        <v>0.43164089999999994</v>
      </c>
      <c r="X121" s="56">
        <f>(31*0.1790888*100000/1000000)+(31*0.2374*100000/1000000)</f>
        <v>1.2911152800000001</v>
      </c>
      <c r="Y121" s="56"/>
      <c r="Z121" s="14"/>
      <c r="AA121" s="55"/>
      <c r="AB121" s="49">
        <f>(B121*122.58+C121*297.941+D121*89.177+E121*40.302+F121*40+G121*160+H121*0+I121*100+J121*300)/(122.58+297.941+89.177+40.302+0+40+160+100+300)</f>
        <v>7.8815568927826067</v>
      </c>
      <c r="AC121" s="45">
        <f>(M121*'RAP TEMPLATE-GAS AVAILABILITY'!O120+N121*'RAP TEMPLATE-GAS AVAILABILITY'!P120+O121*'RAP TEMPLATE-GAS AVAILABILITY'!Q120+P121*'RAP TEMPLATE-GAS AVAILABILITY'!R120)/('RAP TEMPLATE-GAS AVAILABILITY'!O120+'RAP TEMPLATE-GAS AVAILABILITY'!P120+'RAP TEMPLATE-GAS AVAILABILITY'!Q120+'RAP TEMPLATE-GAS AVAILABILITY'!R120)</f>
        <v>7.7879021582733818</v>
      </c>
    </row>
    <row r="122" spans="1:29" ht="15.75" x14ac:dyDescent="0.25">
      <c r="A122" s="13">
        <v>44593</v>
      </c>
      <c r="B122" s="14">
        <f>CHOOSE(CONTROL!$C$42, 8.0071, 8.0071) * CHOOSE(CONTROL!$C$21, $C$9, 100%, $E$9)</f>
        <v>8.0070999999999994</v>
      </c>
      <c r="C122" s="14">
        <f>CHOOSE(CONTROL!$C$42, 8.0121, 8.0121) * CHOOSE(CONTROL!$C$21, $C$9, 100%, $E$9)</f>
        <v>8.0121000000000002</v>
      </c>
      <c r="D122" s="14">
        <f>CHOOSE(CONTROL!$C$42, 8.1056, 8.1056) * CHOOSE(CONTROL!$C$21, $C$9, 100%, $E$9)</f>
        <v>8.1056000000000008</v>
      </c>
      <c r="E122" s="14">
        <f>CHOOSE(CONTROL!$C$42, 8.1397, 8.1397) * CHOOSE(CONTROL!$C$21, $C$9, 100%, $E$9)</f>
        <v>8.1396999999999995</v>
      </c>
      <c r="F122" s="14">
        <f>CHOOSE(CONTROL!$C$42, 8.034, 8.034)*CHOOSE(CONTROL!$C$21, $C$9, 100%, $E$9)</f>
        <v>8.0340000000000007</v>
      </c>
      <c r="G122" s="14">
        <f>CHOOSE(CONTROL!$C$42, 8.0519, 8.0519)*CHOOSE(CONTROL!$C$21, $C$9, 100%, $E$9)</f>
        <v>8.0518999999999998</v>
      </c>
      <c r="H122" s="14">
        <f>CHOOSE(CONTROL!$C$42, 8.1289, 8.1289) * CHOOSE(CONTROL!$C$21, $C$9, 100%, $E$9)</f>
        <v>8.1288999999999998</v>
      </c>
      <c r="I122" s="14">
        <f>CHOOSE(CONTROL!$C$42, 8.058, 8.058)* CHOOSE(CONTROL!$C$21, $C$9, 100%, $E$9)</f>
        <v>8.0579999999999998</v>
      </c>
      <c r="J122" s="14">
        <f>CHOOSE(CONTROL!$C$42, 8.027, 8.027)* CHOOSE(CONTROL!$C$21, $C$9, 100%, $E$9)</f>
        <v>8.0269999999999992</v>
      </c>
      <c r="K122" s="52">
        <f>CHOOSE(CONTROL!$C$42, 8.0541, 8.0541) * CHOOSE(CONTROL!$C$21, $C$9, 100%, $E$9)</f>
        <v>8.0541</v>
      </c>
      <c r="L122" s="14">
        <f>CHOOSE(CONTROL!$C$42, 8.7159, 8.7159) * CHOOSE(CONTROL!$C$21, $C$9, 100%, $E$9)</f>
        <v>8.7158999999999995</v>
      </c>
      <c r="M122" s="14">
        <f>CHOOSE(CONTROL!$C$42, 7.8903, 7.8903) * CHOOSE(CONTROL!$C$21, $C$9, 100%, $E$9)</f>
        <v>7.8902999999999999</v>
      </c>
      <c r="N122" s="14">
        <f>CHOOSE(CONTROL!$C$42, 7.9079, 7.9079) * CHOOSE(CONTROL!$C$21, $C$9, 100%, $E$9)</f>
        <v>7.9078999999999997</v>
      </c>
      <c r="O122" s="14">
        <f>CHOOSE(CONTROL!$C$42, 7.9904, 7.9904) * CHOOSE(CONTROL!$C$21, $C$9, 100%, $E$9)</f>
        <v>7.9904000000000002</v>
      </c>
      <c r="P122" s="14">
        <f>CHOOSE(CONTROL!$C$42, 7.9204, 7.9204) * CHOOSE(CONTROL!$C$21, $C$9, 100%, $E$9)</f>
        <v>7.9203999999999999</v>
      </c>
      <c r="Q122" s="14">
        <f>CHOOSE(CONTROL!$C$42, 8.5851, 8.5851) * CHOOSE(CONTROL!$C$21, $C$9, 100%, $E$9)</f>
        <v>8.5851000000000006</v>
      </c>
      <c r="R122" s="14">
        <f>CHOOSE(CONTROL!$C$42, 9.1935, 9.1935) * CHOOSE(CONTROL!$C$21, $C$9, 100%, $E$9)</f>
        <v>9.1935000000000002</v>
      </c>
      <c r="S122" s="14">
        <f>CHOOSE(CONTROL!$C$42, 7.6854, 7.6854) * CHOOSE(CONTROL!$C$21, $C$9, 100%, $E$9)</f>
        <v>7.6853999999999996</v>
      </c>
      <c r="T12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22" s="56">
        <f>(1000*CHOOSE(CONTROL!$C$42, 695, 695)*CHOOSE(CONTROL!$C$42, 0.5599, 0.5599)*CHOOSE(CONTROL!$C$42, 28, 28))/1000000</f>
        <v>10.895653999999999</v>
      </c>
      <c r="V122" s="56">
        <f>(1000*CHOOSE(CONTROL!$C$42, 500, 500)*CHOOSE(CONTROL!$C$42, 0.275, 0.275)*CHOOSE(CONTROL!$C$42, 28, 28))/1000000</f>
        <v>3.85</v>
      </c>
      <c r="W122" s="56">
        <f>(1000*CHOOSE(CONTROL!$C$42, 0.1146, 0.1146)*CHOOSE(CONTROL!$C$42, 121.5, 121.5)*CHOOSE(CONTROL!$C$42, 28, 28))/1000000</f>
        <v>0.38986920000000003</v>
      </c>
      <c r="X122" s="56">
        <f>(28*0.1790888*100000/1000000)+(28*0.2374*100000/1000000)</f>
        <v>1.16616864</v>
      </c>
      <c r="Y122" s="56"/>
      <c r="Z122" s="14"/>
      <c r="AA122" s="55"/>
      <c r="AB122" s="49">
        <f>(B122*122.58+C122*297.941+D122*89.177+E122*40.302+F122*40+G122*160+H122*0+I122*100+J122*300)/(122.58+297.941+89.177+40.302+0+40+160+100+300)</f>
        <v>8.0374666823478265</v>
      </c>
      <c r="AC122" s="45">
        <f>(M122*'RAP TEMPLATE-GAS AVAILABILITY'!O121+N122*'RAP TEMPLATE-GAS AVAILABILITY'!P121+O122*'RAP TEMPLATE-GAS AVAILABILITY'!Q121+P122*'RAP TEMPLATE-GAS AVAILABILITY'!R121)/('RAP TEMPLATE-GAS AVAILABILITY'!O121+'RAP TEMPLATE-GAS AVAILABILITY'!P121+'RAP TEMPLATE-GAS AVAILABILITY'!Q121+'RAP TEMPLATE-GAS AVAILABILITY'!R121)</f>
        <v>7.9410129496402879</v>
      </c>
    </row>
    <row r="123" spans="1:29" ht="15.75" x14ac:dyDescent="0.25">
      <c r="A123" s="13">
        <v>44621</v>
      </c>
      <c r="B123" s="14">
        <f>CHOOSE(CONTROL!$C$42, 7.796, 7.796) * CHOOSE(CONTROL!$C$21, $C$9, 100%, $E$9)</f>
        <v>7.7960000000000003</v>
      </c>
      <c r="C123" s="14">
        <f>CHOOSE(CONTROL!$C$42, 7.8011, 7.8011) * CHOOSE(CONTROL!$C$21, $C$9, 100%, $E$9)</f>
        <v>7.8010999999999999</v>
      </c>
      <c r="D123" s="14">
        <f>CHOOSE(CONTROL!$C$42, 7.8946, 7.8946) * CHOOSE(CONTROL!$C$21, $C$9, 100%, $E$9)</f>
        <v>7.8945999999999996</v>
      </c>
      <c r="E123" s="14">
        <f>CHOOSE(CONTROL!$C$42, 7.9287, 7.9287) * CHOOSE(CONTROL!$C$21, $C$9, 100%, $E$9)</f>
        <v>7.9287000000000001</v>
      </c>
      <c r="F123" s="14">
        <f>CHOOSE(CONTROL!$C$42, 7.8221, 7.8221)*CHOOSE(CONTROL!$C$21, $C$9, 100%, $E$9)</f>
        <v>7.8220999999999998</v>
      </c>
      <c r="G123" s="14">
        <f>CHOOSE(CONTROL!$C$42, 7.8397, 7.8397)*CHOOSE(CONTROL!$C$21, $C$9, 100%, $E$9)</f>
        <v>7.8396999999999997</v>
      </c>
      <c r="H123" s="14">
        <f>CHOOSE(CONTROL!$C$42, 7.9179, 7.9179) * CHOOSE(CONTROL!$C$21, $C$9, 100%, $E$9)</f>
        <v>7.9179000000000004</v>
      </c>
      <c r="I123" s="14">
        <f>CHOOSE(CONTROL!$C$42, 7.8463, 7.8463)* CHOOSE(CONTROL!$C$21, $C$9, 100%, $E$9)</f>
        <v>7.8463000000000003</v>
      </c>
      <c r="J123" s="14">
        <f>CHOOSE(CONTROL!$C$42, 7.8151, 7.8151)* CHOOSE(CONTROL!$C$21, $C$9, 100%, $E$9)</f>
        <v>7.8151000000000002</v>
      </c>
      <c r="K123" s="52">
        <f>CHOOSE(CONTROL!$C$42, 7.8424, 7.8424) * CHOOSE(CONTROL!$C$21, $C$9, 100%, $E$9)</f>
        <v>7.8423999999999996</v>
      </c>
      <c r="L123" s="14">
        <f>CHOOSE(CONTROL!$C$42, 8.5049, 8.5049) * CHOOSE(CONTROL!$C$21, $C$9, 100%, $E$9)</f>
        <v>8.5048999999999992</v>
      </c>
      <c r="M123" s="14">
        <f>CHOOSE(CONTROL!$C$42, 7.6822, 7.6822) * CHOOSE(CONTROL!$C$21, $C$9, 100%, $E$9)</f>
        <v>7.6821999999999999</v>
      </c>
      <c r="N123" s="14">
        <f>CHOOSE(CONTROL!$C$42, 7.6995, 7.6995) * CHOOSE(CONTROL!$C$21, $C$9, 100%, $E$9)</f>
        <v>7.6994999999999996</v>
      </c>
      <c r="O123" s="14">
        <f>CHOOSE(CONTROL!$C$42, 7.7831, 7.7831) * CHOOSE(CONTROL!$C$21, $C$9, 100%, $E$9)</f>
        <v>7.7831000000000001</v>
      </c>
      <c r="P123" s="14">
        <f>CHOOSE(CONTROL!$C$42, 7.7125, 7.7125) * CHOOSE(CONTROL!$C$21, $C$9, 100%, $E$9)</f>
        <v>7.7125000000000004</v>
      </c>
      <c r="Q123" s="14">
        <f>CHOOSE(CONTROL!$C$42, 8.3778, 8.3778) * CHOOSE(CONTROL!$C$21, $C$9, 100%, $E$9)</f>
        <v>8.3778000000000006</v>
      </c>
      <c r="R123" s="14">
        <f>CHOOSE(CONTROL!$C$42, 8.9858, 8.9858) * CHOOSE(CONTROL!$C$21, $C$9, 100%, $E$9)</f>
        <v>8.9857999999999993</v>
      </c>
      <c r="S123" s="14">
        <f>CHOOSE(CONTROL!$C$42, 7.4827, 7.4827) * CHOOSE(CONTROL!$C$21, $C$9, 100%, $E$9)</f>
        <v>7.4827000000000004</v>
      </c>
      <c r="T1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23" s="56">
        <f>(1000*CHOOSE(CONTROL!$C$42, 695, 695)*CHOOSE(CONTROL!$C$42, 0.5599, 0.5599)*CHOOSE(CONTROL!$C$42, 31, 31))/1000000</f>
        <v>12.063045499999998</v>
      </c>
      <c r="V123" s="56">
        <f>(1000*CHOOSE(CONTROL!$C$42, 500, 500)*CHOOSE(CONTROL!$C$42, 0.275, 0.275)*CHOOSE(CONTROL!$C$42, 31, 31))/1000000</f>
        <v>4.2625000000000002</v>
      </c>
      <c r="W123" s="56">
        <f>(1000*CHOOSE(CONTROL!$C$42, 0.1146, 0.1146)*CHOOSE(CONTROL!$C$42, 121.5, 121.5)*CHOOSE(CONTROL!$C$42, 31, 31))/1000000</f>
        <v>0.43164089999999994</v>
      </c>
      <c r="X123" s="56">
        <f>(31*0.1790888*100000/1000000)+(31*0.2374*100000/1000000)</f>
        <v>1.2911152800000001</v>
      </c>
      <c r="Y123" s="56"/>
      <c r="Z123" s="14"/>
      <c r="AA123" s="55"/>
      <c r="AB123" s="49">
        <f>(B123*122.58+C123*297.941+D123*89.177+E123*40.302+F123*40+G123*160+H123*0+I123*100+J123*300)/(122.58+297.941+89.177+40.302+0+40+160+100+300)</f>
        <v>7.8259621101739132</v>
      </c>
      <c r="AC123" s="45">
        <f>(M123*'RAP TEMPLATE-GAS AVAILABILITY'!O122+N123*'RAP TEMPLATE-GAS AVAILABILITY'!P122+O123*'RAP TEMPLATE-GAS AVAILABILITY'!Q122+P123*'RAP TEMPLATE-GAS AVAILABILITY'!R122)/('RAP TEMPLATE-GAS AVAILABILITY'!O122+'RAP TEMPLATE-GAS AVAILABILITY'!P122+'RAP TEMPLATE-GAS AVAILABILITY'!Q122+'RAP TEMPLATE-GAS AVAILABILITY'!R122)</f>
        <v>7.7332870503597126</v>
      </c>
    </row>
    <row r="124" spans="1:29" ht="15.75" x14ac:dyDescent="0.25">
      <c r="A124" s="13">
        <v>44652</v>
      </c>
      <c r="B124" s="14">
        <f>CHOOSE(CONTROL!$C$42, 7.7897, 7.7897) * CHOOSE(CONTROL!$C$21, $C$9, 100%, $E$9)</f>
        <v>7.7896999999999998</v>
      </c>
      <c r="C124" s="14">
        <f>CHOOSE(CONTROL!$C$42, 7.7942, 7.7942) * CHOOSE(CONTROL!$C$21, $C$9, 100%, $E$9)</f>
        <v>7.7942</v>
      </c>
      <c r="D124" s="14">
        <f>CHOOSE(CONTROL!$C$42, 8.0564, 8.0564) * CHOOSE(CONTROL!$C$21, $C$9, 100%, $E$9)</f>
        <v>8.0564</v>
      </c>
      <c r="E124" s="14">
        <f>CHOOSE(CONTROL!$C$42, 8.0885, 8.0885) * CHOOSE(CONTROL!$C$21, $C$9, 100%, $E$9)</f>
        <v>8.0884999999999998</v>
      </c>
      <c r="F124" s="14">
        <f>CHOOSE(CONTROL!$C$42, 7.8125, 7.8125)*CHOOSE(CONTROL!$C$21, $C$9, 100%, $E$9)</f>
        <v>7.8125</v>
      </c>
      <c r="G124" s="14">
        <f>CHOOSE(CONTROL!$C$42, 7.8292, 7.8292)*CHOOSE(CONTROL!$C$21, $C$9, 100%, $E$9)</f>
        <v>7.8292000000000002</v>
      </c>
      <c r="H124" s="14">
        <f>CHOOSE(CONTROL!$C$42, 8.0783, 8.0783) * CHOOSE(CONTROL!$C$21, $C$9, 100%, $E$9)</f>
        <v>8.0783000000000005</v>
      </c>
      <c r="I124" s="14">
        <f>CHOOSE(CONTROL!$C$42, 7.8366, 7.8366)* CHOOSE(CONTROL!$C$21, $C$9, 100%, $E$9)</f>
        <v>7.8365999999999998</v>
      </c>
      <c r="J124" s="14">
        <f>CHOOSE(CONTROL!$C$42, 7.8055, 7.8055)* CHOOSE(CONTROL!$C$21, $C$9, 100%, $E$9)</f>
        <v>7.8055000000000003</v>
      </c>
      <c r="K124" s="52">
        <f>CHOOSE(CONTROL!$C$42, 7.8327, 7.8327) * CHOOSE(CONTROL!$C$21, $C$9, 100%, $E$9)</f>
        <v>7.8327</v>
      </c>
      <c r="L124" s="14">
        <f>CHOOSE(CONTROL!$C$42, 8.6653, 8.6653) * CHOOSE(CONTROL!$C$21, $C$9, 100%, $E$9)</f>
        <v>8.6653000000000002</v>
      </c>
      <c r="M124" s="14">
        <f>CHOOSE(CONTROL!$C$42, 7.6728, 7.6728) * CHOOSE(CONTROL!$C$21, $C$9, 100%, $E$9)</f>
        <v>7.6727999999999996</v>
      </c>
      <c r="N124" s="14">
        <f>CHOOSE(CONTROL!$C$42, 7.6892, 7.6892) * CHOOSE(CONTROL!$C$21, $C$9, 100%, $E$9)</f>
        <v>7.6891999999999996</v>
      </c>
      <c r="O124" s="14">
        <f>CHOOSE(CONTROL!$C$42, 7.9407, 7.9407) * CHOOSE(CONTROL!$C$21, $C$9, 100%, $E$9)</f>
        <v>7.9406999999999996</v>
      </c>
      <c r="P124" s="14">
        <f>CHOOSE(CONTROL!$C$42, 7.703, 7.703) * CHOOSE(CONTROL!$C$21, $C$9, 100%, $E$9)</f>
        <v>7.7030000000000003</v>
      </c>
      <c r="Q124" s="14">
        <f>CHOOSE(CONTROL!$C$42, 8.5354, 8.5354) * CHOOSE(CONTROL!$C$21, $C$9, 100%, $E$9)</f>
        <v>8.5353999999999992</v>
      </c>
      <c r="R124" s="14">
        <f>CHOOSE(CONTROL!$C$42, 9.1437, 9.1437) * CHOOSE(CONTROL!$C$21, $C$9, 100%, $E$9)</f>
        <v>9.1437000000000008</v>
      </c>
      <c r="S124" s="14">
        <f>CHOOSE(CONTROL!$C$42, 7.4758, 7.4758) * CHOOSE(CONTROL!$C$21, $C$9, 100%, $E$9)</f>
        <v>7.4757999999999996</v>
      </c>
      <c r="T1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24" s="56">
        <f>(1000*CHOOSE(CONTROL!$C$42, 695, 695)*CHOOSE(CONTROL!$C$42, 0.5599, 0.5599)*CHOOSE(CONTROL!$C$42, 30, 30))/1000000</f>
        <v>11.673914999999997</v>
      </c>
      <c r="V124" s="56">
        <f>(1000*CHOOSE(CONTROL!$C$42, 500, 500)*CHOOSE(CONTROL!$C$42, 0.275, 0.275)*CHOOSE(CONTROL!$C$42, 30, 30))/1000000</f>
        <v>4.125</v>
      </c>
      <c r="W124" s="56">
        <f>(1000*CHOOSE(CONTROL!$C$42, 0.1146, 0.1146)*CHOOSE(CONTROL!$C$42, 121.5, 121.5)*CHOOSE(CONTROL!$C$42, 30, 30))/1000000</f>
        <v>0.417717</v>
      </c>
      <c r="X124" s="56">
        <f>(30*0.1790888*245000/1000000)+(30*0.2374*100000/1000000)</f>
        <v>2.0285026799999999</v>
      </c>
      <c r="Y124" s="56"/>
      <c r="Z124" s="14"/>
      <c r="AA124" s="55"/>
      <c r="AB124" s="49">
        <f>(B124*141.293+C124*267.993+D124*115.016+E124*89.698+F124*40+G124*185+H124*0+I124*100+J124*300)/(141.293+267.993+115.016+89.698+0+40+185+100+300)</f>
        <v>7.8513077466505248</v>
      </c>
      <c r="AC124" s="45">
        <f>(M124*'RAP TEMPLATE-GAS AVAILABILITY'!O123+N124*'RAP TEMPLATE-GAS AVAILABILITY'!P123+O124*'RAP TEMPLATE-GAS AVAILABILITY'!Q123+P124*'RAP TEMPLATE-GAS AVAILABILITY'!R123)/('RAP TEMPLATE-GAS AVAILABILITY'!O123+'RAP TEMPLATE-GAS AVAILABILITY'!P123+'RAP TEMPLATE-GAS AVAILABILITY'!Q123+'RAP TEMPLATE-GAS AVAILABILITY'!R123)</f>
        <v>7.7560870503597119</v>
      </c>
    </row>
    <row r="125" spans="1:29" ht="15.75" x14ac:dyDescent="0.25">
      <c r="A125" s="13">
        <v>44682</v>
      </c>
      <c r="B125" s="14">
        <f>CHOOSE(CONTROL!$C$42, 7.8759, 7.8759) * CHOOSE(CONTROL!$C$21, $C$9, 100%, $E$9)</f>
        <v>7.8758999999999997</v>
      </c>
      <c r="C125" s="14">
        <f>CHOOSE(CONTROL!$C$42, 7.884, 7.884) * CHOOSE(CONTROL!$C$21, $C$9, 100%, $E$9)</f>
        <v>7.8840000000000003</v>
      </c>
      <c r="D125" s="14">
        <f>CHOOSE(CONTROL!$C$42, 8.143, 8.143) * CHOOSE(CONTROL!$C$21, $C$9, 100%, $E$9)</f>
        <v>8.1430000000000007</v>
      </c>
      <c r="E125" s="14">
        <f>CHOOSE(CONTROL!$C$42, 8.1745, 8.1745) * CHOOSE(CONTROL!$C$21, $C$9, 100%, $E$9)</f>
        <v>8.1745000000000001</v>
      </c>
      <c r="F125" s="14">
        <f>CHOOSE(CONTROL!$C$42, 7.8974, 7.8974)*CHOOSE(CONTROL!$C$21, $C$9, 100%, $E$9)</f>
        <v>7.8974000000000002</v>
      </c>
      <c r="G125" s="14">
        <f>CHOOSE(CONTROL!$C$42, 7.9144, 7.9144)*CHOOSE(CONTROL!$C$21, $C$9, 100%, $E$9)</f>
        <v>7.9143999999999997</v>
      </c>
      <c r="H125" s="14">
        <f>CHOOSE(CONTROL!$C$42, 8.1631, 8.1631) * CHOOSE(CONTROL!$C$21, $C$9, 100%, $E$9)</f>
        <v>8.1631</v>
      </c>
      <c r="I125" s="14">
        <f>CHOOSE(CONTROL!$C$42, 7.9217, 7.9217)* CHOOSE(CONTROL!$C$21, $C$9, 100%, $E$9)</f>
        <v>7.9217000000000004</v>
      </c>
      <c r="J125" s="14">
        <f>CHOOSE(CONTROL!$C$42, 7.8904, 7.8904)* CHOOSE(CONTROL!$C$21, $C$9, 100%, $E$9)</f>
        <v>7.8903999999999996</v>
      </c>
      <c r="K125" s="52">
        <f>CHOOSE(CONTROL!$C$42, 7.9178, 7.9178) * CHOOSE(CONTROL!$C$21, $C$9, 100%, $E$9)</f>
        <v>7.9177999999999997</v>
      </c>
      <c r="L125" s="14">
        <f>CHOOSE(CONTROL!$C$42, 8.7501, 8.7501) * CHOOSE(CONTROL!$C$21, $C$9, 100%, $E$9)</f>
        <v>8.7500999999999998</v>
      </c>
      <c r="M125" s="14">
        <f>CHOOSE(CONTROL!$C$42, 7.7562, 7.7562) * CHOOSE(CONTROL!$C$21, $C$9, 100%, $E$9)</f>
        <v>7.7561999999999998</v>
      </c>
      <c r="N125" s="14">
        <f>CHOOSE(CONTROL!$C$42, 7.7729, 7.7729) * CHOOSE(CONTROL!$C$21, $C$9, 100%, $E$9)</f>
        <v>7.7728999999999999</v>
      </c>
      <c r="O125" s="14">
        <f>CHOOSE(CONTROL!$C$42, 8.024, 8.024) * CHOOSE(CONTROL!$C$21, $C$9, 100%, $E$9)</f>
        <v>8.0239999999999991</v>
      </c>
      <c r="P125" s="14">
        <f>CHOOSE(CONTROL!$C$42, 7.7865, 7.7865) * CHOOSE(CONTROL!$C$21, $C$9, 100%, $E$9)</f>
        <v>7.7865000000000002</v>
      </c>
      <c r="Q125" s="14">
        <f>CHOOSE(CONTROL!$C$42, 8.6187, 8.6187) * CHOOSE(CONTROL!$C$21, $C$9, 100%, $E$9)</f>
        <v>8.6187000000000005</v>
      </c>
      <c r="R125" s="14">
        <f>CHOOSE(CONTROL!$C$42, 9.2272, 9.2272) * CHOOSE(CONTROL!$C$21, $C$9, 100%, $E$9)</f>
        <v>9.2271999999999998</v>
      </c>
      <c r="S125" s="14">
        <f>CHOOSE(CONTROL!$C$42, 7.5573, 7.5573) * CHOOSE(CONTROL!$C$21, $C$9, 100%, $E$9)</f>
        <v>7.5572999999999997</v>
      </c>
      <c r="T1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25" s="56">
        <f>(1000*CHOOSE(CONTROL!$C$42, 695, 695)*CHOOSE(CONTROL!$C$42, 0.5599, 0.5599)*CHOOSE(CONTROL!$C$42, 31, 31))/1000000</f>
        <v>12.063045499999998</v>
      </c>
      <c r="V125" s="56">
        <f>(1000*CHOOSE(CONTROL!$C$42, 500, 500)*CHOOSE(CONTROL!$C$42, 0.275, 0.275)*CHOOSE(CONTROL!$C$42, 31, 31))/1000000</f>
        <v>4.2625000000000002</v>
      </c>
      <c r="W125" s="56">
        <f>(1000*CHOOSE(CONTROL!$C$42, 0.1146, 0.1146)*CHOOSE(CONTROL!$C$42, 121.5, 121.5)*CHOOSE(CONTROL!$C$42, 31, 31))/1000000</f>
        <v>0.43164089999999994</v>
      </c>
      <c r="X125" s="56">
        <f>(31*0.1790888*245000/1000000)+(31*0.2374*100000/1000000)</f>
        <v>2.0961194359999999</v>
      </c>
      <c r="Y125" s="56"/>
      <c r="Z125" s="14"/>
      <c r="AA125" s="55"/>
      <c r="AB125" s="49">
        <f>(B125*194.205+C125*267.466+D125*133.845+E125*53.484+F125*40+G125*185+H125*0+I125*100+J125*300)/(194.205+267.466+133.845+53.484+0+40+185+100+300)</f>
        <v>7.9314724462323403</v>
      </c>
      <c r="AC125" s="45">
        <f>(M125*'RAP TEMPLATE-GAS AVAILABILITY'!O124+N125*'RAP TEMPLATE-GAS AVAILABILITY'!P124+O125*'RAP TEMPLATE-GAS AVAILABILITY'!Q124+P125*'RAP TEMPLATE-GAS AVAILABILITY'!R124)/('RAP TEMPLATE-GAS AVAILABILITY'!O124+'RAP TEMPLATE-GAS AVAILABILITY'!P124+'RAP TEMPLATE-GAS AVAILABILITY'!Q124+'RAP TEMPLATE-GAS AVAILABILITY'!R124)</f>
        <v>7.8395424460431657</v>
      </c>
    </row>
    <row r="126" spans="1:29" ht="15.75" x14ac:dyDescent="0.25">
      <c r="A126" s="13">
        <v>44713</v>
      </c>
      <c r="B126" s="14">
        <f>CHOOSE(CONTROL!$C$42, 8.1157, 8.1157) * CHOOSE(CONTROL!$C$21, $C$9, 100%, $E$9)</f>
        <v>8.1157000000000004</v>
      </c>
      <c r="C126" s="14">
        <f>CHOOSE(CONTROL!$C$42, 8.1237, 8.1237) * CHOOSE(CONTROL!$C$21, $C$9, 100%, $E$9)</f>
        <v>8.1236999999999995</v>
      </c>
      <c r="D126" s="14">
        <f>CHOOSE(CONTROL!$C$42, 8.3828, 8.3828) * CHOOSE(CONTROL!$C$21, $C$9, 100%, $E$9)</f>
        <v>8.3827999999999996</v>
      </c>
      <c r="E126" s="14">
        <f>CHOOSE(CONTROL!$C$42, 8.4142, 8.4142) * CHOOSE(CONTROL!$C$21, $C$9, 100%, $E$9)</f>
        <v>8.4141999999999992</v>
      </c>
      <c r="F126" s="14">
        <f>CHOOSE(CONTROL!$C$42, 8.1374, 8.1374)*CHOOSE(CONTROL!$C$21, $C$9, 100%, $E$9)</f>
        <v>8.1373999999999995</v>
      </c>
      <c r="G126" s="14">
        <f>CHOOSE(CONTROL!$C$42, 8.1545, 8.1545)*CHOOSE(CONTROL!$C$21, $C$9, 100%, $E$9)</f>
        <v>8.1545000000000005</v>
      </c>
      <c r="H126" s="14">
        <f>CHOOSE(CONTROL!$C$42, 8.4029, 8.4029) * CHOOSE(CONTROL!$C$21, $C$9, 100%, $E$9)</f>
        <v>8.4029000000000007</v>
      </c>
      <c r="I126" s="14">
        <f>CHOOSE(CONTROL!$C$42, 8.1622, 8.1622)* CHOOSE(CONTROL!$C$21, $C$9, 100%, $E$9)</f>
        <v>8.1622000000000003</v>
      </c>
      <c r="J126" s="14">
        <f>CHOOSE(CONTROL!$C$42, 8.1304, 8.1304)* CHOOSE(CONTROL!$C$21, $C$9, 100%, $E$9)</f>
        <v>8.1303999999999998</v>
      </c>
      <c r="K126" s="52">
        <f>CHOOSE(CONTROL!$C$42, 8.1583, 8.1583) * CHOOSE(CONTROL!$C$21, $C$9, 100%, $E$9)</f>
        <v>8.1583000000000006</v>
      </c>
      <c r="L126" s="14">
        <f>CHOOSE(CONTROL!$C$42, 8.9899, 8.9899) * CHOOSE(CONTROL!$C$21, $C$9, 100%, $E$9)</f>
        <v>8.9899000000000004</v>
      </c>
      <c r="M126" s="14">
        <f>CHOOSE(CONTROL!$C$42, 7.9919, 7.9919) * CHOOSE(CONTROL!$C$21, $C$9, 100%, $E$9)</f>
        <v>7.9919000000000002</v>
      </c>
      <c r="N126" s="14">
        <f>CHOOSE(CONTROL!$C$42, 8.0086, 8.0086) * CHOOSE(CONTROL!$C$21, $C$9, 100%, $E$9)</f>
        <v>8.0085999999999995</v>
      </c>
      <c r="O126" s="14">
        <f>CHOOSE(CONTROL!$C$42, 8.2594, 8.2594) * CHOOSE(CONTROL!$C$21, $C$9, 100%, $E$9)</f>
        <v>8.2593999999999994</v>
      </c>
      <c r="P126" s="14">
        <f>CHOOSE(CONTROL!$C$42, 8.0227, 8.0227) * CHOOSE(CONTROL!$C$21, $C$9, 100%, $E$9)</f>
        <v>8.0227000000000004</v>
      </c>
      <c r="Q126" s="14">
        <f>CHOOSE(CONTROL!$C$42, 8.8541, 8.8541) * CHOOSE(CONTROL!$C$21, $C$9, 100%, $E$9)</f>
        <v>8.8541000000000007</v>
      </c>
      <c r="R126" s="14">
        <f>CHOOSE(CONTROL!$C$42, 9.4633, 9.4633) * CHOOSE(CONTROL!$C$21, $C$9, 100%, $E$9)</f>
        <v>9.4633000000000003</v>
      </c>
      <c r="S126" s="14">
        <f>CHOOSE(CONTROL!$C$42, 7.7877, 7.7877) * CHOOSE(CONTROL!$C$21, $C$9, 100%, $E$9)</f>
        <v>7.7877000000000001</v>
      </c>
      <c r="T1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26" s="56">
        <f>(1000*CHOOSE(CONTROL!$C$42, 695, 695)*CHOOSE(CONTROL!$C$42, 0.5599, 0.5599)*CHOOSE(CONTROL!$C$42, 30, 30))/1000000</f>
        <v>11.673914999999997</v>
      </c>
      <c r="V126" s="56">
        <f>(1000*CHOOSE(CONTROL!$C$42, 500, 500)*CHOOSE(CONTROL!$C$42, 0.275, 0.275)*CHOOSE(CONTROL!$C$42, 30, 30))/1000000</f>
        <v>4.125</v>
      </c>
      <c r="W126" s="56">
        <f>(1000*CHOOSE(CONTROL!$C$42, 0.1146, 0.1146)*CHOOSE(CONTROL!$C$42, 121.5, 121.5)*CHOOSE(CONTROL!$C$42, 30, 30))/1000000</f>
        <v>0.417717</v>
      </c>
      <c r="X126" s="56">
        <f>(30*0.1790888*245000/1000000)+(30*0.2374*100000/1000000)</f>
        <v>2.0285026799999999</v>
      </c>
      <c r="Y126" s="56"/>
      <c r="Z126" s="14"/>
      <c r="AA126" s="55"/>
      <c r="AB126" s="49">
        <f>(B126*194.205+C126*267.466+D126*133.845+E126*53.484+F126*40+G126*185+H126*0+I126*100+J126*300)/(194.205+267.466+133.845+53.484+0+40+185+100+300)</f>
        <v>8.1713991377551025</v>
      </c>
      <c r="AC126" s="45">
        <f>(M126*'RAP TEMPLATE-GAS AVAILABILITY'!O125+N126*'RAP TEMPLATE-GAS AVAILABILITY'!P125+O126*'RAP TEMPLATE-GAS AVAILABILITY'!Q125+P126*'RAP TEMPLATE-GAS AVAILABILITY'!R125)/('RAP TEMPLATE-GAS AVAILABILITY'!O125+'RAP TEMPLATE-GAS AVAILABILITY'!P125+'RAP TEMPLATE-GAS AVAILABILITY'!Q125+'RAP TEMPLATE-GAS AVAILABILITY'!R125)</f>
        <v>8.0752302158273377</v>
      </c>
    </row>
    <row r="127" spans="1:29" ht="15.75" x14ac:dyDescent="0.25">
      <c r="A127" s="13">
        <v>44743</v>
      </c>
      <c r="B127" s="14">
        <f>CHOOSE(CONTROL!$C$42, 7.9766, 7.9766) * CHOOSE(CONTROL!$C$21, $C$9, 100%, $E$9)</f>
        <v>7.9766000000000004</v>
      </c>
      <c r="C127" s="14">
        <f>CHOOSE(CONTROL!$C$42, 7.9846, 7.9846) * CHOOSE(CONTROL!$C$21, $C$9, 100%, $E$9)</f>
        <v>7.9846000000000004</v>
      </c>
      <c r="D127" s="14">
        <f>CHOOSE(CONTROL!$C$42, 8.2437, 8.2437) * CHOOSE(CONTROL!$C$21, $C$9, 100%, $E$9)</f>
        <v>8.2437000000000005</v>
      </c>
      <c r="E127" s="14">
        <f>CHOOSE(CONTROL!$C$42, 8.2751, 8.2751) * CHOOSE(CONTROL!$C$21, $C$9, 100%, $E$9)</f>
        <v>8.2751000000000001</v>
      </c>
      <c r="F127" s="14">
        <f>CHOOSE(CONTROL!$C$42, 7.9988, 7.9988)*CHOOSE(CONTROL!$C$21, $C$9, 100%, $E$9)</f>
        <v>7.9988000000000001</v>
      </c>
      <c r="G127" s="14">
        <f>CHOOSE(CONTROL!$C$42, 8.0159, 8.0159)*CHOOSE(CONTROL!$C$21, $C$9, 100%, $E$9)</f>
        <v>8.0159000000000002</v>
      </c>
      <c r="H127" s="14">
        <f>CHOOSE(CONTROL!$C$42, 8.2638, 8.2638) * CHOOSE(CONTROL!$C$21, $C$9, 100%, $E$9)</f>
        <v>8.2637999999999998</v>
      </c>
      <c r="I127" s="14">
        <f>CHOOSE(CONTROL!$C$42, 8.0226, 8.0226)* CHOOSE(CONTROL!$C$21, $C$9, 100%, $E$9)</f>
        <v>8.0226000000000006</v>
      </c>
      <c r="J127" s="14">
        <f>CHOOSE(CONTROL!$C$42, 7.9918, 7.9918)* CHOOSE(CONTROL!$C$21, $C$9, 100%, $E$9)</f>
        <v>7.9917999999999996</v>
      </c>
      <c r="K127" s="52">
        <f>CHOOSE(CONTROL!$C$42, 8.0187, 8.0187) * CHOOSE(CONTROL!$C$21, $C$9, 100%, $E$9)</f>
        <v>8.0187000000000008</v>
      </c>
      <c r="L127" s="14">
        <f>CHOOSE(CONTROL!$C$42, 8.8508, 8.8508) * CHOOSE(CONTROL!$C$21, $C$9, 100%, $E$9)</f>
        <v>8.8507999999999996</v>
      </c>
      <c r="M127" s="14">
        <f>CHOOSE(CONTROL!$C$42, 7.8557, 7.8557) * CHOOSE(CONTROL!$C$21, $C$9, 100%, $E$9)</f>
        <v>7.8556999999999997</v>
      </c>
      <c r="N127" s="14">
        <f>CHOOSE(CONTROL!$C$42, 7.8726, 7.8726) * CHOOSE(CONTROL!$C$21, $C$9, 100%, $E$9)</f>
        <v>7.8726000000000003</v>
      </c>
      <c r="O127" s="14">
        <f>CHOOSE(CONTROL!$C$42, 8.1228, 8.1228) * CHOOSE(CONTROL!$C$21, $C$9, 100%, $E$9)</f>
        <v>8.1227999999999998</v>
      </c>
      <c r="P127" s="14">
        <f>CHOOSE(CONTROL!$C$42, 7.8857, 7.8857) * CHOOSE(CONTROL!$C$21, $C$9, 100%, $E$9)</f>
        <v>7.8856999999999999</v>
      </c>
      <c r="Q127" s="14">
        <f>CHOOSE(CONTROL!$C$42, 8.7175, 8.7175) * CHOOSE(CONTROL!$C$21, $C$9, 100%, $E$9)</f>
        <v>8.7174999999999994</v>
      </c>
      <c r="R127" s="14">
        <f>CHOOSE(CONTROL!$C$42, 9.3263, 9.3263) * CHOOSE(CONTROL!$C$21, $C$9, 100%, $E$9)</f>
        <v>9.3262999999999998</v>
      </c>
      <c r="S127" s="14">
        <f>CHOOSE(CONTROL!$C$42, 7.654, 7.654) * CHOOSE(CONTROL!$C$21, $C$9, 100%, $E$9)</f>
        <v>7.6539999999999999</v>
      </c>
      <c r="T1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27" s="56">
        <f>(1000*CHOOSE(CONTROL!$C$42, 695, 695)*CHOOSE(CONTROL!$C$42, 0.5599, 0.5599)*CHOOSE(CONTROL!$C$42, 31, 31))/1000000</f>
        <v>12.063045499999998</v>
      </c>
      <c r="V127" s="56">
        <f>(1000*CHOOSE(CONTROL!$C$42, 500, 500)*CHOOSE(CONTROL!$C$42, 0.275, 0.275)*CHOOSE(CONTROL!$C$42, 31, 31))/1000000</f>
        <v>4.2625000000000002</v>
      </c>
      <c r="W127" s="56">
        <f>(1000*CHOOSE(CONTROL!$C$42, 0.1146, 0.1146)*CHOOSE(CONTROL!$C$42, 121.5, 121.5)*CHOOSE(CONTROL!$C$42, 31, 31))/1000000</f>
        <v>0.43164089999999994</v>
      </c>
      <c r="X127" s="56">
        <f>(31*0.1790888*245000/1000000)+(31*0.2374*100000/1000000)</f>
        <v>2.0961194359999999</v>
      </c>
      <c r="Y127" s="56"/>
      <c r="Z127" s="14"/>
      <c r="AA127" s="55"/>
      <c r="AB127" s="49">
        <f>(B127*194.205+C127*267.466+D127*133.845+E127*53.484+F127*40+G127*185+H127*0+I127*100+J127*300)/(194.205+267.466+133.845+53.484+0+40+185+100+300)</f>
        <v>8.0324659352433283</v>
      </c>
      <c r="AC127" s="45">
        <f>(M127*'RAP TEMPLATE-GAS AVAILABILITY'!O126+N127*'RAP TEMPLATE-GAS AVAILABILITY'!P126+O127*'RAP TEMPLATE-GAS AVAILABILITY'!Q126+P127*'RAP TEMPLATE-GAS AVAILABILITY'!R126)/('RAP TEMPLATE-GAS AVAILABILITY'!O126+'RAP TEMPLATE-GAS AVAILABILITY'!P126+'RAP TEMPLATE-GAS AVAILABILITY'!Q126+'RAP TEMPLATE-GAS AVAILABILITY'!R126)</f>
        <v>7.9388489208633093</v>
      </c>
    </row>
    <row r="128" spans="1:29" ht="15.75" x14ac:dyDescent="0.25">
      <c r="A128" s="13">
        <v>44774</v>
      </c>
      <c r="B128" s="14">
        <f>CHOOSE(CONTROL!$C$42, 7.5987, 7.5987) * CHOOSE(CONTROL!$C$21, $C$9, 100%, $E$9)</f>
        <v>7.5987</v>
      </c>
      <c r="C128" s="14">
        <f>CHOOSE(CONTROL!$C$42, 7.6068, 7.6068) * CHOOSE(CONTROL!$C$21, $C$9, 100%, $E$9)</f>
        <v>7.6067999999999998</v>
      </c>
      <c r="D128" s="14">
        <f>CHOOSE(CONTROL!$C$42, 7.8659, 7.8659) * CHOOSE(CONTROL!$C$21, $C$9, 100%, $E$9)</f>
        <v>7.8658999999999999</v>
      </c>
      <c r="E128" s="14">
        <f>CHOOSE(CONTROL!$C$42, 7.8973, 7.8973) * CHOOSE(CONTROL!$C$21, $C$9, 100%, $E$9)</f>
        <v>7.8973000000000004</v>
      </c>
      <c r="F128" s="14">
        <f>CHOOSE(CONTROL!$C$42, 7.6212, 7.6212)*CHOOSE(CONTROL!$C$21, $C$9, 100%, $E$9)</f>
        <v>7.6212</v>
      </c>
      <c r="G128" s="14">
        <f>CHOOSE(CONTROL!$C$42, 7.6384, 7.6384)*CHOOSE(CONTROL!$C$21, $C$9, 100%, $E$9)</f>
        <v>7.6383999999999999</v>
      </c>
      <c r="H128" s="14">
        <f>CHOOSE(CONTROL!$C$42, 7.886, 7.886) * CHOOSE(CONTROL!$C$21, $C$9, 100%, $E$9)</f>
        <v>7.8860000000000001</v>
      </c>
      <c r="I128" s="14">
        <f>CHOOSE(CONTROL!$C$42, 7.6436, 7.6436)* CHOOSE(CONTROL!$C$21, $C$9, 100%, $E$9)</f>
        <v>7.6436000000000002</v>
      </c>
      <c r="J128" s="14">
        <f>CHOOSE(CONTROL!$C$42, 7.6142, 7.6142)* CHOOSE(CONTROL!$C$21, $C$9, 100%, $E$9)</f>
        <v>7.6142000000000003</v>
      </c>
      <c r="K128" s="52">
        <f>CHOOSE(CONTROL!$C$42, 7.6398, 7.6398) * CHOOSE(CONTROL!$C$21, $C$9, 100%, $E$9)</f>
        <v>7.6398000000000001</v>
      </c>
      <c r="L128" s="14">
        <f>CHOOSE(CONTROL!$C$42, 8.473, 8.473) * CHOOSE(CONTROL!$C$21, $C$9, 100%, $E$9)</f>
        <v>8.4730000000000008</v>
      </c>
      <c r="M128" s="14">
        <f>CHOOSE(CONTROL!$C$42, 7.4849, 7.4849) * CHOOSE(CONTROL!$C$21, $C$9, 100%, $E$9)</f>
        <v>7.4848999999999997</v>
      </c>
      <c r="N128" s="14">
        <f>CHOOSE(CONTROL!$C$42, 7.5018, 7.5018) * CHOOSE(CONTROL!$C$21, $C$9, 100%, $E$9)</f>
        <v>7.5018000000000002</v>
      </c>
      <c r="O128" s="14">
        <f>CHOOSE(CONTROL!$C$42, 7.7518, 7.7518) * CHOOSE(CONTROL!$C$21, $C$9, 100%, $E$9)</f>
        <v>7.7518000000000002</v>
      </c>
      <c r="P128" s="14">
        <f>CHOOSE(CONTROL!$C$42, 7.5135, 7.5135) * CHOOSE(CONTROL!$C$21, $C$9, 100%, $E$9)</f>
        <v>7.5134999999999996</v>
      </c>
      <c r="Q128" s="14">
        <f>CHOOSE(CONTROL!$C$42, 8.3465, 8.3465) * CHOOSE(CONTROL!$C$21, $C$9, 100%, $E$9)</f>
        <v>8.3465000000000007</v>
      </c>
      <c r="R128" s="14">
        <f>CHOOSE(CONTROL!$C$42, 8.9544, 8.9544) * CHOOSE(CONTROL!$C$21, $C$9, 100%, $E$9)</f>
        <v>8.9543999999999997</v>
      </c>
      <c r="S128" s="14">
        <f>CHOOSE(CONTROL!$C$42, 7.291, 7.291) * CHOOSE(CONTROL!$C$21, $C$9, 100%, $E$9)</f>
        <v>7.2910000000000004</v>
      </c>
      <c r="T1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28" s="56">
        <f>(1000*CHOOSE(CONTROL!$C$42, 695, 695)*CHOOSE(CONTROL!$C$42, 0.5599, 0.5599)*CHOOSE(CONTROL!$C$42, 31, 31))/1000000</f>
        <v>12.063045499999998</v>
      </c>
      <c r="V128" s="56">
        <f>(1000*CHOOSE(CONTROL!$C$42, 500, 500)*CHOOSE(CONTROL!$C$42, 0.275, 0.275)*CHOOSE(CONTROL!$C$42, 31, 31))/1000000</f>
        <v>4.2625000000000002</v>
      </c>
      <c r="W128" s="56">
        <f>(1000*CHOOSE(CONTROL!$C$42, 0.1146, 0.1146)*CHOOSE(CONTROL!$C$42, 121.5, 121.5)*CHOOSE(CONTROL!$C$42, 31, 31))/1000000</f>
        <v>0.43164089999999994</v>
      </c>
      <c r="X128" s="56">
        <f>(31*0.1790888*245000/1000000)+(31*0.2374*100000/1000000)</f>
        <v>2.0961194359999999</v>
      </c>
      <c r="Y128" s="56"/>
      <c r="Z128" s="14"/>
      <c r="AA128" s="55"/>
      <c r="AB128" s="49">
        <f>(B128*194.205+C128*267.466+D128*133.845+E128*53.484+F128*40+G128*185+H128*0+I128*100+J128*300)/(194.205+267.466+133.845+53.484+0+40+185+100+300)</f>
        <v>7.6546534387755107</v>
      </c>
      <c r="AC128" s="45">
        <f>(M128*'RAP TEMPLATE-GAS AVAILABILITY'!O127+N128*'RAP TEMPLATE-GAS AVAILABILITY'!P127+O128*'RAP TEMPLATE-GAS AVAILABILITY'!Q127+P128*'RAP TEMPLATE-GAS AVAILABILITY'!R127)/('RAP TEMPLATE-GAS AVAILABILITY'!O127+'RAP TEMPLATE-GAS AVAILABILITY'!P127+'RAP TEMPLATE-GAS AVAILABILITY'!Q127+'RAP TEMPLATE-GAS AVAILABILITY'!R127)</f>
        <v>7.5677913669064747</v>
      </c>
    </row>
    <row r="129" spans="1:29" ht="15.75" x14ac:dyDescent="0.25">
      <c r="A129" s="13">
        <v>44805</v>
      </c>
      <c r="B129" s="14">
        <f>CHOOSE(CONTROL!$C$42, 7.1315, 7.1315) * CHOOSE(CONTROL!$C$21, $C$9, 100%, $E$9)</f>
        <v>7.1315</v>
      </c>
      <c r="C129" s="14">
        <f>CHOOSE(CONTROL!$C$42, 7.1395, 7.1395) * CHOOSE(CONTROL!$C$21, $C$9, 100%, $E$9)</f>
        <v>7.1395</v>
      </c>
      <c r="D129" s="14">
        <f>CHOOSE(CONTROL!$C$42, 7.3986, 7.3986) * CHOOSE(CONTROL!$C$21, $C$9, 100%, $E$9)</f>
        <v>7.3986000000000001</v>
      </c>
      <c r="E129" s="14">
        <f>CHOOSE(CONTROL!$C$42, 7.4301, 7.4301) * CHOOSE(CONTROL!$C$21, $C$9, 100%, $E$9)</f>
        <v>7.4301000000000004</v>
      </c>
      <c r="F129" s="14">
        <f>CHOOSE(CONTROL!$C$42, 7.154, 7.154)*CHOOSE(CONTROL!$C$21, $C$9, 100%, $E$9)</f>
        <v>7.1539999999999999</v>
      </c>
      <c r="G129" s="14">
        <f>CHOOSE(CONTROL!$C$42, 7.1712, 7.1712)*CHOOSE(CONTROL!$C$21, $C$9, 100%, $E$9)</f>
        <v>7.1711999999999998</v>
      </c>
      <c r="H129" s="14">
        <f>CHOOSE(CONTROL!$C$42, 7.4187, 7.4187) * CHOOSE(CONTROL!$C$21, $C$9, 100%, $E$9)</f>
        <v>7.4187000000000003</v>
      </c>
      <c r="I129" s="14">
        <f>CHOOSE(CONTROL!$C$42, 7.1749, 7.1749)* CHOOSE(CONTROL!$C$21, $C$9, 100%, $E$9)</f>
        <v>7.1749000000000001</v>
      </c>
      <c r="J129" s="14">
        <f>CHOOSE(CONTROL!$C$42, 7.147, 7.147)* CHOOSE(CONTROL!$C$21, $C$9, 100%, $E$9)</f>
        <v>7.1470000000000002</v>
      </c>
      <c r="K129" s="52">
        <f>CHOOSE(CONTROL!$C$42, 7.171, 7.171) * CHOOSE(CONTROL!$C$21, $C$9, 100%, $E$9)</f>
        <v>7.1710000000000003</v>
      </c>
      <c r="L129" s="14">
        <f>CHOOSE(CONTROL!$C$42, 8.0057, 8.0057) * CHOOSE(CONTROL!$C$21, $C$9, 100%, $E$9)</f>
        <v>8.0056999999999992</v>
      </c>
      <c r="M129" s="14">
        <f>CHOOSE(CONTROL!$C$42, 7.0261, 7.0261) * CHOOSE(CONTROL!$C$21, $C$9, 100%, $E$9)</f>
        <v>7.0260999999999996</v>
      </c>
      <c r="N129" s="14">
        <f>CHOOSE(CONTROL!$C$42, 7.043, 7.043) * CHOOSE(CONTROL!$C$21, $C$9, 100%, $E$9)</f>
        <v>7.0430000000000001</v>
      </c>
      <c r="O129" s="14">
        <f>CHOOSE(CONTROL!$C$42, 7.293, 7.293) * CHOOSE(CONTROL!$C$21, $C$9, 100%, $E$9)</f>
        <v>7.2930000000000001</v>
      </c>
      <c r="P129" s="14">
        <f>CHOOSE(CONTROL!$C$42, 7.0532, 7.0532) * CHOOSE(CONTROL!$C$21, $C$9, 100%, $E$9)</f>
        <v>7.0532000000000004</v>
      </c>
      <c r="Q129" s="14">
        <f>CHOOSE(CONTROL!$C$42, 7.8877, 7.8877) * CHOOSE(CONTROL!$C$21, $C$9, 100%, $E$9)</f>
        <v>7.8876999999999997</v>
      </c>
      <c r="R129" s="14">
        <f>CHOOSE(CONTROL!$C$42, 8.4944, 8.4944) * CHOOSE(CONTROL!$C$21, $C$9, 100%, $E$9)</f>
        <v>8.4944000000000006</v>
      </c>
      <c r="S129" s="14">
        <f>CHOOSE(CONTROL!$C$42, 6.842, 6.842) * CHOOSE(CONTROL!$C$21, $C$9, 100%, $E$9)</f>
        <v>6.8419999999999996</v>
      </c>
      <c r="T1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29" s="56">
        <f>(1000*CHOOSE(CONTROL!$C$42, 695, 695)*CHOOSE(CONTROL!$C$42, 0.5599, 0.5599)*CHOOSE(CONTROL!$C$42, 30, 30))/1000000</f>
        <v>11.673914999999997</v>
      </c>
      <c r="V129" s="56">
        <f>(1000*CHOOSE(CONTROL!$C$42, 500, 500)*CHOOSE(CONTROL!$C$42, 0.275, 0.275)*CHOOSE(CONTROL!$C$42, 30, 30))/1000000</f>
        <v>4.125</v>
      </c>
      <c r="W129" s="56">
        <f>(1000*CHOOSE(CONTROL!$C$42, 0.1146, 0.1146)*CHOOSE(CONTROL!$C$42, 121.5, 121.5)*CHOOSE(CONTROL!$C$42, 30, 30))/1000000</f>
        <v>0.417717</v>
      </c>
      <c r="X129" s="56">
        <f>(30*0.1790888*245000/1000000)+(30*0.2374*100000/1000000)</f>
        <v>2.0285026799999999</v>
      </c>
      <c r="Y129" s="56"/>
      <c r="Z129" s="14"/>
      <c r="AA129" s="55"/>
      <c r="AB129" s="49">
        <f>(B129*194.205+C129*267.466+D129*133.845+E129*53.484+F129*40+G129*185+H129*0+I129*100+J129*300)/(194.205+267.466+133.845+53.484+0+40+185+100+300)</f>
        <v>7.1873041992935631</v>
      </c>
      <c r="AC129" s="45">
        <f>(M129*'RAP TEMPLATE-GAS AVAILABILITY'!O128+N129*'RAP TEMPLATE-GAS AVAILABILITY'!P128+O129*'RAP TEMPLATE-GAS AVAILABILITY'!Q128+P129*'RAP TEMPLATE-GAS AVAILABILITY'!R128)/('RAP TEMPLATE-GAS AVAILABILITY'!O128+'RAP TEMPLATE-GAS AVAILABILITY'!P128+'RAP TEMPLATE-GAS AVAILABILITY'!Q128+'RAP TEMPLATE-GAS AVAILABILITY'!R128)</f>
        <v>7.1087755395683452</v>
      </c>
    </row>
    <row r="130" spans="1:29" ht="15.75" x14ac:dyDescent="0.25">
      <c r="A130" s="13">
        <v>44835</v>
      </c>
      <c r="B130" s="14">
        <f>CHOOSE(CONTROL!$C$42, 6.9995, 6.9995) * CHOOSE(CONTROL!$C$21, $C$9, 100%, $E$9)</f>
        <v>6.9995000000000003</v>
      </c>
      <c r="C130" s="14">
        <f>CHOOSE(CONTROL!$C$42, 7.0049, 7.0049) * CHOOSE(CONTROL!$C$21, $C$9, 100%, $E$9)</f>
        <v>7.0049000000000001</v>
      </c>
      <c r="D130" s="14">
        <f>CHOOSE(CONTROL!$C$42, 7.2689, 7.2689) * CHOOSE(CONTROL!$C$21, $C$9, 100%, $E$9)</f>
        <v>7.2689000000000004</v>
      </c>
      <c r="E130" s="14">
        <f>CHOOSE(CONTROL!$C$42, 7.298, 7.298) * CHOOSE(CONTROL!$C$21, $C$9, 100%, $E$9)</f>
        <v>7.298</v>
      </c>
      <c r="F130" s="14">
        <f>CHOOSE(CONTROL!$C$42, 7.0242, 7.0242)*CHOOSE(CONTROL!$C$21, $C$9, 100%, $E$9)</f>
        <v>7.0242000000000004</v>
      </c>
      <c r="G130" s="14">
        <f>CHOOSE(CONTROL!$C$42, 7.0413, 7.0413)*CHOOSE(CONTROL!$C$21, $C$9, 100%, $E$9)</f>
        <v>7.0412999999999997</v>
      </c>
      <c r="H130" s="14">
        <f>CHOOSE(CONTROL!$C$42, 7.2885, 7.2885) * CHOOSE(CONTROL!$C$21, $C$9, 100%, $E$9)</f>
        <v>7.2885</v>
      </c>
      <c r="I130" s="14">
        <f>CHOOSE(CONTROL!$C$42, 7.0443, 7.0443)* CHOOSE(CONTROL!$C$21, $C$9, 100%, $E$9)</f>
        <v>7.0442999999999998</v>
      </c>
      <c r="J130" s="14">
        <f>CHOOSE(CONTROL!$C$42, 7.0172, 7.0172)* CHOOSE(CONTROL!$C$21, $C$9, 100%, $E$9)</f>
        <v>7.0171999999999999</v>
      </c>
      <c r="K130" s="52">
        <f>CHOOSE(CONTROL!$C$42, 7.0404, 7.0404) * CHOOSE(CONTROL!$C$21, $C$9, 100%, $E$9)</f>
        <v>7.0404</v>
      </c>
      <c r="L130" s="14">
        <f>CHOOSE(CONTROL!$C$42, 7.8755, 7.8755) * CHOOSE(CONTROL!$C$21, $C$9, 100%, $E$9)</f>
        <v>7.8754999999999997</v>
      </c>
      <c r="M130" s="14">
        <f>CHOOSE(CONTROL!$C$42, 6.8986, 6.8986) * CHOOSE(CONTROL!$C$21, $C$9, 100%, $E$9)</f>
        <v>6.8986000000000001</v>
      </c>
      <c r="N130" s="14">
        <f>CHOOSE(CONTROL!$C$42, 6.9154, 6.9154) * CHOOSE(CONTROL!$C$21, $C$9, 100%, $E$9)</f>
        <v>6.9154</v>
      </c>
      <c r="O130" s="14">
        <f>CHOOSE(CONTROL!$C$42, 7.1651, 7.1651) * CHOOSE(CONTROL!$C$21, $C$9, 100%, $E$9)</f>
        <v>7.1650999999999998</v>
      </c>
      <c r="P130" s="14">
        <f>CHOOSE(CONTROL!$C$42, 6.925, 6.925) * CHOOSE(CONTROL!$C$21, $C$9, 100%, $E$9)</f>
        <v>6.9249999999999998</v>
      </c>
      <c r="Q130" s="14">
        <f>CHOOSE(CONTROL!$C$42, 7.7598, 7.7598) * CHOOSE(CONTROL!$C$21, $C$9, 100%, $E$9)</f>
        <v>7.7598000000000003</v>
      </c>
      <c r="R130" s="14">
        <f>CHOOSE(CONTROL!$C$42, 8.3662, 8.3662) * CHOOSE(CONTROL!$C$21, $C$9, 100%, $E$9)</f>
        <v>8.3661999999999992</v>
      </c>
      <c r="S130" s="14">
        <f>CHOOSE(CONTROL!$C$42, 6.7169, 6.7169) * CHOOSE(CONTROL!$C$21, $C$9, 100%, $E$9)</f>
        <v>6.7168999999999999</v>
      </c>
      <c r="T1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30" s="56">
        <f>(1000*CHOOSE(CONTROL!$C$42, 695, 695)*CHOOSE(CONTROL!$C$42, 0.5599, 0.5599)*CHOOSE(CONTROL!$C$42, 31, 31))/1000000</f>
        <v>12.063045499999998</v>
      </c>
      <c r="V130" s="56">
        <f>(1000*CHOOSE(CONTROL!$C$42, 500, 500)*CHOOSE(CONTROL!$C$42, 0.275, 0.275)*CHOOSE(CONTROL!$C$42, 31, 31))/1000000</f>
        <v>4.2625000000000002</v>
      </c>
      <c r="W130" s="56">
        <f>(1000*CHOOSE(CONTROL!$C$42, 0.1146, 0.1146)*CHOOSE(CONTROL!$C$42, 121.5, 121.5)*CHOOSE(CONTROL!$C$42, 31, 31))/1000000</f>
        <v>0.43164089999999994</v>
      </c>
      <c r="X130" s="56">
        <f>(31*0.1790888*245000/1000000)+(31*0.2374*100000/1000000)</f>
        <v>2.0961194359999999</v>
      </c>
      <c r="Y130" s="56"/>
      <c r="Z130" s="14"/>
      <c r="AA130" s="55"/>
      <c r="AB130" s="49">
        <f>(B130*131.881+C130*277.167+D130*79.08+E130*125.872+F130*40+G130*185+H130*0+I130*100+J130*300)/(131.881+277.167+79.08+125.872+0+40+185+100+300)</f>
        <v>7.0631679949959647</v>
      </c>
      <c r="AC130" s="45">
        <f>(M130*'RAP TEMPLATE-GAS AVAILABILITY'!O129+N130*'RAP TEMPLATE-GAS AVAILABILITY'!P129+O130*'RAP TEMPLATE-GAS AVAILABILITY'!Q129+P130*'RAP TEMPLATE-GAS AVAILABILITY'!R129)/('RAP TEMPLATE-GAS AVAILABILITY'!O129+'RAP TEMPLATE-GAS AVAILABILITY'!P129+'RAP TEMPLATE-GAS AVAILABILITY'!Q129+'RAP TEMPLATE-GAS AVAILABILITY'!R129)</f>
        <v>6.9810395683453237</v>
      </c>
    </row>
    <row r="131" spans="1:29" ht="15.75" x14ac:dyDescent="0.25">
      <c r="A131" s="13">
        <v>44866</v>
      </c>
      <c r="B131" s="14">
        <f>CHOOSE(CONTROL!$C$42, 7.198, 7.198) * CHOOSE(CONTROL!$C$21, $C$9, 100%, $E$9)</f>
        <v>7.1980000000000004</v>
      </c>
      <c r="C131" s="14">
        <f>CHOOSE(CONTROL!$C$42, 7.2031, 7.2031) * CHOOSE(CONTROL!$C$21, $C$9, 100%, $E$9)</f>
        <v>7.2031000000000001</v>
      </c>
      <c r="D131" s="14">
        <f>CHOOSE(CONTROL!$C$42, 7.2862, 7.2862) * CHOOSE(CONTROL!$C$21, $C$9, 100%, $E$9)</f>
        <v>7.2862</v>
      </c>
      <c r="E131" s="14">
        <f>CHOOSE(CONTROL!$C$42, 7.3203, 7.3203) * CHOOSE(CONTROL!$C$21, $C$9, 100%, $E$9)</f>
        <v>7.3202999999999996</v>
      </c>
      <c r="F131" s="14">
        <f>CHOOSE(CONTROL!$C$42, 7.2257, 7.2257)*CHOOSE(CONTROL!$C$21, $C$9, 100%, $E$9)</f>
        <v>7.2256999999999998</v>
      </c>
      <c r="G131" s="14">
        <f>CHOOSE(CONTROL!$C$42, 7.243, 7.243)*CHOOSE(CONTROL!$C$21, $C$9, 100%, $E$9)</f>
        <v>7.2430000000000003</v>
      </c>
      <c r="H131" s="14">
        <f>CHOOSE(CONTROL!$C$42, 7.3095, 7.3095) * CHOOSE(CONTROL!$C$21, $C$9, 100%, $E$9)</f>
        <v>7.3094999999999999</v>
      </c>
      <c r="I131" s="14">
        <f>CHOOSE(CONTROL!$C$42, 7.2402, 7.2402)* CHOOSE(CONTROL!$C$21, $C$9, 100%, $E$9)</f>
        <v>7.2401999999999997</v>
      </c>
      <c r="J131" s="14">
        <f>CHOOSE(CONTROL!$C$42, 7.2187, 7.2187)* CHOOSE(CONTROL!$C$21, $C$9, 100%, $E$9)</f>
        <v>7.2187000000000001</v>
      </c>
      <c r="K131" s="52">
        <f>CHOOSE(CONTROL!$C$42, 7.2363, 7.2363) * CHOOSE(CONTROL!$C$21, $C$9, 100%, $E$9)</f>
        <v>7.2363</v>
      </c>
      <c r="L131" s="14">
        <f>CHOOSE(CONTROL!$C$42, 7.8965, 7.8965) * CHOOSE(CONTROL!$C$21, $C$9, 100%, $E$9)</f>
        <v>7.8964999999999996</v>
      </c>
      <c r="M131" s="14">
        <f>CHOOSE(CONTROL!$C$42, 7.0965, 7.0965) * CHOOSE(CONTROL!$C$21, $C$9, 100%, $E$9)</f>
        <v>7.0964999999999998</v>
      </c>
      <c r="N131" s="14">
        <f>CHOOSE(CONTROL!$C$42, 7.1136, 7.1136) * CHOOSE(CONTROL!$C$21, $C$9, 100%, $E$9)</f>
        <v>7.1135999999999999</v>
      </c>
      <c r="O131" s="14">
        <f>CHOOSE(CONTROL!$C$42, 7.1857, 7.1857) * CHOOSE(CONTROL!$C$21, $C$9, 100%, $E$9)</f>
        <v>7.1856999999999998</v>
      </c>
      <c r="P131" s="14">
        <f>CHOOSE(CONTROL!$C$42, 7.1173, 7.1173) * CHOOSE(CONTROL!$C$21, $C$9, 100%, $E$9)</f>
        <v>7.1173000000000002</v>
      </c>
      <c r="Q131" s="14">
        <f>CHOOSE(CONTROL!$C$42, 7.7804, 7.7804) * CHOOSE(CONTROL!$C$21, $C$9, 100%, $E$9)</f>
        <v>7.7804000000000002</v>
      </c>
      <c r="R131" s="14">
        <f>CHOOSE(CONTROL!$C$42, 8.3868, 8.3868) * CHOOSE(CONTROL!$C$21, $C$9, 100%, $E$9)</f>
        <v>8.3867999999999991</v>
      </c>
      <c r="S131" s="14">
        <f>CHOOSE(CONTROL!$C$42, 6.908, 6.908) * CHOOSE(CONTROL!$C$21, $C$9, 100%, $E$9)</f>
        <v>6.9080000000000004</v>
      </c>
      <c r="T1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31" s="56">
        <f>(1000*CHOOSE(CONTROL!$C$42, 695, 695)*CHOOSE(CONTROL!$C$42, 0.5599, 0.5599)*CHOOSE(CONTROL!$C$42, 30, 30))/1000000</f>
        <v>11.673914999999997</v>
      </c>
      <c r="V131" s="56">
        <f>(1000*CHOOSE(CONTROL!$C$42, 500, 500)*CHOOSE(CONTROL!$C$42, 0.275, 0.275)*CHOOSE(CONTROL!$C$42, 30, 30))/1000000</f>
        <v>4.125</v>
      </c>
      <c r="W131" s="56">
        <f>(1000*CHOOSE(CONTROL!$C$42, 0.1146, 0.1146)*CHOOSE(CONTROL!$C$42, 121.5, 121.5)*CHOOSE(CONTROL!$C$42, 30, 30))/1000000</f>
        <v>0.417717</v>
      </c>
      <c r="X131" s="56">
        <f>(30*0.1790888*100000/1000000)+(30*0.2374*100000/1000000)</f>
        <v>1.2494664</v>
      </c>
      <c r="Y131" s="56"/>
      <c r="Z131" s="14"/>
      <c r="AA131" s="55"/>
      <c r="AB131" s="49">
        <f>(B131*122.58+C131*297.941+D131*89.177+E131*40.302+F131*40+G131*160+H131*0+I131*100+J131*300)/(122.58+297.941+89.177+40.302+0+40+160+100+300)</f>
        <v>7.2267407348695665</v>
      </c>
      <c r="AC131" s="45">
        <f>(M131*'RAP TEMPLATE-GAS AVAILABILITY'!O130+N131*'RAP TEMPLATE-GAS AVAILABILITY'!P130+O131*'RAP TEMPLATE-GAS AVAILABILITY'!Q130+P131*'RAP TEMPLATE-GAS AVAILABILITY'!R130)/('RAP TEMPLATE-GAS AVAILABILITY'!O130+'RAP TEMPLATE-GAS AVAILABILITY'!P130+'RAP TEMPLATE-GAS AVAILABILITY'!Q130+'RAP TEMPLATE-GAS AVAILABILITY'!R130)</f>
        <v>7.1409057553956838</v>
      </c>
    </row>
    <row r="132" spans="1:29" ht="15.75" x14ac:dyDescent="0.25">
      <c r="A132" s="13">
        <v>44896</v>
      </c>
      <c r="B132" s="14">
        <f>CHOOSE(CONTROL!$C$42, 7.7039, 7.7039) * CHOOSE(CONTROL!$C$21, $C$9, 100%, $E$9)</f>
        <v>7.7039</v>
      </c>
      <c r="C132" s="14">
        <f>CHOOSE(CONTROL!$C$42, 7.709, 7.709) * CHOOSE(CONTROL!$C$21, $C$9, 100%, $E$9)</f>
        <v>7.7089999999999996</v>
      </c>
      <c r="D132" s="14">
        <f>CHOOSE(CONTROL!$C$42, 7.7921, 7.7921) * CHOOSE(CONTROL!$C$21, $C$9, 100%, $E$9)</f>
        <v>7.7920999999999996</v>
      </c>
      <c r="E132" s="14">
        <f>CHOOSE(CONTROL!$C$42, 7.8262, 7.8262) * CHOOSE(CONTROL!$C$21, $C$9, 100%, $E$9)</f>
        <v>7.8262</v>
      </c>
      <c r="F132" s="14">
        <f>CHOOSE(CONTROL!$C$42, 7.734, 7.734)*CHOOSE(CONTROL!$C$21, $C$9, 100%, $E$9)</f>
        <v>7.734</v>
      </c>
      <c r="G132" s="14">
        <f>CHOOSE(CONTROL!$C$42, 7.752, 7.752)*CHOOSE(CONTROL!$C$21, $C$9, 100%, $E$9)</f>
        <v>7.7519999999999998</v>
      </c>
      <c r="H132" s="14">
        <f>CHOOSE(CONTROL!$C$42, 7.8154, 7.8154) * CHOOSE(CONTROL!$C$21, $C$9, 100%, $E$9)</f>
        <v>7.8154000000000003</v>
      </c>
      <c r="I132" s="14">
        <f>CHOOSE(CONTROL!$C$42, 7.7477, 7.7477)* CHOOSE(CONTROL!$C$21, $C$9, 100%, $E$9)</f>
        <v>7.7477</v>
      </c>
      <c r="J132" s="14">
        <f>CHOOSE(CONTROL!$C$42, 7.727, 7.727)* CHOOSE(CONTROL!$C$21, $C$9, 100%, $E$9)</f>
        <v>7.7270000000000003</v>
      </c>
      <c r="K132" s="52">
        <f>CHOOSE(CONTROL!$C$42, 7.7438, 7.7438) * CHOOSE(CONTROL!$C$21, $C$9, 100%, $E$9)</f>
        <v>7.7438000000000002</v>
      </c>
      <c r="L132" s="14">
        <f>CHOOSE(CONTROL!$C$42, 8.4024, 8.4024) * CHOOSE(CONTROL!$C$21, $C$9, 100%, $E$9)</f>
        <v>8.4024000000000001</v>
      </c>
      <c r="M132" s="14">
        <f>CHOOSE(CONTROL!$C$42, 7.5957, 7.5957) * CHOOSE(CONTROL!$C$21, $C$9, 100%, $E$9)</f>
        <v>7.5956999999999999</v>
      </c>
      <c r="N132" s="14">
        <f>CHOOSE(CONTROL!$C$42, 7.6134, 7.6134) * CHOOSE(CONTROL!$C$21, $C$9, 100%, $E$9)</f>
        <v>7.6134000000000004</v>
      </c>
      <c r="O132" s="14">
        <f>CHOOSE(CONTROL!$C$42, 7.6825, 7.6825) * CHOOSE(CONTROL!$C$21, $C$9, 100%, $E$9)</f>
        <v>7.6825000000000001</v>
      </c>
      <c r="P132" s="14">
        <f>CHOOSE(CONTROL!$C$42, 7.6157, 7.6157) * CHOOSE(CONTROL!$C$21, $C$9, 100%, $E$9)</f>
        <v>7.6157000000000004</v>
      </c>
      <c r="Q132" s="14">
        <f>CHOOSE(CONTROL!$C$42, 8.2772, 8.2772) * CHOOSE(CONTROL!$C$21, $C$9, 100%, $E$9)</f>
        <v>8.2772000000000006</v>
      </c>
      <c r="R132" s="14">
        <f>CHOOSE(CONTROL!$C$42, 8.8849, 8.8849) * CHOOSE(CONTROL!$C$21, $C$9, 100%, $E$9)</f>
        <v>8.8849</v>
      </c>
      <c r="S132" s="14">
        <f>CHOOSE(CONTROL!$C$42, 7.3942, 7.3942) * CHOOSE(CONTROL!$C$21, $C$9, 100%, $E$9)</f>
        <v>7.3941999999999997</v>
      </c>
      <c r="T1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32" s="56">
        <f>(1000*CHOOSE(CONTROL!$C$42, 695, 695)*CHOOSE(CONTROL!$C$42, 0.5599, 0.5599)*CHOOSE(CONTROL!$C$42, 31, 31))/1000000</f>
        <v>12.063045499999998</v>
      </c>
      <c r="V132" s="56">
        <f>(1000*CHOOSE(CONTROL!$C$42, 500, 500)*CHOOSE(CONTROL!$C$42, 0.275, 0.275)*CHOOSE(CONTROL!$C$42, 31, 31))/1000000</f>
        <v>4.2625000000000002</v>
      </c>
      <c r="W132" s="56">
        <f>(1000*CHOOSE(CONTROL!$C$42, 0.1146, 0.1146)*CHOOSE(CONTROL!$C$42, 121.5, 121.5)*CHOOSE(CONTROL!$C$42, 31, 31))/1000000</f>
        <v>0.43164089999999994</v>
      </c>
      <c r="X132" s="56">
        <f>(31*0.1790888*100000/1000000)+(31*0.2374*100000/1000000)</f>
        <v>1.2911152800000001</v>
      </c>
      <c r="Y132" s="56"/>
      <c r="Z132" s="14"/>
      <c r="AA132" s="55"/>
      <c r="AB132" s="49">
        <f>(B132*122.58+C132*297.941+D132*89.177+E132*40.302+F132*40+G132*160+H132*0+I132*100+J132*300)/(122.58+297.941+89.177+40.302+0+40+160+100+300)</f>
        <v>7.7339207348695647</v>
      </c>
      <c r="AC132" s="45">
        <f>(M132*'RAP TEMPLATE-GAS AVAILABILITY'!O131+N132*'RAP TEMPLATE-GAS AVAILABILITY'!P131+O132*'RAP TEMPLATE-GAS AVAILABILITY'!Q131+P132*'RAP TEMPLATE-GAS AVAILABILITY'!R131)/('RAP TEMPLATE-GAS AVAILABILITY'!O131+'RAP TEMPLATE-GAS AVAILABILITY'!P131+'RAP TEMPLATE-GAS AVAILABILITY'!Q131+'RAP TEMPLATE-GAS AVAILABILITY'!R131)</f>
        <v>7.638937410071942</v>
      </c>
    </row>
    <row r="133" spans="1:29" ht="15.75" x14ac:dyDescent="0.25">
      <c r="A133" s="13">
        <v>44927</v>
      </c>
      <c r="B133" s="14">
        <f>CHOOSE(CONTROL!$C$42, 8.5009, 8.5009) * CHOOSE(CONTROL!$C$21, $C$9, 100%, $E$9)</f>
        <v>8.5008999999999997</v>
      </c>
      <c r="C133" s="14">
        <f>CHOOSE(CONTROL!$C$42, 8.506, 8.506) * CHOOSE(CONTROL!$C$21, $C$9, 100%, $E$9)</f>
        <v>8.5060000000000002</v>
      </c>
      <c r="D133" s="14">
        <f>CHOOSE(CONTROL!$C$42, 8.5995, 8.5995) * CHOOSE(CONTROL!$C$21, $C$9, 100%, $E$9)</f>
        <v>8.5995000000000008</v>
      </c>
      <c r="E133" s="14">
        <f>CHOOSE(CONTROL!$C$42, 8.6336, 8.6336) * CHOOSE(CONTROL!$C$21, $C$9, 100%, $E$9)</f>
        <v>8.6335999999999995</v>
      </c>
      <c r="F133" s="14">
        <f>CHOOSE(CONTROL!$C$42, 8.5282, 8.5282)*CHOOSE(CONTROL!$C$21, $C$9, 100%, $E$9)</f>
        <v>8.5282</v>
      </c>
      <c r="G133" s="14">
        <f>CHOOSE(CONTROL!$C$42, 8.5462, 8.5462)*CHOOSE(CONTROL!$C$21, $C$9, 100%, $E$9)</f>
        <v>8.5462000000000007</v>
      </c>
      <c r="H133" s="14">
        <f>CHOOSE(CONTROL!$C$42, 8.6228, 8.6228) * CHOOSE(CONTROL!$C$21, $C$9, 100%, $E$9)</f>
        <v>8.6227999999999998</v>
      </c>
      <c r="I133" s="14">
        <f>CHOOSE(CONTROL!$C$42, 8.5534, 8.5534)* CHOOSE(CONTROL!$C$21, $C$9, 100%, $E$9)</f>
        <v>8.5533999999999999</v>
      </c>
      <c r="J133" s="14">
        <f>CHOOSE(CONTROL!$C$42, 8.5212, 8.5212)* CHOOSE(CONTROL!$C$21, $C$9, 100%, $E$9)</f>
        <v>8.5212000000000003</v>
      </c>
      <c r="K133" s="52">
        <f>CHOOSE(CONTROL!$C$42, 8.5495, 8.5495) * CHOOSE(CONTROL!$C$21, $C$9, 100%, $E$9)</f>
        <v>8.5495000000000001</v>
      </c>
      <c r="L133" s="14">
        <f>CHOOSE(CONTROL!$C$42, 9.2098, 9.2098) * CHOOSE(CONTROL!$C$21, $C$9, 100%, $E$9)</f>
        <v>9.2097999999999995</v>
      </c>
      <c r="M133" s="14">
        <f>CHOOSE(CONTROL!$C$42, 8.3756, 8.3756) * CHOOSE(CONTROL!$C$21, $C$9, 100%, $E$9)</f>
        <v>8.3756000000000004</v>
      </c>
      <c r="N133" s="14">
        <f>CHOOSE(CONTROL!$C$42, 8.3933, 8.3933) * CHOOSE(CONTROL!$C$21, $C$9, 100%, $E$9)</f>
        <v>8.3933</v>
      </c>
      <c r="O133" s="14">
        <f>CHOOSE(CONTROL!$C$42, 8.4754, 8.4754) * CHOOSE(CONTROL!$C$21, $C$9, 100%, $E$9)</f>
        <v>8.4754000000000005</v>
      </c>
      <c r="P133" s="14">
        <f>CHOOSE(CONTROL!$C$42, 8.4069, 8.4069) * CHOOSE(CONTROL!$C$21, $C$9, 100%, $E$9)</f>
        <v>8.4069000000000003</v>
      </c>
      <c r="Q133" s="14">
        <f>CHOOSE(CONTROL!$C$42, 9.0701, 9.0701) * CHOOSE(CONTROL!$C$21, $C$9, 100%, $E$9)</f>
        <v>9.0701000000000001</v>
      </c>
      <c r="R133" s="14">
        <f>CHOOSE(CONTROL!$C$42, 9.6797, 9.6797) * CHOOSE(CONTROL!$C$21, $C$9, 100%, $E$9)</f>
        <v>9.6797000000000004</v>
      </c>
      <c r="S133" s="14">
        <f>CHOOSE(CONTROL!$C$42, 8.16, 8.16) * CHOOSE(CONTROL!$C$21, $C$9, 100%, $E$9)</f>
        <v>8.16</v>
      </c>
      <c r="T1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33" s="56">
        <f>(1000*CHOOSE(CONTROL!$C$42, 695, 695)*CHOOSE(CONTROL!$C$42, 0.5599, 0.5599)*CHOOSE(CONTROL!$C$42, 31, 31))/1000000</f>
        <v>12.063045499999998</v>
      </c>
      <c r="V133" s="56">
        <f>(1000*CHOOSE(CONTROL!$C$42, 500, 500)*CHOOSE(CONTROL!$C$42, 0.275, 0.275)*CHOOSE(CONTROL!$C$42, 31, 31))/1000000</f>
        <v>4.2625000000000002</v>
      </c>
      <c r="W133" s="56">
        <f>(1000*CHOOSE(CONTROL!$C$42, 0.1146, 0.1146)*CHOOSE(CONTROL!$C$42, 121.5, 121.5)*CHOOSE(CONTROL!$C$42, 31, 31))/1000000</f>
        <v>0.43164089999999994</v>
      </c>
      <c r="X133" s="56">
        <f>(31*0.1790888*100000/1000000)+(31*0.2374*100000/1000000)</f>
        <v>1.2911152800000001</v>
      </c>
      <c r="Y133" s="56"/>
      <c r="Z133" s="14"/>
      <c r="AA133" s="55"/>
      <c r="AB133" s="49">
        <f>(B133*122.58+C133*297.941+D133*89.177+E133*40.302+F133*40+G133*160+H133*0+I133*100+J133*300)/(122.58+297.941+89.177+40.302+0+40+160+100+300)</f>
        <v>8.5316308058260866</v>
      </c>
      <c r="AC133" s="45">
        <f>(M133*'RAP TEMPLATE-GAS AVAILABILITY'!O132+N133*'RAP TEMPLATE-GAS AVAILABILITY'!P132+O133*'RAP TEMPLATE-GAS AVAILABILITY'!Q132+P133*'RAP TEMPLATE-GAS AVAILABILITY'!R132)/('RAP TEMPLATE-GAS AVAILABILITY'!O132+'RAP TEMPLATE-GAS AVAILABILITY'!P132+'RAP TEMPLATE-GAS AVAILABILITY'!Q132+'RAP TEMPLATE-GAS AVAILABILITY'!R132)</f>
        <v>8.4263553956834549</v>
      </c>
    </row>
    <row r="134" spans="1:29" ht="15.75" x14ac:dyDescent="0.25">
      <c r="A134" s="13">
        <v>44958</v>
      </c>
      <c r="B134" s="14">
        <f>CHOOSE(CONTROL!$C$42, 8.6699, 8.6699) * CHOOSE(CONTROL!$C$21, $C$9, 100%, $E$9)</f>
        <v>8.6699000000000002</v>
      </c>
      <c r="C134" s="14">
        <f>CHOOSE(CONTROL!$C$42, 8.6749, 8.6749) * CHOOSE(CONTROL!$C$21, $C$9, 100%, $E$9)</f>
        <v>8.6748999999999992</v>
      </c>
      <c r="D134" s="14">
        <f>CHOOSE(CONTROL!$C$42, 8.7684, 8.7684) * CHOOSE(CONTROL!$C$21, $C$9, 100%, $E$9)</f>
        <v>8.7683999999999997</v>
      </c>
      <c r="E134" s="14">
        <f>CHOOSE(CONTROL!$C$42, 8.8025, 8.8025) * CHOOSE(CONTROL!$C$21, $C$9, 100%, $E$9)</f>
        <v>8.8025000000000002</v>
      </c>
      <c r="F134" s="14">
        <f>CHOOSE(CONTROL!$C$42, 8.6968, 8.6968)*CHOOSE(CONTROL!$C$21, $C$9, 100%, $E$9)</f>
        <v>8.6967999999999996</v>
      </c>
      <c r="G134" s="14">
        <f>CHOOSE(CONTROL!$C$42, 8.7147, 8.7147)*CHOOSE(CONTROL!$C$21, $C$9, 100%, $E$9)</f>
        <v>8.7147000000000006</v>
      </c>
      <c r="H134" s="14">
        <f>CHOOSE(CONTROL!$C$42, 8.7917, 8.7917) * CHOOSE(CONTROL!$C$21, $C$9, 100%, $E$9)</f>
        <v>8.7917000000000005</v>
      </c>
      <c r="I134" s="14">
        <f>CHOOSE(CONTROL!$C$42, 8.7229, 8.7229)* CHOOSE(CONTROL!$C$21, $C$9, 100%, $E$9)</f>
        <v>8.7228999999999992</v>
      </c>
      <c r="J134" s="14">
        <f>CHOOSE(CONTROL!$C$42, 8.6898, 8.6898)* CHOOSE(CONTROL!$C$21, $C$9, 100%, $E$9)</f>
        <v>8.6898</v>
      </c>
      <c r="K134" s="52">
        <f>CHOOSE(CONTROL!$C$42, 8.719, 8.719) * CHOOSE(CONTROL!$C$21, $C$9, 100%, $E$9)</f>
        <v>8.7189999999999994</v>
      </c>
      <c r="L134" s="14">
        <f>CHOOSE(CONTROL!$C$42, 9.3787, 9.3787) * CHOOSE(CONTROL!$C$21, $C$9, 100%, $E$9)</f>
        <v>9.3787000000000003</v>
      </c>
      <c r="M134" s="14">
        <f>CHOOSE(CONTROL!$C$42, 8.5412, 8.5412) * CHOOSE(CONTROL!$C$21, $C$9, 100%, $E$9)</f>
        <v>8.5411999999999999</v>
      </c>
      <c r="N134" s="14">
        <f>CHOOSE(CONTROL!$C$42, 8.5588, 8.5588) * CHOOSE(CONTROL!$C$21, $C$9, 100%, $E$9)</f>
        <v>8.5587999999999997</v>
      </c>
      <c r="O134" s="14">
        <f>CHOOSE(CONTROL!$C$42, 8.6413, 8.6413) * CHOOSE(CONTROL!$C$21, $C$9, 100%, $E$9)</f>
        <v>8.6412999999999993</v>
      </c>
      <c r="P134" s="14">
        <f>CHOOSE(CONTROL!$C$42, 8.5733, 8.5733) * CHOOSE(CONTROL!$C$21, $C$9, 100%, $E$9)</f>
        <v>8.5732999999999997</v>
      </c>
      <c r="Q134" s="14">
        <f>CHOOSE(CONTROL!$C$42, 9.236, 9.236) * CHOOSE(CONTROL!$C$21, $C$9, 100%, $E$9)</f>
        <v>9.2360000000000007</v>
      </c>
      <c r="R134" s="14">
        <f>CHOOSE(CONTROL!$C$42, 9.8461, 9.8461) * CHOOSE(CONTROL!$C$21, $C$9, 100%, $E$9)</f>
        <v>9.8460999999999999</v>
      </c>
      <c r="S134" s="14">
        <f>CHOOSE(CONTROL!$C$42, 8.3223, 8.3223) * CHOOSE(CONTROL!$C$21, $C$9, 100%, $E$9)</f>
        <v>8.3223000000000003</v>
      </c>
      <c r="T13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34" s="56">
        <f>(1000*CHOOSE(CONTROL!$C$42, 695, 695)*CHOOSE(CONTROL!$C$42, 0.5599, 0.5599)*CHOOSE(CONTROL!$C$42, 28, 28))/1000000</f>
        <v>10.895653999999999</v>
      </c>
      <c r="V134" s="56">
        <f>(1000*CHOOSE(CONTROL!$C$42, 500, 500)*CHOOSE(CONTROL!$C$42, 0.275, 0.275)*CHOOSE(CONTROL!$C$42, 28, 28))/1000000</f>
        <v>3.85</v>
      </c>
      <c r="W134" s="56">
        <f>(1000*CHOOSE(CONTROL!$C$42, 0.1146, 0.1146)*CHOOSE(CONTROL!$C$42, 121.5, 121.5)*CHOOSE(CONTROL!$C$42, 28, 28))/1000000</f>
        <v>0.38986920000000003</v>
      </c>
      <c r="X134" s="56">
        <f>(28*0.1790888*100000/1000000)+(28*0.2374*100000/1000000)</f>
        <v>1.16616864</v>
      </c>
      <c r="Y134" s="56"/>
      <c r="Z134" s="14"/>
      <c r="AA134" s="55"/>
      <c r="AB134" s="49">
        <f>(B134*122.58+C134*297.941+D134*89.177+E134*40.302+F134*40+G134*160+H134*0+I134*100+J134*300)/(122.58+297.941+89.177+40.302+0+40+160+100+300)</f>
        <v>8.7004492910434781</v>
      </c>
      <c r="AC134" s="45">
        <f>(M134*'RAP TEMPLATE-GAS AVAILABILITY'!O133+N134*'RAP TEMPLATE-GAS AVAILABILITY'!P133+O134*'RAP TEMPLATE-GAS AVAILABILITY'!Q133+P134*'RAP TEMPLATE-GAS AVAILABILITY'!R133)/('RAP TEMPLATE-GAS AVAILABILITY'!O133+'RAP TEMPLATE-GAS AVAILABILITY'!P133+'RAP TEMPLATE-GAS AVAILABILITY'!Q133+'RAP TEMPLATE-GAS AVAILABILITY'!R133)</f>
        <v>8.5922007194244596</v>
      </c>
    </row>
    <row r="135" spans="1:29" ht="15.75" x14ac:dyDescent="0.25">
      <c r="A135" s="13">
        <v>44986</v>
      </c>
      <c r="B135" s="14">
        <f>CHOOSE(CONTROL!$C$42, 8.4413, 8.4413) * CHOOSE(CONTROL!$C$21, $C$9, 100%, $E$9)</f>
        <v>8.4413</v>
      </c>
      <c r="C135" s="14">
        <f>CHOOSE(CONTROL!$C$42, 8.4464, 8.4464) * CHOOSE(CONTROL!$C$21, $C$9, 100%, $E$9)</f>
        <v>8.4464000000000006</v>
      </c>
      <c r="D135" s="14">
        <f>CHOOSE(CONTROL!$C$42, 8.5399, 8.5399) * CHOOSE(CONTROL!$C$21, $C$9, 100%, $E$9)</f>
        <v>8.5398999999999994</v>
      </c>
      <c r="E135" s="14">
        <f>CHOOSE(CONTROL!$C$42, 8.574, 8.574) * CHOOSE(CONTROL!$C$21, $C$9, 100%, $E$9)</f>
        <v>8.5739999999999998</v>
      </c>
      <c r="F135" s="14">
        <f>CHOOSE(CONTROL!$C$42, 8.4674, 8.4674)*CHOOSE(CONTROL!$C$21, $C$9, 100%, $E$9)</f>
        <v>8.4673999999999996</v>
      </c>
      <c r="G135" s="14">
        <f>CHOOSE(CONTROL!$C$42, 8.4851, 8.4851)*CHOOSE(CONTROL!$C$21, $C$9, 100%, $E$9)</f>
        <v>8.4850999999999992</v>
      </c>
      <c r="H135" s="14">
        <f>CHOOSE(CONTROL!$C$42, 8.5632, 8.5632) * CHOOSE(CONTROL!$C$21, $C$9, 100%, $E$9)</f>
        <v>8.5632000000000001</v>
      </c>
      <c r="I135" s="14">
        <f>CHOOSE(CONTROL!$C$42, 8.4937, 8.4937)* CHOOSE(CONTROL!$C$21, $C$9, 100%, $E$9)</f>
        <v>8.4937000000000005</v>
      </c>
      <c r="J135" s="14">
        <f>CHOOSE(CONTROL!$C$42, 8.4604, 8.4604)* CHOOSE(CONTROL!$C$21, $C$9, 100%, $E$9)</f>
        <v>8.4603999999999999</v>
      </c>
      <c r="K135" s="52">
        <f>CHOOSE(CONTROL!$C$42, 8.4898, 8.4898) * CHOOSE(CONTROL!$C$21, $C$9, 100%, $E$9)</f>
        <v>8.4898000000000007</v>
      </c>
      <c r="L135" s="14">
        <f>CHOOSE(CONTROL!$C$42, 9.1502, 9.1502) * CHOOSE(CONTROL!$C$21, $C$9, 100%, $E$9)</f>
        <v>9.1501999999999999</v>
      </c>
      <c r="M135" s="14">
        <f>CHOOSE(CONTROL!$C$42, 8.3159, 8.3159) * CHOOSE(CONTROL!$C$21, $C$9, 100%, $E$9)</f>
        <v>8.3158999999999992</v>
      </c>
      <c r="N135" s="14">
        <f>CHOOSE(CONTROL!$C$42, 8.3333, 8.3333) * CHOOSE(CONTROL!$C$21, $C$9, 100%, $E$9)</f>
        <v>8.3332999999999995</v>
      </c>
      <c r="O135" s="14">
        <f>CHOOSE(CONTROL!$C$42, 8.4168, 8.4168) * CHOOSE(CONTROL!$C$21, $C$9, 100%, $E$9)</f>
        <v>8.4168000000000003</v>
      </c>
      <c r="P135" s="14">
        <f>CHOOSE(CONTROL!$C$42, 8.3482, 8.3482) * CHOOSE(CONTROL!$C$21, $C$9, 100%, $E$9)</f>
        <v>8.3482000000000003</v>
      </c>
      <c r="Q135" s="14">
        <f>CHOOSE(CONTROL!$C$42, 9.0115, 9.0115) * CHOOSE(CONTROL!$C$21, $C$9, 100%, $E$9)</f>
        <v>9.0114999999999998</v>
      </c>
      <c r="R135" s="14">
        <f>CHOOSE(CONTROL!$C$42, 9.6211, 9.6211) * CHOOSE(CONTROL!$C$21, $C$9, 100%, $E$9)</f>
        <v>9.6211000000000002</v>
      </c>
      <c r="S135" s="14">
        <f>CHOOSE(CONTROL!$C$42, 8.1027, 8.1027) * CHOOSE(CONTROL!$C$21, $C$9, 100%, $E$9)</f>
        <v>8.1027000000000005</v>
      </c>
      <c r="T1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35" s="56">
        <f>(1000*CHOOSE(CONTROL!$C$42, 695, 695)*CHOOSE(CONTROL!$C$42, 0.5599, 0.5599)*CHOOSE(CONTROL!$C$42, 31, 31))/1000000</f>
        <v>12.063045499999998</v>
      </c>
      <c r="V135" s="56">
        <f>(1000*CHOOSE(CONTROL!$C$42, 500, 500)*CHOOSE(CONTROL!$C$42, 0.275, 0.275)*CHOOSE(CONTROL!$C$42, 31, 31))/1000000</f>
        <v>4.2625000000000002</v>
      </c>
      <c r="W135" s="56">
        <f>(1000*CHOOSE(CONTROL!$C$42, 0.1146, 0.1146)*CHOOSE(CONTROL!$C$42, 121.5, 121.5)*CHOOSE(CONTROL!$C$42, 31, 31))/1000000</f>
        <v>0.43164089999999994</v>
      </c>
      <c r="X135" s="56">
        <f>(31*0.1790888*100000/1000000)+(31*0.2374*100000/1000000)</f>
        <v>1.2911152800000001</v>
      </c>
      <c r="Y135" s="56"/>
      <c r="Z135" s="14"/>
      <c r="AA135" s="55"/>
      <c r="AB135" s="49">
        <f>(B135*122.58+C135*297.941+D135*89.177+E135*40.302+F135*40+G135*160+H135*0+I135*100+J135*300)/(122.58+297.941+89.177+40.302+0+40+160+100+300)</f>
        <v>8.4714586319130429</v>
      </c>
      <c r="AC135" s="45">
        <f>(M135*'RAP TEMPLATE-GAS AVAILABILITY'!O134+N135*'RAP TEMPLATE-GAS AVAILABILITY'!P134+O135*'RAP TEMPLATE-GAS AVAILABILITY'!Q134+P135*'RAP TEMPLATE-GAS AVAILABILITY'!R134)/('RAP TEMPLATE-GAS AVAILABILITY'!O134+'RAP TEMPLATE-GAS AVAILABILITY'!P134+'RAP TEMPLATE-GAS AVAILABILITY'!Q134+'RAP TEMPLATE-GAS AVAILABILITY'!R134)</f>
        <v>8.3672805755395672</v>
      </c>
    </row>
    <row r="136" spans="1:29" ht="15.75" x14ac:dyDescent="0.25">
      <c r="A136" s="13">
        <v>45017</v>
      </c>
      <c r="B136" s="14">
        <f>CHOOSE(CONTROL!$C$42, 8.4344, 8.4344) * CHOOSE(CONTROL!$C$21, $C$9, 100%, $E$9)</f>
        <v>8.4344000000000001</v>
      </c>
      <c r="C136" s="14">
        <f>CHOOSE(CONTROL!$C$42, 8.4389, 8.4389) * CHOOSE(CONTROL!$C$21, $C$9, 100%, $E$9)</f>
        <v>8.4389000000000003</v>
      </c>
      <c r="D136" s="14">
        <f>CHOOSE(CONTROL!$C$42, 8.7011, 8.7011) * CHOOSE(CONTROL!$C$21, $C$9, 100%, $E$9)</f>
        <v>8.7011000000000003</v>
      </c>
      <c r="E136" s="14">
        <f>CHOOSE(CONTROL!$C$42, 8.7332, 8.7332) * CHOOSE(CONTROL!$C$21, $C$9, 100%, $E$9)</f>
        <v>8.7332000000000001</v>
      </c>
      <c r="F136" s="14">
        <f>CHOOSE(CONTROL!$C$42, 8.4572, 8.4572)*CHOOSE(CONTROL!$C$21, $C$9, 100%, $E$9)</f>
        <v>8.4572000000000003</v>
      </c>
      <c r="G136" s="14">
        <f>CHOOSE(CONTROL!$C$42, 8.474, 8.474)*CHOOSE(CONTROL!$C$21, $C$9, 100%, $E$9)</f>
        <v>8.4740000000000002</v>
      </c>
      <c r="H136" s="14">
        <f>CHOOSE(CONTROL!$C$42, 8.723, 8.723) * CHOOSE(CONTROL!$C$21, $C$9, 100%, $E$9)</f>
        <v>8.7230000000000008</v>
      </c>
      <c r="I136" s="14">
        <f>CHOOSE(CONTROL!$C$42, 8.4833, 8.4833)* CHOOSE(CONTROL!$C$21, $C$9, 100%, $E$9)</f>
        <v>8.4832999999999998</v>
      </c>
      <c r="J136" s="14">
        <f>CHOOSE(CONTROL!$C$42, 8.4502, 8.4502)* CHOOSE(CONTROL!$C$21, $C$9, 100%, $E$9)</f>
        <v>8.4502000000000006</v>
      </c>
      <c r="K136" s="52">
        <f>CHOOSE(CONTROL!$C$42, 8.4794, 8.4794) * CHOOSE(CONTROL!$C$21, $C$9, 100%, $E$9)</f>
        <v>8.4794</v>
      </c>
      <c r="L136" s="14">
        <f>CHOOSE(CONTROL!$C$42, 9.31, 9.31) * CHOOSE(CONTROL!$C$21, $C$9, 100%, $E$9)</f>
        <v>9.31</v>
      </c>
      <c r="M136" s="14">
        <f>CHOOSE(CONTROL!$C$42, 8.3059, 8.3059) * CHOOSE(CONTROL!$C$21, $C$9, 100%, $E$9)</f>
        <v>8.3058999999999994</v>
      </c>
      <c r="N136" s="14">
        <f>CHOOSE(CONTROL!$C$42, 8.3224, 8.3224) * CHOOSE(CONTROL!$C$21, $C$9, 100%, $E$9)</f>
        <v>8.3224</v>
      </c>
      <c r="O136" s="14">
        <f>CHOOSE(CONTROL!$C$42, 8.5738, 8.5738) * CHOOSE(CONTROL!$C$21, $C$9, 100%, $E$9)</f>
        <v>8.5738000000000003</v>
      </c>
      <c r="P136" s="14">
        <f>CHOOSE(CONTROL!$C$42, 8.338, 8.338) * CHOOSE(CONTROL!$C$21, $C$9, 100%, $E$9)</f>
        <v>8.3379999999999992</v>
      </c>
      <c r="Q136" s="14">
        <f>CHOOSE(CONTROL!$C$42, 9.1685, 9.1685) * CHOOSE(CONTROL!$C$21, $C$9, 100%, $E$9)</f>
        <v>9.1684999999999999</v>
      </c>
      <c r="R136" s="14">
        <f>CHOOSE(CONTROL!$C$42, 9.7784, 9.7784) * CHOOSE(CONTROL!$C$21, $C$9, 100%, $E$9)</f>
        <v>9.7783999999999995</v>
      </c>
      <c r="S136" s="14">
        <f>CHOOSE(CONTROL!$C$42, 8.0953, 8.0953) * CHOOSE(CONTROL!$C$21, $C$9, 100%, $E$9)</f>
        <v>8.0952999999999999</v>
      </c>
      <c r="T1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36" s="56">
        <f>(1000*CHOOSE(CONTROL!$C$42, 695, 695)*CHOOSE(CONTROL!$C$42, 0.5599, 0.5599)*CHOOSE(CONTROL!$C$42, 30, 30))/1000000</f>
        <v>11.673914999999997</v>
      </c>
      <c r="V136" s="56">
        <f>(1000*CHOOSE(CONTROL!$C$42, 500, 500)*CHOOSE(CONTROL!$C$42, 0.275, 0.275)*CHOOSE(CONTROL!$C$42, 30, 30))/1000000</f>
        <v>4.125</v>
      </c>
      <c r="W136" s="56">
        <f>(1000*CHOOSE(CONTROL!$C$42, 0.1146, 0.1146)*CHOOSE(CONTROL!$C$42, 121.5, 121.5)*CHOOSE(CONTROL!$C$42, 30, 30))/1000000</f>
        <v>0.417717</v>
      </c>
      <c r="X136" s="56">
        <f>(30*0.1790888*245000/1000000)+(30*0.2374*100000/1000000)</f>
        <v>2.0285026799999999</v>
      </c>
      <c r="Y136" s="56"/>
      <c r="Z136" s="14"/>
      <c r="AA136" s="55"/>
      <c r="AB136" s="49">
        <f>(B136*141.293+C136*267.993+D136*115.016+E136*89.698+F136*40+G136*185+H136*0+I136*100+J136*300)/(141.293+267.993+115.016+89.698+0+40+185+100+300)</f>
        <v>8.4961840985472179</v>
      </c>
      <c r="AC136" s="45">
        <f>(M136*'RAP TEMPLATE-GAS AVAILABILITY'!O135+N136*'RAP TEMPLATE-GAS AVAILABILITY'!P135+O136*'RAP TEMPLATE-GAS AVAILABILITY'!Q135+P136*'RAP TEMPLATE-GAS AVAILABILITY'!R135)/('RAP TEMPLATE-GAS AVAILABILITY'!O135+'RAP TEMPLATE-GAS AVAILABILITY'!P135+'RAP TEMPLATE-GAS AVAILABILITY'!Q135+'RAP TEMPLATE-GAS AVAILABILITY'!R135)</f>
        <v>8.3894834532374105</v>
      </c>
    </row>
    <row r="137" spans="1:29" ht="15.75" x14ac:dyDescent="0.25">
      <c r="A137" s="13">
        <v>45047</v>
      </c>
      <c r="B137" s="14">
        <f>CHOOSE(CONTROL!$C$42, 8.5277, 8.5277) * CHOOSE(CONTROL!$C$21, $C$9, 100%, $E$9)</f>
        <v>8.5276999999999994</v>
      </c>
      <c r="C137" s="14">
        <f>CHOOSE(CONTROL!$C$42, 8.5357, 8.5357) * CHOOSE(CONTROL!$C$21, $C$9, 100%, $E$9)</f>
        <v>8.5357000000000003</v>
      </c>
      <c r="D137" s="14">
        <f>CHOOSE(CONTROL!$C$42, 8.7948, 8.7948) * CHOOSE(CONTROL!$C$21, $C$9, 100%, $E$9)</f>
        <v>8.7948000000000004</v>
      </c>
      <c r="E137" s="14">
        <f>CHOOSE(CONTROL!$C$42, 8.8262, 8.8262) * CHOOSE(CONTROL!$C$21, $C$9, 100%, $E$9)</f>
        <v>8.8262</v>
      </c>
      <c r="F137" s="14">
        <f>CHOOSE(CONTROL!$C$42, 8.5492, 8.5492)*CHOOSE(CONTROL!$C$21, $C$9, 100%, $E$9)</f>
        <v>8.5492000000000008</v>
      </c>
      <c r="G137" s="14">
        <f>CHOOSE(CONTROL!$C$42, 8.5662, 8.5662)*CHOOSE(CONTROL!$C$21, $C$9, 100%, $E$9)</f>
        <v>8.5662000000000003</v>
      </c>
      <c r="H137" s="14">
        <f>CHOOSE(CONTROL!$C$42, 8.8149, 8.8149) * CHOOSE(CONTROL!$C$21, $C$9, 100%, $E$9)</f>
        <v>8.8148999999999997</v>
      </c>
      <c r="I137" s="14">
        <f>CHOOSE(CONTROL!$C$42, 8.5755, 8.5755)* CHOOSE(CONTROL!$C$21, $C$9, 100%, $E$9)</f>
        <v>8.5754999999999999</v>
      </c>
      <c r="J137" s="14">
        <f>CHOOSE(CONTROL!$C$42, 8.5422, 8.5422)* CHOOSE(CONTROL!$C$21, $C$9, 100%, $E$9)</f>
        <v>8.5421999999999993</v>
      </c>
      <c r="K137" s="52">
        <f>CHOOSE(CONTROL!$C$42, 8.5716, 8.5716) * CHOOSE(CONTROL!$C$21, $C$9, 100%, $E$9)</f>
        <v>8.5716000000000001</v>
      </c>
      <c r="L137" s="14">
        <f>CHOOSE(CONTROL!$C$42, 9.4019, 9.4019) * CHOOSE(CONTROL!$C$21, $C$9, 100%, $E$9)</f>
        <v>9.4018999999999995</v>
      </c>
      <c r="M137" s="14">
        <f>CHOOSE(CONTROL!$C$42, 8.3962, 8.3962) * CHOOSE(CONTROL!$C$21, $C$9, 100%, $E$9)</f>
        <v>8.3962000000000003</v>
      </c>
      <c r="N137" s="14">
        <f>CHOOSE(CONTROL!$C$42, 8.4129, 8.4129) * CHOOSE(CONTROL!$C$21, $C$9, 100%, $E$9)</f>
        <v>8.4129000000000005</v>
      </c>
      <c r="O137" s="14">
        <f>CHOOSE(CONTROL!$C$42, 8.664, 8.664) * CHOOSE(CONTROL!$C$21, $C$9, 100%, $E$9)</f>
        <v>8.6639999999999997</v>
      </c>
      <c r="P137" s="14">
        <f>CHOOSE(CONTROL!$C$42, 8.4285, 8.4285) * CHOOSE(CONTROL!$C$21, $C$9, 100%, $E$9)</f>
        <v>8.4284999999999997</v>
      </c>
      <c r="Q137" s="14">
        <f>CHOOSE(CONTROL!$C$42, 9.2587, 9.2587) * CHOOSE(CONTROL!$C$21, $C$9, 100%, $E$9)</f>
        <v>9.2586999999999993</v>
      </c>
      <c r="R137" s="14">
        <f>CHOOSE(CONTROL!$C$42, 9.8689, 9.8689) * CHOOSE(CONTROL!$C$21, $C$9, 100%, $E$9)</f>
        <v>9.8689</v>
      </c>
      <c r="S137" s="14">
        <f>CHOOSE(CONTROL!$C$42, 8.1836, 8.1836) * CHOOSE(CONTROL!$C$21, $C$9, 100%, $E$9)</f>
        <v>8.1836000000000002</v>
      </c>
      <c r="T1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37" s="56">
        <f>(1000*CHOOSE(CONTROL!$C$42, 695, 695)*CHOOSE(CONTROL!$C$42, 0.5599, 0.5599)*CHOOSE(CONTROL!$C$42, 31, 31))/1000000</f>
        <v>12.063045499999998</v>
      </c>
      <c r="V137" s="56">
        <f>(1000*CHOOSE(CONTROL!$C$42, 500, 500)*CHOOSE(CONTROL!$C$42, 0.275, 0.275)*CHOOSE(CONTROL!$C$42, 31, 31))/1000000</f>
        <v>4.2625000000000002</v>
      </c>
      <c r="W137" s="56">
        <f>(1000*CHOOSE(CONTROL!$C$42, 0.1146, 0.1146)*CHOOSE(CONTROL!$C$42, 121.5, 121.5)*CHOOSE(CONTROL!$C$42, 31, 31))/1000000</f>
        <v>0.43164089999999994</v>
      </c>
      <c r="X137" s="56">
        <f>(31*0.1790888*245000/1000000)+(31*0.2374*100000/1000000)</f>
        <v>2.0961194359999999</v>
      </c>
      <c r="Y137" s="56"/>
      <c r="Z137" s="14"/>
      <c r="AA137" s="55"/>
      <c r="AB137" s="49">
        <f>(B137*194.205+C137*267.466+D137*133.845+E137*53.484+F137*40+G137*185+H137*0+I137*100+J137*300)/(194.205+267.466+133.845+53.484+0+40+185+100+300)</f>
        <v>8.583404239795918</v>
      </c>
      <c r="AC137" s="45">
        <f>(M137*'RAP TEMPLATE-GAS AVAILABILITY'!O136+N137*'RAP TEMPLATE-GAS AVAILABILITY'!P136+O137*'RAP TEMPLATE-GAS AVAILABILITY'!Q136+P137*'RAP TEMPLATE-GAS AVAILABILITY'!R136)/('RAP TEMPLATE-GAS AVAILABILITY'!O136+'RAP TEMPLATE-GAS AVAILABILITY'!P136+'RAP TEMPLATE-GAS AVAILABILITY'!Q136+'RAP TEMPLATE-GAS AVAILABILITY'!R136)</f>
        <v>8.479830215827338</v>
      </c>
    </row>
    <row r="138" spans="1:29" ht="15.75" x14ac:dyDescent="0.25">
      <c r="A138" s="13">
        <v>45078</v>
      </c>
      <c r="B138" s="14">
        <f>CHOOSE(CONTROL!$C$42, 8.7873, 8.7873) * CHOOSE(CONTROL!$C$21, $C$9, 100%, $E$9)</f>
        <v>8.7873000000000001</v>
      </c>
      <c r="C138" s="14">
        <f>CHOOSE(CONTROL!$C$42, 8.7953, 8.7953) * CHOOSE(CONTROL!$C$21, $C$9, 100%, $E$9)</f>
        <v>8.7952999999999992</v>
      </c>
      <c r="D138" s="14">
        <f>CHOOSE(CONTROL!$C$42, 9.0544, 9.0544) * CHOOSE(CONTROL!$C$21, $C$9, 100%, $E$9)</f>
        <v>9.0543999999999993</v>
      </c>
      <c r="E138" s="14">
        <f>CHOOSE(CONTROL!$C$42, 9.0858, 9.0858) * CHOOSE(CONTROL!$C$21, $C$9, 100%, $E$9)</f>
        <v>9.0858000000000008</v>
      </c>
      <c r="F138" s="14">
        <f>CHOOSE(CONTROL!$C$42, 8.809, 8.809)*CHOOSE(CONTROL!$C$21, $C$9, 100%, $E$9)</f>
        <v>8.8089999999999993</v>
      </c>
      <c r="G138" s="14">
        <f>CHOOSE(CONTROL!$C$42, 8.8261, 8.8261)*CHOOSE(CONTROL!$C$21, $C$9, 100%, $E$9)</f>
        <v>8.8261000000000003</v>
      </c>
      <c r="H138" s="14">
        <f>CHOOSE(CONTROL!$C$42, 9.0745, 9.0745) * CHOOSE(CONTROL!$C$21, $C$9, 100%, $E$9)</f>
        <v>9.0745000000000005</v>
      </c>
      <c r="I138" s="14">
        <f>CHOOSE(CONTROL!$C$42, 8.8359, 8.8359)* CHOOSE(CONTROL!$C$21, $C$9, 100%, $E$9)</f>
        <v>8.8359000000000005</v>
      </c>
      <c r="J138" s="14">
        <f>CHOOSE(CONTROL!$C$42, 8.802, 8.802)* CHOOSE(CONTROL!$C$21, $C$9, 100%, $E$9)</f>
        <v>8.8019999999999996</v>
      </c>
      <c r="K138" s="52">
        <f>CHOOSE(CONTROL!$C$42, 8.832, 8.832) * CHOOSE(CONTROL!$C$21, $C$9, 100%, $E$9)</f>
        <v>8.8320000000000007</v>
      </c>
      <c r="L138" s="14">
        <f>CHOOSE(CONTROL!$C$42, 9.6615, 9.6615) * CHOOSE(CONTROL!$C$21, $C$9, 100%, $E$9)</f>
        <v>9.6615000000000002</v>
      </c>
      <c r="M138" s="14">
        <f>CHOOSE(CONTROL!$C$42, 8.6514, 8.6514) * CHOOSE(CONTROL!$C$21, $C$9, 100%, $E$9)</f>
        <v>8.6514000000000006</v>
      </c>
      <c r="N138" s="14">
        <f>CHOOSE(CONTROL!$C$42, 8.6681, 8.6681) * CHOOSE(CONTROL!$C$21, $C$9, 100%, $E$9)</f>
        <v>8.6681000000000008</v>
      </c>
      <c r="O138" s="14">
        <f>CHOOSE(CONTROL!$C$42, 8.919, 8.919) * CHOOSE(CONTROL!$C$21, $C$9, 100%, $E$9)</f>
        <v>8.9190000000000005</v>
      </c>
      <c r="P138" s="14">
        <f>CHOOSE(CONTROL!$C$42, 8.6842, 8.6842) * CHOOSE(CONTROL!$C$21, $C$9, 100%, $E$9)</f>
        <v>8.6842000000000006</v>
      </c>
      <c r="Q138" s="14">
        <f>CHOOSE(CONTROL!$C$42, 9.5137, 9.5137) * CHOOSE(CONTROL!$C$21, $C$9, 100%, $E$9)</f>
        <v>9.5137</v>
      </c>
      <c r="R138" s="14">
        <f>CHOOSE(CONTROL!$C$42, 10.1244, 10.1244) * CHOOSE(CONTROL!$C$21, $C$9, 100%, $E$9)</f>
        <v>10.1244</v>
      </c>
      <c r="S138" s="14">
        <f>CHOOSE(CONTROL!$C$42, 8.4331, 8.4331) * CHOOSE(CONTROL!$C$21, $C$9, 100%, $E$9)</f>
        <v>8.4330999999999996</v>
      </c>
      <c r="T1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38" s="56">
        <f>(1000*CHOOSE(CONTROL!$C$42, 695, 695)*CHOOSE(CONTROL!$C$42, 0.5599, 0.5599)*CHOOSE(CONTROL!$C$42, 30, 30))/1000000</f>
        <v>11.673914999999997</v>
      </c>
      <c r="V138" s="56">
        <f>(1000*CHOOSE(CONTROL!$C$42, 500, 500)*CHOOSE(CONTROL!$C$42, 0.275, 0.275)*CHOOSE(CONTROL!$C$42, 30, 30))/1000000</f>
        <v>4.125</v>
      </c>
      <c r="W138" s="56">
        <f>(1000*CHOOSE(CONTROL!$C$42, 0.1146, 0.1146)*CHOOSE(CONTROL!$C$42, 121.5, 121.5)*CHOOSE(CONTROL!$C$42, 30, 30))/1000000</f>
        <v>0.417717</v>
      </c>
      <c r="X138" s="56">
        <f>(30*0.1790888*245000/1000000)+(30*0.2374*100000/1000000)</f>
        <v>2.0285026799999999</v>
      </c>
      <c r="Y138" s="56"/>
      <c r="Z138" s="14"/>
      <c r="AA138" s="55"/>
      <c r="AB138" s="49">
        <f>(B138*194.205+C138*267.466+D138*133.845+E138*53.484+F138*40+G138*185+H138*0+I138*100+J138*300)/(194.205+267.466+133.845+53.484+0+40+185+100+300)</f>
        <v>8.8431639729199372</v>
      </c>
      <c r="AC138" s="45">
        <f>(M138*'RAP TEMPLATE-GAS AVAILABILITY'!O137+N138*'RAP TEMPLATE-GAS AVAILABILITY'!P137+O138*'RAP TEMPLATE-GAS AVAILABILITY'!Q137+P138*'RAP TEMPLATE-GAS AVAILABILITY'!R137)/('RAP TEMPLATE-GAS AVAILABILITY'!O137+'RAP TEMPLATE-GAS AVAILABILITY'!P137+'RAP TEMPLATE-GAS AVAILABILITY'!Q137+'RAP TEMPLATE-GAS AVAILABILITY'!R137)</f>
        <v>8.7350460431654682</v>
      </c>
    </row>
    <row r="139" spans="1:29" ht="15.75" x14ac:dyDescent="0.25">
      <c r="A139" s="13">
        <v>45108</v>
      </c>
      <c r="B139" s="14">
        <f>CHOOSE(CONTROL!$C$42, 8.6366, 8.6366) * CHOOSE(CONTROL!$C$21, $C$9, 100%, $E$9)</f>
        <v>8.6365999999999996</v>
      </c>
      <c r="C139" s="14">
        <f>CHOOSE(CONTROL!$C$42, 8.6447, 8.6447) * CHOOSE(CONTROL!$C$21, $C$9, 100%, $E$9)</f>
        <v>8.6447000000000003</v>
      </c>
      <c r="D139" s="14">
        <f>CHOOSE(CONTROL!$C$42, 8.9038, 8.9038) * CHOOSE(CONTROL!$C$21, $C$9, 100%, $E$9)</f>
        <v>8.9038000000000004</v>
      </c>
      <c r="E139" s="14">
        <f>CHOOSE(CONTROL!$C$42, 8.9352, 8.9352) * CHOOSE(CONTROL!$C$21, $C$9, 100%, $E$9)</f>
        <v>8.9352</v>
      </c>
      <c r="F139" s="14">
        <f>CHOOSE(CONTROL!$C$42, 8.6589, 8.6589)*CHOOSE(CONTROL!$C$21, $C$9, 100%, $E$9)</f>
        <v>8.6588999999999992</v>
      </c>
      <c r="G139" s="14">
        <f>CHOOSE(CONTROL!$C$42, 8.676, 8.676)*CHOOSE(CONTROL!$C$21, $C$9, 100%, $E$9)</f>
        <v>8.6760000000000002</v>
      </c>
      <c r="H139" s="14">
        <f>CHOOSE(CONTROL!$C$42, 8.9239, 8.9239) * CHOOSE(CONTROL!$C$21, $C$9, 100%, $E$9)</f>
        <v>8.9238999999999997</v>
      </c>
      <c r="I139" s="14">
        <f>CHOOSE(CONTROL!$C$42, 8.6848, 8.6848)* CHOOSE(CONTROL!$C$21, $C$9, 100%, $E$9)</f>
        <v>8.6847999999999992</v>
      </c>
      <c r="J139" s="14">
        <f>CHOOSE(CONTROL!$C$42, 8.6519, 8.6519)* CHOOSE(CONTROL!$C$21, $C$9, 100%, $E$9)</f>
        <v>8.6518999999999995</v>
      </c>
      <c r="K139" s="52">
        <f>CHOOSE(CONTROL!$C$42, 8.6809, 8.6809) * CHOOSE(CONTROL!$C$21, $C$9, 100%, $E$9)</f>
        <v>8.6808999999999994</v>
      </c>
      <c r="L139" s="14">
        <f>CHOOSE(CONTROL!$C$42, 9.5109, 9.5109) * CHOOSE(CONTROL!$C$21, $C$9, 100%, $E$9)</f>
        <v>9.5108999999999995</v>
      </c>
      <c r="M139" s="14">
        <f>CHOOSE(CONTROL!$C$42, 8.5039, 8.5039) * CHOOSE(CONTROL!$C$21, $C$9, 100%, $E$9)</f>
        <v>8.5038999999999998</v>
      </c>
      <c r="N139" s="14">
        <f>CHOOSE(CONTROL!$C$42, 8.5208, 8.5208) * CHOOSE(CONTROL!$C$21, $C$9, 100%, $E$9)</f>
        <v>8.5207999999999995</v>
      </c>
      <c r="O139" s="14">
        <f>CHOOSE(CONTROL!$C$42, 8.771, 8.771) * CHOOSE(CONTROL!$C$21, $C$9, 100%, $E$9)</f>
        <v>8.7710000000000008</v>
      </c>
      <c r="P139" s="14">
        <f>CHOOSE(CONTROL!$C$42, 8.5359, 8.5359) * CHOOSE(CONTROL!$C$21, $C$9, 100%, $E$9)</f>
        <v>8.5358999999999998</v>
      </c>
      <c r="Q139" s="14">
        <f>CHOOSE(CONTROL!$C$42, 9.3657, 9.3657) * CHOOSE(CONTROL!$C$21, $C$9, 100%, $E$9)</f>
        <v>9.3657000000000004</v>
      </c>
      <c r="R139" s="14">
        <f>CHOOSE(CONTROL!$C$42, 9.9762, 9.9762) * CHOOSE(CONTROL!$C$21, $C$9, 100%, $E$9)</f>
        <v>9.9762000000000004</v>
      </c>
      <c r="S139" s="14">
        <f>CHOOSE(CONTROL!$C$42, 8.2883, 8.2883) * CHOOSE(CONTROL!$C$21, $C$9, 100%, $E$9)</f>
        <v>8.2882999999999996</v>
      </c>
      <c r="T1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39" s="56">
        <f>(1000*CHOOSE(CONTROL!$C$42, 695, 695)*CHOOSE(CONTROL!$C$42, 0.5599, 0.5599)*CHOOSE(CONTROL!$C$42, 31, 31))/1000000</f>
        <v>12.063045499999998</v>
      </c>
      <c r="V139" s="56">
        <f>(1000*CHOOSE(CONTROL!$C$42, 500, 500)*CHOOSE(CONTROL!$C$42, 0.275, 0.275)*CHOOSE(CONTROL!$C$42, 31, 31))/1000000</f>
        <v>4.2625000000000002</v>
      </c>
      <c r="W139" s="56">
        <f>(1000*CHOOSE(CONTROL!$C$42, 0.1146, 0.1146)*CHOOSE(CONTROL!$C$42, 121.5, 121.5)*CHOOSE(CONTROL!$C$42, 31, 31))/1000000</f>
        <v>0.43164089999999994</v>
      </c>
      <c r="X139" s="56">
        <f>(31*0.1790888*245000/1000000)+(31*0.2374*100000/1000000)</f>
        <v>2.0961194359999999</v>
      </c>
      <c r="Y139" s="56"/>
      <c r="Z139" s="14"/>
      <c r="AA139" s="55"/>
      <c r="AB139" s="49">
        <f>(B139*194.205+C139*267.466+D139*133.845+E139*53.484+F139*40+G139*185+H139*0+I139*100+J139*300)/(194.205+267.466+133.845+53.484+0+40+185+100+300)</f>
        <v>8.6927155266875964</v>
      </c>
      <c r="AC139" s="45">
        <f>(M139*'RAP TEMPLATE-GAS AVAILABILITY'!O138+N139*'RAP TEMPLATE-GAS AVAILABILITY'!P138+O139*'RAP TEMPLATE-GAS AVAILABILITY'!Q138+P139*'RAP TEMPLATE-GAS AVAILABILITY'!R138)/('RAP TEMPLATE-GAS AVAILABILITY'!O138+'RAP TEMPLATE-GAS AVAILABILITY'!P138+'RAP TEMPLATE-GAS AVAILABILITY'!Q138+'RAP TEMPLATE-GAS AVAILABILITY'!R138)</f>
        <v>8.5873366906474828</v>
      </c>
    </row>
    <row r="140" spans="1:29" ht="15.75" x14ac:dyDescent="0.25">
      <c r="A140" s="13">
        <v>45139</v>
      </c>
      <c r="B140" s="14">
        <f>CHOOSE(CONTROL!$C$42, 8.2275, 8.2275) * CHOOSE(CONTROL!$C$21, $C$9, 100%, $E$9)</f>
        <v>8.2274999999999991</v>
      </c>
      <c r="C140" s="14">
        <f>CHOOSE(CONTROL!$C$42, 8.2355, 8.2355) * CHOOSE(CONTROL!$C$21, $C$9, 100%, $E$9)</f>
        <v>8.2355</v>
      </c>
      <c r="D140" s="14">
        <f>CHOOSE(CONTROL!$C$42, 8.4946, 8.4946) * CHOOSE(CONTROL!$C$21, $C$9, 100%, $E$9)</f>
        <v>8.4946000000000002</v>
      </c>
      <c r="E140" s="14">
        <f>CHOOSE(CONTROL!$C$42, 8.5261, 8.5261) * CHOOSE(CONTROL!$C$21, $C$9, 100%, $E$9)</f>
        <v>8.5260999999999996</v>
      </c>
      <c r="F140" s="14">
        <f>CHOOSE(CONTROL!$C$42, 8.2499, 8.2499)*CHOOSE(CONTROL!$C$21, $C$9, 100%, $E$9)</f>
        <v>8.2499000000000002</v>
      </c>
      <c r="G140" s="14">
        <f>CHOOSE(CONTROL!$C$42, 8.2671, 8.2671)*CHOOSE(CONTROL!$C$21, $C$9, 100%, $E$9)</f>
        <v>8.2670999999999992</v>
      </c>
      <c r="H140" s="14">
        <f>CHOOSE(CONTROL!$C$42, 8.5147, 8.5147) * CHOOSE(CONTROL!$C$21, $C$9, 100%, $E$9)</f>
        <v>8.5146999999999995</v>
      </c>
      <c r="I140" s="14">
        <f>CHOOSE(CONTROL!$C$42, 8.2744, 8.2744)* CHOOSE(CONTROL!$C$21, $C$9, 100%, $E$9)</f>
        <v>8.2744</v>
      </c>
      <c r="J140" s="14">
        <f>CHOOSE(CONTROL!$C$42, 8.2429, 8.2429)* CHOOSE(CONTROL!$C$21, $C$9, 100%, $E$9)</f>
        <v>8.2429000000000006</v>
      </c>
      <c r="K140" s="52">
        <f>CHOOSE(CONTROL!$C$42, 8.2705, 8.2705) * CHOOSE(CONTROL!$C$21, $C$9, 100%, $E$9)</f>
        <v>8.2705000000000002</v>
      </c>
      <c r="L140" s="14">
        <f>CHOOSE(CONTROL!$C$42, 9.1017, 9.1017) * CHOOSE(CONTROL!$C$21, $C$9, 100%, $E$9)</f>
        <v>9.1016999999999992</v>
      </c>
      <c r="M140" s="14">
        <f>CHOOSE(CONTROL!$C$42, 8.1024, 8.1024) * CHOOSE(CONTROL!$C$21, $C$9, 100%, $E$9)</f>
        <v>8.1023999999999994</v>
      </c>
      <c r="N140" s="14">
        <f>CHOOSE(CONTROL!$C$42, 8.1192, 8.1192) * CHOOSE(CONTROL!$C$21, $C$9, 100%, $E$9)</f>
        <v>8.1191999999999993</v>
      </c>
      <c r="O140" s="14">
        <f>CHOOSE(CONTROL!$C$42, 8.3693, 8.3693) * CHOOSE(CONTROL!$C$21, $C$9, 100%, $E$9)</f>
        <v>8.3693000000000008</v>
      </c>
      <c r="P140" s="14">
        <f>CHOOSE(CONTROL!$C$42, 8.1329, 8.1329) * CHOOSE(CONTROL!$C$21, $C$9, 100%, $E$9)</f>
        <v>8.1328999999999994</v>
      </c>
      <c r="Q140" s="14">
        <f>CHOOSE(CONTROL!$C$42, 8.964, 8.964) * CHOOSE(CONTROL!$C$21, $C$9, 100%, $E$9)</f>
        <v>8.9640000000000004</v>
      </c>
      <c r="R140" s="14">
        <f>CHOOSE(CONTROL!$C$42, 9.5734, 9.5734) * CHOOSE(CONTROL!$C$21, $C$9, 100%, $E$9)</f>
        <v>9.5733999999999995</v>
      </c>
      <c r="S140" s="14">
        <f>CHOOSE(CONTROL!$C$42, 7.8952, 7.8952) * CHOOSE(CONTROL!$C$21, $C$9, 100%, $E$9)</f>
        <v>7.8952</v>
      </c>
      <c r="T1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40" s="56">
        <f>(1000*CHOOSE(CONTROL!$C$42, 695, 695)*CHOOSE(CONTROL!$C$42, 0.5599, 0.5599)*CHOOSE(CONTROL!$C$42, 31, 31))/1000000</f>
        <v>12.063045499999998</v>
      </c>
      <c r="V140" s="56">
        <f>(1000*CHOOSE(CONTROL!$C$42, 500, 500)*CHOOSE(CONTROL!$C$42, 0.275, 0.275)*CHOOSE(CONTROL!$C$42, 31, 31))/1000000</f>
        <v>4.2625000000000002</v>
      </c>
      <c r="W140" s="56">
        <f>(1000*CHOOSE(CONTROL!$C$42, 0.1146, 0.1146)*CHOOSE(CONTROL!$C$42, 121.5, 121.5)*CHOOSE(CONTROL!$C$42, 31, 31))/1000000</f>
        <v>0.43164089999999994</v>
      </c>
      <c r="X140" s="56">
        <f>(31*0.1790888*245000/1000000)+(31*0.2374*100000/1000000)</f>
        <v>2.0961194359999999</v>
      </c>
      <c r="Y140" s="56"/>
      <c r="Z140" s="14"/>
      <c r="AA140" s="55"/>
      <c r="AB140" s="49">
        <f>(B140*194.205+C140*267.466+D140*133.845+E140*53.484+F140*40+G140*185+H140*0+I140*100+J140*300)/(194.205+267.466+133.845+53.484+0+40+185+100+300)</f>
        <v>8.2835377157770811</v>
      </c>
      <c r="AC140" s="45">
        <f>(M140*'RAP TEMPLATE-GAS AVAILABILITY'!O139+N140*'RAP TEMPLATE-GAS AVAILABILITY'!P139+O140*'RAP TEMPLATE-GAS AVAILABILITY'!Q139+P140*'RAP TEMPLATE-GAS AVAILABILITY'!R139)/('RAP TEMPLATE-GAS AVAILABILITY'!O139+'RAP TEMPLATE-GAS AVAILABILITY'!P139+'RAP TEMPLATE-GAS AVAILABILITY'!Q139+'RAP TEMPLATE-GAS AVAILABILITY'!R139)</f>
        <v>8.1855417266187054</v>
      </c>
    </row>
    <row r="141" spans="1:29" ht="15.75" x14ac:dyDescent="0.25">
      <c r="A141" s="13">
        <v>45170</v>
      </c>
      <c r="B141" s="14">
        <f>CHOOSE(CONTROL!$C$42, 7.7215, 7.7215) * CHOOSE(CONTROL!$C$21, $C$9, 100%, $E$9)</f>
        <v>7.7214999999999998</v>
      </c>
      <c r="C141" s="14">
        <f>CHOOSE(CONTROL!$C$42, 7.7296, 7.7296) * CHOOSE(CONTROL!$C$21, $C$9, 100%, $E$9)</f>
        <v>7.7295999999999996</v>
      </c>
      <c r="D141" s="14">
        <f>CHOOSE(CONTROL!$C$42, 7.9887, 7.9887) * CHOOSE(CONTROL!$C$21, $C$9, 100%, $E$9)</f>
        <v>7.9886999999999997</v>
      </c>
      <c r="E141" s="14">
        <f>CHOOSE(CONTROL!$C$42, 8.0201, 8.0201) * CHOOSE(CONTROL!$C$21, $C$9, 100%, $E$9)</f>
        <v>8.0200999999999993</v>
      </c>
      <c r="F141" s="14">
        <f>CHOOSE(CONTROL!$C$42, 7.744, 7.744)*CHOOSE(CONTROL!$C$21, $C$9, 100%, $E$9)</f>
        <v>7.7439999999999998</v>
      </c>
      <c r="G141" s="14">
        <f>CHOOSE(CONTROL!$C$42, 7.7612, 7.7612)*CHOOSE(CONTROL!$C$21, $C$9, 100%, $E$9)</f>
        <v>7.7611999999999997</v>
      </c>
      <c r="H141" s="14">
        <f>CHOOSE(CONTROL!$C$42, 8.0088, 8.0088) * CHOOSE(CONTROL!$C$21, $C$9, 100%, $E$9)</f>
        <v>8.0088000000000008</v>
      </c>
      <c r="I141" s="14">
        <f>CHOOSE(CONTROL!$C$42, 7.7668, 7.7668)* CHOOSE(CONTROL!$C$21, $C$9, 100%, $E$9)</f>
        <v>7.7667999999999999</v>
      </c>
      <c r="J141" s="14">
        <f>CHOOSE(CONTROL!$C$42, 7.737, 7.737)* CHOOSE(CONTROL!$C$21, $C$9, 100%, $E$9)</f>
        <v>7.7370000000000001</v>
      </c>
      <c r="K141" s="52">
        <f>CHOOSE(CONTROL!$C$42, 7.7629, 7.7629) * CHOOSE(CONTROL!$C$21, $C$9, 100%, $E$9)</f>
        <v>7.7629000000000001</v>
      </c>
      <c r="L141" s="14">
        <f>CHOOSE(CONTROL!$C$42, 8.5958, 8.5958) * CHOOSE(CONTROL!$C$21, $C$9, 100%, $E$9)</f>
        <v>8.5958000000000006</v>
      </c>
      <c r="M141" s="14">
        <f>CHOOSE(CONTROL!$C$42, 7.6056, 7.6056) * CHOOSE(CONTROL!$C$21, $C$9, 100%, $E$9)</f>
        <v>7.6055999999999999</v>
      </c>
      <c r="N141" s="14">
        <f>CHOOSE(CONTROL!$C$42, 7.6225, 7.6225) * CHOOSE(CONTROL!$C$21, $C$9, 100%, $E$9)</f>
        <v>7.6224999999999996</v>
      </c>
      <c r="O141" s="14">
        <f>CHOOSE(CONTROL!$C$42, 7.8724, 7.8724) * CHOOSE(CONTROL!$C$21, $C$9, 100%, $E$9)</f>
        <v>7.8723999999999998</v>
      </c>
      <c r="P141" s="14">
        <f>CHOOSE(CONTROL!$C$42, 7.6345, 7.6345) * CHOOSE(CONTROL!$C$21, $C$9, 100%, $E$9)</f>
        <v>7.6345000000000001</v>
      </c>
      <c r="Q141" s="14">
        <f>CHOOSE(CONTROL!$C$42, 8.4671, 8.4671) * CHOOSE(CONTROL!$C$21, $C$9, 100%, $E$9)</f>
        <v>8.4671000000000003</v>
      </c>
      <c r="R141" s="14">
        <f>CHOOSE(CONTROL!$C$42, 9.0753, 9.0753) * CHOOSE(CONTROL!$C$21, $C$9, 100%, $E$9)</f>
        <v>9.0753000000000004</v>
      </c>
      <c r="S141" s="14">
        <f>CHOOSE(CONTROL!$C$42, 7.409, 7.409) * CHOOSE(CONTROL!$C$21, $C$9, 100%, $E$9)</f>
        <v>7.4089999999999998</v>
      </c>
      <c r="T1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41" s="56">
        <f>(1000*CHOOSE(CONTROL!$C$42, 695, 695)*CHOOSE(CONTROL!$C$42, 0.5599, 0.5599)*CHOOSE(CONTROL!$C$42, 30, 30))/1000000</f>
        <v>11.673914999999997</v>
      </c>
      <c r="V141" s="56">
        <f>(1000*CHOOSE(CONTROL!$C$42, 500, 500)*CHOOSE(CONTROL!$C$42, 0.275, 0.275)*CHOOSE(CONTROL!$C$42, 30, 30))/1000000</f>
        <v>4.125</v>
      </c>
      <c r="W141" s="56">
        <f>(1000*CHOOSE(CONTROL!$C$42, 0.1146, 0.1146)*CHOOSE(CONTROL!$C$42, 121.5, 121.5)*CHOOSE(CONTROL!$C$42, 30, 30))/1000000</f>
        <v>0.417717</v>
      </c>
      <c r="X141" s="56">
        <f>(30*0.1790888*245000/1000000)+(30*0.2374*100000/1000000)</f>
        <v>2.0285026799999999</v>
      </c>
      <c r="Y141" s="56"/>
      <c r="Z141" s="14"/>
      <c r="AA141" s="55"/>
      <c r="AB141" s="49">
        <f>(B141*194.205+C141*267.466+D141*133.845+E141*53.484+F141*40+G141*185+H141*0+I141*100+J141*300)/(194.205+267.466+133.845+53.484+0+40+185+100+300)</f>
        <v>7.7774848359497648</v>
      </c>
      <c r="AC141" s="45">
        <f>(M141*'RAP TEMPLATE-GAS AVAILABILITY'!O140+N141*'RAP TEMPLATE-GAS AVAILABILITY'!P140+O141*'RAP TEMPLATE-GAS AVAILABILITY'!Q140+P141*'RAP TEMPLATE-GAS AVAILABILITY'!R140)/('RAP TEMPLATE-GAS AVAILABILITY'!O140+'RAP TEMPLATE-GAS AVAILABILITY'!P140+'RAP TEMPLATE-GAS AVAILABILITY'!Q140+'RAP TEMPLATE-GAS AVAILABILITY'!R140)</f>
        <v>7.6885064748201435</v>
      </c>
    </row>
    <row r="142" spans="1:29" ht="15.75" x14ac:dyDescent="0.25">
      <c r="A142" s="13">
        <v>45200</v>
      </c>
      <c r="B142" s="14">
        <f>CHOOSE(CONTROL!$C$42, 7.5788, 7.5788) * CHOOSE(CONTROL!$C$21, $C$9, 100%, $E$9)</f>
        <v>7.5788000000000002</v>
      </c>
      <c r="C142" s="14">
        <f>CHOOSE(CONTROL!$C$42, 7.5841, 7.5841) * CHOOSE(CONTROL!$C$21, $C$9, 100%, $E$9)</f>
        <v>7.5841000000000003</v>
      </c>
      <c r="D142" s="14">
        <f>CHOOSE(CONTROL!$C$42, 7.8482, 7.8482) * CHOOSE(CONTROL!$C$21, $C$9, 100%, $E$9)</f>
        <v>7.8482000000000003</v>
      </c>
      <c r="E142" s="14">
        <f>CHOOSE(CONTROL!$C$42, 7.8773, 7.8773) * CHOOSE(CONTROL!$C$21, $C$9, 100%, $E$9)</f>
        <v>7.8773</v>
      </c>
      <c r="F142" s="14">
        <f>CHOOSE(CONTROL!$C$42, 7.6034, 7.6034)*CHOOSE(CONTROL!$C$21, $C$9, 100%, $E$9)</f>
        <v>7.6033999999999997</v>
      </c>
      <c r="G142" s="14">
        <f>CHOOSE(CONTROL!$C$42, 7.6205, 7.6205)*CHOOSE(CONTROL!$C$21, $C$9, 100%, $E$9)</f>
        <v>7.6204999999999998</v>
      </c>
      <c r="H142" s="14">
        <f>CHOOSE(CONTROL!$C$42, 7.8678, 7.8678) * CHOOSE(CONTROL!$C$21, $C$9, 100%, $E$9)</f>
        <v>7.8677999999999999</v>
      </c>
      <c r="I142" s="14">
        <f>CHOOSE(CONTROL!$C$42, 7.6254, 7.6254)* CHOOSE(CONTROL!$C$21, $C$9, 100%, $E$9)</f>
        <v>7.6254</v>
      </c>
      <c r="J142" s="14">
        <f>CHOOSE(CONTROL!$C$42, 7.5964, 7.5964)* CHOOSE(CONTROL!$C$21, $C$9, 100%, $E$9)</f>
        <v>7.5964</v>
      </c>
      <c r="K142" s="52">
        <f>CHOOSE(CONTROL!$C$42, 7.6215, 7.6215) * CHOOSE(CONTROL!$C$21, $C$9, 100%, $E$9)</f>
        <v>7.6215000000000002</v>
      </c>
      <c r="L142" s="14">
        <f>CHOOSE(CONTROL!$C$42, 8.4548, 8.4548) * CHOOSE(CONTROL!$C$21, $C$9, 100%, $E$9)</f>
        <v>8.4548000000000005</v>
      </c>
      <c r="M142" s="14">
        <f>CHOOSE(CONTROL!$C$42, 7.4675, 7.4675) * CHOOSE(CONTROL!$C$21, $C$9, 100%, $E$9)</f>
        <v>7.4675000000000002</v>
      </c>
      <c r="N142" s="14">
        <f>CHOOSE(CONTROL!$C$42, 7.4843, 7.4843) * CHOOSE(CONTROL!$C$21, $C$9, 100%, $E$9)</f>
        <v>7.4843000000000002</v>
      </c>
      <c r="O142" s="14">
        <f>CHOOSE(CONTROL!$C$42, 7.734, 7.734) * CHOOSE(CONTROL!$C$21, $C$9, 100%, $E$9)</f>
        <v>7.734</v>
      </c>
      <c r="P142" s="14">
        <f>CHOOSE(CONTROL!$C$42, 7.4956, 7.4956) * CHOOSE(CONTROL!$C$21, $C$9, 100%, $E$9)</f>
        <v>7.4955999999999996</v>
      </c>
      <c r="Q142" s="14">
        <f>CHOOSE(CONTROL!$C$42, 8.3287, 8.3287) * CHOOSE(CONTROL!$C$21, $C$9, 100%, $E$9)</f>
        <v>8.3286999999999995</v>
      </c>
      <c r="R142" s="14">
        <f>CHOOSE(CONTROL!$C$42, 8.9365, 8.9365) * CHOOSE(CONTROL!$C$21, $C$9, 100%, $E$9)</f>
        <v>8.9365000000000006</v>
      </c>
      <c r="S142" s="14">
        <f>CHOOSE(CONTROL!$C$42, 7.2735, 7.2735) * CHOOSE(CONTROL!$C$21, $C$9, 100%, $E$9)</f>
        <v>7.2735000000000003</v>
      </c>
      <c r="T1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42" s="56">
        <f>(1000*CHOOSE(CONTROL!$C$42, 695, 695)*CHOOSE(CONTROL!$C$42, 0.5599, 0.5599)*CHOOSE(CONTROL!$C$42, 31, 31))/1000000</f>
        <v>12.063045499999998</v>
      </c>
      <c r="V142" s="56">
        <f>(1000*CHOOSE(CONTROL!$C$42, 500, 500)*CHOOSE(CONTROL!$C$42, 0.275, 0.275)*CHOOSE(CONTROL!$C$42, 31, 31))/1000000</f>
        <v>4.2625000000000002</v>
      </c>
      <c r="W142" s="56">
        <f>(1000*CHOOSE(CONTROL!$C$42, 0.1146, 0.1146)*CHOOSE(CONTROL!$C$42, 121.5, 121.5)*CHOOSE(CONTROL!$C$42, 31, 31))/1000000</f>
        <v>0.43164089999999994</v>
      </c>
      <c r="X142" s="56">
        <f>(31*0.1790888*245000/1000000)+(31*0.2374*100000/1000000)</f>
        <v>2.0961194359999999</v>
      </c>
      <c r="Y142" s="56"/>
      <c r="Z142" s="14"/>
      <c r="AA142" s="55"/>
      <c r="AB142" s="49">
        <f>(B142*131.881+C142*277.167+D142*79.08+E142*125.872+F142*40+G142*185+H142*0+I142*100+J142*300)/(131.881+277.167+79.08+125.872+0+40+185+100+300)</f>
        <v>7.6425485303470548</v>
      </c>
      <c r="AC142" s="45">
        <f>(M142*'RAP TEMPLATE-GAS AVAILABILITY'!O141+N142*'RAP TEMPLATE-GAS AVAILABILITY'!P141+O142*'RAP TEMPLATE-GAS AVAILABILITY'!Q141+P142*'RAP TEMPLATE-GAS AVAILABILITY'!R141)/('RAP TEMPLATE-GAS AVAILABILITY'!O141+'RAP TEMPLATE-GAS AVAILABILITY'!P141+'RAP TEMPLATE-GAS AVAILABILITY'!Q141+'RAP TEMPLATE-GAS AVAILABILITY'!R141)</f>
        <v>7.5501841726618713</v>
      </c>
    </row>
    <row r="143" spans="1:29" ht="15.75" x14ac:dyDescent="0.25">
      <c r="A143" s="13">
        <v>45231</v>
      </c>
      <c r="B143" s="14">
        <f>CHOOSE(CONTROL!$C$42, 7.7938, 7.7938) * CHOOSE(CONTROL!$C$21, $C$9, 100%, $E$9)</f>
        <v>7.7938000000000001</v>
      </c>
      <c r="C143" s="14">
        <f>CHOOSE(CONTROL!$C$42, 7.7989, 7.7989) * CHOOSE(CONTROL!$C$21, $C$9, 100%, $E$9)</f>
        <v>7.7988999999999997</v>
      </c>
      <c r="D143" s="14">
        <f>CHOOSE(CONTROL!$C$42, 7.8819, 7.8819) * CHOOSE(CONTROL!$C$21, $C$9, 100%, $E$9)</f>
        <v>7.8818999999999999</v>
      </c>
      <c r="E143" s="14">
        <f>CHOOSE(CONTROL!$C$42, 7.916, 7.916) * CHOOSE(CONTROL!$C$21, $C$9, 100%, $E$9)</f>
        <v>7.9160000000000004</v>
      </c>
      <c r="F143" s="14">
        <f>CHOOSE(CONTROL!$C$42, 7.8214, 7.8214)*CHOOSE(CONTROL!$C$21, $C$9, 100%, $E$9)</f>
        <v>7.8213999999999997</v>
      </c>
      <c r="G143" s="14">
        <f>CHOOSE(CONTROL!$C$42, 7.8388, 7.8388)*CHOOSE(CONTROL!$C$21, $C$9, 100%, $E$9)</f>
        <v>7.8388</v>
      </c>
      <c r="H143" s="14">
        <f>CHOOSE(CONTROL!$C$42, 7.9052, 7.9052) * CHOOSE(CONTROL!$C$21, $C$9, 100%, $E$9)</f>
        <v>7.9051999999999998</v>
      </c>
      <c r="I143" s="14">
        <f>CHOOSE(CONTROL!$C$42, 7.8378, 7.8378)* CHOOSE(CONTROL!$C$21, $C$9, 100%, $E$9)</f>
        <v>7.8377999999999997</v>
      </c>
      <c r="J143" s="14">
        <f>CHOOSE(CONTROL!$C$42, 7.8144, 7.8144)* CHOOSE(CONTROL!$C$21, $C$9, 100%, $E$9)</f>
        <v>7.8144</v>
      </c>
      <c r="K143" s="52">
        <f>CHOOSE(CONTROL!$C$42, 7.8339, 7.8339) * CHOOSE(CONTROL!$C$21, $C$9, 100%, $E$9)</f>
        <v>7.8338999999999999</v>
      </c>
      <c r="L143" s="14">
        <f>CHOOSE(CONTROL!$C$42, 8.4922, 8.4922) * CHOOSE(CONTROL!$C$21, $C$9, 100%, $E$9)</f>
        <v>8.4922000000000004</v>
      </c>
      <c r="M143" s="14">
        <f>CHOOSE(CONTROL!$C$42, 7.6816, 7.6816) * CHOOSE(CONTROL!$C$21, $C$9, 100%, $E$9)</f>
        <v>7.6816000000000004</v>
      </c>
      <c r="N143" s="14">
        <f>CHOOSE(CONTROL!$C$42, 7.6986, 7.6986) * CHOOSE(CONTROL!$C$21, $C$9, 100%, $E$9)</f>
        <v>7.6985999999999999</v>
      </c>
      <c r="O143" s="14">
        <f>CHOOSE(CONTROL!$C$42, 7.7707, 7.7707) * CHOOSE(CONTROL!$C$21, $C$9, 100%, $E$9)</f>
        <v>7.7706999999999997</v>
      </c>
      <c r="P143" s="14">
        <f>CHOOSE(CONTROL!$C$42, 7.7042, 7.7042) * CHOOSE(CONTROL!$C$21, $C$9, 100%, $E$9)</f>
        <v>7.7042000000000002</v>
      </c>
      <c r="Q143" s="14">
        <f>CHOOSE(CONTROL!$C$42, 8.3654, 8.3654) * CHOOSE(CONTROL!$C$21, $C$9, 100%, $E$9)</f>
        <v>8.3653999999999993</v>
      </c>
      <c r="R143" s="14">
        <f>CHOOSE(CONTROL!$C$42, 8.9733, 8.9733) * CHOOSE(CONTROL!$C$21, $C$9, 100%, $E$9)</f>
        <v>8.9733000000000001</v>
      </c>
      <c r="S143" s="14">
        <f>CHOOSE(CONTROL!$C$42, 7.4805, 7.4805) * CHOOSE(CONTROL!$C$21, $C$9, 100%, $E$9)</f>
        <v>7.4805000000000001</v>
      </c>
      <c r="T1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43" s="56">
        <f>(1000*CHOOSE(CONTROL!$C$42, 695, 695)*CHOOSE(CONTROL!$C$42, 0.5599, 0.5599)*CHOOSE(CONTROL!$C$42, 30, 30))/1000000</f>
        <v>11.673914999999997</v>
      </c>
      <c r="V143" s="56">
        <f>(1000*CHOOSE(CONTROL!$C$42, 500, 500)*CHOOSE(CONTROL!$C$42, 0.275, 0.275)*CHOOSE(CONTROL!$C$42, 30, 30))/1000000</f>
        <v>4.125</v>
      </c>
      <c r="W143" s="56">
        <f>(1000*CHOOSE(CONTROL!$C$42, 0.1146, 0.1146)*CHOOSE(CONTROL!$C$42, 121.5, 121.5)*CHOOSE(CONTROL!$C$42, 30, 30))/1000000</f>
        <v>0.417717</v>
      </c>
      <c r="X143" s="56">
        <f>(30*0.1790888*100000/1000000)+(30*0.2374*100000/1000000)</f>
        <v>1.2494664</v>
      </c>
      <c r="Y143" s="56"/>
      <c r="Z143" s="14"/>
      <c r="AA143" s="55"/>
      <c r="AB143" s="49">
        <f>(B143*122.58+C143*297.941+D143*89.177+E143*40.302+F143*40+G143*160+H143*0+I143*100+J143*300)/(122.58+297.941+89.177+40.302+0+40+160+100+300)</f>
        <v>7.8226564323478254</v>
      </c>
      <c r="AC143" s="45">
        <f>(M143*'RAP TEMPLATE-GAS AVAILABILITY'!O142+N143*'RAP TEMPLATE-GAS AVAILABILITY'!P142+O143*'RAP TEMPLATE-GAS AVAILABILITY'!Q142+P143*'RAP TEMPLATE-GAS AVAILABILITY'!R142)/('RAP TEMPLATE-GAS AVAILABILITY'!O142+'RAP TEMPLATE-GAS AVAILABILITY'!P142+'RAP TEMPLATE-GAS AVAILABILITY'!Q142+'RAP TEMPLATE-GAS AVAILABILITY'!R142)</f>
        <v>7.7262136690647498</v>
      </c>
    </row>
    <row r="144" spans="1:29" ht="15.75" x14ac:dyDescent="0.25">
      <c r="A144" s="13">
        <v>45261</v>
      </c>
      <c r="B144" s="14">
        <f>CHOOSE(CONTROL!$C$42, 8.3416, 8.3416) * CHOOSE(CONTROL!$C$21, $C$9, 100%, $E$9)</f>
        <v>8.3415999999999997</v>
      </c>
      <c r="C144" s="14">
        <f>CHOOSE(CONTROL!$C$42, 8.3467, 8.3467) * CHOOSE(CONTROL!$C$21, $C$9, 100%, $E$9)</f>
        <v>8.3467000000000002</v>
      </c>
      <c r="D144" s="14">
        <f>CHOOSE(CONTROL!$C$42, 8.4298, 8.4298) * CHOOSE(CONTROL!$C$21, $C$9, 100%, $E$9)</f>
        <v>8.4298000000000002</v>
      </c>
      <c r="E144" s="14">
        <f>CHOOSE(CONTROL!$C$42, 8.4639, 8.4639) * CHOOSE(CONTROL!$C$21, $C$9, 100%, $E$9)</f>
        <v>8.4639000000000006</v>
      </c>
      <c r="F144" s="14">
        <f>CHOOSE(CONTROL!$C$42, 8.3717, 8.3717)*CHOOSE(CONTROL!$C$21, $C$9, 100%, $E$9)</f>
        <v>8.3717000000000006</v>
      </c>
      <c r="G144" s="14">
        <f>CHOOSE(CONTROL!$C$42, 8.3897, 8.3897)*CHOOSE(CONTROL!$C$21, $C$9, 100%, $E$9)</f>
        <v>8.3896999999999995</v>
      </c>
      <c r="H144" s="14">
        <f>CHOOSE(CONTROL!$C$42, 8.4531, 8.4531) * CHOOSE(CONTROL!$C$21, $C$9, 100%, $E$9)</f>
        <v>8.4530999999999992</v>
      </c>
      <c r="I144" s="14">
        <f>CHOOSE(CONTROL!$C$42, 8.3874, 8.3874)* CHOOSE(CONTROL!$C$21, $C$9, 100%, $E$9)</f>
        <v>8.3873999999999995</v>
      </c>
      <c r="J144" s="14">
        <f>CHOOSE(CONTROL!$C$42, 8.3647, 8.3647)* CHOOSE(CONTROL!$C$21, $C$9, 100%, $E$9)</f>
        <v>8.3646999999999991</v>
      </c>
      <c r="K144" s="52">
        <f>CHOOSE(CONTROL!$C$42, 8.3835, 8.3835) * CHOOSE(CONTROL!$C$21, $C$9, 100%, $E$9)</f>
        <v>8.3834999999999997</v>
      </c>
      <c r="L144" s="14">
        <f>CHOOSE(CONTROL!$C$42, 9.0401, 9.0401) * CHOOSE(CONTROL!$C$21, $C$9, 100%, $E$9)</f>
        <v>9.0401000000000007</v>
      </c>
      <c r="M144" s="14">
        <f>CHOOSE(CONTROL!$C$42, 8.2219, 8.2219) * CHOOSE(CONTROL!$C$21, $C$9, 100%, $E$9)</f>
        <v>8.2218999999999998</v>
      </c>
      <c r="N144" s="14">
        <f>CHOOSE(CONTROL!$C$42, 8.2396, 8.2396) * CHOOSE(CONTROL!$C$21, $C$9, 100%, $E$9)</f>
        <v>8.2395999999999994</v>
      </c>
      <c r="O144" s="14">
        <f>CHOOSE(CONTROL!$C$42, 8.3087, 8.3087) * CHOOSE(CONTROL!$C$21, $C$9, 100%, $E$9)</f>
        <v>8.3087</v>
      </c>
      <c r="P144" s="14">
        <f>CHOOSE(CONTROL!$C$42, 8.2438, 8.2438) * CHOOSE(CONTROL!$C$21, $C$9, 100%, $E$9)</f>
        <v>8.2438000000000002</v>
      </c>
      <c r="Q144" s="14">
        <f>CHOOSE(CONTROL!$C$42, 8.9034, 8.9034) * CHOOSE(CONTROL!$C$21, $C$9, 100%, $E$9)</f>
        <v>8.9033999999999995</v>
      </c>
      <c r="R144" s="14">
        <f>CHOOSE(CONTROL!$C$42, 9.5127, 9.5127) * CHOOSE(CONTROL!$C$21, $C$9, 100%, $E$9)</f>
        <v>9.5127000000000006</v>
      </c>
      <c r="S144" s="14">
        <f>CHOOSE(CONTROL!$C$42, 8.0069, 8.0069) * CHOOSE(CONTROL!$C$21, $C$9, 100%, $E$9)</f>
        <v>8.0068999999999999</v>
      </c>
      <c r="T1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44" s="56">
        <f>(1000*CHOOSE(CONTROL!$C$42, 695, 695)*CHOOSE(CONTROL!$C$42, 0.5599, 0.5599)*CHOOSE(CONTROL!$C$42, 31, 31))/1000000</f>
        <v>12.063045499999998</v>
      </c>
      <c r="V144" s="56">
        <f>(1000*CHOOSE(CONTROL!$C$42, 500, 500)*CHOOSE(CONTROL!$C$42, 0.275, 0.275)*CHOOSE(CONTROL!$C$42, 31, 31))/1000000</f>
        <v>4.2625000000000002</v>
      </c>
      <c r="W144" s="56">
        <f>(1000*CHOOSE(CONTROL!$C$42, 0.1146, 0.1146)*CHOOSE(CONTROL!$C$42, 121.5, 121.5)*CHOOSE(CONTROL!$C$42, 31, 31))/1000000</f>
        <v>0.43164089999999994</v>
      </c>
      <c r="X144" s="56">
        <f>(31*0.1790888*100000/1000000)+(31*0.2374*100000/1000000)</f>
        <v>1.2911152800000001</v>
      </c>
      <c r="Y144" s="56"/>
      <c r="Z144" s="14"/>
      <c r="AA144" s="55"/>
      <c r="AB144" s="49">
        <f>(B144*122.58+C144*297.941+D144*89.177+E144*40.302+F144*40+G144*160+H144*0+I144*100+J144*300)/(122.58+297.941+89.177+40.302+0+40+160+100+300)</f>
        <v>8.3717946479130436</v>
      </c>
      <c r="AC144" s="45">
        <f>(M144*'RAP TEMPLATE-GAS AVAILABILITY'!O143+N144*'RAP TEMPLATE-GAS AVAILABILITY'!P143+O144*'RAP TEMPLATE-GAS AVAILABILITY'!Q143+P144*'RAP TEMPLATE-GAS AVAILABILITY'!R143)/('RAP TEMPLATE-GAS AVAILABILITY'!O143+'RAP TEMPLATE-GAS AVAILABILITY'!P143+'RAP TEMPLATE-GAS AVAILABILITY'!Q143+'RAP TEMPLATE-GAS AVAILABILITY'!R143)</f>
        <v>8.2654107913669073</v>
      </c>
    </row>
    <row r="145" spans="1:29" ht="15.75" x14ac:dyDescent="0.25">
      <c r="A145" s="13">
        <v>45292</v>
      </c>
      <c r="B145" s="14">
        <f>CHOOSE(CONTROL!$C$42, 8.8783, 8.8783) * CHOOSE(CONTROL!$C$21, $C$9, 100%, $E$9)</f>
        <v>8.8782999999999994</v>
      </c>
      <c r="C145" s="14">
        <f>CHOOSE(CONTROL!$C$42, 8.8833, 8.8833) * CHOOSE(CONTROL!$C$21, $C$9, 100%, $E$9)</f>
        <v>8.8833000000000002</v>
      </c>
      <c r="D145" s="14">
        <f>CHOOSE(CONTROL!$C$42, 8.9768, 8.9768) * CHOOSE(CONTROL!$C$21, $C$9, 100%, $E$9)</f>
        <v>8.9768000000000008</v>
      </c>
      <c r="E145" s="14">
        <f>CHOOSE(CONTROL!$C$42, 9.0109, 9.0109) * CHOOSE(CONTROL!$C$21, $C$9, 100%, $E$9)</f>
        <v>9.0108999999999995</v>
      </c>
      <c r="F145" s="14">
        <f>CHOOSE(CONTROL!$C$42, 8.9056, 8.9056)*CHOOSE(CONTROL!$C$21, $C$9, 100%, $E$9)</f>
        <v>8.9055999999999997</v>
      </c>
      <c r="G145" s="14">
        <f>CHOOSE(CONTROL!$C$42, 8.9235, 8.9235)*CHOOSE(CONTROL!$C$21, $C$9, 100%, $E$9)</f>
        <v>8.9235000000000007</v>
      </c>
      <c r="H145" s="14">
        <f>CHOOSE(CONTROL!$C$42, 9.0001, 9.0001) * CHOOSE(CONTROL!$C$21, $C$9, 100%, $E$9)</f>
        <v>9.0000999999999998</v>
      </c>
      <c r="I145" s="14">
        <f>CHOOSE(CONTROL!$C$42, 8.932, 8.932)* CHOOSE(CONTROL!$C$21, $C$9, 100%, $E$9)</f>
        <v>8.9320000000000004</v>
      </c>
      <c r="J145" s="14">
        <f>CHOOSE(CONTROL!$C$42, 8.8986, 8.8986)* CHOOSE(CONTROL!$C$21, $C$9, 100%, $E$9)</f>
        <v>8.8986000000000001</v>
      </c>
      <c r="K145" s="52">
        <f>CHOOSE(CONTROL!$C$42, 8.9281, 8.9281) * CHOOSE(CONTROL!$C$21, $C$9, 100%, $E$9)</f>
        <v>8.9281000000000006</v>
      </c>
      <c r="L145" s="14">
        <f>CHOOSE(CONTROL!$C$42, 9.5871, 9.5871) * CHOOSE(CONTROL!$C$21, $C$9, 100%, $E$9)</f>
        <v>9.5870999999999995</v>
      </c>
      <c r="M145" s="14">
        <f>CHOOSE(CONTROL!$C$42, 8.7462, 8.7462) * CHOOSE(CONTROL!$C$21, $C$9, 100%, $E$9)</f>
        <v>8.7462</v>
      </c>
      <c r="N145" s="14">
        <f>CHOOSE(CONTROL!$C$42, 8.7639, 8.7639) * CHOOSE(CONTROL!$C$21, $C$9, 100%, $E$9)</f>
        <v>8.7638999999999996</v>
      </c>
      <c r="O145" s="14">
        <f>CHOOSE(CONTROL!$C$42, 8.8459, 8.8459) * CHOOSE(CONTROL!$C$21, $C$9, 100%, $E$9)</f>
        <v>8.8459000000000003</v>
      </c>
      <c r="P145" s="14">
        <f>CHOOSE(CONTROL!$C$42, 8.7786, 8.7786) * CHOOSE(CONTROL!$C$21, $C$9, 100%, $E$9)</f>
        <v>8.7786000000000008</v>
      </c>
      <c r="Q145" s="14">
        <f>CHOOSE(CONTROL!$C$42, 9.4406, 9.4406) * CHOOSE(CONTROL!$C$21, $C$9, 100%, $E$9)</f>
        <v>9.4405999999999999</v>
      </c>
      <c r="R145" s="14">
        <f>CHOOSE(CONTROL!$C$42, 10.0512, 10.0512) * CHOOSE(CONTROL!$C$21, $C$9, 100%, $E$9)</f>
        <v>10.0512</v>
      </c>
      <c r="S145" s="14">
        <f>CHOOSE(CONTROL!$C$42, 8.5226, 8.5226) * CHOOSE(CONTROL!$C$21, $C$9, 100%, $E$9)</f>
        <v>8.5226000000000006</v>
      </c>
      <c r="T1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45" s="56">
        <f>(1000*CHOOSE(CONTROL!$C$42, 695, 695)*CHOOSE(CONTROL!$C$42, 0.5599, 0.5599)*CHOOSE(CONTROL!$C$42, 31, 31))/1000000</f>
        <v>12.063045499999998</v>
      </c>
      <c r="V145" s="56">
        <f>(1000*CHOOSE(CONTROL!$C$42, 500, 500)*CHOOSE(CONTROL!$C$42, 0.275, 0.275)*CHOOSE(CONTROL!$C$42, 31, 31))/1000000</f>
        <v>4.2625000000000002</v>
      </c>
      <c r="W145" s="56">
        <f>(1000*CHOOSE(CONTROL!$C$42, 0.1146, 0.1146)*CHOOSE(CONTROL!$C$42, 121.5, 121.5)*CHOOSE(CONTROL!$C$42, 31, 31))/1000000</f>
        <v>0.43164089999999994</v>
      </c>
      <c r="X145" s="56">
        <f>(31*0.1790888*100000/1000000)+(31*0.2374*100000/1000000)</f>
        <v>1.2911152800000001</v>
      </c>
      <c r="Y145" s="56"/>
      <c r="Z145" s="14"/>
      <c r="AA145" s="55"/>
      <c r="AB145" s="49">
        <f>(B145*122.58+C145*297.941+D145*89.177+E145*40.302+F145*40+G145*160+H145*0+I145*100+J145*300)/(122.58+297.941+89.177+40.302+0+40+160+100+300)</f>
        <v>8.9090840736521741</v>
      </c>
      <c r="AC145" s="45">
        <f>(M145*'RAP TEMPLATE-GAS AVAILABILITY'!O144+N145*'RAP TEMPLATE-GAS AVAILABILITY'!P144+O145*'RAP TEMPLATE-GAS AVAILABILITY'!Q144+P145*'RAP TEMPLATE-GAS AVAILABILITY'!R144)/('RAP TEMPLATE-GAS AVAILABILITY'!O144+'RAP TEMPLATE-GAS AVAILABILITY'!P144+'RAP TEMPLATE-GAS AVAILABILITY'!Q144+'RAP TEMPLATE-GAS AVAILABILITY'!R144)</f>
        <v>8.7970683453237424</v>
      </c>
    </row>
    <row r="146" spans="1:29" ht="15.75" x14ac:dyDescent="0.25">
      <c r="A146" s="13">
        <v>45323</v>
      </c>
      <c r="B146" s="14">
        <f>CHOOSE(CONTROL!$C$42, 9.0547, 9.0547) * CHOOSE(CONTROL!$C$21, $C$9, 100%, $E$9)</f>
        <v>9.0547000000000004</v>
      </c>
      <c r="C146" s="14">
        <f>CHOOSE(CONTROL!$C$42, 9.0598, 9.0598) * CHOOSE(CONTROL!$C$21, $C$9, 100%, $E$9)</f>
        <v>9.0597999999999992</v>
      </c>
      <c r="D146" s="14">
        <f>CHOOSE(CONTROL!$C$42, 9.1533, 9.1533) * CHOOSE(CONTROL!$C$21, $C$9, 100%, $E$9)</f>
        <v>9.1532999999999998</v>
      </c>
      <c r="E146" s="14">
        <f>CHOOSE(CONTROL!$C$42, 9.1874, 9.1874) * CHOOSE(CONTROL!$C$21, $C$9, 100%, $E$9)</f>
        <v>9.1874000000000002</v>
      </c>
      <c r="F146" s="14">
        <f>CHOOSE(CONTROL!$C$42, 9.0817, 9.0817)*CHOOSE(CONTROL!$C$21, $C$9, 100%, $E$9)</f>
        <v>9.0816999999999997</v>
      </c>
      <c r="G146" s="14">
        <f>CHOOSE(CONTROL!$C$42, 9.0996, 9.0996)*CHOOSE(CONTROL!$C$21, $C$9, 100%, $E$9)</f>
        <v>9.0996000000000006</v>
      </c>
      <c r="H146" s="14">
        <f>CHOOSE(CONTROL!$C$42, 9.1766, 9.1766) * CHOOSE(CONTROL!$C$21, $C$9, 100%, $E$9)</f>
        <v>9.1766000000000005</v>
      </c>
      <c r="I146" s="14">
        <f>CHOOSE(CONTROL!$C$42, 9.109, 9.109)* CHOOSE(CONTROL!$C$21, $C$9, 100%, $E$9)</f>
        <v>9.109</v>
      </c>
      <c r="J146" s="14">
        <f>CHOOSE(CONTROL!$C$42, 9.0747, 9.0747)* CHOOSE(CONTROL!$C$21, $C$9, 100%, $E$9)</f>
        <v>9.0747</v>
      </c>
      <c r="K146" s="52">
        <f>CHOOSE(CONTROL!$C$42, 9.1051, 9.1051) * CHOOSE(CONTROL!$C$21, $C$9, 100%, $E$9)</f>
        <v>9.1051000000000002</v>
      </c>
      <c r="L146" s="14">
        <f>CHOOSE(CONTROL!$C$42, 9.7636, 9.7636) * CHOOSE(CONTROL!$C$21, $C$9, 100%, $E$9)</f>
        <v>9.7636000000000003</v>
      </c>
      <c r="M146" s="14">
        <f>CHOOSE(CONTROL!$C$42, 8.9191, 8.9191) * CHOOSE(CONTROL!$C$21, $C$9, 100%, $E$9)</f>
        <v>8.9191000000000003</v>
      </c>
      <c r="N146" s="14">
        <f>CHOOSE(CONTROL!$C$42, 8.9367, 8.9367) * CHOOSE(CONTROL!$C$21, $C$9, 100%, $E$9)</f>
        <v>8.9367000000000001</v>
      </c>
      <c r="O146" s="14">
        <f>CHOOSE(CONTROL!$C$42, 9.0192, 9.0192) * CHOOSE(CONTROL!$C$21, $C$9, 100%, $E$9)</f>
        <v>9.0191999999999997</v>
      </c>
      <c r="P146" s="14">
        <f>CHOOSE(CONTROL!$C$42, 8.9524, 8.9524) * CHOOSE(CONTROL!$C$21, $C$9, 100%, $E$9)</f>
        <v>8.9524000000000008</v>
      </c>
      <c r="Q146" s="14">
        <f>CHOOSE(CONTROL!$C$42, 9.6139, 9.6139) * CHOOSE(CONTROL!$C$21, $C$9, 100%, $E$9)</f>
        <v>9.6138999999999992</v>
      </c>
      <c r="R146" s="14">
        <f>CHOOSE(CONTROL!$C$42, 10.2249, 10.2249) * CHOOSE(CONTROL!$C$21, $C$9, 100%, $E$9)</f>
        <v>10.2249</v>
      </c>
      <c r="S146" s="14">
        <f>CHOOSE(CONTROL!$C$42, 8.6922, 8.6922) * CHOOSE(CONTROL!$C$21, $C$9, 100%, $E$9)</f>
        <v>8.6921999999999997</v>
      </c>
      <c r="T14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46" s="56">
        <f>(1000*CHOOSE(CONTROL!$C$42, 695, 695)*CHOOSE(CONTROL!$C$42, 0.5599, 0.5599)*CHOOSE(CONTROL!$C$42, 29, 29))/1000000</f>
        <v>11.284784499999999</v>
      </c>
      <c r="V146" s="56">
        <f>(1000*CHOOSE(CONTROL!$C$42, 500, 500)*CHOOSE(CONTROL!$C$42, 0.275, 0.275)*CHOOSE(CONTROL!$C$42, 29, 29))/1000000</f>
        <v>3.9874999999999998</v>
      </c>
      <c r="W146" s="56">
        <f>(1000*CHOOSE(CONTROL!$C$42, 0.1146, 0.1146)*CHOOSE(CONTROL!$C$42, 121.5, 121.5)*CHOOSE(CONTROL!$C$42, 29, 29))/1000000</f>
        <v>0.40379309999999996</v>
      </c>
      <c r="X146" s="56">
        <f>(29*0.1790888*100000/1000000)+(29*0.2374*100000/1000000)</f>
        <v>1.2078175199999999</v>
      </c>
      <c r="Y146" s="56"/>
      <c r="Z146" s="14"/>
      <c r="AA146" s="55"/>
      <c r="AB146" s="49">
        <f>(B146*122.58+C146*297.941+D146*89.177+E146*40.302+F146*40+G146*160+H146*0+I146*100+J146*300)/(122.58+297.941+89.177+40.302+0+40+160+100+300)</f>
        <v>9.0854429797391294</v>
      </c>
      <c r="AC146" s="45">
        <f>(M146*'RAP TEMPLATE-GAS AVAILABILITY'!O145+N146*'RAP TEMPLATE-GAS AVAILABILITY'!P145+O146*'RAP TEMPLATE-GAS AVAILABILITY'!Q145+P146*'RAP TEMPLATE-GAS AVAILABILITY'!R145)/('RAP TEMPLATE-GAS AVAILABILITY'!O145+'RAP TEMPLATE-GAS AVAILABILITY'!P145+'RAP TEMPLATE-GAS AVAILABILITY'!Q145+'RAP TEMPLATE-GAS AVAILABILITY'!R145)</f>
        <v>8.9702733812949624</v>
      </c>
    </row>
    <row r="147" spans="1:29" ht="15.75" x14ac:dyDescent="0.25">
      <c r="A147" s="13">
        <v>45352</v>
      </c>
      <c r="B147" s="14">
        <f>CHOOSE(CONTROL!$C$42, 8.816, 8.816) * CHOOSE(CONTROL!$C$21, $C$9, 100%, $E$9)</f>
        <v>8.8160000000000007</v>
      </c>
      <c r="C147" s="14">
        <f>CHOOSE(CONTROL!$C$42, 8.8211, 8.8211) * CHOOSE(CONTROL!$C$21, $C$9, 100%, $E$9)</f>
        <v>8.8210999999999995</v>
      </c>
      <c r="D147" s="14">
        <f>CHOOSE(CONTROL!$C$42, 8.9146, 8.9146) * CHOOSE(CONTROL!$C$21, $C$9, 100%, $E$9)</f>
        <v>8.9146000000000001</v>
      </c>
      <c r="E147" s="14">
        <f>CHOOSE(CONTROL!$C$42, 8.9487, 8.9487) * CHOOSE(CONTROL!$C$21, $C$9, 100%, $E$9)</f>
        <v>8.9487000000000005</v>
      </c>
      <c r="F147" s="14">
        <f>CHOOSE(CONTROL!$C$42, 8.8421, 8.8421)*CHOOSE(CONTROL!$C$21, $C$9, 100%, $E$9)</f>
        <v>8.8421000000000003</v>
      </c>
      <c r="G147" s="14">
        <f>CHOOSE(CONTROL!$C$42, 8.8598, 8.8598)*CHOOSE(CONTROL!$C$21, $C$9, 100%, $E$9)</f>
        <v>8.8597999999999999</v>
      </c>
      <c r="H147" s="14">
        <f>CHOOSE(CONTROL!$C$42, 8.9379, 8.9379) * CHOOSE(CONTROL!$C$21, $C$9, 100%, $E$9)</f>
        <v>8.9379000000000008</v>
      </c>
      <c r="I147" s="14">
        <f>CHOOSE(CONTROL!$C$42, 8.8695, 8.8695)* CHOOSE(CONTROL!$C$21, $C$9, 100%, $E$9)</f>
        <v>8.8695000000000004</v>
      </c>
      <c r="J147" s="14">
        <f>CHOOSE(CONTROL!$C$42, 8.8351, 8.8351)* CHOOSE(CONTROL!$C$21, $C$9, 100%, $E$9)</f>
        <v>8.8351000000000006</v>
      </c>
      <c r="K147" s="52">
        <f>CHOOSE(CONTROL!$C$42, 8.8657, 8.8657) * CHOOSE(CONTROL!$C$21, $C$9, 100%, $E$9)</f>
        <v>8.8657000000000004</v>
      </c>
      <c r="L147" s="14">
        <f>CHOOSE(CONTROL!$C$42, 9.5249, 9.5249) * CHOOSE(CONTROL!$C$21, $C$9, 100%, $E$9)</f>
        <v>9.5249000000000006</v>
      </c>
      <c r="M147" s="14">
        <f>CHOOSE(CONTROL!$C$42, 8.6839, 8.6839) * CHOOSE(CONTROL!$C$21, $C$9, 100%, $E$9)</f>
        <v>8.6838999999999995</v>
      </c>
      <c r="N147" s="14">
        <f>CHOOSE(CONTROL!$C$42, 8.7012, 8.7012) * CHOOSE(CONTROL!$C$21, $C$9, 100%, $E$9)</f>
        <v>8.7012</v>
      </c>
      <c r="O147" s="14">
        <f>CHOOSE(CONTROL!$C$42, 8.7848, 8.7848) * CHOOSE(CONTROL!$C$21, $C$9, 100%, $E$9)</f>
        <v>8.7848000000000006</v>
      </c>
      <c r="P147" s="14">
        <f>CHOOSE(CONTROL!$C$42, 8.7173, 8.7173) * CHOOSE(CONTROL!$C$21, $C$9, 100%, $E$9)</f>
        <v>8.7172999999999998</v>
      </c>
      <c r="Q147" s="14">
        <f>CHOOSE(CONTROL!$C$42, 9.3795, 9.3795) * CHOOSE(CONTROL!$C$21, $C$9, 100%, $E$9)</f>
        <v>9.3795000000000002</v>
      </c>
      <c r="R147" s="14">
        <f>CHOOSE(CONTROL!$C$42, 9.99, 9.99) * CHOOSE(CONTROL!$C$21, $C$9, 100%, $E$9)</f>
        <v>9.99</v>
      </c>
      <c r="S147" s="14">
        <f>CHOOSE(CONTROL!$C$42, 8.4628, 8.4628) * CHOOSE(CONTROL!$C$21, $C$9, 100%, $E$9)</f>
        <v>8.4627999999999997</v>
      </c>
      <c r="T1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47" s="56">
        <f>(1000*CHOOSE(CONTROL!$C$42, 695, 695)*CHOOSE(CONTROL!$C$42, 0.5599, 0.5599)*CHOOSE(CONTROL!$C$42, 31, 31))/1000000</f>
        <v>12.063045499999998</v>
      </c>
      <c r="V147" s="56">
        <f>(1000*CHOOSE(CONTROL!$C$42, 500, 500)*CHOOSE(CONTROL!$C$42, 0.275, 0.275)*CHOOSE(CONTROL!$C$42, 31, 31))/1000000</f>
        <v>4.2625000000000002</v>
      </c>
      <c r="W147" s="56">
        <f>(1000*CHOOSE(CONTROL!$C$42, 0.1146, 0.1146)*CHOOSE(CONTROL!$C$42, 121.5, 121.5)*CHOOSE(CONTROL!$C$42, 31, 31))/1000000</f>
        <v>0.43164089999999994</v>
      </c>
      <c r="X147" s="56">
        <f>(31*0.1790888*100000/1000000)+(31*0.2374*100000/1000000)</f>
        <v>1.2911152800000001</v>
      </c>
      <c r="Y147" s="56"/>
      <c r="Z147" s="14"/>
      <c r="AA147" s="55"/>
      <c r="AB147" s="49">
        <f>(B147*122.58+C147*297.941+D147*89.177+E147*40.302+F147*40+G147*160+H147*0+I147*100+J147*300)/(122.58+297.941+89.177+40.302+0+40+160+100+300)</f>
        <v>8.8462542840869567</v>
      </c>
      <c r="AC147" s="45">
        <f>(M147*'RAP TEMPLATE-GAS AVAILABILITY'!O146+N147*'RAP TEMPLATE-GAS AVAILABILITY'!P146+O147*'RAP TEMPLATE-GAS AVAILABILITY'!Q146+P147*'RAP TEMPLATE-GAS AVAILABILITY'!R146)/('RAP TEMPLATE-GAS AVAILABILITY'!O146+'RAP TEMPLATE-GAS AVAILABILITY'!P146+'RAP TEMPLATE-GAS AVAILABILITY'!Q146+'RAP TEMPLATE-GAS AVAILABILITY'!R146)</f>
        <v>8.7354330935251809</v>
      </c>
    </row>
    <row r="148" spans="1:29" ht="15.75" x14ac:dyDescent="0.25">
      <c r="A148" s="13">
        <v>45383</v>
      </c>
      <c r="B148" s="14">
        <f>CHOOSE(CONTROL!$C$42, 8.8088, 8.8088) * CHOOSE(CONTROL!$C$21, $C$9, 100%, $E$9)</f>
        <v>8.8087999999999997</v>
      </c>
      <c r="C148" s="14">
        <f>CHOOSE(CONTROL!$C$42, 8.8133, 8.8133) * CHOOSE(CONTROL!$C$21, $C$9, 100%, $E$9)</f>
        <v>8.8132999999999999</v>
      </c>
      <c r="D148" s="14">
        <f>CHOOSE(CONTROL!$C$42, 9.0755, 9.0755) * CHOOSE(CONTROL!$C$21, $C$9, 100%, $E$9)</f>
        <v>9.0754999999999999</v>
      </c>
      <c r="E148" s="14">
        <f>CHOOSE(CONTROL!$C$42, 9.1076, 9.1076) * CHOOSE(CONTROL!$C$21, $C$9, 100%, $E$9)</f>
        <v>9.1075999999999997</v>
      </c>
      <c r="F148" s="14">
        <f>CHOOSE(CONTROL!$C$42, 8.8316, 8.8316)*CHOOSE(CONTROL!$C$21, $C$9, 100%, $E$9)</f>
        <v>8.8315999999999999</v>
      </c>
      <c r="G148" s="14">
        <f>CHOOSE(CONTROL!$C$42, 8.8483, 8.8483)*CHOOSE(CONTROL!$C$21, $C$9, 100%, $E$9)</f>
        <v>8.8483000000000001</v>
      </c>
      <c r="H148" s="14">
        <f>CHOOSE(CONTROL!$C$42, 9.0974, 9.0974) * CHOOSE(CONTROL!$C$21, $C$9, 100%, $E$9)</f>
        <v>9.0974000000000004</v>
      </c>
      <c r="I148" s="14">
        <f>CHOOSE(CONTROL!$C$42, 8.8589, 8.8589)* CHOOSE(CONTROL!$C$21, $C$9, 100%, $E$9)</f>
        <v>8.8589000000000002</v>
      </c>
      <c r="J148" s="14">
        <f>CHOOSE(CONTROL!$C$42, 8.8246, 8.8246)* CHOOSE(CONTROL!$C$21, $C$9, 100%, $E$9)</f>
        <v>8.8246000000000002</v>
      </c>
      <c r="K148" s="52">
        <f>CHOOSE(CONTROL!$C$42, 8.855, 8.855) * CHOOSE(CONTROL!$C$21, $C$9, 100%, $E$9)</f>
        <v>8.8550000000000004</v>
      </c>
      <c r="L148" s="14">
        <f>CHOOSE(CONTROL!$C$42, 9.6844, 9.6844) * CHOOSE(CONTROL!$C$21, $C$9, 100%, $E$9)</f>
        <v>9.6844000000000001</v>
      </c>
      <c r="M148" s="14">
        <f>CHOOSE(CONTROL!$C$42, 8.6736, 8.6736) * CHOOSE(CONTROL!$C$21, $C$9, 100%, $E$9)</f>
        <v>8.6736000000000004</v>
      </c>
      <c r="N148" s="14">
        <f>CHOOSE(CONTROL!$C$42, 8.69, 8.69) * CHOOSE(CONTROL!$C$21, $C$9, 100%, $E$9)</f>
        <v>8.69</v>
      </c>
      <c r="O148" s="14">
        <f>CHOOSE(CONTROL!$C$42, 8.9414, 8.9414) * CHOOSE(CONTROL!$C$21, $C$9, 100%, $E$9)</f>
        <v>8.9413999999999998</v>
      </c>
      <c r="P148" s="14">
        <f>CHOOSE(CONTROL!$C$42, 8.7068, 8.7068) * CHOOSE(CONTROL!$C$21, $C$9, 100%, $E$9)</f>
        <v>8.7067999999999994</v>
      </c>
      <c r="Q148" s="14">
        <f>CHOOSE(CONTROL!$C$42, 9.5361, 9.5361) * CHOOSE(CONTROL!$C$21, $C$9, 100%, $E$9)</f>
        <v>9.5360999999999994</v>
      </c>
      <c r="R148" s="14">
        <f>CHOOSE(CONTROL!$C$42, 10.147, 10.147) * CHOOSE(CONTROL!$C$21, $C$9, 100%, $E$9)</f>
        <v>10.147</v>
      </c>
      <c r="S148" s="14">
        <f>CHOOSE(CONTROL!$C$42, 8.4551, 8.4551) * CHOOSE(CONTROL!$C$21, $C$9, 100%, $E$9)</f>
        <v>8.4550999999999998</v>
      </c>
      <c r="T1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48" s="56">
        <f>(1000*CHOOSE(CONTROL!$C$42, 695, 695)*CHOOSE(CONTROL!$C$42, 0.5599, 0.5599)*CHOOSE(CONTROL!$C$42, 30, 30))/1000000</f>
        <v>11.673914999999997</v>
      </c>
      <c r="V148" s="56">
        <f>(1000*CHOOSE(CONTROL!$C$42, 500, 500)*CHOOSE(CONTROL!$C$42, 0.275, 0.275)*CHOOSE(CONTROL!$C$42, 30, 30))/1000000</f>
        <v>4.125</v>
      </c>
      <c r="W148" s="56">
        <f>(1000*CHOOSE(CONTROL!$C$42, 0.1146, 0.1146)*CHOOSE(CONTROL!$C$42, 121.5, 121.5)*CHOOSE(CONTROL!$C$42, 30, 30))/1000000</f>
        <v>0.417717</v>
      </c>
      <c r="X148" s="56">
        <f>(30*0.1790888*245000/1000000)+(30*0.2374*100000/1000000)</f>
        <v>2.0285026799999999</v>
      </c>
      <c r="Y148" s="56"/>
      <c r="Z148" s="14"/>
      <c r="AA148" s="55"/>
      <c r="AB148" s="49">
        <f>(B148*141.293+C148*267.993+D148*115.016+E148*89.698+F148*40+G148*185+H148*0+I148*100+J148*300)/(141.293+267.993+115.016+89.698+0+40+185+100+300)</f>
        <v>8.8706660194511695</v>
      </c>
      <c r="AC148" s="45">
        <f>(M148*'RAP TEMPLATE-GAS AVAILABILITY'!O147+N148*'RAP TEMPLATE-GAS AVAILABILITY'!P147+O148*'RAP TEMPLATE-GAS AVAILABILITY'!Q147+P148*'RAP TEMPLATE-GAS AVAILABILITY'!R147)/('RAP TEMPLATE-GAS AVAILABILITY'!O147+'RAP TEMPLATE-GAS AVAILABILITY'!P147+'RAP TEMPLATE-GAS AVAILABILITY'!Q147+'RAP TEMPLATE-GAS AVAILABILITY'!R147)</f>
        <v>8.7572906474820158</v>
      </c>
    </row>
    <row r="149" spans="1:29" ht="15.75" x14ac:dyDescent="0.25">
      <c r="A149" s="13">
        <v>45413</v>
      </c>
      <c r="B149" s="14">
        <f>CHOOSE(CONTROL!$C$42, 8.9061, 8.9061) * CHOOSE(CONTROL!$C$21, $C$9, 100%, $E$9)</f>
        <v>8.9061000000000003</v>
      </c>
      <c r="C149" s="14">
        <f>CHOOSE(CONTROL!$C$42, 8.9141, 8.9141) * CHOOSE(CONTROL!$C$21, $C$9, 100%, $E$9)</f>
        <v>8.9140999999999995</v>
      </c>
      <c r="D149" s="14">
        <f>CHOOSE(CONTROL!$C$42, 9.1732, 9.1732) * CHOOSE(CONTROL!$C$21, $C$9, 100%, $E$9)</f>
        <v>9.1731999999999996</v>
      </c>
      <c r="E149" s="14">
        <f>CHOOSE(CONTROL!$C$42, 9.2047, 9.2047) * CHOOSE(CONTROL!$C$21, $C$9, 100%, $E$9)</f>
        <v>9.2047000000000008</v>
      </c>
      <c r="F149" s="14">
        <f>CHOOSE(CONTROL!$C$42, 8.9276, 8.9276)*CHOOSE(CONTROL!$C$21, $C$9, 100%, $E$9)</f>
        <v>8.9276</v>
      </c>
      <c r="G149" s="14">
        <f>CHOOSE(CONTROL!$C$42, 8.9446, 8.9446)*CHOOSE(CONTROL!$C$21, $C$9, 100%, $E$9)</f>
        <v>8.9445999999999994</v>
      </c>
      <c r="H149" s="14">
        <f>CHOOSE(CONTROL!$C$42, 9.1933, 9.1933) * CHOOSE(CONTROL!$C$21, $C$9, 100%, $E$9)</f>
        <v>9.1933000000000007</v>
      </c>
      <c r="I149" s="14">
        <f>CHOOSE(CONTROL!$C$42, 8.9551, 8.9551)* CHOOSE(CONTROL!$C$21, $C$9, 100%, $E$9)</f>
        <v>8.9550999999999998</v>
      </c>
      <c r="J149" s="14">
        <f>CHOOSE(CONTROL!$C$42, 8.9206, 8.9206)* CHOOSE(CONTROL!$C$21, $C$9, 100%, $E$9)</f>
        <v>8.9206000000000003</v>
      </c>
      <c r="K149" s="52">
        <f>CHOOSE(CONTROL!$C$42, 8.9512, 8.9512) * CHOOSE(CONTROL!$C$21, $C$9, 100%, $E$9)</f>
        <v>8.9512</v>
      </c>
      <c r="L149" s="14">
        <f>CHOOSE(CONTROL!$C$42, 9.7803, 9.7803) * CHOOSE(CONTROL!$C$21, $C$9, 100%, $E$9)</f>
        <v>9.7803000000000004</v>
      </c>
      <c r="M149" s="14">
        <f>CHOOSE(CONTROL!$C$42, 8.7679, 8.7679) * CHOOSE(CONTROL!$C$21, $C$9, 100%, $E$9)</f>
        <v>8.7678999999999991</v>
      </c>
      <c r="N149" s="14">
        <f>CHOOSE(CONTROL!$C$42, 8.7845, 8.7845) * CHOOSE(CONTROL!$C$21, $C$9, 100%, $E$9)</f>
        <v>8.7844999999999995</v>
      </c>
      <c r="O149" s="14">
        <f>CHOOSE(CONTROL!$C$42, 9.0356, 9.0356) * CHOOSE(CONTROL!$C$21, $C$9, 100%, $E$9)</f>
        <v>9.0356000000000005</v>
      </c>
      <c r="P149" s="14">
        <f>CHOOSE(CONTROL!$C$42, 8.8013, 8.8013) * CHOOSE(CONTROL!$C$21, $C$9, 100%, $E$9)</f>
        <v>8.8012999999999995</v>
      </c>
      <c r="Q149" s="14">
        <f>CHOOSE(CONTROL!$C$42, 9.6303, 9.6303) * CHOOSE(CONTROL!$C$21, $C$9, 100%, $E$9)</f>
        <v>9.6303000000000001</v>
      </c>
      <c r="R149" s="14">
        <f>CHOOSE(CONTROL!$C$42, 10.2414, 10.2414) * CHOOSE(CONTROL!$C$21, $C$9, 100%, $E$9)</f>
        <v>10.241400000000001</v>
      </c>
      <c r="S149" s="14">
        <f>CHOOSE(CONTROL!$C$42, 8.5472, 8.5472) * CHOOSE(CONTROL!$C$21, $C$9, 100%, $E$9)</f>
        <v>8.5472000000000001</v>
      </c>
      <c r="T1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49" s="56">
        <f>(1000*CHOOSE(CONTROL!$C$42, 695, 695)*CHOOSE(CONTROL!$C$42, 0.5599, 0.5599)*CHOOSE(CONTROL!$C$42, 31, 31))/1000000</f>
        <v>12.063045499999998</v>
      </c>
      <c r="V149" s="56">
        <f>(1000*CHOOSE(CONTROL!$C$42, 500, 500)*CHOOSE(CONTROL!$C$42, 0.275, 0.275)*CHOOSE(CONTROL!$C$42, 31, 31))/1000000</f>
        <v>4.2625000000000002</v>
      </c>
      <c r="W149" s="56">
        <f>(1000*CHOOSE(CONTROL!$C$42, 0.1146, 0.1146)*CHOOSE(CONTROL!$C$42, 121.5, 121.5)*CHOOSE(CONTROL!$C$42, 31, 31))/1000000</f>
        <v>0.43164089999999994</v>
      </c>
      <c r="X149" s="56">
        <f>(31*0.1790888*245000/1000000)+(31*0.2374*100000/1000000)</f>
        <v>2.0961194359999999</v>
      </c>
      <c r="Y149" s="56"/>
      <c r="Z149" s="14"/>
      <c r="AA149" s="55"/>
      <c r="AB149" s="49">
        <f>(B149*194.205+C149*267.466+D149*133.845+E149*53.484+F149*40+G149*185+H149*0+I149*100+J149*300)/(194.205+267.466+133.845+53.484+0+40+185+100+300)</f>
        <v>8.9619026294348512</v>
      </c>
      <c r="AC149" s="45">
        <f>(M149*'RAP TEMPLATE-GAS AVAILABILITY'!O148+N149*'RAP TEMPLATE-GAS AVAILABILITY'!P148+O149*'RAP TEMPLATE-GAS AVAILABILITY'!Q148+P149*'RAP TEMPLATE-GAS AVAILABILITY'!R148)/('RAP TEMPLATE-GAS AVAILABILITY'!O148+'RAP TEMPLATE-GAS AVAILABILITY'!P148+'RAP TEMPLATE-GAS AVAILABILITY'!Q148+'RAP TEMPLATE-GAS AVAILABILITY'!R148)</f>
        <v>8.8516374100719428</v>
      </c>
    </row>
    <row r="150" spans="1:29" ht="15.75" x14ac:dyDescent="0.25">
      <c r="A150" s="13">
        <v>45444</v>
      </c>
      <c r="B150" s="14">
        <f>CHOOSE(CONTROL!$C$42, 9.1772, 9.1772) * CHOOSE(CONTROL!$C$21, $C$9, 100%, $E$9)</f>
        <v>9.1771999999999991</v>
      </c>
      <c r="C150" s="14">
        <f>CHOOSE(CONTROL!$C$42, 9.1853, 9.1853) * CHOOSE(CONTROL!$C$21, $C$9, 100%, $E$9)</f>
        <v>9.1852999999999998</v>
      </c>
      <c r="D150" s="14">
        <f>CHOOSE(CONTROL!$C$42, 9.4444, 9.4444) * CHOOSE(CONTROL!$C$21, $C$9, 100%, $E$9)</f>
        <v>9.4443999999999999</v>
      </c>
      <c r="E150" s="14">
        <f>CHOOSE(CONTROL!$C$42, 9.4758, 9.4758) * CHOOSE(CONTROL!$C$21, $C$9, 100%, $E$9)</f>
        <v>9.4757999999999996</v>
      </c>
      <c r="F150" s="14">
        <f>CHOOSE(CONTROL!$C$42, 9.199, 9.199)*CHOOSE(CONTROL!$C$21, $C$9, 100%, $E$9)</f>
        <v>9.1989999999999998</v>
      </c>
      <c r="G150" s="14">
        <f>CHOOSE(CONTROL!$C$42, 9.216, 9.216)*CHOOSE(CONTROL!$C$21, $C$9, 100%, $E$9)</f>
        <v>9.2159999999999993</v>
      </c>
      <c r="H150" s="14">
        <f>CHOOSE(CONTROL!$C$42, 9.4644, 9.4644) * CHOOSE(CONTROL!$C$21, $C$9, 100%, $E$9)</f>
        <v>9.4643999999999995</v>
      </c>
      <c r="I150" s="14">
        <f>CHOOSE(CONTROL!$C$42, 9.2271, 9.2271)* CHOOSE(CONTROL!$C$21, $C$9, 100%, $E$9)</f>
        <v>9.2271000000000001</v>
      </c>
      <c r="J150" s="14">
        <f>CHOOSE(CONTROL!$C$42, 9.192, 9.192)* CHOOSE(CONTROL!$C$21, $C$9, 100%, $E$9)</f>
        <v>9.1920000000000002</v>
      </c>
      <c r="K150" s="52">
        <f>CHOOSE(CONTROL!$C$42, 9.2232, 9.2232) * CHOOSE(CONTROL!$C$21, $C$9, 100%, $E$9)</f>
        <v>9.2232000000000003</v>
      </c>
      <c r="L150" s="14">
        <f>CHOOSE(CONTROL!$C$42, 10.0514, 10.0514) * CHOOSE(CONTROL!$C$21, $C$9, 100%, $E$9)</f>
        <v>10.051399999999999</v>
      </c>
      <c r="M150" s="14">
        <f>CHOOSE(CONTROL!$C$42, 9.0344, 9.0344) * CHOOSE(CONTROL!$C$21, $C$9, 100%, $E$9)</f>
        <v>9.0343999999999998</v>
      </c>
      <c r="N150" s="14">
        <f>CHOOSE(CONTROL!$C$42, 9.0511, 9.0511) * CHOOSE(CONTROL!$C$21, $C$9, 100%, $E$9)</f>
        <v>9.0510999999999999</v>
      </c>
      <c r="O150" s="14">
        <f>CHOOSE(CONTROL!$C$42, 9.3019, 9.3019) * CHOOSE(CONTROL!$C$21, $C$9, 100%, $E$9)</f>
        <v>9.3018999999999998</v>
      </c>
      <c r="P150" s="14">
        <f>CHOOSE(CONTROL!$C$42, 9.0684, 9.0684) * CHOOSE(CONTROL!$C$21, $C$9, 100%, $E$9)</f>
        <v>9.0684000000000005</v>
      </c>
      <c r="Q150" s="14">
        <f>CHOOSE(CONTROL!$C$42, 9.8966, 9.8966) * CHOOSE(CONTROL!$C$21, $C$9, 100%, $E$9)</f>
        <v>9.8965999999999994</v>
      </c>
      <c r="R150" s="14">
        <f>CHOOSE(CONTROL!$C$42, 10.5083, 10.5083) * CHOOSE(CONTROL!$C$21, $C$9, 100%, $E$9)</f>
        <v>10.5083</v>
      </c>
      <c r="S150" s="14">
        <f>CHOOSE(CONTROL!$C$42, 8.8078, 8.8078) * CHOOSE(CONTROL!$C$21, $C$9, 100%, $E$9)</f>
        <v>8.8078000000000003</v>
      </c>
      <c r="T1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50" s="56">
        <f>(1000*CHOOSE(CONTROL!$C$42, 695, 695)*CHOOSE(CONTROL!$C$42, 0.5599, 0.5599)*CHOOSE(CONTROL!$C$42, 30, 30))/1000000</f>
        <v>11.673914999999997</v>
      </c>
      <c r="V150" s="56">
        <f>(1000*CHOOSE(CONTROL!$C$42, 500, 500)*CHOOSE(CONTROL!$C$42, 0.275, 0.275)*CHOOSE(CONTROL!$C$42, 30, 30))/1000000</f>
        <v>4.125</v>
      </c>
      <c r="W150" s="56">
        <f>(1000*CHOOSE(CONTROL!$C$42, 0.1146, 0.1146)*CHOOSE(CONTROL!$C$42, 121.5, 121.5)*CHOOSE(CONTROL!$C$42, 30, 30))/1000000</f>
        <v>0.417717</v>
      </c>
      <c r="X150" s="56">
        <f>(30*0.1790888*245000/1000000)+(30*0.2374*100000/1000000)</f>
        <v>2.0285026799999999</v>
      </c>
      <c r="Y150" s="56"/>
      <c r="Z150" s="14"/>
      <c r="AA150" s="55"/>
      <c r="AB150" s="49">
        <f>(B150*194.205+C150*267.466+D150*133.845+E150*53.484+F150*40+G150*185+H150*0+I150*100+J150*300)/(194.205+267.466+133.845+53.484+0+40+185+100+300)</f>
        <v>9.2332283995290432</v>
      </c>
      <c r="AC150" s="45">
        <f>(M150*'RAP TEMPLATE-GAS AVAILABILITY'!O149+N150*'RAP TEMPLATE-GAS AVAILABILITY'!P149+O150*'RAP TEMPLATE-GAS AVAILABILITY'!Q149+P150*'RAP TEMPLATE-GAS AVAILABILITY'!R149)/('RAP TEMPLATE-GAS AVAILABILITY'!O149+'RAP TEMPLATE-GAS AVAILABILITY'!P149+'RAP TEMPLATE-GAS AVAILABILITY'!Q149+'RAP TEMPLATE-GAS AVAILABILITY'!R149)</f>
        <v>9.1181906474820149</v>
      </c>
    </row>
    <row r="151" spans="1:29" ht="15.75" x14ac:dyDescent="0.25">
      <c r="A151" s="13">
        <v>45474</v>
      </c>
      <c r="B151" s="14">
        <f>CHOOSE(CONTROL!$C$42, 9.0199, 9.0199) * CHOOSE(CONTROL!$C$21, $C$9, 100%, $E$9)</f>
        <v>9.0198999999999998</v>
      </c>
      <c r="C151" s="14">
        <f>CHOOSE(CONTROL!$C$42, 9.0279, 9.0279) * CHOOSE(CONTROL!$C$21, $C$9, 100%, $E$9)</f>
        <v>9.0279000000000007</v>
      </c>
      <c r="D151" s="14">
        <f>CHOOSE(CONTROL!$C$42, 9.287, 9.287) * CHOOSE(CONTROL!$C$21, $C$9, 100%, $E$9)</f>
        <v>9.2870000000000008</v>
      </c>
      <c r="E151" s="14">
        <f>CHOOSE(CONTROL!$C$42, 9.3185, 9.3185) * CHOOSE(CONTROL!$C$21, $C$9, 100%, $E$9)</f>
        <v>9.3185000000000002</v>
      </c>
      <c r="F151" s="14">
        <f>CHOOSE(CONTROL!$C$42, 9.0421, 9.0421)*CHOOSE(CONTROL!$C$21, $C$9, 100%, $E$9)</f>
        <v>9.0420999999999996</v>
      </c>
      <c r="G151" s="14">
        <f>CHOOSE(CONTROL!$C$42, 9.0593, 9.0593)*CHOOSE(CONTROL!$C$21, $C$9, 100%, $E$9)</f>
        <v>9.0593000000000004</v>
      </c>
      <c r="H151" s="14">
        <f>CHOOSE(CONTROL!$C$42, 9.3071, 9.3071) * CHOOSE(CONTROL!$C$21, $C$9, 100%, $E$9)</f>
        <v>9.3071000000000002</v>
      </c>
      <c r="I151" s="14">
        <f>CHOOSE(CONTROL!$C$42, 9.0693, 9.0693)* CHOOSE(CONTROL!$C$21, $C$9, 100%, $E$9)</f>
        <v>9.0693000000000001</v>
      </c>
      <c r="J151" s="14">
        <f>CHOOSE(CONTROL!$C$42, 9.0351, 9.0351)* CHOOSE(CONTROL!$C$21, $C$9, 100%, $E$9)</f>
        <v>9.0350999999999999</v>
      </c>
      <c r="K151" s="52">
        <f>CHOOSE(CONTROL!$C$42, 9.0654, 9.0654) * CHOOSE(CONTROL!$C$21, $C$9, 100%, $E$9)</f>
        <v>9.0654000000000003</v>
      </c>
      <c r="L151" s="14">
        <f>CHOOSE(CONTROL!$C$42, 9.8941, 9.8941) * CHOOSE(CONTROL!$C$21, $C$9, 100%, $E$9)</f>
        <v>9.8940999999999999</v>
      </c>
      <c r="M151" s="14">
        <f>CHOOSE(CONTROL!$C$42, 8.8803, 8.8803) * CHOOSE(CONTROL!$C$21, $C$9, 100%, $E$9)</f>
        <v>8.8803000000000001</v>
      </c>
      <c r="N151" s="14">
        <f>CHOOSE(CONTROL!$C$42, 8.8971, 8.8971) * CHOOSE(CONTROL!$C$21, $C$9, 100%, $E$9)</f>
        <v>8.8971</v>
      </c>
      <c r="O151" s="14">
        <f>CHOOSE(CONTROL!$C$42, 9.1474, 9.1474) * CHOOSE(CONTROL!$C$21, $C$9, 100%, $E$9)</f>
        <v>9.1473999999999993</v>
      </c>
      <c r="P151" s="14">
        <f>CHOOSE(CONTROL!$C$42, 8.9134, 8.9134) * CHOOSE(CONTROL!$C$21, $C$9, 100%, $E$9)</f>
        <v>8.9133999999999993</v>
      </c>
      <c r="Q151" s="14">
        <f>CHOOSE(CONTROL!$C$42, 9.7421, 9.7421) * CHOOSE(CONTROL!$C$21, $C$9, 100%, $E$9)</f>
        <v>9.7421000000000006</v>
      </c>
      <c r="R151" s="14">
        <f>CHOOSE(CONTROL!$C$42, 10.3535, 10.3535) * CHOOSE(CONTROL!$C$21, $C$9, 100%, $E$9)</f>
        <v>10.3535</v>
      </c>
      <c r="S151" s="14">
        <f>CHOOSE(CONTROL!$C$42, 8.6566, 8.6566) * CHOOSE(CONTROL!$C$21, $C$9, 100%, $E$9)</f>
        <v>8.6565999999999992</v>
      </c>
      <c r="T1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51" s="56">
        <f>(1000*CHOOSE(CONTROL!$C$42, 695, 695)*CHOOSE(CONTROL!$C$42, 0.5599, 0.5599)*CHOOSE(CONTROL!$C$42, 31, 31))/1000000</f>
        <v>12.063045499999998</v>
      </c>
      <c r="V151" s="56">
        <f>(1000*CHOOSE(CONTROL!$C$42, 500, 500)*CHOOSE(CONTROL!$C$42, 0.275, 0.275)*CHOOSE(CONTROL!$C$42, 31, 31))/1000000</f>
        <v>4.2625000000000002</v>
      </c>
      <c r="W151" s="56">
        <f>(1000*CHOOSE(CONTROL!$C$42, 0.1146, 0.1146)*CHOOSE(CONTROL!$C$42, 121.5, 121.5)*CHOOSE(CONTROL!$C$42, 31, 31))/1000000</f>
        <v>0.43164089999999994</v>
      </c>
      <c r="X151" s="56">
        <f>(31*0.1790888*245000/1000000)+(31*0.2374*100000/1000000)</f>
        <v>2.0961194359999999</v>
      </c>
      <c r="Y151" s="56"/>
      <c r="Z151" s="14"/>
      <c r="AA151" s="55"/>
      <c r="AB151" s="49">
        <f>(B151*194.205+C151*267.466+D151*133.845+E151*53.484+F151*40+G151*185+H151*0+I151*100+J151*300)/(194.205+267.466+133.845+53.484+0+40+185+100+300)</f>
        <v>9.0760515305337517</v>
      </c>
      <c r="AC151" s="45">
        <f>(M151*'RAP TEMPLATE-GAS AVAILABILITY'!O150+N151*'RAP TEMPLATE-GAS AVAILABILITY'!P150+O151*'RAP TEMPLATE-GAS AVAILABILITY'!Q150+P151*'RAP TEMPLATE-GAS AVAILABILITY'!R150)/('RAP TEMPLATE-GAS AVAILABILITY'!O150+'RAP TEMPLATE-GAS AVAILABILITY'!P150+'RAP TEMPLATE-GAS AVAILABILITY'!Q150+'RAP TEMPLATE-GAS AVAILABILITY'!R150)</f>
        <v>8.9638719424460422</v>
      </c>
    </row>
    <row r="152" spans="1:29" ht="15.75" x14ac:dyDescent="0.25">
      <c r="A152" s="13">
        <v>45505</v>
      </c>
      <c r="B152" s="14">
        <f>CHOOSE(CONTROL!$C$42, 8.5926, 8.5926) * CHOOSE(CONTROL!$C$21, $C$9, 100%, $E$9)</f>
        <v>8.5925999999999991</v>
      </c>
      <c r="C152" s="14">
        <f>CHOOSE(CONTROL!$C$42, 8.6006, 8.6006) * CHOOSE(CONTROL!$C$21, $C$9, 100%, $E$9)</f>
        <v>8.6006</v>
      </c>
      <c r="D152" s="14">
        <f>CHOOSE(CONTROL!$C$42, 8.8597, 8.8597) * CHOOSE(CONTROL!$C$21, $C$9, 100%, $E$9)</f>
        <v>8.8597000000000001</v>
      </c>
      <c r="E152" s="14">
        <f>CHOOSE(CONTROL!$C$42, 8.8912, 8.8912) * CHOOSE(CONTROL!$C$21, $C$9, 100%, $E$9)</f>
        <v>8.8911999999999995</v>
      </c>
      <c r="F152" s="14">
        <f>CHOOSE(CONTROL!$C$42, 8.615, 8.615)*CHOOSE(CONTROL!$C$21, $C$9, 100%, $E$9)</f>
        <v>8.6150000000000002</v>
      </c>
      <c r="G152" s="14">
        <f>CHOOSE(CONTROL!$C$42, 8.6322, 8.6322)*CHOOSE(CONTROL!$C$21, $C$9, 100%, $E$9)</f>
        <v>8.6321999999999992</v>
      </c>
      <c r="H152" s="14">
        <f>CHOOSE(CONTROL!$C$42, 8.8798, 8.8798) * CHOOSE(CONTROL!$C$21, $C$9, 100%, $E$9)</f>
        <v>8.8797999999999995</v>
      </c>
      <c r="I152" s="14">
        <f>CHOOSE(CONTROL!$C$42, 8.6406, 8.6406)* CHOOSE(CONTROL!$C$21, $C$9, 100%, $E$9)</f>
        <v>8.6405999999999992</v>
      </c>
      <c r="J152" s="14">
        <f>CHOOSE(CONTROL!$C$42, 8.608, 8.608)* CHOOSE(CONTROL!$C$21, $C$9, 100%, $E$9)</f>
        <v>8.6080000000000005</v>
      </c>
      <c r="K152" s="52">
        <f>CHOOSE(CONTROL!$C$42, 8.6367, 8.6367) * CHOOSE(CONTROL!$C$21, $C$9, 100%, $E$9)</f>
        <v>8.6366999999999994</v>
      </c>
      <c r="L152" s="14">
        <f>CHOOSE(CONTROL!$C$42, 9.4668, 9.4668) * CHOOSE(CONTROL!$C$21, $C$9, 100%, $E$9)</f>
        <v>9.4667999999999992</v>
      </c>
      <c r="M152" s="14">
        <f>CHOOSE(CONTROL!$C$42, 8.4609, 8.4609) * CHOOSE(CONTROL!$C$21, $C$9, 100%, $E$9)</f>
        <v>8.4609000000000005</v>
      </c>
      <c r="N152" s="14">
        <f>CHOOSE(CONTROL!$C$42, 8.4778, 8.4778) * CHOOSE(CONTROL!$C$21, $C$9, 100%, $E$9)</f>
        <v>8.4778000000000002</v>
      </c>
      <c r="O152" s="14">
        <f>CHOOSE(CONTROL!$C$42, 8.7278, 8.7278) * CHOOSE(CONTROL!$C$21, $C$9, 100%, $E$9)</f>
        <v>8.7278000000000002</v>
      </c>
      <c r="P152" s="14">
        <f>CHOOSE(CONTROL!$C$42, 8.4925, 8.4925) * CHOOSE(CONTROL!$C$21, $C$9, 100%, $E$9)</f>
        <v>8.4924999999999997</v>
      </c>
      <c r="Q152" s="14">
        <f>CHOOSE(CONTROL!$C$42, 9.3225, 9.3225) * CHOOSE(CONTROL!$C$21, $C$9, 100%, $E$9)</f>
        <v>9.3224999999999998</v>
      </c>
      <c r="R152" s="14">
        <f>CHOOSE(CONTROL!$C$42, 9.9328, 9.9328) * CHOOSE(CONTROL!$C$21, $C$9, 100%, $E$9)</f>
        <v>9.9328000000000003</v>
      </c>
      <c r="S152" s="14">
        <f>CHOOSE(CONTROL!$C$42, 8.246, 8.246) * CHOOSE(CONTROL!$C$21, $C$9, 100%, $E$9)</f>
        <v>8.2460000000000004</v>
      </c>
      <c r="T1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52" s="56">
        <f>(1000*CHOOSE(CONTROL!$C$42, 695, 695)*CHOOSE(CONTROL!$C$42, 0.5599, 0.5599)*CHOOSE(CONTROL!$C$42, 31, 31))/1000000</f>
        <v>12.063045499999998</v>
      </c>
      <c r="V152" s="56">
        <f>(1000*CHOOSE(CONTROL!$C$42, 500, 500)*CHOOSE(CONTROL!$C$42, 0.275, 0.275)*CHOOSE(CONTROL!$C$42, 31, 31))/1000000</f>
        <v>4.2625000000000002</v>
      </c>
      <c r="W152" s="56">
        <f>(1000*CHOOSE(CONTROL!$C$42, 0.1146, 0.1146)*CHOOSE(CONTROL!$C$42, 121.5, 121.5)*CHOOSE(CONTROL!$C$42, 31, 31))/1000000</f>
        <v>0.43164089999999994</v>
      </c>
      <c r="X152" s="56">
        <f>(31*0.1790888*245000/1000000)+(31*0.2374*100000/1000000)</f>
        <v>2.0961194359999999</v>
      </c>
      <c r="Y152" s="56"/>
      <c r="Z152" s="14"/>
      <c r="AA152" s="55"/>
      <c r="AB152" s="49">
        <f>(B152*194.205+C152*267.466+D152*133.845+E152*53.484+F152*40+G152*185+H152*0+I152*100+J152*300)/(194.205+267.466+133.845+53.484+0+40+185+100+300)</f>
        <v>8.6487240580062785</v>
      </c>
      <c r="AC152" s="45">
        <f>(M152*'RAP TEMPLATE-GAS AVAILABILITY'!O151+N152*'RAP TEMPLATE-GAS AVAILABILITY'!P151+O152*'RAP TEMPLATE-GAS AVAILABILITY'!Q151+P152*'RAP TEMPLATE-GAS AVAILABILITY'!R151)/('RAP TEMPLATE-GAS AVAILABILITY'!O151+'RAP TEMPLATE-GAS AVAILABILITY'!P151+'RAP TEMPLATE-GAS AVAILABILITY'!Q151+'RAP TEMPLATE-GAS AVAILABILITY'!R151)</f>
        <v>8.5442230215827344</v>
      </c>
    </row>
    <row r="153" spans="1:29" ht="15.75" x14ac:dyDescent="0.25">
      <c r="A153" s="13">
        <v>45536</v>
      </c>
      <c r="B153" s="14">
        <f>CHOOSE(CONTROL!$C$42, 8.0642, 8.0642) * CHOOSE(CONTROL!$C$21, $C$9, 100%, $E$9)</f>
        <v>8.0641999999999996</v>
      </c>
      <c r="C153" s="14">
        <f>CHOOSE(CONTROL!$C$42, 8.0722, 8.0722) * CHOOSE(CONTROL!$C$21, $C$9, 100%, $E$9)</f>
        <v>8.0722000000000005</v>
      </c>
      <c r="D153" s="14">
        <f>CHOOSE(CONTROL!$C$42, 8.3313, 8.3313) * CHOOSE(CONTROL!$C$21, $C$9, 100%, $E$9)</f>
        <v>8.3313000000000006</v>
      </c>
      <c r="E153" s="14">
        <f>CHOOSE(CONTROL!$C$42, 8.3627, 8.3627) * CHOOSE(CONTROL!$C$21, $C$9, 100%, $E$9)</f>
        <v>8.3627000000000002</v>
      </c>
      <c r="F153" s="14">
        <f>CHOOSE(CONTROL!$C$42, 8.0866, 8.0866)*CHOOSE(CONTROL!$C$21, $C$9, 100%, $E$9)</f>
        <v>8.0866000000000007</v>
      </c>
      <c r="G153" s="14">
        <f>CHOOSE(CONTROL!$C$42, 8.1039, 8.1039)*CHOOSE(CONTROL!$C$21, $C$9, 100%, $E$9)</f>
        <v>8.1038999999999994</v>
      </c>
      <c r="H153" s="14">
        <f>CHOOSE(CONTROL!$C$42, 8.3514, 8.3514) * CHOOSE(CONTROL!$C$21, $C$9, 100%, $E$9)</f>
        <v>8.3513999999999999</v>
      </c>
      <c r="I153" s="14">
        <f>CHOOSE(CONTROL!$C$42, 8.1105, 8.1105)* CHOOSE(CONTROL!$C$21, $C$9, 100%, $E$9)</f>
        <v>8.1105</v>
      </c>
      <c r="J153" s="14">
        <f>CHOOSE(CONTROL!$C$42, 8.0796, 8.0796)* CHOOSE(CONTROL!$C$21, $C$9, 100%, $E$9)</f>
        <v>8.0795999999999992</v>
      </c>
      <c r="K153" s="52">
        <f>CHOOSE(CONTROL!$C$42, 8.1066, 8.1066) * CHOOSE(CONTROL!$C$21, $C$9, 100%, $E$9)</f>
        <v>8.1066000000000003</v>
      </c>
      <c r="L153" s="14">
        <f>CHOOSE(CONTROL!$C$42, 8.9384, 8.9384) * CHOOSE(CONTROL!$C$21, $C$9, 100%, $E$9)</f>
        <v>8.9383999999999997</v>
      </c>
      <c r="M153" s="14">
        <f>CHOOSE(CONTROL!$C$42, 7.942, 7.942) * CHOOSE(CONTROL!$C$21, $C$9, 100%, $E$9)</f>
        <v>7.9420000000000002</v>
      </c>
      <c r="N153" s="14">
        <f>CHOOSE(CONTROL!$C$42, 7.9589, 7.9589) * CHOOSE(CONTROL!$C$21, $C$9, 100%, $E$9)</f>
        <v>7.9588999999999999</v>
      </c>
      <c r="O153" s="14">
        <f>CHOOSE(CONTROL!$C$42, 8.2089, 8.2089) * CHOOSE(CONTROL!$C$21, $C$9, 100%, $E$9)</f>
        <v>8.2088999999999999</v>
      </c>
      <c r="P153" s="14">
        <f>CHOOSE(CONTROL!$C$42, 7.972, 7.972) * CHOOSE(CONTROL!$C$21, $C$9, 100%, $E$9)</f>
        <v>7.9720000000000004</v>
      </c>
      <c r="Q153" s="14">
        <f>CHOOSE(CONTROL!$C$42, 8.8036, 8.8036) * CHOOSE(CONTROL!$C$21, $C$9, 100%, $E$9)</f>
        <v>8.8035999999999994</v>
      </c>
      <c r="R153" s="14">
        <f>CHOOSE(CONTROL!$C$42, 9.4126, 9.4126) * CHOOSE(CONTROL!$C$21, $C$9, 100%, $E$9)</f>
        <v>9.4125999999999994</v>
      </c>
      <c r="S153" s="14">
        <f>CHOOSE(CONTROL!$C$42, 7.7382, 7.7382) * CHOOSE(CONTROL!$C$21, $C$9, 100%, $E$9)</f>
        <v>7.7382</v>
      </c>
      <c r="T1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53" s="56">
        <f>(1000*CHOOSE(CONTROL!$C$42, 695, 695)*CHOOSE(CONTROL!$C$42, 0.5599, 0.5599)*CHOOSE(CONTROL!$C$42, 30, 30))/1000000</f>
        <v>11.673914999999997</v>
      </c>
      <c r="V153" s="56">
        <f>(1000*CHOOSE(CONTROL!$C$42, 500, 500)*CHOOSE(CONTROL!$C$42, 0.275, 0.275)*CHOOSE(CONTROL!$C$42, 30, 30))/1000000</f>
        <v>4.125</v>
      </c>
      <c r="W153" s="56">
        <f>(1000*CHOOSE(CONTROL!$C$42, 0.1146, 0.1146)*CHOOSE(CONTROL!$C$42, 121.5, 121.5)*CHOOSE(CONTROL!$C$42, 30, 30))/1000000</f>
        <v>0.417717</v>
      </c>
      <c r="X153" s="56">
        <f>(30*0.1790888*245000/1000000)+(30*0.2374*100000/1000000)</f>
        <v>2.0285026799999999</v>
      </c>
      <c r="Y153" s="56"/>
      <c r="Z153" s="14"/>
      <c r="AA153" s="55"/>
      <c r="AB153" s="49">
        <f>(B153*194.205+C153*267.466+D153*133.845+E153*53.484+F153*40+G153*185+H153*0+I153*100+J153*300)/(194.205+267.466+133.845+53.484+0+40+185+100+300)</f>
        <v>8.1202009430926214</v>
      </c>
      <c r="AC153" s="45">
        <f>(M153*'RAP TEMPLATE-GAS AVAILABILITY'!O152+N153*'RAP TEMPLATE-GAS AVAILABILITY'!P152+O153*'RAP TEMPLATE-GAS AVAILABILITY'!Q152+P153*'RAP TEMPLATE-GAS AVAILABILITY'!R152)/('RAP TEMPLATE-GAS AVAILABILITY'!O152+'RAP TEMPLATE-GAS AVAILABILITY'!P152+'RAP TEMPLATE-GAS AVAILABILITY'!Q152+'RAP TEMPLATE-GAS AVAILABILITY'!R152)</f>
        <v>8.0250928057553956</v>
      </c>
    </row>
    <row r="154" spans="1:29" ht="15.75" x14ac:dyDescent="0.25">
      <c r="A154" s="13">
        <v>45566</v>
      </c>
      <c r="B154" s="14">
        <f>CHOOSE(CONTROL!$C$42, 7.9152, 7.9152) * CHOOSE(CONTROL!$C$21, $C$9, 100%, $E$9)</f>
        <v>7.9151999999999996</v>
      </c>
      <c r="C154" s="14">
        <f>CHOOSE(CONTROL!$C$42, 7.9205, 7.9205) * CHOOSE(CONTROL!$C$21, $C$9, 100%, $E$9)</f>
        <v>7.9204999999999997</v>
      </c>
      <c r="D154" s="14">
        <f>CHOOSE(CONTROL!$C$42, 8.1845, 8.1845) * CHOOSE(CONTROL!$C$21, $C$9, 100%, $E$9)</f>
        <v>8.1844999999999999</v>
      </c>
      <c r="E154" s="14">
        <f>CHOOSE(CONTROL!$C$42, 8.2137, 8.2137) * CHOOSE(CONTROL!$C$21, $C$9, 100%, $E$9)</f>
        <v>8.2136999999999993</v>
      </c>
      <c r="F154" s="14">
        <f>CHOOSE(CONTROL!$C$42, 7.9398, 7.9398)*CHOOSE(CONTROL!$C$21, $C$9, 100%, $E$9)</f>
        <v>7.9398</v>
      </c>
      <c r="G154" s="14">
        <f>CHOOSE(CONTROL!$C$42, 7.9569, 7.9569)*CHOOSE(CONTROL!$C$21, $C$9, 100%, $E$9)</f>
        <v>7.9569000000000001</v>
      </c>
      <c r="H154" s="14">
        <f>CHOOSE(CONTROL!$C$42, 8.2041, 8.2041) * CHOOSE(CONTROL!$C$21, $C$9, 100%, $E$9)</f>
        <v>8.2041000000000004</v>
      </c>
      <c r="I154" s="14">
        <f>CHOOSE(CONTROL!$C$42, 7.9628, 7.9628)* CHOOSE(CONTROL!$C$21, $C$9, 100%, $E$9)</f>
        <v>7.9627999999999997</v>
      </c>
      <c r="J154" s="14">
        <f>CHOOSE(CONTROL!$C$42, 7.9328, 7.9328)* CHOOSE(CONTROL!$C$21, $C$9, 100%, $E$9)</f>
        <v>7.9328000000000003</v>
      </c>
      <c r="K154" s="52">
        <f>CHOOSE(CONTROL!$C$42, 7.9589, 7.9589) * CHOOSE(CONTROL!$C$21, $C$9, 100%, $E$9)</f>
        <v>7.9588999999999999</v>
      </c>
      <c r="L154" s="14">
        <f>CHOOSE(CONTROL!$C$42, 8.7911, 8.7911) * CHOOSE(CONTROL!$C$21, $C$9, 100%, $E$9)</f>
        <v>8.7911000000000001</v>
      </c>
      <c r="M154" s="14">
        <f>CHOOSE(CONTROL!$C$42, 7.7978, 7.7978) * CHOOSE(CONTROL!$C$21, $C$9, 100%, $E$9)</f>
        <v>7.7977999999999996</v>
      </c>
      <c r="N154" s="14">
        <f>CHOOSE(CONTROL!$C$42, 7.8146, 7.8146) * CHOOSE(CONTROL!$C$21, $C$9, 100%, $E$9)</f>
        <v>7.8146000000000004</v>
      </c>
      <c r="O154" s="14">
        <f>CHOOSE(CONTROL!$C$42, 8.0643, 8.0643) * CHOOSE(CONTROL!$C$21, $C$9, 100%, $E$9)</f>
        <v>8.0642999999999994</v>
      </c>
      <c r="P154" s="14">
        <f>CHOOSE(CONTROL!$C$42, 7.8269, 7.8269) * CHOOSE(CONTROL!$C$21, $C$9, 100%, $E$9)</f>
        <v>7.8269000000000002</v>
      </c>
      <c r="Q154" s="14">
        <f>CHOOSE(CONTROL!$C$42, 8.659, 8.659) * CHOOSE(CONTROL!$C$21, $C$9, 100%, $E$9)</f>
        <v>8.6590000000000007</v>
      </c>
      <c r="R154" s="14">
        <f>CHOOSE(CONTROL!$C$42, 9.2676, 9.2676) * CHOOSE(CONTROL!$C$21, $C$9, 100%, $E$9)</f>
        <v>9.2675999999999998</v>
      </c>
      <c r="S154" s="14">
        <f>CHOOSE(CONTROL!$C$42, 7.5967, 7.5967) * CHOOSE(CONTROL!$C$21, $C$9, 100%, $E$9)</f>
        <v>7.5967000000000002</v>
      </c>
      <c r="T1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54" s="56">
        <f>(1000*CHOOSE(CONTROL!$C$42, 695, 695)*CHOOSE(CONTROL!$C$42, 0.5599, 0.5599)*CHOOSE(CONTROL!$C$42, 31, 31))/1000000</f>
        <v>12.063045499999998</v>
      </c>
      <c r="V154" s="56">
        <f>(1000*CHOOSE(CONTROL!$C$42, 500, 500)*CHOOSE(CONTROL!$C$42, 0.275, 0.275)*CHOOSE(CONTROL!$C$42, 31, 31))/1000000</f>
        <v>4.2625000000000002</v>
      </c>
      <c r="W154" s="56">
        <f>(1000*CHOOSE(CONTROL!$C$42, 0.1146, 0.1146)*CHOOSE(CONTROL!$C$42, 121.5, 121.5)*CHOOSE(CONTROL!$C$42, 31, 31))/1000000</f>
        <v>0.43164089999999994</v>
      </c>
      <c r="X154" s="56">
        <f>(31*0.1790888*245000/1000000)+(31*0.2374*100000/1000000)</f>
        <v>2.0961194359999999</v>
      </c>
      <c r="Y154" s="56"/>
      <c r="Z154" s="14"/>
      <c r="AA154" s="55"/>
      <c r="AB154" s="49">
        <f>(B154*131.881+C154*277.167+D154*79.08+E154*125.872+F154*40+G154*185+H154*0+I154*100+J154*300)/(131.881+277.167+79.08+125.872+0+40+185+100+300)</f>
        <v>7.9790228580306684</v>
      </c>
      <c r="AC154" s="45">
        <f>(M154*'RAP TEMPLATE-GAS AVAILABILITY'!O153+N154*'RAP TEMPLATE-GAS AVAILABILITY'!P153+O154*'RAP TEMPLATE-GAS AVAILABILITY'!Q153+P154*'RAP TEMPLATE-GAS AVAILABILITY'!R153)/('RAP TEMPLATE-GAS AVAILABILITY'!O153+'RAP TEMPLATE-GAS AVAILABILITY'!P153+'RAP TEMPLATE-GAS AVAILABILITY'!Q153+'RAP TEMPLATE-GAS AVAILABILITY'!R153)</f>
        <v>7.8806280575539569</v>
      </c>
    </row>
    <row r="155" spans="1:29" ht="15.75" x14ac:dyDescent="0.25">
      <c r="A155" s="13">
        <v>45597</v>
      </c>
      <c r="B155" s="14">
        <f>CHOOSE(CONTROL!$C$42, 8.1397, 8.1397) * CHOOSE(CONTROL!$C$21, $C$9, 100%, $E$9)</f>
        <v>8.1396999999999995</v>
      </c>
      <c r="C155" s="14">
        <f>CHOOSE(CONTROL!$C$42, 8.1448, 8.1448) * CHOOSE(CONTROL!$C$21, $C$9, 100%, $E$9)</f>
        <v>8.1448</v>
      </c>
      <c r="D155" s="14">
        <f>CHOOSE(CONTROL!$C$42, 8.2278, 8.2278) * CHOOSE(CONTROL!$C$21, $C$9, 100%, $E$9)</f>
        <v>8.2278000000000002</v>
      </c>
      <c r="E155" s="14">
        <f>CHOOSE(CONTROL!$C$42, 8.262, 8.262) * CHOOSE(CONTROL!$C$21, $C$9, 100%, $E$9)</f>
        <v>8.2620000000000005</v>
      </c>
      <c r="F155" s="14">
        <f>CHOOSE(CONTROL!$C$42, 8.1673, 8.1673)*CHOOSE(CONTROL!$C$21, $C$9, 100%, $E$9)</f>
        <v>8.1672999999999991</v>
      </c>
      <c r="G155" s="14">
        <f>CHOOSE(CONTROL!$C$42, 8.1847, 8.1847)*CHOOSE(CONTROL!$C$21, $C$9, 100%, $E$9)</f>
        <v>8.1846999999999994</v>
      </c>
      <c r="H155" s="14">
        <f>CHOOSE(CONTROL!$C$42, 8.2511, 8.2511) * CHOOSE(CONTROL!$C$21, $C$9, 100%, $E$9)</f>
        <v>8.2510999999999992</v>
      </c>
      <c r="I155" s="14">
        <f>CHOOSE(CONTROL!$C$42, 8.1848, 8.1848)* CHOOSE(CONTROL!$C$21, $C$9, 100%, $E$9)</f>
        <v>8.1847999999999992</v>
      </c>
      <c r="J155" s="14">
        <f>CHOOSE(CONTROL!$C$42, 8.1603, 8.1603)* CHOOSE(CONTROL!$C$21, $C$9, 100%, $E$9)</f>
        <v>8.1602999999999994</v>
      </c>
      <c r="K155" s="52">
        <f>CHOOSE(CONTROL!$C$42, 8.1809, 8.1809) * CHOOSE(CONTROL!$C$21, $C$9, 100%, $E$9)</f>
        <v>8.1808999999999994</v>
      </c>
      <c r="L155" s="14">
        <f>CHOOSE(CONTROL!$C$42, 8.8381, 8.8381) * CHOOSE(CONTROL!$C$21, $C$9, 100%, $E$9)</f>
        <v>8.8381000000000007</v>
      </c>
      <c r="M155" s="14">
        <f>CHOOSE(CONTROL!$C$42, 8.0213, 8.0213) * CHOOSE(CONTROL!$C$21, $C$9, 100%, $E$9)</f>
        <v>8.0213000000000001</v>
      </c>
      <c r="N155" s="14">
        <f>CHOOSE(CONTROL!$C$42, 8.0383, 8.0383) * CHOOSE(CONTROL!$C$21, $C$9, 100%, $E$9)</f>
        <v>8.0382999999999996</v>
      </c>
      <c r="O155" s="14">
        <f>CHOOSE(CONTROL!$C$42, 8.1104, 8.1104) * CHOOSE(CONTROL!$C$21, $C$9, 100%, $E$9)</f>
        <v>8.1104000000000003</v>
      </c>
      <c r="P155" s="14">
        <f>CHOOSE(CONTROL!$C$42, 8.0449, 8.0449) * CHOOSE(CONTROL!$C$21, $C$9, 100%, $E$9)</f>
        <v>8.0449000000000002</v>
      </c>
      <c r="Q155" s="14">
        <f>CHOOSE(CONTROL!$C$42, 8.7051, 8.7051) * CHOOSE(CONTROL!$C$21, $C$9, 100%, $E$9)</f>
        <v>8.7050999999999998</v>
      </c>
      <c r="R155" s="14">
        <f>CHOOSE(CONTROL!$C$42, 9.3139, 9.3139) * CHOOSE(CONTROL!$C$21, $C$9, 100%, $E$9)</f>
        <v>9.3139000000000003</v>
      </c>
      <c r="S155" s="14">
        <f>CHOOSE(CONTROL!$C$42, 7.8129, 7.8129) * CHOOSE(CONTROL!$C$21, $C$9, 100%, $E$9)</f>
        <v>7.8129</v>
      </c>
      <c r="T1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55" s="56">
        <f>(1000*CHOOSE(CONTROL!$C$42, 695, 695)*CHOOSE(CONTROL!$C$42, 0.5599, 0.5599)*CHOOSE(CONTROL!$C$42, 30, 30))/1000000</f>
        <v>11.673914999999997</v>
      </c>
      <c r="V155" s="56">
        <f>(1000*CHOOSE(CONTROL!$C$42, 500, 500)*CHOOSE(CONTROL!$C$42, 0.275, 0.275)*CHOOSE(CONTROL!$C$42, 30, 30))/1000000</f>
        <v>4.125</v>
      </c>
      <c r="W155" s="56">
        <f>(1000*CHOOSE(CONTROL!$C$42, 0.1146, 0.1146)*CHOOSE(CONTROL!$C$42, 121.5, 121.5)*CHOOSE(CONTROL!$C$42, 30, 30))/1000000</f>
        <v>0.417717</v>
      </c>
      <c r="X155" s="56">
        <f>(30*0.1790888*100000/1000000)+(30*0.2374*100000/1000000)</f>
        <v>1.2494664</v>
      </c>
      <c r="Y155" s="56"/>
      <c r="Z155" s="14"/>
      <c r="AA155" s="55"/>
      <c r="AB155" s="49">
        <f>(B155*122.58+C155*297.941+D155*89.177+E155*40.302+F155*40+G155*160+H155*0+I155*100+J155*300)/(122.58+297.941+89.177+40.302+0+40+160+100+300)</f>
        <v>8.1686555890434764</v>
      </c>
      <c r="AC155" s="45">
        <f>(M155*'RAP TEMPLATE-GAS AVAILABILITY'!O154+N155*'RAP TEMPLATE-GAS AVAILABILITY'!P154+O155*'RAP TEMPLATE-GAS AVAILABILITY'!Q154+P155*'RAP TEMPLATE-GAS AVAILABILITY'!R154)/('RAP TEMPLATE-GAS AVAILABILITY'!O154+'RAP TEMPLATE-GAS AVAILABILITY'!P154+'RAP TEMPLATE-GAS AVAILABILITY'!Q154+'RAP TEMPLATE-GAS AVAILABILITY'!R154)</f>
        <v>8.0660575539568349</v>
      </c>
    </row>
    <row r="156" spans="1:29" ht="15.75" x14ac:dyDescent="0.25">
      <c r="A156" s="13">
        <v>45627</v>
      </c>
      <c r="B156" s="14">
        <f>CHOOSE(CONTROL!$C$42, 8.7119, 8.7119) * CHOOSE(CONTROL!$C$21, $C$9, 100%, $E$9)</f>
        <v>8.7119</v>
      </c>
      <c r="C156" s="14">
        <f>CHOOSE(CONTROL!$C$42, 8.717, 8.717) * CHOOSE(CONTROL!$C$21, $C$9, 100%, $E$9)</f>
        <v>8.7170000000000005</v>
      </c>
      <c r="D156" s="14">
        <f>CHOOSE(CONTROL!$C$42, 8.8, 8.8) * CHOOSE(CONTROL!$C$21, $C$9, 100%, $E$9)</f>
        <v>8.8000000000000007</v>
      </c>
      <c r="E156" s="14">
        <f>CHOOSE(CONTROL!$C$42, 8.8341, 8.8341) * CHOOSE(CONTROL!$C$21, $C$9, 100%, $E$9)</f>
        <v>8.8340999999999994</v>
      </c>
      <c r="F156" s="14">
        <f>CHOOSE(CONTROL!$C$42, 8.742, 8.742)*CHOOSE(CONTROL!$C$21, $C$9, 100%, $E$9)</f>
        <v>8.7420000000000009</v>
      </c>
      <c r="G156" s="14">
        <f>CHOOSE(CONTROL!$C$42, 8.76, 8.76)*CHOOSE(CONTROL!$C$21, $C$9, 100%, $E$9)</f>
        <v>8.76</v>
      </c>
      <c r="H156" s="14">
        <f>CHOOSE(CONTROL!$C$42, 8.8233, 8.8233) * CHOOSE(CONTROL!$C$21, $C$9, 100%, $E$9)</f>
        <v>8.8232999999999997</v>
      </c>
      <c r="I156" s="14">
        <f>CHOOSE(CONTROL!$C$42, 8.7588, 8.7588)* CHOOSE(CONTROL!$C$21, $C$9, 100%, $E$9)</f>
        <v>8.7588000000000008</v>
      </c>
      <c r="J156" s="14">
        <f>CHOOSE(CONTROL!$C$42, 8.735, 8.735)* CHOOSE(CONTROL!$C$21, $C$9, 100%, $E$9)</f>
        <v>8.7349999999999994</v>
      </c>
      <c r="K156" s="52">
        <f>CHOOSE(CONTROL!$C$42, 8.7549, 8.7549) * CHOOSE(CONTROL!$C$21, $C$9, 100%, $E$9)</f>
        <v>8.7548999999999992</v>
      </c>
      <c r="L156" s="14">
        <f>CHOOSE(CONTROL!$C$42, 9.4103, 9.4103) * CHOOSE(CONTROL!$C$21, $C$9, 100%, $E$9)</f>
        <v>9.4102999999999994</v>
      </c>
      <c r="M156" s="14">
        <f>CHOOSE(CONTROL!$C$42, 8.5856, 8.5856) * CHOOSE(CONTROL!$C$21, $C$9, 100%, $E$9)</f>
        <v>8.5855999999999995</v>
      </c>
      <c r="N156" s="14">
        <f>CHOOSE(CONTROL!$C$42, 8.6032, 8.6032) * CHOOSE(CONTROL!$C$21, $C$9, 100%, $E$9)</f>
        <v>8.6031999999999993</v>
      </c>
      <c r="O156" s="14">
        <f>CHOOSE(CONTROL!$C$42, 8.6723, 8.6723) * CHOOSE(CONTROL!$C$21, $C$9, 100%, $E$9)</f>
        <v>8.6722999999999999</v>
      </c>
      <c r="P156" s="14">
        <f>CHOOSE(CONTROL!$C$42, 8.6086, 8.6086) * CHOOSE(CONTROL!$C$21, $C$9, 100%, $E$9)</f>
        <v>8.6085999999999991</v>
      </c>
      <c r="Q156" s="14">
        <f>CHOOSE(CONTROL!$C$42, 9.267, 9.267) * CHOOSE(CONTROL!$C$21, $C$9, 100%, $E$9)</f>
        <v>9.2669999999999995</v>
      </c>
      <c r="R156" s="14">
        <f>CHOOSE(CONTROL!$C$42, 9.8772, 9.8772) * CHOOSE(CONTROL!$C$21, $C$9, 100%, $E$9)</f>
        <v>9.8772000000000002</v>
      </c>
      <c r="S156" s="14">
        <f>CHOOSE(CONTROL!$C$42, 8.3627, 8.3627) * CHOOSE(CONTROL!$C$21, $C$9, 100%, $E$9)</f>
        <v>8.3627000000000002</v>
      </c>
      <c r="T1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56" s="56">
        <f>(1000*CHOOSE(CONTROL!$C$42, 695, 695)*CHOOSE(CONTROL!$C$42, 0.5599, 0.5599)*CHOOSE(CONTROL!$C$42, 31, 31))/1000000</f>
        <v>12.063045499999998</v>
      </c>
      <c r="V156" s="56">
        <f>(1000*CHOOSE(CONTROL!$C$42, 500, 500)*CHOOSE(CONTROL!$C$42, 0.275, 0.275)*CHOOSE(CONTROL!$C$42, 31, 31))/1000000</f>
        <v>4.2625000000000002</v>
      </c>
      <c r="W156" s="56">
        <f>(1000*CHOOSE(CONTROL!$C$42, 0.1146, 0.1146)*CHOOSE(CONTROL!$C$42, 121.5, 121.5)*CHOOSE(CONTROL!$C$42, 31, 31))/1000000</f>
        <v>0.43164089999999994</v>
      </c>
      <c r="X156" s="56">
        <f>(31*0.1790888*100000/1000000)+(31*0.2374*100000/1000000)</f>
        <v>1.2911152800000001</v>
      </c>
      <c r="Y156" s="56"/>
      <c r="Z156" s="14"/>
      <c r="AA156" s="55"/>
      <c r="AB156" s="49">
        <f>(B156*122.58+C156*297.941+D156*89.177+E156*40.302+F156*40+G156*160+H156*0+I156*100+J156*300)/(122.58+297.941+89.177+40.302+0+40+160+100+300)</f>
        <v>8.7421790410434781</v>
      </c>
      <c r="AC156" s="45">
        <f>(M156*'RAP TEMPLATE-GAS AVAILABILITY'!O155+N156*'RAP TEMPLATE-GAS AVAILABILITY'!P155+O156*'RAP TEMPLATE-GAS AVAILABILITY'!Q155+P156*'RAP TEMPLATE-GAS AVAILABILITY'!R155)/('RAP TEMPLATE-GAS AVAILABILITY'!O155+'RAP TEMPLATE-GAS AVAILABILITY'!P155+'RAP TEMPLATE-GAS AVAILABILITY'!Q155+'RAP TEMPLATE-GAS AVAILABILITY'!R155)</f>
        <v>8.6292179856115112</v>
      </c>
    </row>
    <row r="157" spans="1:29" ht="15.75" x14ac:dyDescent="0.25">
      <c r="A157" s="13">
        <v>45658</v>
      </c>
      <c r="B157" s="14">
        <f>CHOOSE(CONTROL!$C$42, 9.2538, 9.2538) * CHOOSE(CONTROL!$C$21, $C$9, 100%, $E$9)</f>
        <v>9.2538</v>
      </c>
      <c r="C157" s="14">
        <f>CHOOSE(CONTROL!$C$42, 9.2589, 9.2589) * CHOOSE(CONTROL!$C$21, $C$9, 100%, $E$9)</f>
        <v>9.2589000000000006</v>
      </c>
      <c r="D157" s="14">
        <f>CHOOSE(CONTROL!$C$42, 9.3523, 9.3523) * CHOOSE(CONTROL!$C$21, $C$9, 100%, $E$9)</f>
        <v>9.3522999999999996</v>
      </c>
      <c r="E157" s="14">
        <f>CHOOSE(CONTROL!$C$42, 9.3864, 9.3864) * CHOOSE(CONTROL!$C$21, $C$9, 100%, $E$9)</f>
        <v>9.3864000000000001</v>
      </c>
      <c r="F157" s="14">
        <f>CHOOSE(CONTROL!$C$42, 9.2811, 9.2811)*CHOOSE(CONTROL!$C$21, $C$9, 100%, $E$9)</f>
        <v>9.2811000000000003</v>
      </c>
      <c r="G157" s="14">
        <f>CHOOSE(CONTROL!$C$42, 9.2991, 9.2991)*CHOOSE(CONTROL!$C$21, $C$9, 100%, $E$9)</f>
        <v>9.2990999999999993</v>
      </c>
      <c r="H157" s="14">
        <f>CHOOSE(CONTROL!$C$42, 9.3756, 9.3756) * CHOOSE(CONTROL!$C$21, $C$9, 100%, $E$9)</f>
        <v>9.3756000000000004</v>
      </c>
      <c r="I157" s="14">
        <f>CHOOSE(CONTROL!$C$42, 9.3087, 9.3087)* CHOOSE(CONTROL!$C$21, $C$9, 100%, $E$9)</f>
        <v>9.3087</v>
      </c>
      <c r="J157" s="14">
        <f>CHOOSE(CONTROL!$C$42, 9.2741, 9.2741)* CHOOSE(CONTROL!$C$21, $C$9, 100%, $E$9)</f>
        <v>9.2741000000000007</v>
      </c>
      <c r="K157" s="52">
        <f>CHOOSE(CONTROL!$C$42, 9.3048, 9.3048) * CHOOSE(CONTROL!$C$21, $C$9, 100%, $E$9)</f>
        <v>9.3048000000000002</v>
      </c>
      <c r="L157" s="14">
        <f>CHOOSE(CONTROL!$C$42, 9.9626, 9.9626) * CHOOSE(CONTROL!$C$21, $C$9, 100%, $E$9)</f>
        <v>9.9626000000000001</v>
      </c>
      <c r="M157" s="14">
        <f>CHOOSE(CONTROL!$C$42, 9.115, 9.115) * CHOOSE(CONTROL!$C$21, $C$9, 100%, $E$9)</f>
        <v>9.1150000000000002</v>
      </c>
      <c r="N157" s="14">
        <f>CHOOSE(CONTROL!$C$42, 9.1326, 9.1326) * CHOOSE(CONTROL!$C$21, $C$9, 100%, $E$9)</f>
        <v>9.1326000000000001</v>
      </c>
      <c r="O157" s="14">
        <f>CHOOSE(CONTROL!$C$42, 9.2147, 9.2147) * CHOOSE(CONTROL!$C$21, $C$9, 100%, $E$9)</f>
        <v>9.2147000000000006</v>
      </c>
      <c r="P157" s="14">
        <f>CHOOSE(CONTROL!$C$42, 9.1485, 9.1485) * CHOOSE(CONTROL!$C$21, $C$9, 100%, $E$9)</f>
        <v>9.1485000000000003</v>
      </c>
      <c r="Q157" s="14">
        <f>CHOOSE(CONTROL!$C$42, 9.8094, 9.8094) * CHOOSE(CONTROL!$C$21, $C$9, 100%, $E$9)</f>
        <v>9.8094000000000001</v>
      </c>
      <c r="R157" s="14">
        <f>CHOOSE(CONTROL!$C$42, 10.4209, 10.4209) * CHOOSE(CONTROL!$C$21, $C$9, 100%, $E$9)</f>
        <v>10.4209</v>
      </c>
      <c r="S157" s="14">
        <f>CHOOSE(CONTROL!$C$42, 8.8834, 8.8834) * CHOOSE(CONTROL!$C$21, $C$9, 100%, $E$9)</f>
        <v>8.8834</v>
      </c>
      <c r="T1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57" s="56">
        <f>(1000*CHOOSE(CONTROL!$C$42, 695, 695)*CHOOSE(CONTROL!$C$42, 0.5599, 0.5599)*CHOOSE(CONTROL!$C$42, 31, 31))/1000000</f>
        <v>12.063045499999998</v>
      </c>
      <c r="V157" s="56">
        <f>(1000*CHOOSE(CONTROL!$C$42, 500, 500)*CHOOSE(CONTROL!$C$42, 0.275, 0.275)*CHOOSE(CONTROL!$C$42, 31, 31))/1000000</f>
        <v>4.2625000000000002</v>
      </c>
      <c r="W157" s="56">
        <f>(1000*CHOOSE(CONTROL!$C$42, 0.1146, 0.1146)*CHOOSE(CONTROL!$C$42, 121.5, 121.5)*CHOOSE(CONTROL!$C$42, 31, 31))/1000000</f>
        <v>0.43164089999999994</v>
      </c>
      <c r="X157" s="56">
        <f>(31*0.1790888*100000/1000000)+(31*0.2374*100000/1000000)</f>
        <v>1.2911152800000001</v>
      </c>
      <c r="Y157" s="56"/>
      <c r="Z157" s="14"/>
      <c r="AA157" s="55"/>
      <c r="AB157" s="49">
        <f>(B157*122.58+C157*297.941+D157*89.177+E157*40.302+F157*40+G157*160+H157*0+I157*100+J157*300)/(122.58+297.941+89.177+40.302+0+40+160+100+300)</f>
        <v>9.2847282424347828</v>
      </c>
      <c r="AC157" s="45">
        <f>(M157*'RAP TEMPLATE-GAS AVAILABILITY'!O156+N157*'RAP TEMPLATE-GAS AVAILABILITY'!P156+O157*'RAP TEMPLATE-GAS AVAILABILITY'!Q156+P157*'RAP TEMPLATE-GAS AVAILABILITY'!R156)/('RAP TEMPLATE-GAS AVAILABILITY'!O156+'RAP TEMPLATE-GAS AVAILABILITY'!P156+'RAP TEMPLATE-GAS AVAILABILITY'!Q156+'RAP TEMPLATE-GAS AVAILABILITY'!R156)</f>
        <v>9.1660208633093525</v>
      </c>
    </row>
    <row r="158" spans="1:29" ht="15.75" x14ac:dyDescent="0.25">
      <c r="A158" s="13">
        <v>45689</v>
      </c>
      <c r="B158" s="14">
        <f>CHOOSE(CONTROL!$C$42, 9.4377, 9.4377) * CHOOSE(CONTROL!$C$21, $C$9, 100%, $E$9)</f>
        <v>9.4376999999999995</v>
      </c>
      <c r="C158" s="14">
        <f>CHOOSE(CONTROL!$C$42, 9.4428, 9.4428) * CHOOSE(CONTROL!$C$21, $C$9, 100%, $E$9)</f>
        <v>9.4428000000000001</v>
      </c>
      <c r="D158" s="14">
        <f>CHOOSE(CONTROL!$C$42, 9.5363, 9.5363) * CHOOSE(CONTROL!$C$21, $C$9, 100%, $E$9)</f>
        <v>9.5363000000000007</v>
      </c>
      <c r="E158" s="14">
        <f>CHOOSE(CONTROL!$C$42, 9.5704, 9.5704) * CHOOSE(CONTROL!$C$21, $C$9, 100%, $E$9)</f>
        <v>9.5703999999999994</v>
      </c>
      <c r="F158" s="14">
        <f>CHOOSE(CONTROL!$C$42, 9.4647, 9.4647)*CHOOSE(CONTROL!$C$21, $C$9, 100%, $E$9)</f>
        <v>9.4647000000000006</v>
      </c>
      <c r="G158" s="14">
        <f>CHOOSE(CONTROL!$C$42, 9.4826, 9.4826)*CHOOSE(CONTROL!$C$21, $C$9, 100%, $E$9)</f>
        <v>9.4825999999999997</v>
      </c>
      <c r="H158" s="14">
        <f>CHOOSE(CONTROL!$C$42, 9.5596, 9.5596) * CHOOSE(CONTROL!$C$21, $C$9, 100%, $E$9)</f>
        <v>9.5595999999999997</v>
      </c>
      <c r="I158" s="14">
        <f>CHOOSE(CONTROL!$C$42, 9.4932, 9.4932)* CHOOSE(CONTROL!$C$21, $C$9, 100%, $E$9)</f>
        <v>9.4931999999999999</v>
      </c>
      <c r="J158" s="14">
        <f>CHOOSE(CONTROL!$C$42, 9.4577, 9.4577)* CHOOSE(CONTROL!$C$21, $C$9, 100%, $E$9)</f>
        <v>9.4577000000000009</v>
      </c>
      <c r="K158" s="52">
        <f>CHOOSE(CONTROL!$C$42, 9.4893, 9.4893) * CHOOSE(CONTROL!$C$21, $C$9, 100%, $E$9)</f>
        <v>9.4893000000000001</v>
      </c>
      <c r="L158" s="14">
        <f>CHOOSE(CONTROL!$C$42, 10.1466, 10.1466) * CHOOSE(CONTROL!$C$21, $C$9, 100%, $E$9)</f>
        <v>10.146599999999999</v>
      </c>
      <c r="M158" s="14">
        <f>CHOOSE(CONTROL!$C$42, 9.2953, 9.2953) * CHOOSE(CONTROL!$C$21, $C$9, 100%, $E$9)</f>
        <v>9.2952999999999992</v>
      </c>
      <c r="N158" s="14">
        <f>CHOOSE(CONTROL!$C$42, 9.3128, 9.3128) * CHOOSE(CONTROL!$C$21, $C$9, 100%, $E$9)</f>
        <v>9.3127999999999993</v>
      </c>
      <c r="O158" s="14">
        <f>CHOOSE(CONTROL!$C$42, 9.3953, 9.3953) * CHOOSE(CONTROL!$C$21, $C$9, 100%, $E$9)</f>
        <v>9.3953000000000007</v>
      </c>
      <c r="P158" s="14">
        <f>CHOOSE(CONTROL!$C$42, 9.3297, 9.3297) * CHOOSE(CONTROL!$C$21, $C$9, 100%, $E$9)</f>
        <v>9.3297000000000008</v>
      </c>
      <c r="Q158" s="14">
        <f>CHOOSE(CONTROL!$C$42, 9.99, 9.99) * CHOOSE(CONTROL!$C$21, $C$9, 100%, $E$9)</f>
        <v>9.99</v>
      </c>
      <c r="R158" s="14">
        <f>CHOOSE(CONTROL!$C$42, 10.602, 10.602) * CHOOSE(CONTROL!$C$21, $C$9, 100%, $E$9)</f>
        <v>10.602</v>
      </c>
      <c r="S158" s="14">
        <f>CHOOSE(CONTROL!$C$42, 9.0602, 9.0602) * CHOOSE(CONTROL!$C$21, $C$9, 100%, $E$9)</f>
        <v>9.0602</v>
      </c>
      <c r="T15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58" s="56">
        <f>(1000*CHOOSE(CONTROL!$C$42, 695, 695)*CHOOSE(CONTROL!$C$42, 0.5599, 0.5599)*CHOOSE(CONTROL!$C$42, 28, 28))/1000000</f>
        <v>10.895653999999999</v>
      </c>
      <c r="V158" s="56">
        <f>(1000*CHOOSE(CONTROL!$C$42, 500, 500)*CHOOSE(CONTROL!$C$42, 0.275, 0.275)*CHOOSE(CONTROL!$C$42, 28, 28))/1000000</f>
        <v>3.85</v>
      </c>
      <c r="W158" s="56">
        <f>(1000*CHOOSE(CONTROL!$C$42, 0.1146, 0.1146)*CHOOSE(CONTROL!$C$42, 121.5, 121.5)*CHOOSE(CONTROL!$C$42, 28, 28))/1000000</f>
        <v>0.38986920000000003</v>
      </c>
      <c r="X158" s="56">
        <f>(28*0.1790888*100000/1000000)+(28*0.2374*100000/1000000)</f>
        <v>1.16616864</v>
      </c>
      <c r="Y158" s="56"/>
      <c r="Z158" s="14"/>
      <c r="AA158" s="55"/>
      <c r="AB158" s="49">
        <f>(B158*122.58+C158*297.941+D158*89.177+E158*40.302+F158*40+G158*160+H158*0+I158*100+J158*300)/(122.58+297.941+89.177+40.302+0+40+160+100+300)</f>
        <v>9.4685473275652168</v>
      </c>
      <c r="AC158" s="45">
        <f>(M158*'RAP TEMPLATE-GAS AVAILABILITY'!O157+N158*'RAP TEMPLATE-GAS AVAILABILITY'!P157+O158*'RAP TEMPLATE-GAS AVAILABILITY'!Q157+P158*'RAP TEMPLATE-GAS AVAILABILITY'!R157)/('RAP TEMPLATE-GAS AVAILABILITY'!O157+'RAP TEMPLATE-GAS AVAILABILITY'!P157+'RAP TEMPLATE-GAS AVAILABILITY'!Q157+'RAP TEMPLATE-GAS AVAILABILITY'!R157)</f>
        <v>9.3465805755395692</v>
      </c>
    </row>
    <row r="159" spans="1:29" ht="15.75" x14ac:dyDescent="0.25">
      <c r="A159" s="13">
        <v>45717</v>
      </c>
      <c r="B159" s="14">
        <f>CHOOSE(CONTROL!$C$42, 9.1889, 9.1889) * CHOOSE(CONTROL!$C$21, $C$9, 100%, $E$9)</f>
        <v>9.1889000000000003</v>
      </c>
      <c r="C159" s="14">
        <f>CHOOSE(CONTROL!$C$42, 9.194, 9.194) * CHOOSE(CONTROL!$C$21, $C$9, 100%, $E$9)</f>
        <v>9.1940000000000008</v>
      </c>
      <c r="D159" s="14">
        <f>CHOOSE(CONTROL!$C$42, 9.2875, 9.2875) * CHOOSE(CONTROL!$C$21, $C$9, 100%, $E$9)</f>
        <v>9.2874999999999996</v>
      </c>
      <c r="E159" s="14">
        <f>CHOOSE(CONTROL!$C$42, 9.3216, 9.3216) * CHOOSE(CONTROL!$C$21, $C$9, 100%, $E$9)</f>
        <v>9.3216000000000001</v>
      </c>
      <c r="F159" s="14">
        <f>CHOOSE(CONTROL!$C$42, 9.215, 9.215)*CHOOSE(CONTROL!$C$21, $C$9, 100%, $E$9)</f>
        <v>9.2149999999999999</v>
      </c>
      <c r="G159" s="14">
        <f>CHOOSE(CONTROL!$C$42, 9.2327, 9.2327)*CHOOSE(CONTROL!$C$21, $C$9, 100%, $E$9)</f>
        <v>9.2326999999999995</v>
      </c>
      <c r="H159" s="14">
        <f>CHOOSE(CONTROL!$C$42, 9.3108, 9.3108) * CHOOSE(CONTROL!$C$21, $C$9, 100%, $E$9)</f>
        <v>9.3108000000000004</v>
      </c>
      <c r="I159" s="14">
        <f>CHOOSE(CONTROL!$C$42, 9.2436, 9.2436)* CHOOSE(CONTROL!$C$21, $C$9, 100%, $E$9)</f>
        <v>9.2436000000000007</v>
      </c>
      <c r="J159" s="14">
        <f>CHOOSE(CONTROL!$C$42, 9.208, 9.208)* CHOOSE(CONTROL!$C$21, $C$9, 100%, $E$9)</f>
        <v>9.2080000000000002</v>
      </c>
      <c r="K159" s="52">
        <f>CHOOSE(CONTROL!$C$42, 9.2397, 9.2397) * CHOOSE(CONTROL!$C$21, $C$9, 100%, $E$9)</f>
        <v>9.2396999999999991</v>
      </c>
      <c r="L159" s="14">
        <f>CHOOSE(CONTROL!$C$42, 9.8978, 9.8978) * CHOOSE(CONTROL!$C$21, $C$9, 100%, $E$9)</f>
        <v>9.8978000000000002</v>
      </c>
      <c r="M159" s="14">
        <f>CHOOSE(CONTROL!$C$42, 9.0501, 9.0501) * CHOOSE(CONTROL!$C$21, $C$9, 100%, $E$9)</f>
        <v>9.0501000000000005</v>
      </c>
      <c r="N159" s="14">
        <f>CHOOSE(CONTROL!$C$42, 9.0674, 9.0674) * CHOOSE(CONTROL!$C$21, $C$9, 100%, $E$9)</f>
        <v>9.0673999999999992</v>
      </c>
      <c r="O159" s="14">
        <f>CHOOSE(CONTROL!$C$42, 9.151, 9.151) * CHOOSE(CONTROL!$C$21, $C$9, 100%, $E$9)</f>
        <v>9.1509999999999998</v>
      </c>
      <c r="P159" s="14">
        <f>CHOOSE(CONTROL!$C$42, 9.0846, 9.0846) * CHOOSE(CONTROL!$C$21, $C$9, 100%, $E$9)</f>
        <v>9.0846</v>
      </c>
      <c r="Q159" s="14">
        <f>CHOOSE(CONTROL!$C$42, 9.7457, 9.7457) * CHOOSE(CONTROL!$C$21, $C$9, 100%, $E$9)</f>
        <v>9.7456999999999994</v>
      </c>
      <c r="R159" s="14">
        <f>CHOOSE(CONTROL!$C$42, 10.3571, 10.3571) * CHOOSE(CONTROL!$C$21, $C$9, 100%, $E$9)</f>
        <v>10.357100000000001</v>
      </c>
      <c r="S159" s="14">
        <f>CHOOSE(CONTROL!$C$42, 8.8211, 8.8211) * CHOOSE(CONTROL!$C$21, $C$9, 100%, $E$9)</f>
        <v>8.8210999999999995</v>
      </c>
      <c r="T1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59" s="56">
        <f>(1000*CHOOSE(CONTROL!$C$42, 695, 695)*CHOOSE(CONTROL!$C$42, 0.5599, 0.5599)*CHOOSE(CONTROL!$C$42, 31, 31))/1000000</f>
        <v>12.063045499999998</v>
      </c>
      <c r="V159" s="56">
        <f>(1000*CHOOSE(CONTROL!$C$42, 500, 500)*CHOOSE(CONTROL!$C$42, 0.275, 0.275)*CHOOSE(CONTROL!$C$42, 31, 31))/1000000</f>
        <v>4.2625000000000002</v>
      </c>
      <c r="W159" s="56">
        <f>(1000*CHOOSE(CONTROL!$C$42, 0.1146, 0.1146)*CHOOSE(CONTROL!$C$42, 121.5, 121.5)*CHOOSE(CONTROL!$C$42, 31, 31))/1000000</f>
        <v>0.43164089999999994</v>
      </c>
      <c r="X159" s="56">
        <f>(31*0.1790888*100000/1000000)+(31*0.2374*100000/1000000)</f>
        <v>1.2911152800000001</v>
      </c>
      <c r="Y159" s="56"/>
      <c r="Z159" s="14"/>
      <c r="AA159" s="55"/>
      <c r="AB159" s="49">
        <f>(B159*122.58+C159*297.941+D159*89.177+E159*40.302+F159*40+G159*160+H159*0+I159*100+J159*300)/(122.58+297.941+89.177+40.302+0+40+160+100+300)</f>
        <v>9.2192586319130427</v>
      </c>
      <c r="AC159" s="45">
        <f>(M159*'RAP TEMPLATE-GAS AVAILABILITY'!O158+N159*'RAP TEMPLATE-GAS AVAILABILITY'!P158+O159*'RAP TEMPLATE-GAS AVAILABILITY'!Q158+P159*'RAP TEMPLATE-GAS AVAILABILITY'!R158)/('RAP TEMPLATE-GAS AVAILABILITY'!O158+'RAP TEMPLATE-GAS AVAILABILITY'!P158+'RAP TEMPLATE-GAS AVAILABILITY'!Q158+'RAP TEMPLATE-GAS AVAILABILITY'!R158)</f>
        <v>9.1017913669064754</v>
      </c>
    </row>
    <row r="160" spans="1:29" ht="15.75" x14ac:dyDescent="0.25">
      <c r="A160" s="13">
        <v>45748</v>
      </c>
      <c r="B160" s="14">
        <f>CHOOSE(CONTROL!$C$42, 9.1813, 9.1813) * CHOOSE(CONTROL!$C$21, $C$9, 100%, $E$9)</f>
        <v>9.1813000000000002</v>
      </c>
      <c r="C160" s="14">
        <f>CHOOSE(CONTROL!$C$42, 9.1858, 9.1858) * CHOOSE(CONTROL!$C$21, $C$9, 100%, $E$9)</f>
        <v>9.1858000000000004</v>
      </c>
      <c r="D160" s="14">
        <f>CHOOSE(CONTROL!$C$42, 9.448, 9.448) * CHOOSE(CONTROL!$C$21, $C$9, 100%, $E$9)</f>
        <v>9.4480000000000004</v>
      </c>
      <c r="E160" s="14">
        <f>CHOOSE(CONTROL!$C$42, 9.4801, 9.4801) * CHOOSE(CONTROL!$C$21, $C$9, 100%, $E$9)</f>
        <v>9.4801000000000002</v>
      </c>
      <c r="F160" s="14">
        <f>CHOOSE(CONTROL!$C$42, 9.2041, 9.2041)*CHOOSE(CONTROL!$C$21, $C$9, 100%, $E$9)</f>
        <v>9.2041000000000004</v>
      </c>
      <c r="G160" s="14">
        <f>CHOOSE(CONTROL!$C$42, 9.2209, 9.2209)*CHOOSE(CONTROL!$C$21, $C$9, 100%, $E$9)</f>
        <v>9.2209000000000003</v>
      </c>
      <c r="H160" s="14">
        <f>CHOOSE(CONTROL!$C$42, 9.4699, 9.4699) * CHOOSE(CONTROL!$C$21, $C$9, 100%, $E$9)</f>
        <v>9.4699000000000009</v>
      </c>
      <c r="I160" s="14">
        <f>CHOOSE(CONTROL!$C$42, 9.2326, 9.2326)* CHOOSE(CONTROL!$C$21, $C$9, 100%, $E$9)</f>
        <v>9.2325999999999997</v>
      </c>
      <c r="J160" s="14">
        <f>CHOOSE(CONTROL!$C$42, 9.1971, 9.1971)* CHOOSE(CONTROL!$C$21, $C$9, 100%, $E$9)</f>
        <v>9.1971000000000007</v>
      </c>
      <c r="K160" s="52">
        <f>CHOOSE(CONTROL!$C$42, 9.2287, 9.2287) * CHOOSE(CONTROL!$C$21, $C$9, 100%, $E$9)</f>
        <v>9.2286999999999999</v>
      </c>
      <c r="L160" s="14">
        <f>CHOOSE(CONTROL!$C$42, 10.0569, 10.0569) * CHOOSE(CONTROL!$C$21, $C$9, 100%, $E$9)</f>
        <v>10.056900000000001</v>
      </c>
      <c r="M160" s="14">
        <f>CHOOSE(CONTROL!$C$42, 9.0394, 9.0394) * CHOOSE(CONTROL!$C$21, $C$9, 100%, $E$9)</f>
        <v>9.0394000000000005</v>
      </c>
      <c r="N160" s="14">
        <f>CHOOSE(CONTROL!$C$42, 9.0558, 9.0558) * CHOOSE(CONTROL!$C$21, $C$9, 100%, $E$9)</f>
        <v>9.0557999999999996</v>
      </c>
      <c r="O160" s="14">
        <f>CHOOSE(CONTROL!$C$42, 9.3073, 9.3073) * CHOOSE(CONTROL!$C$21, $C$9, 100%, $E$9)</f>
        <v>9.3072999999999997</v>
      </c>
      <c r="P160" s="14">
        <f>CHOOSE(CONTROL!$C$42, 9.0738, 9.0738) * CHOOSE(CONTROL!$C$21, $C$9, 100%, $E$9)</f>
        <v>9.0738000000000003</v>
      </c>
      <c r="Q160" s="14">
        <f>CHOOSE(CONTROL!$C$42, 9.902, 9.902) * CHOOSE(CONTROL!$C$21, $C$9, 100%, $E$9)</f>
        <v>9.9019999999999992</v>
      </c>
      <c r="R160" s="14">
        <f>CHOOSE(CONTROL!$C$42, 10.5137, 10.5137) * CHOOSE(CONTROL!$C$21, $C$9, 100%, $E$9)</f>
        <v>10.5137</v>
      </c>
      <c r="S160" s="14">
        <f>CHOOSE(CONTROL!$C$42, 8.813, 8.813) * CHOOSE(CONTROL!$C$21, $C$9, 100%, $E$9)</f>
        <v>8.8130000000000006</v>
      </c>
      <c r="T1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60" s="56">
        <f>(1000*CHOOSE(CONTROL!$C$42, 695, 695)*CHOOSE(CONTROL!$C$42, 0.5599, 0.5599)*CHOOSE(CONTROL!$C$42, 30, 30))/1000000</f>
        <v>11.673914999999997</v>
      </c>
      <c r="V160" s="56">
        <f>(1000*CHOOSE(CONTROL!$C$42, 500, 500)*CHOOSE(CONTROL!$C$42, 0.275, 0.275)*CHOOSE(CONTROL!$C$42, 30, 30))/1000000</f>
        <v>4.125</v>
      </c>
      <c r="W160" s="56">
        <f>(1000*CHOOSE(CONTROL!$C$42, 0.1146, 0.1146)*CHOOSE(CONTROL!$C$42, 121.5, 121.5)*CHOOSE(CONTROL!$C$42, 30, 30))/1000000</f>
        <v>0.417717</v>
      </c>
      <c r="X160" s="56">
        <f>(30*0.1790888*245000/1000000)+(30*0.2374*100000/1000000)</f>
        <v>2.0285026799999999</v>
      </c>
      <c r="Y160" s="56"/>
      <c r="Z160" s="14"/>
      <c r="AA160" s="55"/>
      <c r="AB160" s="49">
        <f>(B160*141.293+C160*267.993+D160*115.016+E160*89.698+F160*40+G160*185+H160*0+I160*100+J160*300)/(141.293+267.993+115.016+89.698+0+40+185+100+300)</f>
        <v>9.2432778031477003</v>
      </c>
      <c r="AC160" s="45">
        <f>(M160*'RAP TEMPLATE-GAS AVAILABILITY'!O159+N160*'RAP TEMPLATE-GAS AVAILABILITY'!P159+O160*'RAP TEMPLATE-GAS AVAILABILITY'!Q159+P160*'RAP TEMPLATE-GAS AVAILABILITY'!R159)/('RAP TEMPLATE-GAS AVAILABILITY'!O159+'RAP TEMPLATE-GAS AVAILABILITY'!P159+'RAP TEMPLATE-GAS AVAILABILITY'!Q159+'RAP TEMPLATE-GAS AVAILABILITY'!R159)</f>
        <v>9.123291366906475</v>
      </c>
    </row>
    <row r="161" spans="1:29" ht="15.75" x14ac:dyDescent="0.25">
      <c r="A161" s="13">
        <v>45778</v>
      </c>
      <c r="B161" s="14">
        <f>CHOOSE(CONTROL!$C$42, 9.2827, 9.2827) * CHOOSE(CONTROL!$C$21, $C$9, 100%, $E$9)</f>
        <v>9.2827000000000002</v>
      </c>
      <c r="C161" s="14">
        <f>CHOOSE(CONTROL!$C$42, 9.2907, 9.2907) * CHOOSE(CONTROL!$C$21, $C$9, 100%, $E$9)</f>
        <v>9.2906999999999993</v>
      </c>
      <c r="D161" s="14">
        <f>CHOOSE(CONTROL!$C$42, 9.5498, 9.5498) * CHOOSE(CONTROL!$C$21, $C$9, 100%, $E$9)</f>
        <v>9.5497999999999994</v>
      </c>
      <c r="E161" s="14">
        <f>CHOOSE(CONTROL!$C$42, 9.5813, 9.5813) * CHOOSE(CONTROL!$C$21, $C$9, 100%, $E$9)</f>
        <v>9.5813000000000006</v>
      </c>
      <c r="F161" s="14">
        <f>CHOOSE(CONTROL!$C$42, 9.3042, 9.3042)*CHOOSE(CONTROL!$C$21, $C$9, 100%, $E$9)</f>
        <v>9.3041999999999998</v>
      </c>
      <c r="G161" s="14">
        <f>CHOOSE(CONTROL!$C$42, 9.3212, 9.3212)*CHOOSE(CONTROL!$C$21, $C$9, 100%, $E$9)</f>
        <v>9.3211999999999993</v>
      </c>
      <c r="H161" s="14">
        <f>CHOOSE(CONTROL!$C$42, 9.5699, 9.5699) * CHOOSE(CONTROL!$C$21, $C$9, 100%, $E$9)</f>
        <v>9.5699000000000005</v>
      </c>
      <c r="I161" s="14">
        <f>CHOOSE(CONTROL!$C$42, 9.3329, 9.3329)* CHOOSE(CONTROL!$C$21, $C$9, 100%, $E$9)</f>
        <v>9.3329000000000004</v>
      </c>
      <c r="J161" s="14">
        <f>CHOOSE(CONTROL!$C$42, 9.2972, 9.2972)* CHOOSE(CONTROL!$C$21, $C$9, 100%, $E$9)</f>
        <v>9.2972000000000001</v>
      </c>
      <c r="K161" s="52">
        <f>CHOOSE(CONTROL!$C$42, 9.329, 9.329) * CHOOSE(CONTROL!$C$21, $C$9, 100%, $E$9)</f>
        <v>9.3290000000000006</v>
      </c>
      <c r="L161" s="14">
        <f>CHOOSE(CONTROL!$C$42, 10.1569, 10.1569) * CHOOSE(CONTROL!$C$21, $C$9, 100%, $E$9)</f>
        <v>10.1569</v>
      </c>
      <c r="M161" s="14">
        <f>CHOOSE(CONTROL!$C$42, 9.1377, 9.1377) * CHOOSE(CONTROL!$C$21, $C$9, 100%, $E$9)</f>
        <v>9.1377000000000006</v>
      </c>
      <c r="N161" s="14">
        <f>CHOOSE(CONTROL!$C$42, 9.1544, 9.1544) * CHOOSE(CONTROL!$C$21, $C$9, 100%, $E$9)</f>
        <v>9.1544000000000008</v>
      </c>
      <c r="O161" s="14">
        <f>CHOOSE(CONTROL!$C$42, 9.4055, 9.4055) * CHOOSE(CONTROL!$C$21, $C$9, 100%, $E$9)</f>
        <v>9.4055</v>
      </c>
      <c r="P161" s="14">
        <f>CHOOSE(CONTROL!$C$42, 9.1723, 9.1723) * CHOOSE(CONTROL!$C$21, $C$9, 100%, $E$9)</f>
        <v>9.1722999999999999</v>
      </c>
      <c r="Q161" s="14">
        <f>CHOOSE(CONTROL!$C$42, 10.0002, 10.0002) * CHOOSE(CONTROL!$C$21, $C$9, 100%, $E$9)</f>
        <v>10.0002</v>
      </c>
      <c r="R161" s="14">
        <f>CHOOSE(CONTROL!$C$42, 10.6122, 10.6122) * CHOOSE(CONTROL!$C$21, $C$9, 100%, $E$9)</f>
        <v>10.6122</v>
      </c>
      <c r="S161" s="14">
        <f>CHOOSE(CONTROL!$C$42, 8.9091, 8.9091) * CHOOSE(CONTROL!$C$21, $C$9, 100%, $E$9)</f>
        <v>8.9091000000000005</v>
      </c>
      <c r="T1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61" s="56">
        <f>(1000*CHOOSE(CONTROL!$C$42, 695, 695)*CHOOSE(CONTROL!$C$42, 0.5599, 0.5599)*CHOOSE(CONTROL!$C$42, 31, 31))/1000000</f>
        <v>12.063045499999998</v>
      </c>
      <c r="V161" s="56">
        <f>(1000*CHOOSE(CONTROL!$C$42, 500, 500)*CHOOSE(CONTROL!$C$42, 0.275, 0.275)*CHOOSE(CONTROL!$C$42, 31, 31))/1000000</f>
        <v>4.2625000000000002</v>
      </c>
      <c r="W161" s="56">
        <f>(1000*CHOOSE(CONTROL!$C$42, 0.1146, 0.1146)*CHOOSE(CONTROL!$C$42, 121.5, 121.5)*CHOOSE(CONTROL!$C$42, 31, 31))/1000000</f>
        <v>0.43164089999999994</v>
      </c>
      <c r="X161" s="56">
        <f>(31*0.1790888*245000/1000000)+(31*0.2374*100000/1000000)</f>
        <v>2.0961194359999999</v>
      </c>
      <c r="Y161" s="56"/>
      <c r="Z161" s="14"/>
      <c r="AA161" s="55"/>
      <c r="AB161" s="49">
        <f>(B161*194.205+C161*267.466+D161*133.845+E161*53.484+F161*40+G161*185+H161*0+I161*100+J161*300)/(194.205+267.466+133.845+53.484+0+40+185+100+300)</f>
        <v>9.3385968209576138</v>
      </c>
      <c r="AC161" s="45">
        <f>(M161*'RAP TEMPLATE-GAS AVAILABILITY'!O160+N161*'RAP TEMPLATE-GAS AVAILABILITY'!P160+O161*'RAP TEMPLATE-GAS AVAILABILITY'!Q160+P161*'RAP TEMPLATE-GAS AVAILABILITY'!R160)/('RAP TEMPLATE-GAS AVAILABILITY'!O160+'RAP TEMPLATE-GAS AVAILABILITY'!P160+'RAP TEMPLATE-GAS AVAILABILITY'!Q160+'RAP TEMPLATE-GAS AVAILABILITY'!R160)</f>
        <v>9.2216611510791378</v>
      </c>
    </row>
    <row r="162" spans="1:29" ht="15.75" x14ac:dyDescent="0.25">
      <c r="A162" s="13">
        <v>45809</v>
      </c>
      <c r="B162" s="14">
        <f>CHOOSE(CONTROL!$C$42, 9.5653, 9.5653) * CHOOSE(CONTROL!$C$21, $C$9, 100%, $E$9)</f>
        <v>9.5653000000000006</v>
      </c>
      <c r="C162" s="14">
        <f>CHOOSE(CONTROL!$C$42, 9.5733, 9.5733) * CHOOSE(CONTROL!$C$21, $C$9, 100%, $E$9)</f>
        <v>9.5732999999999997</v>
      </c>
      <c r="D162" s="14">
        <f>CHOOSE(CONTROL!$C$42, 9.8324, 9.8324) * CHOOSE(CONTROL!$C$21, $C$9, 100%, $E$9)</f>
        <v>9.8323999999999998</v>
      </c>
      <c r="E162" s="14">
        <f>CHOOSE(CONTROL!$C$42, 9.8639, 9.8639) * CHOOSE(CONTROL!$C$21, $C$9, 100%, $E$9)</f>
        <v>9.8638999999999992</v>
      </c>
      <c r="F162" s="14">
        <f>CHOOSE(CONTROL!$C$42, 9.5871, 9.5871)*CHOOSE(CONTROL!$C$21, $C$9, 100%, $E$9)</f>
        <v>9.5870999999999995</v>
      </c>
      <c r="G162" s="14">
        <f>CHOOSE(CONTROL!$C$42, 9.6041, 9.6041)*CHOOSE(CONTROL!$C$21, $C$9, 100%, $E$9)</f>
        <v>9.6041000000000007</v>
      </c>
      <c r="H162" s="14">
        <f>CHOOSE(CONTROL!$C$42, 9.8525, 9.8525) * CHOOSE(CONTROL!$C$21, $C$9, 100%, $E$9)</f>
        <v>9.8524999999999991</v>
      </c>
      <c r="I162" s="14">
        <f>CHOOSE(CONTROL!$C$42, 9.6164, 9.6164)* CHOOSE(CONTROL!$C$21, $C$9, 100%, $E$9)</f>
        <v>9.6164000000000005</v>
      </c>
      <c r="J162" s="14">
        <f>CHOOSE(CONTROL!$C$42, 9.5801, 9.5801)* CHOOSE(CONTROL!$C$21, $C$9, 100%, $E$9)</f>
        <v>9.5800999999999998</v>
      </c>
      <c r="K162" s="52">
        <f>CHOOSE(CONTROL!$C$42, 9.6125, 9.6125) * CHOOSE(CONTROL!$C$21, $C$9, 100%, $E$9)</f>
        <v>9.6125000000000007</v>
      </c>
      <c r="L162" s="14">
        <f>CHOOSE(CONTROL!$C$42, 10.4395, 10.4395) * CHOOSE(CONTROL!$C$21, $C$9, 100%, $E$9)</f>
        <v>10.439500000000001</v>
      </c>
      <c r="M162" s="14">
        <f>CHOOSE(CONTROL!$C$42, 9.4155, 9.4155) * CHOOSE(CONTROL!$C$21, $C$9, 100%, $E$9)</f>
        <v>9.4154999999999998</v>
      </c>
      <c r="N162" s="14">
        <f>CHOOSE(CONTROL!$C$42, 9.4322, 9.4322) * CHOOSE(CONTROL!$C$21, $C$9, 100%, $E$9)</f>
        <v>9.4321999999999999</v>
      </c>
      <c r="O162" s="14">
        <f>CHOOSE(CONTROL!$C$42, 9.683, 9.683) * CHOOSE(CONTROL!$C$21, $C$9, 100%, $E$9)</f>
        <v>9.6829999999999998</v>
      </c>
      <c r="P162" s="14">
        <f>CHOOSE(CONTROL!$C$42, 9.4506, 9.4506) * CHOOSE(CONTROL!$C$21, $C$9, 100%, $E$9)</f>
        <v>9.4505999999999997</v>
      </c>
      <c r="Q162" s="14">
        <f>CHOOSE(CONTROL!$C$42, 10.2777, 10.2777) * CHOOSE(CONTROL!$C$21, $C$9, 100%, $E$9)</f>
        <v>10.277699999999999</v>
      </c>
      <c r="R162" s="14">
        <f>CHOOSE(CONTROL!$C$42, 10.8904, 10.8904) * CHOOSE(CONTROL!$C$21, $C$9, 100%, $E$9)</f>
        <v>10.8904</v>
      </c>
      <c r="S162" s="14">
        <f>CHOOSE(CONTROL!$C$42, 9.1807, 9.1807) * CHOOSE(CONTROL!$C$21, $C$9, 100%, $E$9)</f>
        <v>9.1806999999999999</v>
      </c>
      <c r="T1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62" s="56">
        <f>(1000*CHOOSE(CONTROL!$C$42, 695, 695)*CHOOSE(CONTROL!$C$42, 0.5599, 0.5599)*CHOOSE(CONTROL!$C$42, 30, 30))/1000000</f>
        <v>11.673914999999997</v>
      </c>
      <c r="V162" s="56">
        <f>(1000*CHOOSE(CONTROL!$C$42, 500, 500)*CHOOSE(CONTROL!$C$42, 0.275, 0.275)*CHOOSE(CONTROL!$C$42, 30, 30))/1000000</f>
        <v>4.125</v>
      </c>
      <c r="W162" s="56">
        <f>(1000*CHOOSE(CONTROL!$C$42, 0.1146, 0.1146)*CHOOSE(CONTROL!$C$42, 121.5, 121.5)*CHOOSE(CONTROL!$C$42, 30, 30))/1000000</f>
        <v>0.417717</v>
      </c>
      <c r="X162" s="56">
        <f>(30*0.1790888*245000/1000000)+(30*0.2374*100000/1000000)</f>
        <v>2.0285026799999999</v>
      </c>
      <c r="Y162" s="56"/>
      <c r="Z162" s="14"/>
      <c r="AA162" s="55"/>
      <c r="AB162" s="49">
        <f>(B162*194.205+C162*267.466+D162*133.845+E162*53.484+F162*40+G162*185+H162*0+I162*100+J162*300)/(194.205+267.466+133.845+53.484+0+40+185+100+300)</f>
        <v>9.6213910909733134</v>
      </c>
      <c r="AC162" s="45">
        <f>(M162*'RAP TEMPLATE-GAS AVAILABILITY'!O161+N162*'RAP TEMPLATE-GAS AVAILABILITY'!P161+O162*'RAP TEMPLATE-GAS AVAILABILITY'!Q161+P162*'RAP TEMPLATE-GAS AVAILABILITY'!R161)/('RAP TEMPLATE-GAS AVAILABILITY'!O161+'RAP TEMPLATE-GAS AVAILABILITY'!P161+'RAP TEMPLATE-GAS AVAILABILITY'!Q161+'RAP TEMPLATE-GAS AVAILABILITY'!R161)</f>
        <v>9.4994489208633102</v>
      </c>
    </row>
    <row r="163" spans="1:29" ht="15.75" x14ac:dyDescent="0.25">
      <c r="A163" s="13">
        <v>45839</v>
      </c>
      <c r="B163" s="14">
        <f>CHOOSE(CONTROL!$C$42, 9.4013, 9.4013) * CHOOSE(CONTROL!$C$21, $C$9, 100%, $E$9)</f>
        <v>9.4013000000000009</v>
      </c>
      <c r="C163" s="14">
        <f>CHOOSE(CONTROL!$C$42, 9.4094, 9.4094) * CHOOSE(CONTROL!$C$21, $C$9, 100%, $E$9)</f>
        <v>9.4093999999999998</v>
      </c>
      <c r="D163" s="14">
        <f>CHOOSE(CONTROL!$C$42, 9.6685, 9.6685) * CHOOSE(CONTROL!$C$21, $C$9, 100%, $E$9)</f>
        <v>9.6684999999999999</v>
      </c>
      <c r="E163" s="14">
        <f>CHOOSE(CONTROL!$C$42, 9.6999, 9.6999) * CHOOSE(CONTROL!$C$21, $C$9, 100%, $E$9)</f>
        <v>9.6998999999999995</v>
      </c>
      <c r="F163" s="14">
        <f>CHOOSE(CONTROL!$C$42, 9.4236, 9.4236)*CHOOSE(CONTROL!$C$21, $C$9, 100%, $E$9)</f>
        <v>9.4236000000000004</v>
      </c>
      <c r="G163" s="14">
        <f>CHOOSE(CONTROL!$C$42, 9.4407, 9.4407)*CHOOSE(CONTROL!$C$21, $C$9, 100%, $E$9)</f>
        <v>9.4406999999999996</v>
      </c>
      <c r="H163" s="14">
        <f>CHOOSE(CONTROL!$C$42, 9.6886, 9.6886) * CHOOSE(CONTROL!$C$21, $C$9, 100%, $E$9)</f>
        <v>9.6885999999999992</v>
      </c>
      <c r="I163" s="14">
        <f>CHOOSE(CONTROL!$C$42, 9.4519, 9.4519)* CHOOSE(CONTROL!$C$21, $C$9, 100%, $E$9)</f>
        <v>9.4519000000000002</v>
      </c>
      <c r="J163" s="14">
        <f>CHOOSE(CONTROL!$C$42, 9.4166, 9.4166)* CHOOSE(CONTROL!$C$21, $C$9, 100%, $E$9)</f>
        <v>9.4166000000000007</v>
      </c>
      <c r="K163" s="52">
        <f>CHOOSE(CONTROL!$C$42, 9.448, 9.448) * CHOOSE(CONTROL!$C$21, $C$9, 100%, $E$9)</f>
        <v>9.4480000000000004</v>
      </c>
      <c r="L163" s="14">
        <f>CHOOSE(CONTROL!$C$42, 10.2756, 10.2756) * CHOOSE(CONTROL!$C$21, $C$9, 100%, $E$9)</f>
        <v>10.275600000000001</v>
      </c>
      <c r="M163" s="14">
        <f>CHOOSE(CONTROL!$C$42, 9.2549, 9.2549) * CHOOSE(CONTROL!$C$21, $C$9, 100%, $E$9)</f>
        <v>9.2548999999999992</v>
      </c>
      <c r="N163" s="14">
        <f>CHOOSE(CONTROL!$C$42, 9.2717, 9.2717) * CHOOSE(CONTROL!$C$21, $C$9, 100%, $E$9)</f>
        <v>9.2716999999999992</v>
      </c>
      <c r="O163" s="14">
        <f>CHOOSE(CONTROL!$C$42, 9.522, 9.522) * CHOOSE(CONTROL!$C$21, $C$9, 100%, $E$9)</f>
        <v>9.5220000000000002</v>
      </c>
      <c r="P163" s="14">
        <f>CHOOSE(CONTROL!$C$42, 9.2891, 9.2891) * CHOOSE(CONTROL!$C$21, $C$9, 100%, $E$9)</f>
        <v>9.2890999999999995</v>
      </c>
      <c r="Q163" s="14">
        <f>CHOOSE(CONTROL!$C$42, 10.1167, 10.1167) * CHOOSE(CONTROL!$C$21, $C$9, 100%, $E$9)</f>
        <v>10.1167</v>
      </c>
      <c r="R163" s="14">
        <f>CHOOSE(CONTROL!$C$42, 10.729, 10.729) * CHOOSE(CONTROL!$C$21, $C$9, 100%, $E$9)</f>
        <v>10.728999999999999</v>
      </c>
      <c r="S163" s="14">
        <f>CHOOSE(CONTROL!$C$42, 9.0231, 9.0231) * CHOOSE(CONTROL!$C$21, $C$9, 100%, $E$9)</f>
        <v>9.0230999999999995</v>
      </c>
      <c r="T1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63" s="56">
        <f>(1000*CHOOSE(CONTROL!$C$42, 695, 695)*CHOOSE(CONTROL!$C$42, 0.5599, 0.5599)*CHOOSE(CONTROL!$C$42, 31, 31))/1000000</f>
        <v>12.063045499999998</v>
      </c>
      <c r="V163" s="56">
        <f>(1000*CHOOSE(CONTROL!$C$42, 500, 500)*CHOOSE(CONTROL!$C$42, 0.275, 0.275)*CHOOSE(CONTROL!$C$42, 31, 31))/1000000</f>
        <v>4.2625000000000002</v>
      </c>
      <c r="W163" s="56">
        <f>(1000*CHOOSE(CONTROL!$C$42, 0.1146, 0.1146)*CHOOSE(CONTROL!$C$42, 121.5, 121.5)*CHOOSE(CONTROL!$C$42, 31, 31))/1000000</f>
        <v>0.43164089999999994</v>
      </c>
      <c r="X163" s="56">
        <f>(31*0.1790888*245000/1000000)+(31*0.2374*100000/1000000)</f>
        <v>2.0961194359999999</v>
      </c>
      <c r="Y163" s="56"/>
      <c r="Z163" s="14"/>
      <c r="AA163" s="55"/>
      <c r="AB163" s="49">
        <f>(B163*194.205+C163*267.466+D163*133.845+E163*53.484+F163*40+G163*185+H163*0+I163*100+J163*300)/(194.205+267.466+133.845+53.484+0+40+185+100+300)</f>
        <v>9.457603909733125</v>
      </c>
      <c r="AC163" s="45">
        <f>(M163*'RAP TEMPLATE-GAS AVAILABILITY'!O162+N163*'RAP TEMPLATE-GAS AVAILABILITY'!P162+O163*'RAP TEMPLATE-GAS AVAILABILITY'!Q162+P163*'RAP TEMPLATE-GAS AVAILABILITY'!R162)/('RAP TEMPLATE-GAS AVAILABILITY'!O162+'RAP TEMPLATE-GAS AVAILABILITY'!P162+'RAP TEMPLATE-GAS AVAILABILITY'!Q162+'RAP TEMPLATE-GAS AVAILABILITY'!R162)</f>
        <v>9.3386302158273384</v>
      </c>
    </row>
    <row r="164" spans="1:29" ht="15.75" x14ac:dyDescent="0.25">
      <c r="A164" s="13">
        <v>45870</v>
      </c>
      <c r="B164" s="14">
        <f>CHOOSE(CONTROL!$C$42, 8.9559, 8.9559) * CHOOSE(CONTROL!$C$21, $C$9, 100%, $E$9)</f>
        <v>8.9558999999999997</v>
      </c>
      <c r="C164" s="14">
        <f>CHOOSE(CONTROL!$C$42, 8.964, 8.964) * CHOOSE(CONTROL!$C$21, $C$9, 100%, $E$9)</f>
        <v>8.9640000000000004</v>
      </c>
      <c r="D164" s="14">
        <f>CHOOSE(CONTROL!$C$42, 9.2231, 9.2231) * CHOOSE(CONTROL!$C$21, $C$9, 100%, $E$9)</f>
        <v>9.2231000000000005</v>
      </c>
      <c r="E164" s="14">
        <f>CHOOSE(CONTROL!$C$42, 9.2545, 9.2545) * CHOOSE(CONTROL!$C$21, $C$9, 100%, $E$9)</f>
        <v>9.2545000000000002</v>
      </c>
      <c r="F164" s="14">
        <f>CHOOSE(CONTROL!$C$42, 8.9783, 8.9783)*CHOOSE(CONTROL!$C$21, $C$9, 100%, $E$9)</f>
        <v>8.9783000000000008</v>
      </c>
      <c r="G164" s="14">
        <f>CHOOSE(CONTROL!$C$42, 8.9956, 8.9956)*CHOOSE(CONTROL!$C$21, $C$9, 100%, $E$9)</f>
        <v>8.9955999999999996</v>
      </c>
      <c r="H164" s="14">
        <f>CHOOSE(CONTROL!$C$42, 9.2432, 9.2432) * CHOOSE(CONTROL!$C$21, $C$9, 100%, $E$9)</f>
        <v>9.2431999999999999</v>
      </c>
      <c r="I164" s="14">
        <f>CHOOSE(CONTROL!$C$42, 9.0051, 9.0051)* CHOOSE(CONTROL!$C$21, $C$9, 100%, $E$9)</f>
        <v>9.0051000000000005</v>
      </c>
      <c r="J164" s="14">
        <f>CHOOSE(CONTROL!$C$42, 8.9713, 8.9713)* CHOOSE(CONTROL!$C$21, $C$9, 100%, $E$9)</f>
        <v>8.9712999999999994</v>
      </c>
      <c r="K164" s="52">
        <f>CHOOSE(CONTROL!$C$42, 9.0012, 9.0012) * CHOOSE(CONTROL!$C$21, $C$9, 100%, $E$9)</f>
        <v>9.0012000000000008</v>
      </c>
      <c r="L164" s="14">
        <f>CHOOSE(CONTROL!$C$42, 9.8302, 9.8302) * CHOOSE(CONTROL!$C$21, $C$9, 100%, $E$9)</f>
        <v>9.8301999999999996</v>
      </c>
      <c r="M164" s="14">
        <f>CHOOSE(CONTROL!$C$42, 8.8177, 8.8177) * CHOOSE(CONTROL!$C$21, $C$9, 100%, $E$9)</f>
        <v>8.8177000000000003</v>
      </c>
      <c r="N164" s="14">
        <f>CHOOSE(CONTROL!$C$42, 8.8346, 8.8346) * CHOOSE(CONTROL!$C$21, $C$9, 100%, $E$9)</f>
        <v>8.8346</v>
      </c>
      <c r="O164" s="14">
        <f>CHOOSE(CONTROL!$C$42, 9.0846, 9.0846) * CHOOSE(CONTROL!$C$21, $C$9, 100%, $E$9)</f>
        <v>9.0846</v>
      </c>
      <c r="P164" s="14">
        <f>CHOOSE(CONTROL!$C$42, 8.8504, 8.8504) * CHOOSE(CONTROL!$C$21, $C$9, 100%, $E$9)</f>
        <v>8.8504000000000005</v>
      </c>
      <c r="Q164" s="14">
        <f>CHOOSE(CONTROL!$C$42, 9.6793, 9.6793) * CHOOSE(CONTROL!$C$21, $C$9, 100%, $E$9)</f>
        <v>9.6792999999999996</v>
      </c>
      <c r="R164" s="14">
        <f>CHOOSE(CONTROL!$C$42, 10.2905, 10.2905) * CHOOSE(CONTROL!$C$21, $C$9, 100%, $E$9)</f>
        <v>10.2905</v>
      </c>
      <c r="S164" s="14">
        <f>CHOOSE(CONTROL!$C$42, 8.5951, 8.5951) * CHOOSE(CONTROL!$C$21, $C$9, 100%, $E$9)</f>
        <v>8.5951000000000004</v>
      </c>
      <c r="T1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64" s="56">
        <f>(1000*CHOOSE(CONTROL!$C$42, 695, 695)*CHOOSE(CONTROL!$C$42, 0.5599, 0.5599)*CHOOSE(CONTROL!$C$42, 31, 31))/1000000</f>
        <v>12.063045499999998</v>
      </c>
      <c r="V164" s="56">
        <f>(1000*CHOOSE(CONTROL!$C$42, 500, 500)*CHOOSE(CONTROL!$C$42, 0.275, 0.275)*CHOOSE(CONTROL!$C$42, 31, 31))/1000000</f>
        <v>4.2625000000000002</v>
      </c>
      <c r="W164" s="56">
        <f>(1000*CHOOSE(CONTROL!$C$42, 0.1146, 0.1146)*CHOOSE(CONTROL!$C$42, 121.5, 121.5)*CHOOSE(CONTROL!$C$42, 31, 31))/1000000</f>
        <v>0.43164089999999994</v>
      </c>
      <c r="X164" s="56">
        <f>(31*0.1790888*245000/1000000)+(31*0.2374*100000/1000000)</f>
        <v>2.0961194359999999</v>
      </c>
      <c r="Y164" s="56"/>
      <c r="Z164" s="14"/>
      <c r="AA164" s="55"/>
      <c r="AB164" s="49">
        <f>(B164*194.205+C164*267.466+D164*133.845+E164*53.484+F164*40+G164*185+H164*0+I164*100+J164*300)/(194.205+267.466+133.845+53.484+0+40+185+100+300)</f>
        <v>9.0121642708006284</v>
      </c>
      <c r="AC164" s="45">
        <f>(M164*'RAP TEMPLATE-GAS AVAILABILITY'!O163+N164*'RAP TEMPLATE-GAS AVAILABILITY'!P163+O164*'RAP TEMPLATE-GAS AVAILABILITY'!Q163+P164*'RAP TEMPLATE-GAS AVAILABILITY'!R163)/('RAP TEMPLATE-GAS AVAILABILITY'!O163+'RAP TEMPLATE-GAS AVAILABILITY'!P163+'RAP TEMPLATE-GAS AVAILABILITY'!Q163+'RAP TEMPLATE-GAS AVAILABILITY'!R163)</f>
        <v>8.9011812949640294</v>
      </c>
    </row>
    <row r="165" spans="1:29" ht="15.75" x14ac:dyDescent="0.25">
      <c r="A165" s="13">
        <v>45901</v>
      </c>
      <c r="B165" s="14">
        <f>CHOOSE(CONTROL!$C$42, 8.4051, 8.4051) * CHOOSE(CONTROL!$C$21, $C$9, 100%, $E$9)</f>
        <v>8.4050999999999991</v>
      </c>
      <c r="C165" s="14">
        <f>CHOOSE(CONTROL!$C$42, 8.4132, 8.4132) * CHOOSE(CONTROL!$C$21, $C$9, 100%, $E$9)</f>
        <v>8.4131999999999998</v>
      </c>
      <c r="D165" s="14">
        <f>CHOOSE(CONTROL!$C$42, 8.6722, 8.6722) * CHOOSE(CONTROL!$C$21, $C$9, 100%, $E$9)</f>
        <v>8.6722000000000001</v>
      </c>
      <c r="E165" s="14">
        <f>CHOOSE(CONTROL!$C$42, 8.7037, 8.7037) * CHOOSE(CONTROL!$C$21, $C$9, 100%, $E$9)</f>
        <v>8.7036999999999995</v>
      </c>
      <c r="F165" s="14">
        <f>CHOOSE(CONTROL!$C$42, 8.4276, 8.4276)*CHOOSE(CONTROL!$C$21, $C$9, 100%, $E$9)</f>
        <v>8.4276</v>
      </c>
      <c r="G165" s="14">
        <f>CHOOSE(CONTROL!$C$42, 8.4448, 8.4448)*CHOOSE(CONTROL!$C$21, $C$9, 100%, $E$9)</f>
        <v>8.4448000000000008</v>
      </c>
      <c r="H165" s="14">
        <f>CHOOSE(CONTROL!$C$42, 8.6923, 8.6923) * CHOOSE(CONTROL!$C$21, $C$9, 100%, $E$9)</f>
        <v>8.6922999999999995</v>
      </c>
      <c r="I165" s="14">
        <f>CHOOSE(CONTROL!$C$42, 8.4526, 8.4526)* CHOOSE(CONTROL!$C$21, $C$9, 100%, $E$9)</f>
        <v>8.4526000000000003</v>
      </c>
      <c r="J165" s="14">
        <f>CHOOSE(CONTROL!$C$42, 8.4206, 8.4206)* CHOOSE(CONTROL!$C$21, $C$9, 100%, $E$9)</f>
        <v>8.4206000000000003</v>
      </c>
      <c r="K165" s="52">
        <f>CHOOSE(CONTROL!$C$42, 8.4487, 8.4487) * CHOOSE(CONTROL!$C$21, $C$9, 100%, $E$9)</f>
        <v>8.4487000000000005</v>
      </c>
      <c r="L165" s="14">
        <f>CHOOSE(CONTROL!$C$42, 9.2793, 9.2793) * CHOOSE(CONTROL!$C$21, $C$9, 100%, $E$9)</f>
        <v>9.2792999999999992</v>
      </c>
      <c r="M165" s="14">
        <f>CHOOSE(CONTROL!$C$42, 8.2768, 8.2768) * CHOOSE(CONTROL!$C$21, $C$9, 100%, $E$9)</f>
        <v>8.2767999999999997</v>
      </c>
      <c r="N165" s="14">
        <f>CHOOSE(CONTROL!$C$42, 8.2938, 8.2938) * CHOOSE(CONTROL!$C$21, $C$9, 100%, $E$9)</f>
        <v>8.2937999999999992</v>
      </c>
      <c r="O165" s="14">
        <f>CHOOSE(CONTROL!$C$42, 8.5437, 8.5437) * CHOOSE(CONTROL!$C$21, $C$9, 100%, $E$9)</f>
        <v>8.5436999999999994</v>
      </c>
      <c r="P165" s="14">
        <f>CHOOSE(CONTROL!$C$42, 8.3078, 8.3078) * CHOOSE(CONTROL!$C$21, $C$9, 100%, $E$9)</f>
        <v>8.3078000000000003</v>
      </c>
      <c r="Q165" s="14">
        <f>CHOOSE(CONTROL!$C$42, 9.1384, 9.1384) * CHOOSE(CONTROL!$C$21, $C$9, 100%, $E$9)</f>
        <v>9.1384000000000007</v>
      </c>
      <c r="R165" s="14">
        <f>CHOOSE(CONTROL!$C$42, 9.7482, 9.7482) * CHOOSE(CONTROL!$C$21, $C$9, 100%, $E$9)</f>
        <v>9.7482000000000006</v>
      </c>
      <c r="S165" s="14">
        <f>CHOOSE(CONTROL!$C$42, 8.0659, 8.0659) * CHOOSE(CONTROL!$C$21, $C$9, 100%, $E$9)</f>
        <v>8.0658999999999992</v>
      </c>
      <c r="T1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65" s="56">
        <f>(1000*CHOOSE(CONTROL!$C$42, 695, 695)*CHOOSE(CONTROL!$C$42, 0.5599, 0.5599)*CHOOSE(CONTROL!$C$42, 30, 30))/1000000</f>
        <v>11.673914999999997</v>
      </c>
      <c r="V165" s="56">
        <f>(1000*CHOOSE(CONTROL!$C$42, 500, 500)*CHOOSE(CONTROL!$C$42, 0.275, 0.275)*CHOOSE(CONTROL!$C$42, 30, 30))/1000000</f>
        <v>4.125</v>
      </c>
      <c r="W165" s="56">
        <f>(1000*CHOOSE(CONTROL!$C$42, 0.1146, 0.1146)*CHOOSE(CONTROL!$C$42, 121.5, 121.5)*CHOOSE(CONTROL!$C$42, 30, 30))/1000000</f>
        <v>0.417717</v>
      </c>
      <c r="X165" s="56">
        <f>(30*0.1790888*245000/1000000)+(30*0.2374*100000/1000000)</f>
        <v>2.0285026799999999</v>
      </c>
      <c r="Y165" s="56"/>
      <c r="Z165" s="14"/>
      <c r="AA165" s="55"/>
      <c r="AB165" s="49">
        <f>(B165*194.205+C165*267.466+D165*133.845+E165*53.484+F165*40+G165*185+H165*0+I165*100+J165*300)/(194.205+267.466+133.845+53.484+0+40+185+100+300)</f>
        <v>8.4612470145211951</v>
      </c>
      <c r="AC165" s="45">
        <f>(M165*'RAP TEMPLATE-GAS AVAILABILITY'!O164+N165*'RAP TEMPLATE-GAS AVAILABILITY'!P164+O165*'RAP TEMPLATE-GAS AVAILABILITY'!Q164+P165*'RAP TEMPLATE-GAS AVAILABILITY'!R164)/('RAP TEMPLATE-GAS AVAILABILITY'!O164+'RAP TEMPLATE-GAS AVAILABILITY'!P164+'RAP TEMPLATE-GAS AVAILABILITY'!Q164+'RAP TEMPLATE-GAS AVAILABILITY'!R164)</f>
        <v>8.360059712230214</v>
      </c>
    </row>
    <row r="166" spans="1:29" ht="15.75" x14ac:dyDescent="0.25">
      <c r="A166" s="13">
        <v>45931</v>
      </c>
      <c r="B166" s="14">
        <f>CHOOSE(CONTROL!$C$42, 8.2499, 8.2499) * CHOOSE(CONTROL!$C$21, $C$9, 100%, $E$9)</f>
        <v>8.2499000000000002</v>
      </c>
      <c r="C166" s="14">
        <f>CHOOSE(CONTROL!$C$42, 8.2552, 8.2552) * CHOOSE(CONTROL!$C$21, $C$9, 100%, $E$9)</f>
        <v>8.2552000000000003</v>
      </c>
      <c r="D166" s="14">
        <f>CHOOSE(CONTROL!$C$42, 8.5193, 8.5193) * CHOOSE(CONTROL!$C$21, $C$9, 100%, $E$9)</f>
        <v>8.5192999999999994</v>
      </c>
      <c r="E166" s="14">
        <f>CHOOSE(CONTROL!$C$42, 8.5484, 8.5484) * CHOOSE(CONTROL!$C$21, $C$9, 100%, $E$9)</f>
        <v>8.5484000000000009</v>
      </c>
      <c r="F166" s="14">
        <f>CHOOSE(CONTROL!$C$42, 8.2745, 8.2745)*CHOOSE(CONTROL!$C$21, $C$9, 100%, $E$9)</f>
        <v>8.2744999999999997</v>
      </c>
      <c r="G166" s="14">
        <f>CHOOSE(CONTROL!$C$42, 8.2916, 8.2916)*CHOOSE(CONTROL!$C$21, $C$9, 100%, $E$9)</f>
        <v>8.2916000000000007</v>
      </c>
      <c r="H166" s="14">
        <f>CHOOSE(CONTROL!$C$42, 8.5389, 8.5389) * CHOOSE(CONTROL!$C$21, $C$9, 100%, $E$9)</f>
        <v>8.5388999999999999</v>
      </c>
      <c r="I166" s="14">
        <f>CHOOSE(CONTROL!$C$42, 8.2986, 8.2986)* CHOOSE(CONTROL!$C$21, $C$9, 100%, $E$9)</f>
        <v>8.2986000000000004</v>
      </c>
      <c r="J166" s="14">
        <f>CHOOSE(CONTROL!$C$42, 8.2675, 8.2675)* CHOOSE(CONTROL!$C$21, $C$9, 100%, $E$9)</f>
        <v>8.2675000000000001</v>
      </c>
      <c r="K166" s="52">
        <f>CHOOSE(CONTROL!$C$42, 8.2947, 8.2947) * CHOOSE(CONTROL!$C$21, $C$9, 100%, $E$9)</f>
        <v>8.2947000000000006</v>
      </c>
      <c r="L166" s="14">
        <f>CHOOSE(CONTROL!$C$42, 9.1259, 9.1259) * CHOOSE(CONTROL!$C$21, $C$9, 100%, $E$9)</f>
        <v>9.1258999999999997</v>
      </c>
      <c r="M166" s="14">
        <f>CHOOSE(CONTROL!$C$42, 8.1265, 8.1265) * CHOOSE(CONTROL!$C$21, $C$9, 100%, $E$9)</f>
        <v>8.1265000000000001</v>
      </c>
      <c r="N166" s="14">
        <f>CHOOSE(CONTROL!$C$42, 8.1433, 8.1433) * CHOOSE(CONTROL!$C$21, $C$9, 100%, $E$9)</f>
        <v>8.1433</v>
      </c>
      <c r="O166" s="14">
        <f>CHOOSE(CONTROL!$C$42, 8.393, 8.393) * CHOOSE(CONTROL!$C$21, $C$9, 100%, $E$9)</f>
        <v>8.3930000000000007</v>
      </c>
      <c r="P166" s="14">
        <f>CHOOSE(CONTROL!$C$42, 8.1566, 8.1566) * CHOOSE(CONTROL!$C$21, $C$9, 100%, $E$9)</f>
        <v>8.1565999999999992</v>
      </c>
      <c r="Q166" s="14">
        <f>CHOOSE(CONTROL!$C$42, 8.9877, 8.9877) * CHOOSE(CONTROL!$C$21, $C$9, 100%, $E$9)</f>
        <v>8.9877000000000002</v>
      </c>
      <c r="R166" s="14">
        <f>CHOOSE(CONTROL!$C$42, 9.5971, 9.5971) * CHOOSE(CONTROL!$C$21, $C$9, 100%, $E$9)</f>
        <v>9.5970999999999993</v>
      </c>
      <c r="S166" s="14">
        <f>CHOOSE(CONTROL!$C$42, 7.9184, 7.9184) * CHOOSE(CONTROL!$C$21, $C$9, 100%, $E$9)</f>
        <v>7.9184000000000001</v>
      </c>
      <c r="T1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66" s="56">
        <f>(1000*CHOOSE(CONTROL!$C$42, 695, 695)*CHOOSE(CONTROL!$C$42, 0.5599, 0.5599)*CHOOSE(CONTROL!$C$42, 31, 31))/1000000</f>
        <v>12.063045499999998</v>
      </c>
      <c r="V166" s="56">
        <f>(1000*CHOOSE(CONTROL!$C$42, 500, 500)*CHOOSE(CONTROL!$C$42, 0.275, 0.275)*CHOOSE(CONTROL!$C$42, 31, 31))/1000000</f>
        <v>4.2625000000000002</v>
      </c>
      <c r="W166" s="56">
        <f>(1000*CHOOSE(CONTROL!$C$42, 0.1146, 0.1146)*CHOOSE(CONTROL!$C$42, 121.5, 121.5)*CHOOSE(CONTROL!$C$42, 31, 31))/1000000</f>
        <v>0.43164089999999994</v>
      </c>
      <c r="X166" s="56">
        <f>(31*0.1790888*245000/1000000)+(31*0.2374*100000/1000000)</f>
        <v>2.0961194359999999</v>
      </c>
      <c r="Y166" s="56"/>
      <c r="Z166" s="14"/>
      <c r="AA166" s="55"/>
      <c r="AB166" s="49">
        <f>(B166*131.881+C166*277.167+D166*79.08+E166*125.872+F166*40+G166*185+H166*0+I166*100+J166*300)/(131.881+277.167+79.08+125.872+0+40+185+100+300)</f>
        <v>8.3138180218724766</v>
      </c>
      <c r="AC166" s="45">
        <f>(M166*'RAP TEMPLATE-GAS AVAILABILITY'!O165+N166*'RAP TEMPLATE-GAS AVAILABILITY'!P165+O166*'RAP TEMPLATE-GAS AVAILABILITY'!Q165+P166*'RAP TEMPLATE-GAS AVAILABILITY'!R165)/('RAP TEMPLATE-GAS AVAILABILITY'!O165+'RAP TEMPLATE-GAS AVAILABILITY'!P165+'RAP TEMPLATE-GAS AVAILABILITY'!Q165+'RAP TEMPLATE-GAS AVAILABILITY'!R165)</f>
        <v>8.2094719424460436</v>
      </c>
    </row>
    <row r="167" spans="1:29" ht="15.75" x14ac:dyDescent="0.25">
      <c r="A167" s="13">
        <v>45962</v>
      </c>
      <c r="B167" s="14">
        <f>CHOOSE(CONTROL!$C$42, 8.484, 8.484) * CHOOSE(CONTROL!$C$21, $C$9, 100%, $E$9)</f>
        <v>8.484</v>
      </c>
      <c r="C167" s="14">
        <f>CHOOSE(CONTROL!$C$42, 8.489, 8.489) * CHOOSE(CONTROL!$C$21, $C$9, 100%, $E$9)</f>
        <v>8.4890000000000008</v>
      </c>
      <c r="D167" s="14">
        <f>CHOOSE(CONTROL!$C$42, 8.5721, 8.5721) * CHOOSE(CONTROL!$C$21, $C$9, 100%, $E$9)</f>
        <v>8.5721000000000007</v>
      </c>
      <c r="E167" s="14">
        <f>CHOOSE(CONTROL!$C$42, 8.6062, 8.6062) * CHOOSE(CONTROL!$C$21, $C$9, 100%, $E$9)</f>
        <v>8.6061999999999994</v>
      </c>
      <c r="F167" s="14">
        <f>CHOOSE(CONTROL!$C$42, 8.5116, 8.5116)*CHOOSE(CONTROL!$C$21, $C$9, 100%, $E$9)</f>
        <v>8.5115999999999996</v>
      </c>
      <c r="G167" s="14">
        <f>CHOOSE(CONTROL!$C$42, 8.529, 8.529)*CHOOSE(CONTROL!$C$21, $C$9, 100%, $E$9)</f>
        <v>8.5289999999999999</v>
      </c>
      <c r="H167" s="14">
        <f>CHOOSE(CONTROL!$C$42, 8.5954, 8.5954) * CHOOSE(CONTROL!$C$21, $C$9, 100%, $E$9)</f>
        <v>8.5953999999999997</v>
      </c>
      <c r="I167" s="14">
        <f>CHOOSE(CONTROL!$C$42, 8.5302, 8.5302)* CHOOSE(CONTROL!$C$21, $C$9, 100%, $E$9)</f>
        <v>8.5302000000000007</v>
      </c>
      <c r="J167" s="14">
        <f>CHOOSE(CONTROL!$C$42, 8.5046, 8.5046)* CHOOSE(CONTROL!$C$21, $C$9, 100%, $E$9)</f>
        <v>8.5045999999999999</v>
      </c>
      <c r="K167" s="52">
        <f>CHOOSE(CONTROL!$C$42, 8.5263, 8.5263) * CHOOSE(CONTROL!$C$21, $C$9, 100%, $E$9)</f>
        <v>8.5263000000000009</v>
      </c>
      <c r="L167" s="14">
        <f>CHOOSE(CONTROL!$C$42, 9.1824, 9.1824) * CHOOSE(CONTROL!$C$21, $C$9, 100%, $E$9)</f>
        <v>9.1823999999999995</v>
      </c>
      <c r="M167" s="14">
        <f>CHOOSE(CONTROL!$C$42, 8.3593, 8.3593) * CHOOSE(CONTROL!$C$21, $C$9, 100%, $E$9)</f>
        <v>8.3592999999999993</v>
      </c>
      <c r="N167" s="14">
        <f>CHOOSE(CONTROL!$C$42, 8.3764, 8.3764) * CHOOSE(CONTROL!$C$21, $C$9, 100%, $E$9)</f>
        <v>8.3764000000000003</v>
      </c>
      <c r="O167" s="14">
        <f>CHOOSE(CONTROL!$C$42, 8.4485, 8.4485) * CHOOSE(CONTROL!$C$21, $C$9, 100%, $E$9)</f>
        <v>8.4484999999999992</v>
      </c>
      <c r="P167" s="14">
        <f>CHOOSE(CONTROL!$C$42, 8.384, 8.384) * CHOOSE(CONTROL!$C$21, $C$9, 100%, $E$9)</f>
        <v>8.3840000000000003</v>
      </c>
      <c r="Q167" s="14">
        <f>CHOOSE(CONTROL!$C$42, 9.0432, 9.0432) * CHOOSE(CONTROL!$C$21, $C$9, 100%, $E$9)</f>
        <v>9.0432000000000006</v>
      </c>
      <c r="R167" s="14">
        <f>CHOOSE(CONTROL!$C$42, 9.6528, 9.6528) * CHOOSE(CONTROL!$C$21, $C$9, 100%, $E$9)</f>
        <v>9.6527999999999992</v>
      </c>
      <c r="S167" s="14">
        <f>CHOOSE(CONTROL!$C$42, 8.1437, 8.1437) * CHOOSE(CONTROL!$C$21, $C$9, 100%, $E$9)</f>
        <v>8.1437000000000008</v>
      </c>
      <c r="T1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67" s="56">
        <f>(1000*CHOOSE(CONTROL!$C$42, 695, 695)*CHOOSE(CONTROL!$C$42, 0.5599, 0.5599)*CHOOSE(CONTROL!$C$42, 30, 30))/1000000</f>
        <v>11.673914999999997</v>
      </c>
      <c r="V167" s="56">
        <f>(1000*CHOOSE(CONTROL!$C$42, 500, 500)*CHOOSE(CONTROL!$C$42, 0.275, 0.275)*CHOOSE(CONTROL!$C$42, 30, 30))/1000000</f>
        <v>4.125</v>
      </c>
      <c r="W167" s="56">
        <f>(1000*CHOOSE(CONTROL!$C$42, 0.1146, 0.1146)*CHOOSE(CONTROL!$C$42, 121.5, 121.5)*CHOOSE(CONTROL!$C$42, 30, 30))/1000000</f>
        <v>0.417717</v>
      </c>
      <c r="X167" s="56">
        <f>(30*0.1790888*100000/1000000)+(30*0.2374*100000/1000000)</f>
        <v>1.2494664</v>
      </c>
      <c r="Y167" s="56"/>
      <c r="Z167" s="14"/>
      <c r="AA167" s="55"/>
      <c r="AB167" s="49">
        <f>(B167*122.58+C167*297.941+D167*89.177+E167*40.302+F167*40+G167*160+H167*0+I167*100+J167*300)/(122.58+297.941+89.177+40.302+0+40+160+100+300)</f>
        <v>8.5130218287826107</v>
      </c>
      <c r="AC167" s="45">
        <f>(M167*'RAP TEMPLATE-GAS AVAILABILITY'!O166+N167*'RAP TEMPLATE-GAS AVAILABILITY'!P166+O167*'RAP TEMPLATE-GAS AVAILABILITY'!Q166+P167*'RAP TEMPLATE-GAS AVAILABILITY'!R166)/('RAP TEMPLATE-GAS AVAILABILITY'!O166+'RAP TEMPLATE-GAS AVAILABILITY'!P166+'RAP TEMPLATE-GAS AVAILABILITY'!Q166+'RAP TEMPLATE-GAS AVAILABILITY'!R166)</f>
        <v>8.4042669064748186</v>
      </c>
    </row>
    <row r="168" spans="1:29" ht="15.75" x14ac:dyDescent="0.25">
      <c r="A168" s="13">
        <v>45992</v>
      </c>
      <c r="B168" s="14">
        <f>CHOOSE(CONTROL!$C$42, 9.0804, 9.0804) * CHOOSE(CONTROL!$C$21, $C$9, 100%, $E$9)</f>
        <v>9.0803999999999991</v>
      </c>
      <c r="C168" s="14">
        <f>CHOOSE(CONTROL!$C$42, 9.0855, 9.0855) * CHOOSE(CONTROL!$C$21, $C$9, 100%, $E$9)</f>
        <v>9.0854999999999997</v>
      </c>
      <c r="D168" s="14">
        <f>CHOOSE(CONTROL!$C$42, 9.1685, 9.1685) * CHOOSE(CONTROL!$C$21, $C$9, 100%, $E$9)</f>
        <v>9.1684999999999999</v>
      </c>
      <c r="E168" s="14">
        <f>CHOOSE(CONTROL!$C$42, 9.2026, 9.2026) * CHOOSE(CONTROL!$C$21, $C$9, 100%, $E$9)</f>
        <v>9.2026000000000003</v>
      </c>
      <c r="F168" s="14">
        <f>CHOOSE(CONTROL!$C$42, 9.1105, 9.1105)*CHOOSE(CONTROL!$C$21, $C$9, 100%, $E$9)</f>
        <v>9.1105</v>
      </c>
      <c r="G168" s="14">
        <f>CHOOSE(CONTROL!$C$42, 9.1285, 9.1285)*CHOOSE(CONTROL!$C$21, $C$9, 100%, $E$9)</f>
        <v>9.1285000000000007</v>
      </c>
      <c r="H168" s="14">
        <f>CHOOSE(CONTROL!$C$42, 9.1918, 9.1918) * CHOOSE(CONTROL!$C$21, $C$9, 100%, $E$9)</f>
        <v>9.1918000000000006</v>
      </c>
      <c r="I168" s="14">
        <f>CHOOSE(CONTROL!$C$42, 9.1285, 9.1285)* CHOOSE(CONTROL!$C$21, $C$9, 100%, $E$9)</f>
        <v>9.1285000000000007</v>
      </c>
      <c r="J168" s="14">
        <f>CHOOSE(CONTROL!$C$42, 9.1035, 9.1035)* CHOOSE(CONTROL!$C$21, $C$9, 100%, $E$9)</f>
        <v>9.1035000000000004</v>
      </c>
      <c r="K168" s="52">
        <f>CHOOSE(CONTROL!$C$42, 9.1246, 9.1246) * CHOOSE(CONTROL!$C$21, $C$9, 100%, $E$9)</f>
        <v>9.1245999999999992</v>
      </c>
      <c r="L168" s="14">
        <f>CHOOSE(CONTROL!$C$42, 9.7788, 9.7788) * CHOOSE(CONTROL!$C$21, $C$9, 100%, $E$9)</f>
        <v>9.7788000000000004</v>
      </c>
      <c r="M168" s="14">
        <f>CHOOSE(CONTROL!$C$42, 8.9474, 8.9474) * CHOOSE(CONTROL!$C$21, $C$9, 100%, $E$9)</f>
        <v>8.9474</v>
      </c>
      <c r="N168" s="14">
        <f>CHOOSE(CONTROL!$C$42, 8.9651, 8.9651) * CHOOSE(CONTROL!$C$21, $C$9, 100%, $E$9)</f>
        <v>8.9650999999999996</v>
      </c>
      <c r="O168" s="14">
        <f>CHOOSE(CONTROL!$C$42, 9.0342, 9.0342) * CHOOSE(CONTROL!$C$21, $C$9, 100%, $E$9)</f>
        <v>9.0342000000000002</v>
      </c>
      <c r="P168" s="14">
        <f>CHOOSE(CONTROL!$C$42, 8.9715, 8.9715) * CHOOSE(CONTROL!$C$21, $C$9, 100%, $E$9)</f>
        <v>8.9715000000000007</v>
      </c>
      <c r="Q168" s="14">
        <f>CHOOSE(CONTROL!$C$42, 9.6289, 9.6289) * CHOOSE(CONTROL!$C$21, $C$9, 100%, $E$9)</f>
        <v>9.6288999999999998</v>
      </c>
      <c r="R168" s="14">
        <f>CHOOSE(CONTROL!$C$42, 10.24, 10.24) * CHOOSE(CONTROL!$C$21, $C$9, 100%, $E$9)</f>
        <v>10.24</v>
      </c>
      <c r="S168" s="14">
        <f>CHOOSE(CONTROL!$C$42, 8.7168, 8.7168) * CHOOSE(CONTROL!$C$21, $C$9, 100%, $E$9)</f>
        <v>8.7167999999999992</v>
      </c>
      <c r="T1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68" s="56">
        <f>(1000*CHOOSE(CONTROL!$C$42, 695, 695)*CHOOSE(CONTROL!$C$42, 0.5599, 0.5599)*CHOOSE(CONTROL!$C$42, 31, 31))/1000000</f>
        <v>12.063045499999998</v>
      </c>
      <c r="V168" s="56">
        <f>(1000*CHOOSE(CONTROL!$C$42, 500, 500)*CHOOSE(CONTROL!$C$42, 0.275, 0.275)*CHOOSE(CONTROL!$C$42, 31, 31))/1000000</f>
        <v>4.2625000000000002</v>
      </c>
      <c r="W168" s="56">
        <f>(1000*CHOOSE(CONTROL!$C$42, 0.1146, 0.1146)*CHOOSE(CONTROL!$C$42, 121.5, 121.5)*CHOOSE(CONTROL!$C$42, 31, 31))/1000000</f>
        <v>0.43164089999999994</v>
      </c>
      <c r="X168" s="56">
        <f>(31*0.1790888*100000/1000000)+(31*0.2374*100000/1000000)</f>
        <v>1.2911152800000001</v>
      </c>
      <c r="Y168" s="56"/>
      <c r="Z168" s="14"/>
      <c r="AA168" s="55"/>
      <c r="AB168" s="49">
        <f>(B168*122.58+C168*297.941+D168*89.177+E168*40.302+F168*40+G168*160+H168*0+I168*100+J168*300)/(122.58+297.941+89.177+40.302+0+40+160+100+300)</f>
        <v>9.1107833888695655</v>
      </c>
      <c r="AC168" s="45">
        <f>(M168*'RAP TEMPLATE-GAS AVAILABILITY'!O167+N168*'RAP TEMPLATE-GAS AVAILABILITY'!P167+O168*'RAP TEMPLATE-GAS AVAILABILITY'!Q167+P168*'RAP TEMPLATE-GAS AVAILABILITY'!R167)/('RAP TEMPLATE-GAS AVAILABILITY'!O167+'RAP TEMPLATE-GAS AVAILABILITY'!P167+'RAP TEMPLATE-GAS AVAILABILITY'!Q167+'RAP TEMPLATE-GAS AVAILABILITY'!R167)</f>
        <v>8.9912273381294963</v>
      </c>
    </row>
    <row r="169" spans="1:29" ht="15.75" x14ac:dyDescent="0.25">
      <c r="A169" s="13">
        <v>46023</v>
      </c>
      <c r="B169" s="14">
        <f>CHOOSE(CONTROL!$C$42, 9.5874, 9.5874) * CHOOSE(CONTROL!$C$21, $C$9, 100%, $E$9)</f>
        <v>9.5874000000000006</v>
      </c>
      <c r="C169" s="14">
        <f>CHOOSE(CONTROL!$C$42, 9.5924, 9.5924) * CHOOSE(CONTROL!$C$21, $C$9, 100%, $E$9)</f>
        <v>9.5923999999999996</v>
      </c>
      <c r="D169" s="14">
        <f>CHOOSE(CONTROL!$C$42, 9.6859, 9.6859) * CHOOSE(CONTROL!$C$21, $C$9, 100%, $E$9)</f>
        <v>9.6859000000000002</v>
      </c>
      <c r="E169" s="14">
        <f>CHOOSE(CONTROL!$C$42, 9.72, 9.72) * CHOOSE(CONTROL!$C$21, $C$9, 100%, $E$9)</f>
        <v>9.7200000000000006</v>
      </c>
      <c r="F169" s="14">
        <f>CHOOSE(CONTROL!$C$42, 9.6147, 9.6147)*CHOOSE(CONTROL!$C$21, $C$9, 100%, $E$9)</f>
        <v>9.6146999999999991</v>
      </c>
      <c r="G169" s="14">
        <f>CHOOSE(CONTROL!$C$42, 9.6327, 9.6327)*CHOOSE(CONTROL!$C$21, $C$9, 100%, $E$9)</f>
        <v>9.6326999999999998</v>
      </c>
      <c r="H169" s="14">
        <f>CHOOSE(CONTROL!$C$42, 9.7092, 9.7092) * CHOOSE(CONTROL!$C$21, $C$9, 100%, $E$9)</f>
        <v>9.7091999999999992</v>
      </c>
      <c r="I169" s="14">
        <f>CHOOSE(CONTROL!$C$42, 9.6433, 9.6433)* CHOOSE(CONTROL!$C$21, $C$9, 100%, $E$9)</f>
        <v>9.6433</v>
      </c>
      <c r="J169" s="14">
        <f>CHOOSE(CONTROL!$C$42, 9.6077, 9.6077)* CHOOSE(CONTROL!$C$21, $C$9, 100%, $E$9)</f>
        <v>9.6076999999999995</v>
      </c>
      <c r="K169" s="52">
        <f>CHOOSE(CONTROL!$C$42, 9.6394, 9.6394) * CHOOSE(CONTROL!$C$21, $C$9, 100%, $E$9)</f>
        <v>9.6394000000000002</v>
      </c>
      <c r="L169" s="14">
        <f>CHOOSE(CONTROL!$C$42, 10.2962, 10.2962) * CHOOSE(CONTROL!$C$21, $C$9, 100%, $E$9)</f>
        <v>10.296200000000001</v>
      </c>
      <c r="M169" s="14">
        <f>CHOOSE(CONTROL!$C$42, 9.4426, 9.4426) * CHOOSE(CONTROL!$C$21, $C$9, 100%, $E$9)</f>
        <v>9.4426000000000005</v>
      </c>
      <c r="N169" s="14">
        <f>CHOOSE(CONTROL!$C$42, 9.4602, 9.4602) * CHOOSE(CONTROL!$C$21, $C$9, 100%, $E$9)</f>
        <v>9.4602000000000004</v>
      </c>
      <c r="O169" s="14">
        <f>CHOOSE(CONTROL!$C$42, 9.5423, 9.5423) * CHOOSE(CONTROL!$C$21, $C$9, 100%, $E$9)</f>
        <v>9.5422999999999991</v>
      </c>
      <c r="P169" s="14">
        <f>CHOOSE(CONTROL!$C$42, 9.4771, 9.4771) * CHOOSE(CONTROL!$C$21, $C$9, 100%, $E$9)</f>
        <v>9.4771000000000001</v>
      </c>
      <c r="Q169" s="14">
        <f>CHOOSE(CONTROL!$C$42, 10.137, 10.137) * CHOOSE(CONTROL!$C$21, $C$9, 100%, $E$9)</f>
        <v>10.137</v>
      </c>
      <c r="R169" s="14">
        <f>CHOOSE(CONTROL!$C$42, 10.7493, 10.7493) * CHOOSE(CONTROL!$C$21, $C$9, 100%, $E$9)</f>
        <v>10.7493</v>
      </c>
      <c r="S169" s="14">
        <f>CHOOSE(CONTROL!$C$42, 9.204, 9.204) * CHOOSE(CONTROL!$C$21, $C$9, 100%, $E$9)</f>
        <v>9.2040000000000006</v>
      </c>
      <c r="T16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69" s="56">
        <f>(1000*CHOOSE(CONTROL!$C$42, 695, 695)*CHOOSE(CONTROL!$C$42, 0.5599, 0.5599)*CHOOSE(CONTROL!$C$42, 31, 31))/1000000</f>
        <v>12.063045499999998</v>
      </c>
      <c r="V169" s="56">
        <f>(1000*CHOOSE(CONTROL!$C$42, 500, 500)*CHOOSE(CONTROL!$C$42, 0.275, 0.275)*CHOOSE(CONTROL!$C$42, 31, 31))/1000000</f>
        <v>4.2625000000000002</v>
      </c>
      <c r="W169" s="56">
        <f>(1000*CHOOSE(CONTROL!$C$42, 0.1146, 0.1146)*CHOOSE(CONTROL!$C$42, 121.5, 121.5)*CHOOSE(CONTROL!$C$42, 31, 31))/1000000</f>
        <v>0.43164089999999994</v>
      </c>
      <c r="X169" s="56">
        <f>(31*0.1790888*100000/1000000)+(31*0.2374*100000/1000000)</f>
        <v>1.2911152800000001</v>
      </c>
      <c r="Y169" s="56"/>
      <c r="Z169" s="14"/>
      <c r="AA169" s="55"/>
      <c r="AB169" s="49">
        <f>(B169*122.58+C169*297.941+D169*89.177+E169*40.302+F169*40+G169*160+H169*0+I169*100+J169*300)/(122.58+297.941+89.177+40.302+0+40+160+100+300)</f>
        <v>9.6183892910434778</v>
      </c>
      <c r="AC169" s="45">
        <f>(M169*'RAP TEMPLATE-GAS AVAILABILITY'!O168+N169*'RAP TEMPLATE-GAS AVAILABILITY'!P168+O169*'RAP TEMPLATE-GAS AVAILABILITY'!Q168+P169*'RAP TEMPLATE-GAS AVAILABILITY'!R168)/('RAP TEMPLATE-GAS AVAILABILITY'!O168+'RAP TEMPLATE-GAS AVAILABILITY'!P168+'RAP TEMPLATE-GAS AVAILABILITY'!Q168+'RAP TEMPLATE-GAS AVAILABILITY'!R168)</f>
        <v>9.4937647482014391</v>
      </c>
    </row>
    <row r="170" spans="1:29" ht="15.75" x14ac:dyDescent="0.25">
      <c r="A170" s="13">
        <v>46054</v>
      </c>
      <c r="B170" s="14">
        <f>CHOOSE(CONTROL!$C$42, 9.778, 9.778) * CHOOSE(CONTROL!$C$21, $C$9, 100%, $E$9)</f>
        <v>9.7780000000000005</v>
      </c>
      <c r="C170" s="14">
        <f>CHOOSE(CONTROL!$C$42, 9.783, 9.783) * CHOOSE(CONTROL!$C$21, $C$9, 100%, $E$9)</f>
        <v>9.7829999999999995</v>
      </c>
      <c r="D170" s="14">
        <f>CHOOSE(CONTROL!$C$42, 9.8765, 9.8765) * CHOOSE(CONTROL!$C$21, $C$9, 100%, $E$9)</f>
        <v>9.8765000000000001</v>
      </c>
      <c r="E170" s="14">
        <f>CHOOSE(CONTROL!$C$42, 9.9106, 9.9106) * CHOOSE(CONTROL!$C$21, $C$9, 100%, $E$9)</f>
        <v>9.9106000000000005</v>
      </c>
      <c r="F170" s="14">
        <f>CHOOSE(CONTROL!$C$42, 9.8049, 9.8049)*CHOOSE(CONTROL!$C$21, $C$9, 100%, $E$9)</f>
        <v>9.8048999999999999</v>
      </c>
      <c r="G170" s="14">
        <f>CHOOSE(CONTROL!$C$42, 9.8228, 9.8228)*CHOOSE(CONTROL!$C$21, $C$9, 100%, $E$9)</f>
        <v>9.8228000000000009</v>
      </c>
      <c r="H170" s="14">
        <f>CHOOSE(CONTROL!$C$42, 9.8998, 9.8998) * CHOOSE(CONTROL!$C$21, $C$9, 100%, $E$9)</f>
        <v>9.8998000000000008</v>
      </c>
      <c r="I170" s="14">
        <f>CHOOSE(CONTROL!$C$42, 9.8345, 9.8345)* CHOOSE(CONTROL!$C$21, $C$9, 100%, $E$9)</f>
        <v>9.8345000000000002</v>
      </c>
      <c r="J170" s="14">
        <f>CHOOSE(CONTROL!$C$42, 9.7979, 9.7979)* CHOOSE(CONTROL!$C$21, $C$9, 100%, $E$9)</f>
        <v>9.7979000000000003</v>
      </c>
      <c r="K170" s="52">
        <f>CHOOSE(CONTROL!$C$42, 9.8306, 9.8306) * CHOOSE(CONTROL!$C$21, $C$9, 100%, $E$9)</f>
        <v>9.8306000000000004</v>
      </c>
      <c r="L170" s="14">
        <f>CHOOSE(CONTROL!$C$42, 10.4868, 10.4868) * CHOOSE(CONTROL!$C$21, $C$9, 100%, $E$9)</f>
        <v>10.486800000000001</v>
      </c>
      <c r="M170" s="14">
        <f>CHOOSE(CONTROL!$C$42, 9.6294, 9.6294) * CHOOSE(CONTROL!$C$21, $C$9, 100%, $E$9)</f>
        <v>9.6294000000000004</v>
      </c>
      <c r="N170" s="14">
        <f>CHOOSE(CONTROL!$C$42, 9.6469, 9.6469) * CHOOSE(CONTROL!$C$21, $C$9, 100%, $E$9)</f>
        <v>9.6469000000000005</v>
      </c>
      <c r="O170" s="14">
        <f>CHOOSE(CONTROL!$C$42, 9.7294, 9.7294) * CHOOSE(CONTROL!$C$21, $C$9, 100%, $E$9)</f>
        <v>9.7294</v>
      </c>
      <c r="P170" s="14">
        <f>CHOOSE(CONTROL!$C$42, 9.6648, 9.6648) * CHOOSE(CONTROL!$C$21, $C$9, 100%, $E$9)</f>
        <v>9.6647999999999996</v>
      </c>
      <c r="Q170" s="14">
        <f>CHOOSE(CONTROL!$C$42, 10.3241, 10.3241) * CHOOSE(CONTROL!$C$21, $C$9, 100%, $E$9)</f>
        <v>10.3241</v>
      </c>
      <c r="R170" s="14">
        <f>CHOOSE(CONTROL!$C$42, 10.9369, 10.9369) * CHOOSE(CONTROL!$C$21, $C$9, 100%, $E$9)</f>
        <v>10.9369</v>
      </c>
      <c r="S170" s="14">
        <f>CHOOSE(CONTROL!$C$42, 9.3871, 9.3871) * CHOOSE(CONTROL!$C$21, $C$9, 100%, $E$9)</f>
        <v>9.3871000000000002</v>
      </c>
      <c r="T17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70" s="56">
        <f>(1000*CHOOSE(CONTROL!$C$42, 695, 695)*CHOOSE(CONTROL!$C$42, 0.5599, 0.5599)*CHOOSE(CONTROL!$C$42, 28, 28))/1000000</f>
        <v>10.895653999999999</v>
      </c>
      <c r="V170" s="56">
        <f>(1000*CHOOSE(CONTROL!$C$42, 500, 500)*CHOOSE(CONTROL!$C$42, 0.275, 0.275)*CHOOSE(CONTROL!$C$42, 28, 28))/1000000</f>
        <v>3.85</v>
      </c>
      <c r="W170" s="56">
        <f>(1000*CHOOSE(CONTROL!$C$42, 0.1146, 0.1146)*CHOOSE(CONTROL!$C$42, 121.5, 121.5)*CHOOSE(CONTROL!$C$42, 28, 28))/1000000</f>
        <v>0.38986920000000003</v>
      </c>
      <c r="X170" s="56">
        <f>(28*0.1790888*100000/1000000)+(28*0.2374*100000/1000000)</f>
        <v>1.16616864</v>
      </c>
      <c r="Y170" s="56"/>
      <c r="Z170" s="14"/>
      <c r="AA170" s="55"/>
      <c r="AB170" s="49">
        <f>(B170*122.58+C170*297.941+D170*89.177+E170*40.302+F170*40+G170*160+H170*0+I170*100+J170*300)/(122.58+297.941+89.177+40.302+0+40+160+100+300)</f>
        <v>9.8088536388695662</v>
      </c>
      <c r="AC170" s="45">
        <f>(M170*'RAP TEMPLATE-GAS AVAILABILITY'!O169+N170*'RAP TEMPLATE-GAS AVAILABILITY'!P169+O170*'RAP TEMPLATE-GAS AVAILABILITY'!Q169+P170*'RAP TEMPLATE-GAS AVAILABILITY'!R169)/('RAP TEMPLATE-GAS AVAILABILITY'!O169+'RAP TEMPLATE-GAS AVAILABILITY'!P169+'RAP TEMPLATE-GAS AVAILABILITY'!Q169+'RAP TEMPLATE-GAS AVAILABILITY'!R169)</f>
        <v>9.6808244604316549</v>
      </c>
    </row>
    <row r="171" spans="1:29" ht="15.75" x14ac:dyDescent="0.25">
      <c r="A171" s="13">
        <v>46082</v>
      </c>
      <c r="B171" s="14">
        <f>CHOOSE(CONTROL!$C$42, 9.5202, 9.5202) * CHOOSE(CONTROL!$C$21, $C$9, 100%, $E$9)</f>
        <v>9.5202000000000009</v>
      </c>
      <c r="C171" s="14">
        <f>CHOOSE(CONTROL!$C$42, 9.5252, 9.5252) * CHOOSE(CONTROL!$C$21, $C$9, 100%, $E$9)</f>
        <v>9.5251999999999999</v>
      </c>
      <c r="D171" s="14">
        <f>CHOOSE(CONTROL!$C$42, 9.6187, 9.6187) * CHOOSE(CONTROL!$C$21, $C$9, 100%, $E$9)</f>
        <v>9.6187000000000005</v>
      </c>
      <c r="E171" s="14">
        <f>CHOOSE(CONTROL!$C$42, 9.6528, 9.6528) * CHOOSE(CONTROL!$C$21, $C$9, 100%, $E$9)</f>
        <v>9.6527999999999992</v>
      </c>
      <c r="F171" s="14">
        <f>CHOOSE(CONTROL!$C$42, 9.5463, 9.5463)*CHOOSE(CONTROL!$C$21, $C$9, 100%, $E$9)</f>
        <v>9.5463000000000005</v>
      </c>
      <c r="G171" s="14">
        <f>CHOOSE(CONTROL!$C$42, 9.5639, 9.5639)*CHOOSE(CONTROL!$C$21, $C$9, 100%, $E$9)</f>
        <v>9.5639000000000003</v>
      </c>
      <c r="H171" s="14">
        <f>CHOOSE(CONTROL!$C$42, 9.642, 9.642) * CHOOSE(CONTROL!$C$21, $C$9, 100%, $E$9)</f>
        <v>9.6419999999999995</v>
      </c>
      <c r="I171" s="14">
        <f>CHOOSE(CONTROL!$C$42, 9.5759, 9.5759)* CHOOSE(CONTROL!$C$21, $C$9, 100%, $E$9)</f>
        <v>9.5759000000000007</v>
      </c>
      <c r="J171" s="14">
        <f>CHOOSE(CONTROL!$C$42, 9.5393, 9.5393)* CHOOSE(CONTROL!$C$21, $C$9, 100%, $E$9)</f>
        <v>9.5393000000000008</v>
      </c>
      <c r="K171" s="52">
        <f>CHOOSE(CONTROL!$C$42, 9.572, 9.572) * CHOOSE(CONTROL!$C$21, $C$9, 100%, $E$9)</f>
        <v>9.5719999999999992</v>
      </c>
      <c r="L171" s="14">
        <f>CHOOSE(CONTROL!$C$42, 10.229, 10.229) * CHOOSE(CONTROL!$C$21, $C$9, 100%, $E$9)</f>
        <v>10.228999999999999</v>
      </c>
      <c r="M171" s="14">
        <f>CHOOSE(CONTROL!$C$42, 9.3754, 9.3754) * CHOOSE(CONTROL!$C$21, $C$9, 100%, $E$9)</f>
        <v>9.3754000000000008</v>
      </c>
      <c r="N171" s="14">
        <f>CHOOSE(CONTROL!$C$42, 9.3927, 9.3927) * CHOOSE(CONTROL!$C$21, $C$9, 100%, $E$9)</f>
        <v>9.3926999999999996</v>
      </c>
      <c r="O171" s="14">
        <f>CHOOSE(CONTROL!$C$42, 9.4763, 9.4763) * CHOOSE(CONTROL!$C$21, $C$9, 100%, $E$9)</f>
        <v>9.4763000000000002</v>
      </c>
      <c r="P171" s="14">
        <f>CHOOSE(CONTROL!$C$42, 9.4109, 9.4109) * CHOOSE(CONTROL!$C$21, $C$9, 100%, $E$9)</f>
        <v>9.4108999999999998</v>
      </c>
      <c r="Q171" s="14">
        <f>CHOOSE(CONTROL!$C$42, 10.071, 10.071) * CHOOSE(CONTROL!$C$21, $C$9, 100%, $E$9)</f>
        <v>10.071</v>
      </c>
      <c r="R171" s="14">
        <f>CHOOSE(CONTROL!$C$42, 10.6832, 10.6832) * CHOOSE(CONTROL!$C$21, $C$9, 100%, $E$9)</f>
        <v>10.683199999999999</v>
      </c>
      <c r="S171" s="14">
        <f>CHOOSE(CONTROL!$C$42, 9.1394, 9.1394) * CHOOSE(CONTROL!$C$21, $C$9, 100%, $E$9)</f>
        <v>9.1394000000000002</v>
      </c>
      <c r="T17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71" s="56">
        <f>(1000*CHOOSE(CONTROL!$C$42, 695, 695)*CHOOSE(CONTROL!$C$42, 0.5599, 0.5599)*CHOOSE(CONTROL!$C$42, 31, 31))/1000000</f>
        <v>12.063045499999998</v>
      </c>
      <c r="V171" s="56">
        <f>(1000*CHOOSE(CONTROL!$C$42, 500, 500)*CHOOSE(CONTROL!$C$42, 0.275, 0.275)*CHOOSE(CONTROL!$C$42, 31, 31))/1000000</f>
        <v>4.2625000000000002</v>
      </c>
      <c r="W171" s="56">
        <f>(1000*CHOOSE(CONTROL!$C$42, 0.1146, 0.1146)*CHOOSE(CONTROL!$C$42, 121.5, 121.5)*CHOOSE(CONTROL!$C$42, 31, 31))/1000000</f>
        <v>0.43164089999999994</v>
      </c>
      <c r="X171" s="56">
        <f>(31*0.1790888*100000/1000000)+(31*0.2374*100000/1000000)</f>
        <v>1.2911152800000001</v>
      </c>
      <c r="Y171" s="56"/>
      <c r="Z171" s="14"/>
      <c r="AA171" s="55"/>
      <c r="AB171" s="49">
        <f>(B171*122.58+C171*297.941+D171*89.177+E171*40.302+F171*40+G171*160+H171*0+I171*100+J171*300)/(122.58+297.941+89.177+40.302+0+40+160+100+300)</f>
        <v>9.5505945084347825</v>
      </c>
      <c r="AC171" s="45">
        <f>(M171*'RAP TEMPLATE-GAS AVAILABILITY'!O170+N171*'RAP TEMPLATE-GAS AVAILABILITY'!P170+O171*'RAP TEMPLATE-GAS AVAILABILITY'!Q170+P171*'RAP TEMPLATE-GAS AVAILABILITY'!R170)/('RAP TEMPLATE-GAS AVAILABILITY'!O170+'RAP TEMPLATE-GAS AVAILABILITY'!P170+'RAP TEMPLATE-GAS AVAILABILITY'!Q170+'RAP TEMPLATE-GAS AVAILABILITY'!R170)</f>
        <v>9.4272352517985603</v>
      </c>
    </row>
    <row r="172" spans="1:29" ht="15.75" x14ac:dyDescent="0.25">
      <c r="A172" s="13">
        <v>46113</v>
      </c>
      <c r="B172" s="14">
        <f>CHOOSE(CONTROL!$C$42, 9.5122, 9.5122) * CHOOSE(CONTROL!$C$21, $C$9, 100%, $E$9)</f>
        <v>9.5122</v>
      </c>
      <c r="C172" s="14">
        <f>CHOOSE(CONTROL!$C$42, 9.5167, 9.5167) * CHOOSE(CONTROL!$C$21, $C$9, 100%, $E$9)</f>
        <v>9.5167000000000002</v>
      </c>
      <c r="D172" s="14">
        <f>CHOOSE(CONTROL!$C$42, 9.779, 9.779) * CHOOSE(CONTROL!$C$21, $C$9, 100%, $E$9)</f>
        <v>9.7789999999999999</v>
      </c>
      <c r="E172" s="14">
        <f>CHOOSE(CONTROL!$C$42, 9.8111, 9.8111) * CHOOSE(CONTROL!$C$21, $C$9, 100%, $E$9)</f>
        <v>9.8110999999999997</v>
      </c>
      <c r="F172" s="14">
        <f>CHOOSE(CONTROL!$C$42, 9.5351, 9.5351)*CHOOSE(CONTROL!$C$21, $C$9, 100%, $E$9)</f>
        <v>9.5350999999999999</v>
      </c>
      <c r="G172" s="14">
        <f>CHOOSE(CONTROL!$C$42, 9.5518, 9.5518)*CHOOSE(CONTROL!$C$21, $C$9, 100%, $E$9)</f>
        <v>9.5518000000000001</v>
      </c>
      <c r="H172" s="14">
        <f>CHOOSE(CONTROL!$C$42, 9.8009, 9.8009) * CHOOSE(CONTROL!$C$21, $C$9, 100%, $E$9)</f>
        <v>9.8009000000000004</v>
      </c>
      <c r="I172" s="14">
        <f>CHOOSE(CONTROL!$C$42, 9.5645, 9.5645)* CHOOSE(CONTROL!$C$21, $C$9, 100%, $E$9)</f>
        <v>9.5645000000000007</v>
      </c>
      <c r="J172" s="14">
        <f>CHOOSE(CONTROL!$C$42, 9.5281, 9.5281)* CHOOSE(CONTROL!$C$21, $C$9, 100%, $E$9)</f>
        <v>9.5281000000000002</v>
      </c>
      <c r="K172" s="52">
        <f>CHOOSE(CONTROL!$C$42, 9.5606, 9.5606) * CHOOSE(CONTROL!$C$21, $C$9, 100%, $E$9)</f>
        <v>9.5606000000000009</v>
      </c>
      <c r="L172" s="14">
        <f>CHOOSE(CONTROL!$C$42, 10.3879, 10.3879) * CHOOSE(CONTROL!$C$21, $C$9, 100%, $E$9)</f>
        <v>10.3879</v>
      </c>
      <c r="M172" s="14">
        <f>CHOOSE(CONTROL!$C$42, 9.3644, 9.3644) * CHOOSE(CONTROL!$C$21, $C$9, 100%, $E$9)</f>
        <v>9.3643999999999998</v>
      </c>
      <c r="N172" s="14">
        <f>CHOOSE(CONTROL!$C$42, 9.3808, 9.3808) * CHOOSE(CONTROL!$C$21, $C$9, 100%, $E$9)</f>
        <v>9.3808000000000007</v>
      </c>
      <c r="O172" s="14">
        <f>CHOOSE(CONTROL!$C$42, 9.6323, 9.6323) * CHOOSE(CONTROL!$C$21, $C$9, 100%, $E$9)</f>
        <v>9.6323000000000008</v>
      </c>
      <c r="P172" s="14">
        <f>CHOOSE(CONTROL!$C$42, 9.3997, 9.3997) * CHOOSE(CONTROL!$C$21, $C$9, 100%, $E$9)</f>
        <v>9.3996999999999993</v>
      </c>
      <c r="Q172" s="14">
        <f>CHOOSE(CONTROL!$C$42, 10.227, 10.227) * CHOOSE(CONTROL!$C$21, $C$9, 100%, $E$9)</f>
        <v>10.227</v>
      </c>
      <c r="R172" s="14">
        <f>CHOOSE(CONTROL!$C$42, 10.8395, 10.8395) * CHOOSE(CONTROL!$C$21, $C$9, 100%, $E$9)</f>
        <v>10.839499999999999</v>
      </c>
      <c r="S172" s="14">
        <f>CHOOSE(CONTROL!$C$42, 9.131, 9.131) * CHOOSE(CONTROL!$C$21, $C$9, 100%, $E$9)</f>
        <v>9.1310000000000002</v>
      </c>
      <c r="T17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72" s="56">
        <f>(1000*CHOOSE(CONTROL!$C$42, 695, 695)*CHOOSE(CONTROL!$C$42, 0.5599, 0.5599)*CHOOSE(CONTROL!$C$42, 30, 30))/1000000</f>
        <v>11.673914999999997</v>
      </c>
      <c r="V172" s="56">
        <f>(1000*CHOOSE(CONTROL!$C$42, 500, 500)*CHOOSE(CONTROL!$C$42, 0.275, 0.275)*CHOOSE(CONTROL!$C$42, 30, 30))/1000000</f>
        <v>4.125</v>
      </c>
      <c r="W172" s="56">
        <f>(1000*CHOOSE(CONTROL!$C$42, 0.1146, 0.1146)*CHOOSE(CONTROL!$C$42, 121.5, 121.5)*CHOOSE(CONTROL!$C$42, 30, 30))/1000000</f>
        <v>0.417717</v>
      </c>
      <c r="X172" s="56">
        <f>(30*0.1790888*245000/1000000)+(30*0.2374*100000/1000000)</f>
        <v>2.0285026799999999</v>
      </c>
      <c r="Y172" s="56"/>
      <c r="Z172" s="14"/>
      <c r="AA172" s="55"/>
      <c r="AB172" s="49">
        <f>(B172*141.293+C172*267.993+D172*115.016+E172*89.698+F172*40+G172*185+H172*0+I172*100+J172*300)/(141.293+267.993+115.016+89.698+0+40+185+100+300)</f>
        <v>9.5743024774011314</v>
      </c>
      <c r="AC172" s="45">
        <f>(M172*'RAP TEMPLATE-GAS AVAILABILITY'!O171+N172*'RAP TEMPLATE-GAS AVAILABILITY'!P171+O172*'RAP TEMPLATE-GAS AVAILABILITY'!Q171+P172*'RAP TEMPLATE-GAS AVAILABILITY'!R171)/('RAP TEMPLATE-GAS AVAILABILITY'!O171+'RAP TEMPLATE-GAS AVAILABILITY'!P171+'RAP TEMPLATE-GAS AVAILABILITY'!Q171+'RAP TEMPLATE-GAS AVAILABILITY'!R171)</f>
        <v>9.4484208633093534</v>
      </c>
    </row>
    <row r="173" spans="1:29" ht="15.75" x14ac:dyDescent="0.25">
      <c r="A173" s="13">
        <v>46143</v>
      </c>
      <c r="B173" s="14">
        <f>CHOOSE(CONTROL!$C$42, 9.6172, 9.6172) * CHOOSE(CONTROL!$C$21, $C$9, 100%, $E$9)</f>
        <v>9.6172000000000004</v>
      </c>
      <c r="C173" s="14">
        <f>CHOOSE(CONTROL!$C$42, 9.6253, 9.6253) * CHOOSE(CONTROL!$C$21, $C$9, 100%, $E$9)</f>
        <v>9.6252999999999993</v>
      </c>
      <c r="D173" s="14">
        <f>CHOOSE(CONTROL!$C$42, 9.8844, 9.8844) * CHOOSE(CONTROL!$C$21, $C$9, 100%, $E$9)</f>
        <v>9.8843999999999994</v>
      </c>
      <c r="E173" s="14">
        <f>CHOOSE(CONTROL!$C$42, 9.9158, 9.9158) * CHOOSE(CONTROL!$C$21, $C$9, 100%, $E$9)</f>
        <v>9.9158000000000008</v>
      </c>
      <c r="F173" s="14">
        <f>CHOOSE(CONTROL!$C$42, 9.6388, 9.6388)*CHOOSE(CONTROL!$C$21, $C$9, 100%, $E$9)</f>
        <v>9.6387999999999998</v>
      </c>
      <c r="G173" s="14">
        <f>CHOOSE(CONTROL!$C$42, 9.6557, 9.6557)*CHOOSE(CONTROL!$C$21, $C$9, 100%, $E$9)</f>
        <v>9.6556999999999995</v>
      </c>
      <c r="H173" s="14">
        <f>CHOOSE(CONTROL!$C$42, 9.9045, 9.9045) * CHOOSE(CONTROL!$C$21, $C$9, 100%, $E$9)</f>
        <v>9.9045000000000005</v>
      </c>
      <c r="I173" s="14">
        <f>CHOOSE(CONTROL!$C$42, 9.6685, 9.6685)* CHOOSE(CONTROL!$C$21, $C$9, 100%, $E$9)</f>
        <v>9.6684999999999999</v>
      </c>
      <c r="J173" s="14">
        <f>CHOOSE(CONTROL!$C$42, 9.6318, 9.6318)* CHOOSE(CONTROL!$C$21, $C$9, 100%, $E$9)</f>
        <v>9.6318000000000001</v>
      </c>
      <c r="K173" s="52">
        <f>CHOOSE(CONTROL!$C$42, 9.6646, 9.6646) * CHOOSE(CONTROL!$C$21, $C$9, 100%, $E$9)</f>
        <v>9.6646000000000001</v>
      </c>
      <c r="L173" s="14">
        <f>CHOOSE(CONTROL!$C$42, 10.4915, 10.4915) * CHOOSE(CONTROL!$C$21, $C$9, 100%, $E$9)</f>
        <v>10.4915</v>
      </c>
      <c r="M173" s="14">
        <f>CHOOSE(CONTROL!$C$42, 9.4662, 9.4662) * CHOOSE(CONTROL!$C$21, $C$9, 100%, $E$9)</f>
        <v>9.4662000000000006</v>
      </c>
      <c r="N173" s="14">
        <f>CHOOSE(CONTROL!$C$42, 9.4829, 9.4829) * CHOOSE(CONTROL!$C$21, $C$9, 100%, $E$9)</f>
        <v>9.4829000000000008</v>
      </c>
      <c r="O173" s="14">
        <f>CHOOSE(CONTROL!$C$42, 9.734, 9.734) * CHOOSE(CONTROL!$C$21, $C$9, 100%, $E$9)</f>
        <v>9.734</v>
      </c>
      <c r="P173" s="14">
        <f>CHOOSE(CONTROL!$C$42, 9.5018, 9.5018) * CHOOSE(CONTROL!$C$21, $C$9, 100%, $E$9)</f>
        <v>9.5017999999999994</v>
      </c>
      <c r="Q173" s="14">
        <f>CHOOSE(CONTROL!$C$42, 10.3287, 10.3287) * CHOOSE(CONTROL!$C$21, $C$9, 100%, $E$9)</f>
        <v>10.3287</v>
      </c>
      <c r="R173" s="14">
        <f>CHOOSE(CONTROL!$C$42, 10.9415, 10.9415) * CHOOSE(CONTROL!$C$21, $C$9, 100%, $E$9)</f>
        <v>10.9415</v>
      </c>
      <c r="S173" s="14">
        <f>CHOOSE(CONTROL!$C$42, 9.2306, 9.2306) * CHOOSE(CONTROL!$C$21, $C$9, 100%, $E$9)</f>
        <v>9.2306000000000008</v>
      </c>
      <c r="T17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73" s="56">
        <f>(1000*CHOOSE(CONTROL!$C$42, 695, 695)*CHOOSE(CONTROL!$C$42, 0.5599, 0.5599)*CHOOSE(CONTROL!$C$42, 31, 31))/1000000</f>
        <v>12.063045499999998</v>
      </c>
      <c r="V173" s="56">
        <f>(1000*CHOOSE(CONTROL!$C$42, 500, 500)*CHOOSE(CONTROL!$C$42, 0.275, 0.275)*CHOOSE(CONTROL!$C$42, 31, 31))/1000000</f>
        <v>4.2625000000000002</v>
      </c>
      <c r="W173" s="56">
        <f>(1000*CHOOSE(CONTROL!$C$42, 0.1146, 0.1146)*CHOOSE(CONTROL!$C$42, 121.5, 121.5)*CHOOSE(CONTROL!$C$42, 31, 31))/1000000</f>
        <v>0.43164089999999994</v>
      </c>
      <c r="X173" s="56">
        <f>(31*0.1790888*245000/1000000)+(31*0.2374*100000/1000000)</f>
        <v>2.0961194359999999</v>
      </c>
      <c r="Y173" s="56"/>
      <c r="Z173" s="14"/>
      <c r="AA173" s="55"/>
      <c r="AB173" s="49">
        <f>(B173*194.205+C173*267.466+D173*133.845+E173*53.484+F173*40+G173*185+H173*0+I173*100+J173*300)/(194.205+267.466+133.845+53.484+0+40+185+100+300)</f>
        <v>9.673241350863421</v>
      </c>
      <c r="AC173" s="45">
        <f>(M173*'RAP TEMPLATE-GAS AVAILABILITY'!O172+N173*'RAP TEMPLATE-GAS AVAILABILITY'!P172+O173*'RAP TEMPLATE-GAS AVAILABILITY'!Q172+P173*'RAP TEMPLATE-GAS AVAILABILITY'!R172)/('RAP TEMPLATE-GAS AVAILABILITY'!O172+'RAP TEMPLATE-GAS AVAILABILITY'!P172+'RAP TEMPLATE-GAS AVAILABILITY'!Q172+'RAP TEMPLATE-GAS AVAILABILITY'!R172)</f>
        <v>9.550305035971224</v>
      </c>
    </row>
    <row r="174" spans="1:29" ht="15.75" x14ac:dyDescent="0.25">
      <c r="A174" s="13">
        <v>46174</v>
      </c>
      <c r="B174" s="14">
        <f>CHOOSE(CONTROL!$C$42, 9.9101, 9.9101) * CHOOSE(CONTROL!$C$21, $C$9, 100%, $E$9)</f>
        <v>9.9100999999999999</v>
      </c>
      <c r="C174" s="14">
        <f>CHOOSE(CONTROL!$C$42, 9.9181, 9.9181) * CHOOSE(CONTROL!$C$21, $C$9, 100%, $E$9)</f>
        <v>9.9181000000000008</v>
      </c>
      <c r="D174" s="14">
        <f>CHOOSE(CONTROL!$C$42, 10.1772, 10.1772) * CHOOSE(CONTROL!$C$21, $C$9, 100%, $E$9)</f>
        <v>10.177199999999999</v>
      </c>
      <c r="E174" s="14">
        <f>CHOOSE(CONTROL!$C$42, 10.2086, 10.2086) * CHOOSE(CONTROL!$C$21, $C$9, 100%, $E$9)</f>
        <v>10.208600000000001</v>
      </c>
      <c r="F174" s="14">
        <f>CHOOSE(CONTROL!$C$42, 9.9318, 9.9318)*CHOOSE(CONTROL!$C$21, $C$9, 100%, $E$9)</f>
        <v>9.9318000000000008</v>
      </c>
      <c r="G174" s="14">
        <f>CHOOSE(CONTROL!$C$42, 9.9489, 9.9489)*CHOOSE(CONTROL!$C$21, $C$9, 100%, $E$9)</f>
        <v>9.9489000000000001</v>
      </c>
      <c r="H174" s="14">
        <f>CHOOSE(CONTROL!$C$42, 10.1973, 10.1973) * CHOOSE(CONTROL!$C$21, $C$9, 100%, $E$9)</f>
        <v>10.1973</v>
      </c>
      <c r="I174" s="14">
        <f>CHOOSE(CONTROL!$C$42, 9.9622, 9.9622)* CHOOSE(CONTROL!$C$21, $C$9, 100%, $E$9)</f>
        <v>9.9621999999999993</v>
      </c>
      <c r="J174" s="14">
        <f>CHOOSE(CONTROL!$C$42, 9.9248, 9.9248)* CHOOSE(CONTROL!$C$21, $C$9, 100%, $E$9)</f>
        <v>9.9247999999999994</v>
      </c>
      <c r="K174" s="52">
        <f>CHOOSE(CONTROL!$C$42, 9.9583, 9.9583) * CHOOSE(CONTROL!$C$21, $C$9, 100%, $E$9)</f>
        <v>9.9582999999999995</v>
      </c>
      <c r="L174" s="14">
        <f>CHOOSE(CONTROL!$C$42, 10.7843, 10.7843) * CHOOSE(CONTROL!$C$21, $C$9, 100%, $E$9)</f>
        <v>10.7843</v>
      </c>
      <c r="M174" s="14">
        <f>CHOOSE(CONTROL!$C$42, 9.754, 9.754) * CHOOSE(CONTROL!$C$21, $C$9, 100%, $E$9)</f>
        <v>9.7539999999999996</v>
      </c>
      <c r="N174" s="14">
        <f>CHOOSE(CONTROL!$C$42, 9.7707, 9.7707) * CHOOSE(CONTROL!$C$21, $C$9, 100%, $E$9)</f>
        <v>9.7706999999999997</v>
      </c>
      <c r="O174" s="14">
        <f>CHOOSE(CONTROL!$C$42, 10.0215, 10.0215) * CHOOSE(CONTROL!$C$21, $C$9, 100%, $E$9)</f>
        <v>10.0215</v>
      </c>
      <c r="P174" s="14">
        <f>CHOOSE(CONTROL!$C$42, 9.7902, 9.7902) * CHOOSE(CONTROL!$C$21, $C$9, 100%, $E$9)</f>
        <v>9.7902000000000005</v>
      </c>
      <c r="Q174" s="14">
        <f>CHOOSE(CONTROL!$C$42, 10.6162, 10.6162) * CHOOSE(CONTROL!$C$21, $C$9, 100%, $E$9)</f>
        <v>10.616199999999999</v>
      </c>
      <c r="R174" s="14">
        <f>CHOOSE(CONTROL!$C$42, 11.2298, 11.2298) * CHOOSE(CONTROL!$C$21, $C$9, 100%, $E$9)</f>
        <v>11.229799999999999</v>
      </c>
      <c r="S174" s="14">
        <f>CHOOSE(CONTROL!$C$42, 9.5119, 9.5119) * CHOOSE(CONTROL!$C$21, $C$9, 100%, $E$9)</f>
        <v>9.5119000000000007</v>
      </c>
      <c r="T17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74" s="56">
        <f>(1000*CHOOSE(CONTROL!$C$42, 695, 695)*CHOOSE(CONTROL!$C$42, 0.5599, 0.5599)*CHOOSE(CONTROL!$C$42, 30, 30))/1000000</f>
        <v>11.673914999999997</v>
      </c>
      <c r="V174" s="56">
        <f>(1000*CHOOSE(CONTROL!$C$42, 500, 500)*CHOOSE(CONTROL!$C$42, 0.275, 0.275)*CHOOSE(CONTROL!$C$42, 30, 30))/1000000</f>
        <v>4.125</v>
      </c>
      <c r="W174" s="56">
        <f>(1000*CHOOSE(CONTROL!$C$42, 0.1146, 0.1146)*CHOOSE(CONTROL!$C$42, 121.5, 121.5)*CHOOSE(CONTROL!$C$42, 30, 30))/1000000</f>
        <v>0.417717</v>
      </c>
      <c r="X174" s="56">
        <f>(30*0.1790888*245000/1000000)+(30*0.2374*100000/1000000)</f>
        <v>2.0285026799999999</v>
      </c>
      <c r="Y174" s="56"/>
      <c r="Z174" s="14"/>
      <c r="AA174" s="55"/>
      <c r="AB174" s="49">
        <f>(B174*194.205+C174*267.466+D174*133.845+E174*53.484+F174*40+G174*185+H174*0+I174*100+J174*300)/(194.205+267.466+133.845+53.484+0+40+185+100+300)</f>
        <v>9.9662386981946618</v>
      </c>
      <c r="AC174" s="45">
        <f>(M174*'RAP TEMPLATE-GAS AVAILABILITY'!O173+N174*'RAP TEMPLATE-GAS AVAILABILITY'!P173+O174*'RAP TEMPLATE-GAS AVAILABILITY'!Q173+P174*'RAP TEMPLATE-GAS AVAILABILITY'!R173)/('RAP TEMPLATE-GAS AVAILABILITY'!O173+'RAP TEMPLATE-GAS AVAILABILITY'!P173+'RAP TEMPLATE-GAS AVAILABILITY'!Q173+'RAP TEMPLATE-GAS AVAILABILITY'!R173)</f>
        <v>9.8381071942446052</v>
      </c>
    </row>
    <row r="175" spans="1:29" ht="15.75" x14ac:dyDescent="0.25">
      <c r="A175" s="13">
        <v>46204</v>
      </c>
      <c r="B175" s="14">
        <f>CHOOSE(CONTROL!$C$42, 9.7402, 9.7402) * CHOOSE(CONTROL!$C$21, $C$9, 100%, $E$9)</f>
        <v>9.7401999999999997</v>
      </c>
      <c r="C175" s="14">
        <f>CHOOSE(CONTROL!$C$42, 9.7482, 9.7482) * CHOOSE(CONTROL!$C$21, $C$9, 100%, $E$9)</f>
        <v>9.7482000000000006</v>
      </c>
      <c r="D175" s="14">
        <f>CHOOSE(CONTROL!$C$42, 10.0073, 10.0073) * CHOOSE(CONTROL!$C$21, $C$9, 100%, $E$9)</f>
        <v>10.007300000000001</v>
      </c>
      <c r="E175" s="14">
        <f>CHOOSE(CONTROL!$C$42, 10.0387, 10.0387) * CHOOSE(CONTROL!$C$21, $C$9, 100%, $E$9)</f>
        <v>10.0387</v>
      </c>
      <c r="F175" s="14">
        <f>CHOOSE(CONTROL!$C$42, 9.7624, 9.7624)*CHOOSE(CONTROL!$C$21, $C$9, 100%, $E$9)</f>
        <v>9.7623999999999995</v>
      </c>
      <c r="G175" s="14">
        <f>CHOOSE(CONTROL!$C$42, 9.7795, 9.7795)*CHOOSE(CONTROL!$C$21, $C$9, 100%, $E$9)</f>
        <v>9.7795000000000005</v>
      </c>
      <c r="H175" s="14">
        <f>CHOOSE(CONTROL!$C$42, 10.0274, 10.0274) * CHOOSE(CONTROL!$C$21, $C$9, 100%, $E$9)</f>
        <v>10.0274</v>
      </c>
      <c r="I175" s="14">
        <f>CHOOSE(CONTROL!$C$42, 9.7918, 9.7918)* CHOOSE(CONTROL!$C$21, $C$9, 100%, $E$9)</f>
        <v>9.7918000000000003</v>
      </c>
      <c r="J175" s="14">
        <f>CHOOSE(CONTROL!$C$42, 9.7554, 9.7554)* CHOOSE(CONTROL!$C$21, $C$9, 100%, $E$9)</f>
        <v>9.7553999999999998</v>
      </c>
      <c r="K175" s="52">
        <f>CHOOSE(CONTROL!$C$42, 9.7879, 9.7879) * CHOOSE(CONTROL!$C$21, $C$9, 100%, $E$9)</f>
        <v>9.7879000000000005</v>
      </c>
      <c r="L175" s="14">
        <f>CHOOSE(CONTROL!$C$42, 10.6144, 10.6144) * CHOOSE(CONTROL!$C$21, $C$9, 100%, $E$9)</f>
        <v>10.6144</v>
      </c>
      <c r="M175" s="14">
        <f>CHOOSE(CONTROL!$C$42, 9.5876, 9.5876) * CHOOSE(CONTROL!$C$21, $C$9, 100%, $E$9)</f>
        <v>9.5876000000000001</v>
      </c>
      <c r="N175" s="14">
        <f>CHOOSE(CONTROL!$C$42, 9.6044, 9.6044) * CHOOSE(CONTROL!$C$21, $C$9, 100%, $E$9)</f>
        <v>9.6044</v>
      </c>
      <c r="O175" s="14">
        <f>CHOOSE(CONTROL!$C$42, 9.8547, 9.8547) * CHOOSE(CONTROL!$C$21, $C$9, 100%, $E$9)</f>
        <v>9.8546999999999993</v>
      </c>
      <c r="P175" s="14">
        <f>CHOOSE(CONTROL!$C$42, 9.6229, 9.6229) * CHOOSE(CONTROL!$C$21, $C$9, 100%, $E$9)</f>
        <v>9.6228999999999996</v>
      </c>
      <c r="Q175" s="14">
        <f>CHOOSE(CONTROL!$C$42, 10.4494, 10.4494) * CHOOSE(CONTROL!$C$21, $C$9, 100%, $E$9)</f>
        <v>10.449400000000001</v>
      </c>
      <c r="R175" s="14">
        <f>CHOOSE(CONTROL!$C$42, 11.0625, 11.0625) * CHOOSE(CONTROL!$C$21, $C$9, 100%, $E$9)</f>
        <v>11.0625</v>
      </c>
      <c r="S175" s="14">
        <f>CHOOSE(CONTROL!$C$42, 9.3487, 9.3487) * CHOOSE(CONTROL!$C$21, $C$9, 100%, $E$9)</f>
        <v>9.3486999999999991</v>
      </c>
      <c r="T17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75" s="56">
        <f>(1000*CHOOSE(CONTROL!$C$42, 695, 695)*CHOOSE(CONTROL!$C$42, 0.5599, 0.5599)*CHOOSE(CONTROL!$C$42, 31, 31))/1000000</f>
        <v>12.063045499999998</v>
      </c>
      <c r="V175" s="56">
        <f>(1000*CHOOSE(CONTROL!$C$42, 500, 500)*CHOOSE(CONTROL!$C$42, 0.275, 0.275)*CHOOSE(CONTROL!$C$42, 31, 31))/1000000</f>
        <v>4.2625000000000002</v>
      </c>
      <c r="W175" s="56">
        <f>(1000*CHOOSE(CONTROL!$C$42, 0.1146, 0.1146)*CHOOSE(CONTROL!$C$42, 121.5, 121.5)*CHOOSE(CONTROL!$C$42, 31, 31))/1000000</f>
        <v>0.43164089999999994</v>
      </c>
      <c r="X175" s="56">
        <f>(31*0.1790888*245000/1000000)+(31*0.2374*100000/1000000)</f>
        <v>2.0961194359999999</v>
      </c>
      <c r="Y175" s="56"/>
      <c r="Z175" s="14"/>
      <c r="AA175" s="55"/>
      <c r="AB175" s="49">
        <f>(B175*194.205+C175*267.466+D175*133.845+E175*53.484+F175*40+G175*185+H175*0+I175*100+J175*300)/(194.205+267.466+133.845+53.484+0+40+185+100+300)</f>
        <v>9.7965054956828883</v>
      </c>
      <c r="AC175" s="45">
        <f>(M175*'RAP TEMPLATE-GAS AVAILABILITY'!O174+N175*'RAP TEMPLATE-GAS AVAILABILITY'!P174+O175*'RAP TEMPLATE-GAS AVAILABILITY'!Q174+P175*'RAP TEMPLATE-GAS AVAILABILITY'!R174)/('RAP TEMPLATE-GAS AVAILABILITY'!O174+'RAP TEMPLATE-GAS AVAILABILITY'!P174+'RAP TEMPLATE-GAS AVAILABILITY'!Q174+'RAP TEMPLATE-GAS AVAILABILITY'!R174)</f>
        <v>9.6714884892086328</v>
      </c>
    </row>
    <row r="176" spans="1:29" ht="15.75" x14ac:dyDescent="0.25">
      <c r="A176" s="13">
        <v>46235</v>
      </c>
      <c r="B176" s="14">
        <f>CHOOSE(CONTROL!$C$42, 9.2787, 9.2787) * CHOOSE(CONTROL!$C$21, $C$9, 100%, $E$9)</f>
        <v>9.2787000000000006</v>
      </c>
      <c r="C176" s="14">
        <f>CHOOSE(CONTROL!$C$42, 9.2867, 9.2867) * CHOOSE(CONTROL!$C$21, $C$9, 100%, $E$9)</f>
        <v>9.2866999999999997</v>
      </c>
      <c r="D176" s="14">
        <f>CHOOSE(CONTROL!$C$42, 9.5458, 9.5458) * CHOOSE(CONTROL!$C$21, $C$9, 100%, $E$9)</f>
        <v>9.5457999999999998</v>
      </c>
      <c r="E176" s="14">
        <f>CHOOSE(CONTROL!$C$42, 9.5773, 9.5773) * CHOOSE(CONTROL!$C$21, $C$9, 100%, $E$9)</f>
        <v>9.5772999999999993</v>
      </c>
      <c r="F176" s="14">
        <f>CHOOSE(CONTROL!$C$42, 9.3011, 9.3011)*CHOOSE(CONTROL!$C$21, $C$9, 100%, $E$9)</f>
        <v>9.3010999999999999</v>
      </c>
      <c r="G176" s="14">
        <f>CHOOSE(CONTROL!$C$42, 9.3183, 9.3183)*CHOOSE(CONTROL!$C$21, $C$9, 100%, $E$9)</f>
        <v>9.3183000000000007</v>
      </c>
      <c r="H176" s="14">
        <f>CHOOSE(CONTROL!$C$42, 9.5659, 9.5659) * CHOOSE(CONTROL!$C$21, $C$9, 100%, $E$9)</f>
        <v>9.5658999999999992</v>
      </c>
      <c r="I176" s="14">
        <f>CHOOSE(CONTROL!$C$42, 9.3288, 9.3288)* CHOOSE(CONTROL!$C$21, $C$9, 100%, $E$9)</f>
        <v>9.3287999999999993</v>
      </c>
      <c r="J176" s="14">
        <f>CHOOSE(CONTROL!$C$42, 9.2941, 9.2941)* CHOOSE(CONTROL!$C$21, $C$9, 100%, $E$9)</f>
        <v>9.2941000000000003</v>
      </c>
      <c r="K176" s="52">
        <f>CHOOSE(CONTROL!$C$42, 9.325, 9.325) * CHOOSE(CONTROL!$C$21, $C$9, 100%, $E$9)</f>
        <v>9.3249999999999993</v>
      </c>
      <c r="L176" s="14">
        <f>CHOOSE(CONTROL!$C$42, 10.1529, 10.1529) * CHOOSE(CONTROL!$C$21, $C$9, 100%, $E$9)</f>
        <v>10.152900000000001</v>
      </c>
      <c r="M176" s="14">
        <f>CHOOSE(CONTROL!$C$42, 9.1346, 9.1346) * CHOOSE(CONTROL!$C$21, $C$9, 100%, $E$9)</f>
        <v>9.1346000000000007</v>
      </c>
      <c r="N176" s="14">
        <f>CHOOSE(CONTROL!$C$42, 9.1515, 9.1515) * CHOOSE(CONTROL!$C$21, $C$9, 100%, $E$9)</f>
        <v>9.1515000000000004</v>
      </c>
      <c r="O176" s="14">
        <f>CHOOSE(CONTROL!$C$42, 9.4015, 9.4015) * CHOOSE(CONTROL!$C$21, $C$9, 100%, $E$9)</f>
        <v>9.4015000000000004</v>
      </c>
      <c r="P176" s="14">
        <f>CHOOSE(CONTROL!$C$42, 9.1683, 9.1683) * CHOOSE(CONTROL!$C$21, $C$9, 100%, $E$9)</f>
        <v>9.1683000000000003</v>
      </c>
      <c r="Q176" s="14">
        <f>CHOOSE(CONTROL!$C$42, 9.9962, 9.9962) * CHOOSE(CONTROL!$C$21, $C$9, 100%, $E$9)</f>
        <v>9.9962</v>
      </c>
      <c r="R176" s="14">
        <f>CHOOSE(CONTROL!$C$42, 10.6082, 10.6082) * CHOOSE(CONTROL!$C$21, $C$9, 100%, $E$9)</f>
        <v>10.6082</v>
      </c>
      <c r="S176" s="14">
        <f>CHOOSE(CONTROL!$C$42, 8.9053, 8.9053) * CHOOSE(CONTROL!$C$21, $C$9, 100%, $E$9)</f>
        <v>8.9053000000000004</v>
      </c>
      <c r="T17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76" s="56">
        <f>(1000*CHOOSE(CONTROL!$C$42, 695, 695)*CHOOSE(CONTROL!$C$42, 0.5599, 0.5599)*CHOOSE(CONTROL!$C$42, 31, 31))/1000000</f>
        <v>12.063045499999998</v>
      </c>
      <c r="V176" s="56">
        <f>(1000*CHOOSE(CONTROL!$C$42, 500, 500)*CHOOSE(CONTROL!$C$42, 0.275, 0.275)*CHOOSE(CONTROL!$C$42, 31, 31))/1000000</f>
        <v>4.2625000000000002</v>
      </c>
      <c r="W176" s="56">
        <f>(1000*CHOOSE(CONTROL!$C$42, 0.1146, 0.1146)*CHOOSE(CONTROL!$C$42, 121.5, 121.5)*CHOOSE(CONTROL!$C$42, 31, 31))/1000000</f>
        <v>0.43164089999999994</v>
      </c>
      <c r="X176" s="56">
        <f>(31*0.1790888*245000/1000000)+(31*0.2374*100000/1000000)</f>
        <v>2.0961194359999999</v>
      </c>
      <c r="Y176" s="56"/>
      <c r="Z176" s="14"/>
      <c r="AA176" s="55"/>
      <c r="AB176" s="49">
        <f>(B176*194.205+C176*267.466+D176*133.845+E176*53.484+F176*40+G176*185+H176*0+I176*100+J176*300)/(194.205+267.466+133.845+53.484+0+40+185+100+300)</f>
        <v>9.3349888931711131</v>
      </c>
      <c r="AC176" s="45">
        <f>(M176*'RAP TEMPLATE-GAS AVAILABILITY'!O175+N176*'RAP TEMPLATE-GAS AVAILABILITY'!P175+O176*'RAP TEMPLATE-GAS AVAILABILITY'!Q175+P176*'RAP TEMPLATE-GAS AVAILABILITY'!R175)/('RAP TEMPLATE-GAS AVAILABILITY'!O175+'RAP TEMPLATE-GAS AVAILABILITY'!P175+'RAP TEMPLATE-GAS AVAILABILITY'!Q175+'RAP TEMPLATE-GAS AVAILABILITY'!R175)</f>
        <v>9.2182251798561143</v>
      </c>
    </row>
    <row r="177" spans="1:29" ht="15.75" x14ac:dyDescent="0.25">
      <c r="A177" s="13">
        <v>46266</v>
      </c>
      <c r="B177" s="14">
        <f>CHOOSE(CONTROL!$C$42, 8.708, 8.708) * CHOOSE(CONTROL!$C$21, $C$9, 100%, $E$9)</f>
        <v>8.7080000000000002</v>
      </c>
      <c r="C177" s="14">
        <f>CHOOSE(CONTROL!$C$42, 8.716, 8.716) * CHOOSE(CONTROL!$C$21, $C$9, 100%, $E$9)</f>
        <v>8.7159999999999993</v>
      </c>
      <c r="D177" s="14">
        <f>CHOOSE(CONTROL!$C$42, 8.9751, 8.9751) * CHOOSE(CONTROL!$C$21, $C$9, 100%, $E$9)</f>
        <v>8.9750999999999994</v>
      </c>
      <c r="E177" s="14">
        <f>CHOOSE(CONTROL!$C$42, 9.0066, 9.0066) * CHOOSE(CONTROL!$C$21, $C$9, 100%, $E$9)</f>
        <v>9.0066000000000006</v>
      </c>
      <c r="F177" s="14">
        <f>CHOOSE(CONTROL!$C$42, 8.7305, 8.7305)*CHOOSE(CONTROL!$C$21, $C$9, 100%, $E$9)</f>
        <v>8.7304999999999993</v>
      </c>
      <c r="G177" s="14">
        <f>CHOOSE(CONTROL!$C$42, 8.7477, 8.7477)*CHOOSE(CONTROL!$C$21, $C$9, 100%, $E$9)</f>
        <v>8.7477</v>
      </c>
      <c r="H177" s="14">
        <f>CHOOSE(CONTROL!$C$42, 8.9952, 8.9952) * CHOOSE(CONTROL!$C$21, $C$9, 100%, $E$9)</f>
        <v>8.9952000000000005</v>
      </c>
      <c r="I177" s="14">
        <f>CHOOSE(CONTROL!$C$42, 8.7564, 8.7564)* CHOOSE(CONTROL!$C$21, $C$9, 100%, $E$9)</f>
        <v>8.7563999999999993</v>
      </c>
      <c r="J177" s="14">
        <f>CHOOSE(CONTROL!$C$42, 8.7235, 8.7235)* CHOOSE(CONTROL!$C$21, $C$9, 100%, $E$9)</f>
        <v>8.7234999999999996</v>
      </c>
      <c r="K177" s="52">
        <f>CHOOSE(CONTROL!$C$42, 8.7525, 8.7525) * CHOOSE(CONTROL!$C$21, $C$9, 100%, $E$9)</f>
        <v>8.7524999999999995</v>
      </c>
      <c r="L177" s="14">
        <f>CHOOSE(CONTROL!$C$42, 9.5822, 9.5822) * CHOOSE(CONTROL!$C$21, $C$9, 100%, $E$9)</f>
        <v>9.5822000000000003</v>
      </c>
      <c r="M177" s="14">
        <f>CHOOSE(CONTROL!$C$42, 8.5743, 8.5743) * CHOOSE(CONTROL!$C$21, $C$9, 100%, $E$9)</f>
        <v>8.5742999999999991</v>
      </c>
      <c r="N177" s="14">
        <f>CHOOSE(CONTROL!$C$42, 8.5912, 8.5912) * CHOOSE(CONTROL!$C$21, $C$9, 100%, $E$9)</f>
        <v>8.5912000000000006</v>
      </c>
      <c r="O177" s="14">
        <f>CHOOSE(CONTROL!$C$42, 8.8411, 8.8411) * CHOOSE(CONTROL!$C$21, $C$9, 100%, $E$9)</f>
        <v>8.8411000000000008</v>
      </c>
      <c r="P177" s="14">
        <f>CHOOSE(CONTROL!$C$42, 8.6062, 8.6062) * CHOOSE(CONTROL!$C$21, $C$9, 100%, $E$9)</f>
        <v>8.6061999999999994</v>
      </c>
      <c r="Q177" s="14">
        <f>CHOOSE(CONTROL!$C$42, 9.4358, 9.4358) * CHOOSE(CONTROL!$C$21, $C$9, 100%, $E$9)</f>
        <v>9.4358000000000004</v>
      </c>
      <c r="R177" s="14">
        <f>CHOOSE(CONTROL!$C$42, 10.0464, 10.0464) * CHOOSE(CONTROL!$C$21, $C$9, 100%, $E$9)</f>
        <v>10.0464</v>
      </c>
      <c r="S177" s="14">
        <f>CHOOSE(CONTROL!$C$42, 8.3569, 8.3569) * CHOOSE(CONTROL!$C$21, $C$9, 100%, $E$9)</f>
        <v>8.3568999999999996</v>
      </c>
      <c r="T17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77" s="56">
        <f>(1000*CHOOSE(CONTROL!$C$42, 695, 695)*CHOOSE(CONTROL!$C$42, 0.5599, 0.5599)*CHOOSE(CONTROL!$C$42, 30, 30))/1000000</f>
        <v>11.673914999999997</v>
      </c>
      <c r="V177" s="56">
        <f>(1000*CHOOSE(CONTROL!$C$42, 500, 500)*CHOOSE(CONTROL!$C$42, 0.275, 0.275)*CHOOSE(CONTROL!$C$42, 30, 30))/1000000</f>
        <v>4.125</v>
      </c>
      <c r="W177" s="56">
        <f>(1000*CHOOSE(CONTROL!$C$42, 0.1146, 0.1146)*CHOOSE(CONTROL!$C$42, 121.5, 121.5)*CHOOSE(CONTROL!$C$42, 30, 30))/1000000</f>
        <v>0.417717</v>
      </c>
      <c r="X177" s="56">
        <f>(30*0.1790888*245000/1000000)+(30*0.2374*100000/1000000)</f>
        <v>2.0285026799999999</v>
      </c>
      <c r="Y177" s="56"/>
      <c r="Z177" s="14"/>
      <c r="AA177" s="55"/>
      <c r="AB177" s="49">
        <f>(B177*194.205+C177*267.466+D177*133.845+E177*53.484+F177*40+G177*185+H177*0+I177*100+J177*300)/(194.205+267.466+133.845+53.484+0+40+185+100+300)</f>
        <v>8.7641966639717417</v>
      </c>
      <c r="AC177" s="45">
        <f>(M177*'RAP TEMPLATE-GAS AVAILABILITY'!O176+N177*'RAP TEMPLATE-GAS AVAILABILITY'!P176+O177*'RAP TEMPLATE-GAS AVAILABILITY'!Q176+P177*'RAP TEMPLATE-GAS AVAILABILITY'!R176)/('RAP TEMPLATE-GAS AVAILABILITY'!O176+'RAP TEMPLATE-GAS AVAILABILITY'!P176+'RAP TEMPLATE-GAS AVAILABILITY'!Q176+'RAP TEMPLATE-GAS AVAILABILITY'!R176)</f>
        <v>8.6576381294964033</v>
      </c>
    </row>
    <row r="178" spans="1:29" ht="15.75" x14ac:dyDescent="0.25">
      <c r="A178" s="13">
        <v>46296</v>
      </c>
      <c r="B178" s="14">
        <f>CHOOSE(CONTROL!$C$42, 8.5472, 8.5472) * CHOOSE(CONTROL!$C$21, $C$9, 100%, $E$9)</f>
        <v>8.5472000000000001</v>
      </c>
      <c r="C178" s="14">
        <f>CHOOSE(CONTROL!$C$42, 8.5526, 8.5526) * CHOOSE(CONTROL!$C$21, $C$9, 100%, $E$9)</f>
        <v>8.5526</v>
      </c>
      <c r="D178" s="14">
        <f>CHOOSE(CONTROL!$C$42, 8.8166, 8.8166) * CHOOSE(CONTROL!$C$21, $C$9, 100%, $E$9)</f>
        <v>8.8165999999999993</v>
      </c>
      <c r="E178" s="14">
        <f>CHOOSE(CONTROL!$C$42, 8.8457, 8.8457) * CHOOSE(CONTROL!$C$21, $C$9, 100%, $E$9)</f>
        <v>8.8457000000000008</v>
      </c>
      <c r="F178" s="14">
        <f>CHOOSE(CONTROL!$C$42, 8.5719, 8.5719)*CHOOSE(CONTROL!$C$21, $C$9, 100%, $E$9)</f>
        <v>8.5718999999999994</v>
      </c>
      <c r="G178" s="14">
        <f>CHOOSE(CONTROL!$C$42, 8.589, 8.589)*CHOOSE(CONTROL!$C$21, $C$9, 100%, $E$9)</f>
        <v>8.5890000000000004</v>
      </c>
      <c r="H178" s="14">
        <f>CHOOSE(CONTROL!$C$42, 8.8362, 8.8362) * CHOOSE(CONTROL!$C$21, $C$9, 100%, $E$9)</f>
        <v>8.8361999999999998</v>
      </c>
      <c r="I178" s="14">
        <f>CHOOSE(CONTROL!$C$42, 8.5969, 8.5969)* CHOOSE(CONTROL!$C$21, $C$9, 100%, $E$9)</f>
        <v>8.5968999999999998</v>
      </c>
      <c r="J178" s="14">
        <f>CHOOSE(CONTROL!$C$42, 8.5649, 8.5649)* CHOOSE(CONTROL!$C$21, $C$9, 100%, $E$9)</f>
        <v>8.5648999999999997</v>
      </c>
      <c r="K178" s="52">
        <f>CHOOSE(CONTROL!$C$42, 8.593, 8.593) * CHOOSE(CONTROL!$C$21, $C$9, 100%, $E$9)</f>
        <v>8.593</v>
      </c>
      <c r="L178" s="14">
        <f>CHOOSE(CONTROL!$C$42, 9.4232, 9.4232) * CHOOSE(CONTROL!$C$21, $C$9, 100%, $E$9)</f>
        <v>9.4231999999999996</v>
      </c>
      <c r="M178" s="14">
        <f>CHOOSE(CONTROL!$C$42, 8.4185, 8.4185) * CHOOSE(CONTROL!$C$21, $C$9, 100%, $E$9)</f>
        <v>8.4184999999999999</v>
      </c>
      <c r="N178" s="14">
        <f>CHOOSE(CONTROL!$C$42, 8.4353, 8.4353) * CHOOSE(CONTROL!$C$21, $C$9, 100%, $E$9)</f>
        <v>8.4352999999999998</v>
      </c>
      <c r="O178" s="14">
        <f>CHOOSE(CONTROL!$C$42, 8.685, 8.685) * CHOOSE(CONTROL!$C$21, $C$9, 100%, $E$9)</f>
        <v>8.6850000000000005</v>
      </c>
      <c r="P178" s="14">
        <f>CHOOSE(CONTROL!$C$42, 8.4495, 8.4495) * CHOOSE(CONTROL!$C$21, $C$9, 100%, $E$9)</f>
        <v>8.4495000000000005</v>
      </c>
      <c r="Q178" s="14">
        <f>CHOOSE(CONTROL!$C$42, 9.2797, 9.2797) * CHOOSE(CONTROL!$C$21, $C$9, 100%, $E$9)</f>
        <v>9.2797000000000001</v>
      </c>
      <c r="R178" s="14">
        <f>CHOOSE(CONTROL!$C$42, 9.8899, 9.8899) * CHOOSE(CONTROL!$C$21, $C$9, 100%, $E$9)</f>
        <v>9.8899000000000008</v>
      </c>
      <c r="S178" s="14">
        <f>CHOOSE(CONTROL!$C$42, 8.2041, 8.2041) * CHOOSE(CONTROL!$C$21, $C$9, 100%, $E$9)</f>
        <v>8.2041000000000004</v>
      </c>
      <c r="T17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78" s="56">
        <f>(1000*CHOOSE(CONTROL!$C$42, 695, 695)*CHOOSE(CONTROL!$C$42, 0.5599, 0.5599)*CHOOSE(CONTROL!$C$42, 31, 31))/1000000</f>
        <v>12.063045499999998</v>
      </c>
      <c r="V178" s="56">
        <f>(1000*CHOOSE(CONTROL!$C$42, 500, 500)*CHOOSE(CONTROL!$C$42, 0.275, 0.275)*CHOOSE(CONTROL!$C$42, 31, 31))/1000000</f>
        <v>4.2625000000000002</v>
      </c>
      <c r="W178" s="56">
        <f>(1000*CHOOSE(CONTROL!$C$42, 0.1146, 0.1146)*CHOOSE(CONTROL!$C$42, 121.5, 121.5)*CHOOSE(CONTROL!$C$42, 31, 31))/1000000</f>
        <v>0.43164089999999994</v>
      </c>
      <c r="X178" s="56">
        <f>(31*0.1790888*245000/1000000)+(31*0.2374*100000/1000000)</f>
        <v>2.0961194359999999</v>
      </c>
      <c r="Y178" s="56"/>
      <c r="Z178" s="14"/>
      <c r="AA178" s="55"/>
      <c r="AB178" s="49">
        <f>(B178*131.881+C178*277.167+D178*79.08+E178*125.872+F178*40+G178*185+H178*0+I178*100+J178*300)/(131.881+277.167+79.08+125.872+0+40+185+100+300)</f>
        <v>8.6112634752219535</v>
      </c>
      <c r="AC178" s="45">
        <f>(M178*'RAP TEMPLATE-GAS AVAILABILITY'!O177+N178*'RAP TEMPLATE-GAS AVAILABILITY'!P177+O178*'RAP TEMPLATE-GAS AVAILABILITY'!Q177+P178*'RAP TEMPLATE-GAS AVAILABILITY'!R177)/('RAP TEMPLATE-GAS AVAILABILITY'!O177+'RAP TEMPLATE-GAS AVAILABILITY'!P177+'RAP TEMPLATE-GAS AVAILABILITY'!Q177+'RAP TEMPLATE-GAS AVAILABILITY'!R177)</f>
        <v>8.5016014388489207</v>
      </c>
    </row>
    <row r="179" spans="1:29" ht="15.75" x14ac:dyDescent="0.25">
      <c r="A179" s="13">
        <v>46327</v>
      </c>
      <c r="B179" s="14">
        <f>CHOOSE(CONTROL!$C$42, 8.7898, 8.7898) * CHOOSE(CONTROL!$C$21, $C$9, 100%, $E$9)</f>
        <v>8.7897999999999996</v>
      </c>
      <c r="C179" s="14">
        <f>CHOOSE(CONTROL!$C$42, 8.7948, 8.7948) * CHOOSE(CONTROL!$C$21, $C$9, 100%, $E$9)</f>
        <v>8.7948000000000004</v>
      </c>
      <c r="D179" s="14">
        <f>CHOOSE(CONTROL!$C$42, 8.8779, 8.8779) * CHOOSE(CONTROL!$C$21, $C$9, 100%, $E$9)</f>
        <v>8.8779000000000003</v>
      </c>
      <c r="E179" s="14">
        <f>CHOOSE(CONTROL!$C$42, 8.912, 8.912) * CHOOSE(CONTROL!$C$21, $C$9, 100%, $E$9)</f>
        <v>8.9120000000000008</v>
      </c>
      <c r="F179" s="14">
        <f>CHOOSE(CONTROL!$C$42, 8.8174, 8.8174)*CHOOSE(CONTROL!$C$21, $C$9, 100%, $E$9)</f>
        <v>8.8173999999999992</v>
      </c>
      <c r="G179" s="14">
        <f>CHOOSE(CONTROL!$C$42, 8.8348, 8.8348)*CHOOSE(CONTROL!$C$21, $C$9, 100%, $E$9)</f>
        <v>8.8347999999999995</v>
      </c>
      <c r="H179" s="14">
        <f>CHOOSE(CONTROL!$C$42, 8.9012, 8.9012) * CHOOSE(CONTROL!$C$21, $C$9, 100%, $E$9)</f>
        <v>8.9011999999999993</v>
      </c>
      <c r="I179" s="14">
        <f>CHOOSE(CONTROL!$C$42, 8.8369, 8.8369)* CHOOSE(CONTROL!$C$21, $C$9, 100%, $E$9)</f>
        <v>8.8369</v>
      </c>
      <c r="J179" s="14">
        <f>CHOOSE(CONTROL!$C$42, 8.8104, 8.8104)* CHOOSE(CONTROL!$C$21, $C$9, 100%, $E$9)</f>
        <v>8.8103999999999996</v>
      </c>
      <c r="K179" s="52">
        <f>CHOOSE(CONTROL!$C$42, 8.833, 8.833) * CHOOSE(CONTROL!$C$21, $C$9, 100%, $E$9)</f>
        <v>8.8330000000000002</v>
      </c>
      <c r="L179" s="14">
        <f>CHOOSE(CONTROL!$C$42, 9.4882, 9.4882) * CHOOSE(CONTROL!$C$21, $C$9, 100%, $E$9)</f>
        <v>9.4882000000000009</v>
      </c>
      <c r="M179" s="14">
        <f>CHOOSE(CONTROL!$C$42, 8.6596, 8.6596) * CHOOSE(CONTROL!$C$21, $C$9, 100%, $E$9)</f>
        <v>8.6595999999999993</v>
      </c>
      <c r="N179" s="14">
        <f>CHOOSE(CONTROL!$C$42, 8.6767, 8.6767) * CHOOSE(CONTROL!$C$21, $C$9, 100%, $E$9)</f>
        <v>8.6767000000000003</v>
      </c>
      <c r="O179" s="14">
        <f>CHOOSE(CONTROL!$C$42, 8.7488, 8.7488) * CHOOSE(CONTROL!$C$21, $C$9, 100%, $E$9)</f>
        <v>8.7487999999999992</v>
      </c>
      <c r="P179" s="14">
        <f>CHOOSE(CONTROL!$C$42, 8.6853, 8.6853) * CHOOSE(CONTROL!$C$21, $C$9, 100%, $E$9)</f>
        <v>8.6852999999999998</v>
      </c>
      <c r="Q179" s="14">
        <f>CHOOSE(CONTROL!$C$42, 9.3435, 9.3435) * CHOOSE(CONTROL!$C$21, $C$9, 100%, $E$9)</f>
        <v>9.3435000000000006</v>
      </c>
      <c r="R179" s="14">
        <f>CHOOSE(CONTROL!$C$42, 9.9539, 9.9539) * CHOOSE(CONTROL!$C$21, $C$9, 100%, $E$9)</f>
        <v>9.9539000000000009</v>
      </c>
      <c r="S179" s="14">
        <f>CHOOSE(CONTROL!$C$42, 8.4376, 8.4376) * CHOOSE(CONTROL!$C$21, $C$9, 100%, $E$9)</f>
        <v>8.4375999999999998</v>
      </c>
      <c r="T17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79" s="56">
        <f>(1000*CHOOSE(CONTROL!$C$42, 695, 695)*CHOOSE(CONTROL!$C$42, 0.5599, 0.5599)*CHOOSE(CONTROL!$C$42, 30, 30))/1000000</f>
        <v>11.673914999999997</v>
      </c>
      <c r="V179" s="56">
        <f>(1000*CHOOSE(CONTROL!$C$42, 500, 500)*CHOOSE(CONTROL!$C$42, 0.275, 0.275)*CHOOSE(CONTROL!$C$42, 30, 30))/1000000</f>
        <v>4.125</v>
      </c>
      <c r="W179" s="56">
        <f>(1000*CHOOSE(CONTROL!$C$42, 0.1146, 0.1146)*CHOOSE(CONTROL!$C$42, 121.5, 121.5)*CHOOSE(CONTROL!$C$42, 30, 30))/1000000</f>
        <v>0.417717</v>
      </c>
      <c r="X179" s="56">
        <f>(30*0.1790888*100000/1000000)+(30*0.2374*100000/1000000)</f>
        <v>1.2494664</v>
      </c>
      <c r="Y179" s="56"/>
      <c r="Z179" s="14"/>
      <c r="AA179" s="55"/>
      <c r="AB179" s="49">
        <f>(B179*122.58+C179*297.941+D179*89.177+E179*40.302+F179*40+G179*160+H179*0+I179*100+J179*300)/(122.58+297.941+89.177+40.302+0+40+160+100+300)</f>
        <v>8.818900089652173</v>
      </c>
      <c r="AC179" s="45">
        <f>(M179*'RAP TEMPLATE-GAS AVAILABILITY'!O178+N179*'RAP TEMPLATE-GAS AVAILABILITY'!P178+O179*'RAP TEMPLATE-GAS AVAILABILITY'!Q178+P179*'RAP TEMPLATE-GAS AVAILABILITY'!R178)/('RAP TEMPLATE-GAS AVAILABILITY'!O178+'RAP TEMPLATE-GAS AVAILABILITY'!P178+'RAP TEMPLATE-GAS AVAILABILITY'!Q178+'RAP TEMPLATE-GAS AVAILABILITY'!R178)</f>
        <v>8.7047107913669048</v>
      </c>
    </row>
    <row r="180" spans="1:29" ht="15.75" x14ac:dyDescent="0.25">
      <c r="A180" s="13">
        <v>46357</v>
      </c>
      <c r="B180" s="14">
        <f>CHOOSE(CONTROL!$C$42, 9.4077, 9.4077) * CHOOSE(CONTROL!$C$21, $C$9, 100%, $E$9)</f>
        <v>9.4077000000000002</v>
      </c>
      <c r="C180" s="14">
        <f>CHOOSE(CONTROL!$C$42, 9.4128, 9.4128) * CHOOSE(CONTROL!$C$21, $C$9, 100%, $E$9)</f>
        <v>9.4128000000000007</v>
      </c>
      <c r="D180" s="14">
        <f>CHOOSE(CONTROL!$C$42, 9.4959, 9.4959) * CHOOSE(CONTROL!$C$21, $C$9, 100%, $E$9)</f>
        <v>9.4959000000000007</v>
      </c>
      <c r="E180" s="14">
        <f>CHOOSE(CONTROL!$C$42, 9.53, 9.53) * CHOOSE(CONTROL!$C$21, $C$9, 100%, $E$9)</f>
        <v>9.5299999999999994</v>
      </c>
      <c r="F180" s="14">
        <f>CHOOSE(CONTROL!$C$42, 9.4378, 9.4378)*CHOOSE(CONTROL!$C$21, $C$9, 100%, $E$9)</f>
        <v>9.4377999999999993</v>
      </c>
      <c r="G180" s="14">
        <f>CHOOSE(CONTROL!$C$42, 9.4558, 9.4558)*CHOOSE(CONTROL!$C$21, $C$9, 100%, $E$9)</f>
        <v>9.4558</v>
      </c>
      <c r="H180" s="14">
        <f>CHOOSE(CONTROL!$C$42, 9.5192, 9.5192) * CHOOSE(CONTROL!$C$21, $C$9, 100%, $E$9)</f>
        <v>9.5191999999999997</v>
      </c>
      <c r="I180" s="14">
        <f>CHOOSE(CONTROL!$C$42, 9.4568, 9.4568)* CHOOSE(CONTROL!$C$21, $C$9, 100%, $E$9)</f>
        <v>9.4567999999999994</v>
      </c>
      <c r="J180" s="14">
        <f>CHOOSE(CONTROL!$C$42, 9.4308, 9.4308)* CHOOSE(CONTROL!$C$21, $C$9, 100%, $E$9)</f>
        <v>9.4307999999999996</v>
      </c>
      <c r="K180" s="52">
        <f>CHOOSE(CONTROL!$C$42, 9.4529, 9.4529) * CHOOSE(CONTROL!$C$21, $C$9, 100%, $E$9)</f>
        <v>9.4528999999999996</v>
      </c>
      <c r="L180" s="14">
        <f>CHOOSE(CONTROL!$C$42, 10.1062, 10.1062) * CHOOSE(CONTROL!$C$21, $C$9, 100%, $E$9)</f>
        <v>10.106199999999999</v>
      </c>
      <c r="M180" s="14">
        <f>CHOOSE(CONTROL!$C$42, 9.2688, 9.2688) * CHOOSE(CONTROL!$C$21, $C$9, 100%, $E$9)</f>
        <v>9.2688000000000006</v>
      </c>
      <c r="N180" s="14">
        <f>CHOOSE(CONTROL!$C$42, 9.2865, 9.2865) * CHOOSE(CONTROL!$C$21, $C$9, 100%, $E$9)</f>
        <v>9.2865000000000002</v>
      </c>
      <c r="O180" s="14">
        <f>CHOOSE(CONTROL!$C$42, 9.3556, 9.3556) * CHOOSE(CONTROL!$C$21, $C$9, 100%, $E$9)</f>
        <v>9.3556000000000008</v>
      </c>
      <c r="P180" s="14">
        <f>CHOOSE(CONTROL!$C$42, 9.294, 9.294) * CHOOSE(CONTROL!$C$21, $C$9, 100%, $E$9)</f>
        <v>9.2940000000000005</v>
      </c>
      <c r="Q180" s="14">
        <f>CHOOSE(CONTROL!$C$42, 9.9503, 9.9503) * CHOOSE(CONTROL!$C$21, $C$9, 100%, $E$9)</f>
        <v>9.9503000000000004</v>
      </c>
      <c r="R180" s="14">
        <f>CHOOSE(CONTROL!$C$42, 10.5622, 10.5622) * CHOOSE(CONTROL!$C$21, $C$9, 100%, $E$9)</f>
        <v>10.562200000000001</v>
      </c>
      <c r="S180" s="14">
        <f>CHOOSE(CONTROL!$C$42, 9.0313, 9.0313) * CHOOSE(CONTROL!$C$21, $C$9, 100%, $E$9)</f>
        <v>9.0312999999999999</v>
      </c>
      <c r="T18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80" s="56">
        <f>(1000*CHOOSE(CONTROL!$C$42, 695, 695)*CHOOSE(CONTROL!$C$42, 0.5599, 0.5599)*CHOOSE(CONTROL!$C$42, 31, 31))/1000000</f>
        <v>12.063045499999998</v>
      </c>
      <c r="V180" s="56">
        <f>(1000*CHOOSE(CONTROL!$C$42, 500, 500)*CHOOSE(CONTROL!$C$42, 0.275, 0.275)*CHOOSE(CONTROL!$C$42, 31, 31))/1000000</f>
        <v>4.2625000000000002</v>
      </c>
      <c r="W180" s="56">
        <f>(1000*CHOOSE(CONTROL!$C$42, 0.1146, 0.1146)*CHOOSE(CONTROL!$C$42, 121.5, 121.5)*CHOOSE(CONTROL!$C$42, 31, 31))/1000000</f>
        <v>0.43164089999999994</v>
      </c>
      <c r="X180" s="56">
        <f>(31*0.1790888*100000/1000000)+(31*0.2374*100000/1000000)</f>
        <v>1.2911152800000001</v>
      </c>
      <c r="Y180" s="56"/>
      <c r="Z180" s="14"/>
      <c r="AA180" s="55"/>
      <c r="AB180" s="49">
        <f>(B180*122.58+C180*297.941+D180*89.177+E180*40.302+F180*40+G180*160+H180*0+I180*100+J180*300)/(122.58+297.941+89.177+40.302+0+40+160+100+300)</f>
        <v>9.4381816044347815</v>
      </c>
      <c r="AC180" s="45">
        <f>(M180*'RAP TEMPLATE-GAS AVAILABILITY'!O179+N180*'RAP TEMPLATE-GAS AVAILABILITY'!P179+O180*'RAP TEMPLATE-GAS AVAILABILITY'!Q179+P180*'RAP TEMPLATE-GAS AVAILABILITY'!R179)/('RAP TEMPLATE-GAS AVAILABILITY'!O179+'RAP TEMPLATE-GAS AVAILABILITY'!P179+'RAP TEMPLATE-GAS AVAILABILITY'!Q179+'RAP TEMPLATE-GAS AVAILABILITY'!R179)</f>
        <v>9.3127856115107921</v>
      </c>
    </row>
    <row r="181" spans="1:29" ht="15.75" x14ac:dyDescent="0.25">
      <c r="A181" s="13">
        <v>46388</v>
      </c>
      <c r="B181" s="14">
        <f>CHOOSE(CONTROL!$C$42, 9.9157, 9.9157) * CHOOSE(CONTROL!$C$21, $C$9, 100%, $E$9)</f>
        <v>9.9156999999999993</v>
      </c>
      <c r="C181" s="14">
        <f>CHOOSE(CONTROL!$C$42, 9.9208, 9.9208) * CHOOSE(CONTROL!$C$21, $C$9, 100%, $E$9)</f>
        <v>9.9207999999999998</v>
      </c>
      <c r="D181" s="14">
        <f>CHOOSE(CONTROL!$C$42, 10.0142, 10.0142) * CHOOSE(CONTROL!$C$21, $C$9, 100%, $E$9)</f>
        <v>10.014200000000001</v>
      </c>
      <c r="E181" s="14">
        <f>CHOOSE(CONTROL!$C$42, 10.0483, 10.0483) * CHOOSE(CONTROL!$C$21, $C$9, 100%, $E$9)</f>
        <v>10.048299999999999</v>
      </c>
      <c r="F181" s="14">
        <f>CHOOSE(CONTROL!$C$42, 9.943, 9.943)*CHOOSE(CONTROL!$C$21, $C$9, 100%, $E$9)</f>
        <v>9.9429999999999996</v>
      </c>
      <c r="G181" s="14">
        <f>CHOOSE(CONTROL!$C$42, 9.961, 9.961)*CHOOSE(CONTROL!$C$21, $C$9, 100%, $E$9)</f>
        <v>9.9610000000000003</v>
      </c>
      <c r="H181" s="14">
        <f>CHOOSE(CONTROL!$C$42, 10.0375, 10.0375) * CHOOSE(CONTROL!$C$21, $C$9, 100%, $E$9)</f>
        <v>10.0375</v>
      </c>
      <c r="I181" s="14">
        <f>CHOOSE(CONTROL!$C$42, 9.9726, 9.9726)* CHOOSE(CONTROL!$C$21, $C$9, 100%, $E$9)</f>
        <v>9.9725999999999999</v>
      </c>
      <c r="J181" s="14">
        <f>CHOOSE(CONTROL!$C$42, 9.936, 9.936)* CHOOSE(CONTROL!$C$21, $C$9, 100%, $E$9)</f>
        <v>9.9359999999999999</v>
      </c>
      <c r="K181" s="52">
        <f>CHOOSE(CONTROL!$C$42, 9.9688, 9.9688) * CHOOSE(CONTROL!$C$21, $C$9, 100%, $E$9)</f>
        <v>9.9687999999999999</v>
      </c>
      <c r="L181" s="14">
        <f>CHOOSE(CONTROL!$C$42, 10.6245, 10.6245) * CHOOSE(CONTROL!$C$21, $C$9, 100%, $E$9)</f>
        <v>10.624499999999999</v>
      </c>
      <c r="M181" s="14">
        <f>CHOOSE(CONTROL!$C$42, 9.765, 9.765) * CHOOSE(CONTROL!$C$21, $C$9, 100%, $E$9)</f>
        <v>9.7650000000000006</v>
      </c>
      <c r="N181" s="14">
        <f>CHOOSE(CONTROL!$C$42, 9.7826, 9.7826) * CHOOSE(CONTROL!$C$21, $C$9, 100%, $E$9)</f>
        <v>9.7826000000000004</v>
      </c>
      <c r="O181" s="14">
        <f>CHOOSE(CONTROL!$C$42, 9.8647, 9.8647) * CHOOSE(CONTROL!$C$21, $C$9, 100%, $E$9)</f>
        <v>9.8646999999999991</v>
      </c>
      <c r="P181" s="14">
        <f>CHOOSE(CONTROL!$C$42, 9.8005, 9.8005) * CHOOSE(CONTROL!$C$21, $C$9, 100%, $E$9)</f>
        <v>9.8004999999999995</v>
      </c>
      <c r="Q181" s="14">
        <f>CHOOSE(CONTROL!$C$42, 10.4594, 10.4594) * CHOOSE(CONTROL!$C$21, $C$9, 100%, $E$9)</f>
        <v>10.4594</v>
      </c>
      <c r="R181" s="14">
        <f>CHOOSE(CONTROL!$C$42, 11.0725, 11.0725) * CHOOSE(CONTROL!$C$21, $C$9, 100%, $E$9)</f>
        <v>11.0725</v>
      </c>
      <c r="S181" s="14">
        <f>CHOOSE(CONTROL!$C$42, 9.5195, 9.5195) * CHOOSE(CONTROL!$C$21, $C$9, 100%, $E$9)</f>
        <v>9.5195000000000007</v>
      </c>
      <c r="T18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81" s="56">
        <f>(1000*CHOOSE(CONTROL!$C$42, 695, 695)*CHOOSE(CONTROL!$C$42, 0.5599, 0.5599)*CHOOSE(CONTROL!$C$42, 31, 31))/1000000</f>
        <v>12.063045499999998</v>
      </c>
      <c r="V181" s="56">
        <f>(1000*CHOOSE(CONTROL!$C$42, 500, 500)*CHOOSE(CONTROL!$C$42, 0.275, 0.275)*CHOOSE(CONTROL!$C$42, 31, 31))/1000000</f>
        <v>4.2625000000000002</v>
      </c>
      <c r="W181" s="56">
        <f>(1000*CHOOSE(CONTROL!$C$42, 0.1146, 0.1146)*CHOOSE(CONTROL!$C$42, 121.5, 121.5)*CHOOSE(CONTROL!$C$42, 31, 31))/1000000</f>
        <v>0.43164089999999994</v>
      </c>
      <c r="X181" s="56">
        <f>(31*0.1790888*100000/1000000)+(31*0.2374*100000/1000000)</f>
        <v>1.2911152800000001</v>
      </c>
      <c r="Y181" s="56"/>
      <c r="Z181" s="14"/>
      <c r="AA181" s="55"/>
      <c r="AB181" s="49">
        <f>(B181*122.58+C181*297.941+D181*89.177+E181*40.302+F181*40+G181*160+H181*0+I181*100+J181*300)/(122.58+297.941+89.177+40.302+0+40+160+100+300)</f>
        <v>9.9468021554782613</v>
      </c>
      <c r="AC181" s="45">
        <f>(M181*'RAP TEMPLATE-GAS AVAILABILITY'!O180+N181*'RAP TEMPLATE-GAS AVAILABILITY'!P180+O181*'RAP TEMPLATE-GAS AVAILABILITY'!Q180+P181*'RAP TEMPLATE-GAS AVAILABILITY'!R180)/('RAP TEMPLATE-GAS AVAILABILITY'!O180+'RAP TEMPLATE-GAS AVAILABILITY'!P180+'RAP TEMPLATE-GAS AVAILABILITY'!Q180+'RAP TEMPLATE-GAS AVAILABILITY'!R180)</f>
        <v>9.8163086330935254</v>
      </c>
    </row>
    <row r="182" spans="1:29" ht="15.75" x14ac:dyDescent="0.25">
      <c r="A182" s="13">
        <v>46419</v>
      </c>
      <c r="B182" s="14">
        <f>CHOOSE(CONTROL!$C$42, 10.1128, 10.1128) * CHOOSE(CONTROL!$C$21, $C$9, 100%, $E$9)</f>
        <v>10.1128</v>
      </c>
      <c r="C182" s="14">
        <f>CHOOSE(CONTROL!$C$42, 10.1179, 10.1179) * CHOOSE(CONTROL!$C$21, $C$9, 100%, $E$9)</f>
        <v>10.117900000000001</v>
      </c>
      <c r="D182" s="14">
        <f>CHOOSE(CONTROL!$C$42, 10.2114, 10.2114) * CHOOSE(CONTROL!$C$21, $C$9, 100%, $E$9)</f>
        <v>10.211399999999999</v>
      </c>
      <c r="E182" s="14">
        <f>CHOOSE(CONTROL!$C$42, 10.2455, 10.2455) * CHOOSE(CONTROL!$C$21, $C$9, 100%, $E$9)</f>
        <v>10.2455</v>
      </c>
      <c r="F182" s="14">
        <f>CHOOSE(CONTROL!$C$42, 10.1398, 10.1398)*CHOOSE(CONTROL!$C$21, $C$9, 100%, $E$9)</f>
        <v>10.139799999999999</v>
      </c>
      <c r="G182" s="14">
        <f>CHOOSE(CONTROL!$C$42, 10.1576, 10.1576)*CHOOSE(CONTROL!$C$21, $C$9, 100%, $E$9)</f>
        <v>10.1576</v>
      </c>
      <c r="H182" s="14">
        <f>CHOOSE(CONTROL!$C$42, 10.2347, 10.2347) * CHOOSE(CONTROL!$C$21, $C$9, 100%, $E$9)</f>
        <v>10.2347</v>
      </c>
      <c r="I182" s="14">
        <f>CHOOSE(CONTROL!$C$42, 10.1704, 10.1704)* CHOOSE(CONTROL!$C$21, $C$9, 100%, $E$9)</f>
        <v>10.170400000000001</v>
      </c>
      <c r="J182" s="14">
        <f>CHOOSE(CONTROL!$C$42, 10.1328, 10.1328)* CHOOSE(CONTROL!$C$21, $C$9, 100%, $E$9)</f>
        <v>10.1328</v>
      </c>
      <c r="K182" s="52">
        <f>CHOOSE(CONTROL!$C$42, 10.1665, 10.1665) * CHOOSE(CONTROL!$C$21, $C$9, 100%, $E$9)</f>
        <v>10.166499999999999</v>
      </c>
      <c r="L182" s="14">
        <f>CHOOSE(CONTROL!$C$42, 10.8217, 10.8217) * CHOOSE(CONTROL!$C$21, $C$9, 100%, $E$9)</f>
        <v>10.8217</v>
      </c>
      <c r="M182" s="14">
        <f>CHOOSE(CONTROL!$C$42, 9.9582, 9.9582) * CHOOSE(CONTROL!$C$21, $C$9, 100%, $E$9)</f>
        <v>9.9581999999999997</v>
      </c>
      <c r="N182" s="14">
        <f>CHOOSE(CONTROL!$C$42, 9.9757, 9.9757) * CHOOSE(CONTROL!$C$21, $C$9, 100%, $E$9)</f>
        <v>9.9756999999999998</v>
      </c>
      <c r="O182" s="14">
        <f>CHOOSE(CONTROL!$C$42, 10.0583, 10.0583) * CHOOSE(CONTROL!$C$21, $C$9, 100%, $E$9)</f>
        <v>10.058299999999999</v>
      </c>
      <c r="P182" s="14">
        <f>CHOOSE(CONTROL!$C$42, 9.9946, 9.9946) * CHOOSE(CONTROL!$C$21, $C$9, 100%, $E$9)</f>
        <v>9.9946000000000002</v>
      </c>
      <c r="Q182" s="14">
        <f>CHOOSE(CONTROL!$C$42, 10.653, 10.653) * CHOOSE(CONTROL!$C$21, $C$9, 100%, $E$9)</f>
        <v>10.653</v>
      </c>
      <c r="R182" s="14">
        <f>CHOOSE(CONTROL!$C$42, 11.2666, 11.2666) * CHOOSE(CONTROL!$C$21, $C$9, 100%, $E$9)</f>
        <v>11.2666</v>
      </c>
      <c r="S182" s="14">
        <f>CHOOSE(CONTROL!$C$42, 9.7089, 9.7089) * CHOOSE(CONTROL!$C$21, $C$9, 100%, $E$9)</f>
        <v>9.7088999999999999</v>
      </c>
      <c r="T18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82" s="56">
        <f>(1000*CHOOSE(CONTROL!$C$42, 695, 695)*CHOOSE(CONTROL!$C$42, 0.5599, 0.5599)*CHOOSE(CONTROL!$C$42, 28, 28))/1000000</f>
        <v>10.895653999999999</v>
      </c>
      <c r="V182" s="56">
        <f>(1000*CHOOSE(CONTROL!$C$42, 500, 500)*CHOOSE(CONTROL!$C$42, 0.275, 0.275)*CHOOSE(CONTROL!$C$42, 28, 28))/1000000</f>
        <v>3.85</v>
      </c>
      <c r="W182" s="56">
        <f>(1000*CHOOSE(CONTROL!$C$42, 0.1146, 0.1146)*CHOOSE(CONTROL!$C$42, 121.5, 121.5)*CHOOSE(CONTROL!$C$42, 28, 28))/1000000</f>
        <v>0.38986920000000003</v>
      </c>
      <c r="X182" s="56">
        <f>(28*0.1790888*100000/1000000)+(28*0.2374*100000/1000000)</f>
        <v>1.16616864</v>
      </c>
      <c r="Y182" s="56"/>
      <c r="Z182" s="14"/>
      <c r="AA182" s="55"/>
      <c r="AB182" s="49">
        <f>(B182*122.58+C182*297.941+D182*89.177+E182*40.302+F182*40+G182*160+H182*0+I182*100+J182*300)/(122.58+297.941+89.177+40.302+0+40+160+100+300)</f>
        <v>10.143816023217392</v>
      </c>
      <c r="AC182" s="45">
        <f>(M182*'RAP TEMPLATE-GAS AVAILABILITY'!O181+N182*'RAP TEMPLATE-GAS AVAILABILITY'!P181+O182*'RAP TEMPLATE-GAS AVAILABILITY'!Q181+P182*'RAP TEMPLATE-GAS AVAILABILITY'!R181)/('RAP TEMPLATE-GAS AVAILABILITY'!O181+'RAP TEMPLATE-GAS AVAILABILITY'!P181+'RAP TEMPLATE-GAS AVAILABILITY'!Q181+'RAP TEMPLATE-GAS AVAILABILITY'!R181)</f>
        <v>10.009813669064748</v>
      </c>
    </row>
    <row r="183" spans="1:29" ht="15.75" x14ac:dyDescent="0.25">
      <c r="A183" s="13">
        <v>46447</v>
      </c>
      <c r="B183" s="14">
        <f>CHOOSE(CONTROL!$C$42, 9.8462, 9.8462) * CHOOSE(CONTROL!$C$21, $C$9, 100%, $E$9)</f>
        <v>9.8461999999999996</v>
      </c>
      <c r="C183" s="14">
        <f>CHOOSE(CONTROL!$C$42, 9.8513, 9.8513) * CHOOSE(CONTROL!$C$21, $C$9, 100%, $E$9)</f>
        <v>9.8513000000000002</v>
      </c>
      <c r="D183" s="14">
        <f>CHOOSE(CONTROL!$C$42, 9.9447, 9.9447) * CHOOSE(CONTROL!$C$21, $C$9, 100%, $E$9)</f>
        <v>9.9446999999999992</v>
      </c>
      <c r="E183" s="14">
        <f>CHOOSE(CONTROL!$C$42, 9.9788, 9.9788) * CHOOSE(CONTROL!$C$21, $C$9, 100%, $E$9)</f>
        <v>9.9787999999999997</v>
      </c>
      <c r="F183" s="14">
        <f>CHOOSE(CONTROL!$C$42, 9.8723, 9.8723)*CHOOSE(CONTROL!$C$21, $C$9, 100%, $E$9)</f>
        <v>9.8722999999999992</v>
      </c>
      <c r="G183" s="14">
        <f>CHOOSE(CONTROL!$C$42, 9.8899, 9.8899)*CHOOSE(CONTROL!$C$21, $C$9, 100%, $E$9)</f>
        <v>9.8899000000000008</v>
      </c>
      <c r="H183" s="14">
        <f>CHOOSE(CONTROL!$C$42, 9.968, 9.968) * CHOOSE(CONTROL!$C$21, $C$9, 100%, $E$9)</f>
        <v>9.968</v>
      </c>
      <c r="I183" s="14">
        <f>CHOOSE(CONTROL!$C$42, 9.9029, 9.9029)* CHOOSE(CONTROL!$C$21, $C$9, 100%, $E$9)</f>
        <v>9.9029000000000007</v>
      </c>
      <c r="J183" s="14">
        <f>CHOOSE(CONTROL!$C$42, 9.8653, 9.8653)* CHOOSE(CONTROL!$C$21, $C$9, 100%, $E$9)</f>
        <v>9.8652999999999995</v>
      </c>
      <c r="K183" s="52">
        <f>CHOOSE(CONTROL!$C$42, 9.899, 9.899) * CHOOSE(CONTROL!$C$21, $C$9, 100%, $E$9)</f>
        <v>9.8989999999999991</v>
      </c>
      <c r="L183" s="14">
        <f>CHOOSE(CONTROL!$C$42, 10.555, 10.555) * CHOOSE(CONTROL!$C$21, $C$9, 100%, $E$9)</f>
        <v>10.555</v>
      </c>
      <c r="M183" s="14">
        <f>CHOOSE(CONTROL!$C$42, 9.6955, 9.6955) * CHOOSE(CONTROL!$C$21, $C$9, 100%, $E$9)</f>
        <v>9.6954999999999991</v>
      </c>
      <c r="N183" s="14">
        <f>CHOOSE(CONTROL!$C$42, 9.7128, 9.7128) * CHOOSE(CONTROL!$C$21, $C$9, 100%, $E$9)</f>
        <v>9.7127999999999997</v>
      </c>
      <c r="O183" s="14">
        <f>CHOOSE(CONTROL!$C$42, 9.7964, 9.7964) * CHOOSE(CONTROL!$C$21, $C$9, 100%, $E$9)</f>
        <v>9.7964000000000002</v>
      </c>
      <c r="P183" s="14">
        <f>CHOOSE(CONTROL!$C$42, 9.732, 9.732) * CHOOSE(CONTROL!$C$21, $C$9, 100%, $E$9)</f>
        <v>9.7319999999999993</v>
      </c>
      <c r="Q183" s="14">
        <f>CHOOSE(CONTROL!$C$42, 10.3911, 10.3911) * CHOOSE(CONTROL!$C$21, $C$9, 100%, $E$9)</f>
        <v>10.3911</v>
      </c>
      <c r="R183" s="14">
        <f>CHOOSE(CONTROL!$C$42, 11.0041, 11.0041) * CHOOSE(CONTROL!$C$21, $C$9, 100%, $E$9)</f>
        <v>11.004099999999999</v>
      </c>
      <c r="S183" s="14">
        <f>CHOOSE(CONTROL!$C$42, 9.4527, 9.4527) * CHOOSE(CONTROL!$C$21, $C$9, 100%, $E$9)</f>
        <v>9.4527000000000001</v>
      </c>
      <c r="T18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83" s="56">
        <f>(1000*CHOOSE(CONTROL!$C$42, 695, 695)*CHOOSE(CONTROL!$C$42, 0.5599, 0.5599)*CHOOSE(CONTROL!$C$42, 31, 31))/1000000</f>
        <v>12.063045499999998</v>
      </c>
      <c r="V183" s="56">
        <f>(1000*CHOOSE(CONTROL!$C$42, 500, 500)*CHOOSE(CONTROL!$C$42, 0.275, 0.275)*CHOOSE(CONTROL!$C$42, 31, 31))/1000000</f>
        <v>4.2625000000000002</v>
      </c>
      <c r="W183" s="56">
        <f>(1000*CHOOSE(CONTROL!$C$42, 0.1146, 0.1146)*CHOOSE(CONTROL!$C$42, 121.5, 121.5)*CHOOSE(CONTROL!$C$42, 31, 31))/1000000</f>
        <v>0.43164089999999994</v>
      </c>
      <c r="X183" s="56">
        <f>(31*0.1790888*100000/1000000)+(31*0.2374*100000/1000000)</f>
        <v>1.2911152800000001</v>
      </c>
      <c r="Y183" s="56"/>
      <c r="Z183" s="14"/>
      <c r="AA183" s="55"/>
      <c r="AB183" s="49">
        <f>(B183*122.58+C183*297.941+D183*89.177+E183*40.302+F183*40+G183*160+H183*0+I183*100+J183*300)/(122.58+297.941+89.177+40.302+0+40+160+100+300)</f>
        <v>9.876707372869566</v>
      </c>
      <c r="AC183" s="45">
        <f>(M183*'RAP TEMPLATE-GAS AVAILABILITY'!O182+N183*'RAP TEMPLATE-GAS AVAILABILITY'!P182+O183*'RAP TEMPLATE-GAS AVAILABILITY'!Q182+P183*'RAP TEMPLATE-GAS AVAILABILITY'!R182)/('RAP TEMPLATE-GAS AVAILABILITY'!O182+'RAP TEMPLATE-GAS AVAILABILITY'!P182+'RAP TEMPLATE-GAS AVAILABILITY'!Q182+'RAP TEMPLATE-GAS AVAILABILITY'!R182)</f>
        <v>9.7474791366906466</v>
      </c>
    </row>
    <row r="184" spans="1:29" ht="15.75" x14ac:dyDescent="0.25">
      <c r="A184" s="13">
        <v>46478</v>
      </c>
      <c r="B184" s="14">
        <f>CHOOSE(CONTROL!$C$42, 9.838, 9.838) * CHOOSE(CONTROL!$C$21, $C$9, 100%, $E$9)</f>
        <v>9.8379999999999992</v>
      </c>
      <c r="C184" s="14">
        <f>CHOOSE(CONTROL!$C$42, 9.8424, 9.8424) * CHOOSE(CONTROL!$C$21, $C$9, 100%, $E$9)</f>
        <v>9.8423999999999996</v>
      </c>
      <c r="D184" s="14">
        <f>CHOOSE(CONTROL!$C$42, 10.1047, 10.1047) * CHOOSE(CONTROL!$C$21, $C$9, 100%, $E$9)</f>
        <v>10.104699999999999</v>
      </c>
      <c r="E184" s="14">
        <f>CHOOSE(CONTROL!$C$42, 10.1368, 10.1368) * CHOOSE(CONTROL!$C$21, $C$9, 100%, $E$9)</f>
        <v>10.136799999999999</v>
      </c>
      <c r="F184" s="14">
        <f>CHOOSE(CONTROL!$C$42, 9.8608, 9.8608)*CHOOSE(CONTROL!$C$21, $C$9, 100%, $E$9)</f>
        <v>9.8607999999999993</v>
      </c>
      <c r="G184" s="14">
        <f>CHOOSE(CONTROL!$C$42, 9.8775, 9.8775)*CHOOSE(CONTROL!$C$21, $C$9, 100%, $E$9)</f>
        <v>9.8774999999999995</v>
      </c>
      <c r="H184" s="14">
        <f>CHOOSE(CONTROL!$C$42, 10.1266, 10.1266) * CHOOSE(CONTROL!$C$21, $C$9, 100%, $E$9)</f>
        <v>10.1266</v>
      </c>
      <c r="I184" s="14">
        <f>CHOOSE(CONTROL!$C$42, 9.8913, 9.8913)* CHOOSE(CONTROL!$C$21, $C$9, 100%, $E$9)</f>
        <v>9.8912999999999993</v>
      </c>
      <c r="J184" s="14">
        <f>CHOOSE(CONTROL!$C$42, 9.8538, 9.8538)* CHOOSE(CONTROL!$C$21, $C$9, 100%, $E$9)</f>
        <v>9.8537999999999997</v>
      </c>
      <c r="K184" s="52">
        <f>CHOOSE(CONTROL!$C$42, 9.8874, 9.8874) * CHOOSE(CONTROL!$C$21, $C$9, 100%, $E$9)</f>
        <v>9.8873999999999995</v>
      </c>
      <c r="L184" s="14">
        <f>CHOOSE(CONTROL!$C$42, 10.7136, 10.7136) * CHOOSE(CONTROL!$C$21, $C$9, 100%, $E$9)</f>
        <v>10.7136</v>
      </c>
      <c r="M184" s="14">
        <f>CHOOSE(CONTROL!$C$42, 9.6842, 9.6842) * CHOOSE(CONTROL!$C$21, $C$9, 100%, $E$9)</f>
        <v>9.6842000000000006</v>
      </c>
      <c r="N184" s="14">
        <f>CHOOSE(CONTROL!$C$42, 9.7007, 9.7007) * CHOOSE(CONTROL!$C$21, $C$9, 100%, $E$9)</f>
        <v>9.7006999999999994</v>
      </c>
      <c r="O184" s="14">
        <f>CHOOSE(CONTROL!$C$42, 9.9521, 9.9521) * CHOOSE(CONTROL!$C$21, $C$9, 100%, $E$9)</f>
        <v>9.9520999999999997</v>
      </c>
      <c r="P184" s="14">
        <f>CHOOSE(CONTROL!$C$42, 9.7206, 9.7206) * CHOOSE(CONTROL!$C$21, $C$9, 100%, $E$9)</f>
        <v>9.7205999999999992</v>
      </c>
      <c r="Q184" s="14">
        <f>CHOOSE(CONTROL!$C$42, 10.5468, 10.5468) * CHOOSE(CONTROL!$C$21, $C$9, 100%, $E$9)</f>
        <v>10.546799999999999</v>
      </c>
      <c r="R184" s="14">
        <f>CHOOSE(CONTROL!$C$42, 11.1602, 11.1602) * CHOOSE(CONTROL!$C$21, $C$9, 100%, $E$9)</f>
        <v>11.1602</v>
      </c>
      <c r="S184" s="14">
        <f>CHOOSE(CONTROL!$C$42, 9.444, 9.444) * CHOOSE(CONTROL!$C$21, $C$9, 100%, $E$9)</f>
        <v>9.4440000000000008</v>
      </c>
      <c r="T18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84" s="56">
        <f>(1000*CHOOSE(CONTROL!$C$42, 695, 695)*CHOOSE(CONTROL!$C$42, 0.5599, 0.5599)*CHOOSE(CONTROL!$C$42, 30, 30))/1000000</f>
        <v>11.673914999999997</v>
      </c>
      <c r="V184" s="56">
        <f>(1000*CHOOSE(CONTROL!$C$42, 500, 500)*CHOOSE(CONTROL!$C$42, 0.275, 0.275)*CHOOSE(CONTROL!$C$42, 30, 30))/1000000</f>
        <v>4.125</v>
      </c>
      <c r="W184" s="56">
        <f>(1000*CHOOSE(CONTROL!$C$42, 0.1146, 0.1146)*CHOOSE(CONTROL!$C$42, 121.5, 121.5)*CHOOSE(CONTROL!$C$42, 30, 30))/1000000</f>
        <v>0.417717</v>
      </c>
      <c r="X184" s="56">
        <f>(30*0.1790888*245000/1000000)+(30*0.2374*100000/1000000)</f>
        <v>2.0285026799999999</v>
      </c>
      <c r="Y184" s="56"/>
      <c r="Z184" s="14"/>
      <c r="AA184" s="55"/>
      <c r="AB184" s="49">
        <f>(B184*141.293+C184*267.993+D184*115.016+E184*89.698+F184*40+G184*185+H184*0+I184*100+J184*300)/(141.293+267.993+115.016+89.698+0+40+185+100+300)</f>
        <v>9.900102662469731</v>
      </c>
      <c r="AC184" s="45">
        <f>(M184*'RAP TEMPLATE-GAS AVAILABILITY'!O183+N184*'RAP TEMPLATE-GAS AVAILABILITY'!P183+O184*'RAP TEMPLATE-GAS AVAILABILITY'!Q183+P184*'RAP TEMPLATE-GAS AVAILABILITY'!R183)/('RAP TEMPLATE-GAS AVAILABILITY'!O183+'RAP TEMPLATE-GAS AVAILABILITY'!P183+'RAP TEMPLATE-GAS AVAILABILITY'!Q183+'RAP TEMPLATE-GAS AVAILABILITY'!R183)</f>
        <v>9.7684021582733802</v>
      </c>
    </row>
    <row r="185" spans="1:29" ht="15.75" x14ac:dyDescent="0.25">
      <c r="A185" s="13">
        <v>46508</v>
      </c>
      <c r="B185" s="14">
        <f>CHOOSE(CONTROL!$C$42, 9.9465, 9.9465) * CHOOSE(CONTROL!$C$21, $C$9, 100%, $E$9)</f>
        <v>9.9465000000000003</v>
      </c>
      <c r="C185" s="14">
        <f>CHOOSE(CONTROL!$C$42, 9.9545, 9.9545) * CHOOSE(CONTROL!$C$21, $C$9, 100%, $E$9)</f>
        <v>9.9544999999999995</v>
      </c>
      <c r="D185" s="14">
        <f>CHOOSE(CONTROL!$C$42, 10.2136, 10.2136) * CHOOSE(CONTROL!$C$21, $C$9, 100%, $E$9)</f>
        <v>10.2136</v>
      </c>
      <c r="E185" s="14">
        <f>CHOOSE(CONTROL!$C$42, 10.2451, 10.2451) * CHOOSE(CONTROL!$C$21, $C$9, 100%, $E$9)</f>
        <v>10.245100000000001</v>
      </c>
      <c r="F185" s="14">
        <f>CHOOSE(CONTROL!$C$42, 9.968, 9.968)*CHOOSE(CONTROL!$C$21, $C$9, 100%, $E$9)</f>
        <v>9.968</v>
      </c>
      <c r="G185" s="14">
        <f>CHOOSE(CONTROL!$C$42, 9.985, 9.985)*CHOOSE(CONTROL!$C$21, $C$9, 100%, $E$9)</f>
        <v>9.9849999999999994</v>
      </c>
      <c r="H185" s="14">
        <f>CHOOSE(CONTROL!$C$42, 10.2337, 10.2337) * CHOOSE(CONTROL!$C$21, $C$9, 100%, $E$9)</f>
        <v>10.233700000000001</v>
      </c>
      <c r="I185" s="14">
        <f>CHOOSE(CONTROL!$C$42, 9.9988, 9.9988)* CHOOSE(CONTROL!$C$21, $C$9, 100%, $E$9)</f>
        <v>9.9987999999999992</v>
      </c>
      <c r="J185" s="14">
        <f>CHOOSE(CONTROL!$C$42, 9.961, 9.961)* CHOOSE(CONTROL!$C$21, $C$9, 100%, $E$9)</f>
        <v>9.9610000000000003</v>
      </c>
      <c r="K185" s="52">
        <f>CHOOSE(CONTROL!$C$42, 9.9949, 9.9949) * CHOOSE(CONTROL!$C$21, $C$9, 100%, $E$9)</f>
        <v>9.9948999999999995</v>
      </c>
      <c r="L185" s="14">
        <f>CHOOSE(CONTROL!$C$42, 10.8207, 10.8207) * CHOOSE(CONTROL!$C$21, $C$9, 100%, $E$9)</f>
        <v>10.8207</v>
      </c>
      <c r="M185" s="14">
        <f>CHOOSE(CONTROL!$C$42, 9.7896, 9.7896) * CHOOSE(CONTROL!$C$21, $C$9, 100%, $E$9)</f>
        <v>9.7896000000000001</v>
      </c>
      <c r="N185" s="14">
        <f>CHOOSE(CONTROL!$C$42, 9.8062, 9.8062) * CHOOSE(CONTROL!$C$21, $C$9, 100%, $E$9)</f>
        <v>9.8062000000000005</v>
      </c>
      <c r="O185" s="14">
        <f>CHOOSE(CONTROL!$C$42, 10.0573, 10.0573) * CHOOSE(CONTROL!$C$21, $C$9, 100%, $E$9)</f>
        <v>10.0573</v>
      </c>
      <c r="P185" s="14">
        <f>CHOOSE(CONTROL!$C$42, 9.8261, 9.8261) * CHOOSE(CONTROL!$C$21, $C$9, 100%, $E$9)</f>
        <v>9.8261000000000003</v>
      </c>
      <c r="Q185" s="14">
        <f>CHOOSE(CONTROL!$C$42, 10.652, 10.652) * CHOOSE(CONTROL!$C$21, $C$9, 100%, $E$9)</f>
        <v>10.651999999999999</v>
      </c>
      <c r="R185" s="14">
        <f>CHOOSE(CONTROL!$C$42, 11.2657, 11.2657) * CHOOSE(CONTROL!$C$21, $C$9, 100%, $E$9)</f>
        <v>11.265700000000001</v>
      </c>
      <c r="S185" s="14">
        <f>CHOOSE(CONTROL!$C$42, 9.547, 9.547) * CHOOSE(CONTROL!$C$21, $C$9, 100%, $E$9)</f>
        <v>9.5470000000000006</v>
      </c>
      <c r="T18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85" s="56">
        <f>(1000*CHOOSE(CONTROL!$C$42, 695, 695)*CHOOSE(CONTROL!$C$42, 0.5599, 0.5599)*CHOOSE(CONTROL!$C$42, 31, 31))/1000000</f>
        <v>12.063045499999998</v>
      </c>
      <c r="V185" s="56">
        <f>(1000*CHOOSE(CONTROL!$C$42, 500, 500)*CHOOSE(CONTROL!$C$42, 0.275, 0.275)*CHOOSE(CONTROL!$C$42, 31, 31))/1000000</f>
        <v>4.2625000000000002</v>
      </c>
      <c r="W185" s="56">
        <f>(1000*CHOOSE(CONTROL!$C$42, 0.1146, 0.1146)*CHOOSE(CONTROL!$C$42, 121.5, 121.5)*CHOOSE(CONTROL!$C$42, 31, 31))/1000000</f>
        <v>0.43164089999999994</v>
      </c>
      <c r="X185" s="56">
        <f>(31*0.1790888*245000/1000000)+(31*0.2374*100000/1000000)</f>
        <v>2.0961194359999999</v>
      </c>
      <c r="Y185" s="56"/>
      <c r="Z185" s="14"/>
      <c r="AA185" s="55"/>
      <c r="AB185" s="49">
        <f>(B185*194.205+C185*267.466+D185*133.845+E185*53.484+F185*40+G185*185+H185*0+I185*100+J185*300)/(194.205+267.466+133.845+53.484+0+40+185+100+300)</f>
        <v>10.002561656122449</v>
      </c>
      <c r="AC185" s="45">
        <f>(M185*'RAP TEMPLATE-GAS AVAILABILITY'!O184+N185*'RAP TEMPLATE-GAS AVAILABILITY'!P184+O185*'RAP TEMPLATE-GAS AVAILABILITY'!Q184+P185*'RAP TEMPLATE-GAS AVAILABILITY'!R184)/('RAP TEMPLATE-GAS AVAILABILITY'!O184+'RAP TEMPLATE-GAS AVAILABILITY'!P184+'RAP TEMPLATE-GAS AVAILABILITY'!Q184+'RAP TEMPLATE-GAS AVAILABILITY'!R184)</f>
        <v>9.8737834532374098</v>
      </c>
    </row>
    <row r="186" spans="1:29" ht="15.75" x14ac:dyDescent="0.25">
      <c r="A186" s="13">
        <v>46539</v>
      </c>
      <c r="B186" s="14">
        <f>CHOOSE(CONTROL!$C$42, 10.2494, 10.2494) * CHOOSE(CONTROL!$C$21, $C$9, 100%, $E$9)</f>
        <v>10.2494</v>
      </c>
      <c r="C186" s="14">
        <f>CHOOSE(CONTROL!$C$42, 10.2574, 10.2574) * CHOOSE(CONTROL!$C$21, $C$9, 100%, $E$9)</f>
        <v>10.257400000000001</v>
      </c>
      <c r="D186" s="14">
        <f>CHOOSE(CONTROL!$C$42, 10.5165, 10.5165) * CHOOSE(CONTROL!$C$21, $C$9, 100%, $E$9)</f>
        <v>10.516500000000001</v>
      </c>
      <c r="E186" s="14">
        <f>CHOOSE(CONTROL!$C$42, 10.5479, 10.5479) * CHOOSE(CONTROL!$C$21, $C$9, 100%, $E$9)</f>
        <v>10.5479</v>
      </c>
      <c r="F186" s="14">
        <f>CHOOSE(CONTROL!$C$42, 10.2711, 10.2711)*CHOOSE(CONTROL!$C$21, $C$9, 100%, $E$9)</f>
        <v>10.271100000000001</v>
      </c>
      <c r="G186" s="14">
        <f>CHOOSE(CONTROL!$C$42, 10.2882, 10.2882)*CHOOSE(CONTROL!$C$21, $C$9, 100%, $E$9)</f>
        <v>10.2882</v>
      </c>
      <c r="H186" s="14">
        <f>CHOOSE(CONTROL!$C$42, 10.5366, 10.5366) * CHOOSE(CONTROL!$C$21, $C$9, 100%, $E$9)</f>
        <v>10.5366</v>
      </c>
      <c r="I186" s="14">
        <f>CHOOSE(CONTROL!$C$42, 10.3026, 10.3026)* CHOOSE(CONTROL!$C$21, $C$9, 100%, $E$9)</f>
        <v>10.3026</v>
      </c>
      <c r="J186" s="14">
        <f>CHOOSE(CONTROL!$C$42, 10.2641, 10.2641)* CHOOSE(CONTROL!$C$21, $C$9, 100%, $E$9)</f>
        <v>10.264099999999999</v>
      </c>
      <c r="K186" s="52">
        <f>CHOOSE(CONTROL!$C$42, 10.2987, 10.2987) * CHOOSE(CONTROL!$C$21, $C$9, 100%, $E$9)</f>
        <v>10.2987</v>
      </c>
      <c r="L186" s="14">
        <f>CHOOSE(CONTROL!$C$42, 11.1236, 11.1236) * CHOOSE(CONTROL!$C$21, $C$9, 100%, $E$9)</f>
        <v>11.1236</v>
      </c>
      <c r="M186" s="14">
        <f>CHOOSE(CONTROL!$C$42, 10.0872, 10.0872) * CHOOSE(CONTROL!$C$21, $C$9, 100%, $E$9)</f>
        <v>10.087199999999999</v>
      </c>
      <c r="N186" s="14">
        <f>CHOOSE(CONTROL!$C$42, 10.1039, 10.1039) * CHOOSE(CONTROL!$C$21, $C$9, 100%, $E$9)</f>
        <v>10.103899999999999</v>
      </c>
      <c r="O186" s="14">
        <f>CHOOSE(CONTROL!$C$42, 10.3547, 10.3547) * CHOOSE(CONTROL!$C$21, $C$9, 100%, $E$9)</f>
        <v>10.354699999999999</v>
      </c>
      <c r="P186" s="14">
        <f>CHOOSE(CONTROL!$C$42, 10.1244, 10.1244) * CHOOSE(CONTROL!$C$21, $C$9, 100%, $E$9)</f>
        <v>10.1244</v>
      </c>
      <c r="Q186" s="14">
        <f>CHOOSE(CONTROL!$C$42, 10.9494, 10.9494) * CHOOSE(CONTROL!$C$21, $C$9, 100%, $E$9)</f>
        <v>10.949400000000001</v>
      </c>
      <c r="R186" s="14">
        <f>CHOOSE(CONTROL!$C$42, 11.5638, 11.5638) * CHOOSE(CONTROL!$C$21, $C$9, 100%, $E$9)</f>
        <v>11.563800000000001</v>
      </c>
      <c r="S186" s="14">
        <f>CHOOSE(CONTROL!$C$42, 9.838, 9.838) * CHOOSE(CONTROL!$C$21, $C$9, 100%, $E$9)</f>
        <v>9.8379999999999992</v>
      </c>
      <c r="T18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86" s="56">
        <f>(1000*CHOOSE(CONTROL!$C$42, 695, 695)*CHOOSE(CONTROL!$C$42, 0.5599, 0.5599)*CHOOSE(CONTROL!$C$42, 30, 30))/1000000</f>
        <v>11.673914999999997</v>
      </c>
      <c r="V186" s="56">
        <f>(1000*CHOOSE(CONTROL!$C$42, 500, 500)*CHOOSE(CONTROL!$C$42, 0.275, 0.275)*CHOOSE(CONTROL!$C$42, 30, 30))/1000000</f>
        <v>4.125</v>
      </c>
      <c r="W186" s="56">
        <f>(1000*CHOOSE(CONTROL!$C$42, 0.1146, 0.1146)*CHOOSE(CONTROL!$C$42, 121.5, 121.5)*CHOOSE(CONTROL!$C$42, 30, 30))/1000000</f>
        <v>0.417717</v>
      </c>
      <c r="X186" s="56">
        <f>(30*0.1790888*245000/1000000)+(30*0.2374*100000/1000000)</f>
        <v>2.0285026799999999</v>
      </c>
      <c r="Y186" s="56"/>
      <c r="Z186" s="14"/>
      <c r="AA186" s="55"/>
      <c r="AB186" s="49">
        <f>(B186*194.205+C186*267.466+D186*133.845+E186*53.484+F186*40+G186*185+H186*0+I186*100+J186*300)/(194.205+267.466+133.845+53.484+0+40+185+100+300)</f>
        <v>10.305625040423863</v>
      </c>
      <c r="AC186" s="45">
        <f>(M186*'RAP TEMPLATE-GAS AVAILABILITY'!O185+N186*'RAP TEMPLATE-GAS AVAILABILITY'!P185+O186*'RAP TEMPLATE-GAS AVAILABILITY'!Q185+P186*'RAP TEMPLATE-GAS AVAILABILITY'!R185)/('RAP TEMPLATE-GAS AVAILABILITY'!O185+'RAP TEMPLATE-GAS AVAILABILITY'!P185+'RAP TEMPLATE-GAS AVAILABILITY'!Q185+'RAP TEMPLATE-GAS AVAILABILITY'!R185)</f>
        <v>10.171451079136689</v>
      </c>
    </row>
    <row r="187" spans="1:29" ht="15.75" x14ac:dyDescent="0.25">
      <c r="A187" s="13">
        <v>46569</v>
      </c>
      <c r="B187" s="14">
        <f>CHOOSE(CONTROL!$C$42, 10.0736, 10.0736) * CHOOSE(CONTROL!$C$21, $C$9, 100%, $E$9)</f>
        <v>10.073600000000001</v>
      </c>
      <c r="C187" s="14">
        <f>CHOOSE(CONTROL!$C$42, 10.0817, 10.0817) * CHOOSE(CONTROL!$C$21, $C$9, 100%, $E$9)</f>
        <v>10.0817</v>
      </c>
      <c r="D187" s="14">
        <f>CHOOSE(CONTROL!$C$42, 10.3408, 10.3408) * CHOOSE(CONTROL!$C$21, $C$9, 100%, $E$9)</f>
        <v>10.3408</v>
      </c>
      <c r="E187" s="14">
        <f>CHOOSE(CONTROL!$C$42, 10.3722, 10.3722) * CHOOSE(CONTROL!$C$21, $C$9, 100%, $E$9)</f>
        <v>10.372199999999999</v>
      </c>
      <c r="F187" s="14">
        <f>CHOOSE(CONTROL!$C$42, 10.0958, 10.0958)*CHOOSE(CONTROL!$C$21, $C$9, 100%, $E$9)</f>
        <v>10.095800000000001</v>
      </c>
      <c r="G187" s="14">
        <f>CHOOSE(CONTROL!$C$42, 10.113, 10.113)*CHOOSE(CONTROL!$C$21, $C$9, 100%, $E$9)</f>
        <v>10.113</v>
      </c>
      <c r="H187" s="14">
        <f>CHOOSE(CONTROL!$C$42, 10.3609, 10.3609) * CHOOSE(CONTROL!$C$21, $C$9, 100%, $E$9)</f>
        <v>10.360900000000001</v>
      </c>
      <c r="I187" s="14">
        <f>CHOOSE(CONTROL!$C$42, 10.1263, 10.1263)* CHOOSE(CONTROL!$C$21, $C$9, 100%, $E$9)</f>
        <v>10.126300000000001</v>
      </c>
      <c r="J187" s="14">
        <f>CHOOSE(CONTROL!$C$42, 10.0888, 10.0888)* CHOOSE(CONTROL!$C$21, $C$9, 100%, $E$9)</f>
        <v>10.088800000000001</v>
      </c>
      <c r="K187" s="52">
        <f>CHOOSE(CONTROL!$C$42, 10.1224, 10.1224) * CHOOSE(CONTROL!$C$21, $C$9, 100%, $E$9)</f>
        <v>10.122400000000001</v>
      </c>
      <c r="L187" s="14">
        <f>CHOOSE(CONTROL!$C$42, 10.9479, 10.9479) * CHOOSE(CONTROL!$C$21, $C$9, 100%, $E$9)</f>
        <v>10.947900000000001</v>
      </c>
      <c r="M187" s="14">
        <f>CHOOSE(CONTROL!$C$42, 9.9151, 9.9151) * CHOOSE(CONTROL!$C$21, $C$9, 100%, $E$9)</f>
        <v>9.9151000000000007</v>
      </c>
      <c r="N187" s="14">
        <f>CHOOSE(CONTROL!$C$42, 9.9319, 9.9319) * CHOOSE(CONTROL!$C$21, $C$9, 100%, $E$9)</f>
        <v>9.9319000000000006</v>
      </c>
      <c r="O187" s="14">
        <f>CHOOSE(CONTROL!$C$42, 10.1822, 10.1822) * CHOOSE(CONTROL!$C$21, $C$9, 100%, $E$9)</f>
        <v>10.1822</v>
      </c>
      <c r="P187" s="14">
        <f>CHOOSE(CONTROL!$C$42, 9.9514, 9.9514) * CHOOSE(CONTROL!$C$21, $C$9, 100%, $E$9)</f>
        <v>9.9513999999999996</v>
      </c>
      <c r="Q187" s="14">
        <f>CHOOSE(CONTROL!$C$42, 10.7769, 10.7769) * CHOOSE(CONTROL!$C$21, $C$9, 100%, $E$9)</f>
        <v>10.776899999999999</v>
      </c>
      <c r="R187" s="14">
        <f>CHOOSE(CONTROL!$C$42, 11.3908, 11.3908) * CHOOSE(CONTROL!$C$21, $C$9, 100%, $E$9)</f>
        <v>11.3908</v>
      </c>
      <c r="S187" s="14">
        <f>CHOOSE(CONTROL!$C$42, 9.6691, 9.6691) * CHOOSE(CONTROL!$C$21, $C$9, 100%, $E$9)</f>
        <v>9.6691000000000003</v>
      </c>
      <c r="T18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87" s="56">
        <f>(1000*CHOOSE(CONTROL!$C$42, 695, 695)*CHOOSE(CONTROL!$C$42, 0.5599, 0.5599)*CHOOSE(CONTROL!$C$42, 31, 31))/1000000</f>
        <v>12.063045499999998</v>
      </c>
      <c r="V187" s="56">
        <f>(1000*CHOOSE(CONTROL!$C$42, 500, 500)*CHOOSE(CONTROL!$C$42, 0.275, 0.275)*CHOOSE(CONTROL!$C$42, 31, 31))/1000000</f>
        <v>4.2625000000000002</v>
      </c>
      <c r="W187" s="56">
        <f>(1000*CHOOSE(CONTROL!$C$42, 0.1146, 0.1146)*CHOOSE(CONTROL!$C$42, 121.5, 121.5)*CHOOSE(CONTROL!$C$42, 31, 31))/1000000</f>
        <v>0.43164089999999994</v>
      </c>
      <c r="X187" s="56">
        <f>(31*0.1790888*245000/1000000)+(31*0.2374*100000/1000000)</f>
        <v>2.0961194359999999</v>
      </c>
      <c r="Y187" s="56"/>
      <c r="Z187" s="14"/>
      <c r="AA187" s="55"/>
      <c r="AB187" s="49">
        <f>(B187*194.205+C187*267.466+D187*133.845+E187*53.484+F187*40+G187*185+H187*0+I187*100+J187*300)/(194.205+267.466+133.845+53.484+0+40+185+100+300)</f>
        <v>10.130042057299843</v>
      </c>
      <c r="AC187" s="45">
        <f>(M187*'RAP TEMPLATE-GAS AVAILABILITY'!O186+N187*'RAP TEMPLATE-GAS AVAILABILITY'!P186+O187*'RAP TEMPLATE-GAS AVAILABILITY'!Q186+P187*'RAP TEMPLATE-GAS AVAILABILITY'!R186)/('RAP TEMPLATE-GAS AVAILABILITY'!O186+'RAP TEMPLATE-GAS AVAILABILITY'!P186+'RAP TEMPLATE-GAS AVAILABILITY'!Q186+'RAP TEMPLATE-GAS AVAILABILITY'!R186)</f>
        <v>9.9991323741007196</v>
      </c>
    </row>
    <row r="188" spans="1:29" ht="15.75" x14ac:dyDescent="0.25">
      <c r="A188" s="13">
        <v>46600</v>
      </c>
      <c r="B188" s="14">
        <f>CHOOSE(CONTROL!$C$42, 9.5963, 9.5963) * CHOOSE(CONTROL!$C$21, $C$9, 100%, $E$9)</f>
        <v>9.5962999999999994</v>
      </c>
      <c r="C188" s="14">
        <f>CHOOSE(CONTROL!$C$42, 9.6044, 9.6044) * CHOOSE(CONTROL!$C$21, $C$9, 100%, $E$9)</f>
        <v>9.6044</v>
      </c>
      <c r="D188" s="14">
        <f>CHOOSE(CONTROL!$C$42, 9.8635, 9.8635) * CHOOSE(CONTROL!$C$21, $C$9, 100%, $E$9)</f>
        <v>9.8635000000000002</v>
      </c>
      <c r="E188" s="14">
        <f>CHOOSE(CONTROL!$C$42, 9.8949, 9.8949) * CHOOSE(CONTROL!$C$21, $C$9, 100%, $E$9)</f>
        <v>9.8948999999999998</v>
      </c>
      <c r="F188" s="14">
        <f>CHOOSE(CONTROL!$C$42, 9.6188, 9.6188)*CHOOSE(CONTROL!$C$21, $C$9, 100%, $E$9)</f>
        <v>9.6188000000000002</v>
      </c>
      <c r="G188" s="14">
        <f>CHOOSE(CONTROL!$C$42, 9.636, 9.636)*CHOOSE(CONTROL!$C$21, $C$9, 100%, $E$9)</f>
        <v>9.6359999999999992</v>
      </c>
      <c r="H188" s="14">
        <f>CHOOSE(CONTROL!$C$42, 9.8836, 9.8836) * CHOOSE(CONTROL!$C$21, $C$9, 100%, $E$9)</f>
        <v>9.8835999999999995</v>
      </c>
      <c r="I188" s="14">
        <f>CHOOSE(CONTROL!$C$42, 9.6475, 9.6475)* CHOOSE(CONTROL!$C$21, $C$9, 100%, $E$9)</f>
        <v>9.6475000000000009</v>
      </c>
      <c r="J188" s="14">
        <f>CHOOSE(CONTROL!$C$42, 9.6118, 9.6118)* CHOOSE(CONTROL!$C$21, $C$9, 100%, $E$9)</f>
        <v>9.6118000000000006</v>
      </c>
      <c r="K188" s="52">
        <f>CHOOSE(CONTROL!$C$42, 9.6436, 9.6436) * CHOOSE(CONTROL!$C$21, $C$9, 100%, $E$9)</f>
        <v>9.6435999999999993</v>
      </c>
      <c r="L188" s="14">
        <f>CHOOSE(CONTROL!$C$42, 10.4706, 10.4706) * CHOOSE(CONTROL!$C$21, $C$9, 100%, $E$9)</f>
        <v>10.470599999999999</v>
      </c>
      <c r="M188" s="14">
        <f>CHOOSE(CONTROL!$C$42, 9.4466, 9.4466) * CHOOSE(CONTROL!$C$21, $C$9, 100%, $E$9)</f>
        <v>9.4466000000000001</v>
      </c>
      <c r="N188" s="14">
        <f>CHOOSE(CONTROL!$C$42, 9.4635, 9.4635) * CHOOSE(CONTROL!$C$21, $C$9, 100%, $E$9)</f>
        <v>9.4634999999999998</v>
      </c>
      <c r="O188" s="14">
        <f>CHOOSE(CONTROL!$C$42, 9.7135, 9.7135) * CHOOSE(CONTROL!$C$21, $C$9, 100%, $E$9)</f>
        <v>9.7134999999999998</v>
      </c>
      <c r="P188" s="14">
        <f>CHOOSE(CONTROL!$C$42, 9.4812, 9.4812) * CHOOSE(CONTROL!$C$21, $C$9, 100%, $E$9)</f>
        <v>9.4811999999999994</v>
      </c>
      <c r="Q188" s="14">
        <f>CHOOSE(CONTROL!$C$42, 10.3082, 10.3082) * CHOOSE(CONTROL!$C$21, $C$9, 100%, $E$9)</f>
        <v>10.308199999999999</v>
      </c>
      <c r="R188" s="14">
        <f>CHOOSE(CONTROL!$C$42, 10.9209, 10.9209) * CHOOSE(CONTROL!$C$21, $C$9, 100%, $E$9)</f>
        <v>10.9209</v>
      </c>
      <c r="S188" s="14">
        <f>CHOOSE(CONTROL!$C$42, 9.2105, 9.2105) * CHOOSE(CONTROL!$C$21, $C$9, 100%, $E$9)</f>
        <v>9.2104999999999997</v>
      </c>
      <c r="T18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88" s="56">
        <f>(1000*CHOOSE(CONTROL!$C$42, 695, 695)*CHOOSE(CONTROL!$C$42, 0.5599, 0.5599)*CHOOSE(CONTROL!$C$42, 31, 31))/1000000</f>
        <v>12.063045499999998</v>
      </c>
      <c r="V188" s="56">
        <f>(1000*CHOOSE(CONTROL!$C$42, 500, 500)*CHOOSE(CONTROL!$C$42, 0.275, 0.275)*CHOOSE(CONTROL!$C$42, 31, 31))/1000000</f>
        <v>4.2625000000000002</v>
      </c>
      <c r="W188" s="56">
        <f>(1000*CHOOSE(CONTROL!$C$42, 0.1146, 0.1146)*CHOOSE(CONTROL!$C$42, 121.5, 121.5)*CHOOSE(CONTROL!$C$42, 31, 31))/1000000</f>
        <v>0.43164089999999994</v>
      </c>
      <c r="X188" s="56">
        <f>(31*0.1790888*245000/1000000)+(31*0.2374*100000/1000000)</f>
        <v>2.0961194359999999</v>
      </c>
      <c r="Y188" s="56"/>
      <c r="Z188" s="14"/>
      <c r="AA188" s="55"/>
      <c r="AB188" s="49">
        <f>(B188*194.205+C188*267.466+D188*133.845+E188*53.484+F188*40+G188*185+H188*0+I188*100+J188*300)/(194.205+267.466+133.845+53.484+0+40+185+100+300)</f>
        <v>9.6527479442700166</v>
      </c>
      <c r="AC188" s="45">
        <f>(M188*'RAP TEMPLATE-GAS AVAILABILITY'!O187+N188*'RAP TEMPLATE-GAS AVAILABILITY'!P187+O188*'RAP TEMPLATE-GAS AVAILABILITY'!Q187+P188*'RAP TEMPLATE-GAS AVAILABILITY'!R187)/('RAP TEMPLATE-GAS AVAILABILITY'!O187+'RAP TEMPLATE-GAS AVAILABILITY'!P187+'RAP TEMPLATE-GAS AVAILABILITY'!Q187+'RAP TEMPLATE-GAS AVAILABILITY'!R187)</f>
        <v>9.5303546762589928</v>
      </c>
    </row>
    <row r="189" spans="1:29" ht="15.75" x14ac:dyDescent="0.25">
      <c r="A189" s="13">
        <v>46631</v>
      </c>
      <c r="B189" s="14">
        <f>CHOOSE(CONTROL!$C$42, 9.0061, 9.0061) * CHOOSE(CONTROL!$C$21, $C$9, 100%, $E$9)</f>
        <v>9.0061</v>
      </c>
      <c r="C189" s="14">
        <f>CHOOSE(CONTROL!$C$42, 9.0141, 9.0141) * CHOOSE(CONTROL!$C$21, $C$9, 100%, $E$9)</f>
        <v>9.0140999999999991</v>
      </c>
      <c r="D189" s="14">
        <f>CHOOSE(CONTROL!$C$42, 9.2732, 9.2732) * CHOOSE(CONTROL!$C$21, $C$9, 100%, $E$9)</f>
        <v>9.2731999999999992</v>
      </c>
      <c r="E189" s="14">
        <f>CHOOSE(CONTROL!$C$42, 9.3047, 9.3047) * CHOOSE(CONTROL!$C$21, $C$9, 100%, $E$9)</f>
        <v>9.3047000000000004</v>
      </c>
      <c r="F189" s="14">
        <f>CHOOSE(CONTROL!$C$42, 9.0286, 9.0286)*CHOOSE(CONTROL!$C$21, $C$9, 100%, $E$9)</f>
        <v>9.0286000000000008</v>
      </c>
      <c r="G189" s="14">
        <f>CHOOSE(CONTROL!$C$42, 9.0458, 9.0458)*CHOOSE(CONTROL!$C$21, $C$9, 100%, $E$9)</f>
        <v>9.0457999999999998</v>
      </c>
      <c r="H189" s="14">
        <f>CHOOSE(CONTROL!$C$42, 9.2933, 9.2933) * CHOOSE(CONTROL!$C$21, $C$9, 100%, $E$9)</f>
        <v>9.2933000000000003</v>
      </c>
      <c r="I189" s="14">
        <f>CHOOSE(CONTROL!$C$42, 9.0554, 9.0554)* CHOOSE(CONTROL!$C$21, $C$9, 100%, $E$9)</f>
        <v>9.0554000000000006</v>
      </c>
      <c r="J189" s="14">
        <f>CHOOSE(CONTROL!$C$42, 9.0216, 9.0216)* CHOOSE(CONTROL!$C$21, $C$9, 100%, $E$9)</f>
        <v>9.0215999999999994</v>
      </c>
      <c r="K189" s="52">
        <f>CHOOSE(CONTROL!$C$42, 9.0515, 9.0515) * CHOOSE(CONTROL!$C$21, $C$9, 100%, $E$9)</f>
        <v>9.0515000000000008</v>
      </c>
      <c r="L189" s="14">
        <f>CHOOSE(CONTROL!$C$42, 9.8803, 9.8803) * CHOOSE(CONTROL!$C$21, $C$9, 100%, $E$9)</f>
        <v>9.8803000000000001</v>
      </c>
      <c r="M189" s="14">
        <f>CHOOSE(CONTROL!$C$42, 8.867, 8.867) * CHOOSE(CONTROL!$C$21, $C$9, 100%, $E$9)</f>
        <v>8.8670000000000009</v>
      </c>
      <c r="N189" s="14">
        <f>CHOOSE(CONTROL!$C$42, 8.8839, 8.8839) * CHOOSE(CONTROL!$C$21, $C$9, 100%, $E$9)</f>
        <v>8.8839000000000006</v>
      </c>
      <c r="O189" s="14">
        <f>CHOOSE(CONTROL!$C$42, 9.1339, 9.1339) * CHOOSE(CONTROL!$C$21, $C$9, 100%, $E$9)</f>
        <v>9.1339000000000006</v>
      </c>
      <c r="P189" s="14">
        <f>CHOOSE(CONTROL!$C$42, 8.8998, 8.8998) * CHOOSE(CONTROL!$C$21, $C$9, 100%, $E$9)</f>
        <v>8.8998000000000008</v>
      </c>
      <c r="Q189" s="14">
        <f>CHOOSE(CONTROL!$C$42, 9.7286, 9.7286) * CHOOSE(CONTROL!$C$21, $C$9, 100%, $E$9)</f>
        <v>9.7286000000000001</v>
      </c>
      <c r="R189" s="14">
        <f>CHOOSE(CONTROL!$C$42, 10.3399, 10.3399) * CHOOSE(CONTROL!$C$21, $C$9, 100%, $E$9)</f>
        <v>10.3399</v>
      </c>
      <c r="S189" s="14">
        <f>CHOOSE(CONTROL!$C$42, 8.6433, 8.6433) * CHOOSE(CONTROL!$C$21, $C$9, 100%, $E$9)</f>
        <v>8.6433</v>
      </c>
      <c r="T18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89" s="56">
        <f>(1000*CHOOSE(CONTROL!$C$42, 695, 695)*CHOOSE(CONTROL!$C$42, 0.5599, 0.5599)*CHOOSE(CONTROL!$C$42, 30, 30))/1000000</f>
        <v>11.673914999999997</v>
      </c>
      <c r="V189" s="56">
        <f>(1000*CHOOSE(CONTROL!$C$42, 500, 500)*CHOOSE(CONTROL!$C$42, 0.275, 0.275)*CHOOSE(CONTROL!$C$42, 30, 30))/1000000</f>
        <v>4.125</v>
      </c>
      <c r="W189" s="56">
        <f>(1000*CHOOSE(CONTROL!$C$42, 0.1146, 0.1146)*CHOOSE(CONTROL!$C$42, 121.5, 121.5)*CHOOSE(CONTROL!$C$42, 30, 30))/1000000</f>
        <v>0.417717</v>
      </c>
      <c r="X189" s="56">
        <f>(30*0.1790888*245000/1000000)+(30*0.2374*100000/1000000)</f>
        <v>2.0285026799999999</v>
      </c>
      <c r="Y189" s="56"/>
      <c r="Z189" s="14"/>
      <c r="AA189" s="55"/>
      <c r="AB189" s="49">
        <f>(B189*194.205+C189*267.466+D189*133.845+E189*53.484+F189*40+G189*185+H189*0+I189*100+J189*300)/(194.205+267.466+133.845+53.484+0+40+185+100+300)</f>
        <v>9.0623673076138154</v>
      </c>
      <c r="AC189" s="45">
        <f>(M189*'RAP TEMPLATE-GAS AVAILABILITY'!O188+N189*'RAP TEMPLATE-GAS AVAILABILITY'!P188+O189*'RAP TEMPLATE-GAS AVAILABILITY'!Q188+P189*'RAP TEMPLATE-GAS AVAILABILITY'!R188)/('RAP TEMPLATE-GAS AVAILABILITY'!O188+'RAP TEMPLATE-GAS AVAILABILITY'!P188+'RAP TEMPLATE-GAS AVAILABILITY'!Q188+'RAP TEMPLATE-GAS AVAILABILITY'!R188)</f>
        <v>8.950495683453239</v>
      </c>
    </row>
    <row r="190" spans="1:29" ht="15.75" x14ac:dyDescent="0.25">
      <c r="A190" s="13">
        <v>46661</v>
      </c>
      <c r="B190" s="14">
        <f>CHOOSE(CONTROL!$C$42, 8.8399, 8.8399) * CHOOSE(CONTROL!$C$21, $C$9, 100%, $E$9)</f>
        <v>8.8399000000000001</v>
      </c>
      <c r="C190" s="14">
        <f>CHOOSE(CONTROL!$C$42, 8.8452, 8.8452) * CHOOSE(CONTROL!$C$21, $C$9, 100%, $E$9)</f>
        <v>8.8452000000000002</v>
      </c>
      <c r="D190" s="14">
        <f>CHOOSE(CONTROL!$C$42, 9.1093, 9.1093) * CHOOSE(CONTROL!$C$21, $C$9, 100%, $E$9)</f>
        <v>9.1092999999999993</v>
      </c>
      <c r="E190" s="14">
        <f>CHOOSE(CONTROL!$C$42, 9.1384, 9.1384) * CHOOSE(CONTROL!$C$21, $C$9, 100%, $E$9)</f>
        <v>9.1384000000000007</v>
      </c>
      <c r="F190" s="14">
        <f>CHOOSE(CONTROL!$C$42, 8.8645, 8.8645)*CHOOSE(CONTROL!$C$21, $C$9, 100%, $E$9)</f>
        <v>8.8644999999999996</v>
      </c>
      <c r="G190" s="14">
        <f>CHOOSE(CONTROL!$C$42, 8.8816, 8.8816)*CHOOSE(CONTROL!$C$21, $C$9, 100%, $E$9)</f>
        <v>8.8816000000000006</v>
      </c>
      <c r="H190" s="14">
        <f>CHOOSE(CONTROL!$C$42, 9.1289, 9.1289) * CHOOSE(CONTROL!$C$21, $C$9, 100%, $E$9)</f>
        <v>9.1288999999999998</v>
      </c>
      <c r="I190" s="14">
        <f>CHOOSE(CONTROL!$C$42, 8.8904, 8.8904)* CHOOSE(CONTROL!$C$21, $C$9, 100%, $E$9)</f>
        <v>8.8903999999999996</v>
      </c>
      <c r="J190" s="14">
        <f>CHOOSE(CONTROL!$C$42, 8.8575, 8.8575)* CHOOSE(CONTROL!$C$21, $C$9, 100%, $E$9)</f>
        <v>8.8574999999999999</v>
      </c>
      <c r="K190" s="52">
        <f>CHOOSE(CONTROL!$C$42, 8.8865, 8.8865) * CHOOSE(CONTROL!$C$21, $C$9, 100%, $E$9)</f>
        <v>8.8864999999999998</v>
      </c>
      <c r="L190" s="14">
        <f>CHOOSE(CONTROL!$C$42, 9.7159, 9.7159) * CHOOSE(CONTROL!$C$21, $C$9, 100%, $E$9)</f>
        <v>9.7158999999999995</v>
      </c>
      <c r="M190" s="14">
        <f>CHOOSE(CONTROL!$C$42, 8.7059, 8.7059) * CHOOSE(CONTROL!$C$21, $C$9, 100%, $E$9)</f>
        <v>8.7058999999999997</v>
      </c>
      <c r="N190" s="14">
        <f>CHOOSE(CONTROL!$C$42, 8.7227, 8.7227) * CHOOSE(CONTROL!$C$21, $C$9, 100%, $E$9)</f>
        <v>8.7226999999999997</v>
      </c>
      <c r="O190" s="14">
        <f>CHOOSE(CONTROL!$C$42, 8.9724, 8.9724) * CHOOSE(CONTROL!$C$21, $C$9, 100%, $E$9)</f>
        <v>8.9724000000000004</v>
      </c>
      <c r="P190" s="14">
        <f>CHOOSE(CONTROL!$C$42, 8.7378, 8.7378) * CHOOSE(CONTROL!$C$21, $C$9, 100%, $E$9)</f>
        <v>8.7378</v>
      </c>
      <c r="Q190" s="14">
        <f>CHOOSE(CONTROL!$C$42, 9.5671, 9.5671) * CHOOSE(CONTROL!$C$21, $C$9, 100%, $E$9)</f>
        <v>9.5670999999999999</v>
      </c>
      <c r="R190" s="14">
        <f>CHOOSE(CONTROL!$C$42, 10.178, 10.178) * CHOOSE(CONTROL!$C$21, $C$9, 100%, $E$9)</f>
        <v>10.178000000000001</v>
      </c>
      <c r="S190" s="14">
        <f>CHOOSE(CONTROL!$C$42, 8.4853, 8.4853) * CHOOSE(CONTROL!$C$21, $C$9, 100%, $E$9)</f>
        <v>8.4853000000000005</v>
      </c>
      <c r="T19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90" s="56">
        <f>(1000*CHOOSE(CONTROL!$C$42, 695, 695)*CHOOSE(CONTROL!$C$42, 0.5599, 0.5599)*CHOOSE(CONTROL!$C$42, 31, 31))/1000000</f>
        <v>12.063045499999998</v>
      </c>
      <c r="V190" s="56">
        <f>(1000*CHOOSE(CONTROL!$C$42, 500, 500)*CHOOSE(CONTROL!$C$42, 0.275, 0.275)*CHOOSE(CONTROL!$C$42, 31, 31))/1000000</f>
        <v>4.2625000000000002</v>
      </c>
      <c r="W190" s="56">
        <f>(1000*CHOOSE(CONTROL!$C$42, 0.1146, 0.1146)*CHOOSE(CONTROL!$C$42, 121.5, 121.5)*CHOOSE(CONTROL!$C$42, 31, 31))/1000000</f>
        <v>0.43164089999999994</v>
      </c>
      <c r="X190" s="56">
        <f>(31*0.1790888*245000/1000000)+(31*0.2374*100000/1000000)</f>
        <v>2.0961194359999999</v>
      </c>
      <c r="Y190" s="56"/>
      <c r="Z190" s="14"/>
      <c r="AA190" s="55"/>
      <c r="AB190" s="49">
        <f>(B190*131.881+C190*277.167+D190*79.08+E190*125.872+F190*40+G190*185+H190*0+I190*100+J190*300)/(131.881+277.167+79.08+125.872+0+40+185+100+300)</f>
        <v>8.9039633003228413</v>
      </c>
      <c r="AC190" s="45">
        <f>(M190*'RAP TEMPLATE-GAS AVAILABILITY'!O189+N190*'RAP TEMPLATE-GAS AVAILABILITY'!P189+O190*'RAP TEMPLATE-GAS AVAILABILITY'!Q189+P190*'RAP TEMPLATE-GAS AVAILABILITY'!R189)/('RAP TEMPLATE-GAS AVAILABILITY'!O189+'RAP TEMPLATE-GAS AVAILABILITY'!P189+'RAP TEMPLATE-GAS AVAILABILITY'!Q189+'RAP TEMPLATE-GAS AVAILABILITY'!R189)</f>
        <v>8.7891309352517979</v>
      </c>
    </row>
    <row r="191" spans="1:29" ht="15.75" x14ac:dyDescent="0.25">
      <c r="A191" s="13">
        <v>46692</v>
      </c>
      <c r="B191" s="14">
        <f>CHOOSE(CONTROL!$C$42, 9.0908, 9.0908) * CHOOSE(CONTROL!$C$21, $C$9, 100%, $E$9)</f>
        <v>9.0907999999999998</v>
      </c>
      <c r="C191" s="14">
        <f>CHOOSE(CONTROL!$C$42, 9.0958, 9.0958) * CHOOSE(CONTROL!$C$21, $C$9, 100%, $E$9)</f>
        <v>9.0958000000000006</v>
      </c>
      <c r="D191" s="14">
        <f>CHOOSE(CONTROL!$C$42, 9.1789, 9.1789) * CHOOSE(CONTROL!$C$21, $C$9, 100%, $E$9)</f>
        <v>9.1789000000000005</v>
      </c>
      <c r="E191" s="14">
        <f>CHOOSE(CONTROL!$C$42, 9.213, 9.213) * CHOOSE(CONTROL!$C$21, $C$9, 100%, $E$9)</f>
        <v>9.2129999999999992</v>
      </c>
      <c r="F191" s="14">
        <f>CHOOSE(CONTROL!$C$42, 9.1184, 9.1184)*CHOOSE(CONTROL!$C$21, $C$9, 100%, $E$9)</f>
        <v>9.1183999999999994</v>
      </c>
      <c r="G191" s="14">
        <f>CHOOSE(CONTROL!$C$42, 9.1357, 9.1357)*CHOOSE(CONTROL!$C$21, $C$9, 100%, $E$9)</f>
        <v>9.1356999999999999</v>
      </c>
      <c r="H191" s="14">
        <f>CHOOSE(CONTROL!$C$42, 9.2022, 9.2022) * CHOOSE(CONTROL!$C$21, $C$9, 100%, $E$9)</f>
        <v>9.2021999999999995</v>
      </c>
      <c r="I191" s="14">
        <f>CHOOSE(CONTROL!$C$42, 9.1389, 9.1389)* CHOOSE(CONTROL!$C$21, $C$9, 100%, $E$9)</f>
        <v>9.1388999999999996</v>
      </c>
      <c r="J191" s="14">
        <f>CHOOSE(CONTROL!$C$42, 9.1114, 9.1114)* CHOOSE(CONTROL!$C$21, $C$9, 100%, $E$9)</f>
        <v>9.1113999999999997</v>
      </c>
      <c r="K191" s="52">
        <f>CHOOSE(CONTROL!$C$42, 9.135, 9.135) * CHOOSE(CONTROL!$C$21, $C$9, 100%, $E$9)</f>
        <v>9.1349999999999998</v>
      </c>
      <c r="L191" s="14">
        <f>CHOOSE(CONTROL!$C$42, 9.7892, 9.7892) * CHOOSE(CONTROL!$C$21, $C$9, 100%, $E$9)</f>
        <v>9.7891999999999992</v>
      </c>
      <c r="M191" s="14">
        <f>CHOOSE(CONTROL!$C$42, 8.9552, 8.9552) * CHOOSE(CONTROL!$C$21, $C$9, 100%, $E$9)</f>
        <v>8.9551999999999996</v>
      </c>
      <c r="N191" s="14">
        <f>CHOOSE(CONTROL!$C$42, 8.9722, 8.9722) * CHOOSE(CONTROL!$C$21, $C$9, 100%, $E$9)</f>
        <v>8.9722000000000008</v>
      </c>
      <c r="O191" s="14">
        <f>CHOOSE(CONTROL!$C$42, 9.0444, 9.0444) * CHOOSE(CONTROL!$C$21, $C$9, 100%, $E$9)</f>
        <v>9.0443999999999996</v>
      </c>
      <c r="P191" s="14">
        <f>CHOOSE(CONTROL!$C$42, 8.9817, 8.9817) * CHOOSE(CONTROL!$C$21, $C$9, 100%, $E$9)</f>
        <v>8.9817</v>
      </c>
      <c r="Q191" s="14">
        <f>CHOOSE(CONTROL!$C$42, 9.6391, 9.6391) * CHOOSE(CONTROL!$C$21, $C$9, 100%, $E$9)</f>
        <v>9.6390999999999991</v>
      </c>
      <c r="R191" s="14">
        <f>CHOOSE(CONTROL!$C$42, 10.2502, 10.2502) * CHOOSE(CONTROL!$C$21, $C$9, 100%, $E$9)</f>
        <v>10.2502</v>
      </c>
      <c r="S191" s="14">
        <f>CHOOSE(CONTROL!$C$42, 8.7268, 8.7268) * CHOOSE(CONTROL!$C$21, $C$9, 100%, $E$9)</f>
        <v>8.7268000000000008</v>
      </c>
      <c r="T19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91" s="56">
        <f>(1000*CHOOSE(CONTROL!$C$42, 695, 695)*CHOOSE(CONTROL!$C$42, 0.5599, 0.5599)*CHOOSE(CONTROL!$C$42, 30, 30))/1000000</f>
        <v>11.673914999999997</v>
      </c>
      <c r="V191" s="56">
        <f>(1000*CHOOSE(CONTROL!$C$42, 500, 500)*CHOOSE(CONTROL!$C$42, 0.275, 0.275)*CHOOSE(CONTROL!$C$42, 30, 30))/1000000</f>
        <v>4.125</v>
      </c>
      <c r="W191" s="56">
        <f>(1000*CHOOSE(CONTROL!$C$42, 0.1146, 0.1146)*CHOOSE(CONTROL!$C$42, 121.5, 121.5)*CHOOSE(CONTROL!$C$42, 30, 30))/1000000</f>
        <v>0.417717</v>
      </c>
      <c r="X191" s="56">
        <f>(30*0.1790888*100000/1000000)+(30*0.2374*100000/1000000)</f>
        <v>1.2494664</v>
      </c>
      <c r="Y191" s="56"/>
      <c r="Z191" s="14"/>
      <c r="AA191" s="55"/>
      <c r="AB191" s="49">
        <f>(B191*122.58+C191*297.941+D191*89.177+E191*40.302+F191*40+G191*160+H191*0+I191*100+J191*300)/(122.58+297.941+89.177+40.302+0+40+160+100+300)</f>
        <v>9.1199731331304346</v>
      </c>
      <c r="AC191" s="45">
        <f>(M191*'RAP TEMPLATE-GAS AVAILABILITY'!O190+N191*'RAP TEMPLATE-GAS AVAILABILITY'!P190+O191*'RAP TEMPLATE-GAS AVAILABILITY'!Q190+P191*'RAP TEMPLATE-GAS AVAILABILITY'!R190)/('RAP TEMPLATE-GAS AVAILABILITY'!O190+'RAP TEMPLATE-GAS AVAILABILITY'!P190+'RAP TEMPLATE-GAS AVAILABILITY'!Q190+'RAP TEMPLATE-GAS AVAILABILITY'!R190)</f>
        <v>9.0004201438848916</v>
      </c>
    </row>
    <row r="192" spans="1:29" ht="15.75" x14ac:dyDescent="0.25">
      <c r="A192" s="13">
        <v>46722</v>
      </c>
      <c r="B192" s="14">
        <f>CHOOSE(CONTROL!$C$42, 9.7299, 9.7299) * CHOOSE(CONTROL!$C$21, $C$9, 100%, $E$9)</f>
        <v>9.7299000000000007</v>
      </c>
      <c r="C192" s="14">
        <f>CHOOSE(CONTROL!$C$42, 9.7349, 9.7349) * CHOOSE(CONTROL!$C$21, $C$9, 100%, $E$9)</f>
        <v>9.7348999999999997</v>
      </c>
      <c r="D192" s="14">
        <f>CHOOSE(CONTROL!$C$42, 9.818, 9.818) * CHOOSE(CONTROL!$C$21, $C$9, 100%, $E$9)</f>
        <v>9.8179999999999996</v>
      </c>
      <c r="E192" s="14">
        <f>CHOOSE(CONTROL!$C$42, 9.8521, 9.8521) * CHOOSE(CONTROL!$C$21, $C$9, 100%, $E$9)</f>
        <v>9.8521000000000001</v>
      </c>
      <c r="F192" s="14">
        <f>CHOOSE(CONTROL!$C$42, 9.7599, 9.7599)*CHOOSE(CONTROL!$C$21, $C$9, 100%, $E$9)</f>
        <v>9.7599</v>
      </c>
      <c r="G192" s="14">
        <f>CHOOSE(CONTROL!$C$42, 9.778, 9.778)*CHOOSE(CONTROL!$C$21, $C$9, 100%, $E$9)</f>
        <v>9.7780000000000005</v>
      </c>
      <c r="H192" s="14">
        <f>CHOOSE(CONTROL!$C$42, 9.8413, 9.8413) * CHOOSE(CONTROL!$C$21, $C$9, 100%, $E$9)</f>
        <v>9.8413000000000004</v>
      </c>
      <c r="I192" s="14">
        <f>CHOOSE(CONTROL!$C$42, 9.78, 9.78)* CHOOSE(CONTROL!$C$21, $C$9, 100%, $E$9)</f>
        <v>9.7799999999999994</v>
      </c>
      <c r="J192" s="14">
        <f>CHOOSE(CONTROL!$C$42, 9.7529, 9.7529)* CHOOSE(CONTROL!$C$21, $C$9, 100%, $E$9)</f>
        <v>9.7529000000000003</v>
      </c>
      <c r="K192" s="52">
        <f>CHOOSE(CONTROL!$C$42, 9.7761, 9.7761) * CHOOSE(CONTROL!$C$21, $C$9, 100%, $E$9)</f>
        <v>9.7760999999999996</v>
      </c>
      <c r="L192" s="14">
        <f>CHOOSE(CONTROL!$C$42, 10.4283, 10.4283) * CHOOSE(CONTROL!$C$21, $C$9, 100%, $E$9)</f>
        <v>10.4283</v>
      </c>
      <c r="M192" s="14">
        <f>CHOOSE(CONTROL!$C$42, 9.5852, 9.5852) * CHOOSE(CONTROL!$C$21, $C$9, 100%, $E$9)</f>
        <v>9.5852000000000004</v>
      </c>
      <c r="N192" s="14">
        <f>CHOOSE(CONTROL!$C$42, 9.6029, 9.6029) * CHOOSE(CONTROL!$C$21, $C$9, 100%, $E$9)</f>
        <v>9.6029</v>
      </c>
      <c r="O192" s="14">
        <f>CHOOSE(CONTROL!$C$42, 9.672, 9.672) * CHOOSE(CONTROL!$C$21, $C$9, 100%, $E$9)</f>
        <v>9.6720000000000006</v>
      </c>
      <c r="P192" s="14">
        <f>CHOOSE(CONTROL!$C$42, 9.6113, 9.6113) * CHOOSE(CONTROL!$C$21, $C$9, 100%, $E$9)</f>
        <v>9.6113</v>
      </c>
      <c r="Q192" s="14">
        <f>CHOOSE(CONTROL!$C$42, 10.2667, 10.2667) * CHOOSE(CONTROL!$C$21, $C$9, 100%, $E$9)</f>
        <v>10.2667</v>
      </c>
      <c r="R192" s="14">
        <f>CHOOSE(CONTROL!$C$42, 10.8794, 10.8794) * CHOOSE(CONTROL!$C$21, $C$9, 100%, $E$9)</f>
        <v>10.8794</v>
      </c>
      <c r="S192" s="14">
        <f>CHOOSE(CONTROL!$C$42, 9.3409, 9.3409) * CHOOSE(CONTROL!$C$21, $C$9, 100%, $E$9)</f>
        <v>9.3408999999999995</v>
      </c>
      <c r="T19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92" s="56">
        <f>(1000*CHOOSE(CONTROL!$C$42, 695, 695)*CHOOSE(CONTROL!$C$42, 0.5599, 0.5599)*CHOOSE(CONTROL!$C$42, 31, 31))/1000000</f>
        <v>12.063045499999998</v>
      </c>
      <c r="V192" s="56">
        <f>(1000*CHOOSE(CONTROL!$C$42, 500, 500)*CHOOSE(CONTROL!$C$42, 0.275, 0.275)*CHOOSE(CONTROL!$C$42, 31, 31))/1000000</f>
        <v>4.2625000000000002</v>
      </c>
      <c r="W192" s="56">
        <f>(1000*CHOOSE(CONTROL!$C$42, 0.1146, 0.1146)*CHOOSE(CONTROL!$C$42, 121.5, 121.5)*CHOOSE(CONTROL!$C$42, 31, 31))/1000000</f>
        <v>0.43164089999999994</v>
      </c>
      <c r="X192" s="56">
        <f>(31*0.1790888*100000/1000000)+(31*0.2374*100000/1000000)</f>
        <v>1.2911152800000001</v>
      </c>
      <c r="Y192" s="56"/>
      <c r="Z192" s="14"/>
      <c r="AA192" s="55"/>
      <c r="AB192" s="49">
        <f>(B192*122.58+C192*297.941+D192*89.177+E192*40.302+F192*40+G192*160+H192*0+I192*100+J192*300)/(122.58+297.941+89.177+40.302+0+40+160+100+300)</f>
        <v>9.7604018287826069</v>
      </c>
      <c r="AC192" s="45">
        <f>(M192*'RAP TEMPLATE-GAS AVAILABILITY'!O191+N192*'RAP TEMPLATE-GAS AVAILABILITY'!P191+O192*'RAP TEMPLATE-GAS AVAILABILITY'!Q191+P192*'RAP TEMPLATE-GAS AVAILABILITY'!R191)/('RAP TEMPLATE-GAS AVAILABILITY'!O191+'RAP TEMPLATE-GAS AVAILABILITY'!P191+'RAP TEMPLATE-GAS AVAILABILITY'!Q191+'RAP TEMPLATE-GAS AVAILABILITY'!R191)</f>
        <v>9.629315107913671</v>
      </c>
    </row>
    <row r="193" spans="1:29" ht="15.75" x14ac:dyDescent="0.25">
      <c r="A193" s="13">
        <v>46753</v>
      </c>
      <c r="B193" s="14">
        <f>CHOOSE(CONTROL!$C$42, 10.2462, 10.2462) * CHOOSE(CONTROL!$C$21, $C$9, 100%, $E$9)</f>
        <v>10.2462</v>
      </c>
      <c r="C193" s="14">
        <f>CHOOSE(CONTROL!$C$42, 10.2512, 10.2512) * CHOOSE(CONTROL!$C$21, $C$9, 100%, $E$9)</f>
        <v>10.251200000000001</v>
      </c>
      <c r="D193" s="14">
        <f>CHOOSE(CONTROL!$C$42, 10.3447, 10.3447) * CHOOSE(CONTROL!$C$21, $C$9, 100%, $E$9)</f>
        <v>10.3447</v>
      </c>
      <c r="E193" s="14">
        <f>CHOOSE(CONTROL!$C$42, 10.3788, 10.3788) * CHOOSE(CONTROL!$C$21, $C$9, 100%, $E$9)</f>
        <v>10.3788</v>
      </c>
      <c r="F193" s="14">
        <f>CHOOSE(CONTROL!$C$42, 10.2735, 10.2735)*CHOOSE(CONTROL!$C$21, $C$9, 100%, $E$9)</f>
        <v>10.2735</v>
      </c>
      <c r="G193" s="14">
        <f>CHOOSE(CONTROL!$C$42, 10.2914, 10.2914)*CHOOSE(CONTROL!$C$21, $C$9, 100%, $E$9)</f>
        <v>10.291399999999999</v>
      </c>
      <c r="H193" s="14">
        <f>CHOOSE(CONTROL!$C$42, 10.368, 10.368) * CHOOSE(CONTROL!$C$21, $C$9, 100%, $E$9)</f>
        <v>10.368</v>
      </c>
      <c r="I193" s="14">
        <f>CHOOSE(CONTROL!$C$42, 10.3042, 10.3042)* CHOOSE(CONTROL!$C$21, $C$9, 100%, $E$9)</f>
        <v>10.3042</v>
      </c>
      <c r="J193" s="14">
        <f>CHOOSE(CONTROL!$C$42, 10.2665, 10.2665)* CHOOSE(CONTROL!$C$21, $C$9, 100%, $E$9)</f>
        <v>10.266500000000001</v>
      </c>
      <c r="K193" s="52">
        <f>CHOOSE(CONTROL!$C$42, 10.3003, 10.3003) * CHOOSE(CONTROL!$C$21, $C$9, 100%, $E$9)</f>
        <v>10.3003</v>
      </c>
      <c r="L193" s="14">
        <f>CHOOSE(CONTROL!$C$42, 10.955, 10.955) * CHOOSE(CONTROL!$C$21, $C$9, 100%, $E$9)</f>
        <v>10.955</v>
      </c>
      <c r="M193" s="14">
        <f>CHOOSE(CONTROL!$C$42, 10.0895, 10.0895) * CHOOSE(CONTROL!$C$21, $C$9, 100%, $E$9)</f>
        <v>10.089499999999999</v>
      </c>
      <c r="N193" s="14">
        <f>CHOOSE(CONTROL!$C$42, 10.1072, 10.1072) * CHOOSE(CONTROL!$C$21, $C$9, 100%, $E$9)</f>
        <v>10.107200000000001</v>
      </c>
      <c r="O193" s="14">
        <f>CHOOSE(CONTROL!$C$42, 10.1892, 10.1892) * CHOOSE(CONTROL!$C$21, $C$9, 100%, $E$9)</f>
        <v>10.1892</v>
      </c>
      <c r="P193" s="14">
        <f>CHOOSE(CONTROL!$C$42, 10.126, 10.126) * CHOOSE(CONTROL!$C$21, $C$9, 100%, $E$9)</f>
        <v>10.125999999999999</v>
      </c>
      <c r="Q193" s="14">
        <f>CHOOSE(CONTROL!$C$42, 10.7839, 10.7839) * CHOOSE(CONTROL!$C$21, $C$9, 100%, $E$9)</f>
        <v>10.783899999999999</v>
      </c>
      <c r="R193" s="14">
        <f>CHOOSE(CONTROL!$C$42, 11.3979, 11.3979) * CHOOSE(CONTROL!$C$21, $C$9, 100%, $E$9)</f>
        <v>11.3979</v>
      </c>
      <c r="S193" s="14">
        <f>CHOOSE(CONTROL!$C$42, 9.837, 9.837) * CHOOSE(CONTROL!$C$21, $C$9, 100%, $E$9)</f>
        <v>9.8369999999999997</v>
      </c>
      <c r="T19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93" s="56">
        <f>(1000*CHOOSE(CONTROL!$C$42, 695, 695)*CHOOSE(CONTROL!$C$42, 0.5599, 0.5599)*CHOOSE(CONTROL!$C$42, 31, 31))/1000000</f>
        <v>12.063045499999998</v>
      </c>
      <c r="V193" s="56">
        <f>(1000*CHOOSE(CONTROL!$C$42, 500, 500)*CHOOSE(CONTROL!$C$42, 0.275, 0.275)*CHOOSE(CONTROL!$C$42, 31, 31))/1000000</f>
        <v>4.2625000000000002</v>
      </c>
      <c r="W193" s="56">
        <f>(1000*CHOOSE(CONTROL!$C$42, 0.1146, 0.1146)*CHOOSE(CONTROL!$C$42, 121.5, 121.5)*CHOOSE(CONTROL!$C$42, 31, 31))/1000000</f>
        <v>0.43164089999999994</v>
      </c>
      <c r="X193" s="56">
        <f>(31*0.1790888*100000/1000000)+(31*0.2374*100000/1000000)</f>
        <v>1.2911152800000001</v>
      </c>
      <c r="Y193" s="56"/>
      <c r="Z193" s="14"/>
      <c r="AA193" s="55"/>
      <c r="AB193" s="49">
        <f>(B193*122.58+C193*297.941+D193*89.177+E193*40.302+F193*40+G193*160+H193*0+I193*100+J193*300)/(122.58+297.941+89.177+40.302+0+40+160+100+300)</f>
        <v>10.277357986695652</v>
      </c>
      <c r="AC193" s="45">
        <f>(M193*'RAP TEMPLATE-GAS AVAILABILITY'!O192+N193*'RAP TEMPLATE-GAS AVAILABILITY'!P192+O193*'RAP TEMPLATE-GAS AVAILABILITY'!Q192+P193*'RAP TEMPLATE-GAS AVAILABILITY'!R192)/('RAP TEMPLATE-GAS AVAILABILITY'!O192+'RAP TEMPLATE-GAS AVAILABILITY'!P192+'RAP TEMPLATE-GAS AVAILABILITY'!Q192+'RAP TEMPLATE-GAS AVAILABILITY'!R192)</f>
        <v>10.140958273381296</v>
      </c>
    </row>
    <row r="194" spans="1:29" ht="15.75" x14ac:dyDescent="0.25">
      <c r="A194" s="13">
        <v>46784</v>
      </c>
      <c r="B194" s="14">
        <f>CHOOSE(CONTROL!$C$42, 10.4499, 10.4499) * CHOOSE(CONTROL!$C$21, $C$9, 100%, $E$9)</f>
        <v>10.4499</v>
      </c>
      <c r="C194" s="14">
        <f>CHOOSE(CONTROL!$C$42, 10.4549, 10.4549) * CHOOSE(CONTROL!$C$21, $C$9, 100%, $E$9)</f>
        <v>10.4549</v>
      </c>
      <c r="D194" s="14">
        <f>CHOOSE(CONTROL!$C$42, 10.5484, 10.5484) * CHOOSE(CONTROL!$C$21, $C$9, 100%, $E$9)</f>
        <v>10.548400000000001</v>
      </c>
      <c r="E194" s="14">
        <f>CHOOSE(CONTROL!$C$42, 10.5825, 10.5825) * CHOOSE(CONTROL!$C$21, $C$9, 100%, $E$9)</f>
        <v>10.5825</v>
      </c>
      <c r="F194" s="14">
        <f>CHOOSE(CONTROL!$C$42, 10.4768, 10.4768)*CHOOSE(CONTROL!$C$21, $C$9, 100%, $E$9)</f>
        <v>10.476800000000001</v>
      </c>
      <c r="G194" s="14">
        <f>CHOOSE(CONTROL!$C$42, 10.4947, 10.4947)*CHOOSE(CONTROL!$C$21, $C$9, 100%, $E$9)</f>
        <v>10.4947</v>
      </c>
      <c r="H194" s="14">
        <f>CHOOSE(CONTROL!$C$42, 10.5717, 10.5717) * CHOOSE(CONTROL!$C$21, $C$9, 100%, $E$9)</f>
        <v>10.5717</v>
      </c>
      <c r="I194" s="14">
        <f>CHOOSE(CONTROL!$C$42, 10.5085, 10.5085)* CHOOSE(CONTROL!$C$21, $C$9, 100%, $E$9)</f>
        <v>10.5085</v>
      </c>
      <c r="J194" s="14">
        <f>CHOOSE(CONTROL!$C$42, 10.4698, 10.4698)* CHOOSE(CONTROL!$C$21, $C$9, 100%, $E$9)</f>
        <v>10.469799999999999</v>
      </c>
      <c r="K194" s="52">
        <f>CHOOSE(CONTROL!$C$42, 10.5046, 10.5046) * CHOOSE(CONTROL!$C$21, $C$9, 100%, $E$9)</f>
        <v>10.5046</v>
      </c>
      <c r="L194" s="14">
        <f>CHOOSE(CONTROL!$C$42, 11.1587, 11.1587) * CHOOSE(CONTROL!$C$21, $C$9, 100%, $E$9)</f>
        <v>11.1587</v>
      </c>
      <c r="M194" s="14">
        <f>CHOOSE(CONTROL!$C$42, 10.2892, 10.2892) * CHOOSE(CONTROL!$C$21, $C$9, 100%, $E$9)</f>
        <v>10.289199999999999</v>
      </c>
      <c r="N194" s="14">
        <f>CHOOSE(CONTROL!$C$42, 10.3067, 10.3067) * CHOOSE(CONTROL!$C$21, $C$9, 100%, $E$9)</f>
        <v>10.306699999999999</v>
      </c>
      <c r="O194" s="14">
        <f>CHOOSE(CONTROL!$C$42, 10.3892, 10.3892) * CHOOSE(CONTROL!$C$21, $C$9, 100%, $E$9)</f>
        <v>10.389200000000001</v>
      </c>
      <c r="P194" s="14">
        <f>CHOOSE(CONTROL!$C$42, 10.3266, 10.3266) * CHOOSE(CONTROL!$C$21, $C$9, 100%, $E$9)</f>
        <v>10.326599999999999</v>
      </c>
      <c r="Q194" s="14">
        <f>CHOOSE(CONTROL!$C$42, 10.9839, 10.9839) * CHOOSE(CONTROL!$C$21, $C$9, 100%, $E$9)</f>
        <v>10.9839</v>
      </c>
      <c r="R194" s="14">
        <f>CHOOSE(CONTROL!$C$42, 11.5984, 11.5984) * CHOOSE(CONTROL!$C$21, $C$9, 100%, $E$9)</f>
        <v>11.5984</v>
      </c>
      <c r="S194" s="14">
        <f>CHOOSE(CONTROL!$C$42, 10.0327, 10.0327) * CHOOSE(CONTROL!$C$21, $C$9, 100%, $E$9)</f>
        <v>10.0327</v>
      </c>
      <c r="T19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94" s="56">
        <f>(1000*CHOOSE(CONTROL!$C$42, 695, 695)*CHOOSE(CONTROL!$C$42, 0.5599, 0.5599)*CHOOSE(CONTROL!$C$42, 29, 29))/1000000</f>
        <v>11.284784499999999</v>
      </c>
      <c r="V194" s="56">
        <f>(1000*CHOOSE(CONTROL!$C$42, 500, 500)*CHOOSE(CONTROL!$C$42, 0.275, 0.275)*CHOOSE(CONTROL!$C$42, 29, 29))/1000000</f>
        <v>3.9874999999999998</v>
      </c>
      <c r="W194" s="56">
        <f>(1000*CHOOSE(CONTROL!$C$42, 0.1146, 0.1146)*CHOOSE(CONTROL!$C$42, 121.5, 121.5)*CHOOSE(CONTROL!$C$42, 29, 29))/1000000</f>
        <v>0.40379309999999996</v>
      </c>
      <c r="X194" s="56">
        <f>(29*0.1790888*100000/1000000)+(29*0.2374*100000/1000000)</f>
        <v>1.2078175199999999</v>
      </c>
      <c r="Y194" s="56"/>
      <c r="Z194" s="14"/>
      <c r="AA194" s="55"/>
      <c r="AB194" s="49">
        <f>(B194*122.58+C194*297.941+D194*89.177+E194*40.302+F194*40+G194*160+H194*0+I194*100+J194*300)/(122.58+297.941+89.177+40.302+0+40+160+100+300)</f>
        <v>10.480936247565218</v>
      </c>
      <c r="AC194" s="45">
        <f>(M194*'RAP TEMPLATE-GAS AVAILABILITY'!O193+N194*'RAP TEMPLATE-GAS AVAILABILITY'!P193+O194*'RAP TEMPLATE-GAS AVAILABILITY'!Q193+P194*'RAP TEMPLATE-GAS AVAILABILITY'!R193)/('RAP TEMPLATE-GAS AVAILABILITY'!O193+'RAP TEMPLATE-GAS AVAILABILITY'!P193+'RAP TEMPLATE-GAS AVAILABILITY'!Q193+'RAP TEMPLATE-GAS AVAILABILITY'!R193)</f>
        <v>10.340912230215828</v>
      </c>
    </row>
    <row r="195" spans="1:29" ht="15.75" x14ac:dyDescent="0.25">
      <c r="A195" s="13">
        <v>46813</v>
      </c>
      <c r="B195" s="14">
        <f>CHOOSE(CONTROL!$C$42, 10.1744, 10.1744) * CHOOSE(CONTROL!$C$21, $C$9, 100%, $E$9)</f>
        <v>10.1744</v>
      </c>
      <c r="C195" s="14">
        <f>CHOOSE(CONTROL!$C$42, 10.1794, 10.1794) * CHOOSE(CONTROL!$C$21, $C$9, 100%, $E$9)</f>
        <v>10.179399999999999</v>
      </c>
      <c r="D195" s="14">
        <f>CHOOSE(CONTROL!$C$42, 10.2729, 10.2729) * CHOOSE(CONTROL!$C$21, $C$9, 100%, $E$9)</f>
        <v>10.2729</v>
      </c>
      <c r="E195" s="14">
        <f>CHOOSE(CONTROL!$C$42, 10.307, 10.307) * CHOOSE(CONTROL!$C$21, $C$9, 100%, $E$9)</f>
        <v>10.307</v>
      </c>
      <c r="F195" s="14">
        <f>CHOOSE(CONTROL!$C$42, 10.2004, 10.2004)*CHOOSE(CONTROL!$C$21, $C$9, 100%, $E$9)</f>
        <v>10.2004</v>
      </c>
      <c r="G195" s="14">
        <f>CHOOSE(CONTROL!$C$42, 10.2181, 10.2181)*CHOOSE(CONTROL!$C$21, $C$9, 100%, $E$9)</f>
        <v>10.2181</v>
      </c>
      <c r="H195" s="14">
        <f>CHOOSE(CONTROL!$C$42, 10.2962, 10.2962) * CHOOSE(CONTROL!$C$21, $C$9, 100%, $E$9)</f>
        <v>10.296200000000001</v>
      </c>
      <c r="I195" s="14">
        <f>CHOOSE(CONTROL!$C$42, 10.2321, 10.2321)* CHOOSE(CONTROL!$C$21, $C$9, 100%, $E$9)</f>
        <v>10.232100000000001</v>
      </c>
      <c r="J195" s="14">
        <f>CHOOSE(CONTROL!$C$42, 10.1934, 10.1934)* CHOOSE(CONTROL!$C$21, $C$9, 100%, $E$9)</f>
        <v>10.1934</v>
      </c>
      <c r="K195" s="52">
        <f>CHOOSE(CONTROL!$C$42, 10.2282, 10.2282) * CHOOSE(CONTROL!$C$21, $C$9, 100%, $E$9)</f>
        <v>10.228199999999999</v>
      </c>
      <c r="L195" s="14">
        <f>CHOOSE(CONTROL!$C$42, 10.8832, 10.8832) * CHOOSE(CONTROL!$C$21, $C$9, 100%, $E$9)</f>
        <v>10.8832</v>
      </c>
      <c r="M195" s="14">
        <f>CHOOSE(CONTROL!$C$42, 10.0178, 10.0178) * CHOOSE(CONTROL!$C$21, $C$9, 100%, $E$9)</f>
        <v>10.017799999999999</v>
      </c>
      <c r="N195" s="14">
        <f>CHOOSE(CONTROL!$C$42, 10.0351, 10.0351) * CHOOSE(CONTROL!$C$21, $C$9, 100%, $E$9)</f>
        <v>10.0351</v>
      </c>
      <c r="O195" s="14">
        <f>CHOOSE(CONTROL!$C$42, 10.1187, 10.1187) * CHOOSE(CONTROL!$C$21, $C$9, 100%, $E$9)</f>
        <v>10.1187</v>
      </c>
      <c r="P195" s="14">
        <f>CHOOSE(CONTROL!$C$42, 10.0553, 10.0553) * CHOOSE(CONTROL!$C$21, $C$9, 100%, $E$9)</f>
        <v>10.055300000000001</v>
      </c>
      <c r="Q195" s="14">
        <f>CHOOSE(CONTROL!$C$42, 10.7134, 10.7134) * CHOOSE(CONTROL!$C$21, $C$9, 100%, $E$9)</f>
        <v>10.7134</v>
      </c>
      <c r="R195" s="14">
        <f>CHOOSE(CONTROL!$C$42, 11.3272, 11.3272) * CHOOSE(CONTROL!$C$21, $C$9, 100%, $E$9)</f>
        <v>11.327199999999999</v>
      </c>
      <c r="S195" s="14">
        <f>CHOOSE(CONTROL!$C$42, 9.768, 9.768) * CHOOSE(CONTROL!$C$21, $C$9, 100%, $E$9)</f>
        <v>9.7680000000000007</v>
      </c>
      <c r="T19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95" s="56">
        <f>(1000*CHOOSE(CONTROL!$C$42, 695, 695)*CHOOSE(CONTROL!$C$42, 0.5599, 0.5599)*CHOOSE(CONTROL!$C$42, 31, 31))/1000000</f>
        <v>12.063045499999998</v>
      </c>
      <c r="V195" s="56">
        <f>(1000*CHOOSE(CONTROL!$C$42, 500, 500)*CHOOSE(CONTROL!$C$42, 0.275, 0.275)*CHOOSE(CONTROL!$C$42, 31, 31))/1000000</f>
        <v>4.2625000000000002</v>
      </c>
      <c r="W195" s="56">
        <f>(1000*CHOOSE(CONTROL!$C$42, 0.1146, 0.1146)*CHOOSE(CONTROL!$C$42, 121.5, 121.5)*CHOOSE(CONTROL!$C$42, 31, 31))/1000000</f>
        <v>0.43164089999999994</v>
      </c>
      <c r="X195" s="56">
        <f>(31*0.1790888*100000/1000000)+(31*0.2374*100000/1000000)</f>
        <v>1.2911152800000001</v>
      </c>
      <c r="Y195" s="56"/>
      <c r="Z195" s="14"/>
      <c r="AA195" s="55"/>
      <c r="AB195" s="49">
        <f>(B195*122.58+C195*297.941+D195*89.177+E195*40.302+F195*40+G195*160+H195*0+I195*100+J195*300)/(122.58+297.941+89.177+40.302+0+40+160+100+300)</f>
        <v>10.204938856260869</v>
      </c>
      <c r="AC195" s="45">
        <f>(M195*'RAP TEMPLATE-GAS AVAILABILITY'!O194+N195*'RAP TEMPLATE-GAS AVAILABILITY'!P194+O195*'RAP TEMPLATE-GAS AVAILABILITY'!Q194+P195*'RAP TEMPLATE-GAS AVAILABILITY'!R194)/('RAP TEMPLATE-GAS AVAILABILITY'!O194+'RAP TEMPLATE-GAS AVAILABILITY'!P194+'RAP TEMPLATE-GAS AVAILABILITY'!Q194+'RAP TEMPLATE-GAS AVAILABILITY'!R194)</f>
        <v>10.069923021582733</v>
      </c>
    </row>
    <row r="196" spans="1:29" ht="15.75" x14ac:dyDescent="0.25">
      <c r="A196" s="13">
        <v>46844</v>
      </c>
      <c r="B196" s="14">
        <f>CHOOSE(CONTROL!$C$42, 10.1658, 10.1658) * CHOOSE(CONTROL!$C$21, $C$9, 100%, $E$9)</f>
        <v>10.165800000000001</v>
      </c>
      <c r="C196" s="14">
        <f>CHOOSE(CONTROL!$C$42, 10.1703, 10.1703) * CHOOSE(CONTROL!$C$21, $C$9, 100%, $E$9)</f>
        <v>10.170299999999999</v>
      </c>
      <c r="D196" s="14">
        <f>CHOOSE(CONTROL!$C$42, 10.4325, 10.4325) * CHOOSE(CONTROL!$C$21, $C$9, 100%, $E$9)</f>
        <v>10.432499999999999</v>
      </c>
      <c r="E196" s="14">
        <f>CHOOSE(CONTROL!$C$42, 10.4646, 10.4646) * CHOOSE(CONTROL!$C$21, $C$9, 100%, $E$9)</f>
        <v>10.464600000000001</v>
      </c>
      <c r="F196" s="14">
        <f>CHOOSE(CONTROL!$C$42, 10.1886, 10.1886)*CHOOSE(CONTROL!$C$21, $C$9, 100%, $E$9)</f>
        <v>10.188599999999999</v>
      </c>
      <c r="G196" s="14">
        <f>CHOOSE(CONTROL!$C$42, 10.2053, 10.2053)*CHOOSE(CONTROL!$C$21, $C$9, 100%, $E$9)</f>
        <v>10.205299999999999</v>
      </c>
      <c r="H196" s="14">
        <f>CHOOSE(CONTROL!$C$42, 10.4544, 10.4544) * CHOOSE(CONTROL!$C$21, $C$9, 100%, $E$9)</f>
        <v>10.4544</v>
      </c>
      <c r="I196" s="14">
        <f>CHOOSE(CONTROL!$C$42, 10.2201, 10.2201)* CHOOSE(CONTROL!$C$21, $C$9, 100%, $E$9)</f>
        <v>10.2201</v>
      </c>
      <c r="J196" s="14">
        <f>CHOOSE(CONTROL!$C$42, 10.1816, 10.1816)* CHOOSE(CONTROL!$C$21, $C$9, 100%, $E$9)</f>
        <v>10.1816</v>
      </c>
      <c r="K196" s="52">
        <f>CHOOSE(CONTROL!$C$42, 10.2162, 10.2162) * CHOOSE(CONTROL!$C$21, $C$9, 100%, $E$9)</f>
        <v>10.216200000000001</v>
      </c>
      <c r="L196" s="14">
        <f>CHOOSE(CONTROL!$C$42, 11.0414, 11.0414) * CHOOSE(CONTROL!$C$21, $C$9, 100%, $E$9)</f>
        <v>11.041399999999999</v>
      </c>
      <c r="M196" s="14">
        <f>CHOOSE(CONTROL!$C$42, 10.0062, 10.0062) * CHOOSE(CONTROL!$C$21, $C$9, 100%, $E$9)</f>
        <v>10.0062</v>
      </c>
      <c r="N196" s="14">
        <f>CHOOSE(CONTROL!$C$42, 10.0226, 10.0226) * CHOOSE(CONTROL!$C$21, $C$9, 100%, $E$9)</f>
        <v>10.022600000000001</v>
      </c>
      <c r="O196" s="14">
        <f>CHOOSE(CONTROL!$C$42, 10.2741, 10.2741) * CHOOSE(CONTROL!$C$21, $C$9, 100%, $E$9)</f>
        <v>10.274100000000001</v>
      </c>
      <c r="P196" s="14">
        <f>CHOOSE(CONTROL!$C$42, 10.0435, 10.0435) * CHOOSE(CONTROL!$C$21, $C$9, 100%, $E$9)</f>
        <v>10.0435</v>
      </c>
      <c r="Q196" s="14">
        <f>CHOOSE(CONTROL!$C$42, 10.8688, 10.8688) * CHOOSE(CONTROL!$C$21, $C$9, 100%, $E$9)</f>
        <v>10.8688</v>
      </c>
      <c r="R196" s="14">
        <f>CHOOSE(CONTROL!$C$42, 11.4829, 11.4829) * CHOOSE(CONTROL!$C$21, $C$9, 100%, $E$9)</f>
        <v>11.482900000000001</v>
      </c>
      <c r="S196" s="14">
        <f>CHOOSE(CONTROL!$C$42, 9.759, 9.759) * CHOOSE(CONTROL!$C$21, $C$9, 100%, $E$9)</f>
        <v>9.7590000000000003</v>
      </c>
      <c r="T19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96" s="56">
        <f>(1000*CHOOSE(CONTROL!$C$42, 695, 695)*CHOOSE(CONTROL!$C$42, 0.5599, 0.5599)*CHOOSE(CONTROL!$C$42, 30, 30))/1000000</f>
        <v>11.673914999999997</v>
      </c>
      <c r="V196" s="56">
        <f>(1000*CHOOSE(CONTROL!$C$42, 500, 500)*CHOOSE(CONTROL!$C$42, 0.275, 0.275)*CHOOSE(CONTROL!$C$42, 30, 30))/1000000</f>
        <v>4.125</v>
      </c>
      <c r="W196" s="56">
        <f>(1000*CHOOSE(CONTROL!$C$42, 0.1146, 0.1146)*CHOOSE(CONTROL!$C$42, 121.5, 121.5)*CHOOSE(CONTROL!$C$42, 30, 30))/1000000</f>
        <v>0.417717</v>
      </c>
      <c r="X196" s="56">
        <f>(30*0.1790888*245000/1000000)+(30*0.2374*100000/1000000)</f>
        <v>2.0285026799999999</v>
      </c>
      <c r="Y196" s="56"/>
      <c r="Z196" s="14"/>
      <c r="AA196" s="55"/>
      <c r="AB196" s="49">
        <f>(B196*141.293+C196*267.993+D196*115.016+E196*89.698+F196*40+G196*185+H196*0+I196*100+J196*300)/(141.293+267.993+115.016+89.698+0+40+185+100+300)</f>
        <v>10.228005002502018</v>
      </c>
      <c r="AC196" s="45">
        <f>(M196*'RAP TEMPLATE-GAS AVAILABILITY'!O195+N196*'RAP TEMPLATE-GAS AVAILABILITY'!P195+O196*'RAP TEMPLATE-GAS AVAILABILITY'!Q195+P196*'RAP TEMPLATE-GAS AVAILABILITY'!R195)/('RAP TEMPLATE-GAS AVAILABILITY'!O195+'RAP TEMPLATE-GAS AVAILABILITY'!P195+'RAP TEMPLATE-GAS AVAILABILITY'!Q195+'RAP TEMPLATE-GAS AVAILABILITY'!R195)</f>
        <v>10.090508633093526</v>
      </c>
    </row>
    <row r="197" spans="1:29" ht="15.75" x14ac:dyDescent="0.25">
      <c r="A197" s="13">
        <v>46874</v>
      </c>
      <c r="B197" s="14">
        <f>CHOOSE(CONTROL!$C$42, 10.2779, 10.2779) * CHOOSE(CONTROL!$C$21, $C$9, 100%, $E$9)</f>
        <v>10.277900000000001</v>
      </c>
      <c r="C197" s="14">
        <f>CHOOSE(CONTROL!$C$42, 10.286, 10.286) * CHOOSE(CONTROL!$C$21, $C$9, 100%, $E$9)</f>
        <v>10.286</v>
      </c>
      <c r="D197" s="14">
        <f>CHOOSE(CONTROL!$C$42, 10.545, 10.545) * CHOOSE(CONTROL!$C$21, $C$9, 100%, $E$9)</f>
        <v>10.545</v>
      </c>
      <c r="E197" s="14">
        <f>CHOOSE(CONTROL!$C$42, 10.5765, 10.5765) * CHOOSE(CONTROL!$C$21, $C$9, 100%, $E$9)</f>
        <v>10.576499999999999</v>
      </c>
      <c r="F197" s="14">
        <f>CHOOSE(CONTROL!$C$42, 10.2995, 10.2995)*CHOOSE(CONTROL!$C$21, $C$9, 100%, $E$9)</f>
        <v>10.2995</v>
      </c>
      <c r="G197" s="14">
        <f>CHOOSE(CONTROL!$C$42, 10.3164, 10.3164)*CHOOSE(CONTROL!$C$21, $C$9, 100%, $E$9)</f>
        <v>10.3164</v>
      </c>
      <c r="H197" s="14">
        <f>CHOOSE(CONTROL!$C$42, 10.5651, 10.5651) * CHOOSE(CONTROL!$C$21, $C$9, 100%, $E$9)</f>
        <v>10.565099999999999</v>
      </c>
      <c r="I197" s="14">
        <f>CHOOSE(CONTROL!$C$42, 10.3312, 10.3312)* CHOOSE(CONTROL!$C$21, $C$9, 100%, $E$9)</f>
        <v>10.331200000000001</v>
      </c>
      <c r="J197" s="14">
        <f>CHOOSE(CONTROL!$C$42, 10.2925, 10.2925)* CHOOSE(CONTROL!$C$21, $C$9, 100%, $E$9)</f>
        <v>10.2925</v>
      </c>
      <c r="K197" s="52">
        <f>CHOOSE(CONTROL!$C$42, 10.3273, 10.3273) * CHOOSE(CONTROL!$C$21, $C$9, 100%, $E$9)</f>
        <v>10.327299999999999</v>
      </c>
      <c r="L197" s="14">
        <f>CHOOSE(CONTROL!$C$42, 11.1521, 11.1521) * CHOOSE(CONTROL!$C$21, $C$9, 100%, $E$9)</f>
        <v>11.152100000000001</v>
      </c>
      <c r="M197" s="14">
        <f>CHOOSE(CONTROL!$C$42, 10.115, 10.115) * CHOOSE(CONTROL!$C$21, $C$9, 100%, $E$9)</f>
        <v>10.115</v>
      </c>
      <c r="N197" s="14">
        <f>CHOOSE(CONTROL!$C$42, 10.1317, 10.1317) * CHOOSE(CONTROL!$C$21, $C$9, 100%, $E$9)</f>
        <v>10.1317</v>
      </c>
      <c r="O197" s="14">
        <f>CHOOSE(CONTROL!$C$42, 10.3828, 10.3828) * CHOOSE(CONTROL!$C$21, $C$9, 100%, $E$9)</f>
        <v>10.3828</v>
      </c>
      <c r="P197" s="14">
        <f>CHOOSE(CONTROL!$C$42, 10.1526, 10.1526) * CHOOSE(CONTROL!$C$21, $C$9, 100%, $E$9)</f>
        <v>10.1526</v>
      </c>
      <c r="Q197" s="14">
        <f>CHOOSE(CONTROL!$C$42, 10.9775, 10.9775) * CHOOSE(CONTROL!$C$21, $C$9, 100%, $E$9)</f>
        <v>10.977499999999999</v>
      </c>
      <c r="R197" s="14">
        <f>CHOOSE(CONTROL!$C$42, 11.5919, 11.5919) * CHOOSE(CONTROL!$C$21, $C$9, 100%, $E$9)</f>
        <v>11.591900000000001</v>
      </c>
      <c r="S197" s="14">
        <f>CHOOSE(CONTROL!$C$42, 9.8654, 9.8654) * CHOOSE(CONTROL!$C$21, $C$9, 100%, $E$9)</f>
        <v>9.8653999999999993</v>
      </c>
      <c r="T19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97" s="56">
        <f>(1000*CHOOSE(CONTROL!$C$42, 695, 695)*CHOOSE(CONTROL!$C$42, 0.5599, 0.5599)*CHOOSE(CONTROL!$C$42, 31, 31))/1000000</f>
        <v>12.063045499999998</v>
      </c>
      <c r="V197" s="56">
        <f>(1000*CHOOSE(CONTROL!$C$42, 500, 500)*CHOOSE(CONTROL!$C$42, 0.275, 0.275)*CHOOSE(CONTROL!$C$42, 31, 31))/1000000</f>
        <v>4.2625000000000002</v>
      </c>
      <c r="W197" s="56">
        <f>(1000*CHOOSE(CONTROL!$C$42, 0.1146, 0.1146)*CHOOSE(CONTROL!$C$42, 121.5, 121.5)*CHOOSE(CONTROL!$C$42, 31, 31))/1000000</f>
        <v>0.43164089999999994</v>
      </c>
      <c r="X197" s="56">
        <f>(31*0.1790888*245000/1000000)+(31*0.2374*100000/1000000)</f>
        <v>2.0961194359999999</v>
      </c>
      <c r="Y197" s="56"/>
      <c r="Z197" s="14"/>
      <c r="AA197" s="55"/>
      <c r="AB197" s="49">
        <f>(B197*194.205+C197*267.466+D197*133.845+E197*53.484+F197*40+G197*185+H197*0+I197*100+J197*300)/(194.205+267.466+133.845+53.484+0+40+185+100+300)</f>
        <v>10.334087830847723</v>
      </c>
      <c r="AC197" s="45">
        <f>(M197*'RAP TEMPLATE-GAS AVAILABILITY'!O196+N197*'RAP TEMPLATE-GAS AVAILABILITY'!P196+O197*'RAP TEMPLATE-GAS AVAILABILITY'!Q196+P197*'RAP TEMPLATE-GAS AVAILABILITY'!R196)/('RAP TEMPLATE-GAS AVAILABILITY'!O196+'RAP TEMPLATE-GAS AVAILABILITY'!P196+'RAP TEMPLATE-GAS AVAILABILITY'!Q196+'RAP TEMPLATE-GAS AVAILABILITY'!R196)</f>
        <v>10.199392805755396</v>
      </c>
    </row>
    <row r="198" spans="1:29" ht="15.75" x14ac:dyDescent="0.25">
      <c r="A198" s="13">
        <v>46905</v>
      </c>
      <c r="B198" s="14">
        <f>CHOOSE(CONTROL!$C$42, 10.5909, 10.5909) * CHOOSE(CONTROL!$C$21, $C$9, 100%, $E$9)</f>
        <v>10.5909</v>
      </c>
      <c r="C198" s="14">
        <f>CHOOSE(CONTROL!$C$42, 10.5989, 10.5989) * CHOOSE(CONTROL!$C$21, $C$9, 100%, $E$9)</f>
        <v>10.5989</v>
      </c>
      <c r="D198" s="14">
        <f>CHOOSE(CONTROL!$C$42, 10.858, 10.858) * CHOOSE(CONTROL!$C$21, $C$9, 100%, $E$9)</f>
        <v>10.858000000000001</v>
      </c>
      <c r="E198" s="14">
        <f>CHOOSE(CONTROL!$C$42, 10.8895, 10.8895) * CHOOSE(CONTROL!$C$21, $C$9, 100%, $E$9)</f>
        <v>10.8895</v>
      </c>
      <c r="F198" s="14">
        <f>CHOOSE(CONTROL!$C$42, 10.6127, 10.6127)*CHOOSE(CONTROL!$C$21, $C$9, 100%, $E$9)</f>
        <v>10.6127</v>
      </c>
      <c r="G198" s="14">
        <f>CHOOSE(CONTROL!$C$42, 10.6297, 10.6297)*CHOOSE(CONTROL!$C$21, $C$9, 100%, $E$9)</f>
        <v>10.6297</v>
      </c>
      <c r="H198" s="14">
        <f>CHOOSE(CONTROL!$C$42, 10.8781, 10.8781) * CHOOSE(CONTROL!$C$21, $C$9, 100%, $E$9)</f>
        <v>10.8781</v>
      </c>
      <c r="I198" s="14">
        <f>CHOOSE(CONTROL!$C$42, 10.6452, 10.6452)* CHOOSE(CONTROL!$C$21, $C$9, 100%, $E$9)</f>
        <v>10.645200000000001</v>
      </c>
      <c r="J198" s="14">
        <f>CHOOSE(CONTROL!$C$42, 10.6057, 10.6057)* CHOOSE(CONTROL!$C$21, $C$9, 100%, $E$9)</f>
        <v>10.605700000000001</v>
      </c>
      <c r="K198" s="52">
        <f>CHOOSE(CONTROL!$C$42, 10.6413, 10.6413) * CHOOSE(CONTROL!$C$21, $C$9, 100%, $E$9)</f>
        <v>10.641299999999999</v>
      </c>
      <c r="L198" s="14">
        <f>CHOOSE(CONTROL!$C$42, 11.4651, 11.4651) * CHOOSE(CONTROL!$C$21, $C$9, 100%, $E$9)</f>
        <v>11.4651</v>
      </c>
      <c r="M198" s="14">
        <f>CHOOSE(CONTROL!$C$42, 10.4226, 10.4226) * CHOOSE(CONTROL!$C$21, $C$9, 100%, $E$9)</f>
        <v>10.422599999999999</v>
      </c>
      <c r="N198" s="14">
        <f>CHOOSE(CONTROL!$C$42, 10.4393, 10.4393) * CHOOSE(CONTROL!$C$21, $C$9, 100%, $E$9)</f>
        <v>10.439299999999999</v>
      </c>
      <c r="O198" s="14">
        <f>CHOOSE(CONTROL!$C$42, 10.6901, 10.6901) * CHOOSE(CONTROL!$C$21, $C$9, 100%, $E$9)</f>
        <v>10.690099999999999</v>
      </c>
      <c r="P198" s="14">
        <f>CHOOSE(CONTROL!$C$42, 10.4609, 10.4609) * CHOOSE(CONTROL!$C$21, $C$9, 100%, $E$9)</f>
        <v>10.460900000000001</v>
      </c>
      <c r="Q198" s="14">
        <f>CHOOSE(CONTROL!$C$42, 11.2848, 11.2848) * CHOOSE(CONTROL!$C$21, $C$9, 100%, $E$9)</f>
        <v>11.284800000000001</v>
      </c>
      <c r="R198" s="14">
        <f>CHOOSE(CONTROL!$C$42, 11.9, 11.9) * CHOOSE(CONTROL!$C$21, $C$9, 100%, $E$9)</f>
        <v>11.9</v>
      </c>
      <c r="S198" s="14">
        <f>CHOOSE(CONTROL!$C$42, 10.1661, 10.1661) * CHOOSE(CONTROL!$C$21, $C$9, 100%, $E$9)</f>
        <v>10.1661</v>
      </c>
      <c r="T19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98" s="56">
        <f>(1000*CHOOSE(CONTROL!$C$42, 695, 695)*CHOOSE(CONTROL!$C$42, 0.5599, 0.5599)*CHOOSE(CONTROL!$C$42, 30, 30))/1000000</f>
        <v>11.673914999999997</v>
      </c>
      <c r="V198" s="56">
        <f>(1000*CHOOSE(CONTROL!$C$42, 500, 500)*CHOOSE(CONTROL!$C$42, 0.275, 0.275)*CHOOSE(CONTROL!$C$42, 30, 30))/1000000</f>
        <v>4.125</v>
      </c>
      <c r="W198" s="56">
        <f>(1000*CHOOSE(CONTROL!$C$42, 0.1146, 0.1146)*CHOOSE(CONTROL!$C$42, 121.5, 121.5)*CHOOSE(CONTROL!$C$42, 30, 30))/1000000</f>
        <v>0.417717</v>
      </c>
      <c r="X198" s="56">
        <f>(30*0.1790888*245000/1000000)+(30*0.2374*100000/1000000)</f>
        <v>2.0285026799999999</v>
      </c>
      <c r="Y198" s="56"/>
      <c r="Z198" s="14"/>
      <c r="AA198" s="55"/>
      <c r="AB198" s="49">
        <f>(B198*194.205+C198*267.466+D198*133.845+E198*53.484+F198*40+G198*185+H198*0+I198*100+J198*300)/(194.205+267.466+133.845+53.484+0+40+185+100+300)</f>
        <v>10.647242268367346</v>
      </c>
      <c r="AC198" s="45">
        <f>(M198*'RAP TEMPLATE-GAS AVAILABILITY'!O197+N198*'RAP TEMPLATE-GAS AVAILABILITY'!P197+O198*'RAP TEMPLATE-GAS AVAILABILITY'!Q197+P198*'RAP TEMPLATE-GAS AVAILABILITY'!R197)/('RAP TEMPLATE-GAS AVAILABILITY'!O197+'RAP TEMPLATE-GAS AVAILABILITY'!P197+'RAP TEMPLATE-GAS AVAILABILITY'!Q197+'RAP TEMPLATE-GAS AVAILABILITY'!R197)</f>
        <v>10.507009352517985</v>
      </c>
    </row>
    <row r="199" spans="1:29" ht="15.75" x14ac:dyDescent="0.25">
      <c r="A199" s="13">
        <v>46935</v>
      </c>
      <c r="B199" s="14">
        <f>CHOOSE(CONTROL!$C$42, 10.4093, 10.4093) * CHOOSE(CONTROL!$C$21, $C$9, 100%, $E$9)</f>
        <v>10.4093</v>
      </c>
      <c r="C199" s="14">
        <f>CHOOSE(CONTROL!$C$42, 10.4173, 10.4173) * CHOOSE(CONTROL!$C$21, $C$9, 100%, $E$9)</f>
        <v>10.417299999999999</v>
      </c>
      <c r="D199" s="14">
        <f>CHOOSE(CONTROL!$C$42, 10.6764, 10.6764) * CHOOSE(CONTROL!$C$21, $C$9, 100%, $E$9)</f>
        <v>10.676399999999999</v>
      </c>
      <c r="E199" s="14">
        <f>CHOOSE(CONTROL!$C$42, 10.7079, 10.7079) * CHOOSE(CONTROL!$C$21, $C$9, 100%, $E$9)</f>
        <v>10.7079</v>
      </c>
      <c r="F199" s="14">
        <f>CHOOSE(CONTROL!$C$42, 10.4315, 10.4315)*CHOOSE(CONTROL!$C$21, $C$9, 100%, $E$9)</f>
        <v>10.4315</v>
      </c>
      <c r="G199" s="14">
        <f>CHOOSE(CONTROL!$C$42, 10.4487, 10.4487)*CHOOSE(CONTROL!$C$21, $C$9, 100%, $E$9)</f>
        <v>10.448700000000001</v>
      </c>
      <c r="H199" s="14">
        <f>CHOOSE(CONTROL!$C$42, 10.6965, 10.6965) * CHOOSE(CONTROL!$C$21, $C$9, 100%, $E$9)</f>
        <v>10.6965</v>
      </c>
      <c r="I199" s="14">
        <f>CHOOSE(CONTROL!$C$42, 10.463, 10.463)* CHOOSE(CONTROL!$C$21, $C$9, 100%, $E$9)</f>
        <v>10.462999999999999</v>
      </c>
      <c r="J199" s="14">
        <f>CHOOSE(CONTROL!$C$42, 10.4245, 10.4245)* CHOOSE(CONTROL!$C$21, $C$9, 100%, $E$9)</f>
        <v>10.4245</v>
      </c>
      <c r="K199" s="52">
        <f>CHOOSE(CONTROL!$C$42, 10.4591, 10.4591) * CHOOSE(CONTROL!$C$21, $C$9, 100%, $E$9)</f>
        <v>10.459099999999999</v>
      </c>
      <c r="L199" s="14">
        <f>CHOOSE(CONTROL!$C$42, 11.2835, 11.2835) * CHOOSE(CONTROL!$C$21, $C$9, 100%, $E$9)</f>
        <v>11.2835</v>
      </c>
      <c r="M199" s="14">
        <f>CHOOSE(CONTROL!$C$42, 10.2447, 10.2447) * CHOOSE(CONTROL!$C$21, $C$9, 100%, $E$9)</f>
        <v>10.2447</v>
      </c>
      <c r="N199" s="14">
        <f>CHOOSE(CONTROL!$C$42, 10.2615, 10.2615) * CHOOSE(CONTROL!$C$21, $C$9, 100%, $E$9)</f>
        <v>10.2615</v>
      </c>
      <c r="O199" s="14">
        <f>CHOOSE(CONTROL!$C$42, 10.5118, 10.5118) * CHOOSE(CONTROL!$C$21, $C$9, 100%, $E$9)</f>
        <v>10.511799999999999</v>
      </c>
      <c r="P199" s="14">
        <f>CHOOSE(CONTROL!$C$42, 10.282, 10.282) * CHOOSE(CONTROL!$C$21, $C$9, 100%, $E$9)</f>
        <v>10.282</v>
      </c>
      <c r="Q199" s="14">
        <f>CHOOSE(CONTROL!$C$42, 11.1065, 11.1065) * CHOOSE(CONTROL!$C$21, $C$9, 100%, $E$9)</f>
        <v>11.1065</v>
      </c>
      <c r="R199" s="14">
        <f>CHOOSE(CONTROL!$C$42, 11.7213, 11.7213) * CHOOSE(CONTROL!$C$21, $C$9, 100%, $E$9)</f>
        <v>11.721299999999999</v>
      </c>
      <c r="S199" s="14">
        <f>CHOOSE(CONTROL!$C$42, 9.9917, 9.9917) * CHOOSE(CONTROL!$C$21, $C$9, 100%, $E$9)</f>
        <v>9.9916999999999998</v>
      </c>
      <c r="T19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99" s="56">
        <f>(1000*CHOOSE(CONTROL!$C$42, 695, 695)*CHOOSE(CONTROL!$C$42, 0.5599, 0.5599)*CHOOSE(CONTROL!$C$42, 31, 31))/1000000</f>
        <v>12.063045499999998</v>
      </c>
      <c r="V199" s="56">
        <f>(1000*CHOOSE(CONTROL!$C$42, 500, 500)*CHOOSE(CONTROL!$C$42, 0.275, 0.275)*CHOOSE(CONTROL!$C$42, 31, 31))/1000000</f>
        <v>4.2625000000000002</v>
      </c>
      <c r="W199" s="56">
        <f>(1000*CHOOSE(CONTROL!$C$42, 0.1146, 0.1146)*CHOOSE(CONTROL!$C$42, 121.5, 121.5)*CHOOSE(CONTROL!$C$42, 31, 31))/1000000</f>
        <v>0.43164089999999994</v>
      </c>
      <c r="X199" s="56">
        <f>(31*0.1790888*245000/1000000)+(31*0.2374*100000/1000000)</f>
        <v>2.0961194359999999</v>
      </c>
      <c r="Y199" s="56"/>
      <c r="Z199" s="14"/>
      <c r="AA199" s="55"/>
      <c r="AB199" s="49">
        <f>(B199*194.205+C199*267.466+D199*133.845+E199*53.484+F199*40+G199*185+H199*0+I199*100+J199*300)/(194.205+267.466+133.845+53.484+0+40+185+100+300)</f>
        <v>10.465789050156985</v>
      </c>
      <c r="AC199" s="45">
        <f>(M199*'RAP TEMPLATE-GAS AVAILABILITY'!O198+N199*'RAP TEMPLATE-GAS AVAILABILITY'!P198+O199*'RAP TEMPLATE-GAS AVAILABILITY'!Q198+P199*'RAP TEMPLATE-GAS AVAILABILITY'!R198)/('RAP TEMPLATE-GAS AVAILABILITY'!O198+'RAP TEMPLATE-GAS AVAILABILITY'!P198+'RAP TEMPLATE-GAS AVAILABILITY'!Q198+'RAP TEMPLATE-GAS AVAILABILITY'!R198)</f>
        <v>10.328876258992807</v>
      </c>
    </row>
    <row r="200" spans="1:29" ht="15.75" x14ac:dyDescent="0.25">
      <c r="A200" s="13">
        <v>46966</v>
      </c>
      <c r="B200" s="14">
        <f>CHOOSE(CONTROL!$C$42, 9.9161, 9.9161) * CHOOSE(CONTROL!$C$21, $C$9, 100%, $E$9)</f>
        <v>9.9161000000000001</v>
      </c>
      <c r="C200" s="14">
        <f>CHOOSE(CONTROL!$C$42, 9.9241, 9.9241) * CHOOSE(CONTROL!$C$21, $C$9, 100%, $E$9)</f>
        <v>9.9240999999999993</v>
      </c>
      <c r="D200" s="14">
        <f>CHOOSE(CONTROL!$C$42, 10.1832, 10.1832) * CHOOSE(CONTROL!$C$21, $C$9, 100%, $E$9)</f>
        <v>10.183199999999999</v>
      </c>
      <c r="E200" s="14">
        <f>CHOOSE(CONTROL!$C$42, 10.2147, 10.2147) * CHOOSE(CONTROL!$C$21, $C$9, 100%, $E$9)</f>
        <v>10.214700000000001</v>
      </c>
      <c r="F200" s="14">
        <f>CHOOSE(CONTROL!$C$42, 9.9385, 9.9385)*CHOOSE(CONTROL!$C$21, $C$9, 100%, $E$9)</f>
        <v>9.9384999999999994</v>
      </c>
      <c r="G200" s="14">
        <f>CHOOSE(CONTROL!$C$42, 9.9557, 9.9557)*CHOOSE(CONTROL!$C$21, $C$9, 100%, $E$9)</f>
        <v>9.9557000000000002</v>
      </c>
      <c r="H200" s="14">
        <f>CHOOSE(CONTROL!$C$42, 10.2033, 10.2033) * CHOOSE(CONTROL!$C$21, $C$9, 100%, $E$9)</f>
        <v>10.2033</v>
      </c>
      <c r="I200" s="14">
        <f>CHOOSE(CONTROL!$C$42, 9.9682, 9.9682)* CHOOSE(CONTROL!$C$21, $C$9, 100%, $E$9)</f>
        <v>9.9681999999999995</v>
      </c>
      <c r="J200" s="14">
        <f>CHOOSE(CONTROL!$C$42, 9.9315, 9.9315)* CHOOSE(CONTROL!$C$21, $C$9, 100%, $E$9)</f>
        <v>9.9314999999999998</v>
      </c>
      <c r="K200" s="52">
        <f>CHOOSE(CONTROL!$C$42, 9.9643, 9.9643) * CHOOSE(CONTROL!$C$21, $C$9, 100%, $E$9)</f>
        <v>9.9642999999999997</v>
      </c>
      <c r="L200" s="14">
        <f>CHOOSE(CONTROL!$C$42, 10.7903, 10.7903) * CHOOSE(CONTROL!$C$21, $C$9, 100%, $E$9)</f>
        <v>10.7903</v>
      </c>
      <c r="M200" s="14">
        <f>CHOOSE(CONTROL!$C$42, 9.7606, 9.7606) * CHOOSE(CONTROL!$C$21, $C$9, 100%, $E$9)</f>
        <v>9.7606000000000002</v>
      </c>
      <c r="N200" s="14">
        <f>CHOOSE(CONTROL!$C$42, 9.7774, 9.7774) * CHOOSE(CONTROL!$C$21, $C$9, 100%, $E$9)</f>
        <v>9.7774000000000001</v>
      </c>
      <c r="O200" s="14">
        <f>CHOOSE(CONTROL!$C$42, 10.0275, 10.0275) * CHOOSE(CONTROL!$C$21, $C$9, 100%, $E$9)</f>
        <v>10.0275</v>
      </c>
      <c r="P200" s="14">
        <f>CHOOSE(CONTROL!$C$42, 9.7962, 9.7962) * CHOOSE(CONTROL!$C$21, $C$9, 100%, $E$9)</f>
        <v>9.7962000000000007</v>
      </c>
      <c r="Q200" s="14">
        <f>CHOOSE(CONTROL!$C$42, 10.6222, 10.6222) * CHOOSE(CONTROL!$C$21, $C$9, 100%, $E$9)</f>
        <v>10.622199999999999</v>
      </c>
      <c r="R200" s="14">
        <f>CHOOSE(CONTROL!$C$42, 11.2357, 11.2357) * CHOOSE(CONTROL!$C$21, $C$9, 100%, $E$9)</f>
        <v>11.2357</v>
      </c>
      <c r="S200" s="14">
        <f>CHOOSE(CONTROL!$C$42, 9.5177, 9.5177) * CHOOSE(CONTROL!$C$21, $C$9, 100%, $E$9)</f>
        <v>9.5176999999999996</v>
      </c>
      <c r="T20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00" s="56">
        <f>(1000*CHOOSE(CONTROL!$C$42, 695, 695)*CHOOSE(CONTROL!$C$42, 0.5599, 0.5599)*CHOOSE(CONTROL!$C$42, 31, 31))/1000000</f>
        <v>12.063045499999998</v>
      </c>
      <c r="V200" s="56">
        <f>(1000*CHOOSE(CONTROL!$C$42, 500, 500)*CHOOSE(CONTROL!$C$42, 0.275, 0.275)*CHOOSE(CONTROL!$C$42, 31, 31))/1000000</f>
        <v>4.2625000000000002</v>
      </c>
      <c r="W200" s="56">
        <f>(1000*CHOOSE(CONTROL!$C$42, 0.1146, 0.1146)*CHOOSE(CONTROL!$C$42, 121.5, 121.5)*CHOOSE(CONTROL!$C$42, 31, 31))/1000000</f>
        <v>0.43164089999999994</v>
      </c>
      <c r="X200" s="56">
        <f>(31*0.1790888*245000/1000000)+(31*0.2374*100000/1000000)</f>
        <v>2.0961194359999999</v>
      </c>
      <c r="Y200" s="56"/>
      <c r="Z200" s="14"/>
      <c r="AA200" s="55"/>
      <c r="AB200" s="49">
        <f>(B200*194.205+C200*267.466+D200*133.845+E200*53.484+F200*40+G200*185+H200*0+I200*100+J200*300)/(194.205+267.466+133.845+53.484+0+40+185+100+300)</f>
        <v>9.9725458790423858</v>
      </c>
      <c r="AC200" s="45">
        <f>(M200*'RAP TEMPLATE-GAS AVAILABILITY'!O199+N200*'RAP TEMPLATE-GAS AVAILABILITY'!P199+O200*'RAP TEMPLATE-GAS AVAILABILITY'!Q199+P200*'RAP TEMPLATE-GAS AVAILABILITY'!R199)/('RAP TEMPLATE-GAS AVAILABILITY'!O199+'RAP TEMPLATE-GAS AVAILABILITY'!P199+'RAP TEMPLATE-GAS AVAILABILITY'!Q199+'RAP TEMPLATE-GAS AVAILABILITY'!R199)</f>
        <v>9.8444755395683448</v>
      </c>
    </row>
    <row r="201" spans="1:29" ht="15.75" x14ac:dyDescent="0.25">
      <c r="A201" s="13">
        <v>46997</v>
      </c>
      <c r="B201" s="14">
        <f>CHOOSE(CONTROL!$C$42, 9.3062, 9.3062) * CHOOSE(CONTROL!$C$21, $C$9, 100%, $E$9)</f>
        <v>9.3062000000000005</v>
      </c>
      <c r="C201" s="14">
        <f>CHOOSE(CONTROL!$C$42, 9.3142, 9.3142) * CHOOSE(CONTROL!$C$21, $C$9, 100%, $E$9)</f>
        <v>9.3141999999999996</v>
      </c>
      <c r="D201" s="14">
        <f>CHOOSE(CONTROL!$C$42, 9.5733, 9.5733) * CHOOSE(CONTROL!$C$21, $C$9, 100%, $E$9)</f>
        <v>9.5732999999999997</v>
      </c>
      <c r="E201" s="14">
        <f>CHOOSE(CONTROL!$C$42, 9.6048, 9.6048) * CHOOSE(CONTROL!$C$21, $C$9, 100%, $E$9)</f>
        <v>9.6047999999999991</v>
      </c>
      <c r="F201" s="14">
        <f>CHOOSE(CONTROL!$C$42, 9.3286, 9.3286)*CHOOSE(CONTROL!$C$21, $C$9, 100%, $E$9)</f>
        <v>9.3285999999999998</v>
      </c>
      <c r="G201" s="14">
        <f>CHOOSE(CONTROL!$C$42, 9.3459, 9.3459)*CHOOSE(CONTROL!$C$21, $C$9, 100%, $E$9)</f>
        <v>9.3459000000000003</v>
      </c>
      <c r="H201" s="14">
        <f>CHOOSE(CONTROL!$C$42, 9.5934, 9.5934) * CHOOSE(CONTROL!$C$21, $C$9, 100%, $E$9)</f>
        <v>9.5934000000000008</v>
      </c>
      <c r="I201" s="14">
        <f>CHOOSE(CONTROL!$C$42, 9.3564, 9.3564)* CHOOSE(CONTROL!$C$21, $C$9, 100%, $E$9)</f>
        <v>9.3564000000000007</v>
      </c>
      <c r="J201" s="14">
        <f>CHOOSE(CONTROL!$C$42, 9.3216, 9.3216)* CHOOSE(CONTROL!$C$21, $C$9, 100%, $E$9)</f>
        <v>9.3216000000000001</v>
      </c>
      <c r="K201" s="52">
        <f>CHOOSE(CONTROL!$C$42, 9.3525, 9.3525) * CHOOSE(CONTROL!$C$21, $C$9, 100%, $E$9)</f>
        <v>9.3524999999999991</v>
      </c>
      <c r="L201" s="14">
        <f>CHOOSE(CONTROL!$C$42, 10.1804, 10.1804) * CHOOSE(CONTROL!$C$21, $C$9, 100%, $E$9)</f>
        <v>10.180400000000001</v>
      </c>
      <c r="M201" s="14">
        <f>CHOOSE(CONTROL!$C$42, 9.1617, 9.1617) * CHOOSE(CONTROL!$C$21, $C$9, 100%, $E$9)</f>
        <v>9.1616999999999997</v>
      </c>
      <c r="N201" s="14">
        <f>CHOOSE(CONTROL!$C$42, 9.1786, 9.1786) * CHOOSE(CONTROL!$C$21, $C$9, 100%, $E$9)</f>
        <v>9.1785999999999994</v>
      </c>
      <c r="O201" s="14">
        <f>CHOOSE(CONTROL!$C$42, 9.4285, 9.4285) * CHOOSE(CONTROL!$C$21, $C$9, 100%, $E$9)</f>
        <v>9.4284999999999997</v>
      </c>
      <c r="P201" s="14">
        <f>CHOOSE(CONTROL!$C$42, 9.1954, 9.1954) * CHOOSE(CONTROL!$C$21, $C$9, 100%, $E$9)</f>
        <v>9.1953999999999994</v>
      </c>
      <c r="Q201" s="14">
        <f>CHOOSE(CONTROL!$C$42, 10.0232, 10.0232) * CHOOSE(CONTROL!$C$21, $C$9, 100%, $E$9)</f>
        <v>10.023199999999999</v>
      </c>
      <c r="R201" s="14">
        <f>CHOOSE(CONTROL!$C$42, 10.6353, 10.6353) * CHOOSE(CONTROL!$C$21, $C$9, 100%, $E$9)</f>
        <v>10.635300000000001</v>
      </c>
      <c r="S201" s="14">
        <f>CHOOSE(CONTROL!$C$42, 8.9317, 8.9317) * CHOOSE(CONTROL!$C$21, $C$9, 100%, $E$9)</f>
        <v>8.9316999999999993</v>
      </c>
      <c r="T20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01" s="56">
        <f>(1000*CHOOSE(CONTROL!$C$42, 695, 695)*CHOOSE(CONTROL!$C$42, 0.5599, 0.5599)*CHOOSE(CONTROL!$C$42, 30, 30))/1000000</f>
        <v>11.673914999999997</v>
      </c>
      <c r="V201" s="56">
        <f>(1000*CHOOSE(CONTROL!$C$42, 500, 500)*CHOOSE(CONTROL!$C$42, 0.275, 0.275)*CHOOSE(CONTROL!$C$42, 30, 30))/1000000</f>
        <v>4.125</v>
      </c>
      <c r="W201" s="56">
        <f>(1000*CHOOSE(CONTROL!$C$42, 0.1146, 0.1146)*CHOOSE(CONTROL!$C$42, 121.5, 121.5)*CHOOSE(CONTROL!$C$42, 30, 30))/1000000</f>
        <v>0.417717</v>
      </c>
      <c r="X201" s="56">
        <f>(30*0.1790888*245000/1000000)+(30*0.2374*100000/1000000)</f>
        <v>2.0285026799999999</v>
      </c>
      <c r="Y201" s="56"/>
      <c r="Z201" s="14"/>
      <c r="AA201" s="55"/>
      <c r="AB201" s="49">
        <f>(B201*194.205+C201*267.466+D201*133.845+E201*53.484+F201*40+G201*185+H201*0+I201*100+J201*300)/(194.205+267.466+133.845+53.484+0+40+185+100+300)</f>
        <v>9.3625112636577708</v>
      </c>
      <c r="AC201" s="45">
        <f>(M201*'RAP TEMPLATE-GAS AVAILABILITY'!O200+N201*'RAP TEMPLATE-GAS AVAILABILITY'!P200+O201*'RAP TEMPLATE-GAS AVAILABILITY'!Q200+P201*'RAP TEMPLATE-GAS AVAILABILITY'!R200)/('RAP TEMPLATE-GAS AVAILABILITY'!O200+'RAP TEMPLATE-GAS AVAILABILITY'!P200+'RAP TEMPLATE-GAS AVAILABILITY'!Q200+'RAP TEMPLATE-GAS AVAILABILITY'!R200)</f>
        <v>9.2452971223021585</v>
      </c>
    </row>
    <row r="202" spans="1:29" ht="15.75" x14ac:dyDescent="0.25">
      <c r="A202" s="13">
        <v>47027</v>
      </c>
      <c r="B202" s="14">
        <f>CHOOSE(CONTROL!$C$42, 9.1345, 9.1345) * CHOOSE(CONTROL!$C$21, $C$9, 100%, $E$9)</f>
        <v>9.1344999999999992</v>
      </c>
      <c r="C202" s="14">
        <f>CHOOSE(CONTROL!$C$42, 9.1398, 9.1398) * CHOOSE(CONTROL!$C$21, $C$9, 100%, $E$9)</f>
        <v>9.1397999999999993</v>
      </c>
      <c r="D202" s="14">
        <f>CHOOSE(CONTROL!$C$42, 9.4038, 9.4038) * CHOOSE(CONTROL!$C$21, $C$9, 100%, $E$9)</f>
        <v>9.4038000000000004</v>
      </c>
      <c r="E202" s="14">
        <f>CHOOSE(CONTROL!$C$42, 9.433, 9.433) * CHOOSE(CONTROL!$C$21, $C$9, 100%, $E$9)</f>
        <v>9.4329999999999998</v>
      </c>
      <c r="F202" s="14">
        <f>CHOOSE(CONTROL!$C$42, 9.1591, 9.1591)*CHOOSE(CONTROL!$C$21, $C$9, 100%, $E$9)</f>
        <v>9.1591000000000005</v>
      </c>
      <c r="G202" s="14">
        <f>CHOOSE(CONTROL!$C$42, 9.1762, 9.1762)*CHOOSE(CONTROL!$C$21, $C$9, 100%, $E$9)</f>
        <v>9.1761999999999997</v>
      </c>
      <c r="H202" s="14">
        <f>CHOOSE(CONTROL!$C$42, 9.4234, 9.4234) * CHOOSE(CONTROL!$C$21, $C$9, 100%, $E$9)</f>
        <v>9.4234000000000009</v>
      </c>
      <c r="I202" s="14">
        <f>CHOOSE(CONTROL!$C$42, 9.1859, 9.1859)* CHOOSE(CONTROL!$C$21, $C$9, 100%, $E$9)</f>
        <v>9.1859000000000002</v>
      </c>
      <c r="J202" s="14">
        <f>CHOOSE(CONTROL!$C$42, 9.1521, 9.1521)* CHOOSE(CONTROL!$C$21, $C$9, 100%, $E$9)</f>
        <v>9.1521000000000008</v>
      </c>
      <c r="K202" s="52">
        <f>CHOOSE(CONTROL!$C$42, 9.182, 9.182) * CHOOSE(CONTROL!$C$21, $C$9, 100%, $E$9)</f>
        <v>9.1820000000000004</v>
      </c>
      <c r="L202" s="14">
        <f>CHOOSE(CONTROL!$C$42, 10.0104, 10.0104) * CHOOSE(CONTROL!$C$21, $C$9, 100%, $E$9)</f>
        <v>10.010400000000001</v>
      </c>
      <c r="M202" s="14">
        <f>CHOOSE(CONTROL!$C$42, 8.9952, 8.9952) * CHOOSE(CONTROL!$C$21, $C$9, 100%, $E$9)</f>
        <v>8.9952000000000005</v>
      </c>
      <c r="N202" s="14">
        <f>CHOOSE(CONTROL!$C$42, 9.012, 9.012) * CHOOSE(CONTROL!$C$21, $C$9, 100%, $E$9)</f>
        <v>9.0120000000000005</v>
      </c>
      <c r="O202" s="14">
        <f>CHOOSE(CONTROL!$C$42, 9.2616, 9.2616) * CHOOSE(CONTROL!$C$21, $C$9, 100%, $E$9)</f>
        <v>9.2615999999999996</v>
      </c>
      <c r="P202" s="14">
        <f>CHOOSE(CONTROL!$C$42, 9.028, 9.028) * CHOOSE(CONTROL!$C$21, $C$9, 100%, $E$9)</f>
        <v>9.0280000000000005</v>
      </c>
      <c r="Q202" s="14">
        <f>CHOOSE(CONTROL!$C$42, 9.8563, 9.8563) * CHOOSE(CONTROL!$C$21, $C$9, 100%, $E$9)</f>
        <v>9.8562999999999992</v>
      </c>
      <c r="R202" s="14">
        <f>CHOOSE(CONTROL!$C$42, 10.468, 10.468) * CHOOSE(CONTROL!$C$21, $C$9, 100%, $E$9)</f>
        <v>10.468</v>
      </c>
      <c r="S202" s="14">
        <f>CHOOSE(CONTROL!$C$42, 8.7684, 8.7684) * CHOOSE(CONTROL!$C$21, $C$9, 100%, $E$9)</f>
        <v>8.7683999999999997</v>
      </c>
      <c r="T20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02" s="56">
        <f>(1000*CHOOSE(CONTROL!$C$42, 695, 695)*CHOOSE(CONTROL!$C$42, 0.5599, 0.5599)*CHOOSE(CONTROL!$C$42, 31, 31))/1000000</f>
        <v>12.063045499999998</v>
      </c>
      <c r="V202" s="56">
        <f>(1000*CHOOSE(CONTROL!$C$42, 500, 500)*CHOOSE(CONTROL!$C$42, 0.275, 0.275)*CHOOSE(CONTROL!$C$42, 31, 31))/1000000</f>
        <v>4.2625000000000002</v>
      </c>
      <c r="W202" s="56">
        <f>(1000*CHOOSE(CONTROL!$C$42, 0.1146, 0.1146)*CHOOSE(CONTROL!$C$42, 121.5, 121.5)*CHOOSE(CONTROL!$C$42, 31, 31))/1000000</f>
        <v>0.43164089999999994</v>
      </c>
      <c r="X202" s="56">
        <f>(31*0.1790888*245000/1000000)+(31*0.2374*100000/1000000)</f>
        <v>2.0961194359999999</v>
      </c>
      <c r="Y202" s="56"/>
      <c r="Z202" s="14"/>
      <c r="AA202" s="55"/>
      <c r="AB202" s="49">
        <f>(B202*131.881+C202*277.167+D202*79.08+E202*125.872+F202*40+G202*185+H202*0+I202*100+J202*300)/(131.881+277.167+79.08+125.872+0+40+185+100+300)</f>
        <v>9.1986295569814356</v>
      </c>
      <c r="AC202" s="45">
        <f>(M202*'RAP TEMPLATE-GAS AVAILABILITY'!O201+N202*'RAP TEMPLATE-GAS AVAILABILITY'!P201+O202*'RAP TEMPLATE-GAS AVAILABILITY'!Q201+P202*'RAP TEMPLATE-GAS AVAILABILITY'!R201)/('RAP TEMPLATE-GAS AVAILABILITY'!O201+'RAP TEMPLATE-GAS AVAILABILITY'!P201+'RAP TEMPLATE-GAS AVAILABILITY'!Q201+'RAP TEMPLATE-GAS AVAILABILITY'!R201)</f>
        <v>9.0785323741007193</v>
      </c>
    </row>
    <row r="203" spans="1:29" ht="15.75" x14ac:dyDescent="0.25">
      <c r="A203" s="13">
        <v>47058</v>
      </c>
      <c r="B203" s="14">
        <f>CHOOSE(CONTROL!$C$42, 9.3937, 9.3937) * CHOOSE(CONTROL!$C$21, $C$9, 100%, $E$9)</f>
        <v>9.3937000000000008</v>
      </c>
      <c r="C203" s="14">
        <f>CHOOSE(CONTROL!$C$42, 9.3988, 9.3988) * CHOOSE(CONTROL!$C$21, $C$9, 100%, $E$9)</f>
        <v>9.3987999999999996</v>
      </c>
      <c r="D203" s="14">
        <f>CHOOSE(CONTROL!$C$42, 9.4818, 9.4818) * CHOOSE(CONTROL!$C$21, $C$9, 100%, $E$9)</f>
        <v>9.4817999999999998</v>
      </c>
      <c r="E203" s="14">
        <f>CHOOSE(CONTROL!$C$42, 9.5159, 9.5159) * CHOOSE(CONTROL!$C$21, $C$9, 100%, $E$9)</f>
        <v>9.5159000000000002</v>
      </c>
      <c r="F203" s="14">
        <f>CHOOSE(CONTROL!$C$42, 9.4213, 9.4213)*CHOOSE(CONTROL!$C$21, $C$9, 100%, $E$9)</f>
        <v>9.4213000000000005</v>
      </c>
      <c r="G203" s="14">
        <f>CHOOSE(CONTROL!$C$42, 9.4387, 9.4387)*CHOOSE(CONTROL!$C$21, $C$9, 100%, $E$9)</f>
        <v>9.4387000000000008</v>
      </c>
      <c r="H203" s="14">
        <f>CHOOSE(CONTROL!$C$42, 9.5051, 9.5051) * CHOOSE(CONTROL!$C$21, $C$9, 100%, $E$9)</f>
        <v>9.5051000000000005</v>
      </c>
      <c r="I203" s="14">
        <f>CHOOSE(CONTROL!$C$42, 9.4428, 9.4428)* CHOOSE(CONTROL!$C$21, $C$9, 100%, $E$9)</f>
        <v>9.4428000000000001</v>
      </c>
      <c r="J203" s="14">
        <f>CHOOSE(CONTROL!$C$42, 9.4143, 9.4143)* CHOOSE(CONTROL!$C$21, $C$9, 100%, $E$9)</f>
        <v>9.4143000000000008</v>
      </c>
      <c r="K203" s="52">
        <f>CHOOSE(CONTROL!$C$42, 9.4389, 9.4389) * CHOOSE(CONTROL!$C$21, $C$9, 100%, $E$9)</f>
        <v>9.4389000000000003</v>
      </c>
      <c r="L203" s="14">
        <f>CHOOSE(CONTROL!$C$42, 10.0921, 10.0921) * CHOOSE(CONTROL!$C$21, $C$9, 100%, $E$9)</f>
        <v>10.0921</v>
      </c>
      <c r="M203" s="14">
        <f>CHOOSE(CONTROL!$C$42, 9.2527, 9.2527) * CHOOSE(CONTROL!$C$21, $C$9, 100%, $E$9)</f>
        <v>9.2527000000000008</v>
      </c>
      <c r="N203" s="14">
        <f>CHOOSE(CONTROL!$C$42, 9.2697, 9.2697) * CHOOSE(CONTROL!$C$21, $C$9, 100%, $E$9)</f>
        <v>9.2697000000000003</v>
      </c>
      <c r="O203" s="14">
        <f>CHOOSE(CONTROL!$C$42, 9.3419, 9.3419) * CHOOSE(CONTROL!$C$21, $C$9, 100%, $E$9)</f>
        <v>9.3419000000000008</v>
      </c>
      <c r="P203" s="14">
        <f>CHOOSE(CONTROL!$C$42, 9.2802, 9.2802) * CHOOSE(CONTROL!$C$21, $C$9, 100%, $E$9)</f>
        <v>9.2802000000000007</v>
      </c>
      <c r="Q203" s="14">
        <f>CHOOSE(CONTROL!$C$42, 9.9366, 9.9366) * CHOOSE(CONTROL!$C$21, $C$9, 100%, $E$9)</f>
        <v>9.9366000000000003</v>
      </c>
      <c r="R203" s="14">
        <f>CHOOSE(CONTROL!$C$42, 10.5484, 10.5484) * CHOOSE(CONTROL!$C$21, $C$9, 100%, $E$9)</f>
        <v>10.548400000000001</v>
      </c>
      <c r="S203" s="14">
        <f>CHOOSE(CONTROL!$C$42, 9.0179, 9.0179) * CHOOSE(CONTROL!$C$21, $C$9, 100%, $E$9)</f>
        <v>9.0178999999999991</v>
      </c>
      <c r="T20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03" s="56">
        <f>(1000*CHOOSE(CONTROL!$C$42, 695, 695)*CHOOSE(CONTROL!$C$42, 0.5599, 0.5599)*CHOOSE(CONTROL!$C$42, 30, 30))/1000000</f>
        <v>11.673914999999997</v>
      </c>
      <c r="V203" s="56">
        <f>(1000*CHOOSE(CONTROL!$C$42, 500, 500)*CHOOSE(CONTROL!$C$42, 0.275, 0.275)*CHOOSE(CONTROL!$C$42, 30, 30))/1000000</f>
        <v>4.125</v>
      </c>
      <c r="W203" s="56">
        <f>(1000*CHOOSE(CONTROL!$C$42, 0.1146, 0.1146)*CHOOSE(CONTROL!$C$42, 121.5, 121.5)*CHOOSE(CONTROL!$C$42, 30, 30))/1000000</f>
        <v>0.417717</v>
      </c>
      <c r="X203" s="56">
        <f>(30*0.1790888*100000/1000000)+(30*0.2374*100000/1000000)</f>
        <v>1.2494664</v>
      </c>
      <c r="Y203" s="56"/>
      <c r="Z203" s="14"/>
      <c r="AA203" s="55"/>
      <c r="AB203" s="49">
        <f>(B203*122.58+C203*297.941+D203*89.177+E203*40.302+F203*40+G203*160+H203*0+I203*100+J203*300)/(122.58+297.941+89.177+40.302+0+40+160+100+300)</f>
        <v>9.422999910608695</v>
      </c>
      <c r="AC203" s="45">
        <f>(M203*'RAP TEMPLATE-GAS AVAILABILITY'!O202+N203*'RAP TEMPLATE-GAS AVAILABILITY'!P202+O203*'RAP TEMPLATE-GAS AVAILABILITY'!Q202+P203*'RAP TEMPLATE-GAS AVAILABILITY'!R202)/('RAP TEMPLATE-GAS AVAILABILITY'!O202+'RAP TEMPLATE-GAS AVAILABILITY'!P202+'RAP TEMPLATE-GAS AVAILABILITY'!Q202+'RAP TEMPLATE-GAS AVAILABILITY'!R202)</f>
        <v>9.2980640287769791</v>
      </c>
    </row>
    <row r="204" spans="1:29" ht="15.75" x14ac:dyDescent="0.25">
      <c r="A204" s="13">
        <v>47088</v>
      </c>
      <c r="B204" s="14">
        <f>CHOOSE(CONTROL!$C$42, 10.0542, 10.0542) * CHOOSE(CONTROL!$C$21, $C$9, 100%, $E$9)</f>
        <v>10.0542</v>
      </c>
      <c r="C204" s="14">
        <f>CHOOSE(CONTROL!$C$42, 10.0592, 10.0592) * CHOOSE(CONTROL!$C$21, $C$9, 100%, $E$9)</f>
        <v>10.059200000000001</v>
      </c>
      <c r="D204" s="14">
        <f>CHOOSE(CONTROL!$C$42, 10.1423, 10.1423) * CHOOSE(CONTROL!$C$21, $C$9, 100%, $E$9)</f>
        <v>10.142300000000001</v>
      </c>
      <c r="E204" s="14">
        <f>CHOOSE(CONTROL!$C$42, 10.1764, 10.1764) * CHOOSE(CONTROL!$C$21, $C$9, 100%, $E$9)</f>
        <v>10.176399999999999</v>
      </c>
      <c r="F204" s="14">
        <f>CHOOSE(CONTROL!$C$42, 10.0842, 10.0842)*CHOOSE(CONTROL!$C$21, $C$9, 100%, $E$9)</f>
        <v>10.084199999999999</v>
      </c>
      <c r="G204" s="14">
        <f>CHOOSE(CONTROL!$C$42, 10.1022, 10.1022)*CHOOSE(CONTROL!$C$21, $C$9, 100%, $E$9)</f>
        <v>10.1022</v>
      </c>
      <c r="H204" s="14">
        <f>CHOOSE(CONTROL!$C$42, 10.1656, 10.1656) * CHOOSE(CONTROL!$C$21, $C$9, 100%, $E$9)</f>
        <v>10.1656</v>
      </c>
      <c r="I204" s="14">
        <f>CHOOSE(CONTROL!$C$42, 10.1053, 10.1053)* CHOOSE(CONTROL!$C$21, $C$9, 100%, $E$9)</f>
        <v>10.1053</v>
      </c>
      <c r="J204" s="14">
        <f>CHOOSE(CONTROL!$C$42, 10.0772, 10.0772)* CHOOSE(CONTROL!$C$21, $C$9, 100%, $E$9)</f>
        <v>10.077199999999999</v>
      </c>
      <c r="K204" s="52">
        <f>CHOOSE(CONTROL!$C$42, 10.1014, 10.1014) * CHOOSE(CONTROL!$C$21, $C$9, 100%, $E$9)</f>
        <v>10.1014</v>
      </c>
      <c r="L204" s="14">
        <f>CHOOSE(CONTROL!$C$42, 10.7526, 10.7526) * CHOOSE(CONTROL!$C$21, $C$9, 100%, $E$9)</f>
        <v>10.752599999999999</v>
      </c>
      <c r="M204" s="14">
        <f>CHOOSE(CONTROL!$C$42, 9.9037, 9.9037) * CHOOSE(CONTROL!$C$21, $C$9, 100%, $E$9)</f>
        <v>9.9037000000000006</v>
      </c>
      <c r="N204" s="14">
        <f>CHOOSE(CONTROL!$C$42, 9.9213, 9.9213) * CHOOSE(CONTROL!$C$21, $C$9, 100%, $E$9)</f>
        <v>9.9213000000000005</v>
      </c>
      <c r="O204" s="14">
        <f>CHOOSE(CONTROL!$C$42, 9.9904, 9.9904) * CHOOSE(CONTROL!$C$21, $C$9, 100%, $E$9)</f>
        <v>9.9903999999999993</v>
      </c>
      <c r="P204" s="14">
        <f>CHOOSE(CONTROL!$C$42, 9.9307, 9.9307) * CHOOSE(CONTROL!$C$21, $C$9, 100%, $E$9)</f>
        <v>9.9306999999999999</v>
      </c>
      <c r="Q204" s="14">
        <f>CHOOSE(CONTROL!$C$42, 10.5851, 10.5851) * CHOOSE(CONTROL!$C$21, $C$9, 100%, $E$9)</f>
        <v>10.585100000000001</v>
      </c>
      <c r="R204" s="14">
        <f>CHOOSE(CONTROL!$C$42, 11.1986, 11.1986) * CHOOSE(CONTROL!$C$21, $C$9, 100%, $E$9)</f>
        <v>11.198600000000001</v>
      </c>
      <c r="S204" s="14">
        <f>CHOOSE(CONTROL!$C$42, 9.6525, 9.6525) * CHOOSE(CONTROL!$C$21, $C$9, 100%, $E$9)</f>
        <v>9.6524999999999999</v>
      </c>
      <c r="T20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04" s="56">
        <f>(1000*CHOOSE(CONTROL!$C$42, 695, 695)*CHOOSE(CONTROL!$C$42, 0.5599, 0.5599)*CHOOSE(CONTROL!$C$42, 31, 31))/1000000</f>
        <v>12.063045499999998</v>
      </c>
      <c r="V204" s="56">
        <f>(1000*CHOOSE(CONTROL!$C$42, 500, 500)*CHOOSE(CONTROL!$C$42, 0.275, 0.275)*CHOOSE(CONTROL!$C$42, 31, 31))/1000000</f>
        <v>4.2625000000000002</v>
      </c>
      <c r="W204" s="56">
        <f>(1000*CHOOSE(CONTROL!$C$42, 0.1146, 0.1146)*CHOOSE(CONTROL!$C$42, 121.5, 121.5)*CHOOSE(CONTROL!$C$42, 31, 31))/1000000</f>
        <v>0.43164089999999994</v>
      </c>
      <c r="X204" s="56">
        <f>(31*0.1790888*100000/1000000)+(31*0.2374*100000/1000000)</f>
        <v>1.2911152800000001</v>
      </c>
      <c r="Y204" s="56"/>
      <c r="Z204" s="14"/>
      <c r="AA204" s="55"/>
      <c r="AB204" s="49">
        <f>(B204*122.58+C204*297.941+D204*89.177+E204*40.302+F204*40+G204*160+H204*0+I204*100+J204*300)/(122.58+297.941+89.177+40.302+0+40+160+100+300)</f>
        <v>10.084774872260869</v>
      </c>
      <c r="AC204" s="45">
        <f>(M204*'RAP TEMPLATE-GAS AVAILABILITY'!O203+N204*'RAP TEMPLATE-GAS AVAILABILITY'!P203+O204*'RAP TEMPLATE-GAS AVAILABILITY'!Q203+P204*'RAP TEMPLATE-GAS AVAILABILITY'!R203)/('RAP TEMPLATE-GAS AVAILABILITY'!O203+'RAP TEMPLATE-GAS AVAILABILITY'!P203+'RAP TEMPLATE-GAS AVAILABILITY'!Q203+'RAP TEMPLATE-GAS AVAILABILITY'!R203)</f>
        <v>9.9478935251798557</v>
      </c>
    </row>
    <row r="205" spans="1:29" ht="15.75" x14ac:dyDescent="0.25">
      <c r="A205" s="13">
        <v>47119</v>
      </c>
      <c r="B205" s="14">
        <f>CHOOSE(CONTROL!$C$42, 10.587, 10.587) * CHOOSE(CONTROL!$C$21, $C$9, 100%, $E$9)</f>
        <v>10.587</v>
      </c>
      <c r="C205" s="14">
        <f>CHOOSE(CONTROL!$C$42, 10.592, 10.592) * CHOOSE(CONTROL!$C$21, $C$9, 100%, $E$9)</f>
        <v>10.592000000000001</v>
      </c>
      <c r="D205" s="14">
        <f>CHOOSE(CONTROL!$C$42, 10.6855, 10.6855) * CHOOSE(CONTROL!$C$21, $C$9, 100%, $E$9)</f>
        <v>10.685499999999999</v>
      </c>
      <c r="E205" s="14">
        <f>CHOOSE(CONTROL!$C$42, 10.7196, 10.7196) * CHOOSE(CONTROL!$C$21, $C$9, 100%, $E$9)</f>
        <v>10.7196</v>
      </c>
      <c r="F205" s="14">
        <f>CHOOSE(CONTROL!$C$42, 10.6143, 10.6143)*CHOOSE(CONTROL!$C$21, $C$9, 100%, $E$9)</f>
        <v>10.6143</v>
      </c>
      <c r="G205" s="14">
        <f>CHOOSE(CONTROL!$C$42, 10.6323, 10.6323)*CHOOSE(CONTROL!$C$21, $C$9, 100%, $E$9)</f>
        <v>10.632300000000001</v>
      </c>
      <c r="H205" s="14">
        <f>CHOOSE(CONTROL!$C$42, 10.7088, 10.7088) * CHOOSE(CONTROL!$C$21, $C$9, 100%, $E$9)</f>
        <v>10.7088</v>
      </c>
      <c r="I205" s="14">
        <f>CHOOSE(CONTROL!$C$42, 10.646, 10.646)* CHOOSE(CONTROL!$C$21, $C$9, 100%, $E$9)</f>
        <v>10.646000000000001</v>
      </c>
      <c r="J205" s="14">
        <f>CHOOSE(CONTROL!$C$42, 10.6073, 10.6073)* CHOOSE(CONTROL!$C$21, $C$9, 100%, $E$9)</f>
        <v>10.6073</v>
      </c>
      <c r="K205" s="52">
        <f>CHOOSE(CONTROL!$C$42, 10.6421, 10.6421) * CHOOSE(CONTROL!$C$21, $C$9, 100%, $E$9)</f>
        <v>10.642099999999999</v>
      </c>
      <c r="L205" s="14">
        <f>CHOOSE(CONTROL!$C$42, 11.2958, 11.2958) * CHOOSE(CONTROL!$C$21, $C$9, 100%, $E$9)</f>
        <v>11.2958</v>
      </c>
      <c r="M205" s="14">
        <f>CHOOSE(CONTROL!$C$42, 10.4242, 10.4242) * CHOOSE(CONTROL!$C$21, $C$9, 100%, $E$9)</f>
        <v>10.424200000000001</v>
      </c>
      <c r="N205" s="14">
        <f>CHOOSE(CONTROL!$C$42, 10.4418, 10.4418) * CHOOSE(CONTROL!$C$21, $C$9, 100%, $E$9)</f>
        <v>10.441800000000001</v>
      </c>
      <c r="O205" s="14">
        <f>CHOOSE(CONTROL!$C$42, 10.5239, 10.5239) * CHOOSE(CONTROL!$C$21, $C$9, 100%, $E$9)</f>
        <v>10.523899999999999</v>
      </c>
      <c r="P205" s="14">
        <f>CHOOSE(CONTROL!$C$42, 10.4617, 10.4617) * CHOOSE(CONTROL!$C$21, $C$9, 100%, $E$9)</f>
        <v>10.4617</v>
      </c>
      <c r="Q205" s="14">
        <f>CHOOSE(CONTROL!$C$42, 11.1186, 11.1186) * CHOOSE(CONTROL!$C$21, $C$9, 100%, $E$9)</f>
        <v>11.118600000000001</v>
      </c>
      <c r="R205" s="14">
        <f>CHOOSE(CONTROL!$C$42, 11.7334, 11.7334) * CHOOSE(CONTROL!$C$21, $C$9, 100%, $E$9)</f>
        <v>11.7334</v>
      </c>
      <c r="S205" s="14">
        <f>CHOOSE(CONTROL!$C$42, 10.1645, 10.1645) * CHOOSE(CONTROL!$C$21, $C$9, 100%, $E$9)</f>
        <v>10.1645</v>
      </c>
      <c r="T20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05" s="56">
        <f>(1000*CHOOSE(CONTROL!$C$42, 695, 695)*CHOOSE(CONTROL!$C$42, 0.5599, 0.5599)*CHOOSE(CONTROL!$C$42, 31, 31))/1000000</f>
        <v>12.063045499999998</v>
      </c>
      <c r="V205" s="56">
        <f>(1000*CHOOSE(CONTROL!$C$42, 500, 500)*CHOOSE(CONTROL!$C$42, 0.275, 0.275)*CHOOSE(CONTROL!$C$42, 31, 31))/1000000</f>
        <v>4.2625000000000002</v>
      </c>
      <c r="W205" s="56">
        <f>(1000*CHOOSE(CONTROL!$C$42, 0.1146, 0.1146)*CHOOSE(CONTROL!$C$42, 121.5, 121.5)*CHOOSE(CONTROL!$C$42, 31, 31))/1000000</f>
        <v>0.43164089999999994</v>
      </c>
      <c r="X205" s="56">
        <f>(31*0.1790888*100000/1000000)+(31*0.2374*100000/1000000)</f>
        <v>1.2911152800000001</v>
      </c>
      <c r="Y205" s="56"/>
      <c r="Z205" s="14"/>
      <c r="AA205" s="55"/>
      <c r="AB205" s="49">
        <f>(B205*122.58+C205*297.941+D205*89.177+E205*40.302+F205*40+G205*160+H205*0+I205*100+J205*300)/(122.58+297.941+89.177+40.302+0+40+160+100+300)</f>
        <v>10.618258856260871</v>
      </c>
      <c r="AC205" s="45">
        <f>(M205*'RAP TEMPLATE-GAS AVAILABILITY'!O204+N205*'RAP TEMPLATE-GAS AVAILABILITY'!P204+O205*'RAP TEMPLATE-GAS AVAILABILITY'!Q204+P205*'RAP TEMPLATE-GAS AVAILABILITY'!R204)/('RAP TEMPLATE-GAS AVAILABILITY'!O204+'RAP TEMPLATE-GAS AVAILABILITY'!P204+'RAP TEMPLATE-GAS AVAILABILITY'!Q204+'RAP TEMPLATE-GAS AVAILABILITY'!R204)</f>
        <v>10.475796402877698</v>
      </c>
    </row>
    <row r="206" spans="1:29" ht="15.75" x14ac:dyDescent="0.25">
      <c r="A206" s="13">
        <v>47150</v>
      </c>
      <c r="B206" s="14">
        <f>CHOOSE(CONTROL!$C$42, 10.7974, 10.7974) * CHOOSE(CONTROL!$C$21, $C$9, 100%, $E$9)</f>
        <v>10.7974</v>
      </c>
      <c r="C206" s="14">
        <f>CHOOSE(CONTROL!$C$42, 10.8025, 10.8025) * CHOOSE(CONTROL!$C$21, $C$9, 100%, $E$9)</f>
        <v>10.8025</v>
      </c>
      <c r="D206" s="14">
        <f>CHOOSE(CONTROL!$C$42, 10.896, 10.896) * CHOOSE(CONTROL!$C$21, $C$9, 100%, $E$9)</f>
        <v>10.896000000000001</v>
      </c>
      <c r="E206" s="14">
        <f>CHOOSE(CONTROL!$C$42, 10.9301, 10.9301) * CHOOSE(CONTROL!$C$21, $C$9, 100%, $E$9)</f>
        <v>10.930099999999999</v>
      </c>
      <c r="F206" s="14">
        <f>CHOOSE(CONTROL!$C$42, 10.8244, 10.8244)*CHOOSE(CONTROL!$C$21, $C$9, 100%, $E$9)</f>
        <v>10.824400000000001</v>
      </c>
      <c r="G206" s="14">
        <f>CHOOSE(CONTROL!$C$42, 10.8423, 10.8423)*CHOOSE(CONTROL!$C$21, $C$9, 100%, $E$9)</f>
        <v>10.8423</v>
      </c>
      <c r="H206" s="14">
        <f>CHOOSE(CONTROL!$C$42, 10.9193, 10.9193) * CHOOSE(CONTROL!$C$21, $C$9, 100%, $E$9)</f>
        <v>10.9193</v>
      </c>
      <c r="I206" s="14">
        <f>CHOOSE(CONTROL!$C$42, 10.8572, 10.8572)* CHOOSE(CONTROL!$C$21, $C$9, 100%, $E$9)</f>
        <v>10.857200000000001</v>
      </c>
      <c r="J206" s="14">
        <f>CHOOSE(CONTROL!$C$42, 10.8174, 10.8174)* CHOOSE(CONTROL!$C$21, $C$9, 100%, $E$9)</f>
        <v>10.817399999999999</v>
      </c>
      <c r="K206" s="52">
        <f>CHOOSE(CONTROL!$C$42, 10.8533, 10.8533) * CHOOSE(CONTROL!$C$21, $C$9, 100%, $E$9)</f>
        <v>10.853300000000001</v>
      </c>
      <c r="L206" s="14">
        <f>CHOOSE(CONTROL!$C$42, 11.5063, 11.5063) * CHOOSE(CONTROL!$C$21, $C$9, 100%, $E$9)</f>
        <v>11.5063</v>
      </c>
      <c r="M206" s="14">
        <f>CHOOSE(CONTROL!$C$42, 10.6305, 10.6305) * CHOOSE(CONTROL!$C$21, $C$9, 100%, $E$9)</f>
        <v>10.6305</v>
      </c>
      <c r="N206" s="14">
        <f>CHOOSE(CONTROL!$C$42, 10.6481, 10.6481) * CHOOSE(CONTROL!$C$21, $C$9, 100%, $E$9)</f>
        <v>10.648099999999999</v>
      </c>
      <c r="O206" s="14">
        <f>CHOOSE(CONTROL!$C$42, 10.7306, 10.7306) * CHOOSE(CONTROL!$C$21, $C$9, 100%, $E$9)</f>
        <v>10.730600000000001</v>
      </c>
      <c r="P206" s="14">
        <f>CHOOSE(CONTROL!$C$42, 10.669, 10.669) * CHOOSE(CONTROL!$C$21, $C$9, 100%, $E$9)</f>
        <v>10.669</v>
      </c>
      <c r="Q206" s="14">
        <f>CHOOSE(CONTROL!$C$42, 11.3253, 11.3253) * CHOOSE(CONTROL!$C$21, $C$9, 100%, $E$9)</f>
        <v>11.3253</v>
      </c>
      <c r="R206" s="14">
        <f>CHOOSE(CONTROL!$C$42, 11.9406, 11.9406) * CHOOSE(CONTROL!$C$21, $C$9, 100%, $E$9)</f>
        <v>11.9406</v>
      </c>
      <c r="S206" s="14">
        <f>CHOOSE(CONTROL!$C$42, 10.3667, 10.3667) * CHOOSE(CONTROL!$C$21, $C$9, 100%, $E$9)</f>
        <v>10.3667</v>
      </c>
      <c r="T20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06" s="56">
        <f>(1000*CHOOSE(CONTROL!$C$42, 695, 695)*CHOOSE(CONTROL!$C$42, 0.5599, 0.5599)*CHOOSE(CONTROL!$C$42, 28, 28))/1000000</f>
        <v>10.895653999999999</v>
      </c>
      <c r="V206" s="56">
        <f>(1000*CHOOSE(CONTROL!$C$42, 500, 500)*CHOOSE(CONTROL!$C$42, 0.275, 0.275)*CHOOSE(CONTROL!$C$42, 28, 28))/1000000</f>
        <v>3.85</v>
      </c>
      <c r="W206" s="56">
        <f>(1000*CHOOSE(CONTROL!$C$42, 0.1146, 0.1146)*CHOOSE(CONTROL!$C$42, 121.5, 121.5)*CHOOSE(CONTROL!$C$42, 28, 28))/1000000</f>
        <v>0.38986920000000003</v>
      </c>
      <c r="X206" s="56">
        <f>(28*0.1790888*100000/1000000)+(28*0.2374*100000/1000000)</f>
        <v>1.16616864</v>
      </c>
      <c r="Y206" s="56"/>
      <c r="Z206" s="14"/>
      <c r="AA206" s="55"/>
      <c r="AB206" s="49">
        <f>(B206*122.58+C206*297.941+D206*89.177+E206*40.302+F206*40+G206*160+H206*0+I206*100+J206*300)/(122.58+297.941+89.177+40.302+0+40+160+100+300)</f>
        <v>10.828621240608696</v>
      </c>
      <c r="AC206" s="45">
        <f>(M206*'RAP TEMPLATE-GAS AVAILABILITY'!O205+N206*'RAP TEMPLATE-GAS AVAILABILITY'!P205+O206*'RAP TEMPLATE-GAS AVAILABILITY'!Q205+P206*'RAP TEMPLATE-GAS AVAILABILITY'!R205)/('RAP TEMPLATE-GAS AVAILABILITY'!O205+'RAP TEMPLATE-GAS AVAILABILITY'!P205+'RAP TEMPLATE-GAS AVAILABILITY'!Q205+'RAP TEMPLATE-GAS AVAILABILITY'!R205)</f>
        <v>10.682421582733813</v>
      </c>
    </row>
    <row r="207" spans="1:29" ht="15.75" x14ac:dyDescent="0.25">
      <c r="A207" s="13">
        <v>47178</v>
      </c>
      <c r="B207" s="14">
        <f>CHOOSE(CONTROL!$C$42, 10.5128, 10.5128) * CHOOSE(CONTROL!$C$21, $C$9, 100%, $E$9)</f>
        <v>10.5128</v>
      </c>
      <c r="C207" s="14">
        <f>CHOOSE(CONTROL!$C$42, 10.5178, 10.5178) * CHOOSE(CONTROL!$C$21, $C$9, 100%, $E$9)</f>
        <v>10.517799999999999</v>
      </c>
      <c r="D207" s="14">
        <f>CHOOSE(CONTROL!$C$42, 10.6113, 10.6113) * CHOOSE(CONTROL!$C$21, $C$9, 100%, $E$9)</f>
        <v>10.6113</v>
      </c>
      <c r="E207" s="14">
        <f>CHOOSE(CONTROL!$C$42, 10.6454, 10.6454) * CHOOSE(CONTROL!$C$21, $C$9, 100%, $E$9)</f>
        <v>10.6454</v>
      </c>
      <c r="F207" s="14">
        <f>CHOOSE(CONTROL!$C$42, 10.5388, 10.5388)*CHOOSE(CONTROL!$C$21, $C$9, 100%, $E$9)</f>
        <v>10.5388</v>
      </c>
      <c r="G207" s="14">
        <f>CHOOSE(CONTROL!$C$42, 10.5565, 10.5565)*CHOOSE(CONTROL!$C$21, $C$9, 100%, $E$9)</f>
        <v>10.5565</v>
      </c>
      <c r="H207" s="14">
        <f>CHOOSE(CONTROL!$C$42, 10.6346, 10.6346) * CHOOSE(CONTROL!$C$21, $C$9, 100%, $E$9)</f>
        <v>10.634600000000001</v>
      </c>
      <c r="I207" s="14">
        <f>CHOOSE(CONTROL!$C$42, 10.5716, 10.5716)* CHOOSE(CONTROL!$C$21, $C$9, 100%, $E$9)</f>
        <v>10.5716</v>
      </c>
      <c r="J207" s="14">
        <f>CHOOSE(CONTROL!$C$42, 10.5318, 10.5318)* CHOOSE(CONTROL!$C$21, $C$9, 100%, $E$9)</f>
        <v>10.5318</v>
      </c>
      <c r="K207" s="52">
        <f>CHOOSE(CONTROL!$C$42, 10.5677, 10.5677) * CHOOSE(CONTROL!$C$21, $C$9, 100%, $E$9)</f>
        <v>10.5677</v>
      </c>
      <c r="L207" s="14">
        <f>CHOOSE(CONTROL!$C$42, 11.2216, 11.2216) * CHOOSE(CONTROL!$C$21, $C$9, 100%, $E$9)</f>
        <v>11.2216</v>
      </c>
      <c r="M207" s="14">
        <f>CHOOSE(CONTROL!$C$42, 10.3501, 10.3501) * CHOOSE(CONTROL!$C$21, $C$9, 100%, $E$9)</f>
        <v>10.350099999999999</v>
      </c>
      <c r="N207" s="14">
        <f>CHOOSE(CONTROL!$C$42, 10.3674, 10.3674) * CHOOSE(CONTROL!$C$21, $C$9, 100%, $E$9)</f>
        <v>10.3674</v>
      </c>
      <c r="O207" s="14">
        <f>CHOOSE(CONTROL!$C$42, 10.451, 10.451) * CHOOSE(CONTROL!$C$21, $C$9, 100%, $E$9)</f>
        <v>10.451000000000001</v>
      </c>
      <c r="P207" s="14">
        <f>CHOOSE(CONTROL!$C$42, 10.3886, 10.3886) * CHOOSE(CONTROL!$C$21, $C$9, 100%, $E$9)</f>
        <v>10.3886</v>
      </c>
      <c r="Q207" s="14">
        <f>CHOOSE(CONTROL!$C$42, 11.0457, 11.0457) * CHOOSE(CONTROL!$C$21, $C$9, 100%, $E$9)</f>
        <v>11.0457</v>
      </c>
      <c r="R207" s="14">
        <f>CHOOSE(CONTROL!$C$42, 11.6603, 11.6603) * CHOOSE(CONTROL!$C$21, $C$9, 100%, $E$9)</f>
        <v>11.660299999999999</v>
      </c>
      <c r="S207" s="14">
        <f>CHOOSE(CONTROL!$C$42, 10.0932, 10.0932) * CHOOSE(CONTROL!$C$21, $C$9, 100%, $E$9)</f>
        <v>10.0932</v>
      </c>
      <c r="T20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07" s="56">
        <f>(1000*CHOOSE(CONTROL!$C$42, 695, 695)*CHOOSE(CONTROL!$C$42, 0.5599, 0.5599)*CHOOSE(CONTROL!$C$42, 31, 31))/1000000</f>
        <v>12.063045499999998</v>
      </c>
      <c r="V207" s="56">
        <f>(1000*CHOOSE(CONTROL!$C$42, 500, 500)*CHOOSE(CONTROL!$C$42, 0.275, 0.275)*CHOOSE(CONTROL!$C$42, 31, 31))/1000000</f>
        <v>4.2625000000000002</v>
      </c>
      <c r="W207" s="56">
        <f>(1000*CHOOSE(CONTROL!$C$42, 0.1146, 0.1146)*CHOOSE(CONTROL!$C$42, 121.5, 121.5)*CHOOSE(CONTROL!$C$42, 31, 31))/1000000</f>
        <v>0.43164089999999994</v>
      </c>
      <c r="X207" s="56">
        <f>(31*0.1790888*100000/1000000)+(31*0.2374*100000/1000000)</f>
        <v>1.2911152800000001</v>
      </c>
      <c r="Y207" s="56"/>
      <c r="Z207" s="14"/>
      <c r="AA207" s="55"/>
      <c r="AB207" s="49">
        <f>(B207*122.58+C207*297.941+D207*89.177+E207*40.302+F207*40+G207*160+H207*0+I207*100+J207*300)/(122.58+297.941+89.177+40.302+0+40+160+100+300)</f>
        <v>10.543434508434784</v>
      </c>
      <c r="AC207" s="45">
        <f>(M207*'RAP TEMPLATE-GAS AVAILABILITY'!O206+N207*'RAP TEMPLATE-GAS AVAILABILITY'!P206+O207*'RAP TEMPLATE-GAS AVAILABILITY'!Q206+P207*'RAP TEMPLATE-GAS AVAILABILITY'!R206)/('RAP TEMPLATE-GAS AVAILABILITY'!O206+'RAP TEMPLATE-GAS AVAILABILITY'!P206+'RAP TEMPLATE-GAS AVAILABILITY'!Q206+'RAP TEMPLATE-GAS AVAILABILITY'!R206)</f>
        <v>10.402366906474821</v>
      </c>
    </row>
    <row r="208" spans="1:29" ht="15.75" x14ac:dyDescent="0.25">
      <c r="A208" s="13">
        <v>47209</v>
      </c>
      <c r="B208" s="14">
        <f>CHOOSE(CONTROL!$C$42, 10.5039, 10.5039) * CHOOSE(CONTROL!$C$21, $C$9, 100%, $E$9)</f>
        <v>10.5039</v>
      </c>
      <c r="C208" s="14">
        <f>CHOOSE(CONTROL!$C$42, 10.5084, 10.5084) * CHOOSE(CONTROL!$C$21, $C$9, 100%, $E$9)</f>
        <v>10.5084</v>
      </c>
      <c r="D208" s="14">
        <f>CHOOSE(CONTROL!$C$42, 10.7706, 10.7706) * CHOOSE(CONTROL!$C$21, $C$9, 100%, $E$9)</f>
        <v>10.7706</v>
      </c>
      <c r="E208" s="14">
        <f>CHOOSE(CONTROL!$C$42, 10.8027, 10.8027) * CHOOSE(CONTROL!$C$21, $C$9, 100%, $E$9)</f>
        <v>10.8027</v>
      </c>
      <c r="F208" s="14">
        <f>CHOOSE(CONTROL!$C$42, 10.5267, 10.5267)*CHOOSE(CONTROL!$C$21, $C$9, 100%, $E$9)</f>
        <v>10.5267</v>
      </c>
      <c r="G208" s="14">
        <f>CHOOSE(CONTROL!$C$42, 10.5434, 10.5434)*CHOOSE(CONTROL!$C$21, $C$9, 100%, $E$9)</f>
        <v>10.5434</v>
      </c>
      <c r="H208" s="14">
        <f>CHOOSE(CONTROL!$C$42, 10.7925, 10.7925) * CHOOSE(CONTROL!$C$21, $C$9, 100%, $E$9)</f>
        <v>10.7925</v>
      </c>
      <c r="I208" s="14">
        <f>CHOOSE(CONTROL!$C$42, 10.5593, 10.5593)* CHOOSE(CONTROL!$C$21, $C$9, 100%, $E$9)</f>
        <v>10.5593</v>
      </c>
      <c r="J208" s="14">
        <f>CHOOSE(CONTROL!$C$42, 10.5197, 10.5197)* CHOOSE(CONTROL!$C$21, $C$9, 100%, $E$9)</f>
        <v>10.5197</v>
      </c>
      <c r="K208" s="52">
        <f>CHOOSE(CONTROL!$C$42, 10.5554, 10.5554) * CHOOSE(CONTROL!$C$21, $C$9, 100%, $E$9)</f>
        <v>10.555400000000001</v>
      </c>
      <c r="L208" s="14">
        <f>CHOOSE(CONTROL!$C$42, 11.3795, 11.3795) * CHOOSE(CONTROL!$C$21, $C$9, 100%, $E$9)</f>
        <v>11.3795</v>
      </c>
      <c r="M208" s="14">
        <f>CHOOSE(CONTROL!$C$42, 10.3382, 10.3382) * CHOOSE(CONTROL!$C$21, $C$9, 100%, $E$9)</f>
        <v>10.338200000000001</v>
      </c>
      <c r="N208" s="14">
        <f>CHOOSE(CONTROL!$C$42, 10.3546, 10.3546) * CHOOSE(CONTROL!$C$21, $C$9, 100%, $E$9)</f>
        <v>10.3546</v>
      </c>
      <c r="O208" s="14">
        <f>CHOOSE(CONTROL!$C$42, 10.6061, 10.6061) * CHOOSE(CONTROL!$C$21, $C$9, 100%, $E$9)</f>
        <v>10.6061</v>
      </c>
      <c r="P208" s="14">
        <f>CHOOSE(CONTROL!$C$42, 10.3765, 10.3765) * CHOOSE(CONTROL!$C$21, $C$9, 100%, $E$9)</f>
        <v>10.3765</v>
      </c>
      <c r="Q208" s="14">
        <f>CHOOSE(CONTROL!$C$42, 11.2008, 11.2008) * CHOOSE(CONTROL!$C$21, $C$9, 100%, $E$9)</f>
        <v>11.200799999999999</v>
      </c>
      <c r="R208" s="14">
        <f>CHOOSE(CONTROL!$C$42, 11.8158, 11.8158) * CHOOSE(CONTROL!$C$21, $C$9, 100%, $E$9)</f>
        <v>11.815799999999999</v>
      </c>
      <c r="S208" s="14">
        <f>CHOOSE(CONTROL!$C$42, 10.0839, 10.0839) * CHOOSE(CONTROL!$C$21, $C$9, 100%, $E$9)</f>
        <v>10.0839</v>
      </c>
      <c r="T20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08" s="56">
        <f>(1000*CHOOSE(CONTROL!$C$42, 695, 695)*CHOOSE(CONTROL!$C$42, 0.5599, 0.5599)*CHOOSE(CONTROL!$C$42, 30, 30))/1000000</f>
        <v>11.673914999999997</v>
      </c>
      <c r="V208" s="56">
        <f>(1000*CHOOSE(CONTROL!$C$42, 500, 500)*CHOOSE(CONTROL!$C$42, 0.275, 0.275)*CHOOSE(CONTROL!$C$42, 30, 30))/1000000</f>
        <v>4.125</v>
      </c>
      <c r="W208" s="56">
        <f>(1000*CHOOSE(CONTROL!$C$42, 0.1146, 0.1146)*CHOOSE(CONTROL!$C$42, 121.5, 121.5)*CHOOSE(CONTROL!$C$42, 30, 30))/1000000</f>
        <v>0.417717</v>
      </c>
      <c r="X208" s="56">
        <f>(30*0.1790888*245000/1000000)+(30*0.2374*100000/1000000)</f>
        <v>2.0285026799999999</v>
      </c>
      <c r="Y208" s="56"/>
      <c r="Z208" s="14"/>
      <c r="AA208" s="55"/>
      <c r="AB208" s="49">
        <f>(B208*141.293+C208*267.993+D208*115.016+E208*89.698+F208*40+G208*185+H208*0+I208*100+J208*300)/(141.293+267.993+115.016+89.698+0+40+185+100+300)</f>
        <v>10.566193783777241</v>
      </c>
      <c r="AC208" s="45">
        <f>(M208*'RAP TEMPLATE-GAS AVAILABILITY'!O207+N208*'RAP TEMPLATE-GAS AVAILABILITY'!P207+O208*'RAP TEMPLATE-GAS AVAILABILITY'!Q207+P208*'RAP TEMPLATE-GAS AVAILABILITY'!R207)/('RAP TEMPLATE-GAS AVAILABILITY'!O207+'RAP TEMPLATE-GAS AVAILABILITY'!P207+'RAP TEMPLATE-GAS AVAILABILITY'!Q207+'RAP TEMPLATE-GAS AVAILABILITY'!R207)</f>
        <v>10.422652517985613</v>
      </c>
    </row>
    <row r="209" spans="1:29" ht="15.75" x14ac:dyDescent="0.25">
      <c r="A209" s="13">
        <v>47239</v>
      </c>
      <c r="B209" s="14">
        <f>CHOOSE(CONTROL!$C$42, 10.6197, 10.6197) * CHOOSE(CONTROL!$C$21, $C$9, 100%, $E$9)</f>
        <v>10.6197</v>
      </c>
      <c r="C209" s="14">
        <f>CHOOSE(CONTROL!$C$42, 10.6277, 10.6277) * CHOOSE(CONTROL!$C$21, $C$9, 100%, $E$9)</f>
        <v>10.627700000000001</v>
      </c>
      <c r="D209" s="14">
        <f>CHOOSE(CONTROL!$C$42, 10.8868, 10.8868) * CHOOSE(CONTROL!$C$21, $C$9, 100%, $E$9)</f>
        <v>10.886799999999999</v>
      </c>
      <c r="E209" s="14">
        <f>CHOOSE(CONTROL!$C$42, 10.9183, 10.9183) * CHOOSE(CONTROL!$C$21, $C$9, 100%, $E$9)</f>
        <v>10.9183</v>
      </c>
      <c r="F209" s="14">
        <f>CHOOSE(CONTROL!$C$42, 10.6412, 10.6412)*CHOOSE(CONTROL!$C$21, $C$9, 100%, $E$9)</f>
        <v>10.6412</v>
      </c>
      <c r="G209" s="14">
        <f>CHOOSE(CONTROL!$C$42, 10.6582, 10.6582)*CHOOSE(CONTROL!$C$21, $C$9, 100%, $E$9)</f>
        <v>10.658200000000001</v>
      </c>
      <c r="H209" s="14">
        <f>CHOOSE(CONTROL!$C$42, 10.9069, 10.9069) * CHOOSE(CONTROL!$C$21, $C$9, 100%, $E$9)</f>
        <v>10.9069</v>
      </c>
      <c r="I209" s="14">
        <f>CHOOSE(CONTROL!$C$42, 10.6741, 10.6741)* CHOOSE(CONTROL!$C$21, $C$9, 100%, $E$9)</f>
        <v>10.674099999999999</v>
      </c>
      <c r="J209" s="14">
        <f>CHOOSE(CONTROL!$C$42, 10.6342, 10.6342)* CHOOSE(CONTROL!$C$21, $C$9, 100%, $E$9)</f>
        <v>10.6342</v>
      </c>
      <c r="K209" s="52">
        <f>CHOOSE(CONTROL!$C$42, 10.6702, 10.6702) * CHOOSE(CONTROL!$C$21, $C$9, 100%, $E$9)</f>
        <v>10.670199999999999</v>
      </c>
      <c r="L209" s="14">
        <f>CHOOSE(CONTROL!$C$42, 11.4939, 11.4939) * CHOOSE(CONTROL!$C$21, $C$9, 100%, $E$9)</f>
        <v>11.4939</v>
      </c>
      <c r="M209" s="14">
        <f>CHOOSE(CONTROL!$C$42, 10.4507, 10.4507) * CHOOSE(CONTROL!$C$21, $C$9, 100%, $E$9)</f>
        <v>10.450699999999999</v>
      </c>
      <c r="N209" s="14">
        <f>CHOOSE(CONTROL!$C$42, 10.4673, 10.4673) * CHOOSE(CONTROL!$C$21, $C$9, 100%, $E$9)</f>
        <v>10.4673</v>
      </c>
      <c r="O209" s="14">
        <f>CHOOSE(CONTROL!$C$42, 10.7184, 10.7184) * CHOOSE(CONTROL!$C$21, $C$9, 100%, $E$9)</f>
        <v>10.718400000000001</v>
      </c>
      <c r="P209" s="14">
        <f>CHOOSE(CONTROL!$C$42, 10.4893, 10.4893) * CHOOSE(CONTROL!$C$21, $C$9, 100%, $E$9)</f>
        <v>10.4893</v>
      </c>
      <c r="Q209" s="14">
        <f>CHOOSE(CONTROL!$C$42, 11.3131, 11.3131) * CHOOSE(CONTROL!$C$21, $C$9, 100%, $E$9)</f>
        <v>11.3131</v>
      </c>
      <c r="R209" s="14">
        <f>CHOOSE(CONTROL!$C$42, 11.9284, 11.9284) * CHOOSE(CONTROL!$C$21, $C$9, 100%, $E$9)</f>
        <v>11.9284</v>
      </c>
      <c r="S209" s="14">
        <f>CHOOSE(CONTROL!$C$42, 10.1938, 10.1938) * CHOOSE(CONTROL!$C$21, $C$9, 100%, $E$9)</f>
        <v>10.1938</v>
      </c>
      <c r="T20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09" s="56">
        <f>(1000*CHOOSE(CONTROL!$C$42, 695, 695)*CHOOSE(CONTROL!$C$42, 0.5599, 0.5599)*CHOOSE(CONTROL!$C$42, 31, 31))/1000000</f>
        <v>12.063045499999998</v>
      </c>
      <c r="V209" s="56">
        <f>(1000*CHOOSE(CONTROL!$C$42, 500, 500)*CHOOSE(CONTROL!$C$42, 0.275, 0.275)*CHOOSE(CONTROL!$C$42, 31, 31))/1000000</f>
        <v>4.2625000000000002</v>
      </c>
      <c r="W209" s="56">
        <f>(1000*CHOOSE(CONTROL!$C$42, 0.1146, 0.1146)*CHOOSE(CONTROL!$C$42, 121.5, 121.5)*CHOOSE(CONTROL!$C$42, 31, 31))/1000000</f>
        <v>0.43164089999999994</v>
      </c>
      <c r="X209" s="56">
        <f>(31*0.1790888*245000/1000000)+(31*0.2374*100000/1000000)</f>
        <v>2.0961194359999999</v>
      </c>
      <c r="Y209" s="56"/>
      <c r="Z209" s="14"/>
      <c r="AA209" s="55"/>
      <c r="AB209" s="49">
        <f>(B209*194.205+C209*267.466+D209*133.845+E209*53.484+F209*40+G209*185+H209*0+I209*100+J209*300)/(194.205+267.466+133.845+53.484+0+40+185+100+300)</f>
        <v>10.675926491287285</v>
      </c>
      <c r="AC209" s="45">
        <f>(M209*'RAP TEMPLATE-GAS AVAILABILITY'!O208+N209*'RAP TEMPLATE-GAS AVAILABILITY'!P208+O209*'RAP TEMPLATE-GAS AVAILABILITY'!Q208+P209*'RAP TEMPLATE-GAS AVAILABILITY'!R208)/('RAP TEMPLATE-GAS AVAILABILITY'!O208+'RAP TEMPLATE-GAS AVAILABILITY'!P208+'RAP TEMPLATE-GAS AVAILABILITY'!Q208+'RAP TEMPLATE-GAS AVAILABILITY'!R208)</f>
        <v>10.535185611510791</v>
      </c>
    </row>
    <row r="210" spans="1:29" ht="15.75" x14ac:dyDescent="0.25">
      <c r="A210" s="13">
        <v>47270</v>
      </c>
      <c r="B210" s="14">
        <f>CHOOSE(CONTROL!$C$42, 10.9431, 10.9431) * CHOOSE(CONTROL!$C$21, $C$9, 100%, $E$9)</f>
        <v>10.943099999999999</v>
      </c>
      <c r="C210" s="14">
        <f>CHOOSE(CONTROL!$C$42, 10.9511, 10.9511) * CHOOSE(CONTROL!$C$21, $C$9, 100%, $E$9)</f>
        <v>10.9511</v>
      </c>
      <c r="D210" s="14">
        <f>CHOOSE(CONTROL!$C$42, 11.2102, 11.2102) * CHOOSE(CONTROL!$C$21, $C$9, 100%, $E$9)</f>
        <v>11.2102</v>
      </c>
      <c r="E210" s="14">
        <f>CHOOSE(CONTROL!$C$42, 11.2417, 11.2417) * CHOOSE(CONTROL!$C$21, $C$9, 100%, $E$9)</f>
        <v>11.2417</v>
      </c>
      <c r="F210" s="14">
        <f>CHOOSE(CONTROL!$C$42, 10.9649, 10.9649)*CHOOSE(CONTROL!$C$21, $C$9, 100%, $E$9)</f>
        <v>10.9649</v>
      </c>
      <c r="G210" s="14">
        <f>CHOOSE(CONTROL!$C$42, 10.9819, 10.9819)*CHOOSE(CONTROL!$C$21, $C$9, 100%, $E$9)</f>
        <v>10.9819</v>
      </c>
      <c r="H210" s="14">
        <f>CHOOSE(CONTROL!$C$42, 11.2303, 11.2303) * CHOOSE(CONTROL!$C$21, $C$9, 100%, $E$9)</f>
        <v>11.2303</v>
      </c>
      <c r="I210" s="14">
        <f>CHOOSE(CONTROL!$C$42, 10.9985, 10.9985)* CHOOSE(CONTROL!$C$21, $C$9, 100%, $E$9)</f>
        <v>10.9985</v>
      </c>
      <c r="J210" s="14">
        <f>CHOOSE(CONTROL!$C$42, 10.9579, 10.9579)* CHOOSE(CONTROL!$C$21, $C$9, 100%, $E$9)</f>
        <v>10.9579</v>
      </c>
      <c r="K210" s="52">
        <f>CHOOSE(CONTROL!$C$42, 10.9946, 10.9946) * CHOOSE(CONTROL!$C$21, $C$9, 100%, $E$9)</f>
        <v>10.9946</v>
      </c>
      <c r="L210" s="14">
        <f>CHOOSE(CONTROL!$C$42, 11.8173, 11.8173) * CHOOSE(CONTROL!$C$21, $C$9, 100%, $E$9)</f>
        <v>11.817299999999999</v>
      </c>
      <c r="M210" s="14">
        <f>CHOOSE(CONTROL!$C$42, 10.7685, 10.7685) * CHOOSE(CONTROL!$C$21, $C$9, 100%, $E$9)</f>
        <v>10.7685</v>
      </c>
      <c r="N210" s="14">
        <f>CHOOSE(CONTROL!$C$42, 10.7852, 10.7852) * CHOOSE(CONTROL!$C$21, $C$9, 100%, $E$9)</f>
        <v>10.7852</v>
      </c>
      <c r="O210" s="14">
        <f>CHOOSE(CONTROL!$C$42, 11.036, 11.036) * CHOOSE(CONTROL!$C$21, $C$9, 100%, $E$9)</f>
        <v>11.036</v>
      </c>
      <c r="P210" s="14">
        <f>CHOOSE(CONTROL!$C$42, 10.8078, 10.8078) * CHOOSE(CONTROL!$C$21, $C$9, 100%, $E$9)</f>
        <v>10.8078</v>
      </c>
      <c r="Q210" s="14">
        <f>CHOOSE(CONTROL!$C$42, 11.6307, 11.6307) * CHOOSE(CONTROL!$C$21, $C$9, 100%, $E$9)</f>
        <v>11.630699999999999</v>
      </c>
      <c r="R210" s="14">
        <f>CHOOSE(CONTROL!$C$42, 12.2468, 12.2468) * CHOOSE(CONTROL!$C$21, $C$9, 100%, $E$9)</f>
        <v>12.2468</v>
      </c>
      <c r="S210" s="14">
        <f>CHOOSE(CONTROL!$C$42, 10.5046, 10.5046) * CHOOSE(CONTROL!$C$21, $C$9, 100%, $E$9)</f>
        <v>10.5046</v>
      </c>
      <c r="T21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10" s="56">
        <f>(1000*CHOOSE(CONTROL!$C$42, 695, 695)*CHOOSE(CONTROL!$C$42, 0.5599, 0.5599)*CHOOSE(CONTROL!$C$42, 30, 30))/1000000</f>
        <v>11.673914999999997</v>
      </c>
      <c r="V210" s="56">
        <f>(1000*CHOOSE(CONTROL!$C$42, 500, 500)*CHOOSE(CONTROL!$C$42, 0.275, 0.275)*CHOOSE(CONTROL!$C$42, 30, 30))/1000000</f>
        <v>4.125</v>
      </c>
      <c r="W210" s="56">
        <f>(1000*CHOOSE(CONTROL!$C$42, 0.1146, 0.1146)*CHOOSE(CONTROL!$C$42, 121.5, 121.5)*CHOOSE(CONTROL!$C$42, 30, 30))/1000000</f>
        <v>0.417717</v>
      </c>
      <c r="X210" s="56">
        <f>(30*0.1790888*245000/1000000)+(30*0.2374*100000/1000000)</f>
        <v>2.0285026799999999</v>
      </c>
      <c r="Y210" s="56"/>
      <c r="Z210" s="14"/>
      <c r="AA210" s="55"/>
      <c r="AB210" s="49">
        <f>(B210*194.205+C210*267.466+D210*133.845+E210*53.484+F210*40+G210*185+H210*0+I210*100+J210*300)/(194.205+267.466+133.845+53.484+0+40+185+100+300)</f>
        <v>10.999528610596547</v>
      </c>
      <c r="AC210" s="45">
        <f>(M210*'RAP TEMPLATE-GAS AVAILABILITY'!O209+N210*'RAP TEMPLATE-GAS AVAILABILITY'!P209+O210*'RAP TEMPLATE-GAS AVAILABILITY'!Q209+P210*'RAP TEMPLATE-GAS AVAILABILITY'!R209)/('RAP TEMPLATE-GAS AVAILABILITY'!O209+'RAP TEMPLATE-GAS AVAILABILITY'!P209+'RAP TEMPLATE-GAS AVAILABILITY'!Q209+'RAP TEMPLATE-GAS AVAILABILITY'!R209)</f>
        <v>10.853053237410073</v>
      </c>
    </row>
    <row r="211" spans="1:29" ht="15.75" x14ac:dyDescent="0.25">
      <c r="A211" s="13">
        <v>47300</v>
      </c>
      <c r="B211" s="14">
        <f>CHOOSE(CONTROL!$C$42, 10.7555, 10.7555) * CHOOSE(CONTROL!$C$21, $C$9, 100%, $E$9)</f>
        <v>10.7555</v>
      </c>
      <c r="C211" s="14">
        <f>CHOOSE(CONTROL!$C$42, 10.7635, 10.7635) * CHOOSE(CONTROL!$C$21, $C$9, 100%, $E$9)</f>
        <v>10.763500000000001</v>
      </c>
      <c r="D211" s="14">
        <f>CHOOSE(CONTROL!$C$42, 11.0226, 11.0226) * CHOOSE(CONTROL!$C$21, $C$9, 100%, $E$9)</f>
        <v>11.022600000000001</v>
      </c>
      <c r="E211" s="14">
        <f>CHOOSE(CONTROL!$C$42, 11.054, 11.054) * CHOOSE(CONTROL!$C$21, $C$9, 100%, $E$9)</f>
        <v>11.054</v>
      </c>
      <c r="F211" s="14">
        <f>CHOOSE(CONTROL!$C$42, 10.7777, 10.7777)*CHOOSE(CONTROL!$C$21, $C$9, 100%, $E$9)</f>
        <v>10.777699999999999</v>
      </c>
      <c r="G211" s="14">
        <f>CHOOSE(CONTROL!$C$42, 10.7948, 10.7948)*CHOOSE(CONTROL!$C$21, $C$9, 100%, $E$9)</f>
        <v>10.7948</v>
      </c>
      <c r="H211" s="14">
        <f>CHOOSE(CONTROL!$C$42, 11.0427, 11.0427) * CHOOSE(CONTROL!$C$21, $C$9, 100%, $E$9)</f>
        <v>11.0427</v>
      </c>
      <c r="I211" s="14">
        <f>CHOOSE(CONTROL!$C$42, 10.8102, 10.8102)* CHOOSE(CONTROL!$C$21, $C$9, 100%, $E$9)</f>
        <v>10.8102</v>
      </c>
      <c r="J211" s="14">
        <f>CHOOSE(CONTROL!$C$42, 10.7707, 10.7707)* CHOOSE(CONTROL!$C$21, $C$9, 100%, $E$9)</f>
        <v>10.7707</v>
      </c>
      <c r="K211" s="52">
        <f>CHOOSE(CONTROL!$C$42, 10.8064, 10.8064) * CHOOSE(CONTROL!$C$21, $C$9, 100%, $E$9)</f>
        <v>10.8064</v>
      </c>
      <c r="L211" s="14">
        <f>CHOOSE(CONTROL!$C$42, 11.6297, 11.6297) * CHOOSE(CONTROL!$C$21, $C$9, 100%, $E$9)</f>
        <v>11.6297</v>
      </c>
      <c r="M211" s="14">
        <f>CHOOSE(CONTROL!$C$42, 10.5846, 10.5846) * CHOOSE(CONTROL!$C$21, $C$9, 100%, $E$9)</f>
        <v>10.5846</v>
      </c>
      <c r="N211" s="14">
        <f>CHOOSE(CONTROL!$C$42, 10.6015, 10.6015) * CHOOSE(CONTROL!$C$21, $C$9, 100%, $E$9)</f>
        <v>10.6015</v>
      </c>
      <c r="O211" s="14">
        <f>CHOOSE(CONTROL!$C$42, 10.8517, 10.8517) * CHOOSE(CONTROL!$C$21, $C$9, 100%, $E$9)</f>
        <v>10.851699999999999</v>
      </c>
      <c r="P211" s="14">
        <f>CHOOSE(CONTROL!$C$42, 10.623, 10.623) * CHOOSE(CONTROL!$C$21, $C$9, 100%, $E$9)</f>
        <v>10.622999999999999</v>
      </c>
      <c r="Q211" s="14">
        <f>CHOOSE(CONTROL!$C$42, 11.4464, 11.4464) * CHOOSE(CONTROL!$C$21, $C$9, 100%, $E$9)</f>
        <v>11.446400000000001</v>
      </c>
      <c r="R211" s="14">
        <f>CHOOSE(CONTROL!$C$42, 12.0621, 12.0621) * CHOOSE(CONTROL!$C$21, $C$9, 100%, $E$9)</f>
        <v>12.062099999999999</v>
      </c>
      <c r="S211" s="14">
        <f>CHOOSE(CONTROL!$C$42, 10.3243, 10.3243) * CHOOSE(CONTROL!$C$21, $C$9, 100%, $E$9)</f>
        <v>10.324299999999999</v>
      </c>
      <c r="T21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11" s="56">
        <f>(1000*CHOOSE(CONTROL!$C$42, 695, 695)*CHOOSE(CONTROL!$C$42, 0.5599, 0.5599)*CHOOSE(CONTROL!$C$42, 31, 31))/1000000</f>
        <v>12.063045499999998</v>
      </c>
      <c r="V211" s="56">
        <f>(1000*CHOOSE(CONTROL!$C$42, 500, 500)*CHOOSE(CONTROL!$C$42, 0.275, 0.275)*CHOOSE(CONTROL!$C$42, 31, 31))/1000000</f>
        <v>4.2625000000000002</v>
      </c>
      <c r="W211" s="56">
        <f>(1000*CHOOSE(CONTROL!$C$42, 0.1146, 0.1146)*CHOOSE(CONTROL!$C$42, 121.5, 121.5)*CHOOSE(CONTROL!$C$42, 31, 31))/1000000</f>
        <v>0.43164089999999994</v>
      </c>
      <c r="X211" s="56">
        <f>(31*0.1790888*245000/1000000)+(31*0.2374*100000/1000000)</f>
        <v>2.0961194359999999</v>
      </c>
      <c r="Y211" s="56"/>
      <c r="Z211" s="14"/>
      <c r="AA211" s="55"/>
      <c r="AB211" s="49">
        <f>(B211*194.205+C211*267.466+D211*133.845+E211*53.484+F211*40+G211*185+H211*0+I211*100+J211*300)/(194.205+267.466+133.845+53.484+0+40+185+100+300)</f>
        <v>10.812048823783361</v>
      </c>
      <c r="AC211" s="45">
        <f>(M211*'RAP TEMPLATE-GAS AVAILABILITY'!O210+N211*'RAP TEMPLATE-GAS AVAILABILITY'!P210+O211*'RAP TEMPLATE-GAS AVAILABILITY'!Q210+P211*'RAP TEMPLATE-GAS AVAILABILITY'!R210)/('RAP TEMPLATE-GAS AVAILABILITY'!O210+'RAP TEMPLATE-GAS AVAILABILITY'!P210+'RAP TEMPLATE-GAS AVAILABILITY'!Q210+'RAP TEMPLATE-GAS AVAILABILITY'!R210)</f>
        <v>10.668957553956835</v>
      </c>
    </row>
    <row r="212" spans="1:29" ht="15.75" x14ac:dyDescent="0.25">
      <c r="A212" s="13">
        <v>47331</v>
      </c>
      <c r="B212" s="14">
        <f>CHOOSE(CONTROL!$C$42, 10.2458, 10.2458) * CHOOSE(CONTROL!$C$21, $C$9, 100%, $E$9)</f>
        <v>10.245799999999999</v>
      </c>
      <c r="C212" s="14">
        <f>CHOOSE(CONTROL!$C$42, 10.2538, 10.2538) * CHOOSE(CONTROL!$C$21, $C$9, 100%, $E$9)</f>
        <v>10.2538</v>
      </c>
      <c r="D212" s="14">
        <f>CHOOSE(CONTROL!$C$42, 10.5129, 10.5129) * CHOOSE(CONTROL!$C$21, $C$9, 100%, $E$9)</f>
        <v>10.5129</v>
      </c>
      <c r="E212" s="14">
        <f>CHOOSE(CONTROL!$C$42, 10.5444, 10.5444) * CHOOSE(CONTROL!$C$21, $C$9, 100%, $E$9)</f>
        <v>10.5444</v>
      </c>
      <c r="F212" s="14">
        <f>CHOOSE(CONTROL!$C$42, 10.2682, 10.2682)*CHOOSE(CONTROL!$C$21, $C$9, 100%, $E$9)</f>
        <v>10.2682</v>
      </c>
      <c r="G212" s="14">
        <f>CHOOSE(CONTROL!$C$42, 10.2854, 10.2854)*CHOOSE(CONTROL!$C$21, $C$9, 100%, $E$9)</f>
        <v>10.285399999999999</v>
      </c>
      <c r="H212" s="14">
        <f>CHOOSE(CONTROL!$C$42, 10.533, 10.533) * CHOOSE(CONTROL!$C$21, $C$9, 100%, $E$9)</f>
        <v>10.532999999999999</v>
      </c>
      <c r="I212" s="14">
        <f>CHOOSE(CONTROL!$C$42, 10.299, 10.299)* CHOOSE(CONTROL!$C$21, $C$9, 100%, $E$9)</f>
        <v>10.298999999999999</v>
      </c>
      <c r="J212" s="14">
        <f>CHOOSE(CONTROL!$C$42, 10.2612, 10.2612)* CHOOSE(CONTROL!$C$21, $C$9, 100%, $E$9)</f>
        <v>10.261200000000001</v>
      </c>
      <c r="K212" s="52">
        <f>CHOOSE(CONTROL!$C$42, 10.2951, 10.2951) * CHOOSE(CONTROL!$C$21, $C$9, 100%, $E$9)</f>
        <v>10.2951</v>
      </c>
      <c r="L212" s="14">
        <f>CHOOSE(CONTROL!$C$42, 11.12, 11.12) * CHOOSE(CONTROL!$C$21, $C$9, 100%, $E$9)</f>
        <v>11.12</v>
      </c>
      <c r="M212" s="14">
        <f>CHOOSE(CONTROL!$C$42, 10.0844, 10.0844) * CHOOSE(CONTROL!$C$21, $C$9, 100%, $E$9)</f>
        <v>10.0844</v>
      </c>
      <c r="N212" s="14">
        <f>CHOOSE(CONTROL!$C$42, 10.1012, 10.1012) * CHOOSE(CONTROL!$C$21, $C$9, 100%, $E$9)</f>
        <v>10.1012</v>
      </c>
      <c r="O212" s="14">
        <f>CHOOSE(CONTROL!$C$42, 10.3513, 10.3513) * CHOOSE(CONTROL!$C$21, $C$9, 100%, $E$9)</f>
        <v>10.3513</v>
      </c>
      <c r="P212" s="14">
        <f>CHOOSE(CONTROL!$C$42, 10.121, 10.121) * CHOOSE(CONTROL!$C$21, $C$9, 100%, $E$9)</f>
        <v>10.121</v>
      </c>
      <c r="Q212" s="14">
        <f>CHOOSE(CONTROL!$C$42, 10.946, 10.946) * CHOOSE(CONTROL!$C$21, $C$9, 100%, $E$9)</f>
        <v>10.946</v>
      </c>
      <c r="R212" s="14">
        <f>CHOOSE(CONTROL!$C$42, 11.5603, 11.5603) * CHOOSE(CONTROL!$C$21, $C$9, 100%, $E$9)</f>
        <v>11.5603</v>
      </c>
      <c r="S212" s="14">
        <f>CHOOSE(CONTROL!$C$42, 9.8346, 9.8346) * CHOOSE(CONTROL!$C$21, $C$9, 100%, $E$9)</f>
        <v>9.8346</v>
      </c>
      <c r="T21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12" s="56">
        <f>(1000*CHOOSE(CONTROL!$C$42, 695, 695)*CHOOSE(CONTROL!$C$42, 0.5599, 0.5599)*CHOOSE(CONTROL!$C$42, 31, 31))/1000000</f>
        <v>12.063045499999998</v>
      </c>
      <c r="V212" s="56">
        <f>(1000*CHOOSE(CONTROL!$C$42, 500, 500)*CHOOSE(CONTROL!$C$42, 0.275, 0.275)*CHOOSE(CONTROL!$C$42, 31, 31))/1000000</f>
        <v>4.2625000000000002</v>
      </c>
      <c r="W212" s="56">
        <f>(1000*CHOOSE(CONTROL!$C$42, 0.1146, 0.1146)*CHOOSE(CONTROL!$C$42, 121.5, 121.5)*CHOOSE(CONTROL!$C$42, 31, 31))/1000000</f>
        <v>0.43164089999999994</v>
      </c>
      <c r="X212" s="56">
        <f>(31*0.1790888*245000/1000000)+(31*0.2374*100000/1000000)</f>
        <v>2.0961194359999999</v>
      </c>
      <c r="Y212" s="56"/>
      <c r="Z212" s="14"/>
      <c r="AA212" s="55"/>
      <c r="AB212" s="49">
        <f>(B212*194.205+C212*267.466+D212*133.845+E212*53.484+F212*40+G212*185+H212*0+I212*100+J212*300)/(194.205+267.466+133.845+53.484+0+40+185+100+300)</f>
        <v>10.302332221271586</v>
      </c>
      <c r="AC212" s="45">
        <f>(M212*'RAP TEMPLATE-GAS AVAILABILITY'!O211+N212*'RAP TEMPLATE-GAS AVAILABILITY'!P211+O212*'RAP TEMPLATE-GAS AVAILABILITY'!Q211+P212*'RAP TEMPLATE-GAS AVAILABILITY'!R211)/('RAP TEMPLATE-GAS AVAILABILITY'!O211+'RAP TEMPLATE-GAS AVAILABILITY'!P211+'RAP TEMPLATE-GAS AVAILABILITY'!Q211+'RAP TEMPLATE-GAS AVAILABILITY'!R211)</f>
        <v>10.168419424460433</v>
      </c>
    </row>
    <row r="213" spans="1:29" ht="15.75" x14ac:dyDescent="0.25">
      <c r="A213" s="13">
        <v>47362</v>
      </c>
      <c r="B213" s="14">
        <f>CHOOSE(CONTROL!$C$42, 9.6156, 9.6156) * CHOOSE(CONTROL!$C$21, $C$9, 100%, $E$9)</f>
        <v>9.6156000000000006</v>
      </c>
      <c r="C213" s="14">
        <f>CHOOSE(CONTROL!$C$42, 9.6236, 9.6236) * CHOOSE(CONTROL!$C$21, $C$9, 100%, $E$9)</f>
        <v>9.6235999999999997</v>
      </c>
      <c r="D213" s="14">
        <f>CHOOSE(CONTROL!$C$42, 9.8827, 9.8827) * CHOOSE(CONTROL!$C$21, $C$9, 100%, $E$9)</f>
        <v>9.8826999999999998</v>
      </c>
      <c r="E213" s="14">
        <f>CHOOSE(CONTROL!$C$42, 9.9142, 9.9142) * CHOOSE(CONTROL!$C$21, $C$9, 100%, $E$9)</f>
        <v>9.9141999999999992</v>
      </c>
      <c r="F213" s="14">
        <f>CHOOSE(CONTROL!$C$42, 9.6381, 9.6381)*CHOOSE(CONTROL!$C$21, $C$9, 100%, $E$9)</f>
        <v>9.6380999999999997</v>
      </c>
      <c r="G213" s="14">
        <f>CHOOSE(CONTROL!$C$42, 9.6553, 9.6553)*CHOOSE(CONTROL!$C$21, $C$9, 100%, $E$9)</f>
        <v>9.6553000000000004</v>
      </c>
      <c r="H213" s="14">
        <f>CHOOSE(CONTROL!$C$42, 9.9028, 9.9028) * CHOOSE(CONTROL!$C$21, $C$9, 100%, $E$9)</f>
        <v>9.9027999999999992</v>
      </c>
      <c r="I213" s="14">
        <f>CHOOSE(CONTROL!$C$42, 9.6668, 9.6668)* CHOOSE(CONTROL!$C$21, $C$9, 100%, $E$9)</f>
        <v>9.6668000000000003</v>
      </c>
      <c r="J213" s="14">
        <f>CHOOSE(CONTROL!$C$42, 9.6311, 9.6311)* CHOOSE(CONTROL!$C$21, $C$9, 100%, $E$9)</f>
        <v>9.6311</v>
      </c>
      <c r="K213" s="52">
        <f>CHOOSE(CONTROL!$C$42, 9.6629, 9.6629) * CHOOSE(CONTROL!$C$21, $C$9, 100%, $E$9)</f>
        <v>9.6629000000000005</v>
      </c>
      <c r="L213" s="14">
        <f>CHOOSE(CONTROL!$C$42, 10.4898, 10.4898) * CHOOSE(CONTROL!$C$21, $C$9, 100%, $E$9)</f>
        <v>10.489800000000001</v>
      </c>
      <c r="M213" s="14">
        <f>CHOOSE(CONTROL!$C$42, 9.4655, 9.4655) * CHOOSE(CONTROL!$C$21, $C$9, 100%, $E$9)</f>
        <v>9.4655000000000005</v>
      </c>
      <c r="N213" s="14">
        <f>CHOOSE(CONTROL!$C$42, 9.4825, 9.4825) * CHOOSE(CONTROL!$C$21, $C$9, 100%, $E$9)</f>
        <v>9.4824999999999999</v>
      </c>
      <c r="O213" s="14">
        <f>CHOOSE(CONTROL!$C$42, 9.7324, 9.7324) * CHOOSE(CONTROL!$C$21, $C$9, 100%, $E$9)</f>
        <v>9.7324000000000002</v>
      </c>
      <c r="P213" s="14">
        <f>CHOOSE(CONTROL!$C$42, 9.5002, 9.5002) * CHOOSE(CONTROL!$C$21, $C$9, 100%, $E$9)</f>
        <v>9.5001999999999995</v>
      </c>
      <c r="Q213" s="14">
        <f>CHOOSE(CONTROL!$C$42, 10.3271, 10.3271) * CHOOSE(CONTROL!$C$21, $C$9, 100%, $E$9)</f>
        <v>10.3271</v>
      </c>
      <c r="R213" s="14">
        <f>CHOOSE(CONTROL!$C$42, 10.9399, 10.9399) * CHOOSE(CONTROL!$C$21, $C$9, 100%, $E$9)</f>
        <v>10.9399</v>
      </c>
      <c r="S213" s="14">
        <f>CHOOSE(CONTROL!$C$42, 9.229, 9.229) * CHOOSE(CONTROL!$C$21, $C$9, 100%, $E$9)</f>
        <v>9.2289999999999992</v>
      </c>
      <c r="T21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13" s="56">
        <f>(1000*CHOOSE(CONTROL!$C$42, 695, 695)*CHOOSE(CONTROL!$C$42, 0.5599, 0.5599)*CHOOSE(CONTROL!$C$42, 30, 30))/1000000</f>
        <v>11.673914999999997</v>
      </c>
      <c r="V213" s="56">
        <f>(1000*CHOOSE(CONTROL!$C$42, 500, 500)*CHOOSE(CONTROL!$C$42, 0.275, 0.275)*CHOOSE(CONTROL!$C$42, 30, 30))/1000000</f>
        <v>4.125</v>
      </c>
      <c r="W213" s="56">
        <f>(1000*CHOOSE(CONTROL!$C$42, 0.1146, 0.1146)*CHOOSE(CONTROL!$C$42, 121.5, 121.5)*CHOOSE(CONTROL!$C$42, 30, 30))/1000000</f>
        <v>0.417717</v>
      </c>
      <c r="X213" s="56">
        <f>(30*0.1790888*245000/1000000)+(30*0.2374*100000/1000000)</f>
        <v>2.0285026799999999</v>
      </c>
      <c r="Y213" s="56"/>
      <c r="Z213" s="14"/>
      <c r="AA213" s="55"/>
      <c r="AB213" s="49">
        <f>(B213*194.205+C213*267.466+D213*133.845+E213*53.484+F213*40+G213*185+H213*0+I213*100+J213*300)/(194.205+267.466+133.845+53.484+0+40+185+100+300)</f>
        <v>9.672016444191522</v>
      </c>
      <c r="AC213" s="45">
        <f>(M213*'RAP TEMPLATE-GAS AVAILABILITY'!O212+N213*'RAP TEMPLATE-GAS AVAILABILITY'!P212+O213*'RAP TEMPLATE-GAS AVAILABILITY'!Q212+P213*'RAP TEMPLATE-GAS AVAILABILITY'!R212)/('RAP TEMPLATE-GAS AVAILABILITY'!O212+'RAP TEMPLATE-GAS AVAILABILITY'!P212+'RAP TEMPLATE-GAS AVAILABILITY'!Q212+'RAP TEMPLATE-GAS AVAILABILITY'!R212)</f>
        <v>9.5492920863309347</v>
      </c>
    </row>
    <row r="214" spans="1:29" ht="15.75" x14ac:dyDescent="0.25">
      <c r="A214" s="13">
        <v>47392</v>
      </c>
      <c r="B214" s="14">
        <f>CHOOSE(CONTROL!$C$42, 9.4382, 9.4382) * CHOOSE(CONTROL!$C$21, $C$9, 100%, $E$9)</f>
        <v>9.4382000000000001</v>
      </c>
      <c r="C214" s="14">
        <f>CHOOSE(CONTROL!$C$42, 9.4436, 9.4436) * CHOOSE(CONTROL!$C$21, $C$9, 100%, $E$9)</f>
        <v>9.4436</v>
      </c>
      <c r="D214" s="14">
        <f>CHOOSE(CONTROL!$C$42, 9.7076, 9.7076) * CHOOSE(CONTROL!$C$21, $C$9, 100%, $E$9)</f>
        <v>9.7075999999999993</v>
      </c>
      <c r="E214" s="14">
        <f>CHOOSE(CONTROL!$C$42, 9.7367, 9.7367) * CHOOSE(CONTROL!$C$21, $C$9, 100%, $E$9)</f>
        <v>9.7367000000000008</v>
      </c>
      <c r="F214" s="14">
        <f>CHOOSE(CONTROL!$C$42, 9.4629, 9.4629)*CHOOSE(CONTROL!$C$21, $C$9, 100%, $E$9)</f>
        <v>9.4628999999999994</v>
      </c>
      <c r="G214" s="14">
        <f>CHOOSE(CONTROL!$C$42, 9.48, 9.48)*CHOOSE(CONTROL!$C$21, $C$9, 100%, $E$9)</f>
        <v>9.48</v>
      </c>
      <c r="H214" s="14">
        <f>CHOOSE(CONTROL!$C$42, 9.7272, 9.7272) * CHOOSE(CONTROL!$C$21, $C$9, 100%, $E$9)</f>
        <v>9.7271999999999998</v>
      </c>
      <c r="I214" s="14">
        <f>CHOOSE(CONTROL!$C$42, 9.4907, 9.4907)* CHOOSE(CONTROL!$C$21, $C$9, 100%, $E$9)</f>
        <v>9.4907000000000004</v>
      </c>
      <c r="J214" s="14">
        <f>CHOOSE(CONTROL!$C$42, 9.4559, 9.4559)* CHOOSE(CONTROL!$C$21, $C$9, 100%, $E$9)</f>
        <v>9.4558999999999997</v>
      </c>
      <c r="K214" s="52">
        <f>CHOOSE(CONTROL!$C$42, 9.4868, 9.4868) * CHOOSE(CONTROL!$C$21, $C$9, 100%, $E$9)</f>
        <v>9.4868000000000006</v>
      </c>
      <c r="L214" s="14">
        <f>CHOOSE(CONTROL!$C$42, 10.3142, 10.3142) * CHOOSE(CONTROL!$C$21, $C$9, 100%, $E$9)</f>
        <v>10.3142</v>
      </c>
      <c r="M214" s="14">
        <f>CHOOSE(CONTROL!$C$42, 9.2935, 9.2935) * CHOOSE(CONTROL!$C$21, $C$9, 100%, $E$9)</f>
        <v>9.2934999999999999</v>
      </c>
      <c r="N214" s="14">
        <f>CHOOSE(CONTROL!$C$42, 9.3103, 9.3103) * CHOOSE(CONTROL!$C$21, $C$9, 100%, $E$9)</f>
        <v>9.3102999999999998</v>
      </c>
      <c r="O214" s="14">
        <f>CHOOSE(CONTROL!$C$42, 9.5599, 9.5599) * CHOOSE(CONTROL!$C$21, $C$9, 100%, $E$9)</f>
        <v>9.5599000000000007</v>
      </c>
      <c r="P214" s="14">
        <f>CHOOSE(CONTROL!$C$42, 9.3272, 9.3272) * CHOOSE(CONTROL!$C$21, $C$9, 100%, $E$9)</f>
        <v>9.3271999999999995</v>
      </c>
      <c r="Q214" s="14">
        <f>CHOOSE(CONTROL!$C$42, 10.1546, 10.1546) * CHOOSE(CONTROL!$C$21, $C$9, 100%, $E$9)</f>
        <v>10.1546</v>
      </c>
      <c r="R214" s="14">
        <f>CHOOSE(CONTROL!$C$42, 10.767, 10.767) * CHOOSE(CONTROL!$C$21, $C$9, 100%, $E$9)</f>
        <v>10.766999999999999</v>
      </c>
      <c r="S214" s="14">
        <f>CHOOSE(CONTROL!$C$42, 9.0603, 9.0603) * CHOOSE(CONTROL!$C$21, $C$9, 100%, $E$9)</f>
        <v>9.0602999999999998</v>
      </c>
      <c r="T21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14" s="56">
        <f>(1000*CHOOSE(CONTROL!$C$42, 695, 695)*CHOOSE(CONTROL!$C$42, 0.5599, 0.5599)*CHOOSE(CONTROL!$C$42, 31, 31))/1000000</f>
        <v>12.063045499999998</v>
      </c>
      <c r="V214" s="56">
        <f>(1000*CHOOSE(CONTROL!$C$42, 500, 500)*CHOOSE(CONTROL!$C$42, 0.275, 0.275)*CHOOSE(CONTROL!$C$42, 31, 31))/1000000</f>
        <v>4.2625000000000002</v>
      </c>
      <c r="W214" s="56">
        <f>(1000*CHOOSE(CONTROL!$C$42, 0.1146, 0.1146)*CHOOSE(CONTROL!$C$42, 121.5, 121.5)*CHOOSE(CONTROL!$C$42, 31, 31))/1000000</f>
        <v>0.43164089999999994</v>
      </c>
      <c r="X214" s="56">
        <f>(31*0.1790888*245000/1000000)+(31*0.2374*100000/1000000)</f>
        <v>2.0961194359999999</v>
      </c>
      <c r="Y214" s="56"/>
      <c r="Z214" s="14"/>
      <c r="AA214" s="55"/>
      <c r="AB214" s="49">
        <f>(B214*131.881+C214*277.167+D214*79.08+E214*125.872+F214*40+G214*185+H214*0+I214*100+J214*300)/(131.881+277.167+79.08+125.872+0+40+185+100+300)</f>
        <v>9.5024894639225188</v>
      </c>
      <c r="AC214" s="45">
        <f>(M214*'RAP TEMPLATE-GAS AVAILABILITY'!O213+N214*'RAP TEMPLATE-GAS AVAILABILITY'!P213+O214*'RAP TEMPLATE-GAS AVAILABILITY'!Q213+P214*'RAP TEMPLATE-GAS AVAILABILITY'!R213)/('RAP TEMPLATE-GAS AVAILABILITY'!O213+'RAP TEMPLATE-GAS AVAILABILITY'!P213+'RAP TEMPLATE-GAS AVAILABILITY'!Q213+'RAP TEMPLATE-GAS AVAILABILITY'!R213)</f>
        <v>9.3769618705035978</v>
      </c>
    </row>
    <row r="215" spans="1:29" ht="15.75" x14ac:dyDescent="0.25">
      <c r="A215" s="13">
        <v>47423</v>
      </c>
      <c r="B215" s="14">
        <f>CHOOSE(CONTROL!$C$42, 9.7061, 9.7061) * CHOOSE(CONTROL!$C$21, $C$9, 100%, $E$9)</f>
        <v>9.7060999999999993</v>
      </c>
      <c r="C215" s="14">
        <f>CHOOSE(CONTROL!$C$42, 9.7112, 9.7112) * CHOOSE(CONTROL!$C$21, $C$9, 100%, $E$9)</f>
        <v>9.7111999999999998</v>
      </c>
      <c r="D215" s="14">
        <f>CHOOSE(CONTROL!$C$42, 9.7943, 9.7943) * CHOOSE(CONTROL!$C$21, $C$9, 100%, $E$9)</f>
        <v>9.7942999999999998</v>
      </c>
      <c r="E215" s="14">
        <f>CHOOSE(CONTROL!$C$42, 9.8284, 9.8284) * CHOOSE(CONTROL!$C$21, $C$9, 100%, $E$9)</f>
        <v>9.8284000000000002</v>
      </c>
      <c r="F215" s="14">
        <f>CHOOSE(CONTROL!$C$42, 9.7338, 9.7338)*CHOOSE(CONTROL!$C$21, $C$9, 100%, $E$9)</f>
        <v>9.7338000000000005</v>
      </c>
      <c r="G215" s="14">
        <f>CHOOSE(CONTROL!$C$42, 9.7511, 9.7511)*CHOOSE(CONTROL!$C$21, $C$9, 100%, $E$9)</f>
        <v>9.7510999999999992</v>
      </c>
      <c r="H215" s="14">
        <f>CHOOSE(CONTROL!$C$42, 9.8176, 9.8176) * CHOOSE(CONTROL!$C$21, $C$9, 100%, $E$9)</f>
        <v>9.8176000000000005</v>
      </c>
      <c r="I215" s="14">
        <f>CHOOSE(CONTROL!$C$42, 9.7562, 9.7562)* CHOOSE(CONTROL!$C$21, $C$9, 100%, $E$9)</f>
        <v>9.7561999999999998</v>
      </c>
      <c r="J215" s="14">
        <f>CHOOSE(CONTROL!$C$42, 9.7268, 9.7268)* CHOOSE(CONTROL!$C$21, $C$9, 100%, $E$9)</f>
        <v>9.7268000000000008</v>
      </c>
      <c r="K215" s="52">
        <f>CHOOSE(CONTROL!$C$42, 9.7523, 9.7523) * CHOOSE(CONTROL!$C$21, $C$9, 100%, $E$9)</f>
        <v>9.7523</v>
      </c>
      <c r="L215" s="14">
        <f>CHOOSE(CONTROL!$C$42, 10.4046, 10.4046) * CHOOSE(CONTROL!$C$21, $C$9, 100%, $E$9)</f>
        <v>10.4046</v>
      </c>
      <c r="M215" s="14">
        <f>CHOOSE(CONTROL!$C$42, 9.5595, 9.5595) * CHOOSE(CONTROL!$C$21, $C$9, 100%, $E$9)</f>
        <v>9.5594999999999999</v>
      </c>
      <c r="N215" s="14">
        <f>CHOOSE(CONTROL!$C$42, 9.5765, 9.5765) * CHOOSE(CONTROL!$C$21, $C$9, 100%, $E$9)</f>
        <v>9.5764999999999993</v>
      </c>
      <c r="O215" s="14">
        <f>CHOOSE(CONTROL!$C$42, 9.6487, 9.6487) * CHOOSE(CONTROL!$C$21, $C$9, 100%, $E$9)</f>
        <v>9.6486999999999998</v>
      </c>
      <c r="P215" s="14">
        <f>CHOOSE(CONTROL!$C$42, 9.5879, 9.5879) * CHOOSE(CONTROL!$C$21, $C$9, 100%, $E$9)</f>
        <v>9.5878999999999994</v>
      </c>
      <c r="Q215" s="14">
        <f>CHOOSE(CONTROL!$C$42, 10.2434, 10.2434) * CHOOSE(CONTROL!$C$21, $C$9, 100%, $E$9)</f>
        <v>10.243399999999999</v>
      </c>
      <c r="R215" s="14">
        <f>CHOOSE(CONTROL!$C$42, 10.856, 10.856) * CHOOSE(CONTROL!$C$21, $C$9, 100%, $E$9)</f>
        <v>10.856</v>
      </c>
      <c r="S215" s="14">
        <f>CHOOSE(CONTROL!$C$42, 9.3181, 9.3181) * CHOOSE(CONTROL!$C$21, $C$9, 100%, $E$9)</f>
        <v>9.3180999999999994</v>
      </c>
      <c r="T21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15" s="56">
        <f>(1000*CHOOSE(CONTROL!$C$42, 695, 695)*CHOOSE(CONTROL!$C$42, 0.5599, 0.5599)*CHOOSE(CONTROL!$C$42, 30, 30))/1000000</f>
        <v>11.673914999999997</v>
      </c>
      <c r="V215" s="56">
        <f>(1000*CHOOSE(CONTROL!$C$42, 500, 500)*CHOOSE(CONTROL!$C$42, 0.275, 0.275)*CHOOSE(CONTROL!$C$42, 30, 30))/1000000</f>
        <v>4.125</v>
      </c>
      <c r="W215" s="56">
        <f>(1000*CHOOSE(CONTROL!$C$42, 0.1146, 0.1146)*CHOOSE(CONTROL!$C$42, 121.5, 121.5)*CHOOSE(CONTROL!$C$42, 30, 30))/1000000</f>
        <v>0.417717</v>
      </c>
      <c r="X215" s="56">
        <f>(30*0.1790888*100000/1000000)+(30*0.2374*100000/1000000)</f>
        <v>1.2494664</v>
      </c>
      <c r="Y215" s="56"/>
      <c r="Z215" s="14"/>
      <c r="AA215" s="55"/>
      <c r="AB215" s="49">
        <f>(B215*122.58+C215*297.941+D215*89.177+E215*40.302+F215*40+G215*160+H215*0+I215*100+J215*300)/(122.58+297.941+89.177+40.302+0+40+160+100+300)</f>
        <v>9.7355276913913045</v>
      </c>
      <c r="AC215" s="45">
        <f>(M215*'RAP TEMPLATE-GAS AVAILABILITY'!O214+N215*'RAP TEMPLATE-GAS AVAILABILITY'!P214+O215*'RAP TEMPLATE-GAS AVAILABILITY'!Q214+P215*'RAP TEMPLATE-GAS AVAILABILITY'!R214)/('RAP TEMPLATE-GAS AVAILABILITY'!O214+'RAP TEMPLATE-GAS AVAILABILITY'!P214+'RAP TEMPLATE-GAS AVAILABILITY'!Q214+'RAP TEMPLATE-GAS AVAILABILITY'!R214)</f>
        <v>9.6049935251798555</v>
      </c>
    </row>
    <row r="216" spans="1:29" ht="15.75" x14ac:dyDescent="0.25">
      <c r="A216" s="13">
        <v>47453</v>
      </c>
      <c r="B216" s="14">
        <f>CHOOSE(CONTROL!$C$42, 10.3886, 10.3886) * CHOOSE(CONTROL!$C$21, $C$9, 100%, $E$9)</f>
        <v>10.3886</v>
      </c>
      <c r="C216" s="14">
        <f>CHOOSE(CONTROL!$C$42, 10.3936, 10.3936) * CHOOSE(CONTROL!$C$21, $C$9, 100%, $E$9)</f>
        <v>10.393599999999999</v>
      </c>
      <c r="D216" s="14">
        <f>CHOOSE(CONTROL!$C$42, 10.4767, 10.4767) * CHOOSE(CONTROL!$C$21, $C$9, 100%, $E$9)</f>
        <v>10.476699999999999</v>
      </c>
      <c r="E216" s="14">
        <f>CHOOSE(CONTROL!$C$42, 10.5108, 10.5108) * CHOOSE(CONTROL!$C$21, $C$9, 100%, $E$9)</f>
        <v>10.5108</v>
      </c>
      <c r="F216" s="14">
        <f>CHOOSE(CONTROL!$C$42, 10.4186, 10.4186)*CHOOSE(CONTROL!$C$21, $C$9, 100%, $E$9)</f>
        <v>10.4186</v>
      </c>
      <c r="G216" s="14">
        <f>CHOOSE(CONTROL!$C$42, 10.4366, 10.4366)*CHOOSE(CONTROL!$C$21, $C$9, 100%, $E$9)</f>
        <v>10.4366</v>
      </c>
      <c r="H216" s="14">
        <f>CHOOSE(CONTROL!$C$42, 10.5, 10.5) * CHOOSE(CONTROL!$C$21, $C$9, 100%, $E$9)</f>
        <v>10.5</v>
      </c>
      <c r="I216" s="14">
        <f>CHOOSE(CONTROL!$C$42, 10.4407, 10.4407)* CHOOSE(CONTROL!$C$21, $C$9, 100%, $E$9)</f>
        <v>10.4407</v>
      </c>
      <c r="J216" s="14">
        <f>CHOOSE(CONTROL!$C$42, 10.4116, 10.4116)* CHOOSE(CONTROL!$C$21, $C$9, 100%, $E$9)</f>
        <v>10.4116</v>
      </c>
      <c r="K216" s="52">
        <f>CHOOSE(CONTROL!$C$42, 10.4368, 10.4368) * CHOOSE(CONTROL!$C$21, $C$9, 100%, $E$9)</f>
        <v>10.4368</v>
      </c>
      <c r="L216" s="14">
        <f>CHOOSE(CONTROL!$C$42, 11.087, 11.087) * CHOOSE(CONTROL!$C$21, $C$9, 100%, $E$9)</f>
        <v>11.087</v>
      </c>
      <c r="M216" s="14">
        <f>CHOOSE(CONTROL!$C$42, 10.2321, 10.2321) * CHOOSE(CONTROL!$C$21, $C$9, 100%, $E$9)</f>
        <v>10.232100000000001</v>
      </c>
      <c r="N216" s="14">
        <f>CHOOSE(CONTROL!$C$42, 10.2497, 10.2497) * CHOOSE(CONTROL!$C$21, $C$9, 100%, $E$9)</f>
        <v>10.249700000000001</v>
      </c>
      <c r="O216" s="14">
        <f>CHOOSE(CONTROL!$C$42, 10.3188, 10.3188) * CHOOSE(CONTROL!$C$21, $C$9, 100%, $E$9)</f>
        <v>10.3188</v>
      </c>
      <c r="P216" s="14">
        <f>CHOOSE(CONTROL!$C$42, 10.2601, 10.2601) * CHOOSE(CONTROL!$C$21, $C$9, 100%, $E$9)</f>
        <v>10.2601</v>
      </c>
      <c r="Q216" s="14">
        <f>CHOOSE(CONTROL!$C$42, 10.9135, 10.9135) * CHOOSE(CONTROL!$C$21, $C$9, 100%, $E$9)</f>
        <v>10.913500000000001</v>
      </c>
      <c r="R216" s="14">
        <f>CHOOSE(CONTROL!$C$42, 11.5278, 11.5278) * CHOOSE(CONTROL!$C$21, $C$9, 100%, $E$9)</f>
        <v>11.527799999999999</v>
      </c>
      <c r="S216" s="14">
        <f>CHOOSE(CONTROL!$C$42, 9.9738, 9.9738) * CHOOSE(CONTROL!$C$21, $C$9, 100%, $E$9)</f>
        <v>9.9738000000000007</v>
      </c>
      <c r="T21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16" s="56">
        <f>(1000*CHOOSE(CONTROL!$C$42, 695, 695)*CHOOSE(CONTROL!$C$42, 0.5599, 0.5599)*CHOOSE(CONTROL!$C$42, 31, 31))/1000000</f>
        <v>12.063045499999998</v>
      </c>
      <c r="V216" s="56">
        <f>(1000*CHOOSE(CONTROL!$C$42, 500, 500)*CHOOSE(CONTROL!$C$42, 0.275, 0.275)*CHOOSE(CONTROL!$C$42, 31, 31))/1000000</f>
        <v>4.2625000000000002</v>
      </c>
      <c r="W216" s="56">
        <f>(1000*CHOOSE(CONTROL!$C$42, 0.1146, 0.1146)*CHOOSE(CONTROL!$C$42, 121.5, 121.5)*CHOOSE(CONTROL!$C$42, 31, 31))/1000000</f>
        <v>0.43164089999999994</v>
      </c>
      <c r="X216" s="56">
        <f>(31*0.1790888*100000/1000000)+(31*0.2374*100000/1000000)</f>
        <v>1.2911152800000001</v>
      </c>
      <c r="Y216" s="56"/>
      <c r="Z216" s="14"/>
      <c r="AA216" s="55"/>
      <c r="AB216" s="49">
        <f>(B216*122.58+C216*297.941+D216*89.177+E216*40.302+F216*40+G216*160+H216*0+I216*100+J216*300)/(122.58+297.941+89.177+40.302+0+40+160+100+300)</f>
        <v>10.419261828782608</v>
      </c>
      <c r="AC216" s="45">
        <f>(M216*'RAP TEMPLATE-GAS AVAILABILITY'!O215+N216*'RAP TEMPLATE-GAS AVAILABILITY'!P215+O216*'RAP TEMPLATE-GAS AVAILABILITY'!Q215+P216*'RAP TEMPLATE-GAS AVAILABILITY'!R215)/('RAP TEMPLATE-GAS AVAILABILITY'!O215+'RAP TEMPLATE-GAS AVAILABILITY'!P215+'RAP TEMPLATE-GAS AVAILABILITY'!Q215+'RAP TEMPLATE-GAS AVAILABILITY'!R215)</f>
        <v>10.276437410071942</v>
      </c>
    </row>
    <row r="217" spans="1:29" ht="15.75" x14ac:dyDescent="0.25">
      <c r="A217" s="13">
        <v>47484</v>
      </c>
      <c r="B217" s="14">
        <f>CHOOSE(CONTROL!$C$42, 10.921, 10.921) * CHOOSE(CONTROL!$C$21, $C$9, 100%, $E$9)</f>
        <v>10.920999999999999</v>
      </c>
      <c r="C217" s="14">
        <f>CHOOSE(CONTROL!$C$42, 10.9261, 10.9261) * CHOOSE(CONTROL!$C$21, $C$9, 100%, $E$9)</f>
        <v>10.9261</v>
      </c>
      <c r="D217" s="14">
        <f>CHOOSE(CONTROL!$C$42, 11.0196, 11.0196) * CHOOSE(CONTROL!$C$21, $C$9, 100%, $E$9)</f>
        <v>11.019600000000001</v>
      </c>
      <c r="E217" s="14">
        <f>CHOOSE(CONTROL!$C$42, 11.0537, 11.0537) * CHOOSE(CONTROL!$C$21, $C$9, 100%, $E$9)</f>
        <v>11.053699999999999</v>
      </c>
      <c r="F217" s="14">
        <f>CHOOSE(CONTROL!$C$42, 10.9483, 10.9483)*CHOOSE(CONTROL!$C$21, $C$9, 100%, $E$9)</f>
        <v>10.9483</v>
      </c>
      <c r="G217" s="14">
        <f>CHOOSE(CONTROL!$C$42, 10.9663, 10.9663)*CHOOSE(CONTROL!$C$21, $C$9, 100%, $E$9)</f>
        <v>10.9663</v>
      </c>
      <c r="H217" s="14">
        <f>CHOOSE(CONTROL!$C$42, 11.0429, 11.0429) * CHOOSE(CONTROL!$C$21, $C$9, 100%, $E$9)</f>
        <v>11.042899999999999</v>
      </c>
      <c r="I217" s="14">
        <f>CHOOSE(CONTROL!$C$42, 10.9811, 10.9811)* CHOOSE(CONTROL!$C$21, $C$9, 100%, $E$9)</f>
        <v>10.9811</v>
      </c>
      <c r="J217" s="14">
        <f>CHOOSE(CONTROL!$C$42, 10.9413, 10.9413)* CHOOSE(CONTROL!$C$21, $C$9, 100%, $E$9)</f>
        <v>10.9413</v>
      </c>
      <c r="K217" s="52">
        <f>CHOOSE(CONTROL!$C$42, 10.9772, 10.9772) * CHOOSE(CONTROL!$C$21, $C$9, 100%, $E$9)</f>
        <v>10.9772</v>
      </c>
      <c r="L217" s="14">
        <f>CHOOSE(CONTROL!$C$42, 11.6299, 11.6299) * CHOOSE(CONTROL!$C$21, $C$9, 100%, $E$9)</f>
        <v>11.629899999999999</v>
      </c>
      <c r="M217" s="14">
        <f>CHOOSE(CONTROL!$C$42, 10.7522, 10.7522) * CHOOSE(CONTROL!$C$21, $C$9, 100%, $E$9)</f>
        <v>10.7522</v>
      </c>
      <c r="N217" s="14">
        <f>CHOOSE(CONTROL!$C$42, 10.7699, 10.7699) * CHOOSE(CONTROL!$C$21, $C$9, 100%, $E$9)</f>
        <v>10.7699</v>
      </c>
      <c r="O217" s="14">
        <f>CHOOSE(CONTROL!$C$42, 10.8519, 10.8519) * CHOOSE(CONTROL!$C$21, $C$9, 100%, $E$9)</f>
        <v>10.851900000000001</v>
      </c>
      <c r="P217" s="14">
        <f>CHOOSE(CONTROL!$C$42, 10.7908, 10.7908) * CHOOSE(CONTROL!$C$21, $C$9, 100%, $E$9)</f>
        <v>10.790800000000001</v>
      </c>
      <c r="Q217" s="14">
        <f>CHOOSE(CONTROL!$C$42, 11.4466, 11.4466) * CHOOSE(CONTROL!$C$21, $C$9, 100%, $E$9)</f>
        <v>11.4466</v>
      </c>
      <c r="R217" s="14">
        <f>CHOOSE(CONTROL!$C$42, 12.0622, 12.0622) * CHOOSE(CONTROL!$C$21, $C$9, 100%, $E$9)</f>
        <v>12.062200000000001</v>
      </c>
      <c r="S217" s="14">
        <f>CHOOSE(CONTROL!$C$42, 10.4855, 10.4855) * CHOOSE(CONTROL!$C$21, $C$9, 100%, $E$9)</f>
        <v>10.4855</v>
      </c>
      <c r="T21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17" s="56">
        <f>(1000*CHOOSE(CONTROL!$C$42, 695, 695)*CHOOSE(CONTROL!$C$42, 0.5599, 0.5599)*CHOOSE(CONTROL!$C$42, 31, 31))/1000000</f>
        <v>12.063045499999998</v>
      </c>
      <c r="V217" s="56">
        <f>(1000*CHOOSE(CONTROL!$C$42, 500, 500)*CHOOSE(CONTROL!$C$42, 0.275, 0.275)*CHOOSE(CONTROL!$C$42, 31, 31))/1000000</f>
        <v>4.2625000000000002</v>
      </c>
      <c r="W217" s="56">
        <f>(1000*CHOOSE(CONTROL!$C$42, 0.1146, 0.1146)*CHOOSE(CONTROL!$C$42, 121.5, 121.5)*CHOOSE(CONTROL!$C$42, 31, 31))/1000000</f>
        <v>0.43164089999999994</v>
      </c>
      <c r="X217" s="56">
        <f>(31*0.1790888*100000/1000000)+(31*0.2374*100000/1000000)</f>
        <v>1.2911152800000001</v>
      </c>
      <c r="Y217" s="56"/>
      <c r="Z217" s="14"/>
      <c r="AA217" s="55"/>
      <c r="AB217" s="49">
        <f>(B217*122.58+C217*297.941+D217*89.177+E217*40.302+F217*40+G217*160+H217*0+I217*100+J217*300)/(122.58+297.941+89.177+40.302+0+40+160+100+300)</f>
        <v>10.952391675391304</v>
      </c>
      <c r="AC217" s="45">
        <f>(M217*'RAP TEMPLATE-GAS AVAILABILITY'!O216+N217*'RAP TEMPLATE-GAS AVAILABILITY'!P216+O217*'RAP TEMPLATE-GAS AVAILABILITY'!Q216+P217*'RAP TEMPLATE-GAS AVAILABILITY'!R216)/('RAP TEMPLATE-GAS AVAILABILITY'!O216+'RAP TEMPLATE-GAS AVAILABILITY'!P216+'RAP TEMPLATE-GAS AVAILABILITY'!Q216+'RAP TEMPLATE-GAS AVAILABILITY'!R216)</f>
        <v>10.803960431654676</v>
      </c>
    </row>
    <row r="218" spans="1:29" ht="15.75" x14ac:dyDescent="0.25">
      <c r="A218" s="13">
        <v>47515</v>
      </c>
      <c r="B218" s="14">
        <f>CHOOSE(CONTROL!$C$42, 11.1381, 11.1381) * CHOOSE(CONTROL!$C$21, $C$9, 100%, $E$9)</f>
        <v>11.1381</v>
      </c>
      <c r="C218" s="14">
        <f>CHOOSE(CONTROL!$C$42, 11.1432, 11.1432) * CHOOSE(CONTROL!$C$21, $C$9, 100%, $E$9)</f>
        <v>11.1432</v>
      </c>
      <c r="D218" s="14">
        <f>CHOOSE(CONTROL!$C$42, 11.2367, 11.2367) * CHOOSE(CONTROL!$C$21, $C$9, 100%, $E$9)</f>
        <v>11.236700000000001</v>
      </c>
      <c r="E218" s="14">
        <f>CHOOSE(CONTROL!$C$42, 11.2708, 11.2708) * CHOOSE(CONTROL!$C$21, $C$9, 100%, $E$9)</f>
        <v>11.270799999999999</v>
      </c>
      <c r="F218" s="14">
        <f>CHOOSE(CONTROL!$C$42, 11.1651, 11.1651)*CHOOSE(CONTROL!$C$21, $C$9, 100%, $E$9)</f>
        <v>11.165100000000001</v>
      </c>
      <c r="G218" s="14">
        <f>CHOOSE(CONTROL!$C$42, 11.183, 11.183)*CHOOSE(CONTROL!$C$21, $C$9, 100%, $E$9)</f>
        <v>11.183</v>
      </c>
      <c r="H218" s="14">
        <f>CHOOSE(CONTROL!$C$42, 11.26, 11.26) * CHOOSE(CONTROL!$C$21, $C$9, 100%, $E$9)</f>
        <v>11.26</v>
      </c>
      <c r="I218" s="14">
        <f>CHOOSE(CONTROL!$C$42, 11.1989, 11.1989)* CHOOSE(CONTROL!$C$21, $C$9, 100%, $E$9)</f>
        <v>11.1989</v>
      </c>
      <c r="J218" s="14">
        <f>CHOOSE(CONTROL!$C$42, 11.1581, 11.1581)* CHOOSE(CONTROL!$C$21, $C$9, 100%, $E$9)</f>
        <v>11.158099999999999</v>
      </c>
      <c r="K218" s="52">
        <f>CHOOSE(CONTROL!$C$42, 11.195, 11.195) * CHOOSE(CONTROL!$C$21, $C$9, 100%, $E$9)</f>
        <v>11.195</v>
      </c>
      <c r="L218" s="14">
        <f>CHOOSE(CONTROL!$C$42, 11.847, 11.847) * CHOOSE(CONTROL!$C$21, $C$9, 100%, $E$9)</f>
        <v>11.847</v>
      </c>
      <c r="M218" s="14">
        <f>CHOOSE(CONTROL!$C$42, 10.9651, 10.9651) * CHOOSE(CONTROL!$C$21, $C$9, 100%, $E$9)</f>
        <v>10.9651</v>
      </c>
      <c r="N218" s="14">
        <f>CHOOSE(CONTROL!$C$42, 10.9826, 10.9826) * CHOOSE(CONTROL!$C$21, $C$9, 100%, $E$9)</f>
        <v>10.9826</v>
      </c>
      <c r="O218" s="14">
        <f>CHOOSE(CONTROL!$C$42, 11.0651, 11.0651) * CHOOSE(CONTROL!$C$21, $C$9, 100%, $E$9)</f>
        <v>11.065099999999999</v>
      </c>
      <c r="P218" s="14">
        <f>CHOOSE(CONTROL!$C$42, 11.0046, 11.0046) * CHOOSE(CONTROL!$C$21, $C$9, 100%, $E$9)</f>
        <v>11.0046</v>
      </c>
      <c r="Q218" s="14">
        <f>CHOOSE(CONTROL!$C$42, 11.6598, 11.6598) * CHOOSE(CONTROL!$C$21, $C$9, 100%, $E$9)</f>
        <v>11.659800000000001</v>
      </c>
      <c r="R218" s="14">
        <f>CHOOSE(CONTROL!$C$42, 12.276, 12.276) * CHOOSE(CONTROL!$C$21, $C$9, 100%, $E$9)</f>
        <v>12.276</v>
      </c>
      <c r="S218" s="14">
        <f>CHOOSE(CONTROL!$C$42, 10.6941, 10.6941) * CHOOSE(CONTROL!$C$21, $C$9, 100%, $E$9)</f>
        <v>10.694100000000001</v>
      </c>
      <c r="T21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18" s="56">
        <f>(1000*CHOOSE(CONTROL!$C$42, 695, 695)*CHOOSE(CONTROL!$C$42, 0.5599, 0.5599)*CHOOSE(CONTROL!$C$42, 28, 28))/1000000</f>
        <v>10.895653999999999</v>
      </c>
      <c r="V218" s="56">
        <f>(1000*CHOOSE(CONTROL!$C$42, 500, 500)*CHOOSE(CONTROL!$C$42, 0.275, 0.275)*CHOOSE(CONTROL!$C$42, 28, 28))/1000000</f>
        <v>3.85</v>
      </c>
      <c r="W218" s="56">
        <f>(1000*CHOOSE(CONTROL!$C$42, 0.1146, 0.1146)*CHOOSE(CONTROL!$C$42, 121.5, 121.5)*CHOOSE(CONTROL!$C$42, 28, 28))/1000000</f>
        <v>0.38986920000000003</v>
      </c>
      <c r="X218" s="56">
        <f>(28*0.1790888*100000/1000000)+(28*0.2374*100000/1000000)</f>
        <v>1.16616864</v>
      </c>
      <c r="Y218" s="56"/>
      <c r="Z218" s="14"/>
      <c r="AA218" s="55"/>
      <c r="AB218" s="49">
        <f>(B218*122.58+C218*297.941+D218*89.177+E218*40.302+F218*40+G218*160+H218*0+I218*100+J218*300)/(122.58+297.941+89.177+40.302+0+40+160+100+300)</f>
        <v>11.169408197130435</v>
      </c>
      <c r="AC218" s="45">
        <f>(M218*'RAP TEMPLATE-GAS AVAILABILITY'!O217+N218*'RAP TEMPLATE-GAS AVAILABILITY'!P217+O218*'RAP TEMPLATE-GAS AVAILABILITY'!Q217+P218*'RAP TEMPLATE-GAS AVAILABILITY'!R217)/('RAP TEMPLATE-GAS AVAILABILITY'!O217+'RAP TEMPLATE-GAS AVAILABILITY'!P217+'RAP TEMPLATE-GAS AVAILABILITY'!Q217+'RAP TEMPLATE-GAS AVAILABILITY'!R217)</f>
        <v>11.017114388489208</v>
      </c>
    </row>
    <row r="219" spans="1:29" ht="15.75" x14ac:dyDescent="0.25">
      <c r="A219" s="13">
        <v>47543</v>
      </c>
      <c r="B219" s="14">
        <f>CHOOSE(CONTROL!$C$42, 10.8445, 10.8445) * CHOOSE(CONTROL!$C$21, $C$9, 100%, $E$9)</f>
        <v>10.8445</v>
      </c>
      <c r="C219" s="14">
        <f>CHOOSE(CONTROL!$C$42, 10.8495, 10.8495) * CHOOSE(CONTROL!$C$21, $C$9, 100%, $E$9)</f>
        <v>10.849500000000001</v>
      </c>
      <c r="D219" s="14">
        <f>CHOOSE(CONTROL!$C$42, 10.943, 10.943) * CHOOSE(CONTROL!$C$21, $C$9, 100%, $E$9)</f>
        <v>10.943</v>
      </c>
      <c r="E219" s="14">
        <f>CHOOSE(CONTROL!$C$42, 10.9771, 10.9771) * CHOOSE(CONTROL!$C$21, $C$9, 100%, $E$9)</f>
        <v>10.9771</v>
      </c>
      <c r="F219" s="14">
        <f>CHOOSE(CONTROL!$C$42, 10.8705, 10.8705)*CHOOSE(CONTROL!$C$21, $C$9, 100%, $E$9)</f>
        <v>10.8705</v>
      </c>
      <c r="G219" s="14">
        <f>CHOOSE(CONTROL!$C$42, 10.8882, 10.8882)*CHOOSE(CONTROL!$C$21, $C$9, 100%, $E$9)</f>
        <v>10.888199999999999</v>
      </c>
      <c r="H219" s="14">
        <f>CHOOSE(CONTROL!$C$42, 10.9663, 10.9663) * CHOOSE(CONTROL!$C$21, $C$9, 100%, $E$9)</f>
        <v>10.9663</v>
      </c>
      <c r="I219" s="14">
        <f>CHOOSE(CONTROL!$C$42, 10.9043, 10.9043)* CHOOSE(CONTROL!$C$21, $C$9, 100%, $E$9)</f>
        <v>10.904299999999999</v>
      </c>
      <c r="J219" s="14">
        <f>CHOOSE(CONTROL!$C$42, 10.8635, 10.8635)* CHOOSE(CONTROL!$C$21, $C$9, 100%, $E$9)</f>
        <v>10.8635</v>
      </c>
      <c r="K219" s="52">
        <f>CHOOSE(CONTROL!$C$42, 10.9004, 10.9004) * CHOOSE(CONTROL!$C$21, $C$9, 100%, $E$9)</f>
        <v>10.900399999999999</v>
      </c>
      <c r="L219" s="14">
        <f>CHOOSE(CONTROL!$C$42, 11.5533, 11.5533) * CHOOSE(CONTROL!$C$21, $C$9, 100%, $E$9)</f>
        <v>11.5533</v>
      </c>
      <c r="M219" s="14">
        <f>CHOOSE(CONTROL!$C$42, 10.6758, 10.6758) * CHOOSE(CONTROL!$C$21, $C$9, 100%, $E$9)</f>
        <v>10.675800000000001</v>
      </c>
      <c r="N219" s="14">
        <f>CHOOSE(CONTROL!$C$42, 10.6932, 10.6932) * CHOOSE(CONTROL!$C$21, $C$9, 100%, $E$9)</f>
        <v>10.693199999999999</v>
      </c>
      <c r="O219" s="14">
        <f>CHOOSE(CONTROL!$C$42, 10.7767, 10.7767) * CHOOSE(CONTROL!$C$21, $C$9, 100%, $E$9)</f>
        <v>10.7767</v>
      </c>
      <c r="P219" s="14">
        <f>CHOOSE(CONTROL!$C$42, 10.7153, 10.7153) * CHOOSE(CONTROL!$C$21, $C$9, 100%, $E$9)</f>
        <v>10.715299999999999</v>
      </c>
      <c r="Q219" s="14">
        <f>CHOOSE(CONTROL!$C$42, 11.3714, 11.3714) * CHOOSE(CONTROL!$C$21, $C$9, 100%, $E$9)</f>
        <v>11.3714</v>
      </c>
      <c r="R219" s="14">
        <f>CHOOSE(CONTROL!$C$42, 11.9869, 11.9869) * CHOOSE(CONTROL!$C$21, $C$9, 100%, $E$9)</f>
        <v>11.9869</v>
      </c>
      <c r="S219" s="14">
        <f>CHOOSE(CONTROL!$C$42, 10.4119, 10.4119) * CHOOSE(CONTROL!$C$21, $C$9, 100%, $E$9)</f>
        <v>10.411899999999999</v>
      </c>
      <c r="T21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19" s="56">
        <f>(1000*CHOOSE(CONTROL!$C$42, 695, 695)*CHOOSE(CONTROL!$C$42, 0.5599, 0.5599)*CHOOSE(CONTROL!$C$42, 31, 31))/1000000</f>
        <v>12.063045499999998</v>
      </c>
      <c r="V219" s="56">
        <f>(1000*CHOOSE(CONTROL!$C$42, 500, 500)*CHOOSE(CONTROL!$C$42, 0.275, 0.275)*CHOOSE(CONTROL!$C$42, 31, 31))/1000000</f>
        <v>4.2625000000000002</v>
      </c>
      <c r="W219" s="56">
        <f>(1000*CHOOSE(CONTROL!$C$42, 0.1146, 0.1146)*CHOOSE(CONTROL!$C$42, 121.5, 121.5)*CHOOSE(CONTROL!$C$42, 31, 31))/1000000</f>
        <v>0.43164089999999994</v>
      </c>
      <c r="X219" s="56">
        <f>(31*0.1790888*100000/1000000)+(31*0.2374*100000/1000000)</f>
        <v>1.2911152800000001</v>
      </c>
      <c r="Y219" s="56"/>
      <c r="Z219" s="14"/>
      <c r="AA219" s="55"/>
      <c r="AB219" s="49">
        <f>(B219*122.58+C219*297.941+D219*89.177+E219*40.302+F219*40+G219*160+H219*0+I219*100+J219*300)/(122.58+297.941+89.177+40.302+0+40+160+100+300)</f>
        <v>10.875221464956523</v>
      </c>
      <c r="AC219" s="45">
        <f>(M219*'RAP TEMPLATE-GAS AVAILABILITY'!O218+N219*'RAP TEMPLATE-GAS AVAILABILITY'!P218+O219*'RAP TEMPLATE-GAS AVAILABILITY'!Q218+P219*'RAP TEMPLATE-GAS AVAILABILITY'!R218)/('RAP TEMPLATE-GAS AVAILABILITY'!O218+'RAP TEMPLATE-GAS AVAILABILITY'!P218+'RAP TEMPLATE-GAS AVAILABILITY'!Q218+'RAP TEMPLATE-GAS AVAILABILITY'!R218)</f>
        <v>10.728216546762589</v>
      </c>
    </row>
    <row r="220" spans="1:29" ht="15.75" x14ac:dyDescent="0.25">
      <c r="A220" s="13">
        <v>47574</v>
      </c>
      <c r="B220" s="14">
        <f>CHOOSE(CONTROL!$C$42, 10.8353, 10.8353) * CHOOSE(CONTROL!$C$21, $C$9, 100%, $E$9)</f>
        <v>10.8353</v>
      </c>
      <c r="C220" s="14">
        <f>CHOOSE(CONTROL!$C$42, 10.8398, 10.8398) * CHOOSE(CONTROL!$C$21, $C$9, 100%, $E$9)</f>
        <v>10.8398</v>
      </c>
      <c r="D220" s="14">
        <f>CHOOSE(CONTROL!$C$42, 11.102, 11.102) * CHOOSE(CONTROL!$C$21, $C$9, 100%, $E$9)</f>
        <v>11.102</v>
      </c>
      <c r="E220" s="14">
        <f>CHOOSE(CONTROL!$C$42, 11.1341, 11.1341) * CHOOSE(CONTROL!$C$21, $C$9, 100%, $E$9)</f>
        <v>11.1341</v>
      </c>
      <c r="F220" s="14">
        <f>CHOOSE(CONTROL!$C$42, 10.8581, 10.8581)*CHOOSE(CONTROL!$C$21, $C$9, 100%, $E$9)</f>
        <v>10.8581</v>
      </c>
      <c r="G220" s="14">
        <f>CHOOSE(CONTROL!$C$42, 10.8748, 10.8748)*CHOOSE(CONTROL!$C$21, $C$9, 100%, $E$9)</f>
        <v>10.8748</v>
      </c>
      <c r="H220" s="14">
        <f>CHOOSE(CONTROL!$C$42, 11.1239, 11.1239) * CHOOSE(CONTROL!$C$21, $C$9, 100%, $E$9)</f>
        <v>11.123900000000001</v>
      </c>
      <c r="I220" s="14">
        <f>CHOOSE(CONTROL!$C$42, 10.8917, 10.8917)* CHOOSE(CONTROL!$C$21, $C$9, 100%, $E$9)</f>
        <v>10.8917</v>
      </c>
      <c r="J220" s="14">
        <f>CHOOSE(CONTROL!$C$42, 10.8511, 10.8511)* CHOOSE(CONTROL!$C$21, $C$9, 100%, $E$9)</f>
        <v>10.851100000000001</v>
      </c>
      <c r="K220" s="52">
        <f>CHOOSE(CONTROL!$C$42, 10.8878, 10.8878) * CHOOSE(CONTROL!$C$21, $C$9, 100%, $E$9)</f>
        <v>10.8878</v>
      </c>
      <c r="L220" s="14">
        <f>CHOOSE(CONTROL!$C$42, 11.7109, 11.7109) * CHOOSE(CONTROL!$C$21, $C$9, 100%, $E$9)</f>
        <v>11.710900000000001</v>
      </c>
      <c r="M220" s="14">
        <f>CHOOSE(CONTROL!$C$42, 10.6636, 10.6636) * CHOOSE(CONTROL!$C$21, $C$9, 100%, $E$9)</f>
        <v>10.663600000000001</v>
      </c>
      <c r="N220" s="14">
        <f>CHOOSE(CONTROL!$C$42, 10.68, 10.68) * CHOOSE(CONTROL!$C$21, $C$9, 100%, $E$9)</f>
        <v>10.68</v>
      </c>
      <c r="O220" s="14">
        <f>CHOOSE(CONTROL!$C$42, 10.9315, 10.9315) * CHOOSE(CONTROL!$C$21, $C$9, 100%, $E$9)</f>
        <v>10.9315</v>
      </c>
      <c r="P220" s="14">
        <f>CHOOSE(CONTROL!$C$42, 10.703, 10.703) * CHOOSE(CONTROL!$C$21, $C$9, 100%, $E$9)</f>
        <v>10.702999999999999</v>
      </c>
      <c r="Q220" s="14">
        <f>CHOOSE(CONTROL!$C$42, 11.5262, 11.5262) * CHOOSE(CONTROL!$C$21, $C$9, 100%, $E$9)</f>
        <v>11.526199999999999</v>
      </c>
      <c r="R220" s="14">
        <f>CHOOSE(CONTROL!$C$42, 12.142, 12.142) * CHOOSE(CONTROL!$C$21, $C$9, 100%, $E$9)</f>
        <v>12.141999999999999</v>
      </c>
      <c r="S220" s="14">
        <f>CHOOSE(CONTROL!$C$42, 10.4023, 10.4023) * CHOOSE(CONTROL!$C$21, $C$9, 100%, $E$9)</f>
        <v>10.4023</v>
      </c>
      <c r="T22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20" s="56">
        <f>(1000*CHOOSE(CONTROL!$C$42, 695, 695)*CHOOSE(CONTROL!$C$42, 0.5599, 0.5599)*CHOOSE(CONTROL!$C$42, 30, 30))/1000000</f>
        <v>11.673914999999997</v>
      </c>
      <c r="V220" s="56">
        <f>(1000*CHOOSE(CONTROL!$C$42, 500, 500)*CHOOSE(CONTROL!$C$42, 0.275, 0.275)*CHOOSE(CONTROL!$C$42, 30, 30))/1000000</f>
        <v>4.125</v>
      </c>
      <c r="W220" s="56">
        <f>(1000*CHOOSE(CONTROL!$C$42, 0.1146, 0.1146)*CHOOSE(CONTROL!$C$42, 121.5, 121.5)*CHOOSE(CONTROL!$C$42, 30, 30))/1000000</f>
        <v>0.417717</v>
      </c>
      <c r="X220" s="56">
        <f>(30*0.1790888*245000/1000000)+(30*0.2374*100000/1000000)</f>
        <v>2.0285026799999999</v>
      </c>
      <c r="Y220" s="56"/>
      <c r="Z220" s="14"/>
      <c r="AA220" s="55"/>
      <c r="AB220" s="49">
        <f>(B220*141.293+C220*267.993+D220*115.016+E220*89.698+F220*40+G220*185+H220*0+I220*100+J220*300)/(141.293+267.993+115.016+89.698+0+40+185+100+300)</f>
        <v>10.897674494027443</v>
      </c>
      <c r="AC220" s="45">
        <f>(M220*'RAP TEMPLATE-GAS AVAILABILITY'!O219+N220*'RAP TEMPLATE-GAS AVAILABILITY'!P219+O220*'RAP TEMPLATE-GAS AVAILABILITY'!Q219+P220*'RAP TEMPLATE-GAS AVAILABILITY'!R219)/('RAP TEMPLATE-GAS AVAILABILITY'!O219+'RAP TEMPLATE-GAS AVAILABILITY'!P219+'RAP TEMPLATE-GAS AVAILABILITY'!Q219+'RAP TEMPLATE-GAS AVAILABILITY'!R219)</f>
        <v>10.748210791366906</v>
      </c>
    </row>
    <row r="221" spans="1:29" ht="15.75" x14ac:dyDescent="0.25">
      <c r="A221" s="13">
        <v>47604</v>
      </c>
      <c r="B221" s="14">
        <f>CHOOSE(CONTROL!$C$42, 10.9547, 10.9547) * CHOOSE(CONTROL!$C$21, $C$9, 100%, $E$9)</f>
        <v>10.954700000000001</v>
      </c>
      <c r="C221" s="14">
        <f>CHOOSE(CONTROL!$C$42, 10.9627, 10.9627) * CHOOSE(CONTROL!$C$21, $C$9, 100%, $E$9)</f>
        <v>10.9627</v>
      </c>
      <c r="D221" s="14">
        <f>CHOOSE(CONTROL!$C$42, 11.2218, 11.2218) * CHOOSE(CONTROL!$C$21, $C$9, 100%, $E$9)</f>
        <v>11.2218</v>
      </c>
      <c r="E221" s="14">
        <f>CHOOSE(CONTROL!$C$42, 11.2533, 11.2533) * CHOOSE(CONTROL!$C$21, $C$9, 100%, $E$9)</f>
        <v>11.253299999999999</v>
      </c>
      <c r="F221" s="14">
        <f>CHOOSE(CONTROL!$C$42, 10.9762, 10.9762)*CHOOSE(CONTROL!$C$21, $C$9, 100%, $E$9)</f>
        <v>10.9762</v>
      </c>
      <c r="G221" s="14">
        <f>CHOOSE(CONTROL!$C$42, 10.9932, 10.9932)*CHOOSE(CONTROL!$C$21, $C$9, 100%, $E$9)</f>
        <v>10.9932</v>
      </c>
      <c r="H221" s="14">
        <f>CHOOSE(CONTROL!$C$42, 11.2419, 11.2419) * CHOOSE(CONTROL!$C$21, $C$9, 100%, $E$9)</f>
        <v>11.241899999999999</v>
      </c>
      <c r="I221" s="14">
        <f>CHOOSE(CONTROL!$C$42, 11.0101, 11.0101)* CHOOSE(CONTROL!$C$21, $C$9, 100%, $E$9)</f>
        <v>11.0101</v>
      </c>
      <c r="J221" s="14">
        <f>CHOOSE(CONTROL!$C$42, 10.9692, 10.9692)* CHOOSE(CONTROL!$C$21, $C$9, 100%, $E$9)</f>
        <v>10.969200000000001</v>
      </c>
      <c r="K221" s="52">
        <f>CHOOSE(CONTROL!$C$42, 11.0062, 11.0062) * CHOOSE(CONTROL!$C$21, $C$9, 100%, $E$9)</f>
        <v>11.0062</v>
      </c>
      <c r="L221" s="14">
        <f>CHOOSE(CONTROL!$C$42, 11.8289, 11.8289) * CHOOSE(CONTROL!$C$21, $C$9, 100%, $E$9)</f>
        <v>11.828900000000001</v>
      </c>
      <c r="M221" s="14">
        <f>CHOOSE(CONTROL!$C$42, 10.7796, 10.7796) * CHOOSE(CONTROL!$C$21, $C$9, 100%, $E$9)</f>
        <v>10.7796</v>
      </c>
      <c r="N221" s="14">
        <f>CHOOSE(CONTROL!$C$42, 10.7963, 10.7963) * CHOOSE(CONTROL!$C$21, $C$9, 100%, $E$9)</f>
        <v>10.7963</v>
      </c>
      <c r="O221" s="14">
        <f>CHOOSE(CONTROL!$C$42, 11.0474, 11.0474) * CHOOSE(CONTROL!$C$21, $C$9, 100%, $E$9)</f>
        <v>11.0474</v>
      </c>
      <c r="P221" s="14">
        <f>CHOOSE(CONTROL!$C$42, 10.8192, 10.8192) * CHOOSE(CONTROL!$C$21, $C$9, 100%, $E$9)</f>
        <v>10.8192</v>
      </c>
      <c r="Q221" s="14">
        <f>CHOOSE(CONTROL!$C$42, 11.6421, 11.6421) * CHOOSE(CONTROL!$C$21, $C$9, 100%, $E$9)</f>
        <v>11.642099999999999</v>
      </c>
      <c r="R221" s="14">
        <f>CHOOSE(CONTROL!$C$42, 12.2582, 12.2582) * CHOOSE(CONTROL!$C$21, $C$9, 100%, $E$9)</f>
        <v>12.2582</v>
      </c>
      <c r="S221" s="14">
        <f>CHOOSE(CONTROL!$C$42, 10.5158, 10.5158) * CHOOSE(CONTROL!$C$21, $C$9, 100%, $E$9)</f>
        <v>10.5158</v>
      </c>
      <c r="T22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21" s="56">
        <f>(1000*CHOOSE(CONTROL!$C$42, 695, 695)*CHOOSE(CONTROL!$C$42, 0.5599, 0.5599)*CHOOSE(CONTROL!$C$42, 31, 31))/1000000</f>
        <v>12.063045499999998</v>
      </c>
      <c r="V221" s="56">
        <f>(1000*CHOOSE(CONTROL!$C$42, 500, 500)*CHOOSE(CONTROL!$C$42, 0.275, 0.275)*CHOOSE(CONTROL!$C$42, 31, 31))/1000000</f>
        <v>4.2625000000000002</v>
      </c>
      <c r="W221" s="56">
        <f>(1000*CHOOSE(CONTROL!$C$42, 0.1146, 0.1146)*CHOOSE(CONTROL!$C$42, 121.5, 121.5)*CHOOSE(CONTROL!$C$42, 31, 31))/1000000</f>
        <v>0.43164089999999994</v>
      </c>
      <c r="X221" s="56">
        <f>(31*0.1790888*245000/1000000)+(31*0.2374*100000/1000000)</f>
        <v>2.0961194359999999</v>
      </c>
      <c r="Y221" s="56"/>
      <c r="Z221" s="14"/>
      <c r="AA221" s="55"/>
      <c r="AB221" s="49">
        <f>(B221*194.205+C221*267.466+D221*133.845+E221*53.484+F221*40+G221*185+H221*0+I221*100+J221*300)/(194.205+267.466+133.845+53.484+0+40+185+100+300)</f>
        <v>11.01100498422292</v>
      </c>
      <c r="AC221" s="45">
        <f>(M221*'RAP TEMPLATE-GAS AVAILABILITY'!O220+N221*'RAP TEMPLATE-GAS AVAILABILITY'!P220+O221*'RAP TEMPLATE-GAS AVAILABILITY'!Q220+P221*'RAP TEMPLATE-GAS AVAILABILITY'!R220)/('RAP TEMPLATE-GAS AVAILABILITY'!O220+'RAP TEMPLATE-GAS AVAILABILITY'!P220+'RAP TEMPLATE-GAS AVAILABILITY'!Q220+'RAP TEMPLATE-GAS AVAILABILITY'!R220)</f>
        <v>10.864280575539571</v>
      </c>
    </row>
    <row r="222" spans="1:29" ht="15.75" x14ac:dyDescent="0.25">
      <c r="A222" s="13">
        <v>47635</v>
      </c>
      <c r="B222" s="14">
        <f>CHOOSE(CONTROL!$C$42, 11.2883, 11.2883) * CHOOSE(CONTROL!$C$21, $C$9, 100%, $E$9)</f>
        <v>11.2883</v>
      </c>
      <c r="C222" s="14">
        <f>CHOOSE(CONTROL!$C$42, 11.2963, 11.2963) * CHOOSE(CONTROL!$C$21, $C$9, 100%, $E$9)</f>
        <v>11.2963</v>
      </c>
      <c r="D222" s="14">
        <f>CHOOSE(CONTROL!$C$42, 11.5554, 11.5554) * CHOOSE(CONTROL!$C$21, $C$9, 100%, $E$9)</f>
        <v>11.555400000000001</v>
      </c>
      <c r="E222" s="14">
        <f>CHOOSE(CONTROL!$C$42, 11.5869, 11.5869) * CHOOSE(CONTROL!$C$21, $C$9, 100%, $E$9)</f>
        <v>11.5869</v>
      </c>
      <c r="F222" s="14">
        <f>CHOOSE(CONTROL!$C$42, 11.3101, 11.3101)*CHOOSE(CONTROL!$C$21, $C$9, 100%, $E$9)</f>
        <v>11.3101</v>
      </c>
      <c r="G222" s="14">
        <f>CHOOSE(CONTROL!$C$42, 11.3271, 11.3271)*CHOOSE(CONTROL!$C$21, $C$9, 100%, $E$9)</f>
        <v>11.3271</v>
      </c>
      <c r="H222" s="14">
        <f>CHOOSE(CONTROL!$C$42, 11.5755, 11.5755) * CHOOSE(CONTROL!$C$21, $C$9, 100%, $E$9)</f>
        <v>11.5755</v>
      </c>
      <c r="I222" s="14">
        <f>CHOOSE(CONTROL!$C$42, 11.3447, 11.3447)* CHOOSE(CONTROL!$C$21, $C$9, 100%, $E$9)</f>
        <v>11.3447</v>
      </c>
      <c r="J222" s="14">
        <f>CHOOSE(CONTROL!$C$42, 11.3031, 11.3031)* CHOOSE(CONTROL!$C$21, $C$9, 100%, $E$9)</f>
        <v>11.303100000000001</v>
      </c>
      <c r="K222" s="52">
        <f>CHOOSE(CONTROL!$C$42, 11.3409, 11.3409) * CHOOSE(CONTROL!$C$21, $C$9, 100%, $E$9)</f>
        <v>11.3409</v>
      </c>
      <c r="L222" s="14">
        <f>CHOOSE(CONTROL!$C$42, 12.1625, 12.1625) * CHOOSE(CONTROL!$C$21, $C$9, 100%, $E$9)</f>
        <v>12.1625</v>
      </c>
      <c r="M222" s="14">
        <f>CHOOSE(CONTROL!$C$42, 11.1075, 11.1075) * CHOOSE(CONTROL!$C$21, $C$9, 100%, $E$9)</f>
        <v>11.1075</v>
      </c>
      <c r="N222" s="14">
        <f>CHOOSE(CONTROL!$C$42, 11.1242, 11.1242) * CHOOSE(CONTROL!$C$21, $C$9, 100%, $E$9)</f>
        <v>11.1242</v>
      </c>
      <c r="O222" s="14">
        <f>CHOOSE(CONTROL!$C$42, 11.375, 11.375) * CHOOSE(CONTROL!$C$21, $C$9, 100%, $E$9)</f>
        <v>11.375</v>
      </c>
      <c r="P222" s="14">
        <f>CHOOSE(CONTROL!$C$42, 11.1478, 11.1478) * CHOOSE(CONTROL!$C$21, $C$9, 100%, $E$9)</f>
        <v>11.1478</v>
      </c>
      <c r="Q222" s="14">
        <f>CHOOSE(CONTROL!$C$42, 11.9697, 11.9697) * CHOOSE(CONTROL!$C$21, $C$9, 100%, $E$9)</f>
        <v>11.9697</v>
      </c>
      <c r="R222" s="14">
        <f>CHOOSE(CONTROL!$C$42, 12.5866, 12.5866) * CHOOSE(CONTROL!$C$21, $C$9, 100%, $E$9)</f>
        <v>12.586600000000001</v>
      </c>
      <c r="S222" s="14">
        <f>CHOOSE(CONTROL!$C$42, 10.8363, 10.8363) * CHOOSE(CONTROL!$C$21, $C$9, 100%, $E$9)</f>
        <v>10.8363</v>
      </c>
      <c r="T22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22" s="56">
        <f>(1000*CHOOSE(CONTROL!$C$42, 695, 695)*CHOOSE(CONTROL!$C$42, 0.5599, 0.5599)*CHOOSE(CONTROL!$C$42, 30, 30))/1000000</f>
        <v>11.673914999999997</v>
      </c>
      <c r="V222" s="56">
        <f>(1000*CHOOSE(CONTROL!$C$42, 500, 500)*CHOOSE(CONTROL!$C$42, 0.275, 0.275)*CHOOSE(CONTROL!$C$42, 30, 30))/1000000</f>
        <v>4.125</v>
      </c>
      <c r="W222" s="56">
        <f>(1000*CHOOSE(CONTROL!$C$42, 0.1146, 0.1146)*CHOOSE(CONTROL!$C$42, 121.5, 121.5)*CHOOSE(CONTROL!$C$42, 30, 30))/1000000</f>
        <v>0.417717</v>
      </c>
      <c r="X222" s="56">
        <f>(30*0.1790888*245000/1000000)+(30*0.2374*100000/1000000)</f>
        <v>2.0285026799999999</v>
      </c>
      <c r="Y222" s="56"/>
      <c r="Z222" s="14"/>
      <c r="AA222" s="55"/>
      <c r="AB222" s="49">
        <f>(B222*194.205+C222*267.466+D222*133.845+E222*53.484+F222*40+G222*185+H222*0+I222*100+J222*300)/(194.205+267.466+133.845+53.484+0+40+185+100+300)</f>
        <v>11.344807103532181</v>
      </c>
      <c r="AC222" s="45">
        <f>(M222*'RAP TEMPLATE-GAS AVAILABILITY'!O221+N222*'RAP TEMPLATE-GAS AVAILABILITY'!P221+O222*'RAP TEMPLATE-GAS AVAILABILITY'!Q221+P222*'RAP TEMPLATE-GAS AVAILABILITY'!R221)/('RAP TEMPLATE-GAS AVAILABILITY'!O221+'RAP TEMPLATE-GAS AVAILABILITY'!P221+'RAP TEMPLATE-GAS AVAILABILITY'!Q221+'RAP TEMPLATE-GAS AVAILABILITY'!R221)</f>
        <v>11.192197122302158</v>
      </c>
    </row>
    <row r="223" spans="1:29" ht="15.75" x14ac:dyDescent="0.25">
      <c r="A223" s="13">
        <v>47665</v>
      </c>
      <c r="B223" s="14">
        <f>CHOOSE(CONTROL!$C$42, 11.0947, 11.0947) * CHOOSE(CONTROL!$C$21, $C$9, 100%, $E$9)</f>
        <v>11.0947</v>
      </c>
      <c r="C223" s="14">
        <f>CHOOSE(CONTROL!$C$42, 11.1028, 11.1028) * CHOOSE(CONTROL!$C$21, $C$9, 100%, $E$9)</f>
        <v>11.1028</v>
      </c>
      <c r="D223" s="14">
        <f>CHOOSE(CONTROL!$C$42, 11.3619, 11.3619) * CHOOSE(CONTROL!$C$21, $C$9, 100%, $E$9)</f>
        <v>11.3619</v>
      </c>
      <c r="E223" s="14">
        <f>CHOOSE(CONTROL!$C$42, 11.3933, 11.3933) * CHOOSE(CONTROL!$C$21, $C$9, 100%, $E$9)</f>
        <v>11.3933</v>
      </c>
      <c r="F223" s="14">
        <f>CHOOSE(CONTROL!$C$42, 11.117, 11.117)*CHOOSE(CONTROL!$C$21, $C$9, 100%, $E$9)</f>
        <v>11.117000000000001</v>
      </c>
      <c r="G223" s="14">
        <f>CHOOSE(CONTROL!$C$42, 11.1341, 11.1341)*CHOOSE(CONTROL!$C$21, $C$9, 100%, $E$9)</f>
        <v>11.1341</v>
      </c>
      <c r="H223" s="14">
        <f>CHOOSE(CONTROL!$C$42, 11.382, 11.382) * CHOOSE(CONTROL!$C$21, $C$9, 100%, $E$9)</f>
        <v>11.382</v>
      </c>
      <c r="I223" s="14">
        <f>CHOOSE(CONTROL!$C$42, 11.1506, 11.1506)* CHOOSE(CONTROL!$C$21, $C$9, 100%, $E$9)</f>
        <v>11.150600000000001</v>
      </c>
      <c r="J223" s="14">
        <f>CHOOSE(CONTROL!$C$42, 11.11, 11.11)* CHOOSE(CONTROL!$C$21, $C$9, 100%, $E$9)</f>
        <v>11.11</v>
      </c>
      <c r="K223" s="52">
        <f>CHOOSE(CONTROL!$C$42, 11.1467, 11.1467) * CHOOSE(CONTROL!$C$21, $C$9, 100%, $E$9)</f>
        <v>11.146699999999999</v>
      </c>
      <c r="L223" s="14">
        <f>CHOOSE(CONTROL!$C$42, 11.969, 11.969) * CHOOSE(CONTROL!$C$21, $C$9, 100%, $E$9)</f>
        <v>11.968999999999999</v>
      </c>
      <c r="M223" s="14">
        <f>CHOOSE(CONTROL!$C$42, 10.9178, 10.9178) * CHOOSE(CONTROL!$C$21, $C$9, 100%, $E$9)</f>
        <v>10.9178</v>
      </c>
      <c r="N223" s="14">
        <f>CHOOSE(CONTROL!$C$42, 10.9347, 10.9347) * CHOOSE(CONTROL!$C$21, $C$9, 100%, $E$9)</f>
        <v>10.934699999999999</v>
      </c>
      <c r="O223" s="14">
        <f>CHOOSE(CONTROL!$C$42, 11.1849, 11.1849) * CHOOSE(CONTROL!$C$21, $C$9, 100%, $E$9)</f>
        <v>11.184900000000001</v>
      </c>
      <c r="P223" s="14">
        <f>CHOOSE(CONTROL!$C$42, 10.9572, 10.9572) * CHOOSE(CONTROL!$C$21, $C$9, 100%, $E$9)</f>
        <v>10.9572</v>
      </c>
      <c r="Q223" s="14">
        <f>CHOOSE(CONTROL!$C$42, 11.7796, 11.7796) * CHOOSE(CONTROL!$C$21, $C$9, 100%, $E$9)</f>
        <v>11.7796</v>
      </c>
      <c r="R223" s="14">
        <f>CHOOSE(CONTROL!$C$42, 12.3961, 12.3961) * CHOOSE(CONTROL!$C$21, $C$9, 100%, $E$9)</f>
        <v>12.396100000000001</v>
      </c>
      <c r="S223" s="14">
        <f>CHOOSE(CONTROL!$C$42, 10.6503, 10.6503) * CHOOSE(CONTROL!$C$21, $C$9, 100%, $E$9)</f>
        <v>10.6503</v>
      </c>
      <c r="T22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23" s="56">
        <f>(1000*CHOOSE(CONTROL!$C$42, 695, 695)*CHOOSE(CONTROL!$C$42, 0.5599, 0.5599)*CHOOSE(CONTROL!$C$42, 31, 31))/1000000</f>
        <v>12.063045499999998</v>
      </c>
      <c r="V223" s="56">
        <f>(1000*CHOOSE(CONTROL!$C$42, 500, 500)*CHOOSE(CONTROL!$C$42, 0.275, 0.275)*CHOOSE(CONTROL!$C$42, 31, 31))/1000000</f>
        <v>4.2625000000000002</v>
      </c>
      <c r="W223" s="56">
        <f>(1000*CHOOSE(CONTROL!$C$42, 0.1146, 0.1146)*CHOOSE(CONTROL!$C$42, 121.5, 121.5)*CHOOSE(CONTROL!$C$42, 31, 31))/1000000</f>
        <v>0.43164089999999994</v>
      </c>
      <c r="X223" s="56">
        <f>(31*0.1790888*245000/1000000)+(31*0.2374*100000/1000000)</f>
        <v>2.0961194359999999</v>
      </c>
      <c r="Y223" s="56"/>
      <c r="Z223" s="14"/>
      <c r="AA223" s="55"/>
      <c r="AB223" s="49">
        <f>(B223*194.205+C223*267.466+D223*133.845+E223*53.484+F223*40+G223*185+H223*0+I223*100+J223*300)/(194.205+267.466+133.845+53.484+0+40+185+100+300)</f>
        <v>11.151419922291995</v>
      </c>
      <c r="AC223" s="45">
        <f>(M223*'RAP TEMPLATE-GAS AVAILABILITY'!O222+N223*'RAP TEMPLATE-GAS AVAILABILITY'!P222+O223*'RAP TEMPLATE-GAS AVAILABILITY'!Q222+P223*'RAP TEMPLATE-GAS AVAILABILITY'!R222)/('RAP TEMPLATE-GAS AVAILABILITY'!O222+'RAP TEMPLATE-GAS AVAILABILITY'!P222+'RAP TEMPLATE-GAS AVAILABILITY'!Q222+'RAP TEMPLATE-GAS AVAILABILITY'!R222)</f>
        <v>11.002301438848919</v>
      </c>
    </row>
    <row r="224" spans="1:29" ht="15.75" x14ac:dyDescent="0.25">
      <c r="A224" s="13">
        <v>47696</v>
      </c>
      <c r="B224" s="14">
        <f>CHOOSE(CONTROL!$C$42, 10.5473, 10.5473) * CHOOSE(CONTROL!$C$21, $C$9, 100%, $E$9)</f>
        <v>10.5473</v>
      </c>
      <c r="C224" s="14">
        <f>CHOOSE(CONTROL!$C$42, 10.5553, 10.5553) * CHOOSE(CONTROL!$C$21, $C$9, 100%, $E$9)</f>
        <v>10.555300000000001</v>
      </c>
      <c r="D224" s="14">
        <f>CHOOSE(CONTROL!$C$42, 10.8144, 10.8144) * CHOOSE(CONTROL!$C$21, $C$9, 100%, $E$9)</f>
        <v>10.814399999999999</v>
      </c>
      <c r="E224" s="14">
        <f>CHOOSE(CONTROL!$C$42, 10.8459, 10.8459) * CHOOSE(CONTROL!$C$21, $C$9, 100%, $E$9)</f>
        <v>10.8459</v>
      </c>
      <c r="F224" s="14">
        <f>CHOOSE(CONTROL!$C$42, 10.5697, 10.5697)*CHOOSE(CONTROL!$C$21, $C$9, 100%, $E$9)</f>
        <v>10.569699999999999</v>
      </c>
      <c r="G224" s="14">
        <f>CHOOSE(CONTROL!$C$42, 10.5869, 10.5869)*CHOOSE(CONTROL!$C$21, $C$9, 100%, $E$9)</f>
        <v>10.5869</v>
      </c>
      <c r="H224" s="14">
        <f>CHOOSE(CONTROL!$C$42, 10.8345, 10.8345) * CHOOSE(CONTROL!$C$21, $C$9, 100%, $E$9)</f>
        <v>10.8345</v>
      </c>
      <c r="I224" s="14">
        <f>CHOOSE(CONTROL!$C$42, 10.6014, 10.6014)* CHOOSE(CONTROL!$C$21, $C$9, 100%, $E$9)</f>
        <v>10.6014</v>
      </c>
      <c r="J224" s="14">
        <f>CHOOSE(CONTROL!$C$42, 10.5627, 10.5627)* CHOOSE(CONTROL!$C$21, $C$9, 100%, $E$9)</f>
        <v>10.5627</v>
      </c>
      <c r="K224" s="52">
        <f>CHOOSE(CONTROL!$C$42, 10.5976, 10.5976) * CHOOSE(CONTROL!$C$21, $C$9, 100%, $E$9)</f>
        <v>10.5976</v>
      </c>
      <c r="L224" s="14">
        <f>CHOOSE(CONTROL!$C$42, 11.4215, 11.4215) * CHOOSE(CONTROL!$C$21, $C$9, 100%, $E$9)</f>
        <v>11.4215</v>
      </c>
      <c r="M224" s="14">
        <f>CHOOSE(CONTROL!$C$42, 10.3804, 10.3804) * CHOOSE(CONTROL!$C$21, $C$9, 100%, $E$9)</f>
        <v>10.3804</v>
      </c>
      <c r="N224" s="14">
        <f>CHOOSE(CONTROL!$C$42, 10.3973, 10.3973) * CHOOSE(CONTROL!$C$21, $C$9, 100%, $E$9)</f>
        <v>10.3973</v>
      </c>
      <c r="O224" s="14">
        <f>CHOOSE(CONTROL!$C$42, 10.6473, 10.6473) * CHOOSE(CONTROL!$C$21, $C$9, 100%, $E$9)</f>
        <v>10.6473</v>
      </c>
      <c r="P224" s="14">
        <f>CHOOSE(CONTROL!$C$42, 10.4179, 10.4179) * CHOOSE(CONTROL!$C$21, $C$9, 100%, $E$9)</f>
        <v>10.417899999999999</v>
      </c>
      <c r="Q224" s="14">
        <f>CHOOSE(CONTROL!$C$42, 11.242, 11.242) * CHOOSE(CONTROL!$C$21, $C$9, 100%, $E$9)</f>
        <v>11.242000000000001</v>
      </c>
      <c r="R224" s="14">
        <f>CHOOSE(CONTROL!$C$42, 11.8571, 11.8571) * CHOOSE(CONTROL!$C$21, $C$9, 100%, $E$9)</f>
        <v>11.857100000000001</v>
      </c>
      <c r="S224" s="14">
        <f>CHOOSE(CONTROL!$C$42, 10.1243, 10.1243) * CHOOSE(CONTROL!$C$21, $C$9, 100%, $E$9)</f>
        <v>10.1243</v>
      </c>
      <c r="T22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24" s="56">
        <f>(1000*CHOOSE(CONTROL!$C$42, 695, 695)*CHOOSE(CONTROL!$C$42, 0.5599, 0.5599)*CHOOSE(CONTROL!$C$42, 31, 31))/1000000</f>
        <v>12.063045499999998</v>
      </c>
      <c r="V224" s="56">
        <f>(1000*CHOOSE(CONTROL!$C$42, 500, 500)*CHOOSE(CONTROL!$C$42, 0.275, 0.275)*CHOOSE(CONTROL!$C$42, 31, 31))/1000000</f>
        <v>4.2625000000000002</v>
      </c>
      <c r="W224" s="56">
        <f>(1000*CHOOSE(CONTROL!$C$42, 0.1146, 0.1146)*CHOOSE(CONTROL!$C$42, 121.5, 121.5)*CHOOSE(CONTROL!$C$42, 31, 31))/1000000</f>
        <v>0.43164089999999994</v>
      </c>
      <c r="X224" s="56">
        <f>(31*0.1790888*245000/1000000)+(31*0.2374*100000/1000000)</f>
        <v>2.0961194359999999</v>
      </c>
      <c r="Y224" s="56"/>
      <c r="Z224" s="14"/>
      <c r="AA224" s="55"/>
      <c r="AB224" s="49">
        <f>(B224*194.205+C224*267.466+D224*133.845+E224*53.484+F224*40+G224*185+H224*0+I224*100+J224*300)/(194.205+267.466+133.845+53.484+0+40+185+100+300)</f>
        <v>10.603902864913657</v>
      </c>
      <c r="AC224" s="45">
        <f>(M224*'RAP TEMPLATE-GAS AVAILABILITY'!O223+N224*'RAP TEMPLATE-GAS AVAILABILITY'!P223+O224*'RAP TEMPLATE-GAS AVAILABILITY'!Q223+P224*'RAP TEMPLATE-GAS AVAILABILITY'!R223)/('RAP TEMPLATE-GAS AVAILABILITY'!O223+'RAP TEMPLATE-GAS AVAILABILITY'!P223+'RAP TEMPLATE-GAS AVAILABILITY'!Q223+'RAP TEMPLATE-GAS AVAILABILITY'!R223)</f>
        <v>10.464571942446042</v>
      </c>
    </row>
    <row r="225" spans="1:29" ht="15.75" x14ac:dyDescent="0.25">
      <c r="A225" s="13">
        <v>47727</v>
      </c>
      <c r="B225" s="14">
        <f>CHOOSE(CONTROL!$C$42, 9.8782, 9.8782) * CHOOSE(CONTROL!$C$21, $C$9, 100%, $E$9)</f>
        <v>9.8781999999999996</v>
      </c>
      <c r="C225" s="14">
        <f>CHOOSE(CONTROL!$C$42, 9.8862, 9.8862) * CHOOSE(CONTROL!$C$21, $C$9, 100%, $E$9)</f>
        <v>9.8862000000000005</v>
      </c>
      <c r="D225" s="14">
        <f>CHOOSE(CONTROL!$C$42, 10.1453, 10.1453) * CHOOSE(CONTROL!$C$21, $C$9, 100%, $E$9)</f>
        <v>10.145300000000001</v>
      </c>
      <c r="E225" s="14">
        <f>CHOOSE(CONTROL!$C$42, 10.1768, 10.1768) * CHOOSE(CONTROL!$C$21, $C$9, 100%, $E$9)</f>
        <v>10.1768</v>
      </c>
      <c r="F225" s="14">
        <f>CHOOSE(CONTROL!$C$42, 9.9007, 9.9007)*CHOOSE(CONTROL!$C$21, $C$9, 100%, $E$9)</f>
        <v>9.9007000000000005</v>
      </c>
      <c r="G225" s="14">
        <f>CHOOSE(CONTROL!$C$42, 9.9179, 9.9179)*CHOOSE(CONTROL!$C$21, $C$9, 100%, $E$9)</f>
        <v>9.9178999999999995</v>
      </c>
      <c r="H225" s="14">
        <f>CHOOSE(CONTROL!$C$42, 10.1654, 10.1654) * CHOOSE(CONTROL!$C$21, $C$9, 100%, $E$9)</f>
        <v>10.1654</v>
      </c>
      <c r="I225" s="14">
        <f>CHOOSE(CONTROL!$C$42, 9.9303, 9.9303)* CHOOSE(CONTROL!$C$21, $C$9, 100%, $E$9)</f>
        <v>9.9303000000000008</v>
      </c>
      <c r="J225" s="14">
        <f>CHOOSE(CONTROL!$C$42, 9.8937, 9.8937)* CHOOSE(CONTROL!$C$21, $C$9, 100%, $E$9)</f>
        <v>9.8937000000000008</v>
      </c>
      <c r="K225" s="52">
        <f>CHOOSE(CONTROL!$C$42, 9.9264, 9.9264) * CHOOSE(CONTROL!$C$21, $C$9, 100%, $E$9)</f>
        <v>9.9263999999999992</v>
      </c>
      <c r="L225" s="14">
        <f>CHOOSE(CONTROL!$C$42, 10.7524, 10.7524) * CHOOSE(CONTROL!$C$21, $C$9, 100%, $E$9)</f>
        <v>10.7524</v>
      </c>
      <c r="M225" s="14">
        <f>CHOOSE(CONTROL!$C$42, 9.7234, 9.7234) * CHOOSE(CONTROL!$C$21, $C$9, 100%, $E$9)</f>
        <v>9.7233999999999998</v>
      </c>
      <c r="N225" s="14">
        <f>CHOOSE(CONTROL!$C$42, 9.7403, 9.7403) * CHOOSE(CONTROL!$C$21, $C$9, 100%, $E$9)</f>
        <v>9.7402999999999995</v>
      </c>
      <c r="O225" s="14">
        <f>CHOOSE(CONTROL!$C$42, 9.9903, 9.9903) * CHOOSE(CONTROL!$C$21, $C$9, 100%, $E$9)</f>
        <v>9.9902999999999995</v>
      </c>
      <c r="P225" s="14">
        <f>CHOOSE(CONTROL!$C$42, 9.7589, 9.7589) * CHOOSE(CONTROL!$C$21, $C$9, 100%, $E$9)</f>
        <v>9.7589000000000006</v>
      </c>
      <c r="Q225" s="14">
        <f>CHOOSE(CONTROL!$C$42, 10.585, 10.585) * CHOOSE(CONTROL!$C$21, $C$9, 100%, $E$9)</f>
        <v>10.585000000000001</v>
      </c>
      <c r="R225" s="14">
        <f>CHOOSE(CONTROL!$C$42, 11.1984, 11.1984) * CHOOSE(CONTROL!$C$21, $C$9, 100%, $E$9)</f>
        <v>11.198399999999999</v>
      </c>
      <c r="S225" s="14">
        <f>CHOOSE(CONTROL!$C$42, 9.4813, 9.4813) * CHOOSE(CONTROL!$C$21, $C$9, 100%, $E$9)</f>
        <v>9.4812999999999992</v>
      </c>
      <c r="T22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25" s="56">
        <f>(1000*CHOOSE(CONTROL!$C$42, 695, 695)*CHOOSE(CONTROL!$C$42, 0.5599, 0.5599)*CHOOSE(CONTROL!$C$42, 30, 30))/1000000</f>
        <v>11.673914999999997</v>
      </c>
      <c r="V225" s="56">
        <f>(1000*CHOOSE(CONTROL!$C$42, 500, 500)*CHOOSE(CONTROL!$C$42, 0.275, 0.275)*CHOOSE(CONTROL!$C$42, 30, 30))/1000000</f>
        <v>4.125</v>
      </c>
      <c r="W225" s="56">
        <f>(1000*CHOOSE(CONTROL!$C$42, 0.1146, 0.1146)*CHOOSE(CONTROL!$C$42, 121.5, 121.5)*CHOOSE(CONTROL!$C$42, 30, 30))/1000000</f>
        <v>0.417717</v>
      </c>
      <c r="X225" s="56">
        <f>(30*0.1790888*245000/1000000)+(30*0.2374*100000/1000000)</f>
        <v>2.0285026799999999</v>
      </c>
      <c r="Y225" s="56"/>
      <c r="Z225" s="14"/>
      <c r="AA225" s="55"/>
      <c r="AB225" s="49">
        <f>(B225*194.205+C225*267.466+D225*133.845+E225*53.484+F225*40+G225*185+H225*0+I225*100+J225*300)/(194.205+267.466+133.845+53.484+0+40+185+100+300)</f>
        <v>9.9346870878335949</v>
      </c>
      <c r="AC225" s="45">
        <f>(M225*'RAP TEMPLATE-GAS AVAILABILITY'!O224+N225*'RAP TEMPLATE-GAS AVAILABILITY'!P224+O225*'RAP TEMPLATE-GAS AVAILABILITY'!Q224+P225*'RAP TEMPLATE-GAS AVAILABILITY'!R224)/('RAP TEMPLATE-GAS AVAILABILITY'!O224+'RAP TEMPLATE-GAS AVAILABILITY'!P224+'RAP TEMPLATE-GAS AVAILABILITY'!Q224+'RAP TEMPLATE-GAS AVAILABILITY'!R224)</f>
        <v>9.8072841726618698</v>
      </c>
    </row>
    <row r="226" spans="1:29" ht="15.75" x14ac:dyDescent="0.25">
      <c r="A226" s="13">
        <v>47757</v>
      </c>
      <c r="B226" s="14">
        <f>CHOOSE(CONTROL!$C$42, 9.6761, 9.6761) * CHOOSE(CONTROL!$C$21, $C$9, 100%, $E$9)</f>
        <v>9.6760999999999999</v>
      </c>
      <c r="C226" s="14">
        <f>CHOOSE(CONTROL!$C$42, 9.6815, 9.6815) * CHOOSE(CONTROL!$C$21, $C$9, 100%, $E$9)</f>
        <v>9.6814999999999998</v>
      </c>
      <c r="D226" s="14">
        <f>CHOOSE(CONTROL!$C$42, 9.9455, 9.9455) * CHOOSE(CONTROL!$C$21, $C$9, 100%, $E$9)</f>
        <v>9.9454999999999991</v>
      </c>
      <c r="E226" s="14">
        <f>CHOOSE(CONTROL!$C$42, 9.9746, 9.9746) * CHOOSE(CONTROL!$C$21, $C$9, 100%, $E$9)</f>
        <v>9.9746000000000006</v>
      </c>
      <c r="F226" s="14">
        <f>CHOOSE(CONTROL!$C$42, 9.7008, 9.7008)*CHOOSE(CONTROL!$C$21, $C$9, 100%, $E$9)</f>
        <v>9.7007999999999992</v>
      </c>
      <c r="G226" s="14">
        <f>CHOOSE(CONTROL!$C$42, 9.7179, 9.7179)*CHOOSE(CONTROL!$C$21, $C$9, 100%, $E$9)</f>
        <v>9.7179000000000002</v>
      </c>
      <c r="H226" s="14">
        <f>CHOOSE(CONTROL!$C$42, 9.9651, 9.9651) * CHOOSE(CONTROL!$C$21, $C$9, 100%, $E$9)</f>
        <v>9.9650999999999996</v>
      </c>
      <c r="I226" s="14">
        <f>CHOOSE(CONTROL!$C$42, 9.7293, 9.7293)* CHOOSE(CONTROL!$C$21, $C$9, 100%, $E$9)</f>
        <v>9.7293000000000003</v>
      </c>
      <c r="J226" s="14">
        <f>CHOOSE(CONTROL!$C$42, 9.6938, 9.6938)* CHOOSE(CONTROL!$C$21, $C$9, 100%, $E$9)</f>
        <v>9.6937999999999995</v>
      </c>
      <c r="K226" s="52">
        <f>CHOOSE(CONTROL!$C$42, 9.7254, 9.7254) * CHOOSE(CONTROL!$C$21, $C$9, 100%, $E$9)</f>
        <v>9.7254000000000005</v>
      </c>
      <c r="L226" s="14">
        <f>CHOOSE(CONTROL!$C$42, 10.5521, 10.5521) * CHOOSE(CONTROL!$C$21, $C$9, 100%, $E$9)</f>
        <v>10.552099999999999</v>
      </c>
      <c r="M226" s="14">
        <f>CHOOSE(CONTROL!$C$42, 9.5271, 9.5271) * CHOOSE(CONTROL!$C$21, $C$9, 100%, $E$9)</f>
        <v>9.5271000000000008</v>
      </c>
      <c r="N226" s="14">
        <f>CHOOSE(CONTROL!$C$42, 9.5439, 9.5439) * CHOOSE(CONTROL!$C$21, $C$9, 100%, $E$9)</f>
        <v>9.5439000000000007</v>
      </c>
      <c r="O226" s="14">
        <f>CHOOSE(CONTROL!$C$42, 9.7936, 9.7936) * CHOOSE(CONTROL!$C$21, $C$9, 100%, $E$9)</f>
        <v>9.7935999999999996</v>
      </c>
      <c r="P226" s="14">
        <f>CHOOSE(CONTROL!$C$42, 9.5615, 9.5615) * CHOOSE(CONTROL!$C$21, $C$9, 100%, $E$9)</f>
        <v>9.5615000000000006</v>
      </c>
      <c r="Q226" s="14">
        <f>CHOOSE(CONTROL!$C$42, 10.3883, 10.3883) * CHOOSE(CONTROL!$C$21, $C$9, 100%, $E$9)</f>
        <v>10.388299999999999</v>
      </c>
      <c r="R226" s="14">
        <f>CHOOSE(CONTROL!$C$42, 11.0012, 11.0012) * CHOOSE(CONTROL!$C$21, $C$9, 100%, $E$9)</f>
        <v>11.001200000000001</v>
      </c>
      <c r="S226" s="14">
        <f>CHOOSE(CONTROL!$C$42, 9.2889, 9.2889) * CHOOSE(CONTROL!$C$21, $C$9, 100%, $E$9)</f>
        <v>9.2888999999999999</v>
      </c>
      <c r="T22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26" s="56">
        <f>(1000*CHOOSE(CONTROL!$C$42, 695, 695)*CHOOSE(CONTROL!$C$42, 0.5599, 0.5599)*CHOOSE(CONTROL!$C$42, 31, 31))/1000000</f>
        <v>12.063045499999998</v>
      </c>
      <c r="V226" s="56">
        <f>(1000*CHOOSE(CONTROL!$C$42, 500, 500)*CHOOSE(CONTROL!$C$42, 0.275, 0.275)*CHOOSE(CONTROL!$C$42, 31, 31))/1000000</f>
        <v>4.2625000000000002</v>
      </c>
      <c r="W226" s="56">
        <f>(1000*CHOOSE(CONTROL!$C$42, 0.1146, 0.1146)*CHOOSE(CONTROL!$C$42, 121.5, 121.5)*CHOOSE(CONTROL!$C$42, 31, 31))/1000000</f>
        <v>0.43164089999999994</v>
      </c>
      <c r="X226" s="56">
        <f>(31*0.1790888*245000/1000000)+(31*0.2374*100000/1000000)</f>
        <v>2.0961194359999999</v>
      </c>
      <c r="Y226" s="56"/>
      <c r="Z226" s="14"/>
      <c r="AA226" s="55"/>
      <c r="AB226" s="49">
        <f>(B226*131.881+C226*277.167+D226*79.08+E226*125.872+F226*40+G226*185+H226*0+I226*100+J226*300)/(131.881+277.167+79.08+125.872+0+40+185+100+300)</f>
        <v>9.7404459610976595</v>
      </c>
      <c r="AC226" s="45">
        <f>(M226*'RAP TEMPLATE-GAS AVAILABILITY'!O225+N226*'RAP TEMPLATE-GAS AVAILABILITY'!P225+O226*'RAP TEMPLATE-GAS AVAILABILITY'!Q225+P226*'RAP TEMPLATE-GAS AVAILABILITY'!R225)/('RAP TEMPLATE-GAS AVAILABILITY'!O225+'RAP TEMPLATE-GAS AVAILABILITY'!P225+'RAP TEMPLATE-GAS AVAILABILITY'!Q225+'RAP TEMPLATE-GAS AVAILABILITY'!R225)</f>
        <v>9.6106906474820146</v>
      </c>
    </row>
    <row r="227" spans="1:29" ht="15.75" x14ac:dyDescent="0.25">
      <c r="A227" s="13">
        <v>47788</v>
      </c>
      <c r="B227" s="14">
        <f>CHOOSE(CONTROL!$C$42, 9.9304, 9.9304) * CHOOSE(CONTROL!$C$21, $C$9, 100%, $E$9)</f>
        <v>9.9304000000000006</v>
      </c>
      <c r="C227" s="14">
        <f>CHOOSE(CONTROL!$C$42, 9.9354, 9.9354) * CHOOSE(CONTROL!$C$21, $C$9, 100%, $E$9)</f>
        <v>9.9353999999999996</v>
      </c>
      <c r="D227" s="14">
        <f>CHOOSE(CONTROL!$C$42, 10.0185, 10.0185) * CHOOSE(CONTROL!$C$21, $C$9, 100%, $E$9)</f>
        <v>10.0185</v>
      </c>
      <c r="E227" s="14">
        <f>CHOOSE(CONTROL!$C$42, 10.0526, 10.0526) * CHOOSE(CONTROL!$C$21, $C$9, 100%, $E$9)</f>
        <v>10.0526</v>
      </c>
      <c r="F227" s="14">
        <f>CHOOSE(CONTROL!$C$42, 9.958, 9.958)*CHOOSE(CONTROL!$C$21, $C$9, 100%, $E$9)</f>
        <v>9.9580000000000002</v>
      </c>
      <c r="G227" s="14">
        <f>CHOOSE(CONTROL!$C$42, 9.9754, 9.9754)*CHOOSE(CONTROL!$C$21, $C$9, 100%, $E$9)</f>
        <v>9.9754000000000005</v>
      </c>
      <c r="H227" s="14">
        <f>CHOOSE(CONTROL!$C$42, 10.0418, 10.0418) * CHOOSE(CONTROL!$C$21, $C$9, 100%, $E$9)</f>
        <v>10.0418</v>
      </c>
      <c r="I227" s="14">
        <f>CHOOSE(CONTROL!$C$42, 9.9811, 9.9811)* CHOOSE(CONTROL!$C$21, $C$9, 100%, $E$9)</f>
        <v>9.9810999999999996</v>
      </c>
      <c r="J227" s="14">
        <f>CHOOSE(CONTROL!$C$42, 9.951, 9.951)* CHOOSE(CONTROL!$C$21, $C$9, 100%, $E$9)</f>
        <v>9.9510000000000005</v>
      </c>
      <c r="K227" s="52">
        <f>CHOOSE(CONTROL!$C$42, 9.9772, 9.9772) * CHOOSE(CONTROL!$C$21, $C$9, 100%, $E$9)</f>
        <v>9.9771999999999998</v>
      </c>
      <c r="L227" s="14">
        <f>CHOOSE(CONTROL!$C$42, 10.6288, 10.6288) * CHOOSE(CONTROL!$C$21, $C$9, 100%, $E$9)</f>
        <v>10.6288</v>
      </c>
      <c r="M227" s="14">
        <f>CHOOSE(CONTROL!$C$42, 9.7797, 9.7797) * CHOOSE(CONTROL!$C$21, $C$9, 100%, $E$9)</f>
        <v>9.7797000000000001</v>
      </c>
      <c r="N227" s="14">
        <f>CHOOSE(CONTROL!$C$42, 9.7967, 9.7967) * CHOOSE(CONTROL!$C$21, $C$9, 100%, $E$9)</f>
        <v>9.7966999999999995</v>
      </c>
      <c r="O227" s="14">
        <f>CHOOSE(CONTROL!$C$42, 9.8689, 9.8689) * CHOOSE(CONTROL!$C$21, $C$9, 100%, $E$9)</f>
        <v>9.8689</v>
      </c>
      <c r="P227" s="14">
        <f>CHOOSE(CONTROL!$C$42, 9.8088, 9.8088) * CHOOSE(CONTROL!$C$21, $C$9, 100%, $E$9)</f>
        <v>9.8087999999999997</v>
      </c>
      <c r="Q227" s="14">
        <f>CHOOSE(CONTROL!$C$42, 10.4636, 10.4636) * CHOOSE(CONTROL!$C$21, $C$9, 100%, $E$9)</f>
        <v>10.4636</v>
      </c>
      <c r="R227" s="14">
        <f>CHOOSE(CONTROL!$C$42, 11.0767, 11.0767) * CHOOSE(CONTROL!$C$21, $C$9, 100%, $E$9)</f>
        <v>11.076700000000001</v>
      </c>
      <c r="S227" s="14">
        <f>CHOOSE(CONTROL!$C$42, 9.5335, 9.5335) * CHOOSE(CONTROL!$C$21, $C$9, 100%, $E$9)</f>
        <v>9.5335000000000001</v>
      </c>
      <c r="T22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27" s="56">
        <f>(1000*CHOOSE(CONTROL!$C$42, 695, 695)*CHOOSE(CONTROL!$C$42, 0.5599, 0.5599)*CHOOSE(CONTROL!$C$42, 30, 30))/1000000</f>
        <v>11.673914999999997</v>
      </c>
      <c r="V227" s="56">
        <f>(1000*CHOOSE(CONTROL!$C$42, 500, 500)*CHOOSE(CONTROL!$C$42, 0.275, 0.275)*CHOOSE(CONTROL!$C$42, 30, 30))/1000000</f>
        <v>4.125</v>
      </c>
      <c r="W227" s="56">
        <f>(1000*CHOOSE(CONTROL!$C$42, 0.1146, 0.1146)*CHOOSE(CONTROL!$C$42, 121.5, 121.5)*CHOOSE(CONTROL!$C$42, 30, 30))/1000000</f>
        <v>0.417717</v>
      </c>
      <c r="X227" s="56">
        <f>(30*0.1790888*100000/1000000)+(30*0.2374*100000/1000000)</f>
        <v>1.2494664</v>
      </c>
      <c r="Y227" s="56"/>
      <c r="Z227" s="14"/>
      <c r="AA227" s="55"/>
      <c r="AB227" s="49">
        <f>(B227*122.58+C227*297.941+D227*89.177+E227*40.302+F227*40+G227*160+H227*0+I227*100+J227*300)/(122.58+297.941+89.177+40.302+0+40+160+100+300)</f>
        <v>9.9598131331304334</v>
      </c>
      <c r="AC227" s="45">
        <f>(M227*'RAP TEMPLATE-GAS AVAILABILITY'!O226+N227*'RAP TEMPLATE-GAS AVAILABILITY'!P226+O227*'RAP TEMPLATE-GAS AVAILABILITY'!Q226+P227*'RAP TEMPLATE-GAS AVAILABILITY'!R226)/('RAP TEMPLATE-GAS AVAILABILITY'!O226+'RAP TEMPLATE-GAS AVAILABILITY'!P226+'RAP TEMPLATE-GAS AVAILABILITY'!Q226+'RAP TEMPLATE-GAS AVAILABILITY'!R226)</f>
        <v>9.8252942446043168</v>
      </c>
    </row>
    <row r="228" spans="1:29" ht="15.75" x14ac:dyDescent="0.25">
      <c r="A228" s="13">
        <v>47818</v>
      </c>
      <c r="B228" s="14">
        <f>CHOOSE(CONTROL!$C$42, 10.6068, 10.6068) * CHOOSE(CONTROL!$C$21, $C$9, 100%, $E$9)</f>
        <v>10.6068</v>
      </c>
      <c r="C228" s="14">
        <f>CHOOSE(CONTROL!$C$42, 10.6118, 10.6118) * CHOOSE(CONTROL!$C$21, $C$9, 100%, $E$9)</f>
        <v>10.611800000000001</v>
      </c>
      <c r="D228" s="14">
        <f>CHOOSE(CONTROL!$C$42, 10.6949, 10.6949) * CHOOSE(CONTROL!$C$21, $C$9, 100%, $E$9)</f>
        <v>10.694900000000001</v>
      </c>
      <c r="E228" s="14">
        <f>CHOOSE(CONTROL!$C$42, 10.729, 10.729) * CHOOSE(CONTROL!$C$21, $C$9, 100%, $E$9)</f>
        <v>10.728999999999999</v>
      </c>
      <c r="F228" s="14">
        <f>CHOOSE(CONTROL!$C$42, 10.6368, 10.6368)*CHOOSE(CONTROL!$C$21, $C$9, 100%, $E$9)</f>
        <v>10.636799999999999</v>
      </c>
      <c r="G228" s="14">
        <f>CHOOSE(CONTROL!$C$42, 10.6548, 10.6548)*CHOOSE(CONTROL!$C$21, $C$9, 100%, $E$9)</f>
        <v>10.6548</v>
      </c>
      <c r="H228" s="14">
        <f>CHOOSE(CONTROL!$C$42, 10.7182, 10.7182) * CHOOSE(CONTROL!$C$21, $C$9, 100%, $E$9)</f>
        <v>10.7182</v>
      </c>
      <c r="I228" s="14">
        <f>CHOOSE(CONTROL!$C$42, 10.6596, 10.6596)* CHOOSE(CONTROL!$C$21, $C$9, 100%, $E$9)</f>
        <v>10.659599999999999</v>
      </c>
      <c r="J228" s="14">
        <f>CHOOSE(CONTROL!$C$42, 10.6298, 10.6298)* CHOOSE(CONTROL!$C$21, $C$9, 100%, $E$9)</f>
        <v>10.629799999999999</v>
      </c>
      <c r="K228" s="52">
        <f>CHOOSE(CONTROL!$C$42, 10.6557, 10.6557) * CHOOSE(CONTROL!$C$21, $C$9, 100%, $E$9)</f>
        <v>10.6557</v>
      </c>
      <c r="L228" s="14">
        <f>CHOOSE(CONTROL!$C$42, 11.3052, 11.3052) * CHOOSE(CONTROL!$C$21, $C$9, 100%, $E$9)</f>
        <v>11.305199999999999</v>
      </c>
      <c r="M228" s="14">
        <f>CHOOSE(CONTROL!$C$42, 10.4463, 10.4463) * CHOOSE(CONTROL!$C$21, $C$9, 100%, $E$9)</f>
        <v>10.446300000000001</v>
      </c>
      <c r="N228" s="14">
        <f>CHOOSE(CONTROL!$C$42, 10.464, 10.464) * CHOOSE(CONTROL!$C$21, $C$9, 100%, $E$9)</f>
        <v>10.464</v>
      </c>
      <c r="O228" s="14">
        <f>CHOOSE(CONTROL!$C$42, 10.5331, 10.5331) * CHOOSE(CONTROL!$C$21, $C$9, 100%, $E$9)</f>
        <v>10.533099999999999</v>
      </c>
      <c r="P228" s="14">
        <f>CHOOSE(CONTROL!$C$42, 10.475, 10.475) * CHOOSE(CONTROL!$C$21, $C$9, 100%, $E$9)</f>
        <v>10.475</v>
      </c>
      <c r="Q228" s="14">
        <f>CHOOSE(CONTROL!$C$42, 11.1278, 11.1278) * CHOOSE(CONTROL!$C$21, $C$9, 100%, $E$9)</f>
        <v>11.127800000000001</v>
      </c>
      <c r="R228" s="14">
        <f>CHOOSE(CONTROL!$C$42, 11.7426, 11.7426) * CHOOSE(CONTROL!$C$21, $C$9, 100%, $E$9)</f>
        <v>11.742599999999999</v>
      </c>
      <c r="S228" s="14">
        <f>CHOOSE(CONTROL!$C$42, 10.1835, 10.1835) * CHOOSE(CONTROL!$C$21, $C$9, 100%, $E$9)</f>
        <v>10.1835</v>
      </c>
      <c r="T22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28" s="56">
        <f>(1000*CHOOSE(CONTROL!$C$42, 695, 695)*CHOOSE(CONTROL!$C$42, 0.5599, 0.5599)*CHOOSE(CONTROL!$C$42, 31, 31))/1000000</f>
        <v>12.063045499999998</v>
      </c>
      <c r="V228" s="56">
        <f>(1000*CHOOSE(CONTROL!$C$42, 500, 500)*CHOOSE(CONTROL!$C$42, 0.275, 0.275)*CHOOSE(CONTROL!$C$42, 31, 31))/1000000</f>
        <v>4.2625000000000002</v>
      </c>
      <c r="W228" s="56">
        <f>(1000*CHOOSE(CONTROL!$C$42, 0.1146, 0.1146)*CHOOSE(CONTROL!$C$42, 121.5, 121.5)*CHOOSE(CONTROL!$C$42, 31, 31))/1000000</f>
        <v>0.43164089999999994</v>
      </c>
      <c r="X228" s="56">
        <f>(31*0.1790888*100000/1000000)+(31*0.2374*100000/1000000)</f>
        <v>1.2911152800000001</v>
      </c>
      <c r="Y228" s="56"/>
      <c r="Z228" s="14"/>
      <c r="AA228" s="55"/>
      <c r="AB228" s="49">
        <f>(B228*122.58+C228*297.941+D228*89.177+E228*40.302+F228*40+G228*160+H228*0+I228*100+J228*300)/(122.58+297.941+89.177+40.302+0+40+160+100+300)</f>
        <v>10.637522698347826</v>
      </c>
      <c r="AC228" s="45">
        <f>(M228*'RAP TEMPLATE-GAS AVAILABILITY'!O227+N228*'RAP TEMPLATE-GAS AVAILABILITY'!P227+O228*'RAP TEMPLATE-GAS AVAILABILITY'!Q227+P228*'RAP TEMPLATE-GAS AVAILABILITY'!R227)/('RAP TEMPLATE-GAS AVAILABILITY'!O227+'RAP TEMPLATE-GAS AVAILABILITY'!P227+'RAP TEMPLATE-GAS AVAILABILITY'!Q227+'RAP TEMPLATE-GAS AVAILABILITY'!R227)</f>
        <v>10.490789208633094</v>
      </c>
    </row>
    <row r="229" spans="1:29" ht="15.75" x14ac:dyDescent="0.25">
      <c r="A229" s="13">
        <v>47849</v>
      </c>
      <c r="B229" s="14">
        <f>CHOOSE(CONTROL!$C$42, 11.4853, 11.4853) * CHOOSE(CONTROL!$C$21, $C$9, 100%, $E$9)</f>
        <v>11.485300000000001</v>
      </c>
      <c r="C229" s="14">
        <f>CHOOSE(CONTROL!$C$42, 11.4903, 11.4903) * CHOOSE(CONTROL!$C$21, $C$9, 100%, $E$9)</f>
        <v>11.4903</v>
      </c>
      <c r="D229" s="14">
        <f>CHOOSE(CONTROL!$C$42, 11.5838, 11.5838) * CHOOSE(CONTROL!$C$21, $C$9, 100%, $E$9)</f>
        <v>11.5838</v>
      </c>
      <c r="E229" s="14">
        <f>CHOOSE(CONTROL!$C$42, 11.6179, 11.6179) * CHOOSE(CONTROL!$C$21, $C$9, 100%, $E$9)</f>
        <v>11.617900000000001</v>
      </c>
      <c r="F229" s="14">
        <f>CHOOSE(CONTROL!$C$42, 11.5126, 11.5126)*CHOOSE(CONTROL!$C$21, $C$9, 100%, $E$9)</f>
        <v>11.512600000000001</v>
      </c>
      <c r="G229" s="14">
        <f>CHOOSE(CONTROL!$C$42, 11.5305, 11.5305)*CHOOSE(CONTROL!$C$21, $C$9, 100%, $E$9)</f>
        <v>11.5305</v>
      </c>
      <c r="H229" s="14">
        <f>CHOOSE(CONTROL!$C$42, 11.6071, 11.6071) * CHOOSE(CONTROL!$C$21, $C$9, 100%, $E$9)</f>
        <v>11.607100000000001</v>
      </c>
      <c r="I229" s="14">
        <f>CHOOSE(CONTROL!$C$42, 11.5471, 11.5471)* CHOOSE(CONTROL!$C$21, $C$9, 100%, $E$9)</f>
        <v>11.5471</v>
      </c>
      <c r="J229" s="14">
        <f>CHOOSE(CONTROL!$C$42, 11.5056, 11.5056)* CHOOSE(CONTROL!$C$21, $C$9, 100%, $E$9)</f>
        <v>11.505599999999999</v>
      </c>
      <c r="K229" s="52">
        <f>CHOOSE(CONTROL!$C$42, 11.5432, 11.5432) * CHOOSE(CONTROL!$C$21, $C$9, 100%, $E$9)</f>
        <v>11.543200000000001</v>
      </c>
      <c r="L229" s="14">
        <f>CHOOSE(CONTROL!$C$42, 12.1941, 12.1941) * CHOOSE(CONTROL!$C$21, $C$9, 100%, $E$9)</f>
        <v>12.194100000000001</v>
      </c>
      <c r="M229" s="14">
        <f>CHOOSE(CONTROL!$C$42, 11.3063, 11.3063) * CHOOSE(CONTROL!$C$21, $C$9, 100%, $E$9)</f>
        <v>11.3063</v>
      </c>
      <c r="N229" s="14">
        <f>CHOOSE(CONTROL!$C$42, 11.324, 11.324) * CHOOSE(CONTROL!$C$21, $C$9, 100%, $E$9)</f>
        <v>11.324</v>
      </c>
      <c r="O229" s="14">
        <f>CHOOSE(CONTROL!$C$42, 11.406, 11.406) * CHOOSE(CONTROL!$C$21, $C$9, 100%, $E$9)</f>
        <v>11.406000000000001</v>
      </c>
      <c r="P229" s="14">
        <f>CHOOSE(CONTROL!$C$42, 11.3466, 11.3466) * CHOOSE(CONTROL!$C$21, $C$9, 100%, $E$9)</f>
        <v>11.3466</v>
      </c>
      <c r="Q229" s="14">
        <f>CHOOSE(CONTROL!$C$42, 12.0007, 12.0007) * CHOOSE(CONTROL!$C$21, $C$9, 100%, $E$9)</f>
        <v>12.0007</v>
      </c>
      <c r="R229" s="14">
        <f>CHOOSE(CONTROL!$C$42, 12.6177, 12.6177) * CHOOSE(CONTROL!$C$21, $C$9, 100%, $E$9)</f>
        <v>12.617699999999999</v>
      </c>
      <c r="S229" s="14">
        <f>CHOOSE(CONTROL!$C$42, 11.0277, 11.0277) * CHOOSE(CONTROL!$C$21, $C$9, 100%, $E$9)</f>
        <v>11.027699999999999</v>
      </c>
      <c r="T22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29" s="56">
        <f>(1000*CHOOSE(CONTROL!$C$42, 695, 695)*CHOOSE(CONTROL!$C$42, 0.5599, 0.5599)*CHOOSE(CONTROL!$C$42, 31, 31))/1000000</f>
        <v>12.063045499999998</v>
      </c>
      <c r="V229" s="56">
        <f>(1000*CHOOSE(CONTROL!$C$42, 500, 500)*CHOOSE(CONTROL!$C$42, 0.275, 0.275)*CHOOSE(CONTROL!$C$42, 31, 31))/1000000</f>
        <v>4.2625000000000002</v>
      </c>
      <c r="W229" s="56">
        <f>(1000*CHOOSE(CONTROL!$C$42, 0.1146, 0.1146)*CHOOSE(CONTROL!$C$42, 121.5, 121.5)*CHOOSE(CONTROL!$C$42, 31, 31))/1000000</f>
        <v>0.43164089999999994</v>
      </c>
      <c r="X229" s="56">
        <f>(31*0.1790888*100000/1000000)+(31*0.2374*100000/1000000)</f>
        <v>1.2911152800000001</v>
      </c>
      <c r="Y229" s="56"/>
      <c r="Z229" s="14"/>
      <c r="AA229" s="55"/>
      <c r="AB229" s="49">
        <f>(B229*122.58+C229*297.941+D229*89.177+E229*40.302+F229*40+G229*160+H229*0+I229*100+J229*300)/(122.58+297.941+89.177+40.302+0+40+160+100+300)</f>
        <v>11.516788421478262</v>
      </c>
      <c r="AC229" s="45">
        <f>(M229*'RAP TEMPLATE-GAS AVAILABILITY'!O228+N229*'RAP TEMPLATE-GAS AVAILABILITY'!P228+O229*'RAP TEMPLATE-GAS AVAILABILITY'!Q228+P229*'RAP TEMPLATE-GAS AVAILABILITY'!R228)/('RAP TEMPLATE-GAS AVAILABILITY'!O228+'RAP TEMPLATE-GAS AVAILABILITY'!P228+'RAP TEMPLATE-GAS AVAILABILITY'!Q228+'RAP TEMPLATE-GAS AVAILABILITY'!R228)</f>
        <v>11.358305035971224</v>
      </c>
    </row>
    <row r="230" spans="1:29" ht="15.75" x14ac:dyDescent="0.25">
      <c r="A230" s="13">
        <v>47880</v>
      </c>
      <c r="B230" s="14">
        <f>CHOOSE(CONTROL!$C$42, 11.6896, 11.6896) * CHOOSE(CONTROL!$C$21, $C$9, 100%, $E$9)</f>
        <v>11.6896</v>
      </c>
      <c r="C230" s="14">
        <f>CHOOSE(CONTROL!$C$42, 11.6946, 11.6946) * CHOOSE(CONTROL!$C$21, $C$9, 100%, $E$9)</f>
        <v>11.694599999999999</v>
      </c>
      <c r="D230" s="14">
        <f>CHOOSE(CONTROL!$C$42, 11.7881, 11.7881) * CHOOSE(CONTROL!$C$21, $C$9, 100%, $E$9)</f>
        <v>11.7881</v>
      </c>
      <c r="E230" s="14">
        <f>CHOOSE(CONTROL!$C$42, 11.8222, 11.8222) * CHOOSE(CONTROL!$C$21, $C$9, 100%, $E$9)</f>
        <v>11.8222</v>
      </c>
      <c r="F230" s="14">
        <f>CHOOSE(CONTROL!$C$42, 11.7165, 11.7165)*CHOOSE(CONTROL!$C$21, $C$9, 100%, $E$9)</f>
        <v>11.7165</v>
      </c>
      <c r="G230" s="14">
        <f>CHOOSE(CONTROL!$C$42, 11.7344, 11.7344)*CHOOSE(CONTROL!$C$21, $C$9, 100%, $E$9)</f>
        <v>11.734400000000001</v>
      </c>
      <c r="H230" s="14">
        <f>CHOOSE(CONTROL!$C$42, 11.8114, 11.8114) * CHOOSE(CONTROL!$C$21, $C$9, 100%, $E$9)</f>
        <v>11.811400000000001</v>
      </c>
      <c r="I230" s="14">
        <f>CHOOSE(CONTROL!$C$42, 11.7521, 11.7521)* CHOOSE(CONTROL!$C$21, $C$9, 100%, $E$9)</f>
        <v>11.7521</v>
      </c>
      <c r="J230" s="14">
        <f>CHOOSE(CONTROL!$C$42, 11.7095, 11.7095)* CHOOSE(CONTROL!$C$21, $C$9, 100%, $E$9)</f>
        <v>11.7095</v>
      </c>
      <c r="K230" s="52">
        <f>CHOOSE(CONTROL!$C$42, 11.7482, 11.7482) * CHOOSE(CONTROL!$C$21, $C$9, 100%, $E$9)</f>
        <v>11.748200000000001</v>
      </c>
      <c r="L230" s="14">
        <f>CHOOSE(CONTROL!$C$42, 12.3984, 12.3984) * CHOOSE(CONTROL!$C$21, $C$9, 100%, $E$9)</f>
        <v>12.398400000000001</v>
      </c>
      <c r="M230" s="14">
        <f>CHOOSE(CONTROL!$C$42, 11.5066, 11.5066) * CHOOSE(CONTROL!$C$21, $C$9, 100%, $E$9)</f>
        <v>11.506600000000001</v>
      </c>
      <c r="N230" s="14">
        <f>CHOOSE(CONTROL!$C$42, 11.5241, 11.5241) * CHOOSE(CONTROL!$C$21, $C$9, 100%, $E$9)</f>
        <v>11.524100000000001</v>
      </c>
      <c r="O230" s="14">
        <f>CHOOSE(CONTROL!$C$42, 11.6066, 11.6066) * CHOOSE(CONTROL!$C$21, $C$9, 100%, $E$9)</f>
        <v>11.6066</v>
      </c>
      <c r="P230" s="14">
        <f>CHOOSE(CONTROL!$C$42, 11.5478, 11.5478) * CHOOSE(CONTROL!$C$21, $C$9, 100%, $E$9)</f>
        <v>11.547800000000001</v>
      </c>
      <c r="Q230" s="14">
        <f>CHOOSE(CONTROL!$C$42, 12.2013, 12.2013) * CHOOSE(CONTROL!$C$21, $C$9, 100%, $E$9)</f>
        <v>12.2013</v>
      </c>
      <c r="R230" s="14">
        <f>CHOOSE(CONTROL!$C$42, 12.8188, 12.8188) * CHOOSE(CONTROL!$C$21, $C$9, 100%, $E$9)</f>
        <v>12.8188</v>
      </c>
      <c r="S230" s="14">
        <f>CHOOSE(CONTROL!$C$42, 11.2239, 11.2239) * CHOOSE(CONTROL!$C$21, $C$9, 100%, $E$9)</f>
        <v>11.2239</v>
      </c>
      <c r="T23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30" s="56">
        <f>(1000*CHOOSE(CONTROL!$C$42, 695, 695)*CHOOSE(CONTROL!$C$42, 0.5599, 0.5599)*CHOOSE(CONTROL!$C$42, 28, 28))/1000000</f>
        <v>10.895653999999999</v>
      </c>
      <c r="V230" s="56">
        <f>(1000*CHOOSE(CONTROL!$C$42, 500, 500)*CHOOSE(CONTROL!$C$42, 0.275, 0.275)*CHOOSE(CONTROL!$C$42, 28, 28))/1000000</f>
        <v>3.85</v>
      </c>
      <c r="W230" s="56">
        <f>(1000*CHOOSE(CONTROL!$C$42, 0.1146, 0.1146)*CHOOSE(CONTROL!$C$42, 121.5, 121.5)*CHOOSE(CONTROL!$C$42, 28, 28))/1000000</f>
        <v>0.38986920000000003</v>
      </c>
      <c r="X230" s="56">
        <f>(28*0.1790888*100000/1000000)+(28*0.2374*100000/1000000)</f>
        <v>1.16616864</v>
      </c>
      <c r="Y230" s="56"/>
      <c r="Z230" s="14"/>
      <c r="AA230" s="55"/>
      <c r="AB230" s="49">
        <f>(B230*122.58+C230*297.941+D230*89.177+E230*40.302+F230*40+G230*160+H230*0+I230*100+J230*300)/(122.58+297.941+89.177+40.302+0+40+160+100+300)</f>
        <v>11.720975378000002</v>
      </c>
      <c r="AC230" s="45">
        <f>(M230*'RAP TEMPLATE-GAS AVAILABILITY'!O229+N230*'RAP TEMPLATE-GAS AVAILABILITY'!P229+O230*'RAP TEMPLATE-GAS AVAILABILITY'!Q229+P230*'RAP TEMPLATE-GAS AVAILABILITY'!R229)/('RAP TEMPLATE-GAS AVAILABILITY'!O229+'RAP TEMPLATE-GAS AVAILABILITY'!P229+'RAP TEMPLATE-GAS AVAILABILITY'!Q229+'RAP TEMPLATE-GAS AVAILABILITY'!R229)</f>
        <v>11.558858992805755</v>
      </c>
    </row>
    <row r="231" spans="1:29" ht="15.75" x14ac:dyDescent="0.25">
      <c r="A231" s="13">
        <v>47908</v>
      </c>
      <c r="B231" s="14">
        <f>CHOOSE(CONTROL!$C$42, 11.3579, 11.3579) * CHOOSE(CONTROL!$C$21, $C$9, 100%, $E$9)</f>
        <v>11.357900000000001</v>
      </c>
      <c r="C231" s="14">
        <f>CHOOSE(CONTROL!$C$42, 11.363, 11.363) * CHOOSE(CONTROL!$C$21, $C$9, 100%, $E$9)</f>
        <v>11.363</v>
      </c>
      <c r="D231" s="14">
        <f>CHOOSE(CONTROL!$C$42, 11.4565, 11.4565) * CHOOSE(CONTROL!$C$21, $C$9, 100%, $E$9)</f>
        <v>11.4565</v>
      </c>
      <c r="E231" s="14">
        <f>CHOOSE(CONTROL!$C$42, 11.4906, 11.4906) * CHOOSE(CONTROL!$C$21, $C$9, 100%, $E$9)</f>
        <v>11.490600000000001</v>
      </c>
      <c r="F231" s="14">
        <f>CHOOSE(CONTROL!$C$42, 11.384, 11.384)*CHOOSE(CONTROL!$C$21, $C$9, 100%, $E$9)</f>
        <v>11.384</v>
      </c>
      <c r="G231" s="14">
        <f>CHOOSE(CONTROL!$C$42, 11.4017, 11.4017)*CHOOSE(CONTROL!$C$21, $C$9, 100%, $E$9)</f>
        <v>11.4017</v>
      </c>
      <c r="H231" s="14">
        <f>CHOOSE(CONTROL!$C$42, 11.4798, 11.4798) * CHOOSE(CONTROL!$C$21, $C$9, 100%, $E$9)</f>
        <v>11.479799999999999</v>
      </c>
      <c r="I231" s="14">
        <f>CHOOSE(CONTROL!$C$42, 11.4194, 11.4194)* CHOOSE(CONTROL!$C$21, $C$9, 100%, $E$9)</f>
        <v>11.4194</v>
      </c>
      <c r="J231" s="14">
        <f>CHOOSE(CONTROL!$C$42, 11.377, 11.377)* CHOOSE(CONTROL!$C$21, $C$9, 100%, $E$9)</f>
        <v>11.377000000000001</v>
      </c>
      <c r="K231" s="52">
        <f>CHOOSE(CONTROL!$C$42, 11.4155, 11.4155) * CHOOSE(CONTROL!$C$21, $C$9, 100%, $E$9)</f>
        <v>11.4155</v>
      </c>
      <c r="L231" s="14">
        <f>CHOOSE(CONTROL!$C$42, 12.0668, 12.0668) * CHOOSE(CONTROL!$C$21, $C$9, 100%, $E$9)</f>
        <v>12.066800000000001</v>
      </c>
      <c r="M231" s="14">
        <f>CHOOSE(CONTROL!$C$42, 11.1801, 11.1801) * CHOOSE(CONTROL!$C$21, $C$9, 100%, $E$9)</f>
        <v>11.180099999999999</v>
      </c>
      <c r="N231" s="14">
        <f>CHOOSE(CONTROL!$C$42, 11.1974, 11.1974) * CHOOSE(CONTROL!$C$21, $C$9, 100%, $E$9)</f>
        <v>11.1974</v>
      </c>
      <c r="O231" s="14">
        <f>CHOOSE(CONTROL!$C$42, 11.281, 11.281) * CHOOSE(CONTROL!$C$21, $C$9, 100%, $E$9)</f>
        <v>11.281000000000001</v>
      </c>
      <c r="P231" s="14">
        <f>CHOOSE(CONTROL!$C$42, 11.2211, 11.2211) * CHOOSE(CONTROL!$C$21, $C$9, 100%, $E$9)</f>
        <v>11.2211</v>
      </c>
      <c r="Q231" s="14">
        <f>CHOOSE(CONTROL!$C$42, 11.8757, 11.8757) * CHOOSE(CONTROL!$C$21, $C$9, 100%, $E$9)</f>
        <v>11.8757</v>
      </c>
      <c r="R231" s="14">
        <f>CHOOSE(CONTROL!$C$42, 12.4924, 12.4924) * CHOOSE(CONTROL!$C$21, $C$9, 100%, $E$9)</f>
        <v>12.4924</v>
      </c>
      <c r="S231" s="14">
        <f>CHOOSE(CONTROL!$C$42, 10.9053, 10.9053) * CHOOSE(CONTROL!$C$21, $C$9, 100%, $E$9)</f>
        <v>10.9053</v>
      </c>
      <c r="T23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31" s="56">
        <f>(1000*CHOOSE(CONTROL!$C$42, 695, 695)*CHOOSE(CONTROL!$C$42, 0.5599, 0.5599)*CHOOSE(CONTROL!$C$42, 31, 31))/1000000</f>
        <v>12.063045499999998</v>
      </c>
      <c r="V231" s="56">
        <f>(1000*CHOOSE(CONTROL!$C$42, 500, 500)*CHOOSE(CONTROL!$C$42, 0.275, 0.275)*CHOOSE(CONTROL!$C$42, 31, 31))/1000000</f>
        <v>4.2625000000000002</v>
      </c>
      <c r="W231" s="56">
        <f>(1000*CHOOSE(CONTROL!$C$42, 0.1146, 0.1146)*CHOOSE(CONTROL!$C$42, 121.5, 121.5)*CHOOSE(CONTROL!$C$42, 31, 31))/1000000</f>
        <v>0.43164089999999994</v>
      </c>
      <c r="X231" s="56">
        <f>(31*0.1790888*100000/1000000)+(31*0.2374*100000/1000000)</f>
        <v>1.2911152800000001</v>
      </c>
      <c r="Y231" s="56"/>
      <c r="Z231" s="14"/>
      <c r="AA231" s="55"/>
      <c r="AB231" s="49">
        <f>(B231*122.58+C231*297.941+D231*89.177+E231*40.302+F231*40+G231*160+H231*0+I231*100+J231*300)/(122.58+297.941+89.177+40.302+0+40+160+100+300)</f>
        <v>11.38884993626087</v>
      </c>
      <c r="AC231" s="45">
        <f>(M231*'RAP TEMPLATE-GAS AVAILABILITY'!O230+N231*'RAP TEMPLATE-GAS AVAILABILITY'!P230+O231*'RAP TEMPLATE-GAS AVAILABILITY'!Q230+P231*'RAP TEMPLATE-GAS AVAILABILITY'!R230)/('RAP TEMPLATE-GAS AVAILABILITY'!O230+'RAP TEMPLATE-GAS AVAILABILITY'!P230+'RAP TEMPLATE-GAS AVAILABILITY'!Q230+'RAP TEMPLATE-GAS AVAILABILITY'!R230)</f>
        <v>11.232726618705035</v>
      </c>
    </row>
    <row r="232" spans="1:29" ht="15.75" x14ac:dyDescent="0.25">
      <c r="A232" s="13">
        <v>47939</v>
      </c>
      <c r="B232" s="14">
        <f>CHOOSE(CONTROL!$C$42, 11.325, 11.325) * CHOOSE(CONTROL!$C$21, $C$9, 100%, $E$9)</f>
        <v>11.324999999999999</v>
      </c>
      <c r="C232" s="14">
        <f>CHOOSE(CONTROL!$C$42, 11.3295, 11.3295) * CHOOSE(CONTROL!$C$21, $C$9, 100%, $E$9)</f>
        <v>11.329499999999999</v>
      </c>
      <c r="D232" s="14">
        <f>CHOOSE(CONTROL!$C$42, 11.5917, 11.5917) * CHOOSE(CONTROL!$C$21, $C$9, 100%, $E$9)</f>
        <v>11.591699999999999</v>
      </c>
      <c r="E232" s="14">
        <f>CHOOSE(CONTROL!$C$42, 11.6238, 11.6238) * CHOOSE(CONTROL!$C$21, $C$9, 100%, $E$9)</f>
        <v>11.623799999999999</v>
      </c>
      <c r="F232" s="14">
        <f>CHOOSE(CONTROL!$C$42, 11.3478, 11.3478)*CHOOSE(CONTROL!$C$21, $C$9, 100%, $E$9)</f>
        <v>11.347799999999999</v>
      </c>
      <c r="G232" s="14">
        <f>CHOOSE(CONTROL!$C$42, 11.3645, 11.3645)*CHOOSE(CONTROL!$C$21, $C$9, 100%, $E$9)</f>
        <v>11.3645</v>
      </c>
      <c r="H232" s="14">
        <f>CHOOSE(CONTROL!$C$42, 11.6136, 11.6136) * CHOOSE(CONTROL!$C$21, $C$9, 100%, $E$9)</f>
        <v>11.6136</v>
      </c>
      <c r="I232" s="14">
        <f>CHOOSE(CONTROL!$C$42, 11.3829, 11.3829)* CHOOSE(CONTROL!$C$21, $C$9, 100%, $E$9)</f>
        <v>11.382899999999999</v>
      </c>
      <c r="J232" s="14">
        <f>CHOOSE(CONTROL!$C$42, 11.3408, 11.3408)* CHOOSE(CONTROL!$C$21, $C$9, 100%, $E$9)</f>
        <v>11.3408</v>
      </c>
      <c r="K232" s="52">
        <f>CHOOSE(CONTROL!$C$42, 11.3791, 11.3791) * CHOOSE(CONTROL!$C$21, $C$9, 100%, $E$9)</f>
        <v>11.379099999999999</v>
      </c>
      <c r="L232" s="14">
        <f>CHOOSE(CONTROL!$C$42, 12.2006, 12.2006) * CHOOSE(CONTROL!$C$21, $C$9, 100%, $E$9)</f>
        <v>12.2006</v>
      </c>
      <c r="M232" s="14">
        <f>CHOOSE(CONTROL!$C$42, 11.1445, 11.1445) * CHOOSE(CONTROL!$C$21, $C$9, 100%, $E$9)</f>
        <v>11.144500000000001</v>
      </c>
      <c r="N232" s="14">
        <f>CHOOSE(CONTROL!$C$42, 11.1609, 11.1609) * CHOOSE(CONTROL!$C$21, $C$9, 100%, $E$9)</f>
        <v>11.1609</v>
      </c>
      <c r="O232" s="14">
        <f>CHOOSE(CONTROL!$C$42, 11.4124, 11.4124) * CHOOSE(CONTROL!$C$21, $C$9, 100%, $E$9)</f>
        <v>11.4124</v>
      </c>
      <c r="P232" s="14">
        <f>CHOOSE(CONTROL!$C$42, 11.1853, 11.1853) * CHOOSE(CONTROL!$C$21, $C$9, 100%, $E$9)</f>
        <v>11.1853</v>
      </c>
      <c r="Q232" s="14">
        <f>CHOOSE(CONTROL!$C$42, 12.0071, 12.0071) * CHOOSE(CONTROL!$C$21, $C$9, 100%, $E$9)</f>
        <v>12.007099999999999</v>
      </c>
      <c r="R232" s="14">
        <f>CHOOSE(CONTROL!$C$42, 12.6241, 12.6241) * CHOOSE(CONTROL!$C$21, $C$9, 100%, $E$9)</f>
        <v>12.6241</v>
      </c>
      <c r="S232" s="14">
        <f>CHOOSE(CONTROL!$C$42, 10.8729, 10.8729) * CHOOSE(CONTROL!$C$21, $C$9, 100%, $E$9)</f>
        <v>10.8729</v>
      </c>
      <c r="T23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32" s="56">
        <f>(1000*CHOOSE(CONTROL!$C$42, 695, 695)*CHOOSE(CONTROL!$C$42, 0.5599, 0.5599)*CHOOSE(CONTROL!$C$42, 30, 30))/1000000</f>
        <v>11.673914999999997</v>
      </c>
      <c r="V232" s="56">
        <f>(1000*CHOOSE(CONTROL!$C$42, 500, 500)*CHOOSE(CONTROL!$C$42, 0.275, 0.275)*CHOOSE(CONTROL!$C$42, 30, 30))/1000000</f>
        <v>4.125</v>
      </c>
      <c r="W232" s="56">
        <f>(1000*CHOOSE(CONTROL!$C$42, 0.1146, 0.1146)*CHOOSE(CONTROL!$C$42, 121.5, 121.5)*CHOOSE(CONTROL!$C$42, 30, 30))/1000000</f>
        <v>0.417717</v>
      </c>
      <c r="X232" s="56">
        <f>(30*0.1790888*245000/1000000)+(30*0.2374*100000/1000000)</f>
        <v>2.0285026799999999</v>
      </c>
      <c r="Y232" s="56"/>
      <c r="Z232" s="14"/>
      <c r="AA232" s="55"/>
      <c r="AB232" s="49">
        <f>(B232*141.293+C232*267.993+D232*115.016+E232*89.698+F232*40+G232*185+H232*0+I232*100+J232*300)/(141.293+267.993+115.016+89.698+0+40+185+100+300)</f>
        <v>11.387495559402742</v>
      </c>
      <c r="AC232" s="45">
        <f>(M232*'RAP TEMPLATE-GAS AVAILABILITY'!O231+N232*'RAP TEMPLATE-GAS AVAILABILITY'!P231+O232*'RAP TEMPLATE-GAS AVAILABILITY'!Q231+P232*'RAP TEMPLATE-GAS AVAILABILITY'!R231)/('RAP TEMPLATE-GAS AVAILABILITY'!O231+'RAP TEMPLATE-GAS AVAILABILITY'!P231+'RAP TEMPLATE-GAS AVAILABILITY'!Q231+'RAP TEMPLATE-GAS AVAILABILITY'!R231)</f>
        <v>11.229312230215827</v>
      </c>
    </row>
    <row r="233" spans="1:29" ht="15.75" x14ac:dyDescent="0.25">
      <c r="A233" s="13">
        <v>47969</v>
      </c>
      <c r="B233" s="14">
        <f>CHOOSE(CONTROL!$C$42, 11.4262, 11.4262) * CHOOSE(CONTROL!$C$21, $C$9, 100%, $E$9)</f>
        <v>11.4262</v>
      </c>
      <c r="C233" s="14">
        <f>CHOOSE(CONTROL!$C$42, 11.4343, 11.4343) * CHOOSE(CONTROL!$C$21, $C$9, 100%, $E$9)</f>
        <v>11.4343</v>
      </c>
      <c r="D233" s="14">
        <f>CHOOSE(CONTROL!$C$42, 11.6934, 11.6934) * CHOOSE(CONTROL!$C$21, $C$9, 100%, $E$9)</f>
        <v>11.6934</v>
      </c>
      <c r="E233" s="14">
        <f>CHOOSE(CONTROL!$C$42, 11.7248, 11.7248) * CHOOSE(CONTROL!$C$21, $C$9, 100%, $E$9)</f>
        <v>11.7248</v>
      </c>
      <c r="F233" s="14">
        <f>CHOOSE(CONTROL!$C$42, 11.4478, 11.4478)*CHOOSE(CONTROL!$C$21, $C$9, 100%, $E$9)</f>
        <v>11.447800000000001</v>
      </c>
      <c r="G233" s="14">
        <f>CHOOSE(CONTROL!$C$42, 11.4647, 11.4647)*CHOOSE(CONTROL!$C$21, $C$9, 100%, $E$9)</f>
        <v>11.464700000000001</v>
      </c>
      <c r="H233" s="14">
        <f>CHOOSE(CONTROL!$C$42, 11.7135, 11.7135) * CHOOSE(CONTROL!$C$21, $C$9, 100%, $E$9)</f>
        <v>11.7135</v>
      </c>
      <c r="I233" s="14">
        <f>CHOOSE(CONTROL!$C$42, 11.4831, 11.4831)* CHOOSE(CONTROL!$C$21, $C$9, 100%, $E$9)</f>
        <v>11.4831</v>
      </c>
      <c r="J233" s="14">
        <f>CHOOSE(CONTROL!$C$42, 11.4408, 11.4408)* CHOOSE(CONTROL!$C$21, $C$9, 100%, $E$9)</f>
        <v>11.440799999999999</v>
      </c>
      <c r="K233" s="52">
        <f>CHOOSE(CONTROL!$C$42, 11.4792, 11.4792) * CHOOSE(CONTROL!$C$21, $C$9, 100%, $E$9)</f>
        <v>11.479200000000001</v>
      </c>
      <c r="L233" s="14">
        <f>CHOOSE(CONTROL!$C$42, 12.3005, 12.3005) * CHOOSE(CONTROL!$C$21, $C$9, 100%, $E$9)</f>
        <v>12.3005</v>
      </c>
      <c r="M233" s="14">
        <f>CHOOSE(CONTROL!$C$42, 11.2427, 11.2427) * CHOOSE(CONTROL!$C$21, $C$9, 100%, $E$9)</f>
        <v>11.242699999999999</v>
      </c>
      <c r="N233" s="14">
        <f>CHOOSE(CONTROL!$C$42, 11.2593, 11.2593) * CHOOSE(CONTROL!$C$21, $C$9, 100%, $E$9)</f>
        <v>11.2593</v>
      </c>
      <c r="O233" s="14">
        <f>CHOOSE(CONTROL!$C$42, 11.5105, 11.5105) * CHOOSE(CONTROL!$C$21, $C$9, 100%, $E$9)</f>
        <v>11.5105</v>
      </c>
      <c r="P233" s="14">
        <f>CHOOSE(CONTROL!$C$42, 11.2837, 11.2837) * CHOOSE(CONTROL!$C$21, $C$9, 100%, $E$9)</f>
        <v>11.2837</v>
      </c>
      <c r="Q233" s="14">
        <f>CHOOSE(CONTROL!$C$42, 12.1052, 12.1052) * CHOOSE(CONTROL!$C$21, $C$9, 100%, $E$9)</f>
        <v>12.1052</v>
      </c>
      <c r="R233" s="14">
        <f>CHOOSE(CONTROL!$C$42, 12.7224, 12.7224) * CHOOSE(CONTROL!$C$21, $C$9, 100%, $E$9)</f>
        <v>12.7224</v>
      </c>
      <c r="S233" s="14">
        <f>CHOOSE(CONTROL!$C$42, 10.9688, 10.9688) * CHOOSE(CONTROL!$C$21, $C$9, 100%, $E$9)</f>
        <v>10.9688</v>
      </c>
      <c r="T23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33" s="56">
        <f>(1000*CHOOSE(CONTROL!$C$42, 695, 695)*CHOOSE(CONTROL!$C$42, 0.5599, 0.5599)*CHOOSE(CONTROL!$C$42, 31, 31))/1000000</f>
        <v>12.063045499999998</v>
      </c>
      <c r="V233" s="56">
        <f>(1000*CHOOSE(CONTROL!$C$42, 500, 500)*CHOOSE(CONTROL!$C$42, 0.275, 0.275)*CHOOSE(CONTROL!$C$42, 31, 31))/1000000</f>
        <v>4.2625000000000002</v>
      </c>
      <c r="W233" s="56">
        <f>(1000*CHOOSE(CONTROL!$C$42, 0.1146, 0.1146)*CHOOSE(CONTROL!$C$42, 121.5, 121.5)*CHOOSE(CONTROL!$C$42, 31, 31))/1000000</f>
        <v>0.43164089999999994</v>
      </c>
      <c r="X233" s="56">
        <f>(31*0.1790888*245000/1000000)+(31*0.2374*100000/1000000)</f>
        <v>2.0961194359999999</v>
      </c>
      <c r="Y233" s="56"/>
      <c r="Z233" s="14"/>
      <c r="AA233" s="55"/>
      <c r="AB233" s="49">
        <f>(B233*194.205+C233*267.466+D233*133.845+E233*53.484+F233*40+G233*185+H233*0+I233*100+J233*300)/(194.205+267.466+133.845+53.484+0+40+185+100+300)</f>
        <v>11.482680911302984</v>
      </c>
      <c r="AC233" s="45">
        <f>(M233*'RAP TEMPLATE-GAS AVAILABILITY'!O232+N233*'RAP TEMPLATE-GAS AVAILABILITY'!P232+O233*'RAP TEMPLATE-GAS AVAILABILITY'!Q232+P233*'RAP TEMPLATE-GAS AVAILABILITY'!R232)/('RAP TEMPLATE-GAS AVAILABILITY'!O232+'RAP TEMPLATE-GAS AVAILABILITY'!P232+'RAP TEMPLATE-GAS AVAILABILITY'!Q232+'RAP TEMPLATE-GAS AVAILABILITY'!R232)</f>
        <v>11.327558992805754</v>
      </c>
    </row>
    <row r="234" spans="1:29" ht="15.75" x14ac:dyDescent="0.25">
      <c r="A234" s="13">
        <v>48000</v>
      </c>
      <c r="B234" s="14">
        <f>CHOOSE(CONTROL!$C$42, 11.75, 11.75) * CHOOSE(CONTROL!$C$21, $C$9, 100%, $E$9)</f>
        <v>11.75</v>
      </c>
      <c r="C234" s="14">
        <f>CHOOSE(CONTROL!$C$42, 11.758, 11.758) * CHOOSE(CONTROL!$C$21, $C$9, 100%, $E$9)</f>
        <v>11.757999999999999</v>
      </c>
      <c r="D234" s="14">
        <f>CHOOSE(CONTROL!$C$42, 12.0171, 12.0171) * CHOOSE(CONTROL!$C$21, $C$9, 100%, $E$9)</f>
        <v>12.017099999999999</v>
      </c>
      <c r="E234" s="14">
        <f>CHOOSE(CONTROL!$C$42, 12.0486, 12.0486) * CHOOSE(CONTROL!$C$21, $C$9, 100%, $E$9)</f>
        <v>12.0486</v>
      </c>
      <c r="F234" s="14">
        <f>CHOOSE(CONTROL!$C$42, 11.7718, 11.7718)*CHOOSE(CONTROL!$C$21, $C$9, 100%, $E$9)</f>
        <v>11.771800000000001</v>
      </c>
      <c r="G234" s="14">
        <f>CHOOSE(CONTROL!$C$42, 11.7888, 11.7888)*CHOOSE(CONTROL!$C$21, $C$9, 100%, $E$9)</f>
        <v>11.7888</v>
      </c>
      <c r="H234" s="14">
        <f>CHOOSE(CONTROL!$C$42, 12.0372, 12.0372) * CHOOSE(CONTROL!$C$21, $C$9, 100%, $E$9)</f>
        <v>12.0372</v>
      </c>
      <c r="I234" s="14">
        <f>CHOOSE(CONTROL!$C$42, 11.8079, 11.8079)* CHOOSE(CONTROL!$C$21, $C$9, 100%, $E$9)</f>
        <v>11.8079</v>
      </c>
      <c r="J234" s="14">
        <f>CHOOSE(CONTROL!$C$42, 11.7648, 11.7648)* CHOOSE(CONTROL!$C$21, $C$9, 100%, $E$9)</f>
        <v>11.764799999999999</v>
      </c>
      <c r="K234" s="52">
        <f>CHOOSE(CONTROL!$C$42, 11.804, 11.804) * CHOOSE(CONTROL!$C$21, $C$9, 100%, $E$9)</f>
        <v>11.804</v>
      </c>
      <c r="L234" s="14">
        <f>CHOOSE(CONTROL!$C$42, 12.6242, 12.6242) * CHOOSE(CONTROL!$C$21, $C$9, 100%, $E$9)</f>
        <v>12.6242</v>
      </c>
      <c r="M234" s="14">
        <f>CHOOSE(CONTROL!$C$42, 11.5609, 11.5609) * CHOOSE(CONTROL!$C$21, $C$9, 100%, $E$9)</f>
        <v>11.5609</v>
      </c>
      <c r="N234" s="14">
        <f>CHOOSE(CONTROL!$C$42, 11.5776, 11.5776) * CHOOSE(CONTROL!$C$21, $C$9, 100%, $E$9)</f>
        <v>11.5776</v>
      </c>
      <c r="O234" s="14">
        <f>CHOOSE(CONTROL!$C$42, 11.8284, 11.8284) * CHOOSE(CONTROL!$C$21, $C$9, 100%, $E$9)</f>
        <v>11.8284</v>
      </c>
      <c r="P234" s="14">
        <f>CHOOSE(CONTROL!$C$42, 11.6026, 11.6026) * CHOOSE(CONTROL!$C$21, $C$9, 100%, $E$9)</f>
        <v>11.602600000000001</v>
      </c>
      <c r="Q234" s="14">
        <f>CHOOSE(CONTROL!$C$42, 12.4231, 12.4231) * CHOOSE(CONTROL!$C$21, $C$9, 100%, $E$9)</f>
        <v>12.4231</v>
      </c>
      <c r="R234" s="14">
        <f>CHOOSE(CONTROL!$C$42, 13.0412, 13.0412) * CHOOSE(CONTROL!$C$21, $C$9, 100%, $E$9)</f>
        <v>13.0412</v>
      </c>
      <c r="S234" s="14">
        <f>CHOOSE(CONTROL!$C$42, 11.28, 11.28) * CHOOSE(CONTROL!$C$21, $C$9, 100%, $E$9)</f>
        <v>11.28</v>
      </c>
      <c r="T23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34" s="56">
        <f>(1000*CHOOSE(CONTROL!$C$42, 695, 695)*CHOOSE(CONTROL!$C$42, 0.5599, 0.5599)*CHOOSE(CONTROL!$C$42, 30, 30))/1000000</f>
        <v>11.673914999999997</v>
      </c>
      <c r="V234" s="56">
        <f>(1000*CHOOSE(CONTROL!$C$42, 500, 500)*CHOOSE(CONTROL!$C$42, 0.275, 0.275)*CHOOSE(CONTROL!$C$42, 30, 30))/1000000</f>
        <v>4.125</v>
      </c>
      <c r="W234" s="56">
        <f>(1000*CHOOSE(CONTROL!$C$42, 0.1146, 0.1146)*CHOOSE(CONTROL!$C$42, 121.5, 121.5)*CHOOSE(CONTROL!$C$42, 30, 30))/1000000</f>
        <v>0.417717</v>
      </c>
      <c r="X234" s="56">
        <f>(30*0.1790888*245000/1000000)+(30*0.2374*100000/1000000)</f>
        <v>2.0285026799999999</v>
      </c>
      <c r="Y234" s="56"/>
      <c r="Z234" s="14"/>
      <c r="AA234" s="55"/>
      <c r="AB234" s="49">
        <f>(B234*194.205+C234*267.466+D234*133.845+E234*53.484+F234*40+G234*185+H234*0+I234*100+J234*300)/(194.205+267.466+133.845+53.484+0+40+185+100+300)</f>
        <v>11.806624842935634</v>
      </c>
      <c r="AC234" s="45">
        <f>(M234*'RAP TEMPLATE-GAS AVAILABILITY'!O233+N234*'RAP TEMPLATE-GAS AVAILABILITY'!P233+O234*'RAP TEMPLATE-GAS AVAILABILITY'!Q233+P234*'RAP TEMPLATE-GAS AVAILABILITY'!R233)/('RAP TEMPLATE-GAS AVAILABILITY'!O233+'RAP TEMPLATE-GAS AVAILABILITY'!P233+'RAP TEMPLATE-GAS AVAILABILITY'!Q233+'RAP TEMPLATE-GAS AVAILABILITY'!R233)</f>
        <v>11.645798561151079</v>
      </c>
    </row>
    <row r="235" spans="1:29" ht="15.75" x14ac:dyDescent="0.25">
      <c r="A235" s="13">
        <v>48030</v>
      </c>
      <c r="B235" s="14">
        <f>CHOOSE(CONTROL!$C$42, 11.5248, 11.5248) * CHOOSE(CONTROL!$C$21, $C$9, 100%, $E$9)</f>
        <v>11.524800000000001</v>
      </c>
      <c r="C235" s="14">
        <f>CHOOSE(CONTROL!$C$42, 11.5329, 11.5329) * CHOOSE(CONTROL!$C$21, $C$9, 100%, $E$9)</f>
        <v>11.5329</v>
      </c>
      <c r="D235" s="14">
        <f>CHOOSE(CONTROL!$C$42, 11.7919, 11.7919) * CHOOSE(CONTROL!$C$21, $C$9, 100%, $E$9)</f>
        <v>11.7919</v>
      </c>
      <c r="E235" s="14">
        <f>CHOOSE(CONTROL!$C$42, 11.8234, 11.8234) * CHOOSE(CONTROL!$C$21, $C$9, 100%, $E$9)</f>
        <v>11.823399999999999</v>
      </c>
      <c r="F235" s="14">
        <f>CHOOSE(CONTROL!$C$42, 11.547, 11.547)*CHOOSE(CONTROL!$C$21, $C$9, 100%, $E$9)</f>
        <v>11.547000000000001</v>
      </c>
      <c r="G235" s="14">
        <f>CHOOSE(CONTROL!$C$42, 11.5642, 11.5642)*CHOOSE(CONTROL!$C$21, $C$9, 100%, $E$9)</f>
        <v>11.5642</v>
      </c>
      <c r="H235" s="14">
        <f>CHOOSE(CONTROL!$C$42, 11.812, 11.812) * CHOOSE(CONTROL!$C$21, $C$9, 100%, $E$9)</f>
        <v>11.811999999999999</v>
      </c>
      <c r="I235" s="14">
        <f>CHOOSE(CONTROL!$C$42, 11.582, 11.582)* CHOOSE(CONTROL!$C$21, $C$9, 100%, $E$9)</f>
        <v>11.582000000000001</v>
      </c>
      <c r="J235" s="14">
        <f>CHOOSE(CONTROL!$C$42, 11.54, 11.54)* CHOOSE(CONTROL!$C$21, $C$9, 100%, $E$9)</f>
        <v>11.54</v>
      </c>
      <c r="K235" s="52">
        <f>CHOOSE(CONTROL!$C$42, 11.5781, 11.5781) * CHOOSE(CONTROL!$C$21, $C$9, 100%, $E$9)</f>
        <v>11.578099999999999</v>
      </c>
      <c r="L235" s="14">
        <f>CHOOSE(CONTROL!$C$42, 12.399, 12.399) * CHOOSE(CONTROL!$C$21, $C$9, 100%, $E$9)</f>
        <v>12.398999999999999</v>
      </c>
      <c r="M235" s="14">
        <f>CHOOSE(CONTROL!$C$42, 11.3402, 11.3402) * CHOOSE(CONTROL!$C$21, $C$9, 100%, $E$9)</f>
        <v>11.340199999999999</v>
      </c>
      <c r="N235" s="14">
        <f>CHOOSE(CONTROL!$C$42, 11.357, 11.357) * CHOOSE(CONTROL!$C$21, $C$9, 100%, $E$9)</f>
        <v>11.356999999999999</v>
      </c>
      <c r="O235" s="14">
        <f>CHOOSE(CONTROL!$C$42, 11.6073, 11.6073) * CHOOSE(CONTROL!$C$21, $C$9, 100%, $E$9)</f>
        <v>11.6073</v>
      </c>
      <c r="P235" s="14">
        <f>CHOOSE(CONTROL!$C$42, 11.3808, 11.3808) * CHOOSE(CONTROL!$C$21, $C$9, 100%, $E$9)</f>
        <v>11.380800000000001</v>
      </c>
      <c r="Q235" s="14">
        <f>CHOOSE(CONTROL!$C$42, 12.202, 12.202) * CHOOSE(CONTROL!$C$21, $C$9, 100%, $E$9)</f>
        <v>12.202</v>
      </c>
      <c r="R235" s="14">
        <f>CHOOSE(CONTROL!$C$42, 12.8195, 12.8195) * CHOOSE(CONTROL!$C$21, $C$9, 100%, $E$9)</f>
        <v>12.8195</v>
      </c>
      <c r="S235" s="14">
        <f>CHOOSE(CONTROL!$C$42, 11.0636, 11.0636) * CHOOSE(CONTROL!$C$21, $C$9, 100%, $E$9)</f>
        <v>11.063599999999999</v>
      </c>
      <c r="T23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35" s="56">
        <f>(1000*CHOOSE(CONTROL!$C$42, 695, 695)*CHOOSE(CONTROL!$C$42, 0.5599, 0.5599)*CHOOSE(CONTROL!$C$42, 31, 31))/1000000</f>
        <v>12.063045499999998</v>
      </c>
      <c r="V235" s="56">
        <f>(1000*CHOOSE(CONTROL!$C$42, 500, 500)*CHOOSE(CONTROL!$C$42, 0.275, 0.275)*CHOOSE(CONTROL!$C$42, 31, 31))/1000000</f>
        <v>4.2625000000000002</v>
      </c>
      <c r="W235" s="56">
        <f>(1000*CHOOSE(CONTROL!$C$42, 0.1146, 0.1146)*CHOOSE(CONTROL!$C$42, 121.5, 121.5)*CHOOSE(CONTROL!$C$42, 31, 31))/1000000</f>
        <v>0.43164089999999994</v>
      </c>
      <c r="X235" s="56">
        <f>(31*0.1790888*245000/1000000)+(31*0.2374*100000/1000000)</f>
        <v>2.0961194359999999</v>
      </c>
      <c r="Y235" s="56"/>
      <c r="Z235" s="14"/>
      <c r="AA235" s="55"/>
      <c r="AB235" s="49">
        <f>(B235*194.205+C235*267.466+D235*133.845+E235*53.484+F235*40+G235*185+H235*0+I235*100+J235*300)/(194.205+267.466+133.845+53.484+0+40+185+100+300)</f>
        <v>11.581584769623234</v>
      </c>
      <c r="AC235" s="45">
        <f>(M235*'RAP TEMPLATE-GAS AVAILABILITY'!O234+N235*'RAP TEMPLATE-GAS AVAILABILITY'!P234+O235*'RAP TEMPLATE-GAS AVAILABILITY'!Q234+P235*'RAP TEMPLATE-GAS AVAILABILITY'!R234)/('RAP TEMPLATE-GAS AVAILABILITY'!O234+'RAP TEMPLATE-GAS AVAILABILITY'!P234+'RAP TEMPLATE-GAS AVAILABILITY'!Q234+'RAP TEMPLATE-GAS AVAILABILITY'!R234)</f>
        <v>11.42485107913669</v>
      </c>
    </row>
    <row r="236" spans="1:29" ht="15.75" x14ac:dyDescent="0.25">
      <c r="A236" s="13">
        <v>48061</v>
      </c>
      <c r="B236" s="14">
        <f>CHOOSE(CONTROL!$C$42, 10.9561, 10.9561) * CHOOSE(CONTROL!$C$21, $C$9, 100%, $E$9)</f>
        <v>10.956099999999999</v>
      </c>
      <c r="C236" s="14">
        <f>CHOOSE(CONTROL!$C$42, 10.9642, 10.9642) * CHOOSE(CONTROL!$C$21, $C$9, 100%, $E$9)</f>
        <v>10.9642</v>
      </c>
      <c r="D236" s="14">
        <f>CHOOSE(CONTROL!$C$42, 11.2233, 11.2233) * CHOOSE(CONTROL!$C$21, $C$9, 100%, $E$9)</f>
        <v>11.2233</v>
      </c>
      <c r="E236" s="14">
        <f>CHOOSE(CONTROL!$C$42, 11.2547, 11.2547) * CHOOSE(CONTROL!$C$21, $C$9, 100%, $E$9)</f>
        <v>11.2547</v>
      </c>
      <c r="F236" s="14">
        <f>CHOOSE(CONTROL!$C$42, 10.9786, 10.9786)*CHOOSE(CONTROL!$C$21, $C$9, 100%, $E$9)</f>
        <v>10.9786</v>
      </c>
      <c r="G236" s="14">
        <f>CHOOSE(CONTROL!$C$42, 10.9958, 10.9958)*CHOOSE(CONTROL!$C$21, $C$9, 100%, $E$9)</f>
        <v>10.995799999999999</v>
      </c>
      <c r="H236" s="14">
        <f>CHOOSE(CONTROL!$C$42, 11.2434, 11.2434) * CHOOSE(CONTROL!$C$21, $C$9, 100%, $E$9)</f>
        <v>11.243399999999999</v>
      </c>
      <c r="I236" s="14">
        <f>CHOOSE(CONTROL!$C$42, 11.0116, 11.0116)* CHOOSE(CONTROL!$C$21, $C$9, 100%, $E$9)</f>
        <v>11.0116</v>
      </c>
      <c r="J236" s="14">
        <f>CHOOSE(CONTROL!$C$42, 10.9716, 10.9716)* CHOOSE(CONTROL!$C$21, $C$9, 100%, $E$9)</f>
        <v>10.9716</v>
      </c>
      <c r="K236" s="52">
        <f>CHOOSE(CONTROL!$C$42, 11.0077, 11.0077) * CHOOSE(CONTROL!$C$21, $C$9, 100%, $E$9)</f>
        <v>11.0077</v>
      </c>
      <c r="L236" s="14">
        <f>CHOOSE(CONTROL!$C$42, 11.8304, 11.8304) * CHOOSE(CONTROL!$C$21, $C$9, 100%, $E$9)</f>
        <v>11.830399999999999</v>
      </c>
      <c r="M236" s="14">
        <f>CHOOSE(CONTROL!$C$42, 10.7819, 10.7819) * CHOOSE(CONTROL!$C$21, $C$9, 100%, $E$9)</f>
        <v>10.7819</v>
      </c>
      <c r="N236" s="14">
        <f>CHOOSE(CONTROL!$C$42, 10.7988, 10.7988) * CHOOSE(CONTROL!$C$21, $C$9, 100%, $E$9)</f>
        <v>10.7988</v>
      </c>
      <c r="O236" s="14">
        <f>CHOOSE(CONTROL!$C$42, 11.0488, 11.0488) * CHOOSE(CONTROL!$C$21, $C$9, 100%, $E$9)</f>
        <v>11.0488</v>
      </c>
      <c r="P236" s="14">
        <f>CHOOSE(CONTROL!$C$42, 10.8207, 10.8207) * CHOOSE(CONTROL!$C$21, $C$9, 100%, $E$9)</f>
        <v>10.8207</v>
      </c>
      <c r="Q236" s="14">
        <f>CHOOSE(CONTROL!$C$42, 11.6435, 11.6435) * CHOOSE(CONTROL!$C$21, $C$9, 100%, $E$9)</f>
        <v>11.6435</v>
      </c>
      <c r="R236" s="14">
        <f>CHOOSE(CONTROL!$C$42, 12.2596, 12.2596) * CHOOSE(CONTROL!$C$21, $C$9, 100%, $E$9)</f>
        <v>12.259600000000001</v>
      </c>
      <c r="S236" s="14">
        <f>CHOOSE(CONTROL!$C$42, 10.5171, 10.5171) * CHOOSE(CONTROL!$C$21, $C$9, 100%, $E$9)</f>
        <v>10.517099999999999</v>
      </c>
      <c r="T23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36" s="56">
        <f>(1000*CHOOSE(CONTROL!$C$42, 695, 695)*CHOOSE(CONTROL!$C$42, 0.5599, 0.5599)*CHOOSE(CONTROL!$C$42, 31, 31))/1000000</f>
        <v>12.063045499999998</v>
      </c>
      <c r="V236" s="56">
        <f>(1000*CHOOSE(CONTROL!$C$42, 500, 500)*CHOOSE(CONTROL!$C$42, 0.275, 0.275)*CHOOSE(CONTROL!$C$42, 31, 31))/1000000</f>
        <v>4.2625000000000002</v>
      </c>
      <c r="W236" s="56">
        <f>(1000*CHOOSE(CONTROL!$C$42, 0.1146, 0.1146)*CHOOSE(CONTROL!$C$42, 121.5, 121.5)*CHOOSE(CONTROL!$C$42, 31, 31))/1000000</f>
        <v>0.43164089999999994</v>
      </c>
      <c r="X236" s="56">
        <f>(31*0.1790888*245000/1000000)+(31*0.2374*100000/1000000)</f>
        <v>2.0961194359999999</v>
      </c>
      <c r="Y236" s="56"/>
      <c r="Z236" s="14"/>
      <c r="AA236" s="55"/>
      <c r="AB236" s="49">
        <f>(B236*194.205+C236*267.466+D236*133.845+E236*53.484+F236*40+G236*185+H236*0+I236*100+J236*300)/(194.205+267.466+133.845+53.484+0+40+185+100+300)</f>
        <v>11.01288546389325</v>
      </c>
      <c r="AC236" s="45">
        <f>(M236*'RAP TEMPLATE-GAS AVAILABILITY'!O235+N236*'RAP TEMPLATE-GAS AVAILABILITY'!P235+O236*'RAP TEMPLATE-GAS AVAILABILITY'!Q235+P236*'RAP TEMPLATE-GAS AVAILABILITY'!R235)/('RAP TEMPLATE-GAS AVAILABILITY'!O235+'RAP TEMPLATE-GAS AVAILABILITY'!P235+'RAP TEMPLATE-GAS AVAILABILITY'!Q235+'RAP TEMPLATE-GAS AVAILABILITY'!R235)</f>
        <v>10.866258992805754</v>
      </c>
    </row>
    <row r="237" spans="1:29" ht="15.75" x14ac:dyDescent="0.25">
      <c r="A237" s="13">
        <v>48092</v>
      </c>
      <c r="B237" s="14">
        <f>CHOOSE(CONTROL!$C$42, 10.2611, 10.2611) * CHOOSE(CONTROL!$C$21, $C$9, 100%, $E$9)</f>
        <v>10.261100000000001</v>
      </c>
      <c r="C237" s="14">
        <f>CHOOSE(CONTROL!$C$42, 10.2691, 10.2691) * CHOOSE(CONTROL!$C$21, $C$9, 100%, $E$9)</f>
        <v>10.2691</v>
      </c>
      <c r="D237" s="14">
        <f>CHOOSE(CONTROL!$C$42, 10.5282, 10.5282) * CHOOSE(CONTROL!$C$21, $C$9, 100%, $E$9)</f>
        <v>10.5282</v>
      </c>
      <c r="E237" s="14">
        <f>CHOOSE(CONTROL!$C$42, 10.5597, 10.5597) * CHOOSE(CONTROL!$C$21, $C$9, 100%, $E$9)</f>
        <v>10.559699999999999</v>
      </c>
      <c r="F237" s="14">
        <f>CHOOSE(CONTROL!$C$42, 10.2836, 10.2836)*CHOOSE(CONTROL!$C$21, $C$9, 100%, $E$9)</f>
        <v>10.2836</v>
      </c>
      <c r="G237" s="14">
        <f>CHOOSE(CONTROL!$C$42, 10.3008, 10.3008)*CHOOSE(CONTROL!$C$21, $C$9, 100%, $E$9)</f>
        <v>10.300800000000001</v>
      </c>
      <c r="H237" s="14">
        <f>CHOOSE(CONTROL!$C$42, 10.5483, 10.5483) * CHOOSE(CONTROL!$C$21, $C$9, 100%, $E$9)</f>
        <v>10.548299999999999</v>
      </c>
      <c r="I237" s="14">
        <f>CHOOSE(CONTROL!$C$42, 10.3143, 10.3143)* CHOOSE(CONTROL!$C$21, $C$9, 100%, $E$9)</f>
        <v>10.314299999999999</v>
      </c>
      <c r="J237" s="14">
        <f>CHOOSE(CONTROL!$C$42, 10.2766, 10.2766)* CHOOSE(CONTROL!$C$21, $C$9, 100%, $E$9)</f>
        <v>10.2766</v>
      </c>
      <c r="K237" s="52">
        <f>CHOOSE(CONTROL!$C$42, 10.3104, 10.3104) * CHOOSE(CONTROL!$C$21, $C$9, 100%, $E$9)</f>
        <v>10.3104</v>
      </c>
      <c r="L237" s="14">
        <f>CHOOSE(CONTROL!$C$42, 11.1353, 11.1353) * CHOOSE(CONTROL!$C$21, $C$9, 100%, $E$9)</f>
        <v>11.135300000000001</v>
      </c>
      <c r="M237" s="14">
        <f>CHOOSE(CONTROL!$C$42, 10.0994, 10.0994) * CHOOSE(CONTROL!$C$21, $C$9, 100%, $E$9)</f>
        <v>10.099399999999999</v>
      </c>
      <c r="N237" s="14">
        <f>CHOOSE(CONTROL!$C$42, 10.1163, 10.1163) * CHOOSE(CONTROL!$C$21, $C$9, 100%, $E$9)</f>
        <v>10.116300000000001</v>
      </c>
      <c r="O237" s="14">
        <f>CHOOSE(CONTROL!$C$42, 10.3663, 10.3663) * CHOOSE(CONTROL!$C$21, $C$9, 100%, $E$9)</f>
        <v>10.366300000000001</v>
      </c>
      <c r="P237" s="14">
        <f>CHOOSE(CONTROL!$C$42, 10.136, 10.136) * CHOOSE(CONTROL!$C$21, $C$9, 100%, $E$9)</f>
        <v>10.135999999999999</v>
      </c>
      <c r="Q237" s="14">
        <f>CHOOSE(CONTROL!$C$42, 10.961, 10.961) * CHOOSE(CONTROL!$C$21, $C$9, 100%, $E$9)</f>
        <v>10.961</v>
      </c>
      <c r="R237" s="14">
        <f>CHOOSE(CONTROL!$C$42, 11.5754, 11.5754) * CHOOSE(CONTROL!$C$21, $C$9, 100%, $E$9)</f>
        <v>11.5754</v>
      </c>
      <c r="S237" s="14">
        <f>CHOOSE(CONTROL!$C$42, 9.8493, 9.8493) * CHOOSE(CONTROL!$C$21, $C$9, 100%, $E$9)</f>
        <v>9.8492999999999995</v>
      </c>
      <c r="T23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37" s="56">
        <f>(1000*CHOOSE(CONTROL!$C$42, 695, 695)*CHOOSE(CONTROL!$C$42, 0.5599, 0.5599)*CHOOSE(CONTROL!$C$42, 30, 30))/1000000</f>
        <v>11.673914999999997</v>
      </c>
      <c r="V237" s="56">
        <f>(1000*CHOOSE(CONTROL!$C$42, 500, 500)*CHOOSE(CONTROL!$C$42, 0.275, 0.275)*CHOOSE(CONTROL!$C$42, 30, 30))/1000000</f>
        <v>4.125</v>
      </c>
      <c r="W237" s="56">
        <f>(1000*CHOOSE(CONTROL!$C$42, 0.1146, 0.1146)*CHOOSE(CONTROL!$C$42, 121.5, 121.5)*CHOOSE(CONTROL!$C$42, 30, 30))/1000000</f>
        <v>0.417717</v>
      </c>
      <c r="X237" s="56">
        <f>(30*0.1790888*245000/1000000)+(30*0.2374*100000/1000000)</f>
        <v>2.0285026799999999</v>
      </c>
      <c r="Y237" s="56"/>
      <c r="Z237" s="14"/>
      <c r="AA237" s="55"/>
      <c r="AB237" s="49">
        <f>(B237*194.205+C237*267.466+D237*133.845+E237*53.484+F237*40+G237*185+H237*0+I237*100+J237*300)/(194.205+267.466+133.845+53.484+0+40+185+100+300)</f>
        <v>10.317673430062795</v>
      </c>
      <c r="AC237" s="45">
        <f>(M237*'RAP TEMPLATE-GAS AVAILABILITY'!O236+N237*'RAP TEMPLATE-GAS AVAILABILITY'!P236+O237*'RAP TEMPLATE-GAS AVAILABILITY'!Q236+P237*'RAP TEMPLATE-GAS AVAILABILITY'!R236)/('RAP TEMPLATE-GAS AVAILABILITY'!O236+'RAP TEMPLATE-GAS AVAILABILITY'!P236+'RAP TEMPLATE-GAS AVAILABILITY'!Q236+'RAP TEMPLATE-GAS AVAILABILITY'!R236)</f>
        <v>10.183442446043166</v>
      </c>
    </row>
    <row r="238" spans="1:29" ht="15.75" x14ac:dyDescent="0.25">
      <c r="A238" s="13">
        <v>48122</v>
      </c>
      <c r="B238" s="14">
        <f>CHOOSE(CONTROL!$C$42, 10.0512, 10.0512) * CHOOSE(CONTROL!$C$21, $C$9, 100%, $E$9)</f>
        <v>10.0512</v>
      </c>
      <c r="C238" s="14">
        <f>CHOOSE(CONTROL!$C$42, 10.0566, 10.0566) * CHOOSE(CONTROL!$C$21, $C$9, 100%, $E$9)</f>
        <v>10.0566</v>
      </c>
      <c r="D238" s="14">
        <f>CHOOSE(CONTROL!$C$42, 10.3206, 10.3206) * CHOOSE(CONTROL!$C$21, $C$9, 100%, $E$9)</f>
        <v>10.320600000000001</v>
      </c>
      <c r="E238" s="14">
        <f>CHOOSE(CONTROL!$C$42, 10.3497, 10.3497) * CHOOSE(CONTROL!$C$21, $C$9, 100%, $E$9)</f>
        <v>10.3497</v>
      </c>
      <c r="F238" s="14">
        <f>CHOOSE(CONTROL!$C$42, 10.0759, 10.0759)*CHOOSE(CONTROL!$C$21, $C$9, 100%, $E$9)</f>
        <v>10.075900000000001</v>
      </c>
      <c r="G238" s="14">
        <f>CHOOSE(CONTROL!$C$42, 10.093, 10.093)*CHOOSE(CONTROL!$C$21, $C$9, 100%, $E$9)</f>
        <v>10.093</v>
      </c>
      <c r="H238" s="14">
        <f>CHOOSE(CONTROL!$C$42, 10.3402, 10.3402) * CHOOSE(CONTROL!$C$21, $C$9, 100%, $E$9)</f>
        <v>10.340199999999999</v>
      </c>
      <c r="I238" s="14">
        <f>CHOOSE(CONTROL!$C$42, 10.1056, 10.1056)* CHOOSE(CONTROL!$C$21, $C$9, 100%, $E$9)</f>
        <v>10.105600000000001</v>
      </c>
      <c r="J238" s="14">
        <f>CHOOSE(CONTROL!$C$42, 10.0689, 10.0689)* CHOOSE(CONTROL!$C$21, $C$9, 100%, $E$9)</f>
        <v>10.068899999999999</v>
      </c>
      <c r="K238" s="52">
        <f>CHOOSE(CONTROL!$C$42, 10.1017, 10.1017) * CHOOSE(CONTROL!$C$21, $C$9, 100%, $E$9)</f>
        <v>10.101699999999999</v>
      </c>
      <c r="L238" s="14">
        <f>CHOOSE(CONTROL!$C$42, 10.9272, 10.9272) * CHOOSE(CONTROL!$C$21, $C$9, 100%, $E$9)</f>
        <v>10.927199999999999</v>
      </c>
      <c r="M238" s="14">
        <f>CHOOSE(CONTROL!$C$42, 9.8955, 9.8955) * CHOOSE(CONTROL!$C$21, $C$9, 100%, $E$9)</f>
        <v>9.8955000000000002</v>
      </c>
      <c r="N238" s="14">
        <f>CHOOSE(CONTROL!$C$42, 9.9122, 9.9122) * CHOOSE(CONTROL!$C$21, $C$9, 100%, $E$9)</f>
        <v>9.9122000000000003</v>
      </c>
      <c r="O238" s="14">
        <f>CHOOSE(CONTROL!$C$42, 10.1619, 10.1619) * CHOOSE(CONTROL!$C$21, $C$9, 100%, $E$9)</f>
        <v>10.161899999999999</v>
      </c>
      <c r="P238" s="14">
        <f>CHOOSE(CONTROL!$C$42, 9.931, 9.931) * CHOOSE(CONTROL!$C$21, $C$9, 100%, $E$9)</f>
        <v>9.9309999999999992</v>
      </c>
      <c r="Q238" s="14">
        <f>CHOOSE(CONTROL!$C$42, 10.7566, 10.7566) * CHOOSE(CONTROL!$C$21, $C$9, 100%, $E$9)</f>
        <v>10.756600000000001</v>
      </c>
      <c r="R238" s="14">
        <f>CHOOSE(CONTROL!$C$42, 11.3705, 11.3705) * CHOOSE(CONTROL!$C$21, $C$9, 100%, $E$9)</f>
        <v>11.3705</v>
      </c>
      <c r="S238" s="14">
        <f>CHOOSE(CONTROL!$C$42, 9.6493, 9.6493) * CHOOSE(CONTROL!$C$21, $C$9, 100%, $E$9)</f>
        <v>9.6493000000000002</v>
      </c>
      <c r="T23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38" s="56">
        <f>(1000*CHOOSE(CONTROL!$C$42, 695, 695)*CHOOSE(CONTROL!$C$42, 0.5599, 0.5599)*CHOOSE(CONTROL!$C$42, 31, 31))/1000000</f>
        <v>12.063045499999998</v>
      </c>
      <c r="V238" s="56">
        <f>(1000*CHOOSE(CONTROL!$C$42, 500, 500)*CHOOSE(CONTROL!$C$42, 0.275, 0.275)*CHOOSE(CONTROL!$C$42, 31, 31))/1000000</f>
        <v>4.2625000000000002</v>
      </c>
      <c r="W238" s="56">
        <f>(1000*CHOOSE(CONTROL!$C$42, 0.1146, 0.1146)*CHOOSE(CONTROL!$C$42, 121.5, 121.5)*CHOOSE(CONTROL!$C$42, 31, 31))/1000000</f>
        <v>0.43164089999999994</v>
      </c>
      <c r="X238" s="56">
        <f>(31*0.1790888*245000/1000000)+(31*0.2374*100000/1000000)</f>
        <v>2.0961194359999999</v>
      </c>
      <c r="Y238" s="56"/>
      <c r="Z238" s="14"/>
      <c r="AA238" s="55"/>
      <c r="AB238" s="49">
        <f>(B238*131.881+C238*277.167+D238*79.08+E238*125.872+F238*40+G238*185+H238*0+I238*100+J238*300)/(131.881+277.167+79.08+125.872+0+40+185+100+300)</f>
        <v>10.115642813397901</v>
      </c>
      <c r="AC238" s="45">
        <f>(M238*'RAP TEMPLATE-GAS AVAILABILITY'!O237+N238*'RAP TEMPLATE-GAS AVAILABILITY'!P237+O238*'RAP TEMPLATE-GAS AVAILABILITY'!Q237+P238*'RAP TEMPLATE-GAS AVAILABILITY'!R237)/('RAP TEMPLATE-GAS AVAILABILITY'!O237+'RAP TEMPLATE-GAS AVAILABILITY'!P237+'RAP TEMPLATE-GAS AVAILABILITY'!Q237+'RAP TEMPLATE-GAS AVAILABILITY'!R237)</f>
        <v>9.9791978417266183</v>
      </c>
    </row>
    <row r="239" spans="1:29" ht="15.75" x14ac:dyDescent="0.25">
      <c r="A239" s="13">
        <v>48153</v>
      </c>
      <c r="B239" s="14">
        <f>CHOOSE(CONTROL!$C$42, 10.3154, 10.3154) * CHOOSE(CONTROL!$C$21, $C$9, 100%, $E$9)</f>
        <v>10.3154</v>
      </c>
      <c r="C239" s="14">
        <f>CHOOSE(CONTROL!$C$42, 10.3204, 10.3204) * CHOOSE(CONTROL!$C$21, $C$9, 100%, $E$9)</f>
        <v>10.320399999999999</v>
      </c>
      <c r="D239" s="14">
        <f>CHOOSE(CONTROL!$C$42, 10.4035, 10.4035) * CHOOSE(CONTROL!$C$21, $C$9, 100%, $E$9)</f>
        <v>10.403499999999999</v>
      </c>
      <c r="E239" s="14">
        <f>CHOOSE(CONTROL!$C$42, 10.4376, 10.4376) * CHOOSE(CONTROL!$C$21, $C$9, 100%, $E$9)</f>
        <v>10.4376</v>
      </c>
      <c r="F239" s="14">
        <f>CHOOSE(CONTROL!$C$42, 10.343, 10.343)*CHOOSE(CONTROL!$C$21, $C$9, 100%, $E$9)</f>
        <v>10.343</v>
      </c>
      <c r="G239" s="14">
        <f>CHOOSE(CONTROL!$C$42, 10.3603, 10.3603)*CHOOSE(CONTROL!$C$21, $C$9, 100%, $E$9)</f>
        <v>10.360300000000001</v>
      </c>
      <c r="H239" s="14">
        <f>CHOOSE(CONTROL!$C$42, 10.4268, 10.4268) * CHOOSE(CONTROL!$C$21, $C$9, 100%, $E$9)</f>
        <v>10.4268</v>
      </c>
      <c r="I239" s="14">
        <f>CHOOSE(CONTROL!$C$42, 10.3673, 10.3673)* CHOOSE(CONTROL!$C$21, $C$9, 100%, $E$9)</f>
        <v>10.3673</v>
      </c>
      <c r="J239" s="14">
        <f>CHOOSE(CONTROL!$C$42, 10.336, 10.336)* CHOOSE(CONTROL!$C$21, $C$9, 100%, $E$9)</f>
        <v>10.336</v>
      </c>
      <c r="K239" s="52">
        <f>CHOOSE(CONTROL!$C$42, 10.3634, 10.3634) * CHOOSE(CONTROL!$C$21, $C$9, 100%, $E$9)</f>
        <v>10.3634</v>
      </c>
      <c r="L239" s="14">
        <f>CHOOSE(CONTROL!$C$42, 11.0138, 11.0138) * CHOOSE(CONTROL!$C$21, $C$9, 100%, $E$9)</f>
        <v>11.0138</v>
      </c>
      <c r="M239" s="14">
        <f>CHOOSE(CONTROL!$C$42, 10.1578, 10.1578) * CHOOSE(CONTROL!$C$21, $C$9, 100%, $E$9)</f>
        <v>10.1578</v>
      </c>
      <c r="N239" s="14">
        <f>CHOOSE(CONTROL!$C$42, 10.1748, 10.1748) * CHOOSE(CONTROL!$C$21, $C$9, 100%, $E$9)</f>
        <v>10.174799999999999</v>
      </c>
      <c r="O239" s="14">
        <f>CHOOSE(CONTROL!$C$42, 10.2469, 10.2469) * CHOOSE(CONTROL!$C$21, $C$9, 100%, $E$9)</f>
        <v>10.2469</v>
      </c>
      <c r="P239" s="14">
        <f>CHOOSE(CONTROL!$C$42, 10.188, 10.188) * CHOOSE(CONTROL!$C$21, $C$9, 100%, $E$9)</f>
        <v>10.188000000000001</v>
      </c>
      <c r="Q239" s="14">
        <f>CHOOSE(CONTROL!$C$42, 10.8416, 10.8416) * CHOOSE(CONTROL!$C$21, $C$9, 100%, $E$9)</f>
        <v>10.8416</v>
      </c>
      <c r="R239" s="14">
        <f>CHOOSE(CONTROL!$C$42, 11.4557, 11.4557) * CHOOSE(CONTROL!$C$21, $C$9, 100%, $E$9)</f>
        <v>11.4557</v>
      </c>
      <c r="S239" s="14">
        <f>CHOOSE(CONTROL!$C$42, 9.9035, 9.9035) * CHOOSE(CONTROL!$C$21, $C$9, 100%, $E$9)</f>
        <v>9.9034999999999993</v>
      </c>
      <c r="T23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39" s="56">
        <f>(1000*CHOOSE(CONTROL!$C$42, 695, 695)*CHOOSE(CONTROL!$C$42, 0.5599, 0.5599)*CHOOSE(CONTROL!$C$42, 30, 30))/1000000</f>
        <v>11.673914999999997</v>
      </c>
      <c r="V239" s="56">
        <f>(1000*CHOOSE(CONTROL!$C$42, 500, 500)*CHOOSE(CONTROL!$C$42, 0.275, 0.275)*CHOOSE(CONTROL!$C$42, 30, 30))/1000000</f>
        <v>4.125</v>
      </c>
      <c r="W239" s="56">
        <f>(1000*CHOOSE(CONTROL!$C$42, 0.1146, 0.1146)*CHOOSE(CONTROL!$C$42, 121.5, 121.5)*CHOOSE(CONTROL!$C$42, 30, 30))/1000000</f>
        <v>0.417717</v>
      </c>
      <c r="X239" s="56">
        <f>(30*0.1790888*100000/1000000)+(30*0.2374*100000/1000000)</f>
        <v>1.2494664</v>
      </c>
      <c r="Y239" s="56"/>
      <c r="Z239" s="14"/>
      <c r="AA239" s="55"/>
      <c r="AB239" s="49">
        <f>(B239*122.58+C239*297.941+D239*89.177+E239*40.302+F239*40+G239*160+H239*0+I239*100+J239*300)/(122.58+297.941+89.177+40.302+0+40+160+100+300)</f>
        <v>10.344903567913041</v>
      </c>
      <c r="AC239" s="45">
        <f>(M239*'RAP TEMPLATE-GAS AVAILABILITY'!O238+N239*'RAP TEMPLATE-GAS AVAILABILITY'!P238+O239*'RAP TEMPLATE-GAS AVAILABILITY'!Q238+P239*'RAP TEMPLATE-GAS AVAILABILITY'!R238)/('RAP TEMPLATE-GAS AVAILABILITY'!O238+'RAP TEMPLATE-GAS AVAILABILITY'!P238+'RAP TEMPLATE-GAS AVAILABILITY'!Q238+'RAP TEMPLATE-GAS AVAILABILITY'!R238)</f>
        <v>10.203507194244605</v>
      </c>
    </row>
    <row r="240" spans="1:29" ht="15.75" x14ac:dyDescent="0.25">
      <c r="A240" s="13">
        <v>48183</v>
      </c>
      <c r="B240" s="14">
        <f>CHOOSE(CONTROL!$C$42, 11.018, 11.018) * CHOOSE(CONTROL!$C$21, $C$9, 100%, $E$9)</f>
        <v>11.018000000000001</v>
      </c>
      <c r="C240" s="14">
        <f>CHOOSE(CONTROL!$C$42, 11.0231, 11.0231) * CHOOSE(CONTROL!$C$21, $C$9, 100%, $E$9)</f>
        <v>11.023099999999999</v>
      </c>
      <c r="D240" s="14">
        <f>CHOOSE(CONTROL!$C$42, 11.1061, 11.1061) * CHOOSE(CONTROL!$C$21, $C$9, 100%, $E$9)</f>
        <v>11.1061</v>
      </c>
      <c r="E240" s="14">
        <f>CHOOSE(CONTROL!$C$42, 11.1402, 11.1402) * CHOOSE(CONTROL!$C$21, $C$9, 100%, $E$9)</f>
        <v>11.1402</v>
      </c>
      <c r="F240" s="14">
        <f>CHOOSE(CONTROL!$C$42, 11.0481, 11.0481)*CHOOSE(CONTROL!$C$21, $C$9, 100%, $E$9)</f>
        <v>11.0481</v>
      </c>
      <c r="G240" s="14">
        <f>CHOOSE(CONTROL!$C$42, 11.0661, 11.0661)*CHOOSE(CONTROL!$C$21, $C$9, 100%, $E$9)</f>
        <v>11.0661</v>
      </c>
      <c r="H240" s="14">
        <f>CHOOSE(CONTROL!$C$42, 11.1294, 11.1294) * CHOOSE(CONTROL!$C$21, $C$9, 100%, $E$9)</f>
        <v>11.1294</v>
      </c>
      <c r="I240" s="14">
        <f>CHOOSE(CONTROL!$C$42, 11.0721, 11.0721)* CHOOSE(CONTROL!$C$21, $C$9, 100%, $E$9)</f>
        <v>11.072100000000001</v>
      </c>
      <c r="J240" s="14">
        <f>CHOOSE(CONTROL!$C$42, 11.0411, 11.0411)* CHOOSE(CONTROL!$C$21, $C$9, 100%, $E$9)</f>
        <v>11.0411</v>
      </c>
      <c r="K240" s="52">
        <f>CHOOSE(CONTROL!$C$42, 11.0682, 11.0682) * CHOOSE(CONTROL!$C$21, $C$9, 100%, $E$9)</f>
        <v>11.068199999999999</v>
      </c>
      <c r="L240" s="14">
        <f>CHOOSE(CONTROL!$C$42, 11.7164, 11.7164) * CHOOSE(CONTROL!$C$21, $C$9, 100%, $E$9)</f>
        <v>11.7164</v>
      </c>
      <c r="M240" s="14">
        <f>CHOOSE(CONTROL!$C$42, 10.8502, 10.8502) * CHOOSE(CONTROL!$C$21, $C$9, 100%, $E$9)</f>
        <v>10.850199999999999</v>
      </c>
      <c r="N240" s="14">
        <f>CHOOSE(CONTROL!$C$42, 10.8678, 10.8678) * CHOOSE(CONTROL!$C$21, $C$9, 100%, $E$9)</f>
        <v>10.867800000000001</v>
      </c>
      <c r="O240" s="14">
        <f>CHOOSE(CONTROL!$C$42, 10.9369, 10.9369) * CHOOSE(CONTROL!$C$21, $C$9, 100%, $E$9)</f>
        <v>10.9369</v>
      </c>
      <c r="P240" s="14">
        <f>CHOOSE(CONTROL!$C$42, 10.8801, 10.8801) * CHOOSE(CONTROL!$C$21, $C$9, 100%, $E$9)</f>
        <v>10.880100000000001</v>
      </c>
      <c r="Q240" s="14">
        <f>CHOOSE(CONTROL!$C$42, 11.5316, 11.5316) * CHOOSE(CONTROL!$C$21, $C$9, 100%, $E$9)</f>
        <v>11.531599999999999</v>
      </c>
      <c r="R240" s="14">
        <f>CHOOSE(CONTROL!$C$42, 12.1475, 12.1475) * CHOOSE(CONTROL!$C$21, $C$9, 100%, $E$9)</f>
        <v>12.147500000000001</v>
      </c>
      <c r="S240" s="14">
        <f>CHOOSE(CONTROL!$C$42, 10.5786, 10.5786) * CHOOSE(CONTROL!$C$21, $C$9, 100%, $E$9)</f>
        <v>10.5786</v>
      </c>
      <c r="T24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40" s="56">
        <f>(1000*CHOOSE(CONTROL!$C$42, 695, 695)*CHOOSE(CONTROL!$C$42, 0.5599, 0.5599)*CHOOSE(CONTROL!$C$42, 31, 31))/1000000</f>
        <v>12.063045499999998</v>
      </c>
      <c r="V240" s="56">
        <f>(1000*CHOOSE(CONTROL!$C$42, 500, 500)*CHOOSE(CONTROL!$C$42, 0.275, 0.275)*CHOOSE(CONTROL!$C$42, 31, 31))/1000000</f>
        <v>4.2625000000000002</v>
      </c>
      <c r="W240" s="56">
        <f>(1000*CHOOSE(CONTROL!$C$42, 0.1146, 0.1146)*CHOOSE(CONTROL!$C$42, 121.5, 121.5)*CHOOSE(CONTROL!$C$42, 31, 31))/1000000</f>
        <v>0.43164089999999994</v>
      </c>
      <c r="X240" s="56">
        <f>(31*0.1790888*100000/1000000)+(31*0.2374*100000/1000000)</f>
        <v>1.2911152800000001</v>
      </c>
      <c r="Y240" s="56"/>
      <c r="Z240" s="14"/>
      <c r="AA240" s="55"/>
      <c r="AB240" s="49">
        <f>(B240*122.58+C240*297.941+D240*89.177+E240*40.302+F240*40+G240*160+H240*0+I240*100+J240*300)/(122.58+297.941+89.177+40.302+0+40+160+100+300)</f>
        <v>11.048905127999999</v>
      </c>
      <c r="AC240" s="45">
        <f>(M240*'RAP TEMPLATE-GAS AVAILABILITY'!O239+N240*'RAP TEMPLATE-GAS AVAILABILITY'!P239+O240*'RAP TEMPLATE-GAS AVAILABILITY'!Q239+P240*'RAP TEMPLATE-GAS AVAILABILITY'!R239)/('RAP TEMPLATE-GAS AVAILABILITY'!O239+'RAP TEMPLATE-GAS AVAILABILITY'!P239+'RAP TEMPLATE-GAS AVAILABILITY'!Q239+'RAP TEMPLATE-GAS AVAILABILITY'!R239)</f>
        <v>10.894810791366906</v>
      </c>
    </row>
    <row r="241" spans="1:29" ht="15.75" x14ac:dyDescent="0.25">
      <c r="A241" s="13">
        <v>48214</v>
      </c>
      <c r="B241" s="14">
        <f>CHOOSE(CONTROL!$C$42, 11.9306, 11.9306) * CHOOSE(CONTROL!$C$21, $C$9, 100%, $E$9)</f>
        <v>11.9306</v>
      </c>
      <c r="C241" s="14">
        <f>CHOOSE(CONTROL!$C$42, 11.9357, 11.9357) * CHOOSE(CONTROL!$C$21, $C$9, 100%, $E$9)</f>
        <v>11.935700000000001</v>
      </c>
      <c r="D241" s="14">
        <f>CHOOSE(CONTROL!$C$42, 12.0291, 12.0291) * CHOOSE(CONTROL!$C$21, $C$9, 100%, $E$9)</f>
        <v>12.0291</v>
      </c>
      <c r="E241" s="14">
        <f>CHOOSE(CONTROL!$C$42, 12.0632, 12.0632) * CHOOSE(CONTROL!$C$21, $C$9, 100%, $E$9)</f>
        <v>12.0632</v>
      </c>
      <c r="F241" s="14">
        <f>CHOOSE(CONTROL!$C$42, 11.9579, 11.9579)*CHOOSE(CONTROL!$C$21, $C$9, 100%, $E$9)</f>
        <v>11.9579</v>
      </c>
      <c r="G241" s="14">
        <f>CHOOSE(CONTROL!$C$42, 11.9759, 11.9759)*CHOOSE(CONTROL!$C$21, $C$9, 100%, $E$9)</f>
        <v>11.975899999999999</v>
      </c>
      <c r="H241" s="14">
        <f>CHOOSE(CONTROL!$C$42, 12.0524, 12.0524) * CHOOSE(CONTROL!$C$21, $C$9, 100%, $E$9)</f>
        <v>12.0524</v>
      </c>
      <c r="I241" s="14">
        <f>CHOOSE(CONTROL!$C$42, 11.9939, 11.9939)* CHOOSE(CONTROL!$C$21, $C$9, 100%, $E$9)</f>
        <v>11.9939</v>
      </c>
      <c r="J241" s="14">
        <f>CHOOSE(CONTROL!$C$42, 11.9509, 11.9509)* CHOOSE(CONTROL!$C$21, $C$9, 100%, $E$9)</f>
        <v>11.950900000000001</v>
      </c>
      <c r="K241" s="52">
        <f>CHOOSE(CONTROL!$C$42, 11.99, 11.99) * CHOOSE(CONTROL!$C$21, $C$9, 100%, $E$9)</f>
        <v>11.99</v>
      </c>
      <c r="L241" s="14">
        <f>CHOOSE(CONTROL!$C$42, 12.6394, 12.6394) * CHOOSE(CONTROL!$C$21, $C$9, 100%, $E$9)</f>
        <v>12.6394</v>
      </c>
      <c r="M241" s="14">
        <f>CHOOSE(CONTROL!$C$42, 11.7436, 11.7436) * CHOOSE(CONTROL!$C$21, $C$9, 100%, $E$9)</f>
        <v>11.743600000000001</v>
      </c>
      <c r="N241" s="14">
        <f>CHOOSE(CONTROL!$C$42, 11.7613, 11.7613) * CHOOSE(CONTROL!$C$21, $C$9, 100%, $E$9)</f>
        <v>11.7613</v>
      </c>
      <c r="O241" s="14">
        <f>CHOOSE(CONTROL!$C$42, 11.8433, 11.8433) * CHOOSE(CONTROL!$C$21, $C$9, 100%, $E$9)</f>
        <v>11.843299999999999</v>
      </c>
      <c r="P241" s="14">
        <f>CHOOSE(CONTROL!$C$42, 11.7852, 11.7852) * CHOOSE(CONTROL!$C$21, $C$9, 100%, $E$9)</f>
        <v>11.7852</v>
      </c>
      <c r="Q241" s="14">
        <f>CHOOSE(CONTROL!$C$42, 12.438, 12.438) * CHOOSE(CONTROL!$C$21, $C$9, 100%, $E$9)</f>
        <v>12.438000000000001</v>
      </c>
      <c r="R241" s="14">
        <f>CHOOSE(CONTROL!$C$42, 13.0561, 13.0561) * CHOOSE(CONTROL!$C$21, $C$9, 100%, $E$9)</f>
        <v>13.056100000000001</v>
      </c>
      <c r="S241" s="14">
        <f>CHOOSE(CONTROL!$C$42, 11.4556, 11.4556) * CHOOSE(CONTROL!$C$21, $C$9, 100%, $E$9)</f>
        <v>11.4556</v>
      </c>
      <c r="T24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41" s="56">
        <f>(1000*CHOOSE(CONTROL!$C$42, 695, 695)*CHOOSE(CONTROL!$C$42, 0.5599, 0.5599)*CHOOSE(CONTROL!$C$42, 31, 31))/1000000</f>
        <v>12.063045499999998</v>
      </c>
      <c r="V241" s="56">
        <f>(1000*CHOOSE(CONTROL!$C$42, 500, 500)*CHOOSE(CONTROL!$C$42, 0.275, 0.275)*CHOOSE(CONTROL!$C$42, 31, 31))/1000000</f>
        <v>4.2625000000000002</v>
      </c>
      <c r="W241" s="56">
        <f>(1000*CHOOSE(CONTROL!$C$42, 0.1146, 0.1146)*CHOOSE(CONTROL!$C$42, 121.5, 121.5)*CHOOSE(CONTROL!$C$42, 31, 31))/1000000</f>
        <v>0.43164089999999994</v>
      </c>
      <c r="X241" s="56">
        <f>(31*0.1790888*100000/1000000)+(31*0.2374*100000/1000000)</f>
        <v>1.2911152800000001</v>
      </c>
      <c r="Y241" s="56"/>
      <c r="Z241" s="14"/>
      <c r="AA241" s="55"/>
      <c r="AB241" s="49">
        <f>(B241*122.58+C241*297.941+D241*89.177+E241*40.302+F241*40+G241*160+H241*0+I241*100+J241*300)/(122.58+297.941+89.177+40.302+0+40+160+100+300)</f>
        <v>11.96225867721739</v>
      </c>
      <c r="AC241" s="45">
        <f>(M241*'RAP TEMPLATE-GAS AVAILABILITY'!O240+N241*'RAP TEMPLATE-GAS AVAILABILITY'!P240+O241*'RAP TEMPLATE-GAS AVAILABILITY'!Q240+P241*'RAP TEMPLATE-GAS AVAILABILITY'!R240)/('RAP TEMPLATE-GAS AVAILABILITY'!O240+'RAP TEMPLATE-GAS AVAILABILITY'!P240+'RAP TEMPLATE-GAS AVAILABILITY'!Q240+'RAP TEMPLATE-GAS AVAILABILITY'!R240)</f>
        <v>11.795792086330936</v>
      </c>
    </row>
    <row r="242" spans="1:29" ht="15.75" x14ac:dyDescent="0.25">
      <c r="A242" s="13">
        <v>48245</v>
      </c>
      <c r="B242" s="14">
        <f>CHOOSE(CONTROL!$C$42, 12.1428, 12.1428) * CHOOSE(CONTROL!$C$21, $C$9, 100%, $E$9)</f>
        <v>12.142799999999999</v>
      </c>
      <c r="C242" s="14">
        <f>CHOOSE(CONTROL!$C$42, 12.1479, 12.1479) * CHOOSE(CONTROL!$C$21, $C$9, 100%, $E$9)</f>
        <v>12.1479</v>
      </c>
      <c r="D242" s="14">
        <f>CHOOSE(CONTROL!$C$42, 12.2413, 12.2413) * CHOOSE(CONTROL!$C$21, $C$9, 100%, $E$9)</f>
        <v>12.241300000000001</v>
      </c>
      <c r="E242" s="14">
        <f>CHOOSE(CONTROL!$C$42, 12.2754, 12.2754) * CHOOSE(CONTROL!$C$21, $C$9, 100%, $E$9)</f>
        <v>12.275399999999999</v>
      </c>
      <c r="F242" s="14">
        <f>CHOOSE(CONTROL!$C$42, 12.1698, 12.1698)*CHOOSE(CONTROL!$C$21, $C$9, 100%, $E$9)</f>
        <v>12.1698</v>
      </c>
      <c r="G242" s="14">
        <f>CHOOSE(CONTROL!$C$42, 12.1876, 12.1876)*CHOOSE(CONTROL!$C$21, $C$9, 100%, $E$9)</f>
        <v>12.1876</v>
      </c>
      <c r="H242" s="14">
        <f>CHOOSE(CONTROL!$C$42, 12.2646, 12.2646) * CHOOSE(CONTROL!$C$21, $C$9, 100%, $E$9)</f>
        <v>12.2646</v>
      </c>
      <c r="I242" s="14">
        <f>CHOOSE(CONTROL!$C$42, 12.2067, 12.2067)* CHOOSE(CONTROL!$C$21, $C$9, 100%, $E$9)</f>
        <v>12.2067</v>
      </c>
      <c r="J242" s="14">
        <f>CHOOSE(CONTROL!$C$42, 12.1628, 12.1628)* CHOOSE(CONTROL!$C$21, $C$9, 100%, $E$9)</f>
        <v>12.162800000000001</v>
      </c>
      <c r="K242" s="52">
        <f>CHOOSE(CONTROL!$C$42, 12.2028, 12.2028) * CHOOSE(CONTROL!$C$21, $C$9, 100%, $E$9)</f>
        <v>12.2028</v>
      </c>
      <c r="L242" s="14">
        <f>CHOOSE(CONTROL!$C$42, 12.8516, 12.8516) * CHOOSE(CONTROL!$C$21, $C$9, 100%, $E$9)</f>
        <v>12.851599999999999</v>
      </c>
      <c r="M242" s="14">
        <f>CHOOSE(CONTROL!$C$42, 11.9517, 11.9517) * CHOOSE(CONTROL!$C$21, $C$9, 100%, $E$9)</f>
        <v>11.951700000000001</v>
      </c>
      <c r="N242" s="14">
        <f>CHOOSE(CONTROL!$C$42, 11.9692, 11.9692) * CHOOSE(CONTROL!$C$21, $C$9, 100%, $E$9)</f>
        <v>11.969200000000001</v>
      </c>
      <c r="O242" s="14">
        <f>CHOOSE(CONTROL!$C$42, 12.0517, 12.0517) * CHOOSE(CONTROL!$C$21, $C$9, 100%, $E$9)</f>
        <v>12.0517</v>
      </c>
      <c r="P242" s="14">
        <f>CHOOSE(CONTROL!$C$42, 11.9943, 11.9943) * CHOOSE(CONTROL!$C$21, $C$9, 100%, $E$9)</f>
        <v>11.994300000000001</v>
      </c>
      <c r="Q242" s="14">
        <f>CHOOSE(CONTROL!$C$42, 12.6464, 12.6464) * CHOOSE(CONTROL!$C$21, $C$9, 100%, $E$9)</f>
        <v>12.6464</v>
      </c>
      <c r="R242" s="14">
        <f>CHOOSE(CONTROL!$C$42, 13.2651, 13.2651) * CHOOSE(CONTROL!$C$21, $C$9, 100%, $E$9)</f>
        <v>13.2651</v>
      </c>
      <c r="S242" s="14">
        <f>CHOOSE(CONTROL!$C$42, 11.6595, 11.6595) * CHOOSE(CONTROL!$C$21, $C$9, 100%, $E$9)</f>
        <v>11.6595</v>
      </c>
      <c r="T24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42" s="56">
        <f>(1000*CHOOSE(CONTROL!$C$42, 695, 695)*CHOOSE(CONTROL!$C$42, 0.5599, 0.5599)*CHOOSE(CONTROL!$C$42, 29, 29))/1000000</f>
        <v>11.284784499999999</v>
      </c>
      <c r="V242" s="56">
        <f>(1000*CHOOSE(CONTROL!$C$42, 500, 500)*CHOOSE(CONTROL!$C$42, 0.275, 0.275)*CHOOSE(CONTROL!$C$42, 29, 29))/1000000</f>
        <v>3.9874999999999998</v>
      </c>
      <c r="W242" s="56">
        <f>(1000*CHOOSE(CONTROL!$C$42, 0.1146, 0.1146)*CHOOSE(CONTROL!$C$42, 121.5, 121.5)*CHOOSE(CONTROL!$C$42, 29, 29))/1000000</f>
        <v>0.40379309999999996</v>
      </c>
      <c r="X242" s="56">
        <f>(29*0.1790888*100000/1000000)+(29*0.2374*100000/1000000)</f>
        <v>1.2078175199999999</v>
      </c>
      <c r="Y242" s="56"/>
      <c r="Z242" s="14"/>
      <c r="AA242" s="55"/>
      <c r="AB242" s="49">
        <f>(B242*122.58+C242*297.941+D242*89.177+E242*40.302+F242*40+G242*160+H242*0+I242*100+J242*300)/(122.58+297.941+89.177+40.302+0+40+160+100+300)</f>
        <v>12.17435259026087</v>
      </c>
      <c r="AC242" s="45">
        <f>(M242*'RAP TEMPLATE-GAS AVAILABILITY'!O241+N242*'RAP TEMPLATE-GAS AVAILABILITY'!P241+O242*'RAP TEMPLATE-GAS AVAILABILITY'!Q241+P242*'RAP TEMPLATE-GAS AVAILABILITY'!R241)/('RAP TEMPLATE-GAS AVAILABILITY'!O241+'RAP TEMPLATE-GAS AVAILABILITY'!P241+'RAP TEMPLATE-GAS AVAILABILITY'!Q241+'RAP TEMPLATE-GAS AVAILABILITY'!R241)</f>
        <v>12.004160431654675</v>
      </c>
    </row>
    <row r="243" spans="1:29" ht="15.75" x14ac:dyDescent="0.25">
      <c r="A243" s="13">
        <v>48274</v>
      </c>
      <c r="B243" s="14">
        <f>CHOOSE(CONTROL!$C$42, 11.7983, 11.7983) * CHOOSE(CONTROL!$C$21, $C$9, 100%, $E$9)</f>
        <v>11.798299999999999</v>
      </c>
      <c r="C243" s="14">
        <f>CHOOSE(CONTROL!$C$42, 11.8034, 11.8034) * CHOOSE(CONTROL!$C$21, $C$9, 100%, $E$9)</f>
        <v>11.8034</v>
      </c>
      <c r="D243" s="14">
        <f>CHOOSE(CONTROL!$C$42, 11.8969, 11.8969) * CHOOSE(CONTROL!$C$21, $C$9, 100%, $E$9)</f>
        <v>11.8969</v>
      </c>
      <c r="E243" s="14">
        <f>CHOOSE(CONTROL!$C$42, 11.931, 11.931) * CHOOSE(CONTROL!$C$21, $C$9, 100%, $E$9)</f>
        <v>11.930999999999999</v>
      </c>
      <c r="F243" s="14">
        <f>CHOOSE(CONTROL!$C$42, 11.8244, 11.8244)*CHOOSE(CONTROL!$C$21, $C$9, 100%, $E$9)</f>
        <v>11.824400000000001</v>
      </c>
      <c r="G243" s="14">
        <f>CHOOSE(CONTROL!$C$42, 11.8421, 11.8421)*CHOOSE(CONTROL!$C$21, $C$9, 100%, $E$9)</f>
        <v>11.8421</v>
      </c>
      <c r="H243" s="14">
        <f>CHOOSE(CONTROL!$C$42, 11.9202, 11.9202) * CHOOSE(CONTROL!$C$21, $C$9, 100%, $E$9)</f>
        <v>11.920199999999999</v>
      </c>
      <c r="I243" s="14">
        <f>CHOOSE(CONTROL!$C$42, 11.8612, 11.8612)* CHOOSE(CONTROL!$C$21, $C$9, 100%, $E$9)</f>
        <v>11.8612</v>
      </c>
      <c r="J243" s="14">
        <f>CHOOSE(CONTROL!$C$42, 11.8174, 11.8174)* CHOOSE(CONTROL!$C$21, $C$9, 100%, $E$9)</f>
        <v>11.817399999999999</v>
      </c>
      <c r="K243" s="52">
        <f>CHOOSE(CONTROL!$C$42, 11.8573, 11.8573) * CHOOSE(CONTROL!$C$21, $C$9, 100%, $E$9)</f>
        <v>11.8573</v>
      </c>
      <c r="L243" s="14">
        <f>CHOOSE(CONTROL!$C$42, 12.5072, 12.5072) * CHOOSE(CONTROL!$C$21, $C$9, 100%, $E$9)</f>
        <v>12.507199999999999</v>
      </c>
      <c r="M243" s="14">
        <f>CHOOSE(CONTROL!$C$42, 11.6125, 11.6125) * CHOOSE(CONTROL!$C$21, $C$9, 100%, $E$9)</f>
        <v>11.612500000000001</v>
      </c>
      <c r="N243" s="14">
        <f>CHOOSE(CONTROL!$C$42, 11.6299, 11.6299) * CHOOSE(CONTROL!$C$21, $C$9, 100%, $E$9)</f>
        <v>11.629899999999999</v>
      </c>
      <c r="O243" s="14">
        <f>CHOOSE(CONTROL!$C$42, 11.7135, 11.7135) * CHOOSE(CONTROL!$C$21, $C$9, 100%, $E$9)</f>
        <v>11.7135</v>
      </c>
      <c r="P243" s="14">
        <f>CHOOSE(CONTROL!$C$42, 11.6549, 11.6549) * CHOOSE(CONTROL!$C$21, $C$9, 100%, $E$9)</f>
        <v>11.6549</v>
      </c>
      <c r="Q243" s="14">
        <f>CHOOSE(CONTROL!$C$42, 12.3082, 12.3082) * CHOOSE(CONTROL!$C$21, $C$9, 100%, $E$9)</f>
        <v>12.308199999999999</v>
      </c>
      <c r="R243" s="14">
        <f>CHOOSE(CONTROL!$C$42, 12.9259, 12.9259) * CHOOSE(CONTROL!$C$21, $C$9, 100%, $E$9)</f>
        <v>12.9259</v>
      </c>
      <c r="S243" s="14">
        <f>CHOOSE(CONTROL!$C$42, 11.3285, 11.3285) * CHOOSE(CONTROL!$C$21, $C$9, 100%, $E$9)</f>
        <v>11.3285</v>
      </c>
      <c r="T24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43" s="56">
        <f>(1000*CHOOSE(CONTROL!$C$42, 695, 695)*CHOOSE(CONTROL!$C$42, 0.5599, 0.5599)*CHOOSE(CONTROL!$C$42, 31, 31))/1000000</f>
        <v>12.063045499999998</v>
      </c>
      <c r="V243" s="56">
        <f>(1000*CHOOSE(CONTROL!$C$42, 500, 500)*CHOOSE(CONTROL!$C$42, 0.275, 0.275)*CHOOSE(CONTROL!$C$42, 31, 31))/1000000</f>
        <v>4.2625000000000002</v>
      </c>
      <c r="W243" s="56">
        <f>(1000*CHOOSE(CONTROL!$C$42, 0.1146, 0.1146)*CHOOSE(CONTROL!$C$42, 121.5, 121.5)*CHOOSE(CONTROL!$C$42, 31, 31))/1000000</f>
        <v>0.43164089999999994</v>
      </c>
      <c r="X243" s="56">
        <f>(31*0.1790888*100000/1000000)+(31*0.2374*100000/1000000)</f>
        <v>1.2911152800000001</v>
      </c>
      <c r="Y243" s="56"/>
      <c r="Z243" s="14"/>
      <c r="AA243" s="55"/>
      <c r="AB243" s="49">
        <f>(B243*122.58+C243*297.941+D243*89.177+E243*40.302+F243*40+G243*160+H243*0+I243*100+J243*300)/(122.58+297.941+89.177+40.302+0+40+160+100+300)</f>
        <v>11.829371675391304</v>
      </c>
      <c r="AC243" s="45">
        <f>(M243*'RAP TEMPLATE-GAS AVAILABILITY'!O242+N243*'RAP TEMPLATE-GAS AVAILABILITY'!P242+O243*'RAP TEMPLATE-GAS AVAILABILITY'!Q242+P243*'RAP TEMPLATE-GAS AVAILABILITY'!R242)/('RAP TEMPLATE-GAS AVAILABILITY'!O242+'RAP TEMPLATE-GAS AVAILABILITY'!P242+'RAP TEMPLATE-GAS AVAILABILITY'!Q242+'RAP TEMPLATE-GAS AVAILABILITY'!R242)</f>
        <v>11.665379136690648</v>
      </c>
    </row>
    <row r="244" spans="1:29" ht="15.75" x14ac:dyDescent="0.25">
      <c r="A244" s="13">
        <v>48305</v>
      </c>
      <c r="B244" s="14">
        <f>CHOOSE(CONTROL!$C$42, 11.7641, 11.7641) * CHOOSE(CONTROL!$C$21, $C$9, 100%, $E$9)</f>
        <v>11.764099999999999</v>
      </c>
      <c r="C244" s="14">
        <f>CHOOSE(CONTROL!$C$42, 11.7685, 11.7685) * CHOOSE(CONTROL!$C$21, $C$9, 100%, $E$9)</f>
        <v>11.7685</v>
      </c>
      <c r="D244" s="14">
        <f>CHOOSE(CONTROL!$C$42, 12.0308, 12.0308) * CHOOSE(CONTROL!$C$21, $C$9, 100%, $E$9)</f>
        <v>12.030799999999999</v>
      </c>
      <c r="E244" s="14">
        <f>CHOOSE(CONTROL!$C$42, 12.0629, 12.0629) * CHOOSE(CONTROL!$C$21, $C$9, 100%, $E$9)</f>
        <v>12.062900000000001</v>
      </c>
      <c r="F244" s="14">
        <f>CHOOSE(CONTROL!$C$42, 11.7869, 11.7869)*CHOOSE(CONTROL!$C$21, $C$9, 100%, $E$9)</f>
        <v>11.786899999999999</v>
      </c>
      <c r="G244" s="14">
        <f>CHOOSE(CONTROL!$C$42, 11.8036, 11.8036)*CHOOSE(CONTROL!$C$21, $C$9, 100%, $E$9)</f>
        <v>11.803599999999999</v>
      </c>
      <c r="H244" s="14">
        <f>CHOOSE(CONTROL!$C$42, 12.0527, 12.0527) * CHOOSE(CONTROL!$C$21, $C$9, 100%, $E$9)</f>
        <v>12.0527</v>
      </c>
      <c r="I244" s="14">
        <f>CHOOSE(CONTROL!$C$42, 11.8234, 11.8234)* CHOOSE(CONTROL!$C$21, $C$9, 100%, $E$9)</f>
        <v>11.823399999999999</v>
      </c>
      <c r="J244" s="14">
        <f>CHOOSE(CONTROL!$C$42, 11.7799, 11.7799)* CHOOSE(CONTROL!$C$21, $C$9, 100%, $E$9)</f>
        <v>11.7799</v>
      </c>
      <c r="K244" s="52">
        <f>CHOOSE(CONTROL!$C$42, 11.8195, 11.8195) * CHOOSE(CONTROL!$C$21, $C$9, 100%, $E$9)</f>
        <v>11.8195</v>
      </c>
      <c r="L244" s="14">
        <f>CHOOSE(CONTROL!$C$42, 12.6397, 12.6397) * CHOOSE(CONTROL!$C$21, $C$9, 100%, $E$9)</f>
        <v>12.639699999999999</v>
      </c>
      <c r="M244" s="14">
        <f>CHOOSE(CONTROL!$C$42, 11.5757, 11.5757) * CHOOSE(CONTROL!$C$21, $C$9, 100%, $E$9)</f>
        <v>11.575699999999999</v>
      </c>
      <c r="N244" s="14">
        <f>CHOOSE(CONTROL!$C$42, 11.5921, 11.5921) * CHOOSE(CONTROL!$C$21, $C$9, 100%, $E$9)</f>
        <v>11.5921</v>
      </c>
      <c r="O244" s="14">
        <f>CHOOSE(CONTROL!$C$42, 11.8436, 11.8436) * CHOOSE(CONTROL!$C$21, $C$9, 100%, $E$9)</f>
        <v>11.8436</v>
      </c>
      <c r="P244" s="14">
        <f>CHOOSE(CONTROL!$C$42, 11.6178, 11.6178) * CHOOSE(CONTROL!$C$21, $C$9, 100%, $E$9)</f>
        <v>11.617800000000001</v>
      </c>
      <c r="Q244" s="14">
        <f>CHOOSE(CONTROL!$C$42, 12.4383, 12.4383) * CHOOSE(CONTROL!$C$21, $C$9, 100%, $E$9)</f>
        <v>12.4383</v>
      </c>
      <c r="R244" s="14">
        <f>CHOOSE(CONTROL!$C$42, 13.0564, 13.0564) * CHOOSE(CONTROL!$C$21, $C$9, 100%, $E$9)</f>
        <v>13.0564</v>
      </c>
      <c r="S244" s="14">
        <f>CHOOSE(CONTROL!$C$42, 11.2948, 11.2948) * CHOOSE(CONTROL!$C$21, $C$9, 100%, $E$9)</f>
        <v>11.2948</v>
      </c>
      <c r="T24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44" s="56">
        <f>(1000*CHOOSE(CONTROL!$C$42, 695, 695)*CHOOSE(CONTROL!$C$42, 0.5599, 0.5599)*CHOOSE(CONTROL!$C$42, 30, 30))/1000000</f>
        <v>11.673914999999997</v>
      </c>
      <c r="V244" s="56">
        <f>(1000*CHOOSE(CONTROL!$C$42, 500, 500)*CHOOSE(CONTROL!$C$42, 0.275, 0.275)*CHOOSE(CONTROL!$C$42, 30, 30))/1000000</f>
        <v>4.125</v>
      </c>
      <c r="W244" s="56">
        <f>(1000*CHOOSE(CONTROL!$C$42, 0.1146, 0.1146)*CHOOSE(CONTROL!$C$42, 121.5, 121.5)*CHOOSE(CONTROL!$C$42, 30, 30))/1000000</f>
        <v>0.417717</v>
      </c>
      <c r="X244" s="56">
        <f>(30*0.1790888*245000/1000000)+(30*0.2374*100000/1000000)</f>
        <v>2.0285026799999999</v>
      </c>
      <c r="Y244" s="56"/>
      <c r="Z244" s="14"/>
      <c r="AA244" s="55"/>
      <c r="AB244" s="49">
        <f>(B244*141.293+C244*267.993+D244*115.016+E244*89.698+F244*40+G244*185+H244*0+I244*100+J244*300)/(141.293+267.993+115.016+89.698+0+40+185+100+300)</f>
        <v>11.826686923970943</v>
      </c>
      <c r="AC244" s="45">
        <f>(M244*'RAP TEMPLATE-GAS AVAILABILITY'!O243+N244*'RAP TEMPLATE-GAS AVAILABILITY'!P243+O244*'RAP TEMPLATE-GAS AVAILABILITY'!Q243+P244*'RAP TEMPLATE-GAS AVAILABILITY'!R243)/('RAP TEMPLATE-GAS AVAILABILITY'!O243+'RAP TEMPLATE-GAS AVAILABILITY'!P243+'RAP TEMPLATE-GAS AVAILABILITY'!Q243+'RAP TEMPLATE-GAS AVAILABILITY'!R243)</f>
        <v>11.660699280575537</v>
      </c>
    </row>
    <row r="245" spans="1:29" ht="15.75" x14ac:dyDescent="0.25">
      <c r="A245" s="13">
        <v>48335</v>
      </c>
      <c r="B245" s="14">
        <f>CHOOSE(CONTROL!$C$42, 11.8692, 11.8692) * CHOOSE(CONTROL!$C$21, $C$9, 100%, $E$9)</f>
        <v>11.869199999999999</v>
      </c>
      <c r="C245" s="14">
        <f>CHOOSE(CONTROL!$C$42, 11.8772, 11.8772) * CHOOSE(CONTROL!$C$21, $C$9, 100%, $E$9)</f>
        <v>11.8772</v>
      </c>
      <c r="D245" s="14">
        <f>CHOOSE(CONTROL!$C$42, 12.1363, 12.1363) * CHOOSE(CONTROL!$C$21, $C$9, 100%, $E$9)</f>
        <v>12.1363</v>
      </c>
      <c r="E245" s="14">
        <f>CHOOSE(CONTROL!$C$42, 12.1678, 12.1678) * CHOOSE(CONTROL!$C$21, $C$9, 100%, $E$9)</f>
        <v>12.1678</v>
      </c>
      <c r="F245" s="14">
        <f>CHOOSE(CONTROL!$C$42, 11.8907, 11.8907)*CHOOSE(CONTROL!$C$21, $C$9, 100%, $E$9)</f>
        <v>11.890700000000001</v>
      </c>
      <c r="G245" s="14">
        <f>CHOOSE(CONTROL!$C$42, 11.9077, 11.9077)*CHOOSE(CONTROL!$C$21, $C$9, 100%, $E$9)</f>
        <v>11.9077</v>
      </c>
      <c r="H245" s="14">
        <f>CHOOSE(CONTROL!$C$42, 12.1564, 12.1564) * CHOOSE(CONTROL!$C$21, $C$9, 100%, $E$9)</f>
        <v>12.1564</v>
      </c>
      <c r="I245" s="14">
        <f>CHOOSE(CONTROL!$C$42, 11.9275, 11.9275)* CHOOSE(CONTROL!$C$21, $C$9, 100%, $E$9)</f>
        <v>11.9275</v>
      </c>
      <c r="J245" s="14">
        <f>CHOOSE(CONTROL!$C$42, 11.8837, 11.8837)* CHOOSE(CONTROL!$C$21, $C$9, 100%, $E$9)</f>
        <v>11.883699999999999</v>
      </c>
      <c r="K245" s="52">
        <f>CHOOSE(CONTROL!$C$42, 11.9236, 11.9236) * CHOOSE(CONTROL!$C$21, $C$9, 100%, $E$9)</f>
        <v>11.9236</v>
      </c>
      <c r="L245" s="14">
        <f>CHOOSE(CONTROL!$C$42, 12.7434, 12.7434) * CHOOSE(CONTROL!$C$21, $C$9, 100%, $E$9)</f>
        <v>12.743399999999999</v>
      </c>
      <c r="M245" s="14">
        <f>CHOOSE(CONTROL!$C$42, 11.6777, 11.6777) * CHOOSE(CONTROL!$C$21, $C$9, 100%, $E$9)</f>
        <v>11.6777</v>
      </c>
      <c r="N245" s="14">
        <f>CHOOSE(CONTROL!$C$42, 11.6943, 11.6943) * CHOOSE(CONTROL!$C$21, $C$9, 100%, $E$9)</f>
        <v>11.6943</v>
      </c>
      <c r="O245" s="14">
        <f>CHOOSE(CONTROL!$C$42, 11.9454, 11.9454) * CHOOSE(CONTROL!$C$21, $C$9, 100%, $E$9)</f>
        <v>11.945399999999999</v>
      </c>
      <c r="P245" s="14">
        <f>CHOOSE(CONTROL!$C$42, 11.72, 11.72) * CHOOSE(CONTROL!$C$21, $C$9, 100%, $E$9)</f>
        <v>11.72</v>
      </c>
      <c r="Q245" s="14">
        <f>CHOOSE(CONTROL!$C$42, 12.5401, 12.5401) * CHOOSE(CONTROL!$C$21, $C$9, 100%, $E$9)</f>
        <v>12.540100000000001</v>
      </c>
      <c r="R245" s="14">
        <f>CHOOSE(CONTROL!$C$42, 13.1585, 13.1585) * CHOOSE(CONTROL!$C$21, $C$9, 100%, $E$9)</f>
        <v>13.1585</v>
      </c>
      <c r="S245" s="14">
        <f>CHOOSE(CONTROL!$C$42, 11.3945, 11.3945) * CHOOSE(CONTROL!$C$21, $C$9, 100%, $E$9)</f>
        <v>11.394500000000001</v>
      </c>
      <c r="T24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45" s="56">
        <f>(1000*CHOOSE(CONTROL!$C$42, 695, 695)*CHOOSE(CONTROL!$C$42, 0.5599, 0.5599)*CHOOSE(CONTROL!$C$42, 31, 31))/1000000</f>
        <v>12.063045499999998</v>
      </c>
      <c r="V245" s="56">
        <f>(1000*CHOOSE(CONTROL!$C$42, 500, 500)*CHOOSE(CONTROL!$C$42, 0.275, 0.275)*CHOOSE(CONTROL!$C$42, 31, 31))/1000000</f>
        <v>4.2625000000000002</v>
      </c>
      <c r="W245" s="56">
        <f>(1000*CHOOSE(CONTROL!$C$42, 0.1146, 0.1146)*CHOOSE(CONTROL!$C$42, 121.5, 121.5)*CHOOSE(CONTROL!$C$42, 31, 31))/1000000</f>
        <v>0.43164089999999994</v>
      </c>
      <c r="X245" s="56">
        <f>(31*0.1790888*245000/1000000)+(31*0.2374*100000/1000000)</f>
        <v>2.0961194359999999</v>
      </c>
      <c r="Y245" s="56"/>
      <c r="Z245" s="14"/>
      <c r="AA245" s="55"/>
      <c r="AB245" s="49">
        <f>(B245*194.205+C245*267.466+D245*133.845+E245*53.484+F245*40+G245*185+H245*0+I245*100+J245*300)/(194.205+267.466+133.845+53.484+0+40+185+100+300)</f>
        <v>11.925732613736264</v>
      </c>
      <c r="AC245" s="45">
        <f>(M245*'RAP TEMPLATE-GAS AVAILABILITY'!O244+N245*'RAP TEMPLATE-GAS AVAILABILITY'!P244+O245*'RAP TEMPLATE-GAS AVAILABILITY'!Q244+P245*'RAP TEMPLATE-GAS AVAILABILITY'!R244)/('RAP TEMPLATE-GAS AVAILABILITY'!O244+'RAP TEMPLATE-GAS AVAILABILITY'!P244+'RAP TEMPLATE-GAS AVAILABILITY'!Q244+'RAP TEMPLATE-GAS AVAILABILITY'!R244)</f>
        <v>11.762717985611511</v>
      </c>
    </row>
    <row r="246" spans="1:29" ht="15.75" x14ac:dyDescent="0.25">
      <c r="A246" s="13">
        <v>48366</v>
      </c>
      <c r="B246" s="14">
        <f>CHOOSE(CONTROL!$C$42, 12.2055, 12.2055) * CHOOSE(CONTROL!$C$21, $C$9, 100%, $E$9)</f>
        <v>12.205500000000001</v>
      </c>
      <c r="C246" s="14">
        <f>CHOOSE(CONTROL!$C$42, 12.2136, 12.2136) * CHOOSE(CONTROL!$C$21, $C$9, 100%, $E$9)</f>
        <v>12.2136</v>
      </c>
      <c r="D246" s="14">
        <f>CHOOSE(CONTROL!$C$42, 12.4726, 12.4726) * CHOOSE(CONTROL!$C$21, $C$9, 100%, $E$9)</f>
        <v>12.4726</v>
      </c>
      <c r="E246" s="14">
        <f>CHOOSE(CONTROL!$C$42, 12.5041, 12.5041) * CHOOSE(CONTROL!$C$21, $C$9, 100%, $E$9)</f>
        <v>12.504099999999999</v>
      </c>
      <c r="F246" s="14">
        <f>CHOOSE(CONTROL!$C$42, 12.2273, 12.2273)*CHOOSE(CONTROL!$C$21, $C$9, 100%, $E$9)</f>
        <v>12.2273</v>
      </c>
      <c r="G246" s="14">
        <f>CHOOSE(CONTROL!$C$42, 12.2443, 12.2443)*CHOOSE(CONTROL!$C$21, $C$9, 100%, $E$9)</f>
        <v>12.244300000000001</v>
      </c>
      <c r="H246" s="14">
        <f>CHOOSE(CONTROL!$C$42, 12.4927, 12.4927) * CHOOSE(CONTROL!$C$21, $C$9, 100%, $E$9)</f>
        <v>12.492699999999999</v>
      </c>
      <c r="I246" s="14">
        <f>CHOOSE(CONTROL!$C$42, 12.2649, 12.2649)* CHOOSE(CONTROL!$C$21, $C$9, 100%, $E$9)</f>
        <v>12.264900000000001</v>
      </c>
      <c r="J246" s="14">
        <f>CHOOSE(CONTROL!$C$42, 12.2203, 12.2203)* CHOOSE(CONTROL!$C$21, $C$9, 100%, $E$9)</f>
        <v>12.2203</v>
      </c>
      <c r="K246" s="52">
        <f>CHOOSE(CONTROL!$C$42, 12.261, 12.261) * CHOOSE(CONTROL!$C$21, $C$9, 100%, $E$9)</f>
        <v>12.260999999999999</v>
      </c>
      <c r="L246" s="14">
        <f>CHOOSE(CONTROL!$C$42, 13.0797, 13.0797) * CHOOSE(CONTROL!$C$21, $C$9, 100%, $E$9)</f>
        <v>13.079700000000001</v>
      </c>
      <c r="M246" s="14">
        <f>CHOOSE(CONTROL!$C$42, 12.0082, 12.0082) * CHOOSE(CONTROL!$C$21, $C$9, 100%, $E$9)</f>
        <v>12.0082</v>
      </c>
      <c r="N246" s="14">
        <f>CHOOSE(CONTROL!$C$42, 12.0249, 12.0249) * CHOOSE(CONTROL!$C$21, $C$9, 100%, $E$9)</f>
        <v>12.024900000000001</v>
      </c>
      <c r="O246" s="14">
        <f>CHOOSE(CONTROL!$C$42, 12.2757, 12.2757) * CHOOSE(CONTROL!$C$21, $C$9, 100%, $E$9)</f>
        <v>12.275700000000001</v>
      </c>
      <c r="P246" s="14">
        <f>CHOOSE(CONTROL!$C$42, 12.0513, 12.0513) * CHOOSE(CONTROL!$C$21, $C$9, 100%, $E$9)</f>
        <v>12.051299999999999</v>
      </c>
      <c r="Q246" s="14">
        <f>CHOOSE(CONTROL!$C$42, 12.8704, 12.8704) * CHOOSE(CONTROL!$C$21, $C$9, 100%, $E$9)</f>
        <v>12.8704</v>
      </c>
      <c r="R246" s="14">
        <f>CHOOSE(CONTROL!$C$42, 13.4896, 13.4896) * CHOOSE(CONTROL!$C$21, $C$9, 100%, $E$9)</f>
        <v>13.489599999999999</v>
      </c>
      <c r="S246" s="14">
        <f>CHOOSE(CONTROL!$C$42, 11.7177, 11.7177) * CHOOSE(CONTROL!$C$21, $C$9, 100%, $E$9)</f>
        <v>11.717700000000001</v>
      </c>
      <c r="T24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46" s="56">
        <f>(1000*CHOOSE(CONTROL!$C$42, 695, 695)*CHOOSE(CONTROL!$C$42, 0.5599, 0.5599)*CHOOSE(CONTROL!$C$42, 30, 30))/1000000</f>
        <v>11.673914999999997</v>
      </c>
      <c r="V246" s="56">
        <f>(1000*CHOOSE(CONTROL!$C$42, 500, 500)*CHOOSE(CONTROL!$C$42, 0.275, 0.275)*CHOOSE(CONTROL!$C$42, 30, 30))/1000000</f>
        <v>4.125</v>
      </c>
      <c r="W246" s="56">
        <f>(1000*CHOOSE(CONTROL!$C$42, 0.1146, 0.1146)*CHOOSE(CONTROL!$C$42, 121.5, 121.5)*CHOOSE(CONTROL!$C$42, 30, 30))/1000000</f>
        <v>0.417717</v>
      </c>
      <c r="X246" s="56">
        <f>(30*0.1790888*245000/1000000)+(30*0.2374*100000/1000000)</f>
        <v>2.0285026799999999</v>
      </c>
      <c r="Y246" s="56"/>
      <c r="Z246" s="14"/>
      <c r="AA246" s="55"/>
      <c r="AB246" s="49">
        <f>(B246*194.205+C246*267.466+D246*133.845+E246*53.484+F246*40+G246*185+H246*0+I246*100+J246*300)/(194.205+267.466+133.845+53.484+0+40+185+100+300)</f>
        <v>12.262263576530612</v>
      </c>
      <c r="AC246" s="45">
        <f>(M246*'RAP TEMPLATE-GAS AVAILABILITY'!O245+N246*'RAP TEMPLATE-GAS AVAILABILITY'!P245+O246*'RAP TEMPLATE-GAS AVAILABILITY'!Q245+P246*'RAP TEMPLATE-GAS AVAILABILITY'!R245)/('RAP TEMPLATE-GAS AVAILABILITY'!O245+'RAP TEMPLATE-GAS AVAILABILITY'!P245+'RAP TEMPLATE-GAS AVAILABILITY'!Q245+'RAP TEMPLATE-GAS AVAILABILITY'!R245)</f>
        <v>12.093299999999999</v>
      </c>
    </row>
    <row r="247" spans="1:29" ht="15.75" x14ac:dyDescent="0.25">
      <c r="A247" s="13">
        <v>48396</v>
      </c>
      <c r="B247" s="14">
        <f>CHOOSE(CONTROL!$C$42, 11.9716, 11.9716) * CHOOSE(CONTROL!$C$21, $C$9, 100%, $E$9)</f>
        <v>11.9716</v>
      </c>
      <c r="C247" s="14">
        <f>CHOOSE(CONTROL!$C$42, 11.9796, 11.9796) * CHOOSE(CONTROL!$C$21, $C$9, 100%, $E$9)</f>
        <v>11.9796</v>
      </c>
      <c r="D247" s="14">
        <f>CHOOSE(CONTROL!$C$42, 12.2387, 12.2387) * CHOOSE(CONTROL!$C$21, $C$9, 100%, $E$9)</f>
        <v>12.2387</v>
      </c>
      <c r="E247" s="14">
        <f>CHOOSE(CONTROL!$C$42, 12.2702, 12.2702) * CHOOSE(CONTROL!$C$21, $C$9, 100%, $E$9)</f>
        <v>12.270200000000001</v>
      </c>
      <c r="F247" s="14">
        <f>CHOOSE(CONTROL!$C$42, 11.9938, 11.9938)*CHOOSE(CONTROL!$C$21, $C$9, 100%, $E$9)</f>
        <v>11.9938</v>
      </c>
      <c r="G247" s="14">
        <f>CHOOSE(CONTROL!$C$42, 12.011, 12.011)*CHOOSE(CONTROL!$C$21, $C$9, 100%, $E$9)</f>
        <v>12.010999999999999</v>
      </c>
      <c r="H247" s="14">
        <f>CHOOSE(CONTROL!$C$42, 12.2588, 12.2588) * CHOOSE(CONTROL!$C$21, $C$9, 100%, $E$9)</f>
        <v>12.258800000000001</v>
      </c>
      <c r="I247" s="14">
        <f>CHOOSE(CONTROL!$C$42, 12.0302, 12.0302)* CHOOSE(CONTROL!$C$21, $C$9, 100%, $E$9)</f>
        <v>12.030200000000001</v>
      </c>
      <c r="J247" s="14">
        <f>CHOOSE(CONTROL!$C$42, 11.9868, 11.9868)* CHOOSE(CONTROL!$C$21, $C$9, 100%, $E$9)</f>
        <v>11.986800000000001</v>
      </c>
      <c r="K247" s="52">
        <f>CHOOSE(CONTROL!$C$42, 12.0263, 12.0263) * CHOOSE(CONTROL!$C$21, $C$9, 100%, $E$9)</f>
        <v>12.026300000000001</v>
      </c>
      <c r="L247" s="14">
        <f>CHOOSE(CONTROL!$C$42, 12.8458, 12.8458) * CHOOSE(CONTROL!$C$21, $C$9, 100%, $E$9)</f>
        <v>12.845800000000001</v>
      </c>
      <c r="M247" s="14">
        <f>CHOOSE(CONTROL!$C$42, 11.7789, 11.7789) * CHOOSE(CONTROL!$C$21, $C$9, 100%, $E$9)</f>
        <v>11.7789</v>
      </c>
      <c r="N247" s="14">
        <f>CHOOSE(CONTROL!$C$42, 11.7957, 11.7957) * CHOOSE(CONTROL!$C$21, $C$9, 100%, $E$9)</f>
        <v>11.7957</v>
      </c>
      <c r="O247" s="14">
        <f>CHOOSE(CONTROL!$C$42, 12.046, 12.046) * CHOOSE(CONTROL!$C$21, $C$9, 100%, $E$9)</f>
        <v>12.045999999999999</v>
      </c>
      <c r="P247" s="14">
        <f>CHOOSE(CONTROL!$C$42, 11.8209, 11.8209) * CHOOSE(CONTROL!$C$21, $C$9, 100%, $E$9)</f>
        <v>11.8209</v>
      </c>
      <c r="Q247" s="14">
        <f>CHOOSE(CONTROL!$C$42, 12.6407, 12.6407) * CHOOSE(CONTROL!$C$21, $C$9, 100%, $E$9)</f>
        <v>12.640700000000001</v>
      </c>
      <c r="R247" s="14">
        <f>CHOOSE(CONTROL!$C$42, 13.2593, 13.2593) * CHOOSE(CONTROL!$C$21, $C$9, 100%, $E$9)</f>
        <v>13.2593</v>
      </c>
      <c r="S247" s="14">
        <f>CHOOSE(CONTROL!$C$42, 11.4929, 11.4929) * CHOOSE(CONTROL!$C$21, $C$9, 100%, $E$9)</f>
        <v>11.492900000000001</v>
      </c>
      <c r="T24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47" s="56">
        <f>(1000*CHOOSE(CONTROL!$C$42, 695, 695)*CHOOSE(CONTROL!$C$42, 0.5599, 0.5599)*CHOOSE(CONTROL!$C$42, 31, 31))/1000000</f>
        <v>12.063045499999998</v>
      </c>
      <c r="V247" s="56">
        <f>(1000*CHOOSE(CONTROL!$C$42, 500, 500)*CHOOSE(CONTROL!$C$42, 0.275, 0.275)*CHOOSE(CONTROL!$C$42, 31, 31))/1000000</f>
        <v>4.2625000000000002</v>
      </c>
      <c r="W247" s="56">
        <f>(1000*CHOOSE(CONTROL!$C$42, 0.1146, 0.1146)*CHOOSE(CONTROL!$C$42, 121.5, 121.5)*CHOOSE(CONTROL!$C$42, 31, 31))/1000000</f>
        <v>0.43164089999999994</v>
      </c>
      <c r="X247" s="56">
        <f>(31*0.1790888*245000/1000000)+(31*0.2374*100000/1000000)</f>
        <v>2.0961194359999999</v>
      </c>
      <c r="Y247" s="56"/>
      <c r="Z247" s="14"/>
      <c r="AA247" s="55"/>
      <c r="AB247" s="49">
        <f>(B247*194.205+C247*267.466+D247*133.845+E247*53.484+F247*40+G247*185+H247*0+I247*100+J247*300)/(194.205+267.466+133.845+53.484+0+40+185+100+300)</f>
        <v>12.028473665541602</v>
      </c>
      <c r="AC247" s="45">
        <f>(M247*'RAP TEMPLATE-GAS AVAILABILITY'!O246+N247*'RAP TEMPLATE-GAS AVAILABILITY'!P246+O247*'RAP TEMPLATE-GAS AVAILABILITY'!Q246+P247*'RAP TEMPLATE-GAS AVAILABILITY'!R246)/('RAP TEMPLATE-GAS AVAILABILITY'!O246+'RAP TEMPLATE-GAS AVAILABILITY'!P246+'RAP TEMPLATE-GAS AVAILABILITY'!Q246+'RAP TEMPLATE-GAS AVAILABILITY'!R246)</f>
        <v>11.86375251798561</v>
      </c>
    </row>
    <row r="248" spans="1:29" ht="15.75" x14ac:dyDescent="0.25">
      <c r="A248" s="13">
        <v>48427</v>
      </c>
      <c r="B248" s="14">
        <f>CHOOSE(CONTROL!$C$42, 11.3809, 11.3809) * CHOOSE(CONTROL!$C$21, $C$9, 100%, $E$9)</f>
        <v>11.3809</v>
      </c>
      <c r="C248" s="14">
        <f>CHOOSE(CONTROL!$C$42, 11.3889, 11.3889) * CHOOSE(CONTROL!$C$21, $C$9, 100%, $E$9)</f>
        <v>11.3889</v>
      </c>
      <c r="D248" s="14">
        <f>CHOOSE(CONTROL!$C$42, 11.648, 11.648) * CHOOSE(CONTROL!$C$21, $C$9, 100%, $E$9)</f>
        <v>11.648</v>
      </c>
      <c r="E248" s="14">
        <f>CHOOSE(CONTROL!$C$42, 11.6794, 11.6794) * CHOOSE(CONTROL!$C$21, $C$9, 100%, $E$9)</f>
        <v>11.679399999999999</v>
      </c>
      <c r="F248" s="14">
        <f>CHOOSE(CONTROL!$C$42, 11.4033, 11.4033)*CHOOSE(CONTROL!$C$21, $C$9, 100%, $E$9)</f>
        <v>11.4033</v>
      </c>
      <c r="G248" s="14">
        <f>CHOOSE(CONTROL!$C$42, 11.4205, 11.4205)*CHOOSE(CONTROL!$C$21, $C$9, 100%, $E$9)</f>
        <v>11.420500000000001</v>
      </c>
      <c r="H248" s="14">
        <f>CHOOSE(CONTROL!$C$42, 11.6681, 11.6681) * CHOOSE(CONTROL!$C$21, $C$9, 100%, $E$9)</f>
        <v>11.668100000000001</v>
      </c>
      <c r="I248" s="14">
        <f>CHOOSE(CONTROL!$C$42, 11.4376, 11.4376)* CHOOSE(CONTROL!$C$21, $C$9, 100%, $E$9)</f>
        <v>11.4376</v>
      </c>
      <c r="J248" s="14">
        <f>CHOOSE(CONTROL!$C$42, 11.3963, 11.3963)* CHOOSE(CONTROL!$C$21, $C$9, 100%, $E$9)</f>
        <v>11.3963</v>
      </c>
      <c r="K248" s="52">
        <f>CHOOSE(CONTROL!$C$42, 11.4337, 11.4337) * CHOOSE(CONTROL!$C$21, $C$9, 100%, $E$9)</f>
        <v>11.4337</v>
      </c>
      <c r="L248" s="14">
        <f>CHOOSE(CONTROL!$C$42, 12.2551, 12.2551) * CHOOSE(CONTROL!$C$21, $C$9, 100%, $E$9)</f>
        <v>12.255100000000001</v>
      </c>
      <c r="M248" s="14">
        <f>CHOOSE(CONTROL!$C$42, 11.199, 11.199) * CHOOSE(CONTROL!$C$21, $C$9, 100%, $E$9)</f>
        <v>11.199</v>
      </c>
      <c r="N248" s="14">
        <f>CHOOSE(CONTROL!$C$42, 11.2159, 11.2159) * CHOOSE(CONTROL!$C$21, $C$9, 100%, $E$9)</f>
        <v>11.2159</v>
      </c>
      <c r="O248" s="14">
        <f>CHOOSE(CONTROL!$C$42, 11.4659, 11.4659) * CHOOSE(CONTROL!$C$21, $C$9, 100%, $E$9)</f>
        <v>11.4659</v>
      </c>
      <c r="P248" s="14">
        <f>CHOOSE(CONTROL!$C$42, 11.239, 11.239) * CHOOSE(CONTROL!$C$21, $C$9, 100%, $E$9)</f>
        <v>11.239000000000001</v>
      </c>
      <c r="Q248" s="14">
        <f>CHOOSE(CONTROL!$C$42, 12.0606, 12.0606) * CHOOSE(CONTROL!$C$21, $C$9, 100%, $E$9)</f>
        <v>12.060600000000001</v>
      </c>
      <c r="R248" s="14">
        <f>CHOOSE(CONTROL!$C$42, 12.6777, 12.6777) * CHOOSE(CONTROL!$C$21, $C$9, 100%, $E$9)</f>
        <v>12.6777</v>
      </c>
      <c r="S248" s="14">
        <f>CHOOSE(CONTROL!$C$42, 10.9252, 10.9252) * CHOOSE(CONTROL!$C$21, $C$9, 100%, $E$9)</f>
        <v>10.9252</v>
      </c>
      <c r="T24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48" s="56">
        <f>(1000*CHOOSE(CONTROL!$C$42, 695, 695)*CHOOSE(CONTROL!$C$42, 0.5599, 0.5599)*CHOOSE(CONTROL!$C$42, 31, 31))/1000000</f>
        <v>12.063045499999998</v>
      </c>
      <c r="V248" s="56">
        <f>(1000*CHOOSE(CONTROL!$C$42, 500, 500)*CHOOSE(CONTROL!$C$42, 0.275, 0.275)*CHOOSE(CONTROL!$C$42, 31, 31))/1000000</f>
        <v>4.2625000000000002</v>
      </c>
      <c r="W248" s="56">
        <f>(1000*CHOOSE(CONTROL!$C$42, 0.1146, 0.1146)*CHOOSE(CONTROL!$C$42, 121.5, 121.5)*CHOOSE(CONTROL!$C$42, 31, 31))/1000000</f>
        <v>0.43164089999999994</v>
      </c>
      <c r="X248" s="56">
        <f>(31*0.1790888*245000/1000000)+(31*0.2374*100000/1000000)</f>
        <v>2.0961194359999999</v>
      </c>
      <c r="Y248" s="56"/>
      <c r="Z248" s="14"/>
      <c r="AA248" s="55"/>
      <c r="AB248" s="49">
        <f>(B248*194.205+C248*267.466+D248*133.845+E248*53.484+F248*40+G248*185+H248*0+I248*100+J248*300)/(194.205+267.466+133.845+53.484+0+40+185+100+300)</f>
        <v>11.437702748430141</v>
      </c>
      <c r="AC248" s="45">
        <f>(M248*'RAP TEMPLATE-GAS AVAILABILITY'!O247+N248*'RAP TEMPLATE-GAS AVAILABILITY'!P247+O248*'RAP TEMPLATE-GAS AVAILABILITY'!Q247+P248*'RAP TEMPLATE-GAS AVAILABILITY'!R247)/('RAP TEMPLATE-GAS AVAILABILITY'!O247+'RAP TEMPLATE-GAS AVAILABILITY'!P247+'RAP TEMPLATE-GAS AVAILABILITY'!Q247+'RAP TEMPLATE-GAS AVAILABILITY'!R247)</f>
        <v>11.28353165467626</v>
      </c>
    </row>
    <row r="249" spans="1:29" ht="15.75" x14ac:dyDescent="0.25">
      <c r="A249" s="13">
        <v>48458</v>
      </c>
      <c r="B249" s="14">
        <f>CHOOSE(CONTROL!$C$42, 10.6588, 10.6588) * CHOOSE(CONTROL!$C$21, $C$9, 100%, $E$9)</f>
        <v>10.658799999999999</v>
      </c>
      <c r="C249" s="14">
        <f>CHOOSE(CONTROL!$C$42, 10.6669, 10.6669) * CHOOSE(CONTROL!$C$21, $C$9, 100%, $E$9)</f>
        <v>10.6669</v>
      </c>
      <c r="D249" s="14">
        <f>CHOOSE(CONTROL!$C$42, 10.926, 10.926) * CHOOSE(CONTROL!$C$21, $C$9, 100%, $E$9)</f>
        <v>10.926</v>
      </c>
      <c r="E249" s="14">
        <f>CHOOSE(CONTROL!$C$42, 10.9574, 10.9574) * CHOOSE(CONTROL!$C$21, $C$9, 100%, $E$9)</f>
        <v>10.9574</v>
      </c>
      <c r="F249" s="14">
        <f>CHOOSE(CONTROL!$C$42, 10.6813, 10.6813)*CHOOSE(CONTROL!$C$21, $C$9, 100%, $E$9)</f>
        <v>10.6813</v>
      </c>
      <c r="G249" s="14">
        <f>CHOOSE(CONTROL!$C$42, 10.6985, 10.6985)*CHOOSE(CONTROL!$C$21, $C$9, 100%, $E$9)</f>
        <v>10.698499999999999</v>
      </c>
      <c r="H249" s="14">
        <f>CHOOSE(CONTROL!$C$42, 10.9461, 10.9461) * CHOOSE(CONTROL!$C$21, $C$9, 100%, $E$9)</f>
        <v>10.946099999999999</v>
      </c>
      <c r="I249" s="14">
        <f>CHOOSE(CONTROL!$C$42, 10.7133, 10.7133)* CHOOSE(CONTROL!$C$21, $C$9, 100%, $E$9)</f>
        <v>10.7133</v>
      </c>
      <c r="J249" s="14">
        <f>CHOOSE(CONTROL!$C$42, 10.6743, 10.6743)* CHOOSE(CONTROL!$C$21, $C$9, 100%, $E$9)</f>
        <v>10.674300000000001</v>
      </c>
      <c r="K249" s="52">
        <f>CHOOSE(CONTROL!$C$42, 10.7094, 10.7094) * CHOOSE(CONTROL!$C$21, $C$9, 100%, $E$9)</f>
        <v>10.7094</v>
      </c>
      <c r="L249" s="14">
        <f>CHOOSE(CONTROL!$C$42, 11.5331, 11.5331) * CHOOSE(CONTROL!$C$21, $C$9, 100%, $E$9)</f>
        <v>11.533099999999999</v>
      </c>
      <c r="M249" s="14">
        <f>CHOOSE(CONTROL!$C$42, 10.49, 10.49) * CHOOSE(CONTROL!$C$21, $C$9, 100%, $E$9)</f>
        <v>10.49</v>
      </c>
      <c r="N249" s="14">
        <f>CHOOSE(CONTROL!$C$42, 10.5069, 10.5069) * CHOOSE(CONTROL!$C$21, $C$9, 100%, $E$9)</f>
        <v>10.5069</v>
      </c>
      <c r="O249" s="14">
        <f>CHOOSE(CONTROL!$C$42, 10.7569, 10.7569) * CHOOSE(CONTROL!$C$21, $C$9, 100%, $E$9)</f>
        <v>10.7569</v>
      </c>
      <c r="P249" s="14">
        <f>CHOOSE(CONTROL!$C$42, 10.5278, 10.5278) * CHOOSE(CONTROL!$C$21, $C$9, 100%, $E$9)</f>
        <v>10.527799999999999</v>
      </c>
      <c r="Q249" s="14">
        <f>CHOOSE(CONTROL!$C$42, 11.3516, 11.3516) * CHOOSE(CONTROL!$C$21, $C$9, 100%, $E$9)</f>
        <v>11.351599999999999</v>
      </c>
      <c r="R249" s="14">
        <f>CHOOSE(CONTROL!$C$42, 11.9669, 11.9669) * CHOOSE(CONTROL!$C$21, $C$9, 100%, $E$9)</f>
        <v>11.966900000000001</v>
      </c>
      <c r="S249" s="14">
        <f>CHOOSE(CONTROL!$C$42, 10.2314, 10.2314) * CHOOSE(CONTROL!$C$21, $C$9, 100%, $E$9)</f>
        <v>10.231400000000001</v>
      </c>
      <c r="T24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49" s="56">
        <f>(1000*CHOOSE(CONTROL!$C$42, 695, 695)*CHOOSE(CONTROL!$C$42, 0.5599, 0.5599)*CHOOSE(CONTROL!$C$42, 30, 30))/1000000</f>
        <v>11.673914999999997</v>
      </c>
      <c r="V249" s="56">
        <f>(1000*CHOOSE(CONTROL!$C$42, 500, 500)*CHOOSE(CONTROL!$C$42, 0.275, 0.275)*CHOOSE(CONTROL!$C$42, 30, 30))/1000000</f>
        <v>4.125</v>
      </c>
      <c r="W249" s="56">
        <f>(1000*CHOOSE(CONTROL!$C$42, 0.1146, 0.1146)*CHOOSE(CONTROL!$C$42, 121.5, 121.5)*CHOOSE(CONTROL!$C$42, 30, 30))/1000000</f>
        <v>0.417717</v>
      </c>
      <c r="X249" s="56">
        <f>(30*0.1790888*245000/1000000)+(30*0.2374*100000/1000000)</f>
        <v>2.0285026799999999</v>
      </c>
      <c r="Y249" s="56"/>
      <c r="Z249" s="14"/>
      <c r="AA249" s="55"/>
      <c r="AB249" s="49">
        <f>(B249*194.205+C249*267.466+D249*133.845+E249*53.484+F249*40+G249*185+H249*0+I249*100+J249*300)/(194.205+267.466+133.845+53.484+0+40+185+100+300)</f>
        <v>10.715506970957614</v>
      </c>
      <c r="AC249" s="45">
        <f>(M249*'RAP TEMPLATE-GAS AVAILABILITY'!O248+N249*'RAP TEMPLATE-GAS AVAILABILITY'!P248+O249*'RAP TEMPLATE-GAS AVAILABILITY'!Q248+P249*'RAP TEMPLATE-GAS AVAILABILITY'!R248)/('RAP TEMPLATE-GAS AVAILABILITY'!O248+'RAP TEMPLATE-GAS AVAILABILITY'!P248+'RAP TEMPLATE-GAS AVAILABILITY'!Q248+'RAP TEMPLATE-GAS AVAILABILITY'!R248)</f>
        <v>10.574215107913668</v>
      </c>
    </row>
    <row r="250" spans="1:29" ht="15.75" x14ac:dyDescent="0.25">
      <c r="A250" s="13">
        <v>48488</v>
      </c>
      <c r="B250" s="14">
        <f>CHOOSE(CONTROL!$C$42, 10.4409, 10.4409) * CHOOSE(CONTROL!$C$21, $C$9, 100%, $E$9)</f>
        <v>10.440899999999999</v>
      </c>
      <c r="C250" s="14">
        <f>CHOOSE(CONTROL!$C$42, 10.4462, 10.4462) * CHOOSE(CONTROL!$C$21, $C$9, 100%, $E$9)</f>
        <v>10.446199999999999</v>
      </c>
      <c r="D250" s="14">
        <f>CHOOSE(CONTROL!$C$42, 10.7103, 10.7103) * CHOOSE(CONTROL!$C$21, $C$9, 100%, $E$9)</f>
        <v>10.7103</v>
      </c>
      <c r="E250" s="14">
        <f>CHOOSE(CONTROL!$C$42, 10.7394, 10.7394) * CHOOSE(CONTROL!$C$21, $C$9, 100%, $E$9)</f>
        <v>10.7394</v>
      </c>
      <c r="F250" s="14">
        <f>CHOOSE(CONTROL!$C$42, 10.4655, 10.4655)*CHOOSE(CONTROL!$C$21, $C$9, 100%, $E$9)</f>
        <v>10.4655</v>
      </c>
      <c r="G250" s="14">
        <f>CHOOSE(CONTROL!$C$42, 10.4826, 10.4826)*CHOOSE(CONTROL!$C$21, $C$9, 100%, $E$9)</f>
        <v>10.4826</v>
      </c>
      <c r="H250" s="14">
        <f>CHOOSE(CONTROL!$C$42, 10.7299, 10.7299) * CHOOSE(CONTROL!$C$21, $C$9, 100%, $E$9)</f>
        <v>10.729900000000001</v>
      </c>
      <c r="I250" s="14">
        <f>CHOOSE(CONTROL!$C$42, 10.4965, 10.4965)* CHOOSE(CONTROL!$C$21, $C$9, 100%, $E$9)</f>
        <v>10.496499999999999</v>
      </c>
      <c r="J250" s="14">
        <f>CHOOSE(CONTROL!$C$42, 10.4585, 10.4585)* CHOOSE(CONTROL!$C$21, $C$9, 100%, $E$9)</f>
        <v>10.458500000000001</v>
      </c>
      <c r="K250" s="52">
        <f>CHOOSE(CONTROL!$C$42, 10.4926, 10.4926) * CHOOSE(CONTROL!$C$21, $C$9, 100%, $E$9)</f>
        <v>10.492599999999999</v>
      </c>
      <c r="L250" s="14">
        <f>CHOOSE(CONTROL!$C$42, 11.3169, 11.3169) * CHOOSE(CONTROL!$C$21, $C$9, 100%, $E$9)</f>
        <v>11.3169</v>
      </c>
      <c r="M250" s="14">
        <f>CHOOSE(CONTROL!$C$42, 10.2781, 10.2781) * CHOOSE(CONTROL!$C$21, $C$9, 100%, $E$9)</f>
        <v>10.2781</v>
      </c>
      <c r="N250" s="14">
        <f>CHOOSE(CONTROL!$C$42, 10.2949, 10.2949) * CHOOSE(CONTROL!$C$21, $C$9, 100%, $E$9)</f>
        <v>10.2949</v>
      </c>
      <c r="O250" s="14">
        <f>CHOOSE(CONTROL!$C$42, 10.5446, 10.5446) * CHOOSE(CONTROL!$C$21, $C$9, 100%, $E$9)</f>
        <v>10.544600000000001</v>
      </c>
      <c r="P250" s="14">
        <f>CHOOSE(CONTROL!$C$42, 10.3148, 10.3148) * CHOOSE(CONTROL!$C$21, $C$9, 100%, $E$9)</f>
        <v>10.3148</v>
      </c>
      <c r="Q250" s="14">
        <f>CHOOSE(CONTROL!$C$42, 11.1393, 11.1393) * CHOOSE(CONTROL!$C$21, $C$9, 100%, $E$9)</f>
        <v>11.1393</v>
      </c>
      <c r="R250" s="14">
        <f>CHOOSE(CONTROL!$C$42, 11.7541, 11.7541) * CHOOSE(CONTROL!$C$21, $C$9, 100%, $E$9)</f>
        <v>11.754099999999999</v>
      </c>
      <c r="S250" s="14">
        <f>CHOOSE(CONTROL!$C$42, 10.0237, 10.0237) * CHOOSE(CONTROL!$C$21, $C$9, 100%, $E$9)</f>
        <v>10.0237</v>
      </c>
      <c r="T25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50" s="56">
        <f>(1000*CHOOSE(CONTROL!$C$42, 695, 695)*CHOOSE(CONTROL!$C$42, 0.5599, 0.5599)*CHOOSE(CONTROL!$C$42, 31, 31))/1000000</f>
        <v>12.063045499999998</v>
      </c>
      <c r="V250" s="56">
        <f>(1000*CHOOSE(CONTROL!$C$42, 500, 500)*CHOOSE(CONTROL!$C$42, 0.275, 0.275)*CHOOSE(CONTROL!$C$42, 31, 31))/1000000</f>
        <v>4.2625000000000002</v>
      </c>
      <c r="W250" s="56">
        <f>(1000*CHOOSE(CONTROL!$C$42, 0.1146, 0.1146)*CHOOSE(CONTROL!$C$42, 121.5, 121.5)*CHOOSE(CONTROL!$C$42, 31, 31))/1000000</f>
        <v>0.43164089999999994</v>
      </c>
      <c r="X250" s="56">
        <f>(31*0.1790888*245000/1000000)+(31*0.2374*100000/1000000)</f>
        <v>2.0961194359999999</v>
      </c>
      <c r="Y250" s="56"/>
      <c r="Z250" s="14"/>
      <c r="AA250" s="55"/>
      <c r="AB250" s="49">
        <f>(B250*131.881+C250*277.167+D250*79.08+E250*125.872+F250*40+G250*185+H250*0+I250*100+J250*300)/(131.881+277.167+79.08+125.872+0+40+185+100+300)</f>
        <v>10.505374922598872</v>
      </c>
      <c r="AC250" s="45">
        <f>(M250*'RAP TEMPLATE-GAS AVAILABILITY'!O249+N250*'RAP TEMPLATE-GAS AVAILABILITY'!P249+O250*'RAP TEMPLATE-GAS AVAILABILITY'!Q249+P250*'RAP TEMPLATE-GAS AVAILABILITY'!R249)/('RAP TEMPLATE-GAS AVAILABILITY'!O249+'RAP TEMPLATE-GAS AVAILABILITY'!P249+'RAP TEMPLATE-GAS AVAILABILITY'!Q249+'RAP TEMPLATE-GAS AVAILABILITY'!R249)</f>
        <v>10.362021582733812</v>
      </c>
    </row>
    <row r="251" spans="1:29" ht="15.75" x14ac:dyDescent="0.25">
      <c r="A251" s="13">
        <v>48519</v>
      </c>
      <c r="B251" s="14">
        <f>CHOOSE(CONTROL!$C$42, 10.7153, 10.7153) * CHOOSE(CONTROL!$C$21, $C$9, 100%, $E$9)</f>
        <v>10.715299999999999</v>
      </c>
      <c r="C251" s="14">
        <f>CHOOSE(CONTROL!$C$42, 10.7203, 10.7203) * CHOOSE(CONTROL!$C$21, $C$9, 100%, $E$9)</f>
        <v>10.7203</v>
      </c>
      <c r="D251" s="14">
        <f>CHOOSE(CONTROL!$C$42, 10.8034, 10.8034) * CHOOSE(CONTROL!$C$21, $C$9, 100%, $E$9)</f>
        <v>10.8034</v>
      </c>
      <c r="E251" s="14">
        <f>CHOOSE(CONTROL!$C$42, 10.8375, 10.8375) * CHOOSE(CONTROL!$C$21, $C$9, 100%, $E$9)</f>
        <v>10.8375</v>
      </c>
      <c r="F251" s="14">
        <f>CHOOSE(CONTROL!$C$42, 10.7429, 10.7429)*CHOOSE(CONTROL!$C$21, $C$9, 100%, $E$9)</f>
        <v>10.742900000000001</v>
      </c>
      <c r="G251" s="14">
        <f>CHOOSE(CONTROL!$C$42, 10.7603, 10.7603)*CHOOSE(CONTROL!$C$21, $C$9, 100%, $E$9)</f>
        <v>10.760300000000001</v>
      </c>
      <c r="H251" s="14">
        <f>CHOOSE(CONTROL!$C$42, 10.8267, 10.8267) * CHOOSE(CONTROL!$C$21, $C$9, 100%, $E$9)</f>
        <v>10.826700000000001</v>
      </c>
      <c r="I251" s="14">
        <f>CHOOSE(CONTROL!$C$42, 10.7685, 10.7685)* CHOOSE(CONTROL!$C$21, $C$9, 100%, $E$9)</f>
        <v>10.7685</v>
      </c>
      <c r="J251" s="14">
        <f>CHOOSE(CONTROL!$C$42, 10.7359, 10.7359)* CHOOSE(CONTROL!$C$21, $C$9, 100%, $E$9)</f>
        <v>10.735900000000001</v>
      </c>
      <c r="K251" s="52">
        <f>CHOOSE(CONTROL!$C$42, 10.7646, 10.7646) * CHOOSE(CONTROL!$C$21, $C$9, 100%, $E$9)</f>
        <v>10.7646</v>
      </c>
      <c r="L251" s="14">
        <f>CHOOSE(CONTROL!$C$42, 11.4137, 11.4137) * CHOOSE(CONTROL!$C$21, $C$9, 100%, $E$9)</f>
        <v>11.4137</v>
      </c>
      <c r="M251" s="14">
        <f>CHOOSE(CONTROL!$C$42, 10.5505, 10.5505) * CHOOSE(CONTROL!$C$21, $C$9, 100%, $E$9)</f>
        <v>10.5505</v>
      </c>
      <c r="N251" s="14">
        <f>CHOOSE(CONTROL!$C$42, 10.5675, 10.5675) * CHOOSE(CONTROL!$C$21, $C$9, 100%, $E$9)</f>
        <v>10.567500000000001</v>
      </c>
      <c r="O251" s="14">
        <f>CHOOSE(CONTROL!$C$42, 10.6397, 10.6397) * CHOOSE(CONTROL!$C$21, $C$9, 100%, $E$9)</f>
        <v>10.639699999999999</v>
      </c>
      <c r="P251" s="14">
        <f>CHOOSE(CONTROL!$C$42, 10.5819, 10.5819) * CHOOSE(CONTROL!$C$21, $C$9, 100%, $E$9)</f>
        <v>10.581899999999999</v>
      </c>
      <c r="Q251" s="14">
        <f>CHOOSE(CONTROL!$C$42, 11.2344, 11.2344) * CHOOSE(CONTROL!$C$21, $C$9, 100%, $E$9)</f>
        <v>11.234400000000001</v>
      </c>
      <c r="R251" s="14">
        <f>CHOOSE(CONTROL!$C$42, 11.8495, 11.8495) * CHOOSE(CONTROL!$C$21, $C$9, 100%, $E$9)</f>
        <v>11.849500000000001</v>
      </c>
      <c r="S251" s="14">
        <f>CHOOSE(CONTROL!$C$42, 10.2878, 10.2878) * CHOOSE(CONTROL!$C$21, $C$9, 100%, $E$9)</f>
        <v>10.287800000000001</v>
      </c>
      <c r="T25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51" s="56">
        <f>(1000*CHOOSE(CONTROL!$C$42, 695, 695)*CHOOSE(CONTROL!$C$42, 0.5599, 0.5599)*CHOOSE(CONTROL!$C$42, 30, 30))/1000000</f>
        <v>11.673914999999997</v>
      </c>
      <c r="V251" s="56">
        <f>(1000*CHOOSE(CONTROL!$C$42, 500, 500)*CHOOSE(CONTROL!$C$42, 0.275, 0.275)*CHOOSE(CONTROL!$C$42, 30, 30))/1000000</f>
        <v>4.125</v>
      </c>
      <c r="W251" s="56">
        <f>(1000*CHOOSE(CONTROL!$C$42, 0.1146, 0.1146)*CHOOSE(CONTROL!$C$42, 121.5, 121.5)*CHOOSE(CONTROL!$C$42, 30, 30))/1000000</f>
        <v>0.417717</v>
      </c>
      <c r="X251" s="56">
        <f>(30*0.1790888*100000/1000000)+(30*0.2374*100000/1000000)</f>
        <v>1.2494664</v>
      </c>
      <c r="Y251" s="56"/>
      <c r="Z251" s="14"/>
      <c r="AA251" s="55"/>
      <c r="AB251" s="49">
        <f>(B251*122.58+C251*297.941+D251*89.177+E251*40.302+F251*40+G251*160+H251*0+I251*100+J251*300)/(122.58+297.941+89.177+40.302+0+40+160+100+300)</f>
        <v>10.744930524434784</v>
      </c>
      <c r="AC251" s="45">
        <f>(M251*'RAP TEMPLATE-GAS AVAILABILITY'!O250+N251*'RAP TEMPLATE-GAS AVAILABILITY'!P250+O251*'RAP TEMPLATE-GAS AVAILABILITY'!Q250+P251*'RAP TEMPLATE-GAS AVAILABILITY'!R250)/('RAP TEMPLATE-GAS AVAILABILITY'!O250+'RAP TEMPLATE-GAS AVAILABILITY'!P250+'RAP TEMPLATE-GAS AVAILABILITY'!Q250+'RAP TEMPLATE-GAS AVAILABILITY'!R250)</f>
        <v>10.596425179856114</v>
      </c>
    </row>
    <row r="252" spans="1:29" ht="15.75" x14ac:dyDescent="0.25">
      <c r="A252" s="13">
        <v>48549</v>
      </c>
      <c r="B252" s="14">
        <f>CHOOSE(CONTROL!$C$42, 11.4452, 11.4452) * CHOOSE(CONTROL!$C$21, $C$9, 100%, $E$9)</f>
        <v>11.4452</v>
      </c>
      <c r="C252" s="14">
        <f>CHOOSE(CONTROL!$C$42, 11.4503, 11.4503) * CHOOSE(CONTROL!$C$21, $C$9, 100%, $E$9)</f>
        <v>11.4503</v>
      </c>
      <c r="D252" s="14">
        <f>CHOOSE(CONTROL!$C$42, 11.5333, 11.5333) * CHOOSE(CONTROL!$C$21, $C$9, 100%, $E$9)</f>
        <v>11.533300000000001</v>
      </c>
      <c r="E252" s="14">
        <f>CHOOSE(CONTROL!$C$42, 11.5674, 11.5674) * CHOOSE(CONTROL!$C$21, $C$9, 100%, $E$9)</f>
        <v>11.567399999999999</v>
      </c>
      <c r="F252" s="14">
        <f>CHOOSE(CONTROL!$C$42, 11.4753, 11.4753)*CHOOSE(CONTROL!$C$21, $C$9, 100%, $E$9)</f>
        <v>11.475300000000001</v>
      </c>
      <c r="G252" s="14">
        <f>CHOOSE(CONTROL!$C$42, 11.4933, 11.4933)*CHOOSE(CONTROL!$C$21, $C$9, 100%, $E$9)</f>
        <v>11.4933</v>
      </c>
      <c r="H252" s="14">
        <f>CHOOSE(CONTROL!$C$42, 11.5566, 11.5566) * CHOOSE(CONTROL!$C$21, $C$9, 100%, $E$9)</f>
        <v>11.5566</v>
      </c>
      <c r="I252" s="14">
        <f>CHOOSE(CONTROL!$C$42, 11.5007, 11.5007)* CHOOSE(CONTROL!$C$21, $C$9, 100%, $E$9)</f>
        <v>11.5007</v>
      </c>
      <c r="J252" s="14">
        <f>CHOOSE(CONTROL!$C$42, 11.4683, 11.4683)* CHOOSE(CONTROL!$C$21, $C$9, 100%, $E$9)</f>
        <v>11.468299999999999</v>
      </c>
      <c r="K252" s="52">
        <f>CHOOSE(CONTROL!$C$42, 11.4968, 11.4968) * CHOOSE(CONTROL!$C$21, $C$9, 100%, $E$9)</f>
        <v>11.4968</v>
      </c>
      <c r="L252" s="14">
        <f>CHOOSE(CONTROL!$C$42, 12.1436, 12.1436) * CHOOSE(CONTROL!$C$21, $C$9, 100%, $E$9)</f>
        <v>12.143599999999999</v>
      </c>
      <c r="M252" s="14">
        <f>CHOOSE(CONTROL!$C$42, 11.2697, 11.2697) * CHOOSE(CONTROL!$C$21, $C$9, 100%, $E$9)</f>
        <v>11.2697</v>
      </c>
      <c r="N252" s="14">
        <f>CHOOSE(CONTROL!$C$42, 11.2874, 11.2874) * CHOOSE(CONTROL!$C$21, $C$9, 100%, $E$9)</f>
        <v>11.2874</v>
      </c>
      <c r="O252" s="14">
        <f>CHOOSE(CONTROL!$C$42, 11.3564, 11.3564) * CHOOSE(CONTROL!$C$21, $C$9, 100%, $E$9)</f>
        <v>11.356400000000001</v>
      </c>
      <c r="P252" s="14">
        <f>CHOOSE(CONTROL!$C$42, 11.3009, 11.3009) * CHOOSE(CONTROL!$C$21, $C$9, 100%, $E$9)</f>
        <v>11.3009</v>
      </c>
      <c r="Q252" s="14">
        <f>CHOOSE(CONTROL!$C$42, 11.9511, 11.9511) * CHOOSE(CONTROL!$C$21, $C$9, 100%, $E$9)</f>
        <v>11.9511</v>
      </c>
      <c r="R252" s="14">
        <f>CHOOSE(CONTROL!$C$42, 12.568, 12.568) * CHOOSE(CONTROL!$C$21, $C$9, 100%, $E$9)</f>
        <v>12.568</v>
      </c>
      <c r="S252" s="14">
        <f>CHOOSE(CONTROL!$C$42, 10.9891, 10.9891) * CHOOSE(CONTROL!$C$21, $C$9, 100%, $E$9)</f>
        <v>10.989100000000001</v>
      </c>
      <c r="T25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52" s="56">
        <f>(1000*CHOOSE(CONTROL!$C$42, 695, 695)*CHOOSE(CONTROL!$C$42, 0.5599, 0.5599)*CHOOSE(CONTROL!$C$42, 31, 31))/1000000</f>
        <v>12.063045499999998</v>
      </c>
      <c r="V252" s="56">
        <f>(1000*CHOOSE(CONTROL!$C$42, 500, 500)*CHOOSE(CONTROL!$C$42, 0.275, 0.275)*CHOOSE(CONTROL!$C$42, 31, 31))/1000000</f>
        <v>4.2625000000000002</v>
      </c>
      <c r="W252" s="56">
        <f>(1000*CHOOSE(CONTROL!$C$42, 0.1146, 0.1146)*CHOOSE(CONTROL!$C$42, 121.5, 121.5)*CHOOSE(CONTROL!$C$42, 31, 31))/1000000</f>
        <v>0.43164089999999994</v>
      </c>
      <c r="X252" s="56">
        <f>(31*0.1790888*100000/1000000)+(31*0.2374*100000/1000000)</f>
        <v>1.2911152800000001</v>
      </c>
      <c r="Y252" s="56"/>
      <c r="Z252" s="14"/>
      <c r="AA252" s="55"/>
      <c r="AB252" s="49">
        <f>(B252*122.58+C252*297.941+D252*89.177+E252*40.302+F252*40+G252*160+H252*0+I252*100+J252*300)/(122.58+297.941+89.177+40.302+0+40+160+100+300)</f>
        <v>11.476226867130432</v>
      </c>
      <c r="AC252" s="45">
        <f>(M252*'RAP TEMPLATE-GAS AVAILABILITY'!O251+N252*'RAP TEMPLATE-GAS AVAILABILITY'!P251+O252*'RAP TEMPLATE-GAS AVAILABILITY'!Q251+P252*'RAP TEMPLATE-GAS AVAILABILITY'!R251)/('RAP TEMPLATE-GAS AVAILABILITY'!O251+'RAP TEMPLATE-GAS AVAILABILITY'!P251+'RAP TEMPLATE-GAS AVAILABILITY'!Q251+'RAP TEMPLATE-GAS AVAILABILITY'!R251)</f>
        <v>11.314503597122302</v>
      </c>
    </row>
    <row r="253" spans="1:29" ht="15.75" x14ac:dyDescent="0.25">
      <c r="A253" s="13">
        <v>48580</v>
      </c>
      <c r="B253" s="14">
        <f>CHOOSE(CONTROL!$C$42, 12.3932, 12.3932) * CHOOSE(CONTROL!$C$21, $C$9, 100%, $E$9)</f>
        <v>12.3932</v>
      </c>
      <c r="C253" s="14">
        <f>CHOOSE(CONTROL!$C$42, 12.3983, 12.3983) * CHOOSE(CONTROL!$C$21, $C$9, 100%, $E$9)</f>
        <v>12.398300000000001</v>
      </c>
      <c r="D253" s="14">
        <f>CHOOSE(CONTROL!$C$42, 12.4917, 12.4917) * CHOOSE(CONTROL!$C$21, $C$9, 100%, $E$9)</f>
        <v>12.4917</v>
      </c>
      <c r="E253" s="14">
        <f>CHOOSE(CONTROL!$C$42, 12.5258, 12.5258) * CHOOSE(CONTROL!$C$21, $C$9, 100%, $E$9)</f>
        <v>12.5258</v>
      </c>
      <c r="F253" s="14">
        <f>CHOOSE(CONTROL!$C$42, 12.4205, 12.4205)*CHOOSE(CONTROL!$C$21, $C$9, 100%, $E$9)</f>
        <v>12.420500000000001</v>
      </c>
      <c r="G253" s="14">
        <f>CHOOSE(CONTROL!$C$42, 12.4385, 12.4385)*CHOOSE(CONTROL!$C$21, $C$9, 100%, $E$9)</f>
        <v>12.438499999999999</v>
      </c>
      <c r="H253" s="14">
        <f>CHOOSE(CONTROL!$C$42, 12.515, 12.515) * CHOOSE(CONTROL!$C$21, $C$9, 100%, $E$9)</f>
        <v>12.515000000000001</v>
      </c>
      <c r="I253" s="14">
        <f>CHOOSE(CONTROL!$C$42, 12.4579, 12.4579)* CHOOSE(CONTROL!$C$21, $C$9, 100%, $E$9)</f>
        <v>12.4579</v>
      </c>
      <c r="J253" s="14">
        <f>CHOOSE(CONTROL!$C$42, 12.4135, 12.4135)* CHOOSE(CONTROL!$C$21, $C$9, 100%, $E$9)</f>
        <v>12.413500000000001</v>
      </c>
      <c r="K253" s="52">
        <f>CHOOSE(CONTROL!$C$42, 12.454, 12.454) * CHOOSE(CONTROL!$C$21, $C$9, 100%, $E$9)</f>
        <v>12.454000000000001</v>
      </c>
      <c r="L253" s="14">
        <f>CHOOSE(CONTROL!$C$42, 13.102, 13.102) * CHOOSE(CONTROL!$C$21, $C$9, 100%, $E$9)</f>
        <v>13.102</v>
      </c>
      <c r="M253" s="14">
        <f>CHOOSE(CONTROL!$C$42, 12.1979, 12.1979) * CHOOSE(CONTROL!$C$21, $C$9, 100%, $E$9)</f>
        <v>12.197900000000001</v>
      </c>
      <c r="N253" s="14">
        <f>CHOOSE(CONTROL!$C$42, 12.2156, 12.2156) * CHOOSE(CONTROL!$C$21, $C$9, 100%, $E$9)</f>
        <v>12.2156</v>
      </c>
      <c r="O253" s="14">
        <f>CHOOSE(CONTROL!$C$42, 12.2976, 12.2976) * CHOOSE(CONTROL!$C$21, $C$9, 100%, $E$9)</f>
        <v>12.297599999999999</v>
      </c>
      <c r="P253" s="14">
        <f>CHOOSE(CONTROL!$C$42, 12.2409, 12.2409) * CHOOSE(CONTROL!$C$21, $C$9, 100%, $E$9)</f>
        <v>12.2409</v>
      </c>
      <c r="Q253" s="14">
        <f>CHOOSE(CONTROL!$C$42, 12.8923, 12.8923) * CHOOSE(CONTROL!$C$21, $C$9, 100%, $E$9)</f>
        <v>12.892300000000001</v>
      </c>
      <c r="R253" s="14">
        <f>CHOOSE(CONTROL!$C$42, 13.5116, 13.5116) * CHOOSE(CONTROL!$C$21, $C$9, 100%, $E$9)</f>
        <v>13.5116</v>
      </c>
      <c r="S253" s="14">
        <f>CHOOSE(CONTROL!$C$42, 11.9001, 11.9001) * CHOOSE(CONTROL!$C$21, $C$9, 100%, $E$9)</f>
        <v>11.9001</v>
      </c>
      <c r="T25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53" s="56">
        <f>(1000*CHOOSE(CONTROL!$C$42, 695, 695)*CHOOSE(CONTROL!$C$42, 0.5599, 0.5599)*CHOOSE(CONTROL!$C$42, 31, 31))/1000000</f>
        <v>12.063045499999998</v>
      </c>
      <c r="V253" s="56">
        <f>(1000*CHOOSE(CONTROL!$C$42, 500, 500)*CHOOSE(CONTROL!$C$42, 0.275, 0.275)*CHOOSE(CONTROL!$C$42, 31, 31))/1000000</f>
        <v>4.2625000000000002</v>
      </c>
      <c r="W253" s="56">
        <f>(1000*CHOOSE(CONTROL!$C$42, 0.1146, 0.1146)*CHOOSE(CONTROL!$C$42, 121.5, 121.5)*CHOOSE(CONTROL!$C$42, 31, 31))/1000000</f>
        <v>0.43164089999999994</v>
      </c>
      <c r="X253" s="56">
        <f>(31*0.1790888*100000/1000000)+(31*0.2374*100000/1000000)</f>
        <v>1.2911152800000001</v>
      </c>
      <c r="Y253" s="56"/>
      <c r="Z253" s="14"/>
      <c r="AA253" s="55"/>
      <c r="AB253" s="49">
        <f>(B253*122.58+C253*297.941+D253*89.177+E253*40.302+F253*40+G253*160+H253*0+I253*100+J253*300)/(122.58+297.941+89.177+40.302+0+40+160+100+300)</f>
        <v>12.424980416347825</v>
      </c>
      <c r="AC253" s="45">
        <f>(M253*'RAP TEMPLATE-GAS AVAILABILITY'!O252+N253*'RAP TEMPLATE-GAS AVAILABILITY'!P252+O253*'RAP TEMPLATE-GAS AVAILABILITY'!Q252+P253*'RAP TEMPLATE-GAS AVAILABILITY'!R252)/('RAP TEMPLATE-GAS AVAILABILITY'!O252+'RAP TEMPLATE-GAS AVAILABILITY'!P252+'RAP TEMPLATE-GAS AVAILABILITY'!Q252+'RAP TEMPLATE-GAS AVAILABILITY'!R252)</f>
        <v>12.250293525179856</v>
      </c>
    </row>
    <row r="254" spans="1:29" ht="15.75" x14ac:dyDescent="0.25">
      <c r="A254" s="13">
        <v>48611</v>
      </c>
      <c r="B254" s="14">
        <f>CHOOSE(CONTROL!$C$42, 12.6137, 12.6137) * CHOOSE(CONTROL!$C$21, $C$9, 100%, $E$9)</f>
        <v>12.6137</v>
      </c>
      <c r="C254" s="14">
        <f>CHOOSE(CONTROL!$C$42, 12.6187, 12.6187) * CHOOSE(CONTROL!$C$21, $C$9, 100%, $E$9)</f>
        <v>12.6187</v>
      </c>
      <c r="D254" s="14">
        <f>CHOOSE(CONTROL!$C$42, 12.7122, 12.7122) * CHOOSE(CONTROL!$C$21, $C$9, 100%, $E$9)</f>
        <v>12.712199999999999</v>
      </c>
      <c r="E254" s="14">
        <f>CHOOSE(CONTROL!$C$42, 12.7463, 12.7463) * CHOOSE(CONTROL!$C$21, $C$9, 100%, $E$9)</f>
        <v>12.7463</v>
      </c>
      <c r="F254" s="14">
        <f>CHOOSE(CONTROL!$C$42, 12.6406, 12.6406)*CHOOSE(CONTROL!$C$21, $C$9, 100%, $E$9)</f>
        <v>12.640599999999999</v>
      </c>
      <c r="G254" s="14">
        <f>CHOOSE(CONTROL!$C$42, 12.6585, 12.6585)*CHOOSE(CONTROL!$C$21, $C$9, 100%, $E$9)</f>
        <v>12.6585</v>
      </c>
      <c r="H254" s="14">
        <f>CHOOSE(CONTROL!$C$42, 12.7355, 12.7355) * CHOOSE(CONTROL!$C$21, $C$9, 100%, $E$9)</f>
        <v>12.7355</v>
      </c>
      <c r="I254" s="14">
        <f>CHOOSE(CONTROL!$C$42, 12.679, 12.679)* CHOOSE(CONTROL!$C$21, $C$9, 100%, $E$9)</f>
        <v>12.679</v>
      </c>
      <c r="J254" s="14">
        <f>CHOOSE(CONTROL!$C$42, 12.6336, 12.6336)* CHOOSE(CONTROL!$C$21, $C$9, 100%, $E$9)</f>
        <v>12.633599999999999</v>
      </c>
      <c r="K254" s="52">
        <f>CHOOSE(CONTROL!$C$42, 12.6752, 12.6752) * CHOOSE(CONTROL!$C$21, $C$9, 100%, $E$9)</f>
        <v>12.6752</v>
      </c>
      <c r="L254" s="14">
        <f>CHOOSE(CONTROL!$C$42, 13.3225, 13.3225) * CHOOSE(CONTROL!$C$21, $C$9, 100%, $E$9)</f>
        <v>13.3225</v>
      </c>
      <c r="M254" s="14">
        <f>CHOOSE(CONTROL!$C$42, 12.4141, 12.4141) * CHOOSE(CONTROL!$C$21, $C$9, 100%, $E$9)</f>
        <v>12.414099999999999</v>
      </c>
      <c r="N254" s="14">
        <f>CHOOSE(CONTROL!$C$42, 12.4316, 12.4316) * CHOOSE(CONTROL!$C$21, $C$9, 100%, $E$9)</f>
        <v>12.4316</v>
      </c>
      <c r="O254" s="14">
        <f>CHOOSE(CONTROL!$C$42, 12.5141, 12.5141) * CHOOSE(CONTROL!$C$21, $C$9, 100%, $E$9)</f>
        <v>12.514099999999999</v>
      </c>
      <c r="P254" s="14">
        <f>CHOOSE(CONTROL!$C$42, 12.4581, 12.4581) * CHOOSE(CONTROL!$C$21, $C$9, 100%, $E$9)</f>
        <v>12.4581</v>
      </c>
      <c r="Q254" s="14">
        <f>CHOOSE(CONTROL!$C$42, 13.1088, 13.1088) * CHOOSE(CONTROL!$C$21, $C$9, 100%, $E$9)</f>
        <v>13.1088</v>
      </c>
      <c r="R254" s="14">
        <f>CHOOSE(CONTROL!$C$42, 13.7286, 13.7286) * CHOOSE(CONTROL!$C$21, $C$9, 100%, $E$9)</f>
        <v>13.7286</v>
      </c>
      <c r="S254" s="14">
        <f>CHOOSE(CONTROL!$C$42, 12.1119, 12.1119) * CHOOSE(CONTROL!$C$21, $C$9, 100%, $E$9)</f>
        <v>12.1119</v>
      </c>
      <c r="T25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54" s="56">
        <f>(1000*CHOOSE(CONTROL!$C$42, 695, 695)*CHOOSE(CONTROL!$C$42, 0.5599, 0.5599)*CHOOSE(CONTROL!$C$42, 28, 28))/1000000</f>
        <v>10.895653999999999</v>
      </c>
      <c r="V254" s="56">
        <f>(1000*CHOOSE(CONTROL!$C$42, 500, 500)*CHOOSE(CONTROL!$C$42, 0.275, 0.275)*CHOOSE(CONTROL!$C$42, 28, 28))/1000000</f>
        <v>3.85</v>
      </c>
      <c r="W254" s="56">
        <f>(1000*CHOOSE(CONTROL!$C$42, 0.1146, 0.1146)*CHOOSE(CONTROL!$C$42, 121.5, 121.5)*CHOOSE(CONTROL!$C$42, 28, 28))/1000000</f>
        <v>0.38986920000000003</v>
      </c>
      <c r="X254" s="56">
        <f>(28*0.1790888*100000/1000000)+(28*0.2374*100000/1000000)</f>
        <v>1.16616864</v>
      </c>
      <c r="Y254" s="56"/>
      <c r="Z254" s="14"/>
      <c r="AA254" s="55"/>
      <c r="AB254" s="49">
        <f>(B254*122.58+C254*297.941+D254*89.177+E254*40.302+F254*40+G254*160+H254*0+I254*100+J254*300)/(122.58+297.941+89.177+40.302+0+40+160+100+300)</f>
        <v>12.64531885626087</v>
      </c>
      <c r="AC254" s="45">
        <f>(M254*'RAP TEMPLATE-GAS AVAILABILITY'!O253+N254*'RAP TEMPLATE-GAS AVAILABILITY'!P253+O254*'RAP TEMPLATE-GAS AVAILABILITY'!Q253+P254*'RAP TEMPLATE-GAS AVAILABILITY'!R253)/('RAP TEMPLATE-GAS AVAILABILITY'!O253+'RAP TEMPLATE-GAS AVAILABILITY'!P253+'RAP TEMPLATE-GAS AVAILABILITY'!Q253+'RAP TEMPLATE-GAS AVAILABILITY'!R253)</f>
        <v>12.466761870503596</v>
      </c>
    </row>
    <row r="255" spans="1:29" ht="15.75" x14ac:dyDescent="0.25">
      <c r="A255" s="13">
        <v>48639</v>
      </c>
      <c r="B255" s="14">
        <f>CHOOSE(CONTROL!$C$42, 12.2558, 12.2558) * CHOOSE(CONTROL!$C$21, $C$9, 100%, $E$9)</f>
        <v>12.255800000000001</v>
      </c>
      <c r="C255" s="14">
        <f>CHOOSE(CONTROL!$C$42, 12.2609, 12.2609) * CHOOSE(CONTROL!$C$21, $C$9, 100%, $E$9)</f>
        <v>12.260899999999999</v>
      </c>
      <c r="D255" s="14">
        <f>CHOOSE(CONTROL!$C$42, 12.3544, 12.3544) * CHOOSE(CONTROL!$C$21, $C$9, 100%, $E$9)</f>
        <v>12.3544</v>
      </c>
      <c r="E255" s="14">
        <f>CHOOSE(CONTROL!$C$42, 12.3885, 12.3885) * CHOOSE(CONTROL!$C$21, $C$9, 100%, $E$9)</f>
        <v>12.388500000000001</v>
      </c>
      <c r="F255" s="14">
        <f>CHOOSE(CONTROL!$C$42, 12.2819, 12.2819)*CHOOSE(CONTROL!$C$21, $C$9, 100%, $E$9)</f>
        <v>12.2819</v>
      </c>
      <c r="G255" s="14">
        <f>CHOOSE(CONTROL!$C$42, 12.2995, 12.2995)*CHOOSE(CONTROL!$C$21, $C$9, 100%, $E$9)</f>
        <v>12.2995</v>
      </c>
      <c r="H255" s="14">
        <f>CHOOSE(CONTROL!$C$42, 12.3777, 12.3777) * CHOOSE(CONTROL!$C$21, $C$9, 100%, $E$9)</f>
        <v>12.377700000000001</v>
      </c>
      <c r="I255" s="14">
        <f>CHOOSE(CONTROL!$C$42, 12.3201, 12.3201)* CHOOSE(CONTROL!$C$21, $C$9, 100%, $E$9)</f>
        <v>12.3201</v>
      </c>
      <c r="J255" s="14">
        <f>CHOOSE(CONTROL!$C$42, 12.2749, 12.2749)* CHOOSE(CONTROL!$C$21, $C$9, 100%, $E$9)</f>
        <v>12.274900000000001</v>
      </c>
      <c r="K255" s="52">
        <f>CHOOSE(CONTROL!$C$42, 12.3162, 12.3162) * CHOOSE(CONTROL!$C$21, $C$9, 100%, $E$9)</f>
        <v>12.3162</v>
      </c>
      <c r="L255" s="14">
        <f>CHOOSE(CONTROL!$C$42, 12.9647, 12.9647) * CHOOSE(CONTROL!$C$21, $C$9, 100%, $E$9)</f>
        <v>12.964700000000001</v>
      </c>
      <c r="M255" s="14">
        <f>CHOOSE(CONTROL!$C$42, 12.0618, 12.0618) * CHOOSE(CONTROL!$C$21, $C$9, 100%, $E$9)</f>
        <v>12.0618</v>
      </c>
      <c r="N255" s="14">
        <f>CHOOSE(CONTROL!$C$42, 12.0791, 12.0791) * CHOOSE(CONTROL!$C$21, $C$9, 100%, $E$9)</f>
        <v>12.0791</v>
      </c>
      <c r="O255" s="14">
        <f>CHOOSE(CONTROL!$C$42, 12.1627, 12.1627) * CHOOSE(CONTROL!$C$21, $C$9, 100%, $E$9)</f>
        <v>12.162699999999999</v>
      </c>
      <c r="P255" s="14">
        <f>CHOOSE(CONTROL!$C$42, 12.1056, 12.1056) * CHOOSE(CONTROL!$C$21, $C$9, 100%, $E$9)</f>
        <v>12.105600000000001</v>
      </c>
      <c r="Q255" s="14">
        <f>CHOOSE(CONTROL!$C$42, 12.7574, 12.7574) * CHOOSE(CONTROL!$C$21, $C$9, 100%, $E$9)</f>
        <v>12.757400000000001</v>
      </c>
      <c r="R255" s="14">
        <f>CHOOSE(CONTROL!$C$42, 13.3763, 13.3763) * CHOOSE(CONTROL!$C$21, $C$9, 100%, $E$9)</f>
        <v>13.376300000000001</v>
      </c>
      <c r="S255" s="14">
        <f>CHOOSE(CONTROL!$C$42, 11.7681, 11.7681) * CHOOSE(CONTROL!$C$21, $C$9, 100%, $E$9)</f>
        <v>11.7681</v>
      </c>
      <c r="T25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55" s="56">
        <f>(1000*CHOOSE(CONTROL!$C$42, 695, 695)*CHOOSE(CONTROL!$C$42, 0.5599, 0.5599)*CHOOSE(CONTROL!$C$42, 31, 31))/1000000</f>
        <v>12.063045499999998</v>
      </c>
      <c r="V255" s="56">
        <f>(1000*CHOOSE(CONTROL!$C$42, 500, 500)*CHOOSE(CONTROL!$C$42, 0.275, 0.275)*CHOOSE(CONTROL!$C$42, 31, 31))/1000000</f>
        <v>4.2625000000000002</v>
      </c>
      <c r="W255" s="56">
        <f>(1000*CHOOSE(CONTROL!$C$42, 0.1146, 0.1146)*CHOOSE(CONTROL!$C$42, 121.5, 121.5)*CHOOSE(CONTROL!$C$42, 31, 31))/1000000</f>
        <v>0.43164089999999994</v>
      </c>
      <c r="X255" s="56">
        <f>(31*0.1790888*100000/1000000)+(31*0.2374*100000/1000000)</f>
        <v>1.2911152800000001</v>
      </c>
      <c r="Y255" s="56"/>
      <c r="Z255" s="14"/>
      <c r="AA255" s="55"/>
      <c r="AB255" s="49">
        <f>(B255*122.58+C255*297.941+D255*89.177+E255*40.302+F255*40+G255*160+H255*0+I255*100+J255*300)/(122.58+297.941+89.177+40.302+0+40+160+100+300)</f>
        <v>12.28697950147826</v>
      </c>
      <c r="AC255" s="45">
        <f>(M255*'RAP TEMPLATE-GAS AVAILABILITY'!O254+N255*'RAP TEMPLATE-GAS AVAILABILITY'!P254+O255*'RAP TEMPLATE-GAS AVAILABILITY'!Q254+P255*'RAP TEMPLATE-GAS AVAILABILITY'!R254)/('RAP TEMPLATE-GAS AVAILABILITY'!O254+'RAP TEMPLATE-GAS AVAILABILITY'!P254+'RAP TEMPLATE-GAS AVAILABILITY'!Q254+'RAP TEMPLATE-GAS AVAILABILITY'!R254)</f>
        <v>12.114829496402876</v>
      </c>
    </row>
    <row r="256" spans="1:29" ht="15.75" x14ac:dyDescent="0.25">
      <c r="A256" s="13">
        <v>48670</v>
      </c>
      <c r="B256" s="14">
        <f>CHOOSE(CONTROL!$C$42, 12.2202, 12.2202) * CHOOSE(CONTROL!$C$21, $C$9, 100%, $E$9)</f>
        <v>12.2202</v>
      </c>
      <c r="C256" s="14">
        <f>CHOOSE(CONTROL!$C$42, 12.2246, 12.2246) * CHOOSE(CONTROL!$C$21, $C$9, 100%, $E$9)</f>
        <v>12.224600000000001</v>
      </c>
      <c r="D256" s="14">
        <f>CHOOSE(CONTROL!$C$42, 12.4869, 12.4869) * CHOOSE(CONTROL!$C$21, $C$9, 100%, $E$9)</f>
        <v>12.4869</v>
      </c>
      <c r="E256" s="14">
        <f>CHOOSE(CONTROL!$C$42, 12.519, 12.519) * CHOOSE(CONTROL!$C$21, $C$9, 100%, $E$9)</f>
        <v>12.519</v>
      </c>
      <c r="F256" s="14">
        <f>CHOOSE(CONTROL!$C$42, 12.243, 12.243)*CHOOSE(CONTROL!$C$21, $C$9, 100%, $E$9)</f>
        <v>12.243</v>
      </c>
      <c r="G256" s="14">
        <f>CHOOSE(CONTROL!$C$42, 12.2597, 12.2597)*CHOOSE(CONTROL!$C$21, $C$9, 100%, $E$9)</f>
        <v>12.2597</v>
      </c>
      <c r="H256" s="14">
        <f>CHOOSE(CONTROL!$C$42, 12.5088, 12.5088) * CHOOSE(CONTROL!$C$21, $C$9, 100%, $E$9)</f>
        <v>12.508800000000001</v>
      </c>
      <c r="I256" s="14">
        <f>CHOOSE(CONTROL!$C$42, 12.2809, 12.2809)* CHOOSE(CONTROL!$C$21, $C$9, 100%, $E$9)</f>
        <v>12.280900000000001</v>
      </c>
      <c r="J256" s="14">
        <f>CHOOSE(CONTROL!$C$42, 12.236, 12.236)* CHOOSE(CONTROL!$C$21, $C$9, 100%, $E$9)</f>
        <v>12.236000000000001</v>
      </c>
      <c r="K256" s="52">
        <f>CHOOSE(CONTROL!$C$42, 12.277, 12.277) * CHOOSE(CONTROL!$C$21, $C$9, 100%, $E$9)</f>
        <v>12.276999999999999</v>
      </c>
      <c r="L256" s="14">
        <f>CHOOSE(CONTROL!$C$42, 13.0958, 13.0958) * CHOOSE(CONTROL!$C$21, $C$9, 100%, $E$9)</f>
        <v>13.095800000000001</v>
      </c>
      <c r="M256" s="14">
        <f>CHOOSE(CONTROL!$C$42, 12.0236, 12.0236) * CHOOSE(CONTROL!$C$21, $C$9, 100%, $E$9)</f>
        <v>12.0236</v>
      </c>
      <c r="N256" s="14">
        <f>CHOOSE(CONTROL!$C$42, 12.04, 12.04) * CHOOSE(CONTROL!$C$21, $C$9, 100%, $E$9)</f>
        <v>12.04</v>
      </c>
      <c r="O256" s="14">
        <f>CHOOSE(CONTROL!$C$42, 12.2915, 12.2915) * CHOOSE(CONTROL!$C$21, $C$9, 100%, $E$9)</f>
        <v>12.291499999999999</v>
      </c>
      <c r="P256" s="14">
        <f>CHOOSE(CONTROL!$C$42, 12.0671, 12.0671) * CHOOSE(CONTROL!$C$21, $C$9, 100%, $E$9)</f>
        <v>12.0671</v>
      </c>
      <c r="Q256" s="14">
        <f>CHOOSE(CONTROL!$C$42, 12.8862, 12.8862) * CHOOSE(CONTROL!$C$21, $C$9, 100%, $E$9)</f>
        <v>12.886200000000001</v>
      </c>
      <c r="R256" s="14">
        <f>CHOOSE(CONTROL!$C$42, 13.5054, 13.5054) * CHOOSE(CONTROL!$C$21, $C$9, 100%, $E$9)</f>
        <v>13.5054</v>
      </c>
      <c r="S256" s="14">
        <f>CHOOSE(CONTROL!$C$42, 11.7331, 11.7331) * CHOOSE(CONTROL!$C$21, $C$9, 100%, $E$9)</f>
        <v>11.7331</v>
      </c>
      <c r="T25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56" s="56">
        <f>(1000*CHOOSE(CONTROL!$C$42, 695, 695)*CHOOSE(CONTROL!$C$42, 0.5599, 0.5599)*CHOOSE(CONTROL!$C$42, 30, 30))/1000000</f>
        <v>11.673914999999997</v>
      </c>
      <c r="V256" s="56">
        <f>(1000*CHOOSE(CONTROL!$C$42, 500, 500)*CHOOSE(CONTROL!$C$42, 0.275, 0.275)*CHOOSE(CONTROL!$C$42, 30, 30))/1000000</f>
        <v>4.125</v>
      </c>
      <c r="W256" s="56">
        <f>(1000*CHOOSE(CONTROL!$C$42, 0.1146, 0.1146)*CHOOSE(CONTROL!$C$42, 121.5, 121.5)*CHOOSE(CONTROL!$C$42, 30, 30))/1000000</f>
        <v>0.417717</v>
      </c>
      <c r="X256" s="56">
        <f>(30*0.1790888*245000/1000000)+(30*0.2374*100000/1000000)</f>
        <v>2.0285026799999999</v>
      </c>
      <c r="Y256" s="56"/>
      <c r="Z256" s="14"/>
      <c r="AA256" s="55"/>
      <c r="AB256" s="49">
        <f>(B256*141.293+C256*267.993+D256*115.016+E256*89.698+F256*40+G256*185+H256*0+I256*100+J256*300)/(141.293+267.993+115.016+89.698+0+40+185+100+300)</f>
        <v>12.282899918321228</v>
      </c>
      <c r="AC256" s="45">
        <f>(M256*'RAP TEMPLATE-GAS AVAILABILITY'!O255+N256*'RAP TEMPLATE-GAS AVAILABILITY'!P255+O256*'RAP TEMPLATE-GAS AVAILABILITY'!Q255+P256*'RAP TEMPLATE-GAS AVAILABILITY'!R255)/('RAP TEMPLATE-GAS AVAILABILITY'!O255+'RAP TEMPLATE-GAS AVAILABILITY'!P255+'RAP TEMPLATE-GAS AVAILABILITY'!Q255+'RAP TEMPLATE-GAS AVAILABILITY'!R255)</f>
        <v>12.10880071942446</v>
      </c>
    </row>
    <row r="257" spans="1:29" ht="15.75" x14ac:dyDescent="0.25">
      <c r="A257" s="13">
        <v>48700</v>
      </c>
      <c r="B257" s="14">
        <f>CHOOSE(CONTROL!$C$42, 12.3293, 12.3293) * CHOOSE(CONTROL!$C$21, $C$9, 100%, $E$9)</f>
        <v>12.3293</v>
      </c>
      <c r="C257" s="14">
        <f>CHOOSE(CONTROL!$C$42, 12.3373, 12.3373) * CHOOSE(CONTROL!$C$21, $C$9, 100%, $E$9)</f>
        <v>12.337300000000001</v>
      </c>
      <c r="D257" s="14">
        <f>CHOOSE(CONTROL!$C$42, 12.5964, 12.5964) * CHOOSE(CONTROL!$C$21, $C$9, 100%, $E$9)</f>
        <v>12.596399999999999</v>
      </c>
      <c r="E257" s="14">
        <f>CHOOSE(CONTROL!$C$42, 12.6279, 12.6279) * CHOOSE(CONTROL!$C$21, $C$9, 100%, $E$9)</f>
        <v>12.6279</v>
      </c>
      <c r="F257" s="14">
        <f>CHOOSE(CONTROL!$C$42, 12.3508, 12.3508)*CHOOSE(CONTROL!$C$21, $C$9, 100%, $E$9)</f>
        <v>12.3508</v>
      </c>
      <c r="G257" s="14">
        <f>CHOOSE(CONTROL!$C$42, 12.3678, 12.3678)*CHOOSE(CONTROL!$C$21, $C$9, 100%, $E$9)</f>
        <v>12.367800000000001</v>
      </c>
      <c r="H257" s="14">
        <f>CHOOSE(CONTROL!$C$42, 12.6165, 12.6165) * CHOOSE(CONTROL!$C$21, $C$9, 100%, $E$9)</f>
        <v>12.6165</v>
      </c>
      <c r="I257" s="14">
        <f>CHOOSE(CONTROL!$C$42, 12.389, 12.389)* CHOOSE(CONTROL!$C$21, $C$9, 100%, $E$9)</f>
        <v>12.388999999999999</v>
      </c>
      <c r="J257" s="14">
        <f>CHOOSE(CONTROL!$C$42, 12.3438, 12.3438)* CHOOSE(CONTROL!$C$21, $C$9, 100%, $E$9)</f>
        <v>12.3438</v>
      </c>
      <c r="K257" s="52">
        <f>CHOOSE(CONTROL!$C$42, 12.3851, 12.3851) * CHOOSE(CONTROL!$C$21, $C$9, 100%, $E$9)</f>
        <v>12.3851</v>
      </c>
      <c r="L257" s="14">
        <f>CHOOSE(CONTROL!$C$42, 13.2035, 13.2035) * CHOOSE(CONTROL!$C$21, $C$9, 100%, $E$9)</f>
        <v>13.2035</v>
      </c>
      <c r="M257" s="14">
        <f>CHOOSE(CONTROL!$C$42, 12.1295, 12.1295) * CHOOSE(CONTROL!$C$21, $C$9, 100%, $E$9)</f>
        <v>12.1295</v>
      </c>
      <c r="N257" s="14">
        <f>CHOOSE(CONTROL!$C$42, 12.1462, 12.1462) * CHOOSE(CONTROL!$C$21, $C$9, 100%, $E$9)</f>
        <v>12.1462</v>
      </c>
      <c r="O257" s="14">
        <f>CHOOSE(CONTROL!$C$42, 12.3973, 12.3973) * CHOOSE(CONTROL!$C$21, $C$9, 100%, $E$9)</f>
        <v>12.3973</v>
      </c>
      <c r="P257" s="14">
        <f>CHOOSE(CONTROL!$C$42, 12.1733, 12.1733) * CHOOSE(CONTROL!$C$21, $C$9, 100%, $E$9)</f>
        <v>12.173299999999999</v>
      </c>
      <c r="Q257" s="14">
        <f>CHOOSE(CONTROL!$C$42, 12.992, 12.992) * CHOOSE(CONTROL!$C$21, $C$9, 100%, $E$9)</f>
        <v>12.992000000000001</v>
      </c>
      <c r="R257" s="14">
        <f>CHOOSE(CONTROL!$C$42, 13.6115, 13.6115) * CHOOSE(CONTROL!$C$21, $C$9, 100%, $E$9)</f>
        <v>13.611499999999999</v>
      </c>
      <c r="S257" s="14">
        <f>CHOOSE(CONTROL!$C$42, 11.8366, 11.8366) * CHOOSE(CONTROL!$C$21, $C$9, 100%, $E$9)</f>
        <v>11.836600000000001</v>
      </c>
      <c r="T25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57" s="56">
        <f>(1000*CHOOSE(CONTROL!$C$42, 695, 695)*CHOOSE(CONTROL!$C$42, 0.5599, 0.5599)*CHOOSE(CONTROL!$C$42, 31, 31))/1000000</f>
        <v>12.063045499999998</v>
      </c>
      <c r="V257" s="56">
        <f>(1000*CHOOSE(CONTROL!$C$42, 500, 500)*CHOOSE(CONTROL!$C$42, 0.275, 0.275)*CHOOSE(CONTROL!$C$42, 31, 31))/1000000</f>
        <v>4.2625000000000002</v>
      </c>
      <c r="W257" s="56">
        <f>(1000*CHOOSE(CONTROL!$C$42, 0.1146, 0.1146)*CHOOSE(CONTROL!$C$42, 121.5, 121.5)*CHOOSE(CONTROL!$C$42, 31, 31))/1000000</f>
        <v>0.43164089999999994</v>
      </c>
      <c r="X257" s="56">
        <f>(31*0.1790888*245000/1000000)+(31*0.2374*100000/1000000)</f>
        <v>2.0961194359999999</v>
      </c>
      <c r="Y257" s="56"/>
      <c r="Z257" s="14"/>
      <c r="AA257" s="55"/>
      <c r="AB257" s="49">
        <f>(B257*194.205+C257*267.466+D257*133.845+E257*53.484+F257*40+G257*185+H257*0+I257*100+J257*300)/(194.205+267.466+133.845+53.484+0+40+185+100+300)</f>
        <v>12.385942503846152</v>
      </c>
      <c r="AC257" s="45">
        <f>(M257*'RAP TEMPLATE-GAS AVAILABILITY'!O256+N257*'RAP TEMPLATE-GAS AVAILABILITY'!P256+O257*'RAP TEMPLATE-GAS AVAILABILITY'!Q256+P257*'RAP TEMPLATE-GAS AVAILABILITY'!R256)/('RAP TEMPLATE-GAS AVAILABILITY'!O256+'RAP TEMPLATE-GAS AVAILABILITY'!P256+'RAP TEMPLATE-GAS AVAILABILITY'!Q256+'RAP TEMPLATE-GAS AVAILABILITY'!R256)</f>
        <v>12.21478489208633</v>
      </c>
    </row>
    <row r="258" spans="1:29" ht="15.75" x14ac:dyDescent="0.25">
      <c r="A258" s="13">
        <v>48731</v>
      </c>
      <c r="B258" s="14">
        <f>CHOOSE(CONTROL!$C$42, 12.6787, 12.6787) * CHOOSE(CONTROL!$C$21, $C$9, 100%, $E$9)</f>
        <v>12.678699999999999</v>
      </c>
      <c r="C258" s="14">
        <f>CHOOSE(CONTROL!$C$42, 12.6867, 12.6867) * CHOOSE(CONTROL!$C$21, $C$9, 100%, $E$9)</f>
        <v>12.6867</v>
      </c>
      <c r="D258" s="14">
        <f>CHOOSE(CONTROL!$C$42, 12.9458, 12.9458) * CHOOSE(CONTROL!$C$21, $C$9, 100%, $E$9)</f>
        <v>12.9458</v>
      </c>
      <c r="E258" s="14">
        <f>CHOOSE(CONTROL!$C$42, 12.9773, 12.9773) * CHOOSE(CONTROL!$C$21, $C$9, 100%, $E$9)</f>
        <v>12.9773</v>
      </c>
      <c r="F258" s="14">
        <f>CHOOSE(CONTROL!$C$42, 12.7005, 12.7005)*CHOOSE(CONTROL!$C$21, $C$9, 100%, $E$9)</f>
        <v>12.7005</v>
      </c>
      <c r="G258" s="14">
        <f>CHOOSE(CONTROL!$C$42, 12.7175, 12.7175)*CHOOSE(CONTROL!$C$21, $C$9, 100%, $E$9)</f>
        <v>12.717499999999999</v>
      </c>
      <c r="H258" s="14">
        <f>CHOOSE(CONTROL!$C$42, 12.9659, 12.9659) * CHOOSE(CONTROL!$C$21, $C$9, 100%, $E$9)</f>
        <v>12.9659</v>
      </c>
      <c r="I258" s="14">
        <f>CHOOSE(CONTROL!$C$42, 12.7395, 12.7395)* CHOOSE(CONTROL!$C$21, $C$9, 100%, $E$9)</f>
        <v>12.7395</v>
      </c>
      <c r="J258" s="14">
        <f>CHOOSE(CONTROL!$C$42, 12.6935, 12.6935)* CHOOSE(CONTROL!$C$21, $C$9, 100%, $E$9)</f>
        <v>12.6935</v>
      </c>
      <c r="K258" s="52">
        <f>CHOOSE(CONTROL!$C$42, 12.7356, 12.7356) * CHOOSE(CONTROL!$C$21, $C$9, 100%, $E$9)</f>
        <v>12.7356</v>
      </c>
      <c r="L258" s="14">
        <f>CHOOSE(CONTROL!$C$42, 13.5529, 13.5529) * CHOOSE(CONTROL!$C$21, $C$9, 100%, $E$9)</f>
        <v>13.552899999999999</v>
      </c>
      <c r="M258" s="14">
        <f>CHOOSE(CONTROL!$C$42, 12.4729, 12.4729) * CHOOSE(CONTROL!$C$21, $C$9, 100%, $E$9)</f>
        <v>12.472899999999999</v>
      </c>
      <c r="N258" s="14">
        <f>CHOOSE(CONTROL!$C$42, 12.4896, 12.4896) * CHOOSE(CONTROL!$C$21, $C$9, 100%, $E$9)</f>
        <v>12.489599999999999</v>
      </c>
      <c r="O258" s="14">
        <f>CHOOSE(CONTROL!$C$42, 12.7404, 12.7404) * CHOOSE(CONTROL!$C$21, $C$9, 100%, $E$9)</f>
        <v>12.740399999999999</v>
      </c>
      <c r="P258" s="14">
        <f>CHOOSE(CONTROL!$C$42, 12.5174, 12.5174) * CHOOSE(CONTROL!$C$21, $C$9, 100%, $E$9)</f>
        <v>12.5174</v>
      </c>
      <c r="Q258" s="14">
        <f>CHOOSE(CONTROL!$C$42, 13.3351, 13.3351) * CHOOSE(CONTROL!$C$21, $C$9, 100%, $E$9)</f>
        <v>13.335100000000001</v>
      </c>
      <c r="R258" s="14">
        <f>CHOOSE(CONTROL!$C$42, 13.9554, 13.9554) * CHOOSE(CONTROL!$C$21, $C$9, 100%, $E$9)</f>
        <v>13.955399999999999</v>
      </c>
      <c r="S258" s="14">
        <f>CHOOSE(CONTROL!$C$42, 12.1723, 12.1723) * CHOOSE(CONTROL!$C$21, $C$9, 100%, $E$9)</f>
        <v>12.1723</v>
      </c>
      <c r="T25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58" s="56">
        <f>(1000*CHOOSE(CONTROL!$C$42, 695, 695)*CHOOSE(CONTROL!$C$42, 0.5599, 0.5599)*CHOOSE(CONTROL!$C$42, 30, 30))/1000000</f>
        <v>11.673914999999997</v>
      </c>
      <c r="V258" s="56">
        <f>(1000*CHOOSE(CONTROL!$C$42, 500, 500)*CHOOSE(CONTROL!$C$42, 0.275, 0.275)*CHOOSE(CONTROL!$C$42, 30, 30))/1000000</f>
        <v>4.125</v>
      </c>
      <c r="W258" s="56">
        <f>(1000*CHOOSE(CONTROL!$C$42, 0.1146, 0.1146)*CHOOSE(CONTROL!$C$42, 121.5, 121.5)*CHOOSE(CONTROL!$C$42, 30, 30))/1000000</f>
        <v>0.417717</v>
      </c>
      <c r="X258" s="56">
        <f>(30*0.1790888*245000/1000000)+(30*0.2374*100000/1000000)</f>
        <v>2.0285026799999999</v>
      </c>
      <c r="Y258" s="56"/>
      <c r="Z258" s="14"/>
      <c r="AA258" s="55"/>
      <c r="AB258" s="49">
        <f>(B258*194.205+C258*267.466+D258*133.845+E258*53.484+F258*40+G258*185+H258*0+I258*100+J258*300)/(194.205+267.466+133.845+53.484+0+40+185+100+300)</f>
        <v>12.73555247244898</v>
      </c>
      <c r="AC258" s="45">
        <f>(M258*'RAP TEMPLATE-GAS AVAILABILITY'!O257+N258*'RAP TEMPLATE-GAS AVAILABILITY'!P257+O258*'RAP TEMPLATE-GAS AVAILABILITY'!Q257+P258*'RAP TEMPLATE-GAS AVAILABILITY'!R257)/('RAP TEMPLATE-GAS AVAILABILITY'!O257+'RAP TEMPLATE-GAS AVAILABILITY'!P257+'RAP TEMPLATE-GAS AVAILABILITY'!Q257+'RAP TEMPLATE-GAS AVAILABILITY'!R257)</f>
        <v>12.558201438848918</v>
      </c>
    </row>
    <row r="259" spans="1:29" ht="15.75" x14ac:dyDescent="0.25">
      <c r="A259" s="13">
        <v>48761</v>
      </c>
      <c r="B259" s="14">
        <f>CHOOSE(CONTROL!$C$42, 12.4357, 12.4357) * CHOOSE(CONTROL!$C$21, $C$9, 100%, $E$9)</f>
        <v>12.435700000000001</v>
      </c>
      <c r="C259" s="14">
        <f>CHOOSE(CONTROL!$C$42, 12.4437, 12.4437) * CHOOSE(CONTROL!$C$21, $C$9, 100%, $E$9)</f>
        <v>12.4437</v>
      </c>
      <c r="D259" s="14">
        <f>CHOOSE(CONTROL!$C$42, 12.7028, 12.7028) * CHOOSE(CONTROL!$C$21, $C$9, 100%, $E$9)</f>
        <v>12.7028</v>
      </c>
      <c r="E259" s="14">
        <f>CHOOSE(CONTROL!$C$42, 12.7343, 12.7343) * CHOOSE(CONTROL!$C$21, $C$9, 100%, $E$9)</f>
        <v>12.734299999999999</v>
      </c>
      <c r="F259" s="14">
        <f>CHOOSE(CONTROL!$C$42, 12.4579, 12.4579)*CHOOSE(CONTROL!$C$21, $C$9, 100%, $E$9)</f>
        <v>12.4579</v>
      </c>
      <c r="G259" s="14">
        <f>CHOOSE(CONTROL!$C$42, 12.4751, 12.4751)*CHOOSE(CONTROL!$C$21, $C$9, 100%, $E$9)</f>
        <v>12.475099999999999</v>
      </c>
      <c r="H259" s="14">
        <f>CHOOSE(CONTROL!$C$42, 12.7229, 12.7229) * CHOOSE(CONTROL!$C$21, $C$9, 100%, $E$9)</f>
        <v>12.722899999999999</v>
      </c>
      <c r="I259" s="14">
        <f>CHOOSE(CONTROL!$C$42, 12.4958, 12.4958)* CHOOSE(CONTROL!$C$21, $C$9, 100%, $E$9)</f>
        <v>12.495799999999999</v>
      </c>
      <c r="J259" s="14">
        <f>CHOOSE(CONTROL!$C$42, 12.4509, 12.4509)* CHOOSE(CONTROL!$C$21, $C$9, 100%, $E$9)</f>
        <v>12.450900000000001</v>
      </c>
      <c r="K259" s="52">
        <f>CHOOSE(CONTROL!$C$42, 12.4919, 12.4919) * CHOOSE(CONTROL!$C$21, $C$9, 100%, $E$9)</f>
        <v>12.491899999999999</v>
      </c>
      <c r="L259" s="14">
        <f>CHOOSE(CONTROL!$C$42, 13.3099, 13.3099) * CHOOSE(CONTROL!$C$21, $C$9, 100%, $E$9)</f>
        <v>13.309900000000001</v>
      </c>
      <c r="M259" s="14">
        <f>CHOOSE(CONTROL!$C$42, 12.2347, 12.2347) * CHOOSE(CONTROL!$C$21, $C$9, 100%, $E$9)</f>
        <v>12.2347</v>
      </c>
      <c r="N259" s="14">
        <f>CHOOSE(CONTROL!$C$42, 12.2515, 12.2515) * CHOOSE(CONTROL!$C$21, $C$9, 100%, $E$9)</f>
        <v>12.2515</v>
      </c>
      <c r="O259" s="14">
        <f>CHOOSE(CONTROL!$C$42, 12.5018, 12.5018) * CHOOSE(CONTROL!$C$21, $C$9, 100%, $E$9)</f>
        <v>12.501799999999999</v>
      </c>
      <c r="P259" s="14">
        <f>CHOOSE(CONTROL!$C$42, 12.2781, 12.2781) * CHOOSE(CONTROL!$C$21, $C$9, 100%, $E$9)</f>
        <v>12.2781</v>
      </c>
      <c r="Q259" s="14">
        <f>CHOOSE(CONTROL!$C$42, 13.0965, 13.0965) * CHOOSE(CONTROL!$C$21, $C$9, 100%, $E$9)</f>
        <v>13.096500000000001</v>
      </c>
      <c r="R259" s="14">
        <f>CHOOSE(CONTROL!$C$42, 13.7162, 13.7162) * CHOOSE(CONTROL!$C$21, $C$9, 100%, $E$9)</f>
        <v>13.716200000000001</v>
      </c>
      <c r="S259" s="14">
        <f>CHOOSE(CONTROL!$C$42, 11.9388, 11.9388) * CHOOSE(CONTROL!$C$21, $C$9, 100%, $E$9)</f>
        <v>11.938800000000001</v>
      </c>
      <c r="T25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59" s="56">
        <f>(1000*CHOOSE(CONTROL!$C$42, 695, 695)*CHOOSE(CONTROL!$C$42, 0.5599, 0.5599)*CHOOSE(CONTROL!$C$42, 31, 31))/1000000</f>
        <v>12.063045499999998</v>
      </c>
      <c r="V259" s="56">
        <f>(1000*CHOOSE(CONTROL!$C$42, 500, 500)*CHOOSE(CONTROL!$C$42, 0.275, 0.275)*CHOOSE(CONTROL!$C$42, 31, 31))/1000000</f>
        <v>4.2625000000000002</v>
      </c>
      <c r="W259" s="56">
        <f>(1000*CHOOSE(CONTROL!$C$42, 0.1146, 0.1146)*CHOOSE(CONTROL!$C$42, 121.5, 121.5)*CHOOSE(CONTROL!$C$42, 31, 31))/1000000</f>
        <v>0.43164089999999994</v>
      </c>
      <c r="X259" s="56">
        <f>(31*0.1790888*245000/1000000)+(31*0.2374*100000/1000000)</f>
        <v>2.0961194359999999</v>
      </c>
      <c r="Y259" s="56"/>
      <c r="Z259" s="14"/>
      <c r="AA259" s="55"/>
      <c r="AB259" s="49">
        <f>(B259*194.205+C259*267.466+D259*133.845+E259*53.484+F259*40+G259*185+H259*0+I259*100+J259*300)/(194.205+267.466+133.845+53.484+0+40+185+100+300)</f>
        <v>12.492691404945056</v>
      </c>
      <c r="AC259" s="45">
        <f>(M259*'RAP TEMPLATE-GAS AVAILABILITY'!O258+N259*'RAP TEMPLATE-GAS AVAILABILITY'!P258+O259*'RAP TEMPLATE-GAS AVAILABILITY'!Q258+P259*'RAP TEMPLATE-GAS AVAILABILITY'!R258)/('RAP TEMPLATE-GAS AVAILABILITY'!O258+'RAP TEMPLATE-GAS AVAILABILITY'!P258+'RAP TEMPLATE-GAS AVAILABILITY'!Q258+'RAP TEMPLATE-GAS AVAILABILITY'!R258)</f>
        <v>12.319753956834532</v>
      </c>
    </row>
    <row r="260" spans="1:29" ht="15.75" x14ac:dyDescent="0.25">
      <c r="A260" s="13">
        <v>48792</v>
      </c>
      <c r="B260" s="14">
        <f>CHOOSE(CONTROL!$C$42, 11.822, 11.822) * CHOOSE(CONTROL!$C$21, $C$9, 100%, $E$9)</f>
        <v>11.821999999999999</v>
      </c>
      <c r="C260" s="14">
        <f>CHOOSE(CONTROL!$C$42, 11.8301, 11.8301) * CHOOSE(CONTROL!$C$21, $C$9, 100%, $E$9)</f>
        <v>11.8301</v>
      </c>
      <c r="D260" s="14">
        <f>CHOOSE(CONTROL!$C$42, 12.0892, 12.0892) * CHOOSE(CONTROL!$C$21, $C$9, 100%, $E$9)</f>
        <v>12.0892</v>
      </c>
      <c r="E260" s="14">
        <f>CHOOSE(CONTROL!$C$42, 12.1206, 12.1206) * CHOOSE(CONTROL!$C$21, $C$9, 100%, $E$9)</f>
        <v>12.1206</v>
      </c>
      <c r="F260" s="14">
        <f>CHOOSE(CONTROL!$C$42, 11.8444, 11.8444)*CHOOSE(CONTROL!$C$21, $C$9, 100%, $E$9)</f>
        <v>11.8444</v>
      </c>
      <c r="G260" s="14">
        <f>CHOOSE(CONTROL!$C$42, 11.8616, 11.8616)*CHOOSE(CONTROL!$C$21, $C$9, 100%, $E$9)</f>
        <v>11.861599999999999</v>
      </c>
      <c r="H260" s="14">
        <f>CHOOSE(CONTROL!$C$42, 12.1092, 12.1092) * CHOOSE(CONTROL!$C$21, $C$9, 100%, $E$9)</f>
        <v>12.1092</v>
      </c>
      <c r="I260" s="14">
        <f>CHOOSE(CONTROL!$C$42, 11.8802, 11.8802)* CHOOSE(CONTROL!$C$21, $C$9, 100%, $E$9)</f>
        <v>11.8802</v>
      </c>
      <c r="J260" s="14">
        <f>CHOOSE(CONTROL!$C$42, 11.8374, 11.8374)* CHOOSE(CONTROL!$C$21, $C$9, 100%, $E$9)</f>
        <v>11.837400000000001</v>
      </c>
      <c r="K260" s="52">
        <f>CHOOSE(CONTROL!$C$42, 11.8763, 11.8763) * CHOOSE(CONTROL!$C$21, $C$9, 100%, $E$9)</f>
        <v>11.876300000000001</v>
      </c>
      <c r="L260" s="14">
        <f>CHOOSE(CONTROL!$C$42, 12.6962, 12.6962) * CHOOSE(CONTROL!$C$21, $C$9, 100%, $E$9)</f>
        <v>12.696199999999999</v>
      </c>
      <c r="M260" s="14">
        <f>CHOOSE(CONTROL!$C$42, 11.6322, 11.6322) * CHOOSE(CONTROL!$C$21, $C$9, 100%, $E$9)</f>
        <v>11.632199999999999</v>
      </c>
      <c r="N260" s="14">
        <f>CHOOSE(CONTROL!$C$42, 11.6491, 11.6491) * CHOOSE(CONTROL!$C$21, $C$9, 100%, $E$9)</f>
        <v>11.649100000000001</v>
      </c>
      <c r="O260" s="14">
        <f>CHOOSE(CONTROL!$C$42, 11.8991, 11.8991) * CHOOSE(CONTROL!$C$21, $C$9, 100%, $E$9)</f>
        <v>11.899100000000001</v>
      </c>
      <c r="P260" s="14">
        <f>CHOOSE(CONTROL!$C$42, 11.6736, 11.6736) * CHOOSE(CONTROL!$C$21, $C$9, 100%, $E$9)</f>
        <v>11.6736</v>
      </c>
      <c r="Q260" s="14">
        <f>CHOOSE(CONTROL!$C$42, 12.4938, 12.4938) * CHOOSE(CONTROL!$C$21, $C$9, 100%, $E$9)</f>
        <v>12.4938</v>
      </c>
      <c r="R260" s="14">
        <f>CHOOSE(CONTROL!$C$42, 13.1121, 13.1121) * CHOOSE(CONTROL!$C$21, $C$9, 100%, $E$9)</f>
        <v>13.1121</v>
      </c>
      <c r="S260" s="14">
        <f>CHOOSE(CONTROL!$C$42, 11.3492, 11.3492) * CHOOSE(CONTROL!$C$21, $C$9, 100%, $E$9)</f>
        <v>11.3492</v>
      </c>
      <c r="T26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60" s="56">
        <f>(1000*CHOOSE(CONTROL!$C$42, 695, 695)*CHOOSE(CONTROL!$C$42, 0.5599, 0.5599)*CHOOSE(CONTROL!$C$42, 31, 31))/1000000</f>
        <v>12.063045499999998</v>
      </c>
      <c r="V260" s="56">
        <f>(1000*CHOOSE(CONTROL!$C$42, 500, 500)*CHOOSE(CONTROL!$C$42, 0.275, 0.275)*CHOOSE(CONTROL!$C$42, 31, 31))/1000000</f>
        <v>4.2625000000000002</v>
      </c>
      <c r="W260" s="56">
        <f>(1000*CHOOSE(CONTROL!$C$42, 0.1146, 0.1146)*CHOOSE(CONTROL!$C$42, 121.5, 121.5)*CHOOSE(CONTROL!$C$42, 31, 31))/1000000</f>
        <v>0.43164089999999994</v>
      </c>
      <c r="X260" s="56">
        <f>(31*0.1790888*245000/1000000)+(31*0.2374*100000/1000000)</f>
        <v>2.0961194359999999</v>
      </c>
      <c r="Y260" s="56"/>
      <c r="Z260" s="14"/>
      <c r="AA260" s="55"/>
      <c r="AB260" s="49">
        <f>(B260*194.205+C260*267.466+D260*133.845+E260*53.484+F260*40+G260*185+H260*0+I260*100+J260*300)/(194.205+267.466+133.845+53.484+0+40+185+100+300)</f>
        <v>11.878956186028258</v>
      </c>
      <c r="AC260" s="45">
        <f>(M260*'RAP TEMPLATE-GAS AVAILABILITY'!O259+N260*'RAP TEMPLATE-GAS AVAILABILITY'!P259+O260*'RAP TEMPLATE-GAS AVAILABILITY'!Q259+P260*'RAP TEMPLATE-GAS AVAILABILITY'!R259)/('RAP TEMPLATE-GAS AVAILABILITY'!O259+'RAP TEMPLATE-GAS AVAILABILITY'!P259+'RAP TEMPLATE-GAS AVAILABILITY'!Q259+'RAP TEMPLATE-GAS AVAILABILITY'!R259)</f>
        <v>11.71693309352518</v>
      </c>
    </row>
    <row r="261" spans="1:29" ht="15.75" x14ac:dyDescent="0.25">
      <c r="A261" s="13">
        <v>48823</v>
      </c>
      <c r="B261" s="14">
        <f>CHOOSE(CONTROL!$C$42, 11.072, 11.072) * CHOOSE(CONTROL!$C$21, $C$9, 100%, $E$9)</f>
        <v>11.071999999999999</v>
      </c>
      <c r="C261" s="14">
        <f>CHOOSE(CONTROL!$C$42, 11.08, 11.08) * CHOOSE(CONTROL!$C$21, $C$9, 100%, $E$9)</f>
        <v>11.08</v>
      </c>
      <c r="D261" s="14">
        <f>CHOOSE(CONTROL!$C$42, 11.3391, 11.3391) * CHOOSE(CONTROL!$C$21, $C$9, 100%, $E$9)</f>
        <v>11.3391</v>
      </c>
      <c r="E261" s="14">
        <f>CHOOSE(CONTROL!$C$42, 11.3706, 11.3706) * CHOOSE(CONTROL!$C$21, $C$9, 100%, $E$9)</f>
        <v>11.3706</v>
      </c>
      <c r="F261" s="14">
        <f>CHOOSE(CONTROL!$C$42, 11.0945, 11.0945)*CHOOSE(CONTROL!$C$21, $C$9, 100%, $E$9)</f>
        <v>11.0945</v>
      </c>
      <c r="G261" s="14">
        <f>CHOOSE(CONTROL!$C$42, 11.1117, 11.1117)*CHOOSE(CONTROL!$C$21, $C$9, 100%, $E$9)</f>
        <v>11.111700000000001</v>
      </c>
      <c r="H261" s="14">
        <f>CHOOSE(CONTROL!$C$42, 11.3592, 11.3592) * CHOOSE(CONTROL!$C$21, $C$9, 100%, $E$9)</f>
        <v>11.3592</v>
      </c>
      <c r="I261" s="14">
        <f>CHOOSE(CONTROL!$C$42, 11.1278, 11.1278)* CHOOSE(CONTROL!$C$21, $C$9, 100%, $E$9)</f>
        <v>11.127800000000001</v>
      </c>
      <c r="J261" s="14">
        <f>CHOOSE(CONTROL!$C$42, 11.0875, 11.0875)* CHOOSE(CONTROL!$C$21, $C$9, 100%, $E$9)</f>
        <v>11.0875</v>
      </c>
      <c r="K261" s="52">
        <f>CHOOSE(CONTROL!$C$42, 11.1239, 11.1239) * CHOOSE(CONTROL!$C$21, $C$9, 100%, $E$9)</f>
        <v>11.123900000000001</v>
      </c>
      <c r="L261" s="14">
        <f>CHOOSE(CONTROL!$C$42, 11.9462, 11.9462) * CHOOSE(CONTROL!$C$21, $C$9, 100%, $E$9)</f>
        <v>11.946199999999999</v>
      </c>
      <c r="M261" s="14">
        <f>CHOOSE(CONTROL!$C$42, 10.8958, 10.8958) * CHOOSE(CONTROL!$C$21, $C$9, 100%, $E$9)</f>
        <v>10.895799999999999</v>
      </c>
      <c r="N261" s="14">
        <f>CHOOSE(CONTROL!$C$42, 10.9127, 10.9127) * CHOOSE(CONTROL!$C$21, $C$9, 100%, $E$9)</f>
        <v>10.912699999999999</v>
      </c>
      <c r="O261" s="14">
        <f>CHOOSE(CONTROL!$C$42, 11.1626, 11.1626) * CHOOSE(CONTROL!$C$21, $C$9, 100%, $E$9)</f>
        <v>11.162599999999999</v>
      </c>
      <c r="P261" s="14">
        <f>CHOOSE(CONTROL!$C$42, 10.9348, 10.9348) * CHOOSE(CONTROL!$C$21, $C$9, 100%, $E$9)</f>
        <v>10.934799999999999</v>
      </c>
      <c r="Q261" s="14">
        <f>CHOOSE(CONTROL!$C$42, 11.7573, 11.7573) * CHOOSE(CONTROL!$C$21, $C$9, 100%, $E$9)</f>
        <v>11.757300000000001</v>
      </c>
      <c r="R261" s="14">
        <f>CHOOSE(CONTROL!$C$42, 12.3737, 12.3737) * CHOOSE(CONTROL!$C$21, $C$9, 100%, $E$9)</f>
        <v>12.373699999999999</v>
      </c>
      <c r="S261" s="14">
        <f>CHOOSE(CONTROL!$C$42, 10.6285, 10.6285) * CHOOSE(CONTROL!$C$21, $C$9, 100%, $E$9)</f>
        <v>10.628500000000001</v>
      </c>
      <c r="T26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61" s="56">
        <f>(1000*CHOOSE(CONTROL!$C$42, 695, 695)*CHOOSE(CONTROL!$C$42, 0.5599, 0.5599)*CHOOSE(CONTROL!$C$42, 30, 30))/1000000</f>
        <v>11.673914999999997</v>
      </c>
      <c r="V261" s="56">
        <f>(1000*CHOOSE(CONTROL!$C$42, 500, 500)*CHOOSE(CONTROL!$C$42, 0.275, 0.275)*CHOOSE(CONTROL!$C$42, 30, 30))/1000000</f>
        <v>4.125</v>
      </c>
      <c r="W261" s="56">
        <f>(1000*CHOOSE(CONTROL!$C$42, 0.1146, 0.1146)*CHOOSE(CONTROL!$C$42, 121.5, 121.5)*CHOOSE(CONTROL!$C$42, 30, 30))/1000000</f>
        <v>0.417717</v>
      </c>
      <c r="X261" s="56">
        <f>(30*0.1790888*245000/1000000)+(30*0.2374*100000/1000000)</f>
        <v>2.0285026799999999</v>
      </c>
      <c r="Y261" s="56"/>
      <c r="Z261" s="14"/>
      <c r="AA261" s="55"/>
      <c r="AB261" s="49">
        <f>(B261*194.205+C261*267.466+D261*133.845+E261*53.484+F261*40+G261*185+H261*0+I261*100+J261*300)/(194.205+267.466+133.845+53.484+0+40+185+100+300)</f>
        <v>11.128777511695446</v>
      </c>
      <c r="AC261" s="45">
        <f>(M261*'RAP TEMPLATE-GAS AVAILABILITY'!O260+N261*'RAP TEMPLATE-GAS AVAILABILITY'!P260+O261*'RAP TEMPLATE-GAS AVAILABILITY'!Q260+P261*'RAP TEMPLATE-GAS AVAILABILITY'!R260)/('RAP TEMPLATE-GAS AVAILABILITY'!O260+'RAP TEMPLATE-GAS AVAILABILITY'!P260+'RAP TEMPLATE-GAS AVAILABILITY'!Q260+'RAP TEMPLATE-GAS AVAILABILITY'!R260)</f>
        <v>10.980159712230215</v>
      </c>
    </row>
    <row r="262" spans="1:29" ht="15.75" x14ac:dyDescent="0.25">
      <c r="A262" s="13">
        <v>48853</v>
      </c>
      <c r="B262" s="14">
        <f>CHOOSE(CONTROL!$C$42, 10.8457, 10.8457) * CHOOSE(CONTROL!$C$21, $C$9, 100%, $E$9)</f>
        <v>10.845700000000001</v>
      </c>
      <c r="C262" s="14">
        <f>CHOOSE(CONTROL!$C$42, 10.851, 10.851) * CHOOSE(CONTROL!$C$21, $C$9, 100%, $E$9)</f>
        <v>10.851000000000001</v>
      </c>
      <c r="D262" s="14">
        <f>CHOOSE(CONTROL!$C$42, 11.1151, 11.1151) * CHOOSE(CONTROL!$C$21, $C$9, 100%, $E$9)</f>
        <v>11.1151</v>
      </c>
      <c r="E262" s="14">
        <f>CHOOSE(CONTROL!$C$42, 11.1442, 11.1442) * CHOOSE(CONTROL!$C$21, $C$9, 100%, $E$9)</f>
        <v>11.1442</v>
      </c>
      <c r="F262" s="14">
        <f>CHOOSE(CONTROL!$C$42, 10.8703, 10.8703)*CHOOSE(CONTROL!$C$21, $C$9, 100%, $E$9)</f>
        <v>10.8703</v>
      </c>
      <c r="G262" s="14">
        <f>CHOOSE(CONTROL!$C$42, 10.8874, 10.8874)*CHOOSE(CONTROL!$C$21, $C$9, 100%, $E$9)</f>
        <v>10.8874</v>
      </c>
      <c r="H262" s="14">
        <f>CHOOSE(CONTROL!$C$42, 11.1347, 11.1347) * CHOOSE(CONTROL!$C$21, $C$9, 100%, $E$9)</f>
        <v>11.1347</v>
      </c>
      <c r="I262" s="14">
        <f>CHOOSE(CONTROL!$C$42, 10.9025, 10.9025)* CHOOSE(CONTROL!$C$21, $C$9, 100%, $E$9)</f>
        <v>10.9025</v>
      </c>
      <c r="J262" s="14">
        <f>CHOOSE(CONTROL!$C$42, 10.8633, 10.8633)* CHOOSE(CONTROL!$C$21, $C$9, 100%, $E$9)</f>
        <v>10.863300000000001</v>
      </c>
      <c r="K262" s="52">
        <f>CHOOSE(CONTROL!$C$42, 10.8986, 10.8986) * CHOOSE(CONTROL!$C$21, $C$9, 100%, $E$9)</f>
        <v>10.8986</v>
      </c>
      <c r="L262" s="14">
        <f>CHOOSE(CONTROL!$C$42, 11.7217, 11.7217) * CHOOSE(CONTROL!$C$21, $C$9, 100%, $E$9)</f>
        <v>11.7217</v>
      </c>
      <c r="M262" s="14">
        <f>CHOOSE(CONTROL!$C$42, 10.6756, 10.6756) * CHOOSE(CONTROL!$C$21, $C$9, 100%, $E$9)</f>
        <v>10.675599999999999</v>
      </c>
      <c r="N262" s="14">
        <f>CHOOSE(CONTROL!$C$42, 10.6924, 10.6924) * CHOOSE(CONTROL!$C$21, $C$9, 100%, $E$9)</f>
        <v>10.692399999999999</v>
      </c>
      <c r="O262" s="14">
        <f>CHOOSE(CONTROL!$C$42, 10.9421, 10.9421) * CHOOSE(CONTROL!$C$21, $C$9, 100%, $E$9)</f>
        <v>10.9421</v>
      </c>
      <c r="P262" s="14">
        <f>CHOOSE(CONTROL!$C$42, 10.7136, 10.7136) * CHOOSE(CONTROL!$C$21, $C$9, 100%, $E$9)</f>
        <v>10.7136</v>
      </c>
      <c r="Q262" s="14">
        <f>CHOOSE(CONTROL!$C$42, 11.5368, 11.5368) * CHOOSE(CONTROL!$C$21, $C$9, 100%, $E$9)</f>
        <v>11.536799999999999</v>
      </c>
      <c r="R262" s="14">
        <f>CHOOSE(CONTROL!$C$42, 12.1526, 12.1526) * CHOOSE(CONTROL!$C$21, $C$9, 100%, $E$9)</f>
        <v>12.1526</v>
      </c>
      <c r="S262" s="14">
        <f>CHOOSE(CONTROL!$C$42, 10.4127, 10.4127) * CHOOSE(CONTROL!$C$21, $C$9, 100%, $E$9)</f>
        <v>10.412699999999999</v>
      </c>
      <c r="T26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62" s="56">
        <f>(1000*CHOOSE(CONTROL!$C$42, 695, 695)*CHOOSE(CONTROL!$C$42, 0.5599, 0.5599)*CHOOSE(CONTROL!$C$42, 31, 31))/1000000</f>
        <v>12.063045499999998</v>
      </c>
      <c r="V262" s="56">
        <f>(1000*CHOOSE(CONTROL!$C$42, 500, 500)*CHOOSE(CONTROL!$C$42, 0.275, 0.275)*CHOOSE(CONTROL!$C$42, 31, 31))/1000000</f>
        <v>4.2625000000000002</v>
      </c>
      <c r="W262" s="56">
        <f>(1000*CHOOSE(CONTROL!$C$42, 0.1146, 0.1146)*CHOOSE(CONTROL!$C$42, 121.5, 121.5)*CHOOSE(CONTROL!$C$42, 31, 31))/1000000</f>
        <v>0.43164089999999994</v>
      </c>
      <c r="X262" s="56">
        <f>(31*0.1790888*245000/1000000)+(31*0.2374*100000/1000000)</f>
        <v>2.0961194359999999</v>
      </c>
      <c r="Y262" s="56"/>
      <c r="Z262" s="14"/>
      <c r="AA262" s="55"/>
      <c r="AB262" s="49">
        <f>(B262*131.881+C262*277.167+D262*79.08+E262*125.872+F262*40+G262*185+H262*0+I262*100+J262*300)/(131.881+277.167+79.08+125.872+0+40+185+100+300)</f>
        <v>10.910271774899112</v>
      </c>
      <c r="AC262" s="45">
        <f>(M262*'RAP TEMPLATE-GAS AVAILABILITY'!O261+N262*'RAP TEMPLATE-GAS AVAILABILITY'!P261+O262*'RAP TEMPLATE-GAS AVAILABILITY'!Q261+P262*'RAP TEMPLATE-GAS AVAILABILITY'!R261)/('RAP TEMPLATE-GAS AVAILABILITY'!O261+'RAP TEMPLATE-GAS AVAILABILITY'!P261+'RAP TEMPLATE-GAS AVAILABILITY'!Q261+'RAP TEMPLATE-GAS AVAILABILITY'!R261)</f>
        <v>10.759708633093524</v>
      </c>
    </row>
    <row r="263" spans="1:29" ht="15.75" x14ac:dyDescent="0.25">
      <c r="A263" s="13">
        <v>48884</v>
      </c>
      <c r="B263" s="14">
        <f>CHOOSE(CONTROL!$C$42, 11.1307, 11.1307) * CHOOSE(CONTROL!$C$21, $C$9, 100%, $E$9)</f>
        <v>11.130699999999999</v>
      </c>
      <c r="C263" s="14">
        <f>CHOOSE(CONTROL!$C$42, 11.1358, 11.1358) * CHOOSE(CONTROL!$C$21, $C$9, 100%, $E$9)</f>
        <v>11.1358</v>
      </c>
      <c r="D263" s="14">
        <f>CHOOSE(CONTROL!$C$42, 11.2189, 11.2189) * CHOOSE(CONTROL!$C$21, $C$9, 100%, $E$9)</f>
        <v>11.2189</v>
      </c>
      <c r="E263" s="14">
        <f>CHOOSE(CONTROL!$C$42, 11.253, 11.253) * CHOOSE(CONTROL!$C$21, $C$9, 100%, $E$9)</f>
        <v>11.253</v>
      </c>
      <c r="F263" s="14">
        <f>CHOOSE(CONTROL!$C$42, 11.1584, 11.1584)*CHOOSE(CONTROL!$C$21, $C$9, 100%, $E$9)</f>
        <v>11.1584</v>
      </c>
      <c r="G263" s="14">
        <f>CHOOSE(CONTROL!$C$42, 11.1757, 11.1757)*CHOOSE(CONTROL!$C$21, $C$9, 100%, $E$9)</f>
        <v>11.175700000000001</v>
      </c>
      <c r="H263" s="14">
        <f>CHOOSE(CONTROL!$C$42, 11.2422, 11.2422) * CHOOSE(CONTROL!$C$21, $C$9, 100%, $E$9)</f>
        <v>11.2422</v>
      </c>
      <c r="I263" s="14">
        <f>CHOOSE(CONTROL!$C$42, 11.1852, 11.1852)* CHOOSE(CONTROL!$C$21, $C$9, 100%, $E$9)</f>
        <v>11.1852</v>
      </c>
      <c r="J263" s="14">
        <f>CHOOSE(CONTROL!$C$42, 11.1514, 11.1514)* CHOOSE(CONTROL!$C$21, $C$9, 100%, $E$9)</f>
        <v>11.151400000000001</v>
      </c>
      <c r="K263" s="52">
        <f>CHOOSE(CONTROL!$C$42, 11.1813, 11.1813) * CHOOSE(CONTROL!$C$21, $C$9, 100%, $E$9)</f>
        <v>11.1813</v>
      </c>
      <c r="L263" s="14">
        <f>CHOOSE(CONTROL!$C$42, 11.8292, 11.8292) * CHOOSE(CONTROL!$C$21, $C$9, 100%, $E$9)</f>
        <v>11.8292</v>
      </c>
      <c r="M263" s="14">
        <f>CHOOSE(CONTROL!$C$42, 10.9585, 10.9585) * CHOOSE(CONTROL!$C$21, $C$9, 100%, $E$9)</f>
        <v>10.958500000000001</v>
      </c>
      <c r="N263" s="14">
        <f>CHOOSE(CONTROL!$C$42, 10.9755, 10.9755) * CHOOSE(CONTROL!$C$21, $C$9, 100%, $E$9)</f>
        <v>10.9755</v>
      </c>
      <c r="O263" s="14">
        <f>CHOOSE(CONTROL!$C$42, 11.0476, 11.0476) * CHOOSE(CONTROL!$C$21, $C$9, 100%, $E$9)</f>
        <v>11.047599999999999</v>
      </c>
      <c r="P263" s="14">
        <f>CHOOSE(CONTROL!$C$42, 10.9912, 10.9912) * CHOOSE(CONTROL!$C$21, $C$9, 100%, $E$9)</f>
        <v>10.991199999999999</v>
      </c>
      <c r="Q263" s="14">
        <f>CHOOSE(CONTROL!$C$42, 11.6423, 11.6423) * CHOOSE(CONTROL!$C$21, $C$9, 100%, $E$9)</f>
        <v>11.642300000000001</v>
      </c>
      <c r="R263" s="14">
        <f>CHOOSE(CONTROL!$C$42, 12.2585, 12.2585) * CHOOSE(CONTROL!$C$21, $C$9, 100%, $E$9)</f>
        <v>12.2585</v>
      </c>
      <c r="S263" s="14">
        <f>CHOOSE(CONTROL!$C$42, 10.687, 10.687) * CHOOSE(CONTROL!$C$21, $C$9, 100%, $E$9)</f>
        <v>10.686999999999999</v>
      </c>
      <c r="T26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63" s="56">
        <f>(1000*CHOOSE(CONTROL!$C$42, 695, 695)*CHOOSE(CONTROL!$C$42, 0.5599, 0.5599)*CHOOSE(CONTROL!$C$42, 30, 30))/1000000</f>
        <v>11.673914999999997</v>
      </c>
      <c r="V263" s="56">
        <f>(1000*CHOOSE(CONTROL!$C$42, 500, 500)*CHOOSE(CONTROL!$C$42, 0.275, 0.275)*CHOOSE(CONTROL!$C$42, 30, 30))/1000000</f>
        <v>4.125</v>
      </c>
      <c r="W263" s="56">
        <f>(1000*CHOOSE(CONTROL!$C$42, 0.1146, 0.1146)*CHOOSE(CONTROL!$C$42, 121.5, 121.5)*CHOOSE(CONTROL!$C$42, 30, 30))/1000000</f>
        <v>0.417717</v>
      </c>
      <c r="X263" s="56">
        <f>(30*0.1790888*100000/1000000)+(30*0.2374*100000/1000000)</f>
        <v>1.2494664</v>
      </c>
      <c r="Y263" s="56"/>
      <c r="Z263" s="14"/>
      <c r="AA263" s="55"/>
      <c r="AB263" s="49">
        <f>(B263*122.58+C263*297.941+D263*89.177+E263*40.302+F263*40+G263*160+H263*0+I263*100+J263*300)/(122.58+297.941+89.177+40.302+0+40+160+100+300)</f>
        <v>11.160510300086957</v>
      </c>
      <c r="AC263" s="45">
        <f>(M263*'RAP TEMPLATE-GAS AVAILABILITY'!O262+N263*'RAP TEMPLATE-GAS AVAILABILITY'!P262+O263*'RAP TEMPLATE-GAS AVAILABILITY'!Q262+P263*'RAP TEMPLATE-GAS AVAILABILITY'!R262)/('RAP TEMPLATE-GAS AVAILABILITY'!O262+'RAP TEMPLATE-GAS AVAILABILITY'!P262+'RAP TEMPLATE-GAS AVAILABILITY'!Q262+'RAP TEMPLATE-GAS AVAILABILITY'!R262)</f>
        <v>11.004566906474819</v>
      </c>
    </row>
    <row r="264" spans="1:29" ht="15.75" x14ac:dyDescent="0.25">
      <c r="A264" s="13">
        <v>48914</v>
      </c>
      <c r="B264" s="14">
        <f>CHOOSE(CONTROL!$C$42, 11.889, 11.889) * CHOOSE(CONTROL!$C$21, $C$9, 100%, $E$9)</f>
        <v>11.888999999999999</v>
      </c>
      <c r="C264" s="14">
        <f>CHOOSE(CONTROL!$C$42, 11.894, 11.894) * CHOOSE(CONTROL!$C$21, $C$9, 100%, $E$9)</f>
        <v>11.894</v>
      </c>
      <c r="D264" s="14">
        <f>CHOOSE(CONTROL!$C$42, 11.9771, 11.9771) * CHOOSE(CONTROL!$C$21, $C$9, 100%, $E$9)</f>
        <v>11.9771</v>
      </c>
      <c r="E264" s="14">
        <f>CHOOSE(CONTROL!$C$42, 12.0112, 12.0112) * CHOOSE(CONTROL!$C$21, $C$9, 100%, $E$9)</f>
        <v>12.011200000000001</v>
      </c>
      <c r="F264" s="14">
        <f>CHOOSE(CONTROL!$C$42, 11.919, 11.919)*CHOOSE(CONTROL!$C$21, $C$9, 100%, $E$9)</f>
        <v>11.919</v>
      </c>
      <c r="G264" s="14">
        <f>CHOOSE(CONTROL!$C$42, 11.937, 11.937)*CHOOSE(CONTROL!$C$21, $C$9, 100%, $E$9)</f>
        <v>11.936999999999999</v>
      </c>
      <c r="H264" s="14">
        <f>CHOOSE(CONTROL!$C$42, 12.0004, 12.0004) * CHOOSE(CONTROL!$C$21, $C$9, 100%, $E$9)</f>
        <v>12.000400000000001</v>
      </c>
      <c r="I264" s="14">
        <f>CHOOSE(CONTROL!$C$42, 11.9458, 11.9458)* CHOOSE(CONTROL!$C$21, $C$9, 100%, $E$9)</f>
        <v>11.9458</v>
      </c>
      <c r="J264" s="14">
        <f>CHOOSE(CONTROL!$C$42, 11.912, 11.912)* CHOOSE(CONTROL!$C$21, $C$9, 100%, $E$9)</f>
        <v>11.912000000000001</v>
      </c>
      <c r="K264" s="52">
        <f>CHOOSE(CONTROL!$C$42, 11.9419, 11.9419) * CHOOSE(CONTROL!$C$21, $C$9, 100%, $E$9)</f>
        <v>11.9419</v>
      </c>
      <c r="L264" s="14">
        <f>CHOOSE(CONTROL!$C$42, 12.5874, 12.5874) * CHOOSE(CONTROL!$C$21, $C$9, 100%, $E$9)</f>
        <v>12.587400000000001</v>
      </c>
      <c r="M264" s="14">
        <f>CHOOSE(CONTROL!$C$42, 11.7055, 11.7055) * CHOOSE(CONTROL!$C$21, $C$9, 100%, $E$9)</f>
        <v>11.705500000000001</v>
      </c>
      <c r="N264" s="14">
        <f>CHOOSE(CONTROL!$C$42, 11.7231, 11.7231) * CHOOSE(CONTROL!$C$21, $C$9, 100%, $E$9)</f>
        <v>11.723100000000001</v>
      </c>
      <c r="O264" s="14">
        <f>CHOOSE(CONTROL!$C$42, 11.7922, 11.7922) * CHOOSE(CONTROL!$C$21, $C$9, 100%, $E$9)</f>
        <v>11.792199999999999</v>
      </c>
      <c r="P264" s="14">
        <f>CHOOSE(CONTROL!$C$42, 11.7381, 11.7381) * CHOOSE(CONTROL!$C$21, $C$9, 100%, $E$9)</f>
        <v>11.738099999999999</v>
      </c>
      <c r="Q264" s="14">
        <f>CHOOSE(CONTROL!$C$42, 12.3869, 12.3869) * CHOOSE(CONTROL!$C$21, $C$9, 100%, $E$9)</f>
        <v>12.386900000000001</v>
      </c>
      <c r="R264" s="14">
        <f>CHOOSE(CONTROL!$C$42, 13.0049, 13.0049) * CHOOSE(CONTROL!$C$21, $C$9, 100%, $E$9)</f>
        <v>13.004899999999999</v>
      </c>
      <c r="S264" s="14">
        <f>CHOOSE(CONTROL!$C$42, 11.4156, 11.4156) * CHOOSE(CONTROL!$C$21, $C$9, 100%, $E$9)</f>
        <v>11.4156</v>
      </c>
      <c r="T26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64" s="56">
        <f>(1000*CHOOSE(CONTROL!$C$42, 695, 695)*CHOOSE(CONTROL!$C$42, 0.5599, 0.5599)*CHOOSE(CONTROL!$C$42, 31, 31))/1000000</f>
        <v>12.063045499999998</v>
      </c>
      <c r="V264" s="56">
        <f>(1000*CHOOSE(CONTROL!$C$42, 500, 500)*CHOOSE(CONTROL!$C$42, 0.275, 0.275)*CHOOSE(CONTROL!$C$42, 31, 31))/1000000</f>
        <v>4.2625000000000002</v>
      </c>
      <c r="W264" s="56">
        <f>(1000*CHOOSE(CONTROL!$C$42, 0.1146, 0.1146)*CHOOSE(CONTROL!$C$42, 121.5, 121.5)*CHOOSE(CONTROL!$C$42, 31, 31))/1000000</f>
        <v>0.43164089999999994</v>
      </c>
      <c r="X264" s="56">
        <f>(31*0.1790888*100000/1000000)+(31*0.2374*100000/1000000)</f>
        <v>1.2911152800000001</v>
      </c>
      <c r="Y264" s="56"/>
      <c r="Z264" s="14"/>
      <c r="AA264" s="55"/>
      <c r="AB264" s="49">
        <f>(B264*122.58+C264*297.941+D264*89.177+E264*40.302+F264*40+G264*160+H264*0+I264*100+J264*300)/(122.58+297.941+89.177+40.302+0+40+160+100+300)</f>
        <v>11.920070524434783</v>
      </c>
      <c r="AC264" s="45">
        <f>(M264*'RAP TEMPLATE-GAS AVAILABILITY'!O263+N264*'RAP TEMPLATE-GAS AVAILABILITY'!P263+O264*'RAP TEMPLATE-GAS AVAILABILITY'!Q263+P264*'RAP TEMPLATE-GAS AVAILABILITY'!R263)/('RAP TEMPLATE-GAS AVAILABILITY'!O263+'RAP TEMPLATE-GAS AVAILABILITY'!P263+'RAP TEMPLATE-GAS AVAILABILITY'!Q263+'RAP TEMPLATE-GAS AVAILABILITY'!R263)</f>
        <v>11.750499280575539</v>
      </c>
    </row>
    <row r="265" spans="1:29" ht="15.75" x14ac:dyDescent="0.25">
      <c r="A265" s="13">
        <v>48945</v>
      </c>
      <c r="B265" s="14">
        <f>CHOOSE(CONTROL!$C$42, 12.8738, 12.8738) * CHOOSE(CONTROL!$C$21, $C$9, 100%, $E$9)</f>
        <v>12.873799999999999</v>
      </c>
      <c r="C265" s="14">
        <f>CHOOSE(CONTROL!$C$42, 12.8788, 12.8788) * CHOOSE(CONTROL!$C$21, $C$9, 100%, $E$9)</f>
        <v>12.8788</v>
      </c>
      <c r="D265" s="14">
        <f>CHOOSE(CONTROL!$C$42, 12.9723, 12.9723) * CHOOSE(CONTROL!$C$21, $C$9, 100%, $E$9)</f>
        <v>12.972300000000001</v>
      </c>
      <c r="E265" s="14">
        <f>CHOOSE(CONTROL!$C$42, 13.0064, 13.0064) * CHOOSE(CONTROL!$C$21, $C$9, 100%, $E$9)</f>
        <v>13.006399999999999</v>
      </c>
      <c r="F265" s="14">
        <f>CHOOSE(CONTROL!$C$42, 12.9011, 12.9011)*CHOOSE(CONTROL!$C$21, $C$9, 100%, $E$9)</f>
        <v>12.9011</v>
      </c>
      <c r="G265" s="14">
        <f>CHOOSE(CONTROL!$C$42, 12.919, 12.919)*CHOOSE(CONTROL!$C$21, $C$9, 100%, $E$9)</f>
        <v>12.919</v>
      </c>
      <c r="H265" s="14">
        <f>CHOOSE(CONTROL!$C$42, 12.9956, 12.9956) * CHOOSE(CONTROL!$C$21, $C$9, 100%, $E$9)</f>
        <v>12.9956</v>
      </c>
      <c r="I265" s="14">
        <f>CHOOSE(CONTROL!$C$42, 12.94, 12.94)* CHOOSE(CONTROL!$C$21, $C$9, 100%, $E$9)</f>
        <v>12.94</v>
      </c>
      <c r="J265" s="14">
        <f>CHOOSE(CONTROL!$C$42, 12.8941, 12.8941)* CHOOSE(CONTROL!$C$21, $C$9, 100%, $E$9)</f>
        <v>12.8941</v>
      </c>
      <c r="K265" s="52">
        <f>CHOOSE(CONTROL!$C$42, 12.9361, 12.9361) * CHOOSE(CONTROL!$C$21, $C$9, 100%, $E$9)</f>
        <v>12.9361</v>
      </c>
      <c r="L265" s="14">
        <f>CHOOSE(CONTROL!$C$42, 13.5826, 13.5826) * CHOOSE(CONTROL!$C$21, $C$9, 100%, $E$9)</f>
        <v>13.582599999999999</v>
      </c>
      <c r="M265" s="14">
        <f>CHOOSE(CONTROL!$C$42, 12.6698, 12.6698) * CHOOSE(CONTROL!$C$21, $C$9, 100%, $E$9)</f>
        <v>12.6698</v>
      </c>
      <c r="N265" s="14">
        <f>CHOOSE(CONTROL!$C$42, 12.6875, 12.6875) * CHOOSE(CONTROL!$C$21, $C$9, 100%, $E$9)</f>
        <v>12.6875</v>
      </c>
      <c r="O265" s="14">
        <f>CHOOSE(CONTROL!$C$42, 12.7696, 12.7696) * CHOOSE(CONTROL!$C$21, $C$9, 100%, $E$9)</f>
        <v>12.769600000000001</v>
      </c>
      <c r="P265" s="14">
        <f>CHOOSE(CONTROL!$C$42, 12.7143, 12.7143) * CHOOSE(CONTROL!$C$21, $C$9, 100%, $E$9)</f>
        <v>12.7143</v>
      </c>
      <c r="Q265" s="14">
        <f>CHOOSE(CONTROL!$C$42, 13.3643, 13.3643) * CHOOSE(CONTROL!$C$21, $C$9, 100%, $E$9)</f>
        <v>13.3643</v>
      </c>
      <c r="R265" s="14">
        <f>CHOOSE(CONTROL!$C$42, 13.9847, 13.9847) * CHOOSE(CONTROL!$C$21, $C$9, 100%, $E$9)</f>
        <v>13.9847</v>
      </c>
      <c r="S265" s="14">
        <f>CHOOSE(CONTROL!$C$42, 12.3619, 12.3619) * CHOOSE(CONTROL!$C$21, $C$9, 100%, $E$9)</f>
        <v>12.3619</v>
      </c>
      <c r="T26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65" s="56">
        <f>(1000*CHOOSE(CONTROL!$C$42, 695, 695)*CHOOSE(CONTROL!$C$42, 0.5599, 0.5599)*CHOOSE(CONTROL!$C$42, 31, 31))/1000000</f>
        <v>12.063045499999998</v>
      </c>
      <c r="V265" s="56">
        <f>(1000*CHOOSE(CONTROL!$C$42, 500, 500)*CHOOSE(CONTROL!$C$42, 0.275, 0.275)*CHOOSE(CONTROL!$C$42, 31, 31))/1000000</f>
        <v>4.2625000000000002</v>
      </c>
      <c r="W265" s="56">
        <f>(1000*CHOOSE(CONTROL!$C$42, 0.1146, 0.1146)*CHOOSE(CONTROL!$C$42, 121.5, 121.5)*CHOOSE(CONTROL!$C$42, 31, 31))/1000000</f>
        <v>0.43164089999999994</v>
      </c>
      <c r="X265" s="56">
        <f>(31*0.1790888*100000/1000000)+(31*0.2374*100000/1000000)</f>
        <v>1.2911152800000001</v>
      </c>
      <c r="Y265" s="56"/>
      <c r="Z265" s="14"/>
      <c r="AA265" s="55"/>
      <c r="AB265" s="49">
        <f>(B265*122.58+C265*297.941+D265*89.177+E265*40.302+F265*40+G265*160+H265*0+I265*100+J265*300)/(122.58+297.941+89.177+40.302+0+40+160+100+300)</f>
        <v>12.905671030173913</v>
      </c>
      <c r="AC265" s="45">
        <f>(M265*'RAP TEMPLATE-GAS AVAILABILITY'!O264+N265*'RAP TEMPLATE-GAS AVAILABILITY'!P264+O265*'RAP TEMPLATE-GAS AVAILABILITY'!Q264+P265*'RAP TEMPLATE-GAS AVAILABILITY'!R264)/('RAP TEMPLATE-GAS AVAILABILITY'!O264+'RAP TEMPLATE-GAS AVAILABILITY'!P264+'RAP TEMPLATE-GAS AVAILABILITY'!Q264+'RAP TEMPLATE-GAS AVAILABILITY'!R264)</f>
        <v>12.722454676258993</v>
      </c>
    </row>
    <row r="266" spans="1:29" ht="15.75" x14ac:dyDescent="0.25">
      <c r="A266" s="13">
        <v>48976</v>
      </c>
      <c r="B266" s="14">
        <f>CHOOSE(CONTROL!$C$42, 13.1028, 13.1028) * CHOOSE(CONTROL!$C$21, $C$9, 100%, $E$9)</f>
        <v>13.1028</v>
      </c>
      <c r="C266" s="14">
        <f>CHOOSE(CONTROL!$C$42, 13.1078, 13.1078) * CHOOSE(CONTROL!$C$21, $C$9, 100%, $E$9)</f>
        <v>13.107799999999999</v>
      </c>
      <c r="D266" s="14">
        <f>CHOOSE(CONTROL!$C$42, 13.2013, 13.2013) * CHOOSE(CONTROL!$C$21, $C$9, 100%, $E$9)</f>
        <v>13.2013</v>
      </c>
      <c r="E266" s="14">
        <f>CHOOSE(CONTROL!$C$42, 13.2354, 13.2354) * CHOOSE(CONTROL!$C$21, $C$9, 100%, $E$9)</f>
        <v>13.2354</v>
      </c>
      <c r="F266" s="14">
        <f>CHOOSE(CONTROL!$C$42, 13.1297, 13.1297)*CHOOSE(CONTROL!$C$21, $C$9, 100%, $E$9)</f>
        <v>13.1297</v>
      </c>
      <c r="G266" s="14">
        <f>CHOOSE(CONTROL!$C$42, 13.1476, 13.1476)*CHOOSE(CONTROL!$C$21, $C$9, 100%, $E$9)</f>
        <v>13.147600000000001</v>
      </c>
      <c r="H266" s="14">
        <f>CHOOSE(CONTROL!$C$42, 13.2246, 13.2246) * CHOOSE(CONTROL!$C$21, $C$9, 100%, $E$9)</f>
        <v>13.224600000000001</v>
      </c>
      <c r="I266" s="14">
        <f>CHOOSE(CONTROL!$C$42, 13.1697, 13.1697)* CHOOSE(CONTROL!$C$21, $C$9, 100%, $E$9)</f>
        <v>13.169700000000001</v>
      </c>
      <c r="J266" s="14">
        <f>CHOOSE(CONTROL!$C$42, 13.1227, 13.1227)* CHOOSE(CONTROL!$C$21, $C$9, 100%, $E$9)</f>
        <v>13.1227</v>
      </c>
      <c r="K266" s="52">
        <f>CHOOSE(CONTROL!$C$42, 13.1658, 13.1658) * CHOOSE(CONTROL!$C$21, $C$9, 100%, $E$9)</f>
        <v>13.165800000000001</v>
      </c>
      <c r="L266" s="14">
        <f>CHOOSE(CONTROL!$C$42, 13.8116, 13.8116) * CHOOSE(CONTROL!$C$21, $C$9, 100%, $E$9)</f>
        <v>13.8116</v>
      </c>
      <c r="M266" s="14">
        <f>CHOOSE(CONTROL!$C$42, 12.8944, 12.8944) * CHOOSE(CONTROL!$C$21, $C$9, 100%, $E$9)</f>
        <v>12.894399999999999</v>
      </c>
      <c r="N266" s="14">
        <f>CHOOSE(CONTROL!$C$42, 12.9119, 12.9119) * CHOOSE(CONTROL!$C$21, $C$9, 100%, $E$9)</f>
        <v>12.911899999999999</v>
      </c>
      <c r="O266" s="14">
        <f>CHOOSE(CONTROL!$C$42, 12.9944, 12.9944) * CHOOSE(CONTROL!$C$21, $C$9, 100%, $E$9)</f>
        <v>12.994400000000001</v>
      </c>
      <c r="P266" s="14">
        <f>CHOOSE(CONTROL!$C$42, 12.9399, 12.9399) * CHOOSE(CONTROL!$C$21, $C$9, 100%, $E$9)</f>
        <v>12.9399</v>
      </c>
      <c r="Q266" s="14">
        <f>CHOOSE(CONTROL!$C$42, 13.5891, 13.5891) * CHOOSE(CONTROL!$C$21, $C$9, 100%, $E$9)</f>
        <v>13.5891</v>
      </c>
      <c r="R266" s="14">
        <f>CHOOSE(CONTROL!$C$42, 14.2101, 14.2101) * CHOOSE(CONTROL!$C$21, $C$9, 100%, $E$9)</f>
        <v>14.210100000000001</v>
      </c>
      <c r="S266" s="14">
        <f>CHOOSE(CONTROL!$C$42, 12.5819, 12.5819) * CHOOSE(CONTROL!$C$21, $C$9, 100%, $E$9)</f>
        <v>12.581899999999999</v>
      </c>
      <c r="T26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66" s="56">
        <f>(1000*CHOOSE(CONTROL!$C$42, 695, 695)*CHOOSE(CONTROL!$C$42, 0.5599, 0.5599)*CHOOSE(CONTROL!$C$42, 28, 28))/1000000</f>
        <v>10.895653999999999</v>
      </c>
      <c r="V266" s="56">
        <f>(1000*CHOOSE(CONTROL!$C$42, 500, 500)*CHOOSE(CONTROL!$C$42, 0.275, 0.275)*CHOOSE(CONTROL!$C$42, 28, 28))/1000000</f>
        <v>3.85</v>
      </c>
      <c r="W266" s="56">
        <f>(1000*CHOOSE(CONTROL!$C$42, 0.1146, 0.1146)*CHOOSE(CONTROL!$C$42, 121.5, 121.5)*CHOOSE(CONTROL!$C$42, 28, 28))/1000000</f>
        <v>0.38986920000000003</v>
      </c>
      <c r="X266" s="56">
        <f>(28*0.1790888*100000/1000000)+(28*0.2374*100000/1000000)</f>
        <v>1.16616864</v>
      </c>
      <c r="Y266" s="56"/>
      <c r="Z266" s="14"/>
      <c r="AA266" s="55"/>
      <c r="AB266" s="49">
        <f>(B266*122.58+C266*297.941+D266*89.177+E266*40.302+F266*40+G266*160+H266*0+I266*100+J266*300)/(122.58+297.941+89.177+40.302+0+40+160+100+300)</f>
        <v>13.134557986695651</v>
      </c>
      <c r="AC266" s="45">
        <f>(M266*'RAP TEMPLATE-GAS AVAILABILITY'!O265+N266*'RAP TEMPLATE-GAS AVAILABILITY'!P265+O266*'RAP TEMPLATE-GAS AVAILABILITY'!Q265+P266*'RAP TEMPLATE-GAS AVAILABILITY'!R265)/('RAP TEMPLATE-GAS AVAILABILITY'!O265+'RAP TEMPLATE-GAS AVAILABILITY'!P265+'RAP TEMPLATE-GAS AVAILABILITY'!Q265+'RAP TEMPLATE-GAS AVAILABILITY'!R265)</f>
        <v>12.947277697841727</v>
      </c>
    </row>
    <row r="267" spans="1:29" ht="15.75" x14ac:dyDescent="0.25">
      <c r="A267" s="13">
        <v>49004</v>
      </c>
      <c r="B267" s="14">
        <f>CHOOSE(CONTROL!$C$42, 12.731, 12.731) * CHOOSE(CONTROL!$C$21, $C$9, 100%, $E$9)</f>
        <v>12.731</v>
      </c>
      <c r="C267" s="14">
        <f>CHOOSE(CONTROL!$C$42, 12.7361, 12.7361) * CHOOSE(CONTROL!$C$21, $C$9, 100%, $E$9)</f>
        <v>12.7361</v>
      </c>
      <c r="D267" s="14">
        <f>CHOOSE(CONTROL!$C$42, 12.8296, 12.8296) * CHOOSE(CONTROL!$C$21, $C$9, 100%, $E$9)</f>
        <v>12.829599999999999</v>
      </c>
      <c r="E267" s="14">
        <f>CHOOSE(CONTROL!$C$42, 12.8637, 12.8637) * CHOOSE(CONTROL!$C$21, $C$9, 100%, $E$9)</f>
        <v>12.8637</v>
      </c>
      <c r="F267" s="14">
        <f>CHOOSE(CONTROL!$C$42, 12.7571, 12.7571)*CHOOSE(CONTROL!$C$21, $C$9, 100%, $E$9)</f>
        <v>12.757099999999999</v>
      </c>
      <c r="G267" s="14">
        <f>CHOOSE(CONTROL!$C$42, 12.7748, 12.7748)*CHOOSE(CONTROL!$C$21, $C$9, 100%, $E$9)</f>
        <v>12.774800000000001</v>
      </c>
      <c r="H267" s="14">
        <f>CHOOSE(CONTROL!$C$42, 12.8529, 12.8529) * CHOOSE(CONTROL!$C$21, $C$9, 100%, $E$9)</f>
        <v>12.8529</v>
      </c>
      <c r="I267" s="14">
        <f>CHOOSE(CONTROL!$C$42, 12.7968, 12.7968)* CHOOSE(CONTROL!$C$21, $C$9, 100%, $E$9)</f>
        <v>12.796799999999999</v>
      </c>
      <c r="J267" s="14">
        <f>CHOOSE(CONTROL!$C$42, 12.7501, 12.7501)* CHOOSE(CONTROL!$C$21, $C$9, 100%, $E$9)</f>
        <v>12.7501</v>
      </c>
      <c r="K267" s="52">
        <f>CHOOSE(CONTROL!$C$42, 12.7929, 12.7929) * CHOOSE(CONTROL!$C$21, $C$9, 100%, $E$9)</f>
        <v>12.792899999999999</v>
      </c>
      <c r="L267" s="14">
        <f>CHOOSE(CONTROL!$C$42, 13.4399, 13.4399) * CHOOSE(CONTROL!$C$21, $C$9, 100%, $E$9)</f>
        <v>13.4399</v>
      </c>
      <c r="M267" s="14">
        <f>CHOOSE(CONTROL!$C$42, 12.5285, 12.5285) * CHOOSE(CONTROL!$C$21, $C$9, 100%, $E$9)</f>
        <v>12.528499999999999</v>
      </c>
      <c r="N267" s="14">
        <f>CHOOSE(CONTROL!$C$42, 12.5458, 12.5458) * CHOOSE(CONTROL!$C$21, $C$9, 100%, $E$9)</f>
        <v>12.5458</v>
      </c>
      <c r="O267" s="14">
        <f>CHOOSE(CONTROL!$C$42, 12.6294, 12.6294) * CHOOSE(CONTROL!$C$21, $C$9, 100%, $E$9)</f>
        <v>12.6294</v>
      </c>
      <c r="P267" s="14">
        <f>CHOOSE(CONTROL!$C$42, 12.5737, 12.5737) * CHOOSE(CONTROL!$C$21, $C$9, 100%, $E$9)</f>
        <v>12.573700000000001</v>
      </c>
      <c r="Q267" s="14">
        <f>CHOOSE(CONTROL!$C$42, 13.2241, 13.2241) * CHOOSE(CONTROL!$C$21, $C$9, 100%, $E$9)</f>
        <v>13.2241</v>
      </c>
      <c r="R267" s="14">
        <f>CHOOSE(CONTROL!$C$42, 13.8442, 13.8442) * CHOOSE(CONTROL!$C$21, $C$9, 100%, $E$9)</f>
        <v>13.844200000000001</v>
      </c>
      <c r="S267" s="14">
        <f>CHOOSE(CONTROL!$C$42, 12.2247, 12.2247) * CHOOSE(CONTROL!$C$21, $C$9, 100%, $E$9)</f>
        <v>12.2247</v>
      </c>
      <c r="T26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67" s="56">
        <f>(1000*CHOOSE(CONTROL!$C$42, 695, 695)*CHOOSE(CONTROL!$C$42, 0.5599, 0.5599)*CHOOSE(CONTROL!$C$42, 31, 31))/1000000</f>
        <v>12.063045499999998</v>
      </c>
      <c r="V267" s="56">
        <f>(1000*CHOOSE(CONTROL!$C$42, 500, 500)*CHOOSE(CONTROL!$C$42, 0.275, 0.275)*CHOOSE(CONTROL!$C$42, 31, 31))/1000000</f>
        <v>4.2625000000000002</v>
      </c>
      <c r="W267" s="56">
        <f>(1000*CHOOSE(CONTROL!$C$42, 0.1146, 0.1146)*CHOOSE(CONTROL!$C$42, 121.5, 121.5)*CHOOSE(CONTROL!$C$42, 31, 31))/1000000</f>
        <v>0.43164089999999994</v>
      </c>
      <c r="X267" s="56">
        <f>(31*0.1790888*100000/1000000)+(31*0.2374*100000/1000000)</f>
        <v>1.2911152800000001</v>
      </c>
      <c r="Y267" s="56"/>
      <c r="Z267" s="14"/>
      <c r="AA267" s="55"/>
      <c r="AB267" s="49">
        <f>(B267*122.58+C267*297.941+D267*89.177+E267*40.302+F267*40+G267*160+H267*0+I267*100+J267*300)/(122.58+297.941+89.177+40.302+0+40+160+100+300)</f>
        <v>12.762323849304346</v>
      </c>
      <c r="AC267" s="45">
        <f>(M267*'RAP TEMPLATE-GAS AVAILABILITY'!O266+N267*'RAP TEMPLATE-GAS AVAILABILITY'!P266+O267*'RAP TEMPLATE-GAS AVAILABILITY'!Q266+P267*'RAP TEMPLATE-GAS AVAILABILITY'!R266)/('RAP TEMPLATE-GAS AVAILABILITY'!O266+'RAP TEMPLATE-GAS AVAILABILITY'!P266+'RAP TEMPLATE-GAS AVAILABILITY'!Q266+'RAP TEMPLATE-GAS AVAILABILITY'!R266)</f>
        <v>12.581730935251798</v>
      </c>
    </row>
    <row r="268" spans="1:29" ht="15.75" x14ac:dyDescent="0.25">
      <c r="A268" s="13">
        <v>49035</v>
      </c>
      <c r="B268" s="14">
        <f>CHOOSE(CONTROL!$C$42, 12.694, 12.694) * CHOOSE(CONTROL!$C$21, $C$9, 100%, $E$9)</f>
        <v>12.694000000000001</v>
      </c>
      <c r="C268" s="14">
        <f>CHOOSE(CONTROL!$C$42, 12.6985, 12.6985) * CHOOSE(CONTROL!$C$21, $C$9, 100%, $E$9)</f>
        <v>12.698499999999999</v>
      </c>
      <c r="D268" s="14">
        <f>CHOOSE(CONTROL!$C$42, 12.9607, 12.9607) * CHOOSE(CONTROL!$C$21, $C$9, 100%, $E$9)</f>
        <v>12.960699999999999</v>
      </c>
      <c r="E268" s="14">
        <f>CHOOSE(CONTROL!$C$42, 12.9928, 12.9928) * CHOOSE(CONTROL!$C$21, $C$9, 100%, $E$9)</f>
        <v>12.992800000000001</v>
      </c>
      <c r="F268" s="14">
        <f>CHOOSE(CONTROL!$C$42, 12.7168, 12.7168)*CHOOSE(CONTROL!$C$21, $C$9, 100%, $E$9)</f>
        <v>12.716799999999999</v>
      </c>
      <c r="G268" s="14">
        <f>CHOOSE(CONTROL!$C$42, 12.7335, 12.7335)*CHOOSE(CONTROL!$C$21, $C$9, 100%, $E$9)</f>
        <v>12.733499999999999</v>
      </c>
      <c r="H268" s="14">
        <f>CHOOSE(CONTROL!$C$42, 12.9826, 12.9826) * CHOOSE(CONTROL!$C$21, $C$9, 100%, $E$9)</f>
        <v>12.9826</v>
      </c>
      <c r="I268" s="14">
        <f>CHOOSE(CONTROL!$C$42, 12.7562, 12.7562)* CHOOSE(CONTROL!$C$21, $C$9, 100%, $E$9)</f>
        <v>12.7562</v>
      </c>
      <c r="J268" s="14">
        <f>CHOOSE(CONTROL!$C$42, 12.7098, 12.7098)* CHOOSE(CONTROL!$C$21, $C$9, 100%, $E$9)</f>
        <v>12.7098</v>
      </c>
      <c r="K268" s="52">
        <f>CHOOSE(CONTROL!$C$42, 12.7523, 12.7523) * CHOOSE(CONTROL!$C$21, $C$9, 100%, $E$9)</f>
        <v>12.7523</v>
      </c>
      <c r="L268" s="14">
        <f>CHOOSE(CONTROL!$C$42, 13.5696, 13.5696) * CHOOSE(CONTROL!$C$21, $C$9, 100%, $E$9)</f>
        <v>13.569599999999999</v>
      </c>
      <c r="M268" s="14">
        <f>CHOOSE(CONTROL!$C$42, 12.4889, 12.4889) * CHOOSE(CONTROL!$C$21, $C$9, 100%, $E$9)</f>
        <v>12.488899999999999</v>
      </c>
      <c r="N268" s="14">
        <f>CHOOSE(CONTROL!$C$42, 12.5053, 12.5053) * CHOOSE(CONTROL!$C$21, $C$9, 100%, $E$9)</f>
        <v>12.5053</v>
      </c>
      <c r="O268" s="14">
        <f>CHOOSE(CONTROL!$C$42, 12.7568, 12.7568) * CHOOSE(CONTROL!$C$21, $C$9, 100%, $E$9)</f>
        <v>12.7568</v>
      </c>
      <c r="P268" s="14">
        <f>CHOOSE(CONTROL!$C$42, 12.5338, 12.5338) * CHOOSE(CONTROL!$C$21, $C$9, 100%, $E$9)</f>
        <v>12.533799999999999</v>
      </c>
      <c r="Q268" s="14">
        <f>CHOOSE(CONTROL!$C$42, 13.3515, 13.3515) * CHOOSE(CONTROL!$C$21, $C$9, 100%, $E$9)</f>
        <v>13.3515</v>
      </c>
      <c r="R268" s="14">
        <f>CHOOSE(CONTROL!$C$42, 13.9718, 13.9718) * CHOOSE(CONTROL!$C$21, $C$9, 100%, $E$9)</f>
        <v>13.9718</v>
      </c>
      <c r="S268" s="14">
        <f>CHOOSE(CONTROL!$C$42, 12.1883, 12.1883) * CHOOSE(CONTROL!$C$21, $C$9, 100%, $E$9)</f>
        <v>12.1883</v>
      </c>
      <c r="T26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68" s="56">
        <f>(1000*CHOOSE(CONTROL!$C$42, 695, 695)*CHOOSE(CONTROL!$C$42, 0.5599, 0.5599)*CHOOSE(CONTROL!$C$42, 30, 30))/1000000</f>
        <v>11.673914999999997</v>
      </c>
      <c r="V268" s="56">
        <f>(1000*CHOOSE(CONTROL!$C$42, 500, 500)*CHOOSE(CONTROL!$C$42, 0.275, 0.275)*CHOOSE(CONTROL!$C$42, 30, 30))/1000000</f>
        <v>4.125</v>
      </c>
      <c r="W268" s="56">
        <f>(1000*CHOOSE(CONTROL!$C$42, 0.1146, 0.1146)*CHOOSE(CONTROL!$C$42, 121.5, 121.5)*CHOOSE(CONTROL!$C$42, 30, 30))/1000000</f>
        <v>0.417717</v>
      </c>
      <c r="X268" s="56">
        <f>(30*0.1790888*245000/1000000)+(30*0.2374*100000/1000000)</f>
        <v>2.0285026799999999</v>
      </c>
      <c r="Y268" s="56"/>
      <c r="Z268" s="14"/>
      <c r="AA268" s="55"/>
      <c r="AB268" s="49">
        <f>(B268*141.293+C268*267.993+D268*115.016+E268*89.698+F268*40+G268*185+H268*0+I268*100+J268*300)/(141.293+267.993+115.016+89.698+0+40+185+100+300)</f>
        <v>12.756842613478613</v>
      </c>
      <c r="AC268" s="45">
        <f>(M268*'RAP TEMPLATE-GAS AVAILABILITY'!O267+N268*'RAP TEMPLATE-GAS AVAILABILITY'!P267+O268*'RAP TEMPLATE-GAS AVAILABILITY'!Q267+P268*'RAP TEMPLATE-GAS AVAILABILITY'!R267)/('RAP TEMPLATE-GAS AVAILABILITY'!O267+'RAP TEMPLATE-GAS AVAILABILITY'!P267+'RAP TEMPLATE-GAS AVAILABILITY'!Q267+'RAP TEMPLATE-GAS AVAILABILITY'!R267)</f>
        <v>12.57430215827338</v>
      </c>
    </row>
    <row r="269" spans="1:29" ht="15.75" x14ac:dyDescent="0.25">
      <c r="A269" s="13">
        <v>49065</v>
      </c>
      <c r="B269" s="14">
        <f>CHOOSE(CONTROL!$C$42, 12.8073, 12.8073) * CHOOSE(CONTROL!$C$21, $C$9, 100%, $E$9)</f>
        <v>12.8073</v>
      </c>
      <c r="C269" s="14">
        <f>CHOOSE(CONTROL!$C$42, 12.8153, 12.8153) * CHOOSE(CONTROL!$C$21, $C$9, 100%, $E$9)</f>
        <v>12.815300000000001</v>
      </c>
      <c r="D269" s="14">
        <f>CHOOSE(CONTROL!$C$42, 13.0744, 13.0744) * CHOOSE(CONTROL!$C$21, $C$9, 100%, $E$9)</f>
        <v>13.074400000000001</v>
      </c>
      <c r="E269" s="14">
        <f>CHOOSE(CONTROL!$C$42, 13.1059, 13.1059) * CHOOSE(CONTROL!$C$21, $C$9, 100%, $E$9)</f>
        <v>13.1059</v>
      </c>
      <c r="F269" s="14">
        <f>CHOOSE(CONTROL!$C$42, 12.8288, 12.8288)*CHOOSE(CONTROL!$C$21, $C$9, 100%, $E$9)</f>
        <v>12.828799999999999</v>
      </c>
      <c r="G269" s="14">
        <f>CHOOSE(CONTROL!$C$42, 12.8458, 12.8458)*CHOOSE(CONTROL!$C$21, $C$9, 100%, $E$9)</f>
        <v>12.845800000000001</v>
      </c>
      <c r="H269" s="14">
        <f>CHOOSE(CONTROL!$C$42, 13.0945, 13.0945) * CHOOSE(CONTROL!$C$21, $C$9, 100%, $E$9)</f>
        <v>13.0945</v>
      </c>
      <c r="I269" s="14">
        <f>CHOOSE(CONTROL!$C$42, 12.8685, 12.8685)* CHOOSE(CONTROL!$C$21, $C$9, 100%, $E$9)</f>
        <v>12.868499999999999</v>
      </c>
      <c r="J269" s="14">
        <f>CHOOSE(CONTROL!$C$42, 12.8218, 12.8218)* CHOOSE(CONTROL!$C$21, $C$9, 100%, $E$9)</f>
        <v>12.8218</v>
      </c>
      <c r="K269" s="52">
        <f>CHOOSE(CONTROL!$C$42, 12.8646, 12.8646) * CHOOSE(CONTROL!$C$21, $C$9, 100%, $E$9)</f>
        <v>12.864599999999999</v>
      </c>
      <c r="L269" s="14">
        <f>CHOOSE(CONTROL!$C$42, 13.6815, 13.6815) * CHOOSE(CONTROL!$C$21, $C$9, 100%, $E$9)</f>
        <v>13.6815</v>
      </c>
      <c r="M269" s="14">
        <f>CHOOSE(CONTROL!$C$42, 12.5989, 12.5989) * CHOOSE(CONTROL!$C$21, $C$9, 100%, $E$9)</f>
        <v>12.5989</v>
      </c>
      <c r="N269" s="14">
        <f>CHOOSE(CONTROL!$C$42, 12.6156, 12.6156) * CHOOSE(CONTROL!$C$21, $C$9, 100%, $E$9)</f>
        <v>12.615600000000001</v>
      </c>
      <c r="O269" s="14">
        <f>CHOOSE(CONTROL!$C$42, 12.8667, 12.8667) * CHOOSE(CONTROL!$C$21, $C$9, 100%, $E$9)</f>
        <v>12.8667</v>
      </c>
      <c r="P269" s="14">
        <f>CHOOSE(CONTROL!$C$42, 12.6441, 12.6441) * CHOOSE(CONTROL!$C$21, $C$9, 100%, $E$9)</f>
        <v>12.6441</v>
      </c>
      <c r="Q269" s="14">
        <f>CHOOSE(CONTROL!$C$42, 13.4614, 13.4614) * CHOOSE(CONTROL!$C$21, $C$9, 100%, $E$9)</f>
        <v>13.461399999999999</v>
      </c>
      <c r="R269" s="14">
        <f>CHOOSE(CONTROL!$C$42, 14.082, 14.082) * CHOOSE(CONTROL!$C$21, $C$9, 100%, $E$9)</f>
        <v>14.082000000000001</v>
      </c>
      <c r="S269" s="14">
        <f>CHOOSE(CONTROL!$C$42, 12.2959, 12.2959) * CHOOSE(CONTROL!$C$21, $C$9, 100%, $E$9)</f>
        <v>12.2959</v>
      </c>
      <c r="T26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69" s="56">
        <f>(1000*CHOOSE(CONTROL!$C$42, 695, 695)*CHOOSE(CONTROL!$C$42, 0.5599, 0.5599)*CHOOSE(CONTROL!$C$42, 31, 31))/1000000</f>
        <v>12.063045499999998</v>
      </c>
      <c r="V269" s="56">
        <f>(1000*CHOOSE(CONTROL!$C$42, 500, 500)*CHOOSE(CONTROL!$C$42, 0.275, 0.275)*CHOOSE(CONTROL!$C$42, 31, 31))/1000000</f>
        <v>4.2625000000000002</v>
      </c>
      <c r="W269" s="56">
        <f>(1000*CHOOSE(CONTROL!$C$42, 0.1146, 0.1146)*CHOOSE(CONTROL!$C$42, 121.5, 121.5)*CHOOSE(CONTROL!$C$42, 31, 31))/1000000</f>
        <v>0.43164089999999994</v>
      </c>
      <c r="X269" s="56">
        <f>(31*0.1790888*245000/1000000)+(31*0.2374*100000/1000000)</f>
        <v>2.0961194359999999</v>
      </c>
      <c r="Y269" s="56"/>
      <c r="Z269" s="14"/>
      <c r="AA269" s="55"/>
      <c r="AB269" s="49">
        <f>(B269*194.205+C269*267.466+D269*133.845+E269*53.484+F269*40+G269*185+H269*0+I269*100+J269*300)/(194.205+267.466+133.845+53.484+0+40+185+100+300)</f>
        <v>12.864060243249607</v>
      </c>
      <c r="AC269" s="45">
        <f>(M269*'RAP TEMPLATE-GAS AVAILABILITY'!O268+N269*'RAP TEMPLATE-GAS AVAILABILITY'!P268+O269*'RAP TEMPLATE-GAS AVAILABILITY'!Q268+P269*'RAP TEMPLATE-GAS AVAILABILITY'!R268)/('RAP TEMPLATE-GAS AVAILABILITY'!O268+'RAP TEMPLATE-GAS AVAILABILITY'!P268+'RAP TEMPLATE-GAS AVAILABILITY'!Q268+'RAP TEMPLATE-GAS AVAILABILITY'!R268)</f>
        <v>12.684386330935251</v>
      </c>
    </row>
    <row r="270" spans="1:29" ht="15.75" x14ac:dyDescent="0.25">
      <c r="A270" s="13">
        <v>49096</v>
      </c>
      <c r="B270" s="14">
        <f>CHOOSE(CONTROL!$C$42, 13.1703, 13.1703) * CHOOSE(CONTROL!$C$21, $C$9, 100%, $E$9)</f>
        <v>13.170299999999999</v>
      </c>
      <c r="C270" s="14">
        <f>CHOOSE(CONTROL!$C$42, 13.1783, 13.1783) * CHOOSE(CONTROL!$C$21, $C$9, 100%, $E$9)</f>
        <v>13.1783</v>
      </c>
      <c r="D270" s="14">
        <f>CHOOSE(CONTROL!$C$42, 13.4374, 13.4374) * CHOOSE(CONTROL!$C$21, $C$9, 100%, $E$9)</f>
        <v>13.4374</v>
      </c>
      <c r="E270" s="14">
        <f>CHOOSE(CONTROL!$C$42, 13.4688, 13.4688) * CHOOSE(CONTROL!$C$21, $C$9, 100%, $E$9)</f>
        <v>13.4688</v>
      </c>
      <c r="F270" s="14">
        <f>CHOOSE(CONTROL!$C$42, 13.192, 13.192)*CHOOSE(CONTROL!$C$21, $C$9, 100%, $E$9)</f>
        <v>13.192</v>
      </c>
      <c r="G270" s="14">
        <f>CHOOSE(CONTROL!$C$42, 13.2091, 13.2091)*CHOOSE(CONTROL!$C$21, $C$9, 100%, $E$9)</f>
        <v>13.209099999999999</v>
      </c>
      <c r="H270" s="14">
        <f>CHOOSE(CONTROL!$C$42, 13.4575, 13.4575) * CHOOSE(CONTROL!$C$21, $C$9, 100%, $E$9)</f>
        <v>13.4575</v>
      </c>
      <c r="I270" s="14">
        <f>CHOOSE(CONTROL!$C$42, 13.2326, 13.2326)* CHOOSE(CONTROL!$C$21, $C$9, 100%, $E$9)</f>
        <v>13.2326</v>
      </c>
      <c r="J270" s="14">
        <f>CHOOSE(CONTROL!$C$42, 13.185, 13.185)* CHOOSE(CONTROL!$C$21, $C$9, 100%, $E$9)</f>
        <v>13.185</v>
      </c>
      <c r="K270" s="52">
        <f>CHOOSE(CONTROL!$C$42, 13.2287, 13.2287) * CHOOSE(CONTROL!$C$21, $C$9, 100%, $E$9)</f>
        <v>13.2287</v>
      </c>
      <c r="L270" s="14">
        <f>CHOOSE(CONTROL!$C$42, 14.0445, 14.0445) * CHOOSE(CONTROL!$C$21, $C$9, 100%, $E$9)</f>
        <v>14.044499999999999</v>
      </c>
      <c r="M270" s="14">
        <f>CHOOSE(CONTROL!$C$42, 12.9556, 12.9556) * CHOOSE(CONTROL!$C$21, $C$9, 100%, $E$9)</f>
        <v>12.9556</v>
      </c>
      <c r="N270" s="14">
        <f>CHOOSE(CONTROL!$C$42, 12.9723, 12.9723) * CHOOSE(CONTROL!$C$21, $C$9, 100%, $E$9)</f>
        <v>12.972300000000001</v>
      </c>
      <c r="O270" s="14">
        <f>CHOOSE(CONTROL!$C$42, 13.2231, 13.2231) * CHOOSE(CONTROL!$C$21, $C$9, 100%, $E$9)</f>
        <v>13.223100000000001</v>
      </c>
      <c r="P270" s="14">
        <f>CHOOSE(CONTROL!$C$42, 13.0016, 13.0016) * CHOOSE(CONTROL!$C$21, $C$9, 100%, $E$9)</f>
        <v>13.0016</v>
      </c>
      <c r="Q270" s="14">
        <f>CHOOSE(CONTROL!$C$42, 13.8178, 13.8178) * CHOOSE(CONTROL!$C$21, $C$9, 100%, $E$9)</f>
        <v>13.8178</v>
      </c>
      <c r="R270" s="14">
        <f>CHOOSE(CONTROL!$C$42, 14.4394, 14.4394) * CHOOSE(CONTROL!$C$21, $C$9, 100%, $E$9)</f>
        <v>14.439399999999999</v>
      </c>
      <c r="S270" s="14">
        <f>CHOOSE(CONTROL!$C$42, 12.6447, 12.6447) * CHOOSE(CONTROL!$C$21, $C$9, 100%, $E$9)</f>
        <v>12.6447</v>
      </c>
      <c r="T27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70" s="56">
        <f>(1000*CHOOSE(CONTROL!$C$42, 695, 695)*CHOOSE(CONTROL!$C$42, 0.5599, 0.5599)*CHOOSE(CONTROL!$C$42, 30, 30))/1000000</f>
        <v>11.673914999999997</v>
      </c>
      <c r="V270" s="56">
        <f>(1000*CHOOSE(CONTROL!$C$42, 500, 500)*CHOOSE(CONTROL!$C$42, 0.275, 0.275)*CHOOSE(CONTROL!$C$42, 30, 30))/1000000</f>
        <v>4.125</v>
      </c>
      <c r="W270" s="56">
        <f>(1000*CHOOSE(CONTROL!$C$42, 0.1146, 0.1146)*CHOOSE(CONTROL!$C$42, 121.5, 121.5)*CHOOSE(CONTROL!$C$42, 30, 30))/1000000</f>
        <v>0.417717</v>
      </c>
      <c r="X270" s="56">
        <f>(30*0.1790888*245000/1000000)+(30*0.2374*100000/1000000)</f>
        <v>2.0285026799999999</v>
      </c>
      <c r="Y270" s="56"/>
      <c r="Z270" s="14"/>
      <c r="AA270" s="55"/>
      <c r="AB270" s="49">
        <f>(B270*194.205+C270*267.466+D270*133.845+E270*53.484+F270*40+G270*185+H270*0+I270*100+J270*300)/(194.205+267.466+133.845+53.484+0+40+185+100+300)</f>
        <v>13.22723932613815</v>
      </c>
      <c r="AC270" s="45">
        <f>(M270*'RAP TEMPLATE-GAS AVAILABILITY'!O269+N270*'RAP TEMPLATE-GAS AVAILABILITY'!P269+O270*'RAP TEMPLATE-GAS AVAILABILITY'!Q269+P270*'RAP TEMPLATE-GAS AVAILABILITY'!R269)/('RAP TEMPLATE-GAS AVAILABILITY'!O269+'RAP TEMPLATE-GAS AVAILABILITY'!P269+'RAP TEMPLATE-GAS AVAILABILITY'!Q269+'RAP TEMPLATE-GAS AVAILABILITY'!R269)</f>
        <v>13.041117266187053</v>
      </c>
    </row>
    <row r="271" spans="1:29" ht="15.75" x14ac:dyDescent="0.25">
      <c r="A271" s="13">
        <v>49126</v>
      </c>
      <c r="B271" s="14">
        <f>CHOOSE(CONTROL!$C$42, 12.9178, 12.9178) * CHOOSE(CONTROL!$C$21, $C$9, 100%, $E$9)</f>
        <v>12.9178</v>
      </c>
      <c r="C271" s="14">
        <f>CHOOSE(CONTROL!$C$42, 12.9259, 12.9259) * CHOOSE(CONTROL!$C$21, $C$9, 100%, $E$9)</f>
        <v>12.9259</v>
      </c>
      <c r="D271" s="14">
        <f>CHOOSE(CONTROL!$C$42, 13.1849, 13.1849) * CHOOSE(CONTROL!$C$21, $C$9, 100%, $E$9)</f>
        <v>13.184900000000001</v>
      </c>
      <c r="E271" s="14">
        <f>CHOOSE(CONTROL!$C$42, 13.2164, 13.2164) * CHOOSE(CONTROL!$C$21, $C$9, 100%, $E$9)</f>
        <v>13.2164</v>
      </c>
      <c r="F271" s="14">
        <f>CHOOSE(CONTROL!$C$42, 12.94, 12.94)*CHOOSE(CONTROL!$C$21, $C$9, 100%, $E$9)</f>
        <v>12.94</v>
      </c>
      <c r="G271" s="14">
        <f>CHOOSE(CONTROL!$C$42, 12.9572, 12.9572)*CHOOSE(CONTROL!$C$21, $C$9, 100%, $E$9)</f>
        <v>12.9572</v>
      </c>
      <c r="H271" s="14">
        <f>CHOOSE(CONTROL!$C$42, 13.205, 13.205) * CHOOSE(CONTROL!$C$21, $C$9, 100%, $E$9)</f>
        <v>13.205</v>
      </c>
      <c r="I271" s="14">
        <f>CHOOSE(CONTROL!$C$42, 12.9794, 12.9794)* CHOOSE(CONTROL!$C$21, $C$9, 100%, $E$9)</f>
        <v>12.9794</v>
      </c>
      <c r="J271" s="14">
        <f>CHOOSE(CONTROL!$C$42, 12.933, 12.933)* CHOOSE(CONTROL!$C$21, $C$9, 100%, $E$9)</f>
        <v>12.933</v>
      </c>
      <c r="K271" s="52">
        <f>CHOOSE(CONTROL!$C$42, 12.9755, 12.9755) * CHOOSE(CONTROL!$C$21, $C$9, 100%, $E$9)</f>
        <v>12.9755</v>
      </c>
      <c r="L271" s="14">
        <f>CHOOSE(CONTROL!$C$42, 13.792, 13.792) * CHOOSE(CONTROL!$C$21, $C$9, 100%, $E$9)</f>
        <v>13.792</v>
      </c>
      <c r="M271" s="14">
        <f>CHOOSE(CONTROL!$C$42, 12.7081, 12.7081) * CHOOSE(CONTROL!$C$21, $C$9, 100%, $E$9)</f>
        <v>12.7081</v>
      </c>
      <c r="N271" s="14">
        <f>CHOOSE(CONTROL!$C$42, 12.7249, 12.7249) * CHOOSE(CONTROL!$C$21, $C$9, 100%, $E$9)</f>
        <v>12.7249</v>
      </c>
      <c r="O271" s="14">
        <f>CHOOSE(CONTROL!$C$42, 12.9752, 12.9752) * CHOOSE(CONTROL!$C$21, $C$9, 100%, $E$9)</f>
        <v>12.975199999999999</v>
      </c>
      <c r="P271" s="14">
        <f>CHOOSE(CONTROL!$C$42, 12.753, 12.753) * CHOOSE(CONTROL!$C$21, $C$9, 100%, $E$9)</f>
        <v>12.753</v>
      </c>
      <c r="Q271" s="14">
        <f>CHOOSE(CONTROL!$C$42, 13.5699, 13.5699) * CHOOSE(CONTROL!$C$21, $C$9, 100%, $E$9)</f>
        <v>13.569900000000001</v>
      </c>
      <c r="R271" s="14">
        <f>CHOOSE(CONTROL!$C$42, 14.1908, 14.1908) * CHOOSE(CONTROL!$C$21, $C$9, 100%, $E$9)</f>
        <v>14.190799999999999</v>
      </c>
      <c r="S271" s="14">
        <f>CHOOSE(CONTROL!$C$42, 12.4021, 12.4021) * CHOOSE(CONTROL!$C$21, $C$9, 100%, $E$9)</f>
        <v>12.402100000000001</v>
      </c>
      <c r="T27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71" s="56">
        <f>(1000*CHOOSE(CONTROL!$C$42, 695, 695)*CHOOSE(CONTROL!$C$42, 0.5599, 0.5599)*CHOOSE(CONTROL!$C$42, 31, 31))/1000000</f>
        <v>12.063045499999998</v>
      </c>
      <c r="V271" s="56">
        <f>(1000*CHOOSE(CONTROL!$C$42, 500, 500)*CHOOSE(CONTROL!$C$42, 0.275, 0.275)*CHOOSE(CONTROL!$C$42, 31, 31))/1000000</f>
        <v>4.2625000000000002</v>
      </c>
      <c r="W271" s="56">
        <f>(1000*CHOOSE(CONTROL!$C$42, 0.1146, 0.1146)*CHOOSE(CONTROL!$C$42, 121.5, 121.5)*CHOOSE(CONTROL!$C$42, 31, 31))/1000000</f>
        <v>0.43164089999999994</v>
      </c>
      <c r="X271" s="56">
        <f>(31*0.1790888*245000/1000000)+(31*0.2374*100000/1000000)</f>
        <v>2.0961194359999999</v>
      </c>
      <c r="Y271" s="56"/>
      <c r="Z271" s="14"/>
      <c r="AA271" s="55"/>
      <c r="AB271" s="49">
        <f>(B271*194.205+C271*267.466+D271*133.845+E271*53.484+F271*40+G271*185+H271*0+I271*100+J271*300)/(194.205+267.466+133.845+53.484+0+40+185+100+300)</f>
        <v>12.974930138540032</v>
      </c>
      <c r="AC271" s="45">
        <f>(M271*'RAP TEMPLATE-GAS AVAILABILITY'!O270+N271*'RAP TEMPLATE-GAS AVAILABILITY'!P270+O271*'RAP TEMPLATE-GAS AVAILABILITY'!Q270+P271*'RAP TEMPLATE-GAS AVAILABILITY'!R270)/('RAP TEMPLATE-GAS AVAILABILITY'!O270+'RAP TEMPLATE-GAS AVAILABILITY'!P270+'RAP TEMPLATE-GAS AVAILABILITY'!Q270+'RAP TEMPLATE-GAS AVAILABILITY'!R270)</f>
        <v>12.793369784172661</v>
      </c>
    </row>
    <row r="272" spans="1:29" ht="15.75" x14ac:dyDescent="0.25">
      <c r="A272" s="13">
        <v>49157</v>
      </c>
      <c r="B272" s="14">
        <f>CHOOSE(CONTROL!$C$42, 12.2803, 12.2803) * CHOOSE(CONTROL!$C$21, $C$9, 100%, $E$9)</f>
        <v>12.2803</v>
      </c>
      <c r="C272" s="14">
        <f>CHOOSE(CONTROL!$C$42, 12.2884, 12.2884) * CHOOSE(CONTROL!$C$21, $C$9, 100%, $E$9)</f>
        <v>12.288399999999999</v>
      </c>
      <c r="D272" s="14">
        <f>CHOOSE(CONTROL!$C$42, 12.5475, 12.5475) * CHOOSE(CONTROL!$C$21, $C$9, 100%, $E$9)</f>
        <v>12.547499999999999</v>
      </c>
      <c r="E272" s="14">
        <f>CHOOSE(CONTROL!$C$42, 12.5789, 12.5789) * CHOOSE(CONTROL!$C$21, $C$9, 100%, $E$9)</f>
        <v>12.578900000000001</v>
      </c>
      <c r="F272" s="14">
        <f>CHOOSE(CONTROL!$C$42, 12.3027, 12.3027)*CHOOSE(CONTROL!$C$21, $C$9, 100%, $E$9)</f>
        <v>12.3027</v>
      </c>
      <c r="G272" s="14">
        <f>CHOOSE(CONTROL!$C$42, 12.32, 12.32)*CHOOSE(CONTROL!$C$21, $C$9, 100%, $E$9)</f>
        <v>12.32</v>
      </c>
      <c r="H272" s="14">
        <f>CHOOSE(CONTROL!$C$42, 12.5676, 12.5676) * CHOOSE(CONTROL!$C$21, $C$9, 100%, $E$9)</f>
        <v>12.567600000000001</v>
      </c>
      <c r="I272" s="14">
        <f>CHOOSE(CONTROL!$C$42, 12.3399, 12.3399)* CHOOSE(CONTROL!$C$21, $C$9, 100%, $E$9)</f>
        <v>12.3399</v>
      </c>
      <c r="J272" s="14">
        <f>CHOOSE(CONTROL!$C$42, 12.2957, 12.2957)* CHOOSE(CONTROL!$C$21, $C$9, 100%, $E$9)</f>
        <v>12.2957</v>
      </c>
      <c r="K272" s="52">
        <f>CHOOSE(CONTROL!$C$42, 12.336, 12.336) * CHOOSE(CONTROL!$C$21, $C$9, 100%, $E$9)</f>
        <v>12.336</v>
      </c>
      <c r="L272" s="14">
        <f>CHOOSE(CONTROL!$C$42, 13.1546, 13.1546) * CHOOSE(CONTROL!$C$21, $C$9, 100%, $E$9)</f>
        <v>13.1546</v>
      </c>
      <c r="M272" s="14">
        <f>CHOOSE(CONTROL!$C$42, 12.0823, 12.0823) * CHOOSE(CONTROL!$C$21, $C$9, 100%, $E$9)</f>
        <v>12.0823</v>
      </c>
      <c r="N272" s="14">
        <f>CHOOSE(CONTROL!$C$42, 12.0992, 12.0992) * CHOOSE(CONTROL!$C$21, $C$9, 100%, $E$9)</f>
        <v>12.0992</v>
      </c>
      <c r="O272" s="14">
        <f>CHOOSE(CONTROL!$C$42, 12.3492, 12.3492) * CHOOSE(CONTROL!$C$21, $C$9, 100%, $E$9)</f>
        <v>12.3492</v>
      </c>
      <c r="P272" s="14">
        <f>CHOOSE(CONTROL!$C$42, 12.125, 12.125) * CHOOSE(CONTROL!$C$21, $C$9, 100%, $E$9)</f>
        <v>12.125</v>
      </c>
      <c r="Q272" s="14">
        <f>CHOOSE(CONTROL!$C$42, 12.9439, 12.9439) * CHOOSE(CONTROL!$C$21, $C$9, 100%, $E$9)</f>
        <v>12.943899999999999</v>
      </c>
      <c r="R272" s="14">
        <f>CHOOSE(CONTROL!$C$42, 13.5633, 13.5633) * CHOOSE(CONTROL!$C$21, $C$9, 100%, $E$9)</f>
        <v>13.5633</v>
      </c>
      <c r="S272" s="14">
        <f>CHOOSE(CONTROL!$C$42, 11.7895, 11.7895) * CHOOSE(CONTROL!$C$21, $C$9, 100%, $E$9)</f>
        <v>11.7895</v>
      </c>
      <c r="T27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72" s="56">
        <f>(1000*CHOOSE(CONTROL!$C$42, 695, 695)*CHOOSE(CONTROL!$C$42, 0.5599, 0.5599)*CHOOSE(CONTROL!$C$42, 31, 31))/1000000</f>
        <v>12.063045499999998</v>
      </c>
      <c r="V272" s="56">
        <f>(1000*CHOOSE(CONTROL!$C$42, 500, 500)*CHOOSE(CONTROL!$C$42, 0.275, 0.275)*CHOOSE(CONTROL!$C$42, 31, 31))/1000000</f>
        <v>4.2625000000000002</v>
      </c>
      <c r="W272" s="56">
        <f>(1000*CHOOSE(CONTROL!$C$42, 0.1146, 0.1146)*CHOOSE(CONTROL!$C$42, 121.5, 121.5)*CHOOSE(CONTROL!$C$42, 31, 31))/1000000</f>
        <v>0.43164089999999994</v>
      </c>
      <c r="X272" s="56">
        <f>(31*0.1790888*245000/1000000)+(31*0.2374*100000/1000000)</f>
        <v>2.0961194359999999</v>
      </c>
      <c r="Y272" s="56"/>
      <c r="Z272" s="14"/>
      <c r="AA272" s="55"/>
      <c r="AB272" s="49">
        <f>(B272*194.205+C272*267.466+D272*133.845+E272*53.484+F272*40+G272*185+H272*0+I272*100+J272*300)/(194.205+267.466+133.845+53.484+0+40+185+100+300)</f>
        <v>12.33738059733124</v>
      </c>
      <c r="AC272" s="45">
        <f>(M272*'RAP TEMPLATE-GAS AVAILABILITY'!O271+N272*'RAP TEMPLATE-GAS AVAILABILITY'!P271+O272*'RAP TEMPLATE-GAS AVAILABILITY'!Q271+P272*'RAP TEMPLATE-GAS AVAILABILITY'!R271)/('RAP TEMPLATE-GAS AVAILABILITY'!O271+'RAP TEMPLATE-GAS AVAILABILITY'!P271+'RAP TEMPLATE-GAS AVAILABILITY'!Q271+'RAP TEMPLATE-GAS AVAILABILITY'!R271)</f>
        <v>12.167220143884894</v>
      </c>
    </row>
    <row r="273" spans="1:29" ht="15.75" x14ac:dyDescent="0.25">
      <c r="A273" s="13">
        <v>49188</v>
      </c>
      <c r="B273" s="14">
        <f>CHOOSE(CONTROL!$C$42, 11.5012, 11.5012) * CHOOSE(CONTROL!$C$21, $C$9, 100%, $E$9)</f>
        <v>11.501200000000001</v>
      </c>
      <c r="C273" s="14">
        <f>CHOOSE(CONTROL!$C$42, 11.5092, 11.5092) * CHOOSE(CONTROL!$C$21, $C$9, 100%, $E$9)</f>
        <v>11.5092</v>
      </c>
      <c r="D273" s="14">
        <f>CHOOSE(CONTROL!$C$42, 11.7683, 11.7683) * CHOOSE(CONTROL!$C$21, $C$9, 100%, $E$9)</f>
        <v>11.7683</v>
      </c>
      <c r="E273" s="14">
        <f>CHOOSE(CONTROL!$C$42, 11.7998, 11.7998) * CHOOSE(CONTROL!$C$21, $C$9, 100%, $E$9)</f>
        <v>11.799799999999999</v>
      </c>
      <c r="F273" s="14">
        <f>CHOOSE(CONTROL!$C$42, 11.5237, 11.5237)*CHOOSE(CONTROL!$C$21, $C$9, 100%, $E$9)</f>
        <v>11.5237</v>
      </c>
      <c r="G273" s="14">
        <f>CHOOSE(CONTROL!$C$42, 11.5409, 11.5409)*CHOOSE(CONTROL!$C$21, $C$9, 100%, $E$9)</f>
        <v>11.540900000000001</v>
      </c>
      <c r="H273" s="14">
        <f>CHOOSE(CONTROL!$C$42, 11.7884, 11.7884) * CHOOSE(CONTROL!$C$21, $C$9, 100%, $E$9)</f>
        <v>11.788399999999999</v>
      </c>
      <c r="I273" s="14">
        <f>CHOOSE(CONTROL!$C$42, 11.5583, 11.5583)* CHOOSE(CONTROL!$C$21, $C$9, 100%, $E$9)</f>
        <v>11.558299999999999</v>
      </c>
      <c r="J273" s="14">
        <f>CHOOSE(CONTROL!$C$42, 11.5167, 11.5167)* CHOOSE(CONTROL!$C$21, $C$9, 100%, $E$9)</f>
        <v>11.5167</v>
      </c>
      <c r="K273" s="52">
        <f>CHOOSE(CONTROL!$C$42, 11.5544, 11.5544) * CHOOSE(CONTROL!$C$21, $C$9, 100%, $E$9)</f>
        <v>11.554399999999999</v>
      </c>
      <c r="L273" s="14">
        <f>CHOOSE(CONTROL!$C$42, 12.3754, 12.3754) * CHOOSE(CONTROL!$C$21, $C$9, 100%, $E$9)</f>
        <v>12.375400000000001</v>
      </c>
      <c r="M273" s="14">
        <f>CHOOSE(CONTROL!$C$42, 11.3172, 11.3172) * CHOOSE(CONTROL!$C$21, $C$9, 100%, $E$9)</f>
        <v>11.3172</v>
      </c>
      <c r="N273" s="14">
        <f>CHOOSE(CONTROL!$C$42, 11.3342, 11.3342) * CHOOSE(CONTROL!$C$21, $C$9, 100%, $E$9)</f>
        <v>11.334199999999999</v>
      </c>
      <c r="O273" s="14">
        <f>CHOOSE(CONTROL!$C$42, 11.5841, 11.5841) * CHOOSE(CONTROL!$C$21, $C$9, 100%, $E$9)</f>
        <v>11.584099999999999</v>
      </c>
      <c r="P273" s="14">
        <f>CHOOSE(CONTROL!$C$42, 11.3576, 11.3576) * CHOOSE(CONTROL!$C$21, $C$9, 100%, $E$9)</f>
        <v>11.3576</v>
      </c>
      <c r="Q273" s="14">
        <f>CHOOSE(CONTROL!$C$42, 12.1788, 12.1788) * CHOOSE(CONTROL!$C$21, $C$9, 100%, $E$9)</f>
        <v>12.178800000000001</v>
      </c>
      <c r="R273" s="14">
        <f>CHOOSE(CONTROL!$C$42, 12.7962, 12.7962) * CHOOSE(CONTROL!$C$21, $C$9, 100%, $E$9)</f>
        <v>12.796200000000001</v>
      </c>
      <c r="S273" s="14">
        <f>CHOOSE(CONTROL!$C$42, 11.0409, 11.0409) * CHOOSE(CONTROL!$C$21, $C$9, 100%, $E$9)</f>
        <v>11.040900000000001</v>
      </c>
      <c r="T27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73" s="56">
        <f>(1000*CHOOSE(CONTROL!$C$42, 695, 695)*CHOOSE(CONTROL!$C$42, 0.5599, 0.5599)*CHOOSE(CONTROL!$C$42, 30, 30))/1000000</f>
        <v>11.673914999999997</v>
      </c>
      <c r="V273" s="56">
        <f>(1000*CHOOSE(CONTROL!$C$42, 500, 500)*CHOOSE(CONTROL!$C$42, 0.275, 0.275)*CHOOSE(CONTROL!$C$42, 30, 30))/1000000</f>
        <v>4.125</v>
      </c>
      <c r="W273" s="56">
        <f>(1000*CHOOSE(CONTROL!$C$42, 0.1146, 0.1146)*CHOOSE(CONTROL!$C$42, 121.5, 121.5)*CHOOSE(CONTROL!$C$42, 30, 30))/1000000</f>
        <v>0.417717</v>
      </c>
      <c r="X273" s="56">
        <f>(30*0.1790888*245000/1000000)+(30*0.2374*100000/1000000)</f>
        <v>2.0285026799999999</v>
      </c>
      <c r="Y273" s="56"/>
      <c r="Z273" s="14"/>
      <c r="AA273" s="55"/>
      <c r="AB273" s="49">
        <f>(B273*194.205+C273*267.466+D273*133.845+E273*53.484+F273*40+G273*185+H273*0+I273*100+J273*300)/(194.205+267.466+133.845+53.484+0+40+185+100+300)</f>
        <v>11.558079552511774</v>
      </c>
      <c r="AC273" s="45">
        <f>(M273*'RAP TEMPLATE-GAS AVAILABILITY'!O272+N273*'RAP TEMPLATE-GAS AVAILABILITY'!P272+O273*'RAP TEMPLATE-GAS AVAILABILITY'!Q272+P273*'RAP TEMPLATE-GAS AVAILABILITY'!R272)/('RAP TEMPLATE-GAS AVAILABILITY'!O272+'RAP TEMPLATE-GAS AVAILABILITY'!P272+'RAP TEMPLATE-GAS AVAILABILITY'!Q272+'RAP TEMPLATE-GAS AVAILABILITY'!R272)</f>
        <v>11.401812230215828</v>
      </c>
    </row>
    <row r="274" spans="1:29" ht="15.75" x14ac:dyDescent="0.25">
      <c r="A274" s="13">
        <v>49218</v>
      </c>
      <c r="B274" s="14">
        <f>CHOOSE(CONTROL!$C$42, 11.2662, 11.2662) * CHOOSE(CONTROL!$C$21, $C$9, 100%, $E$9)</f>
        <v>11.2662</v>
      </c>
      <c r="C274" s="14">
        <f>CHOOSE(CONTROL!$C$42, 11.2715, 11.2715) * CHOOSE(CONTROL!$C$21, $C$9, 100%, $E$9)</f>
        <v>11.2715</v>
      </c>
      <c r="D274" s="14">
        <f>CHOOSE(CONTROL!$C$42, 11.5356, 11.5356) * CHOOSE(CONTROL!$C$21, $C$9, 100%, $E$9)</f>
        <v>11.535600000000001</v>
      </c>
      <c r="E274" s="14">
        <f>CHOOSE(CONTROL!$C$42, 11.5647, 11.5647) * CHOOSE(CONTROL!$C$21, $C$9, 100%, $E$9)</f>
        <v>11.5647</v>
      </c>
      <c r="F274" s="14">
        <f>CHOOSE(CONTROL!$C$42, 11.2908, 11.2908)*CHOOSE(CONTROL!$C$21, $C$9, 100%, $E$9)</f>
        <v>11.290800000000001</v>
      </c>
      <c r="G274" s="14">
        <f>CHOOSE(CONTROL!$C$42, 11.3079, 11.3079)*CHOOSE(CONTROL!$C$21, $C$9, 100%, $E$9)</f>
        <v>11.3079</v>
      </c>
      <c r="H274" s="14">
        <f>CHOOSE(CONTROL!$C$42, 11.5552, 11.5552) * CHOOSE(CONTROL!$C$21, $C$9, 100%, $E$9)</f>
        <v>11.555199999999999</v>
      </c>
      <c r="I274" s="14">
        <f>CHOOSE(CONTROL!$C$42, 11.3243, 11.3243)* CHOOSE(CONTROL!$C$21, $C$9, 100%, $E$9)</f>
        <v>11.324299999999999</v>
      </c>
      <c r="J274" s="14">
        <f>CHOOSE(CONTROL!$C$42, 11.2838, 11.2838)* CHOOSE(CONTROL!$C$21, $C$9, 100%, $E$9)</f>
        <v>11.283799999999999</v>
      </c>
      <c r="K274" s="52">
        <f>CHOOSE(CONTROL!$C$42, 11.3204, 11.3204) * CHOOSE(CONTROL!$C$21, $C$9, 100%, $E$9)</f>
        <v>11.320399999999999</v>
      </c>
      <c r="L274" s="14">
        <f>CHOOSE(CONTROL!$C$42, 12.1422, 12.1422) * CHOOSE(CONTROL!$C$21, $C$9, 100%, $E$9)</f>
        <v>12.142200000000001</v>
      </c>
      <c r="M274" s="14">
        <f>CHOOSE(CONTROL!$C$42, 11.0885, 11.0885) * CHOOSE(CONTROL!$C$21, $C$9, 100%, $E$9)</f>
        <v>11.0885</v>
      </c>
      <c r="N274" s="14">
        <f>CHOOSE(CONTROL!$C$42, 11.1053, 11.1053) * CHOOSE(CONTROL!$C$21, $C$9, 100%, $E$9)</f>
        <v>11.1053</v>
      </c>
      <c r="O274" s="14">
        <f>CHOOSE(CONTROL!$C$42, 11.355, 11.355) * CHOOSE(CONTROL!$C$21, $C$9, 100%, $E$9)</f>
        <v>11.355</v>
      </c>
      <c r="P274" s="14">
        <f>CHOOSE(CONTROL!$C$42, 11.1278, 11.1278) * CHOOSE(CONTROL!$C$21, $C$9, 100%, $E$9)</f>
        <v>11.127800000000001</v>
      </c>
      <c r="Q274" s="14">
        <f>CHOOSE(CONTROL!$C$42, 11.9497, 11.9497) * CHOOSE(CONTROL!$C$21, $C$9, 100%, $E$9)</f>
        <v>11.9497</v>
      </c>
      <c r="R274" s="14">
        <f>CHOOSE(CONTROL!$C$42, 12.5666, 12.5666) * CHOOSE(CONTROL!$C$21, $C$9, 100%, $E$9)</f>
        <v>12.566599999999999</v>
      </c>
      <c r="S274" s="14">
        <f>CHOOSE(CONTROL!$C$42, 10.8167, 10.8167) * CHOOSE(CONTROL!$C$21, $C$9, 100%, $E$9)</f>
        <v>10.816700000000001</v>
      </c>
      <c r="T27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74" s="56">
        <f>(1000*CHOOSE(CONTROL!$C$42, 695, 695)*CHOOSE(CONTROL!$C$42, 0.5599, 0.5599)*CHOOSE(CONTROL!$C$42, 31, 31))/1000000</f>
        <v>12.063045499999998</v>
      </c>
      <c r="V274" s="56">
        <f>(1000*CHOOSE(CONTROL!$C$42, 500, 500)*CHOOSE(CONTROL!$C$42, 0.275, 0.275)*CHOOSE(CONTROL!$C$42, 31, 31))/1000000</f>
        <v>4.2625000000000002</v>
      </c>
      <c r="W274" s="56">
        <f>(1000*CHOOSE(CONTROL!$C$42, 0.1146, 0.1146)*CHOOSE(CONTROL!$C$42, 121.5, 121.5)*CHOOSE(CONTROL!$C$42, 31, 31))/1000000</f>
        <v>0.43164089999999994</v>
      </c>
      <c r="X274" s="56">
        <f>(31*0.1790888*245000/1000000)+(31*0.2374*100000/1000000)</f>
        <v>2.0961194359999999</v>
      </c>
      <c r="Y274" s="56"/>
      <c r="Z274" s="14"/>
      <c r="AA274" s="55"/>
      <c r="AB274" s="49">
        <f>(B274*131.881+C274*277.167+D274*79.08+E274*125.872+F274*40+G274*185+H274*0+I274*100+J274*300)/(131.881+277.167+79.08+125.872+0+40+185+100+300)</f>
        <v>11.330876698224372</v>
      </c>
      <c r="AC274" s="45">
        <f>(M274*'RAP TEMPLATE-GAS AVAILABILITY'!O273+N274*'RAP TEMPLATE-GAS AVAILABILITY'!P273+O274*'RAP TEMPLATE-GAS AVAILABILITY'!Q273+P274*'RAP TEMPLATE-GAS AVAILABILITY'!R273)/('RAP TEMPLATE-GAS AVAILABILITY'!O273+'RAP TEMPLATE-GAS AVAILABILITY'!P273+'RAP TEMPLATE-GAS AVAILABILITY'!Q273+'RAP TEMPLATE-GAS AVAILABILITY'!R273)</f>
        <v>11.172795683453238</v>
      </c>
    </row>
    <row r="275" spans="1:29" ht="15.75" x14ac:dyDescent="0.25">
      <c r="A275" s="13">
        <v>49249</v>
      </c>
      <c r="B275" s="14">
        <f>CHOOSE(CONTROL!$C$42, 11.5623, 11.5623) * CHOOSE(CONTROL!$C$21, $C$9, 100%, $E$9)</f>
        <v>11.5623</v>
      </c>
      <c r="C275" s="14">
        <f>CHOOSE(CONTROL!$C$42, 11.5674, 11.5674) * CHOOSE(CONTROL!$C$21, $C$9, 100%, $E$9)</f>
        <v>11.567399999999999</v>
      </c>
      <c r="D275" s="14">
        <f>CHOOSE(CONTROL!$C$42, 11.6504, 11.6504) * CHOOSE(CONTROL!$C$21, $C$9, 100%, $E$9)</f>
        <v>11.650399999999999</v>
      </c>
      <c r="E275" s="14">
        <f>CHOOSE(CONTROL!$C$42, 11.6845, 11.6845) * CHOOSE(CONTROL!$C$21, $C$9, 100%, $E$9)</f>
        <v>11.6845</v>
      </c>
      <c r="F275" s="14">
        <f>CHOOSE(CONTROL!$C$42, 11.5899, 11.5899)*CHOOSE(CONTROL!$C$21, $C$9, 100%, $E$9)</f>
        <v>11.5899</v>
      </c>
      <c r="G275" s="14">
        <f>CHOOSE(CONTROL!$C$42, 11.6073, 11.6073)*CHOOSE(CONTROL!$C$21, $C$9, 100%, $E$9)</f>
        <v>11.6073</v>
      </c>
      <c r="H275" s="14">
        <f>CHOOSE(CONTROL!$C$42, 11.6737, 11.6737) * CHOOSE(CONTROL!$C$21, $C$9, 100%, $E$9)</f>
        <v>11.6737</v>
      </c>
      <c r="I275" s="14">
        <f>CHOOSE(CONTROL!$C$42, 11.6181, 11.6181)* CHOOSE(CONTROL!$C$21, $C$9, 100%, $E$9)</f>
        <v>11.6181</v>
      </c>
      <c r="J275" s="14">
        <f>CHOOSE(CONTROL!$C$42, 11.5829, 11.5829)* CHOOSE(CONTROL!$C$21, $C$9, 100%, $E$9)</f>
        <v>11.5829</v>
      </c>
      <c r="K275" s="52">
        <f>CHOOSE(CONTROL!$C$42, 11.6143, 11.6143) * CHOOSE(CONTROL!$C$21, $C$9, 100%, $E$9)</f>
        <v>11.6143</v>
      </c>
      <c r="L275" s="14">
        <f>CHOOSE(CONTROL!$C$42, 12.2607, 12.2607) * CHOOSE(CONTROL!$C$21, $C$9, 100%, $E$9)</f>
        <v>12.2607</v>
      </c>
      <c r="M275" s="14">
        <f>CHOOSE(CONTROL!$C$42, 11.3823, 11.3823) * CHOOSE(CONTROL!$C$21, $C$9, 100%, $E$9)</f>
        <v>11.382300000000001</v>
      </c>
      <c r="N275" s="14">
        <f>CHOOSE(CONTROL!$C$42, 11.3993, 11.3993) * CHOOSE(CONTROL!$C$21, $C$9, 100%, $E$9)</f>
        <v>11.3993</v>
      </c>
      <c r="O275" s="14">
        <f>CHOOSE(CONTROL!$C$42, 11.4715, 11.4715) * CHOOSE(CONTROL!$C$21, $C$9, 100%, $E$9)</f>
        <v>11.471500000000001</v>
      </c>
      <c r="P275" s="14">
        <f>CHOOSE(CONTROL!$C$42, 11.4163, 11.4163) * CHOOSE(CONTROL!$C$21, $C$9, 100%, $E$9)</f>
        <v>11.4163</v>
      </c>
      <c r="Q275" s="14">
        <f>CHOOSE(CONTROL!$C$42, 12.0662, 12.0662) * CHOOSE(CONTROL!$C$21, $C$9, 100%, $E$9)</f>
        <v>12.0662</v>
      </c>
      <c r="R275" s="14">
        <f>CHOOSE(CONTROL!$C$42, 12.6833, 12.6833) * CHOOSE(CONTROL!$C$21, $C$9, 100%, $E$9)</f>
        <v>12.683299999999999</v>
      </c>
      <c r="S275" s="14">
        <f>CHOOSE(CONTROL!$C$42, 11.1017, 11.1017) * CHOOSE(CONTROL!$C$21, $C$9, 100%, $E$9)</f>
        <v>11.101699999999999</v>
      </c>
      <c r="T27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75" s="56">
        <f>(1000*CHOOSE(CONTROL!$C$42, 695, 695)*CHOOSE(CONTROL!$C$42, 0.5599, 0.5599)*CHOOSE(CONTROL!$C$42, 30, 30))/1000000</f>
        <v>11.673914999999997</v>
      </c>
      <c r="V275" s="56">
        <f>(1000*CHOOSE(CONTROL!$C$42, 500, 500)*CHOOSE(CONTROL!$C$42, 0.275, 0.275)*CHOOSE(CONTROL!$C$42, 30, 30))/1000000</f>
        <v>4.125</v>
      </c>
      <c r="W275" s="56">
        <f>(1000*CHOOSE(CONTROL!$C$42, 0.1146, 0.1146)*CHOOSE(CONTROL!$C$42, 121.5, 121.5)*CHOOSE(CONTROL!$C$42, 30, 30))/1000000</f>
        <v>0.417717</v>
      </c>
      <c r="X275" s="56">
        <f>(30*0.1790888*100000/1000000)+(30*0.2374*100000/1000000)</f>
        <v>1.2494664</v>
      </c>
      <c r="Y275" s="56"/>
      <c r="Z275" s="14"/>
      <c r="AA275" s="55"/>
      <c r="AB275" s="49">
        <f>(B275*122.58+C275*297.941+D275*89.177+E275*40.302+F275*40+G275*160+H275*0+I275*100+J275*300)/(122.58+297.941+89.177+40.302+0+40+160+100+300)</f>
        <v>11.592182519304348</v>
      </c>
      <c r="AC275" s="45">
        <f>(M275*'RAP TEMPLATE-GAS AVAILABILITY'!O274+N275*'RAP TEMPLATE-GAS AVAILABILITY'!P274+O275*'RAP TEMPLATE-GAS AVAILABILITY'!Q274+P275*'RAP TEMPLATE-GAS AVAILABILITY'!R274)/('RAP TEMPLATE-GAS AVAILABILITY'!O274+'RAP TEMPLATE-GAS AVAILABILITY'!P274+'RAP TEMPLATE-GAS AVAILABILITY'!Q274+'RAP TEMPLATE-GAS AVAILABILITY'!R274)</f>
        <v>11.42859928057554</v>
      </c>
    </row>
    <row r="276" spans="1:29" ht="15.75" x14ac:dyDescent="0.25">
      <c r="A276" s="13">
        <v>49279</v>
      </c>
      <c r="B276" s="14">
        <f>CHOOSE(CONTROL!$C$42, 12.35, 12.35) * CHOOSE(CONTROL!$C$21, $C$9, 100%, $E$9)</f>
        <v>12.35</v>
      </c>
      <c r="C276" s="14">
        <f>CHOOSE(CONTROL!$C$42, 12.355, 12.355) * CHOOSE(CONTROL!$C$21, $C$9, 100%, $E$9)</f>
        <v>12.355</v>
      </c>
      <c r="D276" s="14">
        <f>CHOOSE(CONTROL!$C$42, 12.4381, 12.4381) * CHOOSE(CONTROL!$C$21, $C$9, 100%, $E$9)</f>
        <v>12.4381</v>
      </c>
      <c r="E276" s="14">
        <f>CHOOSE(CONTROL!$C$42, 12.4722, 12.4722) * CHOOSE(CONTROL!$C$21, $C$9, 100%, $E$9)</f>
        <v>12.472200000000001</v>
      </c>
      <c r="F276" s="14">
        <f>CHOOSE(CONTROL!$C$42, 12.38, 12.38)*CHOOSE(CONTROL!$C$21, $C$9, 100%, $E$9)</f>
        <v>12.38</v>
      </c>
      <c r="G276" s="14">
        <f>CHOOSE(CONTROL!$C$42, 12.398, 12.398)*CHOOSE(CONTROL!$C$21, $C$9, 100%, $E$9)</f>
        <v>12.398</v>
      </c>
      <c r="H276" s="14">
        <f>CHOOSE(CONTROL!$C$42, 12.4614, 12.4614) * CHOOSE(CONTROL!$C$21, $C$9, 100%, $E$9)</f>
        <v>12.461399999999999</v>
      </c>
      <c r="I276" s="14">
        <f>CHOOSE(CONTROL!$C$42, 12.4083, 12.4083)* CHOOSE(CONTROL!$C$21, $C$9, 100%, $E$9)</f>
        <v>12.408300000000001</v>
      </c>
      <c r="J276" s="14">
        <f>CHOOSE(CONTROL!$C$42, 12.373, 12.373)* CHOOSE(CONTROL!$C$21, $C$9, 100%, $E$9)</f>
        <v>12.372999999999999</v>
      </c>
      <c r="K276" s="52">
        <f>CHOOSE(CONTROL!$C$42, 12.4044, 12.4044) * CHOOSE(CONTROL!$C$21, $C$9, 100%, $E$9)</f>
        <v>12.404400000000001</v>
      </c>
      <c r="L276" s="14">
        <f>CHOOSE(CONTROL!$C$42, 13.0484, 13.0484) * CHOOSE(CONTROL!$C$21, $C$9, 100%, $E$9)</f>
        <v>13.048400000000001</v>
      </c>
      <c r="M276" s="14">
        <f>CHOOSE(CONTROL!$C$42, 12.1582, 12.1582) * CHOOSE(CONTROL!$C$21, $C$9, 100%, $E$9)</f>
        <v>12.158200000000001</v>
      </c>
      <c r="N276" s="14">
        <f>CHOOSE(CONTROL!$C$42, 12.1758, 12.1758) * CHOOSE(CONTROL!$C$21, $C$9, 100%, $E$9)</f>
        <v>12.175800000000001</v>
      </c>
      <c r="O276" s="14">
        <f>CHOOSE(CONTROL!$C$42, 12.2449, 12.2449) * CHOOSE(CONTROL!$C$21, $C$9, 100%, $E$9)</f>
        <v>12.244899999999999</v>
      </c>
      <c r="P276" s="14">
        <f>CHOOSE(CONTROL!$C$42, 12.1922, 12.1922) * CHOOSE(CONTROL!$C$21, $C$9, 100%, $E$9)</f>
        <v>12.1922</v>
      </c>
      <c r="Q276" s="14">
        <f>CHOOSE(CONTROL!$C$42, 12.8396, 12.8396) * CHOOSE(CONTROL!$C$21, $C$9, 100%, $E$9)</f>
        <v>12.839600000000001</v>
      </c>
      <c r="R276" s="14">
        <f>CHOOSE(CONTROL!$C$42, 13.4587, 13.4587) * CHOOSE(CONTROL!$C$21, $C$9, 100%, $E$9)</f>
        <v>13.4587</v>
      </c>
      <c r="S276" s="14">
        <f>CHOOSE(CONTROL!$C$42, 11.8585, 11.8585) * CHOOSE(CONTROL!$C$21, $C$9, 100%, $E$9)</f>
        <v>11.858499999999999</v>
      </c>
      <c r="T27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76" s="56">
        <f>(1000*CHOOSE(CONTROL!$C$42, 695, 695)*CHOOSE(CONTROL!$C$42, 0.5599, 0.5599)*CHOOSE(CONTROL!$C$42, 31, 31))/1000000</f>
        <v>12.063045499999998</v>
      </c>
      <c r="V276" s="56">
        <f>(1000*CHOOSE(CONTROL!$C$42, 500, 500)*CHOOSE(CONTROL!$C$42, 0.275, 0.275)*CHOOSE(CONTROL!$C$42, 31, 31))/1000000</f>
        <v>4.2625000000000002</v>
      </c>
      <c r="W276" s="56">
        <f>(1000*CHOOSE(CONTROL!$C$42, 0.1146, 0.1146)*CHOOSE(CONTROL!$C$42, 121.5, 121.5)*CHOOSE(CONTROL!$C$42, 31, 31))/1000000</f>
        <v>0.43164089999999994</v>
      </c>
      <c r="X276" s="56">
        <f>(31*0.1790888*100000/1000000)+(31*0.2374*100000/1000000)</f>
        <v>1.2911152800000001</v>
      </c>
      <c r="Y276" s="56"/>
      <c r="Z276" s="14"/>
      <c r="AA276" s="55"/>
      <c r="AB276" s="49">
        <f>(B276*122.58+C276*297.941+D276*89.177+E276*40.302+F276*40+G276*160+H276*0+I276*100+J276*300)/(122.58+297.941+89.177+40.302+0+40+160+100+300)</f>
        <v>12.38120095921739</v>
      </c>
      <c r="AC276" s="45">
        <f>(M276*'RAP TEMPLATE-GAS AVAILABILITY'!O275+N276*'RAP TEMPLATE-GAS AVAILABILITY'!P275+O276*'RAP TEMPLATE-GAS AVAILABILITY'!Q275+P276*'RAP TEMPLATE-GAS AVAILABILITY'!R275)/('RAP TEMPLATE-GAS AVAILABILITY'!O275+'RAP TEMPLATE-GAS AVAILABILITY'!P275+'RAP TEMPLATE-GAS AVAILABILITY'!Q275+'RAP TEMPLATE-GAS AVAILABILITY'!R275)</f>
        <v>12.20340071942446</v>
      </c>
    </row>
    <row r="277" spans="1:29" ht="15.75" x14ac:dyDescent="0.25">
      <c r="A277" s="13">
        <v>49310</v>
      </c>
      <c r="B277" s="14">
        <f>CHOOSE(CONTROL!$C$42, 13.373, 13.373) * CHOOSE(CONTROL!$C$21, $C$9, 100%, $E$9)</f>
        <v>13.372999999999999</v>
      </c>
      <c r="C277" s="14">
        <f>CHOOSE(CONTROL!$C$42, 13.378, 13.378) * CHOOSE(CONTROL!$C$21, $C$9, 100%, $E$9)</f>
        <v>13.378</v>
      </c>
      <c r="D277" s="14">
        <f>CHOOSE(CONTROL!$C$42, 13.4715, 13.4715) * CHOOSE(CONTROL!$C$21, $C$9, 100%, $E$9)</f>
        <v>13.471500000000001</v>
      </c>
      <c r="E277" s="14">
        <f>CHOOSE(CONTROL!$C$42, 13.5056, 13.5056) * CHOOSE(CONTROL!$C$21, $C$9, 100%, $E$9)</f>
        <v>13.505599999999999</v>
      </c>
      <c r="F277" s="14">
        <f>CHOOSE(CONTROL!$C$42, 13.4003, 13.4003)*CHOOSE(CONTROL!$C$21, $C$9, 100%, $E$9)</f>
        <v>13.4003</v>
      </c>
      <c r="G277" s="14">
        <f>CHOOSE(CONTROL!$C$42, 13.4183, 13.4183)*CHOOSE(CONTROL!$C$21, $C$9, 100%, $E$9)</f>
        <v>13.4183</v>
      </c>
      <c r="H277" s="14">
        <f>CHOOSE(CONTROL!$C$42, 13.4948, 13.4948) * CHOOSE(CONTROL!$C$21, $C$9, 100%, $E$9)</f>
        <v>13.4948</v>
      </c>
      <c r="I277" s="14">
        <f>CHOOSE(CONTROL!$C$42, 13.4408, 13.4408)* CHOOSE(CONTROL!$C$21, $C$9, 100%, $E$9)</f>
        <v>13.440799999999999</v>
      </c>
      <c r="J277" s="14">
        <f>CHOOSE(CONTROL!$C$42, 13.3933, 13.3933)* CHOOSE(CONTROL!$C$21, $C$9, 100%, $E$9)</f>
        <v>13.3933</v>
      </c>
      <c r="K277" s="52">
        <f>CHOOSE(CONTROL!$C$42, 13.4369, 13.4369) * CHOOSE(CONTROL!$C$21, $C$9, 100%, $E$9)</f>
        <v>13.4369</v>
      </c>
      <c r="L277" s="14">
        <f>CHOOSE(CONTROL!$C$42, 14.0818, 14.0818) * CHOOSE(CONTROL!$C$21, $C$9, 100%, $E$9)</f>
        <v>14.081799999999999</v>
      </c>
      <c r="M277" s="14">
        <f>CHOOSE(CONTROL!$C$42, 13.1601, 13.1601) * CHOOSE(CONTROL!$C$21, $C$9, 100%, $E$9)</f>
        <v>13.1601</v>
      </c>
      <c r="N277" s="14">
        <f>CHOOSE(CONTROL!$C$42, 13.1777, 13.1777) * CHOOSE(CONTROL!$C$21, $C$9, 100%, $E$9)</f>
        <v>13.1777</v>
      </c>
      <c r="O277" s="14">
        <f>CHOOSE(CONTROL!$C$42, 13.2598, 13.2598) * CHOOSE(CONTROL!$C$21, $C$9, 100%, $E$9)</f>
        <v>13.2598</v>
      </c>
      <c r="P277" s="14">
        <f>CHOOSE(CONTROL!$C$42, 13.206, 13.206) * CHOOSE(CONTROL!$C$21, $C$9, 100%, $E$9)</f>
        <v>13.206</v>
      </c>
      <c r="Q277" s="14">
        <f>CHOOSE(CONTROL!$C$42, 13.8545, 13.8545) * CHOOSE(CONTROL!$C$21, $C$9, 100%, $E$9)</f>
        <v>13.8545</v>
      </c>
      <c r="R277" s="14">
        <f>CHOOSE(CONTROL!$C$42, 14.4761, 14.4761) * CHOOSE(CONTROL!$C$21, $C$9, 100%, $E$9)</f>
        <v>14.476100000000001</v>
      </c>
      <c r="S277" s="14">
        <f>CHOOSE(CONTROL!$C$42, 12.8416, 12.8416) * CHOOSE(CONTROL!$C$21, $C$9, 100%, $E$9)</f>
        <v>12.8416</v>
      </c>
      <c r="T27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77" s="56">
        <f>(1000*CHOOSE(CONTROL!$C$42, 695, 695)*CHOOSE(CONTROL!$C$42, 0.5599, 0.5599)*CHOOSE(CONTROL!$C$42, 31, 31))/1000000</f>
        <v>12.063045499999998</v>
      </c>
      <c r="V277" s="56">
        <f>(1000*CHOOSE(CONTROL!$C$42, 500, 500)*CHOOSE(CONTROL!$C$42, 0.275, 0.275)*CHOOSE(CONTROL!$C$42, 31, 31))/1000000</f>
        <v>4.2625000000000002</v>
      </c>
      <c r="W277" s="56">
        <f>(1000*CHOOSE(CONTROL!$C$42, 0.1146, 0.1146)*CHOOSE(CONTROL!$C$42, 121.5, 121.5)*CHOOSE(CONTROL!$C$42, 31, 31))/1000000</f>
        <v>0.43164089999999994</v>
      </c>
      <c r="X277" s="56">
        <f>(31*0.1790888*100000/1000000)+(31*0.2374*100000/1000000)</f>
        <v>1.2911152800000001</v>
      </c>
      <c r="Y277" s="56"/>
      <c r="Z277" s="14"/>
      <c r="AA277" s="55"/>
      <c r="AB277" s="49">
        <f>(B277*122.58+C277*297.941+D277*89.177+E277*40.302+F277*40+G277*160+H277*0+I277*100+J277*300)/(122.58+297.941+89.177+40.302+0+40+160+100+300)</f>
        <v>13.405024073652173</v>
      </c>
      <c r="AC277" s="45">
        <f>(M277*'RAP TEMPLATE-GAS AVAILABILITY'!O276+N277*'RAP TEMPLATE-GAS AVAILABILITY'!P276+O277*'RAP TEMPLATE-GAS AVAILABILITY'!Q276+P277*'RAP TEMPLATE-GAS AVAILABILITY'!R276)/('RAP TEMPLATE-GAS AVAILABILITY'!O276+'RAP TEMPLATE-GAS AVAILABILITY'!P276+'RAP TEMPLATE-GAS AVAILABILITY'!Q276+'RAP TEMPLATE-GAS AVAILABILITY'!R276)</f>
        <v>13.212905035971225</v>
      </c>
    </row>
    <row r="278" spans="1:29" ht="15.75" x14ac:dyDescent="0.25">
      <c r="A278" s="13">
        <v>49341</v>
      </c>
      <c r="B278" s="14">
        <f>CHOOSE(CONTROL!$C$42, 13.6109, 13.6109) * CHOOSE(CONTROL!$C$21, $C$9, 100%, $E$9)</f>
        <v>13.610900000000001</v>
      </c>
      <c r="C278" s="14">
        <f>CHOOSE(CONTROL!$C$42, 13.6159, 13.6159) * CHOOSE(CONTROL!$C$21, $C$9, 100%, $E$9)</f>
        <v>13.6159</v>
      </c>
      <c r="D278" s="14">
        <f>CHOOSE(CONTROL!$C$42, 13.7094, 13.7094) * CHOOSE(CONTROL!$C$21, $C$9, 100%, $E$9)</f>
        <v>13.7094</v>
      </c>
      <c r="E278" s="14">
        <f>CHOOSE(CONTROL!$C$42, 13.7435, 13.7435) * CHOOSE(CONTROL!$C$21, $C$9, 100%, $E$9)</f>
        <v>13.743499999999999</v>
      </c>
      <c r="F278" s="14">
        <f>CHOOSE(CONTROL!$C$42, 13.6378, 13.6378)*CHOOSE(CONTROL!$C$21, $C$9, 100%, $E$9)</f>
        <v>13.6378</v>
      </c>
      <c r="G278" s="14">
        <f>CHOOSE(CONTROL!$C$42, 13.6557, 13.6557)*CHOOSE(CONTROL!$C$21, $C$9, 100%, $E$9)</f>
        <v>13.6557</v>
      </c>
      <c r="H278" s="14">
        <f>CHOOSE(CONTROL!$C$42, 13.7327, 13.7327) * CHOOSE(CONTROL!$C$21, $C$9, 100%, $E$9)</f>
        <v>13.732699999999999</v>
      </c>
      <c r="I278" s="14">
        <f>CHOOSE(CONTROL!$C$42, 13.6794, 13.6794)* CHOOSE(CONTROL!$C$21, $C$9, 100%, $E$9)</f>
        <v>13.679399999999999</v>
      </c>
      <c r="J278" s="14">
        <f>CHOOSE(CONTROL!$C$42, 13.6308, 13.6308)* CHOOSE(CONTROL!$C$21, $C$9, 100%, $E$9)</f>
        <v>13.630800000000001</v>
      </c>
      <c r="K278" s="52">
        <f>CHOOSE(CONTROL!$C$42, 13.6755, 13.6755) * CHOOSE(CONTROL!$C$21, $C$9, 100%, $E$9)</f>
        <v>13.6755</v>
      </c>
      <c r="L278" s="14">
        <f>CHOOSE(CONTROL!$C$42, 14.3197, 14.3197) * CHOOSE(CONTROL!$C$21, $C$9, 100%, $E$9)</f>
        <v>14.319699999999999</v>
      </c>
      <c r="M278" s="14">
        <f>CHOOSE(CONTROL!$C$42, 13.3933, 13.3933) * CHOOSE(CONTROL!$C$21, $C$9, 100%, $E$9)</f>
        <v>13.3933</v>
      </c>
      <c r="N278" s="14">
        <f>CHOOSE(CONTROL!$C$42, 13.4109, 13.4109) * CHOOSE(CONTROL!$C$21, $C$9, 100%, $E$9)</f>
        <v>13.4109</v>
      </c>
      <c r="O278" s="14">
        <f>CHOOSE(CONTROL!$C$42, 13.4934, 13.4934) * CHOOSE(CONTROL!$C$21, $C$9, 100%, $E$9)</f>
        <v>13.493399999999999</v>
      </c>
      <c r="P278" s="14">
        <f>CHOOSE(CONTROL!$C$42, 13.4403, 13.4403) * CHOOSE(CONTROL!$C$21, $C$9, 100%, $E$9)</f>
        <v>13.440300000000001</v>
      </c>
      <c r="Q278" s="14">
        <f>CHOOSE(CONTROL!$C$42, 14.0881, 14.0881) * CHOOSE(CONTROL!$C$21, $C$9, 100%, $E$9)</f>
        <v>14.088100000000001</v>
      </c>
      <c r="R278" s="14">
        <f>CHOOSE(CONTROL!$C$42, 14.7103, 14.7103) * CHOOSE(CONTROL!$C$21, $C$9, 100%, $E$9)</f>
        <v>14.7103</v>
      </c>
      <c r="S278" s="14">
        <f>CHOOSE(CONTROL!$C$42, 13.0701, 13.0701) * CHOOSE(CONTROL!$C$21, $C$9, 100%, $E$9)</f>
        <v>13.0701</v>
      </c>
      <c r="T27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78" s="56">
        <f>(1000*CHOOSE(CONTROL!$C$42, 695, 695)*CHOOSE(CONTROL!$C$42, 0.5599, 0.5599)*CHOOSE(CONTROL!$C$42, 28, 28))/1000000</f>
        <v>10.895653999999999</v>
      </c>
      <c r="V278" s="56">
        <f>(1000*CHOOSE(CONTROL!$C$42, 500, 500)*CHOOSE(CONTROL!$C$42, 0.275, 0.275)*CHOOSE(CONTROL!$C$42, 28, 28))/1000000</f>
        <v>3.85</v>
      </c>
      <c r="W278" s="56">
        <f>(1000*CHOOSE(CONTROL!$C$42, 0.1146, 0.1146)*CHOOSE(CONTROL!$C$42, 121.5, 121.5)*CHOOSE(CONTROL!$C$42, 28, 28))/1000000</f>
        <v>0.38986920000000003</v>
      </c>
      <c r="X278" s="56">
        <f>(28*0.1790888*100000/1000000)+(28*0.2374*100000/1000000)</f>
        <v>1.16616864</v>
      </c>
      <c r="Y278" s="56"/>
      <c r="Z278" s="14"/>
      <c r="AA278" s="55"/>
      <c r="AB278" s="49">
        <f>(B278*122.58+C278*297.941+D278*89.177+E278*40.302+F278*40+G278*160+H278*0+I278*100+J278*300)/(122.58+297.941+89.177+40.302+0+40+160+100+300)</f>
        <v>13.642797117130435</v>
      </c>
      <c r="AC278" s="45">
        <f>(M278*'RAP TEMPLATE-GAS AVAILABILITY'!O277+N278*'RAP TEMPLATE-GAS AVAILABILITY'!P277+O278*'RAP TEMPLATE-GAS AVAILABILITY'!Q277+P278*'RAP TEMPLATE-GAS AVAILABILITY'!R277)/('RAP TEMPLATE-GAS AVAILABILITY'!O277+'RAP TEMPLATE-GAS AVAILABILITY'!P277+'RAP TEMPLATE-GAS AVAILABILITY'!Q277+'RAP TEMPLATE-GAS AVAILABILITY'!R277)</f>
        <v>13.446444604316547</v>
      </c>
    </row>
    <row r="279" spans="1:29" ht="15.75" x14ac:dyDescent="0.25">
      <c r="A279" s="13">
        <v>49369</v>
      </c>
      <c r="B279" s="14">
        <f>CHOOSE(CONTROL!$C$42, 13.2247, 13.2247) * CHOOSE(CONTROL!$C$21, $C$9, 100%, $E$9)</f>
        <v>13.2247</v>
      </c>
      <c r="C279" s="14">
        <f>CHOOSE(CONTROL!$C$42, 13.2298, 13.2298) * CHOOSE(CONTROL!$C$21, $C$9, 100%, $E$9)</f>
        <v>13.229799999999999</v>
      </c>
      <c r="D279" s="14">
        <f>CHOOSE(CONTROL!$C$42, 13.3233, 13.3233) * CHOOSE(CONTROL!$C$21, $C$9, 100%, $E$9)</f>
        <v>13.3233</v>
      </c>
      <c r="E279" s="14">
        <f>CHOOSE(CONTROL!$C$42, 13.3574, 13.3574) * CHOOSE(CONTROL!$C$21, $C$9, 100%, $E$9)</f>
        <v>13.3574</v>
      </c>
      <c r="F279" s="14">
        <f>CHOOSE(CONTROL!$C$42, 13.2508, 13.2508)*CHOOSE(CONTROL!$C$21, $C$9, 100%, $E$9)</f>
        <v>13.2508</v>
      </c>
      <c r="G279" s="14">
        <f>CHOOSE(CONTROL!$C$42, 13.2684, 13.2684)*CHOOSE(CONTROL!$C$21, $C$9, 100%, $E$9)</f>
        <v>13.2684</v>
      </c>
      <c r="H279" s="14">
        <f>CHOOSE(CONTROL!$C$42, 13.3466, 13.3466) * CHOOSE(CONTROL!$C$21, $C$9, 100%, $E$9)</f>
        <v>13.3466</v>
      </c>
      <c r="I279" s="14">
        <f>CHOOSE(CONTROL!$C$42, 13.292, 13.292)* CHOOSE(CONTROL!$C$21, $C$9, 100%, $E$9)</f>
        <v>13.292</v>
      </c>
      <c r="J279" s="14">
        <f>CHOOSE(CONTROL!$C$42, 13.2438, 13.2438)* CHOOSE(CONTROL!$C$21, $C$9, 100%, $E$9)</f>
        <v>13.2438</v>
      </c>
      <c r="K279" s="52">
        <f>CHOOSE(CONTROL!$C$42, 13.2881, 13.2881) * CHOOSE(CONTROL!$C$21, $C$9, 100%, $E$9)</f>
        <v>13.2881</v>
      </c>
      <c r="L279" s="14">
        <f>CHOOSE(CONTROL!$C$42, 13.9336, 13.9336) * CHOOSE(CONTROL!$C$21, $C$9, 100%, $E$9)</f>
        <v>13.9336</v>
      </c>
      <c r="M279" s="14">
        <f>CHOOSE(CONTROL!$C$42, 13.0133, 13.0133) * CHOOSE(CONTROL!$C$21, $C$9, 100%, $E$9)</f>
        <v>13.013299999999999</v>
      </c>
      <c r="N279" s="14">
        <f>CHOOSE(CONTROL!$C$42, 13.0306, 13.0306) * CHOOSE(CONTROL!$C$21, $C$9, 100%, $E$9)</f>
        <v>13.0306</v>
      </c>
      <c r="O279" s="14">
        <f>CHOOSE(CONTROL!$C$42, 13.1142, 13.1142) * CHOOSE(CONTROL!$C$21, $C$9, 100%, $E$9)</f>
        <v>13.1142</v>
      </c>
      <c r="P279" s="14">
        <f>CHOOSE(CONTROL!$C$42, 13.06, 13.06) * CHOOSE(CONTROL!$C$21, $C$9, 100%, $E$9)</f>
        <v>13.06</v>
      </c>
      <c r="Q279" s="14">
        <f>CHOOSE(CONTROL!$C$42, 13.7089, 13.7089) * CHOOSE(CONTROL!$C$21, $C$9, 100%, $E$9)</f>
        <v>13.7089</v>
      </c>
      <c r="R279" s="14">
        <f>CHOOSE(CONTROL!$C$42, 14.3302, 14.3302) * CHOOSE(CONTROL!$C$21, $C$9, 100%, $E$9)</f>
        <v>14.3302</v>
      </c>
      <c r="S279" s="14">
        <f>CHOOSE(CONTROL!$C$42, 12.6991, 12.6991) * CHOOSE(CONTROL!$C$21, $C$9, 100%, $E$9)</f>
        <v>12.6991</v>
      </c>
      <c r="T27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79" s="56">
        <f>(1000*CHOOSE(CONTROL!$C$42, 695, 695)*CHOOSE(CONTROL!$C$42, 0.5599, 0.5599)*CHOOSE(CONTROL!$C$42, 31, 31))/1000000</f>
        <v>12.063045499999998</v>
      </c>
      <c r="V279" s="56">
        <f>(1000*CHOOSE(CONTROL!$C$42, 500, 500)*CHOOSE(CONTROL!$C$42, 0.275, 0.275)*CHOOSE(CONTROL!$C$42, 31, 31))/1000000</f>
        <v>4.2625000000000002</v>
      </c>
      <c r="W279" s="56">
        <f>(1000*CHOOSE(CONTROL!$C$42, 0.1146, 0.1146)*CHOOSE(CONTROL!$C$42, 121.5, 121.5)*CHOOSE(CONTROL!$C$42, 31, 31))/1000000</f>
        <v>0.43164089999999994</v>
      </c>
      <c r="X279" s="56">
        <f>(31*0.1790888*100000/1000000)+(31*0.2374*100000/1000000)</f>
        <v>1.2911152800000001</v>
      </c>
      <c r="Y279" s="56"/>
      <c r="Z279" s="14"/>
      <c r="AA279" s="55"/>
      <c r="AB279" s="49">
        <f>(B279*122.58+C279*297.941+D279*89.177+E279*40.302+F279*40+G279*160+H279*0+I279*100+J279*300)/(122.58+297.941+89.177+40.302+0+40+160+100+300)</f>
        <v>13.256140371043479</v>
      </c>
      <c r="AC279" s="45">
        <f>(M279*'RAP TEMPLATE-GAS AVAILABILITY'!O278+N279*'RAP TEMPLATE-GAS AVAILABILITY'!P278+O279*'RAP TEMPLATE-GAS AVAILABILITY'!Q278+P279*'RAP TEMPLATE-GAS AVAILABILITY'!R278)/('RAP TEMPLATE-GAS AVAILABILITY'!O278+'RAP TEMPLATE-GAS AVAILABILITY'!P278+'RAP TEMPLATE-GAS AVAILABILITY'!Q278+'RAP TEMPLATE-GAS AVAILABILITY'!R278)</f>
        <v>13.066746762589927</v>
      </c>
    </row>
    <row r="280" spans="1:29" ht="15.75" x14ac:dyDescent="0.25">
      <c r="A280" s="13">
        <v>49400</v>
      </c>
      <c r="B280" s="14">
        <f>CHOOSE(CONTROL!$C$42, 13.1862, 13.1862) * CHOOSE(CONTROL!$C$21, $C$9, 100%, $E$9)</f>
        <v>13.186199999999999</v>
      </c>
      <c r="C280" s="14">
        <f>CHOOSE(CONTROL!$C$42, 13.1906, 13.1906) * CHOOSE(CONTROL!$C$21, $C$9, 100%, $E$9)</f>
        <v>13.1906</v>
      </c>
      <c r="D280" s="14">
        <f>CHOOSE(CONTROL!$C$42, 13.4529, 13.4529) * CHOOSE(CONTROL!$C$21, $C$9, 100%, $E$9)</f>
        <v>13.4529</v>
      </c>
      <c r="E280" s="14">
        <f>CHOOSE(CONTROL!$C$42, 13.485, 13.485) * CHOOSE(CONTROL!$C$21, $C$9, 100%, $E$9)</f>
        <v>13.484999999999999</v>
      </c>
      <c r="F280" s="14">
        <f>CHOOSE(CONTROL!$C$42, 13.209, 13.209)*CHOOSE(CONTROL!$C$21, $C$9, 100%, $E$9)</f>
        <v>13.209</v>
      </c>
      <c r="G280" s="14">
        <f>CHOOSE(CONTROL!$C$42, 13.2257, 13.2257)*CHOOSE(CONTROL!$C$21, $C$9, 100%, $E$9)</f>
        <v>13.2257</v>
      </c>
      <c r="H280" s="14">
        <f>CHOOSE(CONTROL!$C$42, 13.4748, 13.4748) * CHOOSE(CONTROL!$C$21, $C$9, 100%, $E$9)</f>
        <v>13.4748</v>
      </c>
      <c r="I280" s="14">
        <f>CHOOSE(CONTROL!$C$42, 13.25, 13.25)* CHOOSE(CONTROL!$C$21, $C$9, 100%, $E$9)</f>
        <v>13.25</v>
      </c>
      <c r="J280" s="14">
        <f>CHOOSE(CONTROL!$C$42, 13.202, 13.202)* CHOOSE(CONTROL!$C$21, $C$9, 100%, $E$9)</f>
        <v>13.202</v>
      </c>
      <c r="K280" s="52">
        <f>CHOOSE(CONTROL!$C$42, 13.2461, 13.2461) * CHOOSE(CONTROL!$C$21, $C$9, 100%, $E$9)</f>
        <v>13.2461</v>
      </c>
      <c r="L280" s="14">
        <f>CHOOSE(CONTROL!$C$42, 14.0618, 14.0618) * CHOOSE(CONTROL!$C$21, $C$9, 100%, $E$9)</f>
        <v>14.0618</v>
      </c>
      <c r="M280" s="14">
        <f>CHOOSE(CONTROL!$C$42, 12.9722, 12.9722) * CHOOSE(CONTROL!$C$21, $C$9, 100%, $E$9)</f>
        <v>12.972200000000001</v>
      </c>
      <c r="N280" s="14">
        <f>CHOOSE(CONTROL!$C$42, 12.9886, 12.9886) * CHOOSE(CONTROL!$C$21, $C$9, 100%, $E$9)</f>
        <v>12.9886</v>
      </c>
      <c r="O280" s="14">
        <f>CHOOSE(CONTROL!$C$42, 13.2401, 13.2401) * CHOOSE(CONTROL!$C$21, $C$9, 100%, $E$9)</f>
        <v>13.2401</v>
      </c>
      <c r="P280" s="14">
        <f>CHOOSE(CONTROL!$C$42, 13.0187, 13.0187) * CHOOSE(CONTROL!$C$21, $C$9, 100%, $E$9)</f>
        <v>13.018700000000001</v>
      </c>
      <c r="Q280" s="14">
        <f>CHOOSE(CONTROL!$C$42, 13.8348, 13.8348) * CHOOSE(CONTROL!$C$21, $C$9, 100%, $E$9)</f>
        <v>13.8348</v>
      </c>
      <c r="R280" s="14">
        <f>CHOOSE(CONTROL!$C$42, 14.4564, 14.4564) * CHOOSE(CONTROL!$C$21, $C$9, 100%, $E$9)</f>
        <v>14.4564</v>
      </c>
      <c r="S280" s="14">
        <f>CHOOSE(CONTROL!$C$42, 12.6613, 12.6613) * CHOOSE(CONTROL!$C$21, $C$9, 100%, $E$9)</f>
        <v>12.661300000000001</v>
      </c>
      <c r="T28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80" s="56">
        <f>(1000*CHOOSE(CONTROL!$C$42, 695, 695)*CHOOSE(CONTROL!$C$42, 0.5599, 0.5599)*CHOOSE(CONTROL!$C$42, 30, 30))/1000000</f>
        <v>11.673914999999997</v>
      </c>
      <c r="V280" s="56">
        <f>(1000*CHOOSE(CONTROL!$C$42, 500, 500)*CHOOSE(CONTROL!$C$42, 0.275, 0.275)*CHOOSE(CONTROL!$C$42, 30, 30))/1000000</f>
        <v>4.125</v>
      </c>
      <c r="W280" s="56">
        <f>(1000*CHOOSE(CONTROL!$C$42, 0.1146, 0.1146)*CHOOSE(CONTROL!$C$42, 121.5, 121.5)*CHOOSE(CONTROL!$C$42, 30, 30))/1000000</f>
        <v>0.417717</v>
      </c>
      <c r="X280" s="56">
        <f>(30*0.1790888*245000/1000000)+(30*0.2374*100000/1000000)</f>
        <v>2.0285026799999999</v>
      </c>
      <c r="Y280" s="56"/>
      <c r="Z280" s="14"/>
      <c r="AA280" s="55"/>
      <c r="AB280" s="49">
        <f>(B280*141.293+C280*267.993+D280*115.016+E280*89.698+F280*40+G280*185+H280*0+I280*100+J280*300)/(141.293+267.993+115.016+89.698+0+40+185+100+300)</f>
        <v>13.249150120096852</v>
      </c>
      <c r="AC280" s="45">
        <f>(M280*'RAP TEMPLATE-GAS AVAILABILITY'!O279+N280*'RAP TEMPLATE-GAS AVAILABILITY'!P279+O280*'RAP TEMPLATE-GAS AVAILABILITY'!Q279+P280*'RAP TEMPLATE-GAS AVAILABILITY'!R279)/('RAP TEMPLATE-GAS AVAILABILITY'!O279+'RAP TEMPLATE-GAS AVAILABILITY'!P279+'RAP TEMPLATE-GAS AVAILABILITY'!Q279+'RAP TEMPLATE-GAS AVAILABILITY'!R279)</f>
        <v>13.057832374100721</v>
      </c>
    </row>
    <row r="281" spans="1:29" ht="15.75" x14ac:dyDescent="0.25">
      <c r="A281" s="13">
        <v>49430</v>
      </c>
      <c r="B281" s="14">
        <f>CHOOSE(CONTROL!$C$42, 13.3038, 13.3038) * CHOOSE(CONTROL!$C$21, $C$9, 100%, $E$9)</f>
        <v>13.303800000000001</v>
      </c>
      <c r="C281" s="14">
        <f>CHOOSE(CONTROL!$C$42, 13.3119, 13.3119) * CHOOSE(CONTROL!$C$21, $C$9, 100%, $E$9)</f>
        <v>13.3119</v>
      </c>
      <c r="D281" s="14">
        <f>CHOOSE(CONTROL!$C$42, 13.571, 13.571) * CHOOSE(CONTROL!$C$21, $C$9, 100%, $E$9)</f>
        <v>13.571</v>
      </c>
      <c r="E281" s="14">
        <f>CHOOSE(CONTROL!$C$42, 13.6024, 13.6024) * CHOOSE(CONTROL!$C$21, $C$9, 100%, $E$9)</f>
        <v>13.602399999999999</v>
      </c>
      <c r="F281" s="14">
        <f>CHOOSE(CONTROL!$C$42, 13.3254, 13.3254)*CHOOSE(CONTROL!$C$21, $C$9, 100%, $E$9)</f>
        <v>13.3254</v>
      </c>
      <c r="G281" s="14">
        <f>CHOOSE(CONTROL!$C$42, 13.3423, 13.3423)*CHOOSE(CONTROL!$C$21, $C$9, 100%, $E$9)</f>
        <v>13.3423</v>
      </c>
      <c r="H281" s="14">
        <f>CHOOSE(CONTROL!$C$42, 13.5911, 13.5911) * CHOOSE(CONTROL!$C$21, $C$9, 100%, $E$9)</f>
        <v>13.591100000000001</v>
      </c>
      <c r="I281" s="14">
        <f>CHOOSE(CONTROL!$C$42, 13.3666, 13.3666)* CHOOSE(CONTROL!$C$21, $C$9, 100%, $E$9)</f>
        <v>13.3666</v>
      </c>
      <c r="J281" s="14">
        <f>CHOOSE(CONTROL!$C$42, 13.3184, 13.3184)* CHOOSE(CONTROL!$C$21, $C$9, 100%, $E$9)</f>
        <v>13.3184</v>
      </c>
      <c r="K281" s="52">
        <f>CHOOSE(CONTROL!$C$42, 13.3627, 13.3627) * CHOOSE(CONTROL!$C$21, $C$9, 100%, $E$9)</f>
        <v>13.3627</v>
      </c>
      <c r="L281" s="14">
        <f>CHOOSE(CONTROL!$C$42, 14.1781, 14.1781) * CHOOSE(CONTROL!$C$21, $C$9, 100%, $E$9)</f>
        <v>14.178100000000001</v>
      </c>
      <c r="M281" s="14">
        <f>CHOOSE(CONTROL!$C$42, 13.0865, 13.0865) * CHOOSE(CONTROL!$C$21, $C$9, 100%, $E$9)</f>
        <v>13.086499999999999</v>
      </c>
      <c r="N281" s="14">
        <f>CHOOSE(CONTROL!$C$42, 13.1032, 13.1032) * CHOOSE(CONTROL!$C$21, $C$9, 100%, $E$9)</f>
        <v>13.103199999999999</v>
      </c>
      <c r="O281" s="14">
        <f>CHOOSE(CONTROL!$C$42, 13.3543, 13.3543) * CHOOSE(CONTROL!$C$21, $C$9, 100%, $E$9)</f>
        <v>13.3543</v>
      </c>
      <c r="P281" s="14">
        <f>CHOOSE(CONTROL!$C$42, 13.1332, 13.1332) * CHOOSE(CONTROL!$C$21, $C$9, 100%, $E$9)</f>
        <v>13.1332</v>
      </c>
      <c r="Q281" s="14">
        <f>CHOOSE(CONTROL!$C$42, 13.949, 13.949) * CHOOSE(CONTROL!$C$21, $C$9, 100%, $E$9)</f>
        <v>13.949</v>
      </c>
      <c r="R281" s="14">
        <f>CHOOSE(CONTROL!$C$42, 14.5709, 14.5709) * CHOOSE(CONTROL!$C$21, $C$9, 100%, $E$9)</f>
        <v>14.5709</v>
      </c>
      <c r="S281" s="14">
        <f>CHOOSE(CONTROL!$C$42, 12.773, 12.773) * CHOOSE(CONTROL!$C$21, $C$9, 100%, $E$9)</f>
        <v>12.773</v>
      </c>
      <c r="T28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81" s="56">
        <f>(1000*CHOOSE(CONTROL!$C$42, 695, 695)*CHOOSE(CONTROL!$C$42, 0.5599, 0.5599)*CHOOSE(CONTROL!$C$42, 31, 31))/1000000</f>
        <v>12.063045499999998</v>
      </c>
      <c r="V281" s="56">
        <f>(1000*CHOOSE(CONTROL!$C$42, 500, 500)*CHOOSE(CONTROL!$C$42, 0.275, 0.275)*CHOOSE(CONTROL!$C$42, 31, 31))/1000000</f>
        <v>4.2625000000000002</v>
      </c>
      <c r="W281" s="56">
        <f>(1000*CHOOSE(CONTROL!$C$42, 0.1146, 0.1146)*CHOOSE(CONTROL!$C$42, 121.5, 121.5)*CHOOSE(CONTROL!$C$42, 31, 31))/1000000</f>
        <v>0.43164089999999994</v>
      </c>
      <c r="X281" s="56">
        <f>(31*0.1790888*245000/1000000)+(31*0.2374*100000/1000000)</f>
        <v>2.0961194359999999</v>
      </c>
      <c r="Y281" s="56"/>
      <c r="Z281" s="14"/>
      <c r="AA281" s="55"/>
      <c r="AB281" s="49">
        <f>(B281*194.205+C281*267.466+D281*133.845+E281*53.484+F281*40+G281*185+H281*0+I281*100+J281*300)/(194.205+267.466+133.845+53.484+0+40+185+100+300)</f>
        <v>13.360744019623233</v>
      </c>
      <c r="AC281" s="45">
        <f>(M281*'RAP TEMPLATE-GAS AVAILABILITY'!O280+N281*'RAP TEMPLATE-GAS AVAILABILITY'!P280+O281*'RAP TEMPLATE-GAS AVAILABILITY'!Q280+P281*'RAP TEMPLATE-GAS AVAILABILITY'!R280)/('RAP TEMPLATE-GAS AVAILABILITY'!O280+'RAP TEMPLATE-GAS AVAILABILITY'!P280+'RAP TEMPLATE-GAS AVAILABILITY'!Q280+'RAP TEMPLATE-GAS AVAILABILITY'!R280)</f>
        <v>13.172202158273379</v>
      </c>
    </row>
    <row r="282" spans="1:29" ht="15.75" x14ac:dyDescent="0.25">
      <c r="A282" s="34">
        <v>49461</v>
      </c>
      <c r="B282" s="14">
        <f>CHOOSE(CONTROL!$C$42, 13.6809, 13.6809) * CHOOSE(CONTROL!$C$21, $C$9, 100%, $E$9)</f>
        <v>13.680899999999999</v>
      </c>
      <c r="C282" s="14">
        <f>CHOOSE(CONTROL!$C$42, 13.6889, 13.6889) * CHOOSE(CONTROL!$C$21, $C$9, 100%, $E$9)</f>
        <v>13.6889</v>
      </c>
      <c r="D282" s="14">
        <f>CHOOSE(CONTROL!$C$42, 13.948, 13.948) * CHOOSE(CONTROL!$C$21, $C$9, 100%, $E$9)</f>
        <v>13.948</v>
      </c>
      <c r="E282" s="14">
        <f>CHOOSE(CONTROL!$C$42, 13.9795, 13.9795) * CHOOSE(CONTROL!$C$21, $C$9, 100%, $E$9)</f>
        <v>13.9795</v>
      </c>
      <c r="F282" s="14">
        <f>CHOOSE(CONTROL!$C$42, 13.7027, 13.7027)*CHOOSE(CONTROL!$C$21, $C$9, 100%, $E$9)</f>
        <v>13.7027</v>
      </c>
      <c r="G282" s="14">
        <f>CHOOSE(CONTROL!$C$42, 13.7197, 13.7197)*CHOOSE(CONTROL!$C$21, $C$9, 100%, $E$9)</f>
        <v>13.7197</v>
      </c>
      <c r="H282" s="14">
        <f>CHOOSE(CONTROL!$C$42, 13.9681, 13.9681) * CHOOSE(CONTROL!$C$21, $C$9, 100%, $E$9)</f>
        <v>13.9681</v>
      </c>
      <c r="I282" s="14">
        <f>CHOOSE(CONTROL!$C$42, 13.7448, 13.7448)* CHOOSE(CONTROL!$C$21, $C$9, 100%, $E$9)</f>
        <v>13.7448</v>
      </c>
      <c r="J282" s="14">
        <f>CHOOSE(CONTROL!$C$42, 13.6957, 13.6957)* CHOOSE(CONTROL!$C$21, $C$9, 100%, $E$9)</f>
        <v>13.6957</v>
      </c>
      <c r="K282" s="52">
        <f>CHOOSE(CONTROL!$C$42, 13.7409, 13.7409) * CHOOSE(CONTROL!$C$21, $C$9, 100%, $E$9)</f>
        <v>13.7409</v>
      </c>
      <c r="L282" s="14">
        <f>CHOOSE(CONTROL!$C$42, 14.5551, 14.5551) * CHOOSE(CONTROL!$C$21, $C$9, 100%, $E$9)</f>
        <v>14.555099999999999</v>
      </c>
      <c r="M282" s="14">
        <f>CHOOSE(CONTROL!$C$42, 13.457, 13.457) * CHOOSE(CONTROL!$C$21, $C$9, 100%, $E$9)</f>
        <v>13.457000000000001</v>
      </c>
      <c r="N282" s="14">
        <f>CHOOSE(CONTROL!$C$42, 13.4738, 13.4738) * CHOOSE(CONTROL!$C$21, $C$9, 100%, $E$9)</f>
        <v>13.473800000000001</v>
      </c>
      <c r="O282" s="14">
        <f>CHOOSE(CONTROL!$C$42, 13.7246, 13.7246) * CHOOSE(CONTROL!$C$21, $C$9, 100%, $E$9)</f>
        <v>13.724600000000001</v>
      </c>
      <c r="P282" s="14">
        <f>CHOOSE(CONTROL!$C$42, 13.5046, 13.5046) * CHOOSE(CONTROL!$C$21, $C$9, 100%, $E$9)</f>
        <v>13.5046</v>
      </c>
      <c r="Q282" s="14">
        <f>CHOOSE(CONTROL!$C$42, 14.3193, 14.3193) * CHOOSE(CONTROL!$C$21, $C$9, 100%, $E$9)</f>
        <v>14.3193</v>
      </c>
      <c r="R282" s="14">
        <f>CHOOSE(CONTROL!$C$42, 14.9421, 14.9421) * CHOOSE(CONTROL!$C$21, $C$9, 100%, $E$9)</f>
        <v>14.9421</v>
      </c>
      <c r="S282" s="14">
        <f>CHOOSE(CONTROL!$C$42, 13.1353, 13.1353) * CHOOSE(CONTROL!$C$21, $C$9, 100%, $E$9)</f>
        <v>13.135300000000001</v>
      </c>
      <c r="T28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82" s="56">
        <f>(1000*CHOOSE(CONTROL!$C$42, 695, 695)*CHOOSE(CONTROL!$C$42, 0.5599, 0.5599)*CHOOSE(CONTROL!$C$42, 30, 30))/1000000</f>
        <v>11.673914999999997</v>
      </c>
      <c r="V282" s="56">
        <f>(1000*CHOOSE(CONTROL!$C$42, 500, 500)*CHOOSE(CONTROL!$C$42, 0.275, 0.275)*CHOOSE(CONTROL!$C$42, 30, 30))/1000000</f>
        <v>4.125</v>
      </c>
      <c r="W282" s="56">
        <f>(1000*CHOOSE(CONTROL!$C$42, 0.1146, 0.1146)*CHOOSE(CONTROL!$C$42, 121.5, 121.5)*CHOOSE(CONTROL!$C$42, 30, 30))/1000000</f>
        <v>0.417717</v>
      </c>
      <c r="X282" s="56">
        <f>(30*0.1790888*245000/1000000)+(30*0.2374*100000/1000000)</f>
        <v>2.0285026799999999</v>
      </c>
      <c r="Y282" s="56"/>
      <c r="Z282" s="14"/>
      <c r="AA282" s="55"/>
      <c r="AB282" s="49">
        <f>(B282*194.205+C282*267.466+D282*133.845+E282*53.484+F282*40+G282*185+H282*0+I282*100+J282*300)/(194.205+267.466+133.845+53.484+0+40+185+100+300)</f>
        <v>13.73799580054945</v>
      </c>
      <c r="AC282" s="45">
        <f>(M282*'RAP TEMPLATE-GAS AVAILABILITY'!O281+N282*'RAP TEMPLATE-GAS AVAILABILITY'!P281+O282*'RAP TEMPLATE-GAS AVAILABILITY'!Q281+P282*'RAP TEMPLATE-GAS AVAILABILITY'!R281)/('RAP TEMPLATE-GAS AVAILABILITY'!O281+'RAP TEMPLATE-GAS AVAILABILITY'!P281+'RAP TEMPLATE-GAS AVAILABILITY'!Q281+'RAP TEMPLATE-GAS AVAILABILITY'!R281)</f>
        <v>13.542798561151077</v>
      </c>
    </row>
    <row r="283" spans="1:29" ht="15.75" x14ac:dyDescent="0.25">
      <c r="A283" s="34">
        <v>49491</v>
      </c>
      <c r="B283" s="14">
        <f>CHOOSE(CONTROL!$C$42, 13.4187, 13.4187) * CHOOSE(CONTROL!$C$21, $C$9, 100%, $E$9)</f>
        <v>13.418699999999999</v>
      </c>
      <c r="C283" s="14">
        <f>CHOOSE(CONTROL!$C$42, 13.4267, 13.4267) * CHOOSE(CONTROL!$C$21, $C$9, 100%, $E$9)</f>
        <v>13.4267</v>
      </c>
      <c r="D283" s="14">
        <f>CHOOSE(CONTROL!$C$42, 13.6858, 13.6858) * CHOOSE(CONTROL!$C$21, $C$9, 100%, $E$9)</f>
        <v>13.6858</v>
      </c>
      <c r="E283" s="14">
        <f>CHOOSE(CONTROL!$C$42, 13.7172, 13.7172) * CHOOSE(CONTROL!$C$21, $C$9, 100%, $E$9)</f>
        <v>13.7172</v>
      </c>
      <c r="F283" s="14">
        <f>CHOOSE(CONTROL!$C$42, 13.4409, 13.4409)*CHOOSE(CONTROL!$C$21, $C$9, 100%, $E$9)</f>
        <v>13.440899999999999</v>
      </c>
      <c r="G283" s="14">
        <f>CHOOSE(CONTROL!$C$42, 13.458, 13.458)*CHOOSE(CONTROL!$C$21, $C$9, 100%, $E$9)</f>
        <v>13.458</v>
      </c>
      <c r="H283" s="14">
        <f>CHOOSE(CONTROL!$C$42, 13.7059, 13.7059) * CHOOSE(CONTROL!$C$21, $C$9, 100%, $E$9)</f>
        <v>13.7059</v>
      </c>
      <c r="I283" s="14">
        <f>CHOOSE(CONTROL!$C$42, 13.4818, 13.4818)* CHOOSE(CONTROL!$C$21, $C$9, 100%, $E$9)</f>
        <v>13.4818</v>
      </c>
      <c r="J283" s="14">
        <f>CHOOSE(CONTROL!$C$42, 13.4339, 13.4339)* CHOOSE(CONTROL!$C$21, $C$9, 100%, $E$9)</f>
        <v>13.4339</v>
      </c>
      <c r="K283" s="52">
        <f>CHOOSE(CONTROL!$C$42, 13.4779, 13.4779) * CHOOSE(CONTROL!$C$21, $C$9, 100%, $E$9)</f>
        <v>13.4779</v>
      </c>
      <c r="L283" s="14">
        <f>CHOOSE(CONTROL!$C$42, 14.2929, 14.2929) * CHOOSE(CONTROL!$C$21, $C$9, 100%, $E$9)</f>
        <v>14.292899999999999</v>
      </c>
      <c r="M283" s="14">
        <f>CHOOSE(CONTROL!$C$42, 13.1999, 13.1999) * CHOOSE(CONTROL!$C$21, $C$9, 100%, $E$9)</f>
        <v>13.1999</v>
      </c>
      <c r="N283" s="14">
        <f>CHOOSE(CONTROL!$C$42, 13.2168, 13.2168) * CHOOSE(CONTROL!$C$21, $C$9, 100%, $E$9)</f>
        <v>13.216799999999999</v>
      </c>
      <c r="O283" s="14">
        <f>CHOOSE(CONTROL!$C$42, 13.467, 13.467) * CHOOSE(CONTROL!$C$21, $C$9, 100%, $E$9)</f>
        <v>13.467000000000001</v>
      </c>
      <c r="P283" s="14">
        <f>CHOOSE(CONTROL!$C$42, 13.2463, 13.2463) * CHOOSE(CONTROL!$C$21, $C$9, 100%, $E$9)</f>
        <v>13.2463</v>
      </c>
      <c r="Q283" s="14">
        <f>CHOOSE(CONTROL!$C$42, 14.0617, 14.0617) * CHOOSE(CONTROL!$C$21, $C$9, 100%, $E$9)</f>
        <v>14.0617</v>
      </c>
      <c r="R283" s="14">
        <f>CHOOSE(CONTROL!$C$42, 14.6839, 14.6839) * CHOOSE(CONTROL!$C$21, $C$9, 100%, $E$9)</f>
        <v>14.6839</v>
      </c>
      <c r="S283" s="14">
        <f>CHOOSE(CONTROL!$C$42, 12.8834, 12.8834) * CHOOSE(CONTROL!$C$21, $C$9, 100%, $E$9)</f>
        <v>12.8834</v>
      </c>
      <c r="T28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83" s="56">
        <f>(1000*CHOOSE(CONTROL!$C$42, 695, 695)*CHOOSE(CONTROL!$C$42, 0.5599, 0.5599)*CHOOSE(CONTROL!$C$42, 31, 31))/1000000</f>
        <v>12.063045499999998</v>
      </c>
      <c r="V283" s="56">
        <f>(1000*CHOOSE(CONTROL!$C$42, 500, 500)*CHOOSE(CONTROL!$C$42, 0.275, 0.275)*CHOOSE(CONTROL!$C$42, 31, 31))/1000000</f>
        <v>4.2625000000000002</v>
      </c>
      <c r="W283" s="56">
        <f>(1000*CHOOSE(CONTROL!$C$42, 0.1146, 0.1146)*CHOOSE(CONTROL!$C$42, 121.5, 121.5)*CHOOSE(CONTROL!$C$42, 31, 31))/1000000</f>
        <v>0.43164089999999994</v>
      </c>
      <c r="X283" s="56">
        <f>(31*0.1790888*245000/1000000)+(31*0.2374*100000/1000000)</f>
        <v>2.0961194359999999</v>
      </c>
      <c r="Y283" s="56"/>
      <c r="Z283" s="14"/>
      <c r="AA283" s="55"/>
      <c r="AB283" s="49">
        <f>(B283*194.205+C283*267.466+D283*133.845+E283*53.484+F283*40+G283*185+H283*0+I283*100+J283*300)/(194.205+267.466+133.845+53.484+0+40+185+100+300)</f>
        <v>13.475908164442702</v>
      </c>
      <c r="AC283" s="45">
        <f>(M283*'RAP TEMPLATE-GAS AVAILABILITY'!O282+N283*'RAP TEMPLATE-GAS AVAILABILITY'!P282+O283*'RAP TEMPLATE-GAS AVAILABILITY'!Q282+P283*'RAP TEMPLATE-GAS AVAILABILITY'!R282)/('RAP TEMPLATE-GAS AVAILABILITY'!O282+'RAP TEMPLATE-GAS AVAILABILITY'!P282+'RAP TEMPLATE-GAS AVAILABILITY'!Q282+'RAP TEMPLATE-GAS AVAILABILITY'!R282)</f>
        <v>13.285408633093523</v>
      </c>
    </row>
    <row r="284" spans="1:29" ht="15.75" x14ac:dyDescent="0.25">
      <c r="A284" s="34">
        <v>49522</v>
      </c>
      <c r="B284" s="14">
        <f>CHOOSE(CONTROL!$C$42, 12.7564, 12.7564) * CHOOSE(CONTROL!$C$21, $C$9, 100%, $E$9)</f>
        <v>12.756399999999999</v>
      </c>
      <c r="C284" s="14">
        <f>CHOOSE(CONTROL!$C$42, 12.7645, 12.7645) * CHOOSE(CONTROL!$C$21, $C$9, 100%, $E$9)</f>
        <v>12.7645</v>
      </c>
      <c r="D284" s="14">
        <f>CHOOSE(CONTROL!$C$42, 13.0235, 13.0235) * CHOOSE(CONTROL!$C$21, $C$9, 100%, $E$9)</f>
        <v>13.0235</v>
      </c>
      <c r="E284" s="14">
        <f>CHOOSE(CONTROL!$C$42, 13.055, 13.055) * CHOOSE(CONTROL!$C$21, $C$9, 100%, $E$9)</f>
        <v>13.055</v>
      </c>
      <c r="F284" s="14">
        <f>CHOOSE(CONTROL!$C$42, 12.7788, 12.7788)*CHOOSE(CONTROL!$C$21, $C$9, 100%, $E$9)</f>
        <v>12.7788</v>
      </c>
      <c r="G284" s="14">
        <f>CHOOSE(CONTROL!$C$42, 12.796, 12.796)*CHOOSE(CONTROL!$C$21, $C$9, 100%, $E$9)</f>
        <v>12.795999999999999</v>
      </c>
      <c r="H284" s="14">
        <f>CHOOSE(CONTROL!$C$42, 13.0436, 13.0436) * CHOOSE(CONTROL!$C$21, $C$9, 100%, $E$9)</f>
        <v>13.0436</v>
      </c>
      <c r="I284" s="14">
        <f>CHOOSE(CONTROL!$C$42, 12.8175, 12.8175)* CHOOSE(CONTROL!$C$21, $C$9, 100%, $E$9)</f>
        <v>12.817500000000001</v>
      </c>
      <c r="J284" s="14">
        <f>CHOOSE(CONTROL!$C$42, 12.7718, 12.7718)* CHOOSE(CONTROL!$C$21, $C$9, 100%, $E$9)</f>
        <v>12.771800000000001</v>
      </c>
      <c r="K284" s="52">
        <f>CHOOSE(CONTROL!$C$42, 12.8136, 12.8136) * CHOOSE(CONTROL!$C$21, $C$9, 100%, $E$9)</f>
        <v>12.813599999999999</v>
      </c>
      <c r="L284" s="14">
        <f>CHOOSE(CONTROL!$C$42, 13.6306, 13.6306) * CHOOSE(CONTROL!$C$21, $C$9, 100%, $E$9)</f>
        <v>13.630599999999999</v>
      </c>
      <c r="M284" s="14">
        <f>CHOOSE(CONTROL!$C$42, 12.5498, 12.5498) * CHOOSE(CONTROL!$C$21, $C$9, 100%, $E$9)</f>
        <v>12.549799999999999</v>
      </c>
      <c r="N284" s="14">
        <f>CHOOSE(CONTROL!$C$42, 12.5667, 12.5667) * CHOOSE(CONTROL!$C$21, $C$9, 100%, $E$9)</f>
        <v>12.566700000000001</v>
      </c>
      <c r="O284" s="14">
        <f>CHOOSE(CONTROL!$C$42, 12.8167, 12.8167) * CHOOSE(CONTROL!$C$21, $C$9, 100%, $E$9)</f>
        <v>12.816700000000001</v>
      </c>
      <c r="P284" s="14">
        <f>CHOOSE(CONTROL!$C$42, 12.594, 12.594) * CHOOSE(CONTROL!$C$21, $C$9, 100%, $E$9)</f>
        <v>12.593999999999999</v>
      </c>
      <c r="Q284" s="14">
        <f>CHOOSE(CONTROL!$C$42, 13.4114, 13.4114) * CHOOSE(CONTROL!$C$21, $C$9, 100%, $E$9)</f>
        <v>13.4114</v>
      </c>
      <c r="R284" s="14">
        <f>CHOOSE(CONTROL!$C$42, 14.032, 14.032) * CHOOSE(CONTROL!$C$21, $C$9, 100%, $E$9)</f>
        <v>14.032</v>
      </c>
      <c r="S284" s="14">
        <f>CHOOSE(CONTROL!$C$42, 12.247, 12.247) * CHOOSE(CONTROL!$C$21, $C$9, 100%, $E$9)</f>
        <v>12.247</v>
      </c>
      <c r="T28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84" s="56">
        <f>(1000*CHOOSE(CONTROL!$C$42, 695, 695)*CHOOSE(CONTROL!$C$42, 0.5599, 0.5599)*CHOOSE(CONTROL!$C$42, 31, 31))/1000000</f>
        <v>12.063045499999998</v>
      </c>
      <c r="V284" s="56">
        <f>(1000*CHOOSE(CONTROL!$C$42, 500, 500)*CHOOSE(CONTROL!$C$42, 0.275, 0.275)*CHOOSE(CONTROL!$C$42, 31, 31))/1000000</f>
        <v>4.2625000000000002</v>
      </c>
      <c r="W284" s="56">
        <f>(1000*CHOOSE(CONTROL!$C$42, 0.1146, 0.1146)*CHOOSE(CONTROL!$C$42, 121.5, 121.5)*CHOOSE(CONTROL!$C$42, 31, 31))/1000000</f>
        <v>0.43164089999999994</v>
      </c>
      <c r="X284" s="56">
        <f>(31*0.1790888*245000/1000000)+(31*0.2374*100000/1000000)</f>
        <v>2.0961194359999999</v>
      </c>
      <c r="Y284" s="56"/>
      <c r="Z284" s="14"/>
      <c r="AA284" s="55"/>
      <c r="AB284" s="49">
        <f>(B284*194.205+C284*267.466+D284*133.845+E284*53.484+F284*40+G284*185+H284*0+I284*100+J284*300)/(194.205+267.466+133.845+53.484+0+40+185+100+300)</f>
        <v>12.813573309654632</v>
      </c>
      <c r="AC284" s="45">
        <f>(M284*'RAP TEMPLATE-GAS AVAILABILITY'!O283+N284*'RAP TEMPLATE-GAS AVAILABILITY'!P283+O284*'RAP TEMPLATE-GAS AVAILABILITY'!Q283+P284*'RAP TEMPLATE-GAS AVAILABILITY'!R283)/('RAP TEMPLATE-GAS AVAILABILITY'!O283+'RAP TEMPLATE-GAS AVAILABILITY'!P283+'RAP TEMPLATE-GAS AVAILABILITY'!Q283+'RAP TEMPLATE-GAS AVAILABILITY'!R283)</f>
        <v>12.634935971223021</v>
      </c>
    </row>
    <row r="285" spans="1:29" ht="15.75" x14ac:dyDescent="0.25">
      <c r="A285" s="34">
        <v>49553</v>
      </c>
      <c r="B285" s="14">
        <f>CHOOSE(CONTROL!$C$42, 11.9471, 11.9471) * CHOOSE(CONTROL!$C$21, $C$9, 100%, $E$9)</f>
        <v>11.947100000000001</v>
      </c>
      <c r="C285" s="14">
        <f>CHOOSE(CONTROL!$C$42, 11.9551, 11.9551) * CHOOSE(CONTROL!$C$21, $C$9, 100%, $E$9)</f>
        <v>11.9551</v>
      </c>
      <c r="D285" s="14">
        <f>CHOOSE(CONTROL!$C$42, 12.2142, 12.2142) * CHOOSE(CONTROL!$C$21, $C$9, 100%, $E$9)</f>
        <v>12.2142</v>
      </c>
      <c r="E285" s="14">
        <f>CHOOSE(CONTROL!$C$42, 12.2457, 12.2457) * CHOOSE(CONTROL!$C$21, $C$9, 100%, $E$9)</f>
        <v>12.245699999999999</v>
      </c>
      <c r="F285" s="14">
        <f>CHOOSE(CONTROL!$C$42, 11.9696, 11.9696)*CHOOSE(CONTROL!$C$21, $C$9, 100%, $E$9)</f>
        <v>11.9696</v>
      </c>
      <c r="G285" s="14">
        <f>CHOOSE(CONTROL!$C$42, 11.9868, 11.9868)*CHOOSE(CONTROL!$C$21, $C$9, 100%, $E$9)</f>
        <v>11.986800000000001</v>
      </c>
      <c r="H285" s="14">
        <f>CHOOSE(CONTROL!$C$42, 12.2343, 12.2343) * CHOOSE(CONTROL!$C$21, $C$9, 100%, $E$9)</f>
        <v>12.234299999999999</v>
      </c>
      <c r="I285" s="14">
        <f>CHOOSE(CONTROL!$C$42, 12.0056, 12.0056)* CHOOSE(CONTROL!$C$21, $C$9, 100%, $E$9)</f>
        <v>12.005599999999999</v>
      </c>
      <c r="J285" s="14">
        <f>CHOOSE(CONTROL!$C$42, 11.9626, 11.9626)* CHOOSE(CONTROL!$C$21, $C$9, 100%, $E$9)</f>
        <v>11.9626</v>
      </c>
      <c r="K285" s="52">
        <f>CHOOSE(CONTROL!$C$42, 12.0017, 12.0017) * CHOOSE(CONTROL!$C$21, $C$9, 100%, $E$9)</f>
        <v>12.0017</v>
      </c>
      <c r="L285" s="14">
        <f>CHOOSE(CONTROL!$C$42, 12.8213, 12.8213) * CHOOSE(CONTROL!$C$21, $C$9, 100%, $E$9)</f>
        <v>12.821300000000001</v>
      </c>
      <c r="M285" s="14">
        <f>CHOOSE(CONTROL!$C$42, 11.7551, 11.7551) * CHOOSE(CONTROL!$C$21, $C$9, 100%, $E$9)</f>
        <v>11.755100000000001</v>
      </c>
      <c r="N285" s="14">
        <f>CHOOSE(CONTROL!$C$42, 11.772, 11.772) * CHOOSE(CONTROL!$C$21, $C$9, 100%, $E$9)</f>
        <v>11.772</v>
      </c>
      <c r="O285" s="14">
        <f>CHOOSE(CONTROL!$C$42, 12.0219, 12.0219) * CHOOSE(CONTROL!$C$21, $C$9, 100%, $E$9)</f>
        <v>12.0219</v>
      </c>
      <c r="P285" s="14">
        <f>CHOOSE(CONTROL!$C$42, 11.7968, 11.7968) * CHOOSE(CONTROL!$C$21, $C$9, 100%, $E$9)</f>
        <v>11.796799999999999</v>
      </c>
      <c r="Q285" s="14">
        <f>CHOOSE(CONTROL!$C$42, 12.6166, 12.6166) * CHOOSE(CONTROL!$C$21, $C$9, 100%, $E$9)</f>
        <v>12.6166</v>
      </c>
      <c r="R285" s="14">
        <f>CHOOSE(CONTROL!$C$42, 13.2352, 13.2352) * CHOOSE(CONTROL!$C$21, $C$9, 100%, $E$9)</f>
        <v>13.235200000000001</v>
      </c>
      <c r="S285" s="14">
        <f>CHOOSE(CONTROL!$C$42, 11.4693, 11.4693) * CHOOSE(CONTROL!$C$21, $C$9, 100%, $E$9)</f>
        <v>11.4693</v>
      </c>
      <c r="T28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85" s="56">
        <f>(1000*CHOOSE(CONTROL!$C$42, 695, 695)*CHOOSE(CONTROL!$C$42, 0.5599, 0.5599)*CHOOSE(CONTROL!$C$42, 30, 30))/1000000</f>
        <v>11.673914999999997</v>
      </c>
      <c r="V285" s="56">
        <f>(1000*CHOOSE(CONTROL!$C$42, 500, 500)*CHOOSE(CONTROL!$C$42, 0.275, 0.275)*CHOOSE(CONTROL!$C$42, 30, 30))/1000000</f>
        <v>4.125</v>
      </c>
      <c r="W285" s="56">
        <f>(1000*CHOOSE(CONTROL!$C$42, 0.1146, 0.1146)*CHOOSE(CONTROL!$C$42, 121.5, 121.5)*CHOOSE(CONTROL!$C$42, 30, 30))/1000000</f>
        <v>0.417717</v>
      </c>
      <c r="X285" s="56">
        <f>(30*0.1790888*245000/1000000)+(30*0.2374*100000/1000000)</f>
        <v>2.0285026799999999</v>
      </c>
      <c r="Y285" s="56"/>
      <c r="Z285" s="14"/>
      <c r="AA285" s="55"/>
      <c r="AB285" s="49">
        <f>(B285*194.205+C285*267.466+D285*133.845+E285*53.484+F285*40+G285*185+H285*0+I285*100+J285*300)/(194.205+267.466+133.845+53.484+0+40+185+100+300)</f>
        <v>12.004089442621664</v>
      </c>
      <c r="AC285" s="45">
        <f>(M285*'RAP TEMPLATE-GAS AVAILABILITY'!O284+N285*'RAP TEMPLATE-GAS AVAILABILITY'!P284+O285*'RAP TEMPLATE-GAS AVAILABILITY'!Q284+P285*'RAP TEMPLATE-GAS AVAILABILITY'!R284)/('RAP TEMPLATE-GAS AVAILABILITY'!O284+'RAP TEMPLATE-GAS AVAILABILITY'!P284+'RAP TEMPLATE-GAS AVAILABILITY'!Q284+'RAP TEMPLATE-GAS AVAILABILITY'!R284)</f>
        <v>11.839848201438851</v>
      </c>
    </row>
    <row r="286" spans="1:29" ht="15.75" x14ac:dyDescent="0.25">
      <c r="A286" s="34">
        <v>49583</v>
      </c>
      <c r="B286" s="14">
        <f>CHOOSE(CONTROL!$C$42, 11.703, 11.703) * CHOOSE(CONTROL!$C$21, $C$9, 100%, $E$9)</f>
        <v>11.702999999999999</v>
      </c>
      <c r="C286" s="14">
        <f>CHOOSE(CONTROL!$C$42, 11.7083, 11.7083) * CHOOSE(CONTROL!$C$21, $C$9, 100%, $E$9)</f>
        <v>11.708299999999999</v>
      </c>
      <c r="D286" s="14">
        <f>CHOOSE(CONTROL!$C$42, 11.9724, 11.9724) * CHOOSE(CONTROL!$C$21, $C$9, 100%, $E$9)</f>
        <v>11.9724</v>
      </c>
      <c r="E286" s="14">
        <f>CHOOSE(CONTROL!$C$42, 12.0015, 12.0015) * CHOOSE(CONTROL!$C$21, $C$9, 100%, $E$9)</f>
        <v>12.0015</v>
      </c>
      <c r="F286" s="14">
        <f>CHOOSE(CONTROL!$C$42, 11.7276, 11.7276)*CHOOSE(CONTROL!$C$21, $C$9, 100%, $E$9)</f>
        <v>11.727600000000001</v>
      </c>
      <c r="G286" s="14">
        <f>CHOOSE(CONTROL!$C$42, 11.7447, 11.7447)*CHOOSE(CONTROL!$C$21, $C$9, 100%, $E$9)</f>
        <v>11.7447</v>
      </c>
      <c r="H286" s="14">
        <f>CHOOSE(CONTROL!$C$42, 11.992, 11.992) * CHOOSE(CONTROL!$C$21, $C$9, 100%, $E$9)</f>
        <v>11.992000000000001</v>
      </c>
      <c r="I286" s="14">
        <f>CHOOSE(CONTROL!$C$42, 11.7625, 11.7625)* CHOOSE(CONTROL!$C$21, $C$9, 100%, $E$9)</f>
        <v>11.762499999999999</v>
      </c>
      <c r="J286" s="14">
        <f>CHOOSE(CONTROL!$C$42, 11.7206, 11.7206)* CHOOSE(CONTROL!$C$21, $C$9, 100%, $E$9)</f>
        <v>11.720599999999999</v>
      </c>
      <c r="K286" s="52">
        <f>CHOOSE(CONTROL!$C$42, 11.7586, 11.7586) * CHOOSE(CONTROL!$C$21, $C$9, 100%, $E$9)</f>
        <v>11.758599999999999</v>
      </c>
      <c r="L286" s="14">
        <f>CHOOSE(CONTROL!$C$42, 12.579, 12.579) * CHOOSE(CONTROL!$C$21, $C$9, 100%, $E$9)</f>
        <v>12.579000000000001</v>
      </c>
      <c r="M286" s="14">
        <f>CHOOSE(CONTROL!$C$42, 11.5175, 11.5175) * CHOOSE(CONTROL!$C$21, $C$9, 100%, $E$9)</f>
        <v>11.5175</v>
      </c>
      <c r="N286" s="14">
        <f>CHOOSE(CONTROL!$C$42, 11.5343, 11.5343) * CHOOSE(CONTROL!$C$21, $C$9, 100%, $E$9)</f>
        <v>11.5343</v>
      </c>
      <c r="O286" s="14">
        <f>CHOOSE(CONTROL!$C$42, 11.784, 11.784) * CHOOSE(CONTROL!$C$21, $C$9, 100%, $E$9)</f>
        <v>11.784000000000001</v>
      </c>
      <c r="P286" s="14">
        <f>CHOOSE(CONTROL!$C$42, 11.558, 11.558) * CHOOSE(CONTROL!$C$21, $C$9, 100%, $E$9)</f>
        <v>11.558</v>
      </c>
      <c r="Q286" s="14">
        <f>CHOOSE(CONTROL!$C$42, 12.3787, 12.3787) * CHOOSE(CONTROL!$C$21, $C$9, 100%, $E$9)</f>
        <v>12.3787</v>
      </c>
      <c r="R286" s="14">
        <f>CHOOSE(CONTROL!$C$42, 12.9966, 12.9966) * CHOOSE(CONTROL!$C$21, $C$9, 100%, $E$9)</f>
        <v>12.996600000000001</v>
      </c>
      <c r="S286" s="14">
        <f>CHOOSE(CONTROL!$C$42, 11.2365, 11.2365) * CHOOSE(CONTROL!$C$21, $C$9, 100%, $E$9)</f>
        <v>11.236499999999999</v>
      </c>
      <c r="T28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86" s="56">
        <f>(1000*CHOOSE(CONTROL!$C$42, 695, 695)*CHOOSE(CONTROL!$C$42, 0.5599, 0.5599)*CHOOSE(CONTROL!$C$42, 31, 31))/1000000</f>
        <v>12.063045499999998</v>
      </c>
      <c r="V286" s="56">
        <f>(1000*CHOOSE(CONTROL!$C$42, 500, 500)*CHOOSE(CONTROL!$C$42, 0.275, 0.275)*CHOOSE(CONTROL!$C$42, 31, 31))/1000000</f>
        <v>4.2625000000000002</v>
      </c>
      <c r="W286" s="56">
        <f>(1000*CHOOSE(CONTROL!$C$42, 0.1146, 0.1146)*CHOOSE(CONTROL!$C$42, 121.5, 121.5)*CHOOSE(CONTROL!$C$42, 31, 31))/1000000</f>
        <v>0.43164089999999994</v>
      </c>
      <c r="X286" s="56">
        <f>(31*0.1790888*245000/1000000)+(31*0.2374*100000/1000000)</f>
        <v>2.0961194359999999</v>
      </c>
      <c r="Y286" s="56"/>
      <c r="Z286" s="14"/>
      <c r="AA286" s="55"/>
      <c r="AB286" s="49">
        <f>(B286*131.881+C286*277.167+D286*79.08+E286*125.872+F286*40+G286*185+H286*0+I286*100+J286*300)/(131.881+277.167+79.08+125.872+0+40+185+100+300)</f>
        <v>11.767789692574656</v>
      </c>
      <c r="AC286" s="45">
        <f>(M286*'RAP TEMPLATE-GAS AVAILABILITY'!O285+N286*'RAP TEMPLATE-GAS AVAILABILITY'!P285+O286*'RAP TEMPLATE-GAS AVAILABILITY'!Q285+P286*'RAP TEMPLATE-GAS AVAILABILITY'!R285)/('RAP TEMPLATE-GAS AVAILABILITY'!O285+'RAP TEMPLATE-GAS AVAILABILITY'!P285+'RAP TEMPLATE-GAS AVAILABILITY'!Q285+'RAP TEMPLATE-GAS AVAILABILITY'!R285)</f>
        <v>11.601968345323742</v>
      </c>
    </row>
    <row r="287" spans="1:29" ht="15.75" x14ac:dyDescent="0.25">
      <c r="A287" s="34">
        <v>49614</v>
      </c>
      <c r="B287" s="14">
        <f>CHOOSE(CONTROL!$C$42, 12.0106, 12.0106) * CHOOSE(CONTROL!$C$21, $C$9, 100%, $E$9)</f>
        <v>12.0106</v>
      </c>
      <c r="C287" s="14">
        <f>CHOOSE(CONTROL!$C$42, 12.0157, 12.0157) * CHOOSE(CONTROL!$C$21, $C$9, 100%, $E$9)</f>
        <v>12.015700000000001</v>
      </c>
      <c r="D287" s="14">
        <f>CHOOSE(CONTROL!$C$42, 12.0988, 12.0988) * CHOOSE(CONTROL!$C$21, $C$9, 100%, $E$9)</f>
        <v>12.098800000000001</v>
      </c>
      <c r="E287" s="14">
        <f>CHOOSE(CONTROL!$C$42, 12.1329, 12.1329) * CHOOSE(CONTROL!$C$21, $C$9, 100%, $E$9)</f>
        <v>12.132899999999999</v>
      </c>
      <c r="F287" s="14">
        <f>CHOOSE(CONTROL!$C$42, 12.0382, 12.0382)*CHOOSE(CONTROL!$C$21, $C$9, 100%, $E$9)</f>
        <v>12.0382</v>
      </c>
      <c r="G287" s="14">
        <f>CHOOSE(CONTROL!$C$42, 12.0556, 12.0556)*CHOOSE(CONTROL!$C$21, $C$9, 100%, $E$9)</f>
        <v>12.0556</v>
      </c>
      <c r="H287" s="14">
        <f>CHOOSE(CONTROL!$C$42, 12.1221, 12.1221) * CHOOSE(CONTROL!$C$21, $C$9, 100%, $E$9)</f>
        <v>12.1221</v>
      </c>
      <c r="I287" s="14">
        <f>CHOOSE(CONTROL!$C$42, 12.0679, 12.0679)* CHOOSE(CONTROL!$C$21, $C$9, 100%, $E$9)</f>
        <v>12.0679</v>
      </c>
      <c r="J287" s="14">
        <f>CHOOSE(CONTROL!$C$42, 12.0312, 12.0312)* CHOOSE(CONTROL!$C$21, $C$9, 100%, $E$9)</f>
        <v>12.0312</v>
      </c>
      <c r="K287" s="52">
        <f>CHOOSE(CONTROL!$C$42, 12.064, 12.064) * CHOOSE(CONTROL!$C$21, $C$9, 100%, $E$9)</f>
        <v>12.064</v>
      </c>
      <c r="L287" s="14">
        <f>CHOOSE(CONTROL!$C$42, 12.7091, 12.7091) * CHOOSE(CONTROL!$C$21, $C$9, 100%, $E$9)</f>
        <v>12.709099999999999</v>
      </c>
      <c r="M287" s="14">
        <f>CHOOSE(CONTROL!$C$42, 11.8225, 11.8225) * CHOOSE(CONTROL!$C$21, $C$9, 100%, $E$9)</f>
        <v>11.8225</v>
      </c>
      <c r="N287" s="14">
        <f>CHOOSE(CONTROL!$C$42, 11.8396, 11.8396) * CHOOSE(CONTROL!$C$21, $C$9, 100%, $E$9)</f>
        <v>11.839600000000001</v>
      </c>
      <c r="O287" s="14">
        <f>CHOOSE(CONTROL!$C$42, 11.9117, 11.9117) * CHOOSE(CONTROL!$C$21, $C$9, 100%, $E$9)</f>
        <v>11.9117</v>
      </c>
      <c r="P287" s="14">
        <f>CHOOSE(CONTROL!$C$42, 11.8579, 11.8579) * CHOOSE(CONTROL!$C$21, $C$9, 100%, $E$9)</f>
        <v>11.857900000000001</v>
      </c>
      <c r="Q287" s="14">
        <f>CHOOSE(CONTROL!$C$42, 12.5064, 12.5064) * CHOOSE(CONTROL!$C$21, $C$9, 100%, $E$9)</f>
        <v>12.506399999999999</v>
      </c>
      <c r="R287" s="14">
        <f>CHOOSE(CONTROL!$C$42, 13.1247, 13.1247) * CHOOSE(CONTROL!$C$21, $C$9, 100%, $E$9)</f>
        <v>13.124700000000001</v>
      </c>
      <c r="S287" s="14">
        <f>CHOOSE(CONTROL!$C$42, 11.5325, 11.5325) * CHOOSE(CONTROL!$C$21, $C$9, 100%, $E$9)</f>
        <v>11.532500000000001</v>
      </c>
      <c r="T28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87" s="56">
        <f>(1000*CHOOSE(CONTROL!$C$42, 695, 695)*CHOOSE(CONTROL!$C$42, 0.5599, 0.5599)*CHOOSE(CONTROL!$C$42, 30, 30))/1000000</f>
        <v>11.673914999999997</v>
      </c>
      <c r="V287" s="56">
        <f>(1000*CHOOSE(CONTROL!$C$42, 500, 500)*CHOOSE(CONTROL!$C$42, 0.275, 0.275)*CHOOSE(CONTROL!$C$42, 30, 30))/1000000</f>
        <v>4.125</v>
      </c>
      <c r="W287" s="56">
        <f>(1000*CHOOSE(CONTROL!$C$42, 0.1146, 0.1146)*CHOOSE(CONTROL!$C$42, 121.5, 121.5)*CHOOSE(CONTROL!$C$42, 30, 30))/1000000</f>
        <v>0.417717</v>
      </c>
      <c r="X287" s="56">
        <f>(30*0.1790888*100000/1000000)+(30*0.2374*100000/1000000)</f>
        <v>1.2494664</v>
      </c>
      <c r="Y287" s="56"/>
      <c r="Z287" s="14"/>
      <c r="AA287" s="55"/>
      <c r="AB287" s="49">
        <f>(B287*122.58+C287*297.941+D287*89.177+E287*40.302+F287*40+G287*160+H287*0+I287*100+J287*300)/(122.58+297.941+89.177+40.302+0+40+160+100+300)</f>
        <v>12.040624213130435</v>
      </c>
      <c r="AC287" s="45">
        <f>(M287*'RAP TEMPLATE-GAS AVAILABILITY'!O286+N287*'RAP TEMPLATE-GAS AVAILABILITY'!P286+O287*'RAP TEMPLATE-GAS AVAILABILITY'!Q286+P287*'RAP TEMPLATE-GAS AVAILABILITY'!R286)/('RAP TEMPLATE-GAS AVAILABILITY'!O286+'RAP TEMPLATE-GAS AVAILABILITY'!P286+'RAP TEMPLATE-GAS AVAILABILITY'!Q286+'RAP TEMPLATE-GAS AVAILABILITY'!R286)</f>
        <v>11.869006474820145</v>
      </c>
    </row>
    <row r="288" spans="1:29" ht="15.75" x14ac:dyDescent="0.25">
      <c r="A288" s="34">
        <v>49644</v>
      </c>
      <c r="B288" s="14">
        <f>CHOOSE(CONTROL!$C$42, 12.8288, 12.8288) * CHOOSE(CONTROL!$C$21, $C$9, 100%, $E$9)</f>
        <v>12.828799999999999</v>
      </c>
      <c r="C288" s="14">
        <f>CHOOSE(CONTROL!$C$42, 12.8339, 12.8339) * CHOOSE(CONTROL!$C$21, $C$9, 100%, $E$9)</f>
        <v>12.8339</v>
      </c>
      <c r="D288" s="14">
        <f>CHOOSE(CONTROL!$C$42, 12.917, 12.917) * CHOOSE(CONTROL!$C$21, $C$9, 100%, $E$9)</f>
        <v>12.917</v>
      </c>
      <c r="E288" s="14">
        <f>CHOOSE(CONTROL!$C$42, 12.9511, 12.9511) * CHOOSE(CONTROL!$C$21, $C$9, 100%, $E$9)</f>
        <v>12.9511</v>
      </c>
      <c r="F288" s="14">
        <f>CHOOSE(CONTROL!$C$42, 12.8589, 12.8589)*CHOOSE(CONTROL!$C$21, $C$9, 100%, $E$9)</f>
        <v>12.8589</v>
      </c>
      <c r="G288" s="14">
        <f>CHOOSE(CONTROL!$C$42, 12.8769, 12.8769)*CHOOSE(CONTROL!$C$21, $C$9, 100%, $E$9)</f>
        <v>12.876899999999999</v>
      </c>
      <c r="H288" s="14">
        <f>CHOOSE(CONTROL!$C$42, 12.9403, 12.9403) * CHOOSE(CONTROL!$C$21, $C$9, 100%, $E$9)</f>
        <v>12.940300000000001</v>
      </c>
      <c r="I288" s="14">
        <f>CHOOSE(CONTROL!$C$42, 12.8887, 12.8887)* CHOOSE(CONTROL!$C$21, $C$9, 100%, $E$9)</f>
        <v>12.8887</v>
      </c>
      <c r="J288" s="14">
        <f>CHOOSE(CONTROL!$C$42, 12.8519, 12.8519)* CHOOSE(CONTROL!$C$21, $C$9, 100%, $E$9)</f>
        <v>12.851900000000001</v>
      </c>
      <c r="K288" s="52">
        <f>CHOOSE(CONTROL!$C$42, 12.8848, 12.8848) * CHOOSE(CONTROL!$C$21, $C$9, 100%, $E$9)</f>
        <v>12.8848</v>
      </c>
      <c r="L288" s="14">
        <f>CHOOSE(CONTROL!$C$42, 13.5273, 13.5273) * CHOOSE(CONTROL!$C$21, $C$9, 100%, $E$9)</f>
        <v>13.5273</v>
      </c>
      <c r="M288" s="14">
        <f>CHOOSE(CONTROL!$C$42, 12.6284, 12.6284) * CHOOSE(CONTROL!$C$21, $C$9, 100%, $E$9)</f>
        <v>12.628399999999999</v>
      </c>
      <c r="N288" s="14">
        <f>CHOOSE(CONTROL!$C$42, 12.6461, 12.6461) * CHOOSE(CONTROL!$C$21, $C$9, 100%, $E$9)</f>
        <v>12.646100000000001</v>
      </c>
      <c r="O288" s="14">
        <f>CHOOSE(CONTROL!$C$42, 12.7152, 12.7152) * CHOOSE(CONTROL!$C$21, $C$9, 100%, $E$9)</f>
        <v>12.715199999999999</v>
      </c>
      <c r="P288" s="14">
        <f>CHOOSE(CONTROL!$C$42, 12.6639, 12.6639) * CHOOSE(CONTROL!$C$21, $C$9, 100%, $E$9)</f>
        <v>12.6639</v>
      </c>
      <c r="Q288" s="14">
        <f>CHOOSE(CONTROL!$C$42, 13.3099, 13.3099) * CHOOSE(CONTROL!$C$21, $C$9, 100%, $E$9)</f>
        <v>13.309900000000001</v>
      </c>
      <c r="R288" s="14">
        <f>CHOOSE(CONTROL!$C$42, 13.9302, 13.9302) * CHOOSE(CONTROL!$C$21, $C$9, 100%, $E$9)</f>
        <v>13.930199999999999</v>
      </c>
      <c r="S288" s="14">
        <f>CHOOSE(CONTROL!$C$42, 12.3187, 12.3187) * CHOOSE(CONTROL!$C$21, $C$9, 100%, $E$9)</f>
        <v>12.3187</v>
      </c>
      <c r="T28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88" s="56">
        <f>(1000*CHOOSE(CONTROL!$C$42, 695, 695)*CHOOSE(CONTROL!$C$42, 0.5599, 0.5599)*CHOOSE(CONTROL!$C$42, 31, 31))/1000000</f>
        <v>12.063045499999998</v>
      </c>
      <c r="V288" s="56">
        <f>(1000*CHOOSE(CONTROL!$C$42, 500, 500)*CHOOSE(CONTROL!$C$42, 0.275, 0.275)*CHOOSE(CONTROL!$C$42, 31, 31))/1000000</f>
        <v>4.2625000000000002</v>
      </c>
      <c r="W288" s="56">
        <f>(1000*CHOOSE(CONTROL!$C$42, 0.1146, 0.1146)*CHOOSE(CONTROL!$C$42, 121.5, 121.5)*CHOOSE(CONTROL!$C$42, 31, 31))/1000000</f>
        <v>0.43164089999999994</v>
      </c>
      <c r="X288" s="56">
        <f>(31*0.1790888*100000/1000000)+(31*0.2374*100000/1000000)</f>
        <v>1.2911152800000001</v>
      </c>
      <c r="Y288" s="56"/>
      <c r="Z288" s="14"/>
      <c r="AA288" s="55"/>
      <c r="AB288" s="49">
        <f>(B288*122.58+C288*297.941+D288*89.177+E288*40.302+F288*40+G288*160+H288*0+I288*100+J288*300)/(122.58+297.941+89.177+40.302+0+40+160+100+300)</f>
        <v>12.860220734869566</v>
      </c>
      <c r="AC288" s="45">
        <f>(M288*'RAP TEMPLATE-GAS AVAILABILITY'!O287+N288*'RAP TEMPLATE-GAS AVAILABILITY'!P287+O288*'RAP TEMPLATE-GAS AVAILABILITY'!Q287+P288*'RAP TEMPLATE-GAS AVAILABILITY'!R287)/('RAP TEMPLATE-GAS AVAILABILITY'!O287+'RAP TEMPLATE-GAS AVAILABILITY'!P287+'RAP TEMPLATE-GAS AVAILABILITY'!Q287+'RAP TEMPLATE-GAS AVAILABILITY'!R287)</f>
        <v>12.67386762589928</v>
      </c>
    </row>
    <row r="289" spans="1:29" ht="15.75" x14ac:dyDescent="0.25">
      <c r="A289" s="34">
        <v>49675</v>
      </c>
      <c r="B289" s="14">
        <f>CHOOSE(CONTROL!$C$42, 13.8916, 13.8916) * CHOOSE(CONTROL!$C$21, $C$9, 100%, $E$9)</f>
        <v>13.8916</v>
      </c>
      <c r="C289" s="14">
        <f>CHOOSE(CONTROL!$C$42, 13.8966, 13.8966) * CHOOSE(CONTROL!$C$21, $C$9, 100%, $E$9)</f>
        <v>13.896599999999999</v>
      </c>
      <c r="D289" s="14">
        <f>CHOOSE(CONTROL!$C$42, 13.9901, 13.9901) * CHOOSE(CONTROL!$C$21, $C$9, 100%, $E$9)</f>
        <v>13.9901</v>
      </c>
      <c r="E289" s="14">
        <f>CHOOSE(CONTROL!$C$42, 14.0242, 14.0242) * CHOOSE(CONTROL!$C$21, $C$9, 100%, $E$9)</f>
        <v>14.0242</v>
      </c>
      <c r="F289" s="14">
        <f>CHOOSE(CONTROL!$C$42, 13.9189, 13.9189)*CHOOSE(CONTROL!$C$21, $C$9, 100%, $E$9)</f>
        <v>13.918900000000001</v>
      </c>
      <c r="G289" s="14">
        <f>CHOOSE(CONTROL!$C$42, 13.9368, 13.9368)*CHOOSE(CONTROL!$C$21, $C$9, 100%, $E$9)</f>
        <v>13.9368</v>
      </c>
      <c r="H289" s="14">
        <f>CHOOSE(CONTROL!$C$42, 14.0134, 14.0134) * CHOOSE(CONTROL!$C$21, $C$9, 100%, $E$9)</f>
        <v>14.013400000000001</v>
      </c>
      <c r="I289" s="14">
        <f>CHOOSE(CONTROL!$C$42, 13.961, 13.961)* CHOOSE(CONTROL!$C$21, $C$9, 100%, $E$9)</f>
        <v>13.961</v>
      </c>
      <c r="J289" s="14">
        <f>CHOOSE(CONTROL!$C$42, 13.9119, 13.9119)* CHOOSE(CONTROL!$C$21, $C$9, 100%, $E$9)</f>
        <v>13.911899999999999</v>
      </c>
      <c r="K289" s="52">
        <f>CHOOSE(CONTROL!$C$42, 13.9571, 13.9571) * CHOOSE(CONTROL!$C$21, $C$9, 100%, $E$9)</f>
        <v>13.957100000000001</v>
      </c>
      <c r="L289" s="14">
        <f>CHOOSE(CONTROL!$C$42, 14.6004, 14.6004) * CHOOSE(CONTROL!$C$21, $C$9, 100%, $E$9)</f>
        <v>14.6004</v>
      </c>
      <c r="M289" s="14">
        <f>CHOOSE(CONTROL!$C$42, 13.6693, 13.6693) * CHOOSE(CONTROL!$C$21, $C$9, 100%, $E$9)</f>
        <v>13.6693</v>
      </c>
      <c r="N289" s="14">
        <f>CHOOSE(CONTROL!$C$42, 13.687, 13.687) * CHOOSE(CONTROL!$C$21, $C$9, 100%, $E$9)</f>
        <v>13.686999999999999</v>
      </c>
      <c r="O289" s="14">
        <f>CHOOSE(CONTROL!$C$42, 13.769, 13.769) * CHOOSE(CONTROL!$C$21, $C$9, 100%, $E$9)</f>
        <v>13.769</v>
      </c>
      <c r="P289" s="14">
        <f>CHOOSE(CONTROL!$C$42, 13.7168, 13.7168) * CHOOSE(CONTROL!$C$21, $C$9, 100%, $E$9)</f>
        <v>13.716799999999999</v>
      </c>
      <c r="Q289" s="14">
        <f>CHOOSE(CONTROL!$C$42, 14.3637, 14.3637) * CHOOSE(CONTROL!$C$21, $C$9, 100%, $E$9)</f>
        <v>14.3637</v>
      </c>
      <c r="R289" s="14">
        <f>CHOOSE(CONTROL!$C$42, 14.9867, 14.9867) * CHOOSE(CONTROL!$C$21, $C$9, 100%, $E$9)</f>
        <v>14.986700000000001</v>
      </c>
      <c r="S289" s="14">
        <f>CHOOSE(CONTROL!$C$42, 13.3399, 13.3399) * CHOOSE(CONTROL!$C$21, $C$9, 100%, $E$9)</f>
        <v>13.3399</v>
      </c>
      <c r="T28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89" s="56">
        <f>(1000*CHOOSE(CONTROL!$C$42, 695, 695)*CHOOSE(CONTROL!$C$42, 0.5599, 0.5599)*CHOOSE(CONTROL!$C$42, 31, 31))/1000000</f>
        <v>12.063045499999998</v>
      </c>
      <c r="V289" s="56">
        <f>(1000*CHOOSE(CONTROL!$C$42, 500, 500)*CHOOSE(CONTROL!$C$42, 0.275, 0.275)*CHOOSE(CONTROL!$C$42, 31, 31))/1000000</f>
        <v>4.2625000000000002</v>
      </c>
      <c r="W289" s="56">
        <f>(1000*CHOOSE(CONTROL!$C$42, 0.1146, 0.1146)*CHOOSE(CONTROL!$C$42, 121.5, 121.5)*CHOOSE(CONTROL!$C$42, 31, 31))/1000000</f>
        <v>0.43164089999999994</v>
      </c>
      <c r="X289" s="56">
        <f>(31*0.1790888*100000/1000000)+(31*0.2374*100000/1000000)</f>
        <v>1.2911152800000001</v>
      </c>
      <c r="Y289" s="56"/>
      <c r="Z289" s="14"/>
      <c r="AA289" s="55"/>
      <c r="AB289" s="49">
        <f>(B289*122.58+C289*297.941+D289*89.177+E289*40.302+F289*40+G289*160+H289*0+I289*100+J289*300)/(122.58+297.941+89.177+40.302+0+40+160+100+300)</f>
        <v>13.923749291043475</v>
      </c>
      <c r="AC289" s="45">
        <f>(M289*'RAP TEMPLATE-GAS AVAILABILITY'!O288+N289*'RAP TEMPLATE-GAS AVAILABILITY'!P288+O289*'RAP TEMPLATE-GAS AVAILABILITY'!Q288+P289*'RAP TEMPLATE-GAS AVAILABILITY'!R288)/('RAP TEMPLATE-GAS AVAILABILITY'!O288+'RAP TEMPLATE-GAS AVAILABILITY'!P288+'RAP TEMPLATE-GAS AVAILABILITY'!Q288+'RAP TEMPLATE-GAS AVAILABILITY'!R288)</f>
        <v>13.722341007194245</v>
      </c>
    </row>
    <row r="290" spans="1:29" ht="15.75" x14ac:dyDescent="0.25">
      <c r="A290" s="34">
        <v>49706</v>
      </c>
      <c r="B290" s="14">
        <f>CHOOSE(CONTROL!$C$42, 14.1387, 14.1387) * CHOOSE(CONTROL!$C$21, $C$9, 100%, $E$9)</f>
        <v>14.1387</v>
      </c>
      <c r="C290" s="14">
        <f>CHOOSE(CONTROL!$C$42, 14.1438, 14.1438) * CHOOSE(CONTROL!$C$21, $C$9, 100%, $E$9)</f>
        <v>14.143800000000001</v>
      </c>
      <c r="D290" s="14">
        <f>CHOOSE(CONTROL!$C$42, 14.2372, 14.2372) * CHOOSE(CONTROL!$C$21, $C$9, 100%, $E$9)</f>
        <v>14.2372</v>
      </c>
      <c r="E290" s="14">
        <f>CHOOSE(CONTROL!$C$42, 14.2713, 14.2713) * CHOOSE(CONTROL!$C$21, $C$9, 100%, $E$9)</f>
        <v>14.2713</v>
      </c>
      <c r="F290" s="14">
        <f>CHOOSE(CONTROL!$C$42, 14.1656, 14.1656)*CHOOSE(CONTROL!$C$21, $C$9, 100%, $E$9)</f>
        <v>14.1656</v>
      </c>
      <c r="G290" s="14">
        <f>CHOOSE(CONTROL!$C$42, 14.1835, 14.1835)*CHOOSE(CONTROL!$C$21, $C$9, 100%, $E$9)</f>
        <v>14.1835</v>
      </c>
      <c r="H290" s="14">
        <f>CHOOSE(CONTROL!$C$42, 14.2605, 14.2605) * CHOOSE(CONTROL!$C$21, $C$9, 100%, $E$9)</f>
        <v>14.2605</v>
      </c>
      <c r="I290" s="14">
        <f>CHOOSE(CONTROL!$C$42, 14.2089, 14.2089)* CHOOSE(CONTROL!$C$21, $C$9, 100%, $E$9)</f>
        <v>14.2089</v>
      </c>
      <c r="J290" s="14">
        <f>CHOOSE(CONTROL!$C$42, 14.1586, 14.1586)* CHOOSE(CONTROL!$C$21, $C$9, 100%, $E$9)</f>
        <v>14.1586</v>
      </c>
      <c r="K290" s="52">
        <f>CHOOSE(CONTROL!$C$42, 14.205, 14.205) * CHOOSE(CONTROL!$C$21, $C$9, 100%, $E$9)</f>
        <v>14.205</v>
      </c>
      <c r="L290" s="14">
        <f>CHOOSE(CONTROL!$C$42, 14.8475, 14.8475) * CHOOSE(CONTROL!$C$21, $C$9, 100%, $E$9)</f>
        <v>14.8475</v>
      </c>
      <c r="M290" s="14">
        <f>CHOOSE(CONTROL!$C$42, 13.9117, 13.9117) * CHOOSE(CONTROL!$C$21, $C$9, 100%, $E$9)</f>
        <v>13.9117</v>
      </c>
      <c r="N290" s="14">
        <f>CHOOSE(CONTROL!$C$42, 13.9292, 13.9292) * CHOOSE(CONTROL!$C$21, $C$9, 100%, $E$9)</f>
        <v>13.9292</v>
      </c>
      <c r="O290" s="14">
        <f>CHOOSE(CONTROL!$C$42, 14.0117, 14.0117) * CHOOSE(CONTROL!$C$21, $C$9, 100%, $E$9)</f>
        <v>14.011699999999999</v>
      </c>
      <c r="P290" s="14">
        <f>CHOOSE(CONTROL!$C$42, 13.9603, 13.9603) * CHOOSE(CONTROL!$C$21, $C$9, 100%, $E$9)</f>
        <v>13.9603</v>
      </c>
      <c r="Q290" s="14">
        <f>CHOOSE(CONTROL!$C$42, 14.6064, 14.6064) * CHOOSE(CONTROL!$C$21, $C$9, 100%, $E$9)</f>
        <v>14.606400000000001</v>
      </c>
      <c r="R290" s="14">
        <f>CHOOSE(CONTROL!$C$42, 15.2299, 15.2299) * CHOOSE(CONTROL!$C$21, $C$9, 100%, $E$9)</f>
        <v>15.229900000000001</v>
      </c>
      <c r="S290" s="14">
        <f>CHOOSE(CONTROL!$C$42, 13.5773, 13.5773) * CHOOSE(CONTROL!$C$21, $C$9, 100%, $E$9)</f>
        <v>13.577299999999999</v>
      </c>
      <c r="T29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90" s="56">
        <f>(1000*CHOOSE(CONTROL!$C$42, 695, 695)*CHOOSE(CONTROL!$C$42, 0.5599, 0.5599)*CHOOSE(CONTROL!$C$42, 29, 29))/1000000</f>
        <v>11.284784499999999</v>
      </c>
      <c r="V290" s="56">
        <f>(1000*CHOOSE(CONTROL!$C$42, 500, 500)*CHOOSE(CONTROL!$C$42, 0.275, 0.275)*CHOOSE(CONTROL!$C$42, 29, 29))/1000000</f>
        <v>3.9874999999999998</v>
      </c>
      <c r="W290" s="56">
        <f>(1000*CHOOSE(CONTROL!$C$42, 0.1146, 0.1146)*CHOOSE(CONTROL!$C$42, 121.5, 121.5)*CHOOSE(CONTROL!$C$42, 29, 29))/1000000</f>
        <v>0.40379309999999996</v>
      </c>
      <c r="X290" s="56">
        <f>(29*0.1790888*100000/1000000)+(29*0.2374*100000/1000000)</f>
        <v>1.2078175199999999</v>
      </c>
      <c r="Y290" s="56"/>
      <c r="Z290" s="14"/>
      <c r="AA290" s="55"/>
      <c r="AB290" s="49">
        <f>(B290*122.58+C290*297.941+D290*89.177+E290*40.302+F290*40+G290*160+H290*0+I290*100+J290*300)/(122.58+297.941+89.177+40.302+0+40+160+100+300)</f>
        <v>14.170770851130436</v>
      </c>
      <c r="AC290" s="45">
        <f>(M290*'RAP TEMPLATE-GAS AVAILABILITY'!O289+N290*'RAP TEMPLATE-GAS AVAILABILITY'!P289+O290*'RAP TEMPLATE-GAS AVAILABILITY'!Q289+P290*'RAP TEMPLATE-GAS AVAILABILITY'!R289)/('RAP TEMPLATE-GAS AVAILABILITY'!O289+'RAP TEMPLATE-GAS AVAILABILITY'!P289+'RAP TEMPLATE-GAS AVAILABILITY'!Q289+'RAP TEMPLATE-GAS AVAILABILITY'!R289)</f>
        <v>13.965023741007196</v>
      </c>
    </row>
    <row r="291" spans="1:29" ht="15.75" x14ac:dyDescent="0.25">
      <c r="A291" s="34">
        <v>49735</v>
      </c>
      <c r="B291" s="14">
        <f>CHOOSE(CONTROL!$C$42, 13.7376, 13.7376) * CHOOSE(CONTROL!$C$21, $C$9, 100%, $E$9)</f>
        <v>13.7376</v>
      </c>
      <c r="C291" s="14">
        <f>CHOOSE(CONTROL!$C$42, 13.7426, 13.7426) * CHOOSE(CONTROL!$C$21, $C$9, 100%, $E$9)</f>
        <v>13.742599999999999</v>
      </c>
      <c r="D291" s="14">
        <f>CHOOSE(CONTROL!$C$42, 13.8361, 13.8361) * CHOOSE(CONTROL!$C$21, $C$9, 100%, $E$9)</f>
        <v>13.8361</v>
      </c>
      <c r="E291" s="14">
        <f>CHOOSE(CONTROL!$C$42, 13.8702, 13.8702) * CHOOSE(CONTROL!$C$21, $C$9, 100%, $E$9)</f>
        <v>13.870200000000001</v>
      </c>
      <c r="F291" s="14">
        <f>CHOOSE(CONTROL!$C$42, 13.7636, 13.7636)*CHOOSE(CONTROL!$C$21, $C$9, 100%, $E$9)</f>
        <v>13.7636</v>
      </c>
      <c r="G291" s="14">
        <f>CHOOSE(CONTROL!$C$42, 13.7813, 13.7813)*CHOOSE(CONTROL!$C$21, $C$9, 100%, $E$9)</f>
        <v>13.7813</v>
      </c>
      <c r="H291" s="14">
        <f>CHOOSE(CONTROL!$C$42, 13.8594, 13.8594) * CHOOSE(CONTROL!$C$21, $C$9, 100%, $E$9)</f>
        <v>13.859400000000001</v>
      </c>
      <c r="I291" s="14">
        <f>CHOOSE(CONTROL!$C$42, 13.8065, 13.8065)* CHOOSE(CONTROL!$C$21, $C$9, 100%, $E$9)</f>
        <v>13.8065</v>
      </c>
      <c r="J291" s="14">
        <f>CHOOSE(CONTROL!$C$42, 13.7566, 13.7566)* CHOOSE(CONTROL!$C$21, $C$9, 100%, $E$9)</f>
        <v>13.756600000000001</v>
      </c>
      <c r="K291" s="52">
        <f>CHOOSE(CONTROL!$C$42, 13.8026, 13.8026) * CHOOSE(CONTROL!$C$21, $C$9, 100%, $E$9)</f>
        <v>13.8026</v>
      </c>
      <c r="L291" s="14">
        <f>CHOOSE(CONTROL!$C$42, 14.4464, 14.4464) * CHOOSE(CONTROL!$C$21, $C$9, 100%, $E$9)</f>
        <v>14.446400000000001</v>
      </c>
      <c r="M291" s="14">
        <f>CHOOSE(CONTROL!$C$42, 13.5169, 13.5169) * CHOOSE(CONTROL!$C$21, $C$9, 100%, $E$9)</f>
        <v>13.5169</v>
      </c>
      <c r="N291" s="14">
        <f>CHOOSE(CONTROL!$C$42, 13.5342, 13.5342) * CHOOSE(CONTROL!$C$21, $C$9, 100%, $E$9)</f>
        <v>13.5342</v>
      </c>
      <c r="O291" s="14">
        <f>CHOOSE(CONTROL!$C$42, 13.6178, 13.6178) * CHOOSE(CONTROL!$C$21, $C$9, 100%, $E$9)</f>
        <v>13.617800000000001</v>
      </c>
      <c r="P291" s="14">
        <f>CHOOSE(CONTROL!$C$42, 13.5651, 13.5651) * CHOOSE(CONTROL!$C$21, $C$9, 100%, $E$9)</f>
        <v>13.565099999999999</v>
      </c>
      <c r="Q291" s="14">
        <f>CHOOSE(CONTROL!$C$42, 14.2125, 14.2125) * CHOOSE(CONTROL!$C$21, $C$9, 100%, $E$9)</f>
        <v>14.2125</v>
      </c>
      <c r="R291" s="14">
        <f>CHOOSE(CONTROL!$C$42, 14.835, 14.835) * CHOOSE(CONTROL!$C$21, $C$9, 100%, $E$9)</f>
        <v>14.835000000000001</v>
      </c>
      <c r="S291" s="14">
        <f>CHOOSE(CONTROL!$C$42, 13.1919, 13.1919) * CHOOSE(CONTROL!$C$21, $C$9, 100%, $E$9)</f>
        <v>13.1919</v>
      </c>
      <c r="T29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91" s="56">
        <f>(1000*CHOOSE(CONTROL!$C$42, 695, 695)*CHOOSE(CONTROL!$C$42, 0.5599, 0.5599)*CHOOSE(CONTROL!$C$42, 31, 31))/1000000</f>
        <v>12.063045499999998</v>
      </c>
      <c r="V291" s="56">
        <f>(1000*CHOOSE(CONTROL!$C$42, 500, 500)*CHOOSE(CONTROL!$C$42, 0.275, 0.275)*CHOOSE(CONTROL!$C$42, 31, 31))/1000000</f>
        <v>4.2625000000000002</v>
      </c>
      <c r="W291" s="56">
        <f>(1000*CHOOSE(CONTROL!$C$42, 0.1146, 0.1146)*CHOOSE(CONTROL!$C$42, 121.5, 121.5)*CHOOSE(CONTROL!$C$42, 31, 31))/1000000</f>
        <v>0.43164089999999994</v>
      </c>
      <c r="X291" s="56">
        <f>(31*0.1790888*100000/1000000)+(31*0.2374*100000/1000000)</f>
        <v>1.2911152800000001</v>
      </c>
      <c r="Y291" s="56"/>
      <c r="Z291" s="14"/>
      <c r="AA291" s="55"/>
      <c r="AB291" s="49">
        <f>(B291*122.58+C291*297.941+D291*89.177+E291*40.302+F291*40+G291*160+H291*0+I291*100+J291*300)/(122.58+297.941+89.177+40.302+0+40+160+100+300)</f>
        <v>13.769112769304348</v>
      </c>
      <c r="AC291" s="45">
        <f>(M291*'RAP TEMPLATE-GAS AVAILABILITY'!O290+N291*'RAP TEMPLATE-GAS AVAILABILITY'!P290+O291*'RAP TEMPLATE-GAS AVAILABILITY'!Q290+P291*'RAP TEMPLATE-GAS AVAILABILITY'!R290)/('RAP TEMPLATE-GAS AVAILABILITY'!O290+'RAP TEMPLATE-GAS AVAILABILITY'!P290+'RAP TEMPLATE-GAS AVAILABILITY'!Q290+'RAP TEMPLATE-GAS AVAILABILITY'!R290)</f>
        <v>13.570562589928057</v>
      </c>
    </row>
    <row r="292" spans="1:29" ht="15.75" x14ac:dyDescent="0.25">
      <c r="A292" s="34">
        <v>49766</v>
      </c>
      <c r="B292" s="14">
        <f>CHOOSE(CONTROL!$C$42, 13.6975, 13.6975) * CHOOSE(CONTROL!$C$21, $C$9, 100%, $E$9)</f>
        <v>13.6975</v>
      </c>
      <c r="C292" s="14">
        <f>CHOOSE(CONTROL!$C$42, 13.7019, 13.7019) * CHOOSE(CONTROL!$C$21, $C$9, 100%, $E$9)</f>
        <v>13.7019</v>
      </c>
      <c r="D292" s="14">
        <f>CHOOSE(CONTROL!$C$42, 13.9642, 13.9642) * CHOOSE(CONTROL!$C$21, $C$9, 100%, $E$9)</f>
        <v>13.9642</v>
      </c>
      <c r="E292" s="14">
        <f>CHOOSE(CONTROL!$C$42, 13.9963, 13.9963) * CHOOSE(CONTROL!$C$21, $C$9, 100%, $E$9)</f>
        <v>13.9963</v>
      </c>
      <c r="F292" s="14">
        <f>CHOOSE(CONTROL!$C$42, 13.7203, 13.7203)*CHOOSE(CONTROL!$C$21, $C$9, 100%, $E$9)</f>
        <v>13.7203</v>
      </c>
      <c r="G292" s="14">
        <f>CHOOSE(CONTROL!$C$42, 13.737, 13.737)*CHOOSE(CONTROL!$C$21, $C$9, 100%, $E$9)</f>
        <v>13.737</v>
      </c>
      <c r="H292" s="14">
        <f>CHOOSE(CONTROL!$C$42, 13.9861, 13.9861) * CHOOSE(CONTROL!$C$21, $C$9, 100%, $E$9)</f>
        <v>13.9861</v>
      </c>
      <c r="I292" s="14">
        <f>CHOOSE(CONTROL!$C$42, 13.7629, 13.7629)* CHOOSE(CONTROL!$C$21, $C$9, 100%, $E$9)</f>
        <v>13.7629</v>
      </c>
      <c r="J292" s="14">
        <f>CHOOSE(CONTROL!$C$42, 13.7133, 13.7133)* CHOOSE(CONTROL!$C$21, $C$9, 100%, $E$9)</f>
        <v>13.7133</v>
      </c>
      <c r="K292" s="52">
        <f>CHOOSE(CONTROL!$C$42, 13.759, 13.759) * CHOOSE(CONTROL!$C$21, $C$9, 100%, $E$9)</f>
        <v>13.759</v>
      </c>
      <c r="L292" s="14">
        <f>CHOOSE(CONTROL!$C$42, 14.5731, 14.5731) * CHOOSE(CONTROL!$C$21, $C$9, 100%, $E$9)</f>
        <v>14.5731</v>
      </c>
      <c r="M292" s="14">
        <f>CHOOSE(CONTROL!$C$42, 13.4743, 13.4743) * CHOOSE(CONTROL!$C$21, $C$9, 100%, $E$9)</f>
        <v>13.474299999999999</v>
      </c>
      <c r="N292" s="14">
        <f>CHOOSE(CONTROL!$C$42, 13.4907, 13.4907) * CHOOSE(CONTROL!$C$21, $C$9, 100%, $E$9)</f>
        <v>13.4907</v>
      </c>
      <c r="O292" s="14">
        <f>CHOOSE(CONTROL!$C$42, 13.7422, 13.7422) * CHOOSE(CONTROL!$C$21, $C$9, 100%, $E$9)</f>
        <v>13.7422</v>
      </c>
      <c r="P292" s="14">
        <f>CHOOSE(CONTROL!$C$42, 13.5223, 13.5223) * CHOOSE(CONTROL!$C$21, $C$9, 100%, $E$9)</f>
        <v>13.5223</v>
      </c>
      <c r="Q292" s="14">
        <f>CHOOSE(CONTROL!$C$42, 14.3369, 14.3369) * CHOOSE(CONTROL!$C$21, $C$9, 100%, $E$9)</f>
        <v>14.3369</v>
      </c>
      <c r="R292" s="14">
        <f>CHOOSE(CONTROL!$C$42, 14.9597, 14.9597) * CHOOSE(CONTROL!$C$21, $C$9, 100%, $E$9)</f>
        <v>14.9597</v>
      </c>
      <c r="S292" s="14">
        <f>CHOOSE(CONTROL!$C$42, 13.1526, 13.1526) * CHOOSE(CONTROL!$C$21, $C$9, 100%, $E$9)</f>
        <v>13.1526</v>
      </c>
      <c r="T29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92" s="56">
        <f>(1000*CHOOSE(CONTROL!$C$42, 695, 695)*CHOOSE(CONTROL!$C$42, 0.5599, 0.5599)*CHOOSE(CONTROL!$C$42, 30, 30))/1000000</f>
        <v>11.673914999999997</v>
      </c>
      <c r="V292" s="56">
        <f>(1000*CHOOSE(CONTROL!$C$42, 500, 500)*CHOOSE(CONTROL!$C$42, 0.275, 0.275)*CHOOSE(CONTROL!$C$42, 30, 30))/1000000</f>
        <v>4.125</v>
      </c>
      <c r="W292" s="56">
        <f>(1000*CHOOSE(CONTROL!$C$42, 0.1146, 0.1146)*CHOOSE(CONTROL!$C$42, 121.5, 121.5)*CHOOSE(CONTROL!$C$42, 30, 30))/1000000</f>
        <v>0.417717</v>
      </c>
      <c r="X292" s="56">
        <f>(30*0.1790888*245000/1000000)+(30*0.2374*100000/1000000)</f>
        <v>2.0285026799999999</v>
      </c>
      <c r="Y292" s="56"/>
      <c r="Z292" s="14"/>
      <c r="AA292" s="55"/>
      <c r="AB292" s="49">
        <f>(B292*141.293+C292*267.993+D292*115.016+E292*89.698+F292*40+G292*185+H292*0+I292*100+J292*300)/(141.293+267.993+115.016+89.698+0+40+185+100+300)</f>
        <v>13.760579256497174</v>
      </c>
      <c r="AC292" s="45">
        <f>(M292*'RAP TEMPLATE-GAS AVAILABILITY'!O291+N292*'RAP TEMPLATE-GAS AVAILABILITY'!P291+O292*'RAP TEMPLATE-GAS AVAILABILITY'!Q291+P292*'RAP TEMPLATE-GAS AVAILABILITY'!R291)/('RAP TEMPLATE-GAS AVAILABILITY'!O291+'RAP TEMPLATE-GAS AVAILABILITY'!P291+'RAP TEMPLATE-GAS AVAILABILITY'!Q291+'RAP TEMPLATE-GAS AVAILABILITY'!R291)</f>
        <v>13.560148201438849</v>
      </c>
    </row>
    <row r="293" spans="1:29" ht="15.75" x14ac:dyDescent="0.25">
      <c r="A293" s="34">
        <v>49796</v>
      </c>
      <c r="B293" s="14">
        <f>CHOOSE(CONTROL!$C$42, 13.8197, 13.8197) * CHOOSE(CONTROL!$C$21, $C$9, 100%, $E$9)</f>
        <v>13.819699999999999</v>
      </c>
      <c r="C293" s="14">
        <f>CHOOSE(CONTROL!$C$42, 13.8277, 13.8277) * CHOOSE(CONTROL!$C$21, $C$9, 100%, $E$9)</f>
        <v>13.8277</v>
      </c>
      <c r="D293" s="14">
        <f>CHOOSE(CONTROL!$C$42, 14.0868, 14.0868) * CHOOSE(CONTROL!$C$21, $C$9, 100%, $E$9)</f>
        <v>14.0868</v>
      </c>
      <c r="E293" s="14">
        <f>CHOOSE(CONTROL!$C$42, 14.1182, 14.1182) * CHOOSE(CONTROL!$C$21, $C$9, 100%, $E$9)</f>
        <v>14.1182</v>
      </c>
      <c r="F293" s="14">
        <f>CHOOSE(CONTROL!$C$42, 13.8412, 13.8412)*CHOOSE(CONTROL!$C$21, $C$9, 100%, $E$9)</f>
        <v>13.841200000000001</v>
      </c>
      <c r="G293" s="14">
        <f>CHOOSE(CONTROL!$C$42, 13.8582, 13.8582)*CHOOSE(CONTROL!$C$21, $C$9, 100%, $E$9)</f>
        <v>13.8582</v>
      </c>
      <c r="H293" s="14">
        <f>CHOOSE(CONTROL!$C$42, 14.1069, 14.1069) * CHOOSE(CONTROL!$C$21, $C$9, 100%, $E$9)</f>
        <v>14.1069</v>
      </c>
      <c r="I293" s="14">
        <f>CHOOSE(CONTROL!$C$42, 13.884, 13.884)* CHOOSE(CONTROL!$C$21, $C$9, 100%, $E$9)</f>
        <v>13.884</v>
      </c>
      <c r="J293" s="14">
        <f>CHOOSE(CONTROL!$C$42, 13.8342, 13.8342)* CHOOSE(CONTROL!$C$21, $C$9, 100%, $E$9)</f>
        <v>13.834199999999999</v>
      </c>
      <c r="K293" s="52">
        <f>CHOOSE(CONTROL!$C$42, 13.8801, 13.8801) * CHOOSE(CONTROL!$C$21, $C$9, 100%, $E$9)</f>
        <v>13.880100000000001</v>
      </c>
      <c r="L293" s="14">
        <f>CHOOSE(CONTROL!$C$42, 14.6939, 14.6939) * CHOOSE(CONTROL!$C$21, $C$9, 100%, $E$9)</f>
        <v>14.693899999999999</v>
      </c>
      <c r="M293" s="14">
        <f>CHOOSE(CONTROL!$C$42, 13.593, 13.593) * CHOOSE(CONTROL!$C$21, $C$9, 100%, $E$9)</f>
        <v>13.593</v>
      </c>
      <c r="N293" s="14">
        <f>CHOOSE(CONTROL!$C$42, 13.6097, 13.6097) * CHOOSE(CONTROL!$C$21, $C$9, 100%, $E$9)</f>
        <v>13.6097</v>
      </c>
      <c r="O293" s="14">
        <f>CHOOSE(CONTROL!$C$42, 13.8608, 13.8608) * CHOOSE(CONTROL!$C$21, $C$9, 100%, $E$9)</f>
        <v>13.860799999999999</v>
      </c>
      <c r="P293" s="14">
        <f>CHOOSE(CONTROL!$C$42, 13.6413, 13.6413) * CHOOSE(CONTROL!$C$21, $C$9, 100%, $E$9)</f>
        <v>13.641299999999999</v>
      </c>
      <c r="Q293" s="14">
        <f>CHOOSE(CONTROL!$C$42, 14.4555, 14.4555) * CHOOSE(CONTROL!$C$21, $C$9, 100%, $E$9)</f>
        <v>14.455500000000001</v>
      </c>
      <c r="R293" s="14">
        <f>CHOOSE(CONTROL!$C$42, 15.0787, 15.0787) * CHOOSE(CONTROL!$C$21, $C$9, 100%, $E$9)</f>
        <v>15.0787</v>
      </c>
      <c r="S293" s="14">
        <f>CHOOSE(CONTROL!$C$42, 13.2687, 13.2687) * CHOOSE(CONTROL!$C$21, $C$9, 100%, $E$9)</f>
        <v>13.268700000000001</v>
      </c>
      <c r="T29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93" s="56">
        <f>(1000*CHOOSE(CONTROL!$C$42, 695, 695)*CHOOSE(CONTROL!$C$42, 0.5599, 0.5599)*CHOOSE(CONTROL!$C$42, 31, 31))/1000000</f>
        <v>12.063045499999998</v>
      </c>
      <c r="V293" s="56">
        <f>(1000*CHOOSE(CONTROL!$C$42, 500, 500)*CHOOSE(CONTROL!$C$42, 0.275, 0.275)*CHOOSE(CONTROL!$C$42, 31, 31))/1000000</f>
        <v>4.2625000000000002</v>
      </c>
      <c r="W293" s="56">
        <f>(1000*CHOOSE(CONTROL!$C$42, 0.1146, 0.1146)*CHOOSE(CONTROL!$C$42, 121.5, 121.5)*CHOOSE(CONTROL!$C$42, 31, 31))/1000000</f>
        <v>0.43164089999999994</v>
      </c>
      <c r="X293" s="56">
        <f>(31*0.1790888*245000/1000000)+(31*0.2374*100000/1000000)</f>
        <v>2.0961194359999999</v>
      </c>
      <c r="Y293" s="56"/>
      <c r="Z293" s="14"/>
      <c r="AA293" s="55"/>
      <c r="AB293" s="49">
        <f>(B293*194.205+C293*267.466+D293*133.845+E293*53.484+F293*40+G293*185+H293*0+I293*100+J293*300)/(194.205+267.466+133.845+53.484+0+40+185+100+300)</f>
        <v>13.876699373233906</v>
      </c>
      <c r="AC293" s="45">
        <f>(M293*'RAP TEMPLATE-GAS AVAILABILITY'!O292+N293*'RAP TEMPLATE-GAS AVAILABILITY'!P292+O293*'RAP TEMPLATE-GAS AVAILABILITY'!Q292+P293*'RAP TEMPLATE-GAS AVAILABILITY'!R292)/('RAP TEMPLATE-GAS AVAILABILITY'!O292+'RAP TEMPLATE-GAS AVAILABILITY'!P292+'RAP TEMPLATE-GAS AVAILABILITY'!Q292+'RAP TEMPLATE-GAS AVAILABILITY'!R292)</f>
        <v>13.67893237410072</v>
      </c>
    </row>
    <row r="294" spans="1:29" ht="15.75" x14ac:dyDescent="0.25">
      <c r="A294" s="34">
        <v>49827</v>
      </c>
      <c r="B294" s="14">
        <f>CHOOSE(CONTROL!$C$42, 14.2113, 14.2113) * CHOOSE(CONTROL!$C$21, $C$9, 100%, $E$9)</f>
        <v>14.2113</v>
      </c>
      <c r="C294" s="14">
        <f>CHOOSE(CONTROL!$C$42, 14.2194, 14.2194) * CHOOSE(CONTROL!$C$21, $C$9, 100%, $E$9)</f>
        <v>14.2194</v>
      </c>
      <c r="D294" s="14">
        <f>CHOOSE(CONTROL!$C$42, 14.4784, 14.4784) * CHOOSE(CONTROL!$C$21, $C$9, 100%, $E$9)</f>
        <v>14.478400000000001</v>
      </c>
      <c r="E294" s="14">
        <f>CHOOSE(CONTROL!$C$42, 14.5099, 14.5099) * CHOOSE(CONTROL!$C$21, $C$9, 100%, $E$9)</f>
        <v>14.5099</v>
      </c>
      <c r="F294" s="14">
        <f>CHOOSE(CONTROL!$C$42, 14.2331, 14.2331)*CHOOSE(CONTROL!$C$21, $C$9, 100%, $E$9)</f>
        <v>14.2331</v>
      </c>
      <c r="G294" s="14">
        <f>CHOOSE(CONTROL!$C$42, 14.2501, 14.2501)*CHOOSE(CONTROL!$C$21, $C$9, 100%, $E$9)</f>
        <v>14.2501</v>
      </c>
      <c r="H294" s="14">
        <f>CHOOSE(CONTROL!$C$42, 14.4985, 14.4985) * CHOOSE(CONTROL!$C$21, $C$9, 100%, $E$9)</f>
        <v>14.4985</v>
      </c>
      <c r="I294" s="14">
        <f>CHOOSE(CONTROL!$C$42, 14.2769, 14.2769)* CHOOSE(CONTROL!$C$21, $C$9, 100%, $E$9)</f>
        <v>14.276899999999999</v>
      </c>
      <c r="J294" s="14">
        <f>CHOOSE(CONTROL!$C$42, 14.2261, 14.2261)* CHOOSE(CONTROL!$C$21, $C$9, 100%, $E$9)</f>
        <v>14.226100000000001</v>
      </c>
      <c r="K294" s="52">
        <f>CHOOSE(CONTROL!$C$42, 14.273, 14.273) * CHOOSE(CONTROL!$C$21, $C$9, 100%, $E$9)</f>
        <v>14.273</v>
      </c>
      <c r="L294" s="14">
        <f>CHOOSE(CONTROL!$C$42, 15.0855, 15.0855) * CHOOSE(CONTROL!$C$21, $C$9, 100%, $E$9)</f>
        <v>15.0855</v>
      </c>
      <c r="M294" s="14">
        <f>CHOOSE(CONTROL!$C$42, 13.9779, 13.9779) * CHOOSE(CONTROL!$C$21, $C$9, 100%, $E$9)</f>
        <v>13.9779</v>
      </c>
      <c r="N294" s="14">
        <f>CHOOSE(CONTROL!$C$42, 13.9947, 13.9947) * CHOOSE(CONTROL!$C$21, $C$9, 100%, $E$9)</f>
        <v>13.9947</v>
      </c>
      <c r="O294" s="14">
        <f>CHOOSE(CONTROL!$C$42, 14.2455, 14.2455) * CHOOSE(CONTROL!$C$21, $C$9, 100%, $E$9)</f>
        <v>14.2455</v>
      </c>
      <c r="P294" s="14">
        <f>CHOOSE(CONTROL!$C$42, 14.0271, 14.0271) * CHOOSE(CONTROL!$C$21, $C$9, 100%, $E$9)</f>
        <v>14.027100000000001</v>
      </c>
      <c r="Q294" s="14">
        <f>CHOOSE(CONTROL!$C$42, 14.8402, 14.8402) * CHOOSE(CONTROL!$C$21, $C$9, 100%, $E$9)</f>
        <v>14.840199999999999</v>
      </c>
      <c r="R294" s="14">
        <f>CHOOSE(CONTROL!$C$42, 15.4643, 15.4643) * CHOOSE(CONTROL!$C$21, $C$9, 100%, $E$9)</f>
        <v>15.4643</v>
      </c>
      <c r="S294" s="14">
        <f>CHOOSE(CONTROL!$C$42, 13.645, 13.645) * CHOOSE(CONTROL!$C$21, $C$9, 100%, $E$9)</f>
        <v>13.645</v>
      </c>
      <c r="T29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94" s="56">
        <f>(1000*CHOOSE(CONTROL!$C$42, 695, 695)*CHOOSE(CONTROL!$C$42, 0.5599, 0.5599)*CHOOSE(CONTROL!$C$42, 30, 30))/1000000</f>
        <v>11.673914999999997</v>
      </c>
      <c r="V294" s="56">
        <f>(1000*CHOOSE(CONTROL!$C$42, 500, 500)*CHOOSE(CONTROL!$C$42, 0.275, 0.275)*CHOOSE(CONTROL!$C$42, 30, 30))/1000000</f>
        <v>4.125</v>
      </c>
      <c r="W294" s="56">
        <f>(1000*CHOOSE(CONTROL!$C$42, 0.1146, 0.1146)*CHOOSE(CONTROL!$C$42, 121.5, 121.5)*CHOOSE(CONTROL!$C$42, 30, 30))/1000000</f>
        <v>0.417717</v>
      </c>
      <c r="X294" s="56">
        <f>(30*0.1790888*245000/1000000)+(30*0.2374*100000/1000000)</f>
        <v>2.0285026799999999</v>
      </c>
      <c r="Y294" s="56"/>
      <c r="Z294" s="14"/>
      <c r="AA294" s="55"/>
      <c r="AB294" s="49">
        <f>(B294*194.205+C294*267.466+D294*133.845+E294*53.484+F294*40+G294*185+H294*0+I294*100+J294*300)/(194.205+267.466+133.845+53.484+0+40+185+100+300)</f>
        <v>14.268550232731558</v>
      </c>
      <c r="AC294" s="45">
        <f>(M294*'RAP TEMPLATE-GAS AVAILABILITY'!O293+N294*'RAP TEMPLATE-GAS AVAILABILITY'!P293+O294*'RAP TEMPLATE-GAS AVAILABILITY'!Q293+P294*'RAP TEMPLATE-GAS AVAILABILITY'!R293)/('RAP TEMPLATE-GAS AVAILABILITY'!O293+'RAP TEMPLATE-GAS AVAILABILITY'!P293+'RAP TEMPLATE-GAS AVAILABILITY'!Q293+'RAP TEMPLATE-GAS AVAILABILITY'!R293)</f>
        <v>14.063928776978415</v>
      </c>
    </row>
    <row r="295" spans="1:29" ht="15.75" x14ac:dyDescent="0.25">
      <c r="A295" s="34">
        <v>49857</v>
      </c>
      <c r="B295" s="14">
        <f>CHOOSE(CONTROL!$C$42, 13.9389, 13.9389) * CHOOSE(CONTROL!$C$21, $C$9, 100%, $E$9)</f>
        <v>13.9389</v>
      </c>
      <c r="C295" s="14">
        <f>CHOOSE(CONTROL!$C$42, 13.9469, 13.9469) * CHOOSE(CONTROL!$C$21, $C$9, 100%, $E$9)</f>
        <v>13.946899999999999</v>
      </c>
      <c r="D295" s="14">
        <f>CHOOSE(CONTROL!$C$42, 14.206, 14.206) * CHOOSE(CONTROL!$C$21, $C$9, 100%, $E$9)</f>
        <v>14.206</v>
      </c>
      <c r="E295" s="14">
        <f>CHOOSE(CONTROL!$C$42, 14.2375, 14.2375) * CHOOSE(CONTROL!$C$21, $C$9, 100%, $E$9)</f>
        <v>14.237500000000001</v>
      </c>
      <c r="F295" s="14">
        <f>CHOOSE(CONTROL!$C$42, 13.9611, 13.9611)*CHOOSE(CONTROL!$C$21, $C$9, 100%, $E$9)</f>
        <v>13.9611</v>
      </c>
      <c r="G295" s="14">
        <f>CHOOSE(CONTROL!$C$42, 13.9783, 13.9783)*CHOOSE(CONTROL!$C$21, $C$9, 100%, $E$9)</f>
        <v>13.978300000000001</v>
      </c>
      <c r="H295" s="14">
        <f>CHOOSE(CONTROL!$C$42, 14.2261, 14.2261) * CHOOSE(CONTROL!$C$21, $C$9, 100%, $E$9)</f>
        <v>14.226100000000001</v>
      </c>
      <c r="I295" s="14">
        <f>CHOOSE(CONTROL!$C$42, 14.0037, 14.0037)* CHOOSE(CONTROL!$C$21, $C$9, 100%, $E$9)</f>
        <v>14.0037</v>
      </c>
      <c r="J295" s="14">
        <f>CHOOSE(CONTROL!$C$42, 13.9541, 13.9541)* CHOOSE(CONTROL!$C$21, $C$9, 100%, $E$9)</f>
        <v>13.9541</v>
      </c>
      <c r="K295" s="52">
        <f>CHOOSE(CONTROL!$C$42, 13.9998, 13.9998) * CHOOSE(CONTROL!$C$21, $C$9, 100%, $E$9)</f>
        <v>13.9998</v>
      </c>
      <c r="L295" s="14">
        <f>CHOOSE(CONTROL!$C$42, 14.8131, 14.8131) * CHOOSE(CONTROL!$C$21, $C$9, 100%, $E$9)</f>
        <v>14.8131</v>
      </c>
      <c r="M295" s="14">
        <f>CHOOSE(CONTROL!$C$42, 13.7108, 13.7108) * CHOOSE(CONTROL!$C$21, $C$9, 100%, $E$9)</f>
        <v>13.710800000000001</v>
      </c>
      <c r="N295" s="14">
        <f>CHOOSE(CONTROL!$C$42, 13.7277, 13.7277) * CHOOSE(CONTROL!$C$21, $C$9, 100%, $E$9)</f>
        <v>13.7277</v>
      </c>
      <c r="O295" s="14">
        <f>CHOOSE(CONTROL!$C$42, 13.9779, 13.9779) * CHOOSE(CONTROL!$C$21, $C$9, 100%, $E$9)</f>
        <v>13.9779</v>
      </c>
      <c r="P295" s="14">
        <f>CHOOSE(CONTROL!$C$42, 13.7588, 13.7588) * CHOOSE(CONTROL!$C$21, $C$9, 100%, $E$9)</f>
        <v>13.758800000000001</v>
      </c>
      <c r="Q295" s="14">
        <f>CHOOSE(CONTROL!$C$42, 14.5726, 14.5726) * CHOOSE(CONTROL!$C$21, $C$9, 100%, $E$9)</f>
        <v>14.5726</v>
      </c>
      <c r="R295" s="14">
        <f>CHOOSE(CONTROL!$C$42, 15.1961, 15.1961) * CHOOSE(CONTROL!$C$21, $C$9, 100%, $E$9)</f>
        <v>15.196099999999999</v>
      </c>
      <c r="S295" s="14">
        <f>CHOOSE(CONTROL!$C$42, 13.3833, 13.3833) * CHOOSE(CONTROL!$C$21, $C$9, 100%, $E$9)</f>
        <v>13.3833</v>
      </c>
      <c r="T29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95" s="56">
        <f>(1000*CHOOSE(CONTROL!$C$42, 695, 695)*CHOOSE(CONTROL!$C$42, 0.5599, 0.5599)*CHOOSE(CONTROL!$C$42, 31, 31))/1000000</f>
        <v>12.063045499999998</v>
      </c>
      <c r="V295" s="56">
        <f>(1000*CHOOSE(CONTROL!$C$42, 500, 500)*CHOOSE(CONTROL!$C$42, 0.275, 0.275)*CHOOSE(CONTROL!$C$42, 31, 31))/1000000</f>
        <v>4.2625000000000002</v>
      </c>
      <c r="W295" s="56">
        <f>(1000*CHOOSE(CONTROL!$C$42, 0.1146, 0.1146)*CHOOSE(CONTROL!$C$42, 121.5, 121.5)*CHOOSE(CONTROL!$C$42, 31, 31))/1000000</f>
        <v>0.43164089999999994</v>
      </c>
      <c r="X295" s="56">
        <f>(31*0.1790888*245000/1000000)+(31*0.2374*100000/1000000)</f>
        <v>2.0961194359999999</v>
      </c>
      <c r="Y295" s="56"/>
      <c r="Z295" s="14"/>
      <c r="AA295" s="55"/>
      <c r="AB295" s="49">
        <f>(B295*194.205+C295*267.466+D295*133.845+E295*53.484+F295*40+G295*185+H295*0+I295*100+J295*300)/(194.205+267.466+133.845+53.484+0+40+185+100+300)</f>
        <v>13.996260321742545</v>
      </c>
      <c r="AC295" s="45">
        <f>(M295*'RAP TEMPLATE-GAS AVAILABILITY'!O294+N295*'RAP TEMPLATE-GAS AVAILABILITY'!P294+O295*'RAP TEMPLATE-GAS AVAILABILITY'!Q294+P295*'RAP TEMPLATE-GAS AVAILABILITY'!R294)/('RAP TEMPLATE-GAS AVAILABILITY'!O294+'RAP TEMPLATE-GAS AVAILABILITY'!P294+'RAP TEMPLATE-GAS AVAILABILITY'!Q294+'RAP TEMPLATE-GAS AVAILABILITY'!R294)</f>
        <v>13.796538848920862</v>
      </c>
    </row>
    <row r="296" spans="1:29" ht="15.75" x14ac:dyDescent="0.25">
      <c r="A296" s="34">
        <v>49888</v>
      </c>
      <c r="B296" s="14">
        <f>CHOOSE(CONTROL!$C$42, 13.251, 13.251) * CHOOSE(CONTROL!$C$21, $C$9, 100%, $E$9)</f>
        <v>13.250999999999999</v>
      </c>
      <c r="C296" s="14">
        <f>CHOOSE(CONTROL!$C$42, 13.259, 13.259) * CHOOSE(CONTROL!$C$21, $C$9, 100%, $E$9)</f>
        <v>13.259</v>
      </c>
      <c r="D296" s="14">
        <f>CHOOSE(CONTROL!$C$42, 13.5181, 13.5181) * CHOOSE(CONTROL!$C$21, $C$9, 100%, $E$9)</f>
        <v>13.5181</v>
      </c>
      <c r="E296" s="14">
        <f>CHOOSE(CONTROL!$C$42, 13.5496, 13.5496) * CHOOSE(CONTROL!$C$21, $C$9, 100%, $E$9)</f>
        <v>13.5496</v>
      </c>
      <c r="F296" s="14">
        <f>CHOOSE(CONTROL!$C$42, 13.2734, 13.2734)*CHOOSE(CONTROL!$C$21, $C$9, 100%, $E$9)</f>
        <v>13.273400000000001</v>
      </c>
      <c r="G296" s="14">
        <f>CHOOSE(CONTROL!$C$42, 13.2906, 13.2906)*CHOOSE(CONTROL!$C$21, $C$9, 100%, $E$9)</f>
        <v>13.2906</v>
      </c>
      <c r="H296" s="14">
        <f>CHOOSE(CONTROL!$C$42, 13.5382, 13.5382) * CHOOSE(CONTROL!$C$21, $C$9, 100%, $E$9)</f>
        <v>13.5382</v>
      </c>
      <c r="I296" s="14">
        <f>CHOOSE(CONTROL!$C$42, 13.3136, 13.3136)* CHOOSE(CONTROL!$C$21, $C$9, 100%, $E$9)</f>
        <v>13.313599999999999</v>
      </c>
      <c r="J296" s="14">
        <f>CHOOSE(CONTROL!$C$42, 13.2664, 13.2664)* CHOOSE(CONTROL!$C$21, $C$9, 100%, $E$9)</f>
        <v>13.266400000000001</v>
      </c>
      <c r="K296" s="52">
        <f>CHOOSE(CONTROL!$C$42, 13.3097, 13.3097) * CHOOSE(CONTROL!$C$21, $C$9, 100%, $E$9)</f>
        <v>13.309699999999999</v>
      </c>
      <c r="L296" s="14">
        <f>CHOOSE(CONTROL!$C$42, 14.1252, 14.1252) * CHOOSE(CONTROL!$C$21, $C$9, 100%, $E$9)</f>
        <v>14.1252</v>
      </c>
      <c r="M296" s="14">
        <f>CHOOSE(CONTROL!$C$42, 13.0355, 13.0355) * CHOOSE(CONTROL!$C$21, $C$9, 100%, $E$9)</f>
        <v>13.035500000000001</v>
      </c>
      <c r="N296" s="14">
        <f>CHOOSE(CONTROL!$C$42, 13.0524, 13.0524) * CHOOSE(CONTROL!$C$21, $C$9, 100%, $E$9)</f>
        <v>13.0524</v>
      </c>
      <c r="O296" s="14">
        <f>CHOOSE(CONTROL!$C$42, 13.3024, 13.3024) * CHOOSE(CONTROL!$C$21, $C$9, 100%, $E$9)</f>
        <v>13.3024</v>
      </c>
      <c r="P296" s="14">
        <f>CHOOSE(CONTROL!$C$42, 13.0812, 13.0812) * CHOOSE(CONTROL!$C$21, $C$9, 100%, $E$9)</f>
        <v>13.081200000000001</v>
      </c>
      <c r="Q296" s="14">
        <f>CHOOSE(CONTROL!$C$42, 13.8971, 13.8971) * CHOOSE(CONTROL!$C$21, $C$9, 100%, $E$9)</f>
        <v>13.8971</v>
      </c>
      <c r="R296" s="14">
        <f>CHOOSE(CONTROL!$C$42, 14.5188, 14.5188) * CHOOSE(CONTROL!$C$21, $C$9, 100%, $E$9)</f>
        <v>14.518800000000001</v>
      </c>
      <c r="S296" s="14">
        <f>CHOOSE(CONTROL!$C$42, 12.7222, 12.7222) * CHOOSE(CONTROL!$C$21, $C$9, 100%, $E$9)</f>
        <v>12.722200000000001</v>
      </c>
      <c r="T29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96" s="56">
        <f>(1000*CHOOSE(CONTROL!$C$42, 695, 695)*CHOOSE(CONTROL!$C$42, 0.5599, 0.5599)*CHOOSE(CONTROL!$C$42, 31, 31))/1000000</f>
        <v>12.063045499999998</v>
      </c>
      <c r="V296" s="56">
        <f>(1000*CHOOSE(CONTROL!$C$42, 500, 500)*CHOOSE(CONTROL!$C$42, 0.275, 0.275)*CHOOSE(CONTROL!$C$42, 31, 31))/1000000</f>
        <v>4.2625000000000002</v>
      </c>
      <c r="W296" s="56">
        <f>(1000*CHOOSE(CONTROL!$C$42, 0.1146, 0.1146)*CHOOSE(CONTROL!$C$42, 121.5, 121.5)*CHOOSE(CONTROL!$C$42, 31, 31))/1000000</f>
        <v>0.43164089999999994</v>
      </c>
      <c r="X296" s="56">
        <f>(31*0.1790888*245000/1000000)+(31*0.2374*100000/1000000)</f>
        <v>2.0961194359999999</v>
      </c>
      <c r="Y296" s="56"/>
      <c r="Z296" s="14"/>
      <c r="AA296" s="55"/>
      <c r="AB296" s="49">
        <f>(B296*194.205+C296*267.466+D296*133.845+E296*53.484+F296*40+G296*185+H296*0+I296*100+J296*300)/(194.205+267.466+133.845+53.484+0+40+185+100+300)</f>
        <v>13.308270054866561</v>
      </c>
      <c r="AC296" s="45">
        <f>(M296*'RAP TEMPLATE-GAS AVAILABILITY'!O295+N296*'RAP TEMPLATE-GAS AVAILABILITY'!P295+O296*'RAP TEMPLATE-GAS AVAILABILITY'!Q295+P296*'RAP TEMPLATE-GAS AVAILABILITY'!R295)/('RAP TEMPLATE-GAS AVAILABILITY'!O295+'RAP TEMPLATE-GAS AVAILABILITY'!P295+'RAP TEMPLATE-GAS AVAILABILITY'!Q295+'RAP TEMPLATE-GAS AVAILABILITY'!R295)</f>
        <v>13.120851798561153</v>
      </c>
    </row>
    <row r="297" spans="1:29" ht="15.75" x14ac:dyDescent="0.25">
      <c r="A297" s="34">
        <v>49919</v>
      </c>
      <c r="B297" s="14">
        <f>CHOOSE(CONTROL!$C$42, 12.4103, 12.4103) * CHOOSE(CONTROL!$C$21, $C$9, 100%, $E$9)</f>
        <v>12.410299999999999</v>
      </c>
      <c r="C297" s="14">
        <f>CHOOSE(CONTROL!$C$42, 12.4183, 12.4183) * CHOOSE(CONTROL!$C$21, $C$9, 100%, $E$9)</f>
        <v>12.4183</v>
      </c>
      <c r="D297" s="14">
        <f>CHOOSE(CONTROL!$C$42, 12.6774, 12.6774) * CHOOSE(CONTROL!$C$21, $C$9, 100%, $E$9)</f>
        <v>12.6774</v>
      </c>
      <c r="E297" s="14">
        <f>CHOOSE(CONTROL!$C$42, 12.7088, 12.7088) * CHOOSE(CONTROL!$C$21, $C$9, 100%, $E$9)</f>
        <v>12.7088</v>
      </c>
      <c r="F297" s="14">
        <f>CHOOSE(CONTROL!$C$42, 12.4327, 12.4327)*CHOOSE(CONTROL!$C$21, $C$9, 100%, $E$9)</f>
        <v>12.432700000000001</v>
      </c>
      <c r="G297" s="14">
        <f>CHOOSE(CONTROL!$C$42, 12.4499, 12.4499)*CHOOSE(CONTROL!$C$21, $C$9, 100%, $E$9)</f>
        <v>12.4499</v>
      </c>
      <c r="H297" s="14">
        <f>CHOOSE(CONTROL!$C$42, 12.6975, 12.6975) * CHOOSE(CONTROL!$C$21, $C$9, 100%, $E$9)</f>
        <v>12.6975</v>
      </c>
      <c r="I297" s="14">
        <f>CHOOSE(CONTROL!$C$42, 12.4702, 12.4702)* CHOOSE(CONTROL!$C$21, $C$9, 100%, $E$9)</f>
        <v>12.4702</v>
      </c>
      <c r="J297" s="14">
        <f>CHOOSE(CONTROL!$C$42, 12.4257, 12.4257)* CHOOSE(CONTROL!$C$21, $C$9, 100%, $E$9)</f>
        <v>12.425700000000001</v>
      </c>
      <c r="K297" s="52">
        <f>CHOOSE(CONTROL!$C$42, 12.4663, 12.4663) * CHOOSE(CONTROL!$C$21, $C$9, 100%, $E$9)</f>
        <v>12.4663</v>
      </c>
      <c r="L297" s="14">
        <f>CHOOSE(CONTROL!$C$42, 13.2845, 13.2845) * CHOOSE(CONTROL!$C$21, $C$9, 100%, $E$9)</f>
        <v>13.2845</v>
      </c>
      <c r="M297" s="14">
        <f>CHOOSE(CONTROL!$C$42, 12.2099, 12.2099) * CHOOSE(CONTROL!$C$21, $C$9, 100%, $E$9)</f>
        <v>12.209899999999999</v>
      </c>
      <c r="N297" s="14">
        <f>CHOOSE(CONTROL!$C$42, 12.2268, 12.2268) * CHOOSE(CONTROL!$C$21, $C$9, 100%, $E$9)</f>
        <v>12.226800000000001</v>
      </c>
      <c r="O297" s="14">
        <f>CHOOSE(CONTROL!$C$42, 12.4768, 12.4768) * CHOOSE(CONTROL!$C$21, $C$9, 100%, $E$9)</f>
        <v>12.476800000000001</v>
      </c>
      <c r="P297" s="14">
        <f>CHOOSE(CONTROL!$C$42, 12.253, 12.253) * CHOOSE(CONTROL!$C$21, $C$9, 100%, $E$9)</f>
        <v>12.253</v>
      </c>
      <c r="Q297" s="14">
        <f>CHOOSE(CONTROL!$C$42, 13.0715, 13.0715) * CHOOSE(CONTROL!$C$21, $C$9, 100%, $E$9)</f>
        <v>13.0715</v>
      </c>
      <c r="R297" s="14">
        <f>CHOOSE(CONTROL!$C$42, 13.6911, 13.6911) * CHOOSE(CONTROL!$C$21, $C$9, 100%, $E$9)</f>
        <v>13.6911</v>
      </c>
      <c r="S297" s="14">
        <f>CHOOSE(CONTROL!$C$42, 11.9144, 11.9144) * CHOOSE(CONTROL!$C$21, $C$9, 100%, $E$9)</f>
        <v>11.914400000000001</v>
      </c>
      <c r="T29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97" s="56">
        <f>(1000*CHOOSE(CONTROL!$C$42, 695, 695)*CHOOSE(CONTROL!$C$42, 0.5599, 0.5599)*CHOOSE(CONTROL!$C$42, 30, 30))/1000000</f>
        <v>11.673914999999997</v>
      </c>
      <c r="V297" s="56">
        <f>(1000*CHOOSE(CONTROL!$C$42, 500, 500)*CHOOSE(CONTROL!$C$42, 0.275, 0.275)*CHOOSE(CONTROL!$C$42, 30, 30))/1000000</f>
        <v>4.125</v>
      </c>
      <c r="W297" s="56">
        <f>(1000*CHOOSE(CONTROL!$C$42, 0.1146, 0.1146)*CHOOSE(CONTROL!$C$42, 121.5, 121.5)*CHOOSE(CONTROL!$C$42, 30, 30))/1000000</f>
        <v>0.417717</v>
      </c>
      <c r="X297" s="56">
        <f>(30*0.1790888*245000/1000000)+(30*0.2374*100000/1000000)</f>
        <v>2.0285026799999999</v>
      </c>
      <c r="Y297" s="56"/>
      <c r="Z297" s="14"/>
      <c r="AA297" s="55"/>
      <c r="AB297" s="49">
        <f>(B297*194.205+C297*267.466+D297*133.845+E297*53.484+F297*40+G297*185+H297*0+I297*100+J297*300)/(194.205+267.466+133.845+53.484+0+40+185+100+300)</f>
        <v>12.467353925824177</v>
      </c>
      <c r="AC297" s="45">
        <f>(M297*'RAP TEMPLATE-GAS AVAILABILITY'!O296+N297*'RAP TEMPLATE-GAS AVAILABILITY'!P296+O297*'RAP TEMPLATE-GAS AVAILABILITY'!Q296+P297*'RAP TEMPLATE-GAS AVAILABILITY'!R296)/('RAP TEMPLATE-GAS AVAILABILITY'!O296+'RAP TEMPLATE-GAS AVAILABILITY'!P296+'RAP TEMPLATE-GAS AVAILABILITY'!Q296+'RAP TEMPLATE-GAS AVAILABILITY'!R296)</f>
        <v>12.294877697841725</v>
      </c>
    </row>
    <row r="298" spans="1:29" ht="15.75" x14ac:dyDescent="0.25">
      <c r="A298" s="34">
        <v>49949</v>
      </c>
      <c r="B298" s="14">
        <f>CHOOSE(CONTROL!$C$42, 12.1568, 12.1568) * CHOOSE(CONTROL!$C$21, $C$9, 100%, $E$9)</f>
        <v>12.1568</v>
      </c>
      <c r="C298" s="14">
        <f>CHOOSE(CONTROL!$C$42, 12.1621, 12.1621) * CHOOSE(CONTROL!$C$21, $C$9, 100%, $E$9)</f>
        <v>12.162100000000001</v>
      </c>
      <c r="D298" s="14">
        <f>CHOOSE(CONTROL!$C$42, 12.4261, 12.4261) * CHOOSE(CONTROL!$C$21, $C$9, 100%, $E$9)</f>
        <v>12.4261</v>
      </c>
      <c r="E298" s="14">
        <f>CHOOSE(CONTROL!$C$42, 12.4553, 12.4553) * CHOOSE(CONTROL!$C$21, $C$9, 100%, $E$9)</f>
        <v>12.455299999999999</v>
      </c>
      <c r="F298" s="14">
        <f>CHOOSE(CONTROL!$C$42, 12.1814, 12.1814)*CHOOSE(CONTROL!$C$21, $C$9, 100%, $E$9)</f>
        <v>12.1814</v>
      </c>
      <c r="G298" s="14">
        <f>CHOOSE(CONTROL!$C$42, 12.1985, 12.1985)*CHOOSE(CONTROL!$C$21, $C$9, 100%, $E$9)</f>
        <v>12.198499999999999</v>
      </c>
      <c r="H298" s="14">
        <f>CHOOSE(CONTROL!$C$42, 12.4457, 12.4457) * CHOOSE(CONTROL!$C$21, $C$9, 100%, $E$9)</f>
        <v>12.4457</v>
      </c>
      <c r="I298" s="14">
        <f>CHOOSE(CONTROL!$C$42, 12.2177, 12.2177)* CHOOSE(CONTROL!$C$21, $C$9, 100%, $E$9)</f>
        <v>12.217700000000001</v>
      </c>
      <c r="J298" s="14">
        <f>CHOOSE(CONTROL!$C$42, 12.1744, 12.1744)* CHOOSE(CONTROL!$C$21, $C$9, 100%, $E$9)</f>
        <v>12.1744</v>
      </c>
      <c r="K298" s="52">
        <f>CHOOSE(CONTROL!$C$42, 12.2138, 12.2138) * CHOOSE(CONTROL!$C$21, $C$9, 100%, $E$9)</f>
        <v>12.213800000000001</v>
      </c>
      <c r="L298" s="14">
        <f>CHOOSE(CONTROL!$C$42, 13.0327, 13.0327) * CHOOSE(CONTROL!$C$21, $C$9, 100%, $E$9)</f>
        <v>13.0327</v>
      </c>
      <c r="M298" s="14">
        <f>CHOOSE(CONTROL!$C$42, 11.9631, 11.9631) * CHOOSE(CONTROL!$C$21, $C$9, 100%, $E$9)</f>
        <v>11.963100000000001</v>
      </c>
      <c r="N298" s="14">
        <f>CHOOSE(CONTROL!$C$42, 11.9799, 11.9799) * CHOOSE(CONTROL!$C$21, $C$9, 100%, $E$9)</f>
        <v>11.979900000000001</v>
      </c>
      <c r="O298" s="14">
        <f>CHOOSE(CONTROL!$C$42, 12.2296, 12.2296) * CHOOSE(CONTROL!$C$21, $C$9, 100%, $E$9)</f>
        <v>12.2296</v>
      </c>
      <c r="P298" s="14">
        <f>CHOOSE(CONTROL!$C$42, 12.005, 12.005) * CHOOSE(CONTROL!$C$21, $C$9, 100%, $E$9)</f>
        <v>12.005000000000001</v>
      </c>
      <c r="Q298" s="14">
        <f>CHOOSE(CONTROL!$C$42, 12.8243, 12.8243) * CHOOSE(CONTROL!$C$21, $C$9, 100%, $E$9)</f>
        <v>12.824299999999999</v>
      </c>
      <c r="R298" s="14">
        <f>CHOOSE(CONTROL!$C$42, 13.4433, 13.4433) * CHOOSE(CONTROL!$C$21, $C$9, 100%, $E$9)</f>
        <v>13.443300000000001</v>
      </c>
      <c r="S298" s="14">
        <f>CHOOSE(CONTROL!$C$42, 11.6725, 11.6725) * CHOOSE(CONTROL!$C$21, $C$9, 100%, $E$9)</f>
        <v>11.672499999999999</v>
      </c>
      <c r="T29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98" s="56">
        <f>(1000*CHOOSE(CONTROL!$C$42, 695, 695)*CHOOSE(CONTROL!$C$42, 0.5599, 0.5599)*CHOOSE(CONTROL!$C$42, 31, 31))/1000000</f>
        <v>12.063045499999998</v>
      </c>
      <c r="V298" s="56">
        <f>(1000*CHOOSE(CONTROL!$C$42, 500, 500)*CHOOSE(CONTROL!$C$42, 0.275, 0.275)*CHOOSE(CONTROL!$C$42, 31, 31))/1000000</f>
        <v>4.2625000000000002</v>
      </c>
      <c r="W298" s="56">
        <f>(1000*CHOOSE(CONTROL!$C$42, 0.1146, 0.1146)*CHOOSE(CONTROL!$C$42, 121.5, 121.5)*CHOOSE(CONTROL!$C$42, 31, 31))/1000000</f>
        <v>0.43164089999999994</v>
      </c>
      <c r="X298" s="56">
        <f>(31*0.1790888*245000/1000000)+(31*0.2374*100000/1000000)</f>
        <v>2.0961194359999999</v>
      </c>
      <c r="Y298" s="56"/>
      <c r="Z298" s="14"/>
      <c r="AA298" s="55"/>
      <c r="AB298" s="49">
        <f>(B298*131.881+C298*277.167+D298*79.08+E298*125.872+F298*40+G298*185+H298*0+I298*100+J298*300)/(131.881+277.167+79.08+125.872+0+40+185+100+300)</f>
        <v>12.221696304358355</v>
      </c>
      <c r="AC298" s="45">
        <f>(M298*'RAP TEMPLATE-GAS AVAILABILITY'!O297+N298*'RAP TEMPLATE-GAS AVAILABILITY'!P297+O298*'RAP TEMPLATE-GAS AVAILABILITY'!Q297+P298*'RAP TEMPLATE-GAS AVAILABILITY'!R297)/('RAP TEMPLATE-GAS AVAILABILITY'!O297+'RAP TEMPLATE-GAS AVAILABILITY'!P297+'RAP TEMPLATE-GAS AVAILABILITY'!Q297+'RAP TEMPLATE-GAS AVAILABILITY'!R297)</f>
        <v>12.047769784172663</v>
      </c>
    </row>
    <row r="299" spans="1:29" ht="15.75" x14ac:dyDescent="0.25">
      <c r="A299" s="34">
        <v>49980</v>
      </c>
      <c r="B299" s="14">
        <f>CHOOSE(CONTROL!$C$42, 12.4763, 12.4763) * CHOOSE(CONTROL!$C$21, $C$9, 100%, $E$9)</f>
        <v>12.4763</v>
      </c>
      <c r="C299" s="14">
        <f>CHOOSE(CONTROL!$C$42, 12.4814, 12.4814) * CHOOSE(CONTROL!$C$21, $C$9, 100%, $E$9)</f>
        <v>12.481400000000001</v>
      </c>
      <c r="D299" s="14">
        <f>CHOOSE(CONTROL!$C$42, 12.5645, 12.5645) * CHOOSE(CONTROL!$C$21, $C$9, 100%, $E$9)</f>
        <v>12.564500000000001</v>
      </c>
      <c r="E299" s="14">
        <f>CHOOSE(CONTROL!$C$42, 12.5986, 12.5986) * CHOOSE(CONTROL!$C$21, $C$9, 100%, $E$9)</f>
        <v>12.598599999999999</v>
      </c>
      <c r="F299" s="14">
        <f>CHOOSE(CONTROL!$C$42, 12.504, 12.504)*CHOOSE(CONTROL!$C$21, $C$9, 100%, $E$9)</f>
        <v>12.504</v>
      </c>
      <c r="G299" s="14">
        <f>CHOOSE(CONTROL!$C$42, 12.5213, 12.5213)*CHOOSE(CONTROL!$C$21, $C$9, 100%, $E$9)</f>
        <v>12.5213</v>
      </c>
      <c r="H299" s="14">
        <f>CHOOSE(CONTROL!$C$42, 12.5878, 12.5878) * CHOOSE(CONTROL!$C$21, $C$9, 100%, $E$9)</f>
        <v>12.5878</v>
      </c>
      <c r="I299" s="14">
        <f>CHOOSE(CONTROL!$C$42, 12.535, 12.535)* CHOOSE(CONTROL!$C$21, $C$9, 100%, $E$9)</f>
        <v>12.535</v>
      </c>
      <c r="J299" s="14">
        <f>CHOOSE(CONTROL!$C$42, 12.497, 12.497)* CHOOSE(CONTROL!$C$21, $C$9, 100%, $E$9)</f>
        <v>12.497</v>
      </c>
      <c r="K299" s="52">
        <f>CHOOSE(CONTROL!$C$42, 12.5312, 12.5312) * CHOOSE(CONTROL!$C$21, $C$9, 100%, $E$9)</f>
        <v>12.5312</v>
      </c>
      <c r="L299" s="14">
        <f>CHOOSE(CONTROL!$C$42, 13.1748, 13.1748) * CHOOSE(CONTROL!$C$21, $C$9, 100%, $E$9)</f>
        <v>13.174799999999999</v>
      </c>
      <c r="M299" s="14">
        <f>CHOOSE(CONTROL!$C$42, 12.2799, 12.2799) * CHOOSE(CONTROL!$C$21, $C$9, 100%, $E$9)</f>
        <v>12.2799</v>
      </c>
      <c r="N299" s="14">
        <f>CHOOSE(CONTROL!$C$42, 12.2969, 12.2969) * CHOOSE(CONTROL!$C$21, $C$9, 100%, $E$9)</f>
        <v>12.296900000000001</v>
      </c>
      <c r="O299" s="14">
        <f>CHOOSE(CONTROL!$C$42, 12.369, 12.369) * CHOOSE(CONTROL!$C$21, $C$9, 100%, $E$9)</f>
        <v>12.369</v>
      </c>
      <c r="P299" s="14">
        <f>CHOOSE(CONTROL!$C$42, 12.3166, 12.3166) * CHOOSE(CONTROL!$C$21, $C$9, 100%, $E$9)</f>
        <v>12.316599999999999</v>
      </c>
      <c r="Q299" s="14">
        <f>CHOOSE(CONTROL!$C$42, 12.9637, 12.9637) * CHOOSE(CONTROL!$C$21, $C$9, 100%, $E$9)</f>
        <v>12.963699999999999</v>
      </c>
      <c r="R299" s="14">
        <f>CHOOSE(CONTROL!$C$42, 13.5832, 13.5832) * CHOOSE(CONTROL!$C$21, $C$9, 100%, $E$9)</f>
        <v>13.5832</v>
      </c>
      <c r="S299" s="14">
        <f>CHOOSE(CONTROL!$C$42, 11.98, 11.98) * CHOOSE(CONTROL!$C$21, $C$9, 100%, $E$9)</f>
        <v>11.98</v>
      </c>
      <c r="T29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99" s="56">
        <f>(1000*CHOOSE(CONTROL!$C$42, 695, 695)*CHOOSE(CONTROL!$C$42, 0.5599, 0.5599)*CHOOSE(CONTROL!$C$42, 30, 30))/1000000</f>
        <v>11.673914999999997</v>
      </c>
      <c r="V299" s="56">
        <f>(1000*CHOOSE(CONTROL!$C$42, 500, 500)*CHOOSE(CONTROL!$C$42, 0.275, 0.275)*CHOOSE(CONTROL!$C$42, 30, 30))/1000000</f>
        <v>4.125</v>
      </c>
      <c r="W299" s="56">
        <f>(1000*CHOOSE(CONTROL!$C$42, 0.1146, 0.1146)*CHOOSE(CONTROL!$C$42, 121.5, 121.5)*CHOOSE(CONTROL!$C$42, 30, 30))/1000000</f>
        <v>0.417717</v>
      </c>
      <c r="X299" s="56">
        <f>(30*0.1790888*100000/1000000)+(30*0.2374*100000/1000000)</f>
        <v>1.2494664</v>
      </c>
      <c r="Y299" s="56"/>
      <c r="Z299" s="14"/>
      <c r="AA299" s="55"/>
      <c r="AB299" s="49">
        <f>(B299*122.58+C299*297.941+D299*89.177+E299*40.302+F299*40+G299*160+H299*0+I299*100+J299*300)/(122.58+297.941+89.177+40.302+0+40+160+100+300)</f>
        <v>12.506475517478261</v>
      </c>
      <c r="AC299" s="45">
        <f>(M299*'RAP TEMPLATE-GAS AVAILABILITY'!O298+N299*'RAP TEMPLATE-GAS AVAILABILITY'!P298+O299*'RAP TEMPLATE-GAS AVAILABILITY'!Q298+P299*'RAP TEMPLATE-GAS AVAILABILITY'!R298)/('RAP TEMPLATE-GAS AVAILABILITY'!O298+'RAP TEMPLATE-GAS AVAILABILITY'!P298+'RAP TEMPLATE-GAS AVAILABILITY'!Q298+'RAP TEMPLATE-GAS AVAILABILITY'!R298)</f>
        <v>12.326542446043165</v>
      </c>
    </row>
    <row r="300" spans="1:29" ht="15.75" x14ac:dyDescent="0.25">
      <c r="A300" s="34">
        <v>50010</v>
      </c>
      <c r="B300" s="14">
        <f>CHOOSE(CONTROL!$C$42, 13.3263, 13.3263) * CHOOSE(CONTROL!$C$21, $C$9, 100%, $E$9)</f>
        <v>13.3263</v>
      </c>
      <c r="C300" s="14">
        <f>CHOOSE(CONTROL!$C$42, 13.3314, 13.3314) * CHOOSE(CONTROL!$C$21, $C$9, 100%, $E$9)</f>
        <v>13.3314</v>
      </c>
      <c r="D300" s="14">
        <f>CHOOSE(CONTROL!$C$42, 13.4144, 13.4144) * CHOOSE(CONTROL!$C$21, $C$9, 100%, $E$9)</f>
        <v>13.414400000000001</v>
      </c>
      <c r="E300" s="14">
        <f>CHOOSE(CONTROL!$C$42, 13.4485, 13.4485) * CHOOSE(CONTROL!$C$21, $C$9, 100%, $E$9)</f>
        <v>13.448499999999999</v>
      </c>
      <c r="F300" s="14">
        <f>CHOOSE(CONTROL!$C$42, 13.3564, 13.3564)*CHOOSE(CONTROL!$C$21, $C$9, 100%, $E$9)</f>
        <v>13.356400000000001</v>
      </c>
      <c r="G300" s="14">
        <f>CHOOSE(CONTROL!$C$42, 13.3744, 13.3744)*CHOOSE(CONTROL!$C$21, $C$9, 100%, $E$9)</f>
        <v>13.3744</v>
      </c>
      <c r="H300" s="14">
        <f>CHOOSE(CONTROL!$C$42, 13.4377, 13.4377) * CHOOSE(CONTROL!$C$21, $C$9, 100%, $E$9)</f>
        <v>13.4377</v>
      </c>
      <c r="I300" s="14">
        <f>CHOOSE(CONTROL!$C$42, 13.3877, 13.3877)* CHOOSE(CONTROL!$C$21, $C$9, 100%, $E$9)</f>
        <v>13.387700000000001</v>
      </c>
      <c r="J300" s="14">
        <f>CHOOSE(CONTROL!$C$42, 13.3494, 13.3494)* CHOOSE(CONTROL!$C$21, $C$9, 100%, $E$9)</f>
        <v>13.349399999999999</v>
      </c>
      <c r="K300" s="52">
        <f>CHOOSE(CONTROL!$C$42, 13.3838, 13.3838) * CHOOSE(CONTROL!$C$21, $C$9, 100%, $E$9)</f>
        <v>13.383800000000001</v>
      </c>
      <c r="L300" s="14">
        <f>CHOOSE(CONTROL!$C$42, 14.0247, 14.0247) * CHOOSE(CONTROL!$C$21, $C$9, 100%, $E$9)</f>
        <v>14.024699999999999</v>
      </c>
      <c r="M300" s="14">
        <f>CHOOSE(CONTROL!$C$42, 13.117, 13.117) * CHOOSE(CONTROL!$C$21, $C$9, 100%, $E$9)</f>
        <v>13.117000000000001</v>
      </c>
      <c r="N300" s="14">
        <f>CHOOSE(CONTROL!$C$42, 13.1346, 13.1346) * CHOOSE(CONTROL!$C$21, $C$9, 100%, $E$9)</f>
        <v>13.134600000000001</v>
      </c>
      <c r="O300" s="14">
        <f>CHOOSE(CONTROL!$C$42, 13.2037, 13.2037) * CHOOSE(CONTROL!$C$21, $C$9, 100%, $E$9)</f>
        <v>13.2037</v>
      </c>
      <c r="P300" s="14">
        <f>CHOOSE(CONTROL!$C$42, 13.1539, 13.1539) * CHOOSE(CONTROL!$C$21, $C$9, 100%, $E$9)</f>
        <v>13.1539</v>
      </c>
      <c r="Q300" s="14">
        <f>CHOOSE(CONTROL!$C$42, 13.7984, 13.7984) * CHOOSE(CONTROL!$C$21, $C$9, 100%, $E$9)</f>
        <v>13.798400000000001</v>
      </c>
      <c r="R300" s="14">
        <f>CHOOSE(CONTROL!$C$42, 14.4199, 14.4199) * CHOOSE(CONTROL!$C$21, $C$9, 100%, $E$9)</f>
        <v>14.4199</v>
      </c>
      <c r="S300" s="14">
        <f>CHOOSE(CONTROL!$C$42, 12.7967, 12.7967) * CHOOSE(CONTROL!$C$21, $C$9, 100%, $E$9)</f>
        <v>12.7967</v>
      </c>
      <c r="T30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00" s="56">
        <f>(1000*CHOOSE(CONTROL!$C$42, 695, 695)*CHOOSE(CONTROL!$C$42, 0.5599, 0.5599)*CHOOSE(CONTROL!$C$42, 31, 31))/1000000</f>
        <v>12.063045499999998</v>
      </c>
      <c r="V300" s="56">
        <f>(1000*CHOOSE(CONTROL!$C$42, 500, 500)*CHOOSE(CONTROL!$C$42, 0.275, 0.275)*CHOOSE(CONTROL!$C$42, 31, 31))/1000000</f>
        <v>4.2625000000000002</v>
      </c>
      <c r="W300" s="56">
        <f>(1000*CHOOSE(CONTROL!$C$42, 0.1146, 0.1146)*CHOOSE(CONTROL!$C$42, 121.5, 121.5)*CHOOSE(CONTROL!$C$42, 31, 31))/1000000</f>
        <v>0.43164089999999994</v>
      </c>
      <c r="X300" s="56">
        <f>(31*0.1790888*100000/1000000)+(31*0.2374*100000/1000000)</f>
        <v>1.2911152800000001</v>
      </c>
      <c r="Y300" s="56"/>
      <c r="Z300" s="14"/>
      <c r="AA300" s="55"/>
      <c r="AB300" s="49">
        <f>(B300*122.58+C300*297.941+D300*89.177+E300*40.302+F300*40+G300*160+H300*0+I300*100+J300*300)/(122.58+297.941+89.177+40.302+0+40+160+100+300)</f>
        <v>13.357839910608696</v>
      </c>
      <c r="AC300" s="45">
        <f>(M300*'RAP TEMPLATE-GAS AVAILABILITY'!O299+N300*'RAP TEMPLATE-GAS AVAILABILITY'!P299+O300*'RAP TEMPLATE-GAS AVAILABILITY'!Q299+P300*'RAP TEMPLATE-GAS AVAILABILITY'!R299)/('RAP TEMPLATE-GAS AVAILABILITY'!O299+'RAP TEMPLATE-GAS AVAILABILITY'!P299+'RAP TEMPLATE-GAS AVAILABILITY'!Q299+'RAP TEMPLATE-GAS AVAILABILITY'!R299)</f>
        <v>13.162617985611512</v>
      </c>
    </row>
    <row r="301" spans="1:29" ht="15.75" x14ac:dyDescent="0.25">
      <c r="A301" s="34">
        <v>50041</v>
      </c>
      <c r="B301" s="14">
        <f>CHOOSE(CONTROL!$C$42, 14.4303, 14.4303) * CHOOSE(CONTROL!$C$21, $C$9, 100%, $E$9)</f>
        <v>14.430300000000001</v>
      </c>
      <c r="C301" s="14">
        <f>CHOOSE(CONTROL!$C$42, 14.4353, 14.4353) * CHOOSE(CONTROL!$C$21, $C$9, 100%, $E$9)</f>
        <v>14.4353</v>
      </c>
      <c r="D301" s="14">
        <f>CHOOSE(CONTROL!$C$42, 14.5288, 14.5288) * CHOOSE(CONTROL!$C$21, $C$9, 100%, $E$9)</f>
        <v>14.5288</v>
      </c>
      <c r="E301" s="14">
        <f>CHOOSE(CONTROL!$C$42, 14.5629, 14.5629) * CHOOSE(CONTROL!$C$21, $C$9, 100%, $E$9)</f>
        <v>14.562900000000001</v>
      </c>
      <c r="F301" s="14">
        <f>CHOOSE(CONTROL!$C$42, 14.4576, 14.4576)*CHOOSE(CONTROL!$C$21, $C$9, 100%, $E$9)</f>
        <v>14.457599999999999</v>
      </c>
      <c r="G301" s="14">
        <f>CHOOSE(CONTROL!$C$42, 14.4755, 14.4755)*CHOOSE(CONTROL!$C$21, $C$9, 100%, $E$9)</f>
        <v>14.4755</v>
      </c>
      <c r="H301" s="14">
        <f>CHOOSE(CONTROL!$C$42, 14.5521, 14.5521) * CHOOSE(CONTROL!$C$21, $C$9, 100%, $E$9)</f>
        <v>14.552099999999999</v>
      </c>
      <c r="I301" s="14">
        <f>CHOOSE(CONTROL!$C$42, 14.5014, 14.5014)* CHOOSE(CONTROL!$C$21, $C$9, 100%, $E$9)</f>
        <v>14.5014</v>
      </c>
      <c r="J301" s="14">
        <f>CHOOSE(CONTROL!$C$42, 14.4506, 14.4506)* CHOOSE(CONTROL!$C$21, $C$9, 100%, $E$9)</f>
        <v>14.4506</v>
      </c>
      <c r="K301" s="52">
        <f>CHOOSE(CONTROL!$C$42, 14.4975, 14.4975) * CHOOSE(CONTROL!$C$21, $C$9, 100%, $E$9)</f>
        <v>14.4975</v>
      </c>
      <c r="L301" s="14">
        <f>CHOOSE(CONTROL!$C$42, 15.1391, 15.1391) * CHOOSE(CONTROL!$C$21, $C$9, 100%, $E$9)</f>
        <v>15.139099999999999</v>
      </c>
      <c r="M301" s="14">
        <f>CHOOSE(CONTROL!$C$42, 14.1984, 14.1984) * CHOOSE(CONTROL!$C$21, $C$9, 100%, $E$9)</f>
        <v>14.198399999999999</v>
      </c>
      <c r="N301" s="14">
        <f>CHOOSE(CONTROL!$C$42, 14.216, 14.216) * CHOOSE(CONTROL!$C$21, $C$9, 100%, $E$9)</f>
        <v>14.215999999999999</v>
      </c>
      <c r="O301" s="14">
        <f>CHOOSE(CONTROL!$C$42, 14.2981, 14.2981) * CHOOSE(CONTROL!$C$21, $C$9, 100%, $E$9)</f>
        <v>14.2981</v>
      </c>
      <c r="P301" s="14">
        <f>CHOOSE(CONTROL!$C$42, 14.2475, 14.2475) * CHOOSE(CONTROL!$C$21, $C$9, 100%, $E$9)</f>
        <v>14.2475</v>
      </c>
      <c r="Q301" s="14">
        <f>CHOOSE(CONTROL!$C$42, 14.8928, 14.8928) * CHOOSE(CONTROL!$C$21, $C$9, 100%, $E$9)</f>
        <v>14.892799999999999</v>
      </c>
      <c r="R301" s="14">
        <f>CHOOSE(CONTROL!$C$42, 15.517, 15.517) * CHOOSE(CONTROL!$C$21, $C$9, 100%, $E$9)</f>
        <v>15.516999999999999</v>
      </c>
      <c r="S301" s="14">
        <f>CHOOSE(CONTROL!$C$42, 13.8575, 13.8575) * CHOOSE(CONTROL!$C$21, $C$9, 100%, $E$9)</f>
        <v>13.8575</v>
      </c>
      <c r="T30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01" s="56">
        <f>(1000*CHOOSE(CONTROL!$C$42, 695, 695)*CHOOSE(CONTROL!$C$42, 0.5599, 0.5599)*CHOOSE(CONTROL!$C$42, 31, 31))/1000000</f>
        <v>12.063045499999998</v>
      </c>
      <c r="V301" s="56">
        <f>(1000*CHOOSE(CONTROL!$C$42, 500, 500)*CHOOSE(CONTROL!$C$42, 0.275, 0.275)*CHOOSE(CONTROL!$C$42, 31, 31))/1000000</f>
        <v>4.2625000000000002</v>
      </c>
      <c r="W301" s="56">
        <f>(1000*CHOOSE(CONTROL!$C$42, 0.1146, 0.1146)*CHOOSE(CONTROL!$C$42, 121.5, 121.5)*CHOOSE(CONTROL!$C$42, 31, 31))/1000000</f>
        <v>0.43164089999999994</v>
      </c>
      <c r="X301" s="56">
        <f>(31*0.1790888*100000/1000000)+(31*0.2374*100000/1000000)</f>
        <v>1.2911152800000001</v>
      </c>
      <c r="Y301" s="56"/>
      <c r="Z301" s="14"/>
      <c r="AA301" s="55"/>
      <c r="AB301" s="49">
        <f>(B301*122.58+C301*297.941+D301*89.177+E301*40.302+F301*40+G301*160+H301*0+I301*100+J301*300)/(122.58+297.941+89.177+40.302+0+40+160+100+300)</f>
        <v>14.462597117130436</v>
      </c>
      <c r="AC301" s="45">
        <f>(M301*'RAP TEMPLATE-GAS AVAILABILITY'!O300+N301*'RAP TEMPLATE-GAS AVAILABILITY'!P300+O301*'RAP TEMPLATE-GAS AVAILABILITY'!Q300+P301*'RAP TEMPLATE-GAS AVAILABILITY'!R300)/('RAP TEMPLATE-GAS AVAILABILITY'!O300+'RAP TEMPLATE-GAS AVAILABILITY'!P300+'RAP TEMPLATE-GAS AVAILABILITY'!Q300+'RAP TEMPLATE-GAS AVAILABILITY'!R300)</f>
        <v>14.251665467625898</v>
      </c>
    </row>
    <row r="302" spans="1:29" ht="15.75" x14ac:dyDescent="0.25">
      <c r="A302" s="34">
        <v>50072</v>
      </c>
      <c r="B302" s="14">
        <f>CHOOSE(CONTROL!$C$42, 14.687, 14.687) * CHOOSE(CONTROL!$C$21, $C$9, 100%, $E$9)</f>
        <v>14.686999999999999</v>
      </c>
      <c r="C302" s="14">
        <f>CHOOSE(CONTROL!$C$42, 14.6921, 14.6921) * CHOOSE(CONTROL!$C$21, $C$9, 100%, $E$9)</f>
        <v>14.6921</v>
      </c>
      <c r="D302" s="14">
        <f>CHOOSE(CONTROL!$C$42, 14.7855, 14.7855) * CHOOSE(CONTROL!$C$21, $C$9, 100%, $E$9)</f>
        <v>14.785500000000001</v>
      </c>
      <c r="E302" s="14">
        <f>CHOOSE(CONTROL!$C$42, 14.8196, 14.8196) * CHOOSE(CONTROL!$C$21, $C$9, 100%, $E$9)</f>
        <v>14.819599999999999</v>
      </c>
      <c r="F302" s="14">
        <f>CHOOSE(CONTROL!$C$42, 14.7139, 14.7139)*CHOOSE(CONTROL!$C$21, $C$9, 100%, $E$9)</f>
        <v>14.713900000000001</v>
      </c>
      <c r="G302" s="14">
        <f>CHOOSE(CONTROL!$C$42, 14.7318, 14.7318)*CHOOSE(CONTROL!$C$21, $C$9, 100%, $E$9)</f>
        <v>14.7318</v>
      </c>
      <c r="H302" s="14">
        <f>CHOOSE(CONTROL!$C$42, 14.8088, 14.8088) * CHOOSE(CONTROL!$C$21, $C$9, 100%, $E$9)</f>
        <v>14.8088</v>
      </c>
      <c r="I302" s="14">
        <f>CHOOSE(CONTROL!$C$42, 14.7589, 14.7589)* CHOOSE(CONTROL!$C$21, $C$9, 100%, $E$9)</f>
        <v>14.758900000000001</v>
      </c>
      <c r="J302" s="14">
        <f>CHOOSE(CONTROL!$C$42, 14.7069, 14.7069)* CHOOSE(CONTROL!$C$21, $C$9, 100%, $E$9)</f>
        <v>14.706899999999999</v>
      </c>
      <c r="K302" s="52">
        <f>CHOOSE(CONTROL!$C$42, 14.755, 14.755) * CHOOSE(CONTROL!$C$21, $C$9, 100%, $E$9)</f>
        <v>14.755000000000001</v>
      </c>
      <c r="L302" s="14">
        <f>CHOOSE(CONTROL!$C$42, 15.3958, 15.3958) * CHOOSE(CONTROL!$C$21, $C$9, 100%, $E$9)</f>
        <v>15.395799999999999</v>
      </c>
      <c r="M302" s="14">
        <f>CHOOSE(CONTROL!$C$42, 14.4501, 14.4501) * CHOOSE(CONTROL!$C$21, $C$9, 100%, $E$9)</f>
        <v>14.450100000000001</v>
      </c>
      <c r="N302" s="14">
        <f>CHOOSE(CONTROL!$C$42, 14.4676, 14.4676) * CHOOSE(CONTROL!$C$21, $C$9, 100%, $E$9)</f>
        <v>14.467599999999999</v>
      </c>
      <c r="O302" s="14">
        <f>CHOOSE(CONTROL!$C$42, 14.5502, 14.5502) * CHOOSE(CONTROL!$C$21, $C$9, 100%, $E$9)</f>
        <v>14.5502</v>
      </c>
      <c r="P302" s="14">
        <f>CHOOSE(CONTROL!$C$42, 14.5004, 14.5004) * CHOOSE(CONTROL!$C$21, $C$9, 100%, $E$9)</f>
        <v>14.500400000000001</v>
      </c>
      <c r="Q302" s="14">
        <f>CHOOSE(CONTROL!$C$42, 15.1449, 15.1449) * CHOOSE(CONTROL!$C$21, $C$9, 100%, $E$9)</f>
        <v>15.1449</v>
      </c>
      <c r="R302" s="14">
        <f>CHOOSE(CONTROL!$C$42, 15.7697, 15.7697) * CHOOSE(CONTROL!$C$21, $C$9, 100%, $E$9)</f>
        <v>15.7697</v>
      </c>
      <c r="S302" s="14">
        <f>CHOOSE(CONTROL!$C$42, 14.1042, 14.1042) * CHOOSE(CONTROL!$C$21, $C$9, 100%, $E$9)</f>
        <v>14.104200000000001</v>
      </c>
      <c r="T30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02" s="56">
        <f>(1000*CHOOSE(CONTROL!$C$42, 695, 695)*CHOOSE(CONTROL!$C$42, 0.5599, 0.5599)*CHOOSE(CONTROL!$C$42, 28, 28))/1000000</f>
        <v>10.895653999999999</v>
      </c>
      <c r="V302" s="56">
        <f>(1000*CHOOSE(CONTROL!$C$42, 500, 500)*CHOOSE(CONTROL!$C$42, 0.275, 0.275)*CHOOSE(CONTROL!$C$42, 28, 28))/1000000</f>
        <v>3.85</v>
      </c>
      <c r="W302" s="56">
        <f>(1000*CHOOSE(CONTROL!$C$42, 0.1146, 0.1146)*CHOOSE(CONTROL!$C$42, 121.5, 121.5)*CHOOSE(CONTROL!$C$42, 28, 28))/1000000</f>
        <v>0.38986920000000003</v>
      </c>
      <c r="X302" s="56">
        <f>(28*0.1790888*100000/1000000)+(28*0.2374*100000/1000000)</f>
        <v>1.16616864</v>
      </c>
      <c r="Y302" s="56"/>
      <c r="Z302" s="14"/>
      <c r="AA302" s="55"/>
      <c r="AB302" s="49">
        <f>(B302*122.58+C302*297.941+D302*89.177+E302*40.302+F302*40+G302*160+H302*0+I302*100+J302*300)/(122.58+297.941+89.177+40.302+0+40+160+100+300)</f>
        <v>14.719218677217388</v>
      </c>
      <c r="AC302" s="45">
        <f>(M302*'RAP TEMPLATE-GAS AVAILABILITY'!O301+N302*'RAP TEMPLATE-GAS AVAILABILITY'!P301+O302*'RAP TEMPLATE-GAS AVAILABILITY'!Q301+P302*'RAP TEMPLATE-GAS AVAILABILITY'!R301)/('RAP TEMPLATE-GAS AVAILABILITY'!O301+'RAP TEMPLATE-GAS AVAILABILITY'!P301+'RAP TEMPLATE-GAS AVAILABILITY'!Q301+'RAP TEMPLATE-GAS AVAILABILITY'!R301)</f>
        <v>14.503713669064751</v>
      </c>
    </row>
    <row r="303" spans="1:29" ht="15.75" x14ac:dyDescent="0.25">
      <c r="A303" s="34">
        <v>50100</v>
      </c>
      <c r="B303" s="14">
        <f>CHOOSE(CONTROL!$C$42, 14.2703, 14.2703) * CHOOSE(CONTROL!$C$21, $C$9, 100%, $E$9)</f>
        <v>14.270300000000001</v>
      </c>
      <c r="C303" s="14">
        <f>CHOOSE(CONTROL!$C$42, 14.2754, 14.2754) * CHOOSE(CONTROL!$C$21, $C$9, 100%, $E$9)</f>
        <v>14.275399999999999</v>
      </c>
      <c r="D303" s="14">
        <f>CHOOSE(CONTROL!$C$42, 14.3688, 14.3688) * CHOOSE(CONTROL!$C$21, $C$9, 100%, $E$9)</f>
        <v>14.3688</v>
      </c>
      <c r="E303" s="14">
        <f>CHOOSE(CONTROL!$C$42, 14.4029, 14.4029) * CHOOSE(CONTROL!$C$21, $C$9, 100%, $E$9)</f>
        <v>14.402900000000001</v>
      </c>
      <c r="F303" s="14">
        <f>CHOOSE(CONTROL!$C$42, 14.2964, 14.2964)*CHOOSE(CONTROL!$C$21, $C$9, 100%, $E$9)</f>
        <v>14.2964</v>
      </c>
      <c r="G303" s="14">
        <f>CHOOSE(CONTROL!$C$42, 14.314, 14.314)*CHOOSE(CONTROL!$C$21, $C$9, 100%, $E$9)</f>
        <v>14.314</v>
      </c>
      <c r="H303" s="14">
        <f>CHOOSE(CONTROL!$C$42, 14.3921, 14.3921) * CHOOSE(CONTROL!$C$21, $C$9, 100%, $E$9)</f>
        <v>14.392099999999999</v>
      </c>
      <c r="I303" s="14">
        <f>CHOOSE(CONTROL!$C$42, 14.3409, 14.3409)* CHOOSE(CONTROL!$C$21, $C$9, 100%, $E$9)</f>
        <v>14.3409</v>
      </c>
      <c r="J303" s="14">
        <f>CHOOSE(CONTROL!$C$42, 14.2894, 14.2894)* CHOOSE(CONTROL!$C$21, $C$9, 100%, $E$9)</f>
        <v>14.289400000000001</v>
      </c>
      <c r="K303" s="52">
        <f>CHOOSE(CONTROL!$C$42, 14.337, 14.337) * CHOOSE(CONTROL!$C$21, $C$9, 100%, $E$9)</f>
        <v>14.337</v>
      </c>
      <c r="L303" s="14">
        <f>CHOOSE(CONTROL!$C$42, 14.9791, 14.9791) * CHOOSE(CONTROL!$C$21, $C$9, 100%, $E$9)</f>
        <v>14.979100000000001</v>
      </c>
      <c r="M303" s="14">
        <f>CHOOSE(CONTROL!$C$42, 14.04, 14.04) * CHOOSE(CONTROL!$C$21, $C$9, 100%, $E$9)</f>
        <v>14.04</v>
      </c>
      <c r="N303" s="14">
        <f>CHOOSE(CONTROL!$C$42, 14.0574, 14.0574) * CHOOSE(CONTROL!$C$21, $C$9, 100%, $E$9)</f>
        <v>14.057399999999999</v>
      </c>
      <c r="O303" s="14">
        <f>CHOOSE(CONTROL!$C$42, 14.141, 14.141) * CHOOSE(CONTROL!$C$21, $C$9, 100%, $E$9)</f>
        <v>14.141</v>
      </c>
      <c r="P303" s="14">
        <f>CHOOSE(CONTROL!$C$42, 14.0899, 14.0899) * CHOOSE(CONTROL!$C$21, $C$9, 100%, $E$9)</f>
        <v>14.0899</v>
      </c>
      <c r="Q303" s="14">
        <f>CHOOSE(CONTROL!$C$42, 14.7357, 14.7357) * CHOOSE(CONTROL!$C$21, $C$9, 100%, $E$9)</f>
        <v>14.7357</v>
      </c>
      <c r="R303" s="14">
        <f>CHOOSE(CONTROL!$C$42, 15.3595, 15.3595) * CHOOSE(CONTROL!$C$21, $C$9, 100%, $E$9)</f>
        <v>15.359500000000001</v>
      </c>
      <c r="S303" s="14">
        <f>CHOOSE(CONTROL!$C$42, 13.7038, 13.7038) * CHOOSE(CONTROL!$C$21, $C$9, 100%, $E$9)</f>
        <v>13.703799999999999</v>
      </c>
      <c r="T30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03" s="56">
        <f>(1000*CHOOSE(CONTROL!$C$42, 695, 695)*CHOOSE(CONTROL!$C$42, 0.5599, 0.5599)*CHOOSE(CONTROL!$C$42, 31, 31))/1000000</f>
        <v>12.063045499999998</v>
      </c>
      <c r="V303" s="56">
        <f>(1000*CHOOSE(CONTROL!$C$42, 500, 500)*CHOOSE(CONTROL!$C$42, 0.275, 0.275)*CHOOSE(CONTROL!$C$42, 31, 31))/1000000</f>
        <v>4.2625000000000002</v>
      </c>
      <c r="W303" s="56">
        <f>(1000*CHOOSE(CONTROL!$C$42, 0.1146, 0.1146)*CHOOSE(CONTROL!$C$42, 121.5, 121.5)*CHOOSE(CONTROL!$C$42, 31, 31))/1000000</f>
        <v>0.43164089999999994</v>
      </c>
      <c r="X303" s="56">
        <f>(31*0.1790888*100000/1000000)+(31*0.2374*100000/1000000)</f>
        <v>1.2911152800000001</v>
      </c>
      <c r="Y303" s="56"/>
      <c r="Z303" s="14"/>
      <c r="AA303" s="55"/>
      <c r="AB303" s="49">
        <f>(B303*122.58+C303*297.941+D303*89.177+E303*40.302+F303*40+G303*160+H303*0+I303*100+J303*300)/(122.58+297.941+89.177+40.302+0+40+160+100+300)</f>
        <v>14.302016068521739</v>
      </c>
      <c r="AC303" s="45">
        <f>(M303*'RAP TEMPLATE-GAS AVAILABILITY'!O302+N303*'RAP TEMPLATE-GAS AVAILABILITY'!P302+O303*'RAP TEMPLATE-GAS AVAILABILITY'!Q302+P303*'RAP TEMPLATE-GAS AVAILABILITY'!R302)/('RAP TEMPLATE-GAS AVAILABILITY'!O302+'RAP TEMPLATE-GAS AVAILABILITY'!P302+'RAP TEMPLATE-GAS AVAILABILITY'!Q302+'RAP TEMPLATE-GAS AVAILABILITY'!R302)</f>
        <v>14.093958273381293</v>
      </c>
    </row>
    <row r="304" spans="1:29" ht="15.75" x14ac:dyDescent="0.25">
      <c r="A304" s="34">
        <v>50131</v>
      </c>
      <c r="B304" s="14">
        <f>CHOOSE(CONTROL!$C$42, 14.2286, 14.2286) * CHOOSE(CONTROL!$C$21, $C$9, 100%, $E$9)</f>
        <v>14.2286</v>
      </c>
      <c r="C304" s="14">
        <f>CHOOSE(CONTROL!$C$42, 14.2331, 14.2331) * CHOOSE(CONTROL!$C$21, $C$9, 100%, $E$9)</f>
        <v>14.2331</v>
      </c>
      <c r="D304" s="14">
        <f>CHOOSE(CONTROL!$C$42, 14.4953, 14.4953) * CHOOSE(CONTROL!$C$21, $C$9, 100%, $E$9)</f>
        <v>14.4953</v>
      </c>
      <c r="E304" s="14">
        <f>CHOOSE(CONTROL!$C$42, 14.5274, 14.5274) * CHOOSE(CONTROL!$C$21, $C$9, 100%, $E$9)</f>
        <v>14.5274</v>
      </c>
      <c r="F304" s="14">
        <f>CHOOSE(CONTROL!$C$42, 14.2514, 14.2514)*CHOOSE(CONTROL!$C$21, $C$9, 100%, $E$9)</f>
        <v>14.2514</v>
      </c>
      <c r="G304" s="14">
        <f>CHOOSE(CONTROL!$C$42, 14.2681, 14.2681)*CHOOSE(CONTROL!$C$21, $C$9, 100%, $E$9)</f>
        <v>14.2681</v>
      </c>
      <c r="H304" s="14">
        <f>CHOOSE(CONTROL!$C$42, 14.5172, 14.5172) * CHOOSE(CONTROL!$C$21, $C$9, 100%, $E$9)</f>
        <v>14.517200000000001</v>
      </c>
      <c r="I304" s="14">
        <f>CHOOSE(CONTROL!$C$42, 14.2957, 14.2957)* CHOOSE(CONTROL!$C$21, $C$9, 100%, $E$9)</f>
        <v>14.2957</v>
      </c>
      <c r="J304" s="14">
        <f>CHOOSE(CONTROL!$C$42, 14.2444, 14.2444)* CHOOSE(CONTROL!$C$21, $C$9, 100%, $E$9)</f>
        <v>14.244400000000001</v>
      </c>
      <c r="K304" s="52">
        <f>CHOOSE(CONTROL!$C$42, 14.2918, 14.2918) * CHOOSE(CONTROL!$C$21, $C$9, 100%, $E$9)</f>
        <v>14.2918</v>
      </c>
      <c r="L304" s="14">
        <f>CHOOSE(CONTROL!$C$42, 15.1042, 15.1042) * CHOOSE(CONTROL!$C$21, $C$9, 100%, $E$9)</f>
        <v>15.104200000000001</v>
      </c>
      <c r="M304" s="14">
        <f>CHOOSE(CONTROL!$C$42, 13.9959, 13.9959) * CHOOSE(CONTROL!$C$21, $C$9, 100%, $E$9)</f>
        <v>13.995900000000001</v>
      </c>
      <c r="N304" s="14">
        <f>CHOOSE(CONTROL!$C$42, 14.0123, 14.0123) * CHOOSE(CONTROL!$C$21, $C$9, 100%, $E$9)</f>
        <v>14.0123</v>
      </c>
      <c r="O304" s="14">
        <f>CHOOSE(CONTROL!$C$42, 14.2638, 14.2638) * CHOOSE(CONTROL!$C$21, $C$9, 100%, $E$9)</f>
        <v>14.2638</v>
      </c>
      <c r="P304" s="14">
        <f>CHOOSE(CONTROL!$C$42, 14.0455, 14.0455) * CHOOSE(CONTROL!$C$21, $C$9, 100%, $E$9)</f>
        <v>14.045500000000001</v>
      </c>
      <c r="Q304" s="14">
        <f>CHOOSE(CONTROL!$C$42, 14.8585, 14.8585) * CHOOSE(CONTROL!$C$21, $C$9, 100%, $E$9)</f>
        <v>14.858499999999999</v>
      </c>
      <c r="R304" s="14">
        <f>CHOOSE(CONTROL!$C$42, 15.4826, 15.4826) * CHOOSE(CONTROL!$C$21, $C$9, 100%, $E$9)</f>
        <v>15.4826</v>
      </c>
      <c r="S304" s="14">
        <f>CHOOSE(CONTROL!$C$42, 13.663, 13.663) * CHOOSE(CONTROL!$C$21, $C$9, 100%, $E$9)</f>
        <v>13.663</v>
      </c>
      <c r="T30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04" s="56">
        <f>(1000*CHOOSE(CONTROL!$C$42, 695, 695)*CHOOSE(CONTROL!$C$42, 0.5599, 0.5599)*CHOOSE(CONTROL!$C$42, 30, 30))/1000000</f>
        <v>11.673914999999997</v>
      </c>
      <c r="V304" s="56">
        <f>(1000*CHOOSE(CONTROL!$C$42, 500, 500)*CHOOSE(CONTROL!$C$42, 0.275, 0.275)*CHOOSE(CONTROL!$C$42, 30, 30))/1000000</f>
        <v>4.125</v>
      </c>
      <c r="W304" s="56">
        <f>(1000*CHOOSE(CONTROL!$C$42, 0.1146, 0.1146)*CHOOSE(CONTROL!$C$42, 121.5, 121.5)*CHOOSE(CONTROL!$C$42, 30, 30))/1000000</f>
        <v>0.417717</v>
      </c>
      <c r="X304" s="56">
        <f>(30*0.1790888*245000/1000000)+(30*0.2374*100000/1000000)</f>
        <v>2.0285026799999999</v>
      </c>
      <c r="Y304" s="56"/>
      <c r="Z304" s="14"/>
      <c r="AA304" s="55"/>
      <c r="AB304" s="49">
        <f>(B304*141.293+C304*267.993+D304*115.016+E304*89.698+F304*40+G304*185+H304*0+I304*100+J304*300)/(141.293+267.993+115.016+89.698+0+40+185+100+300)</f>
        <v>14.291838093704602</v>
      </c>
      <c r="AC304" s="45">
        <f>(M304*'RAP TEMPLATE-GAS AVAILABILITY'!O303+N304*'RAP TEMPLATE-GAS AVAILABILITY'!P303+O304*'RAP TEMPLATE-GAS AVAILABILITY'!Q303+P304*'RAP TEMPLATE-GAS AVAILABILITY'!R303)/('RAP TEMPLATE-GAS AVAILABILITY'!O303+'RAP TEMPLATE-GAS AVAILABILITY'!P303+'RAP TEMPLATE-GAS AVAILABILITY'!Q303+'RAP TEMPLATE-GAS AVAILABILITY'!R303)</f>
        <v>14.081978417266185</v>
      </c>
    </row>
    <row r="305" spans="1:29" ht="15.75" x14ac:dyDescent="0.25">
      <c r="A305" s="34">
        <v>50161</v>
      </c>
      <c r="B305" s="14">
        <f>CHOOSE(CONTROL!$C$42, 14.3555, 14.3555) * CHOOSE(CONTROL!$C$21, $C$9, 100%, $E$9)</f>
        <v>14.355499999999999</v>
      </c>
      <c r="C305" s="14">
        <f>CHOOSE(CONTROL!$C$42, 14.3635, 14.3635) * CHOOSE(CONTROL!$C$21, $C$9, 100%, $E$9)</f>
        <v>14.3635</v>
      </c>
      <c r="D305" s="14">
        <f>CHOOSE(CONTROL!$C$42, 14.6226, 14.6226) * CHOOSE(CONTROL!$C$21, $C$9, 100%, $E$9)</f>
        <v>14.6226</v>
      </c>
      <c r="E305" s="14">
        <f>CHOOSE(CONTROL!$C$42, 14.6541, 14.6541) * CHOOSE(CONTROL!$C$21, $C$9, 100%, $E$9)</f>
        <v>14.6541</v>
      </c>
      <c r="F305" s="14">
        <f>CHOOSE(CONTROL!$C$42, 14.377, 14.377)*CHOOSE(CONTROL!$C$21, $C$9, 100%, $E$9)</f>
        <v>14.377000000000001</v>
      </c>
      <c r="G305" s="14">
        <f>CHOOSE(CONTROL!$C$42, 14.394, 14.394)*CHOOSE(CONTROL!$C$21, $C$9, 100%, $E$9)</f>
        <v>14.394</v>
      </c>
      <c r="H305" s="14">
        <f>CHOOSE(CONTROL!$C$42, 14.6427, 14.6427) * CHOOSE(CONTROL!$C$21, $C$9, 100%, $E$9)</f>
        <v>14.6427</v>
      </c>
      <c r="I305" s="14">
        <f>CHOOSE(CONTROL!$C$42, 14.4215, 14.4215)* CHOOSE(CONTROL!$C$21, $C$9, 100%, $E$9)</f>
        <v>14.4215</v>
      </c>
      <c r="J305" s="14">
        <f>CHOOSE(CONTROL!$C$42, 14.37, 14.37)* CHOOSE(CONTROL!$C$21, $C$9, 100%, $E$9)</f>
        <v>14.37</v>
      </c>
      <c r="K305" s="52">
        <f>CHOOSE(CONTROL!$C$42, 14.4177, 14.4177) * CHOOSE(CONTROL!$C$21, $C$9, 100%, $E$9)</f>
        <v>14.4177</v>
      </c>
      <c r="L305" s="14">
        <f>CHOOSE(CONTROL!$C$42, 15.2297, 15.2297) * CHOOSE(CONTROL!$C$21, $C$9, 100%, $E$9)</f>
        <v>15.229699999999999</v>
      </c>
      <c r="M305" s="14">
        <f>CHOOSE(CONTROL!$C$42, 14.1192, 14.1192) * CHOOSE(CONTROL!$C$21, $C$9, 100%, $E$9)</f>
        <v>14.119199999999999</v>
      </c>
      <c r="N305" s="14">
        <f>CHOOSE(CONTROL!$C$42, 14.1359, 14.1359) * CHOOSE(CONTROL!$C$21, $C$9, 100%, $E$9)</f>
        <v>14.135899999999999</v>
      </c>
      <c r="O305" s="14">
        <f>CHOOSE(CONTROL!$C$42, 14.387, 14.387) * CHOOSE(CONTROL!$C$21, $C$9, 100%, $E$9)</f>
        <v>14.387</v>
      </c>
      <c r="P305" s="14">
        <f>CHOOSE(CONTROL!$C$42, 14.1691, 14.1691) * CHOOSE(CONTROL!$C$21, $C$9, 100%, $E$9)</f>
        <v>14.1691</v>
      </c>
      <c r="Q305" s="14">
        <f>CHOOSE(CONTROL!$C$42, 14.9817, 14.9817) * CHOOSE(CONTROL!$C$21, $C$9, 100%, $E$9)</f>
        <v>14.9817</v>
      </c>
      <c r="R305" s="14">
        <f>CHOOSE(CONTROL!$C$42, 15.6062, 15.6062) * CHOOSE(CONTROL!$C$21, $C$9, 100%, $E$9)</f>
        <v>15.606199999999999</v>
      </c>
      <c r="S305" s="14">
        <f>CHOOSE(CONTROL!$C$42, 13.7836, 13.7836) * CHOOSE(CONTROL!$C$21, $C$9, 100%, $E$9)</f>
        <v>13.7836</v>
      </c>
      <c r="T30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05" s="56">
        <f>(1000*CHOOSE(CONTROL!$C$42, 695, 695)*CHOOSE(CONTROL!$C$42, 0.5599, 0.5599)*CHOOSE(CONTROL!$C$42, 31, 31))/1000000</f>
        <v>12.063045499999998</v>
      </c>
      <c r="V305" s="56">
        <f>(1000*CHOOSE(CONTROL!$C$42, 500, 500)*CHOOSE(CONTROL!$C$42, 0.275, 0.275)*CHOOSE(CONTROL!$C$42, 31, 31))/1000000</f>
        <v>4.2625000000000002</v>
      </c>
      <c r="W305" s="56">
        <f>(1000*CHOOSE(CONTROL!$C$42, 0.1146, 0.1146)*CHOOSE(CONTROL!$C$42, 121.5, 121.5)*CHOOSE(CONTROL!$C$42, 31, 31))/1000000</f>
        <v>0.43164089999999994</v>
      </c>
      <c r="X305" s="56">
        <f>(31*0.1790888*245000/1000000)+(31*0.2374*100000/1000000)</f>
        <v>2.0961194359999999</v>
      </c>
      <c r="Y305" s="56"/>
      <c r="Z305" s="14"/>
      <c r="AA305" s="55"/>
      <c r="AB305" s="49">
        <f>(B305*194.205+C305*267.466+D305*133.845+E305*53.484+F305*40+G305*185+H305*0+I305*100+J305*300)/(194.205+267.466+133.845+53.484+0+40+185+100+300)</f>
        <v>14.412637009340656</v>
      </c>
      <c r="AC305" s="45">
        <f>(M305*'RAP TEMPLATE-GAS AVAILABILITY'!O304+N305*'RAP TEMPLATE-GAS AVAILABILITY'!P304+O305*'RAP TEMPLATE-GAS AVAILABILITY'!Q304+P305*'RAP TEMPLATE-GAS AVAILABILITY'!R304)/('RAP TEMPLATE-GAS AVAILABILITY'!O304+'RAP TEMPLATE-GAS AVAILABILITY'!P304+'RAP TEMPLATE-GAS AVAILABILITY'!Q304+'RAP TEMPLATE-GAS AVAILABILITY'!R304)</f>
        <v>14.205362589928056</v>
      </c>
    </row>
    <row r="306" spans="1:29" ht="15.75" x14ac:dyDescent="0.25">
      <c r="A306" s="34">
        <v>50192</v>
      </c>
      <c r="B306" s="14">
        <f>CHOOSE(CONTROL!$C$42, 14.7624, 14.7624) * CHOOSE(CONTROL!$C$21, $C$9, 100%, $E$9)</f>
        <v>14.7624</v>
      </c>
      <c r="C306" s="14">
        <f>CHOOSE(CONTROL!$C$42, 14.7704, 14.7704) * CHOOSE(CONTROL!$C$21, $C$9, 100%, $E$9)</f>
        <v>14.7704</v>
      </c>
      <c r="D306" s="14">
        <f>CHOOSE(CONTROL!$C$42, 15.0295, 15.0295) * CHOOSE(CONTROL!$C$21, $C$9, 100%, $E$9)</f>
        <v>15.029500000000001</v>
      </c>
      <c r="E306" s="14">
        <f>CHOOSE(CONTROL!$C$42, 15.0609, 15.0609) * CHOOSE(CONTROL!$C$21, $C$9, 100%, $E$9)</f>
        <v>15.0609</v>
      </c>
      <c r="F306" s="14">
        <f>CHOOSE(CONTROL!$C$42, 14.7841, 14.7841)*CHOOSE(CONTROL!$C$21, $C$9, 100%, $E$9)</f>
        <v>14.7841</v>
      </c>
      <c r="G306" s="14">
        <f>CHOOSE(CONTROL!$C$42, 14.8012, 14.8012)*CHOOSE(CONTROL!$C$21, $C$9, 100%, $E$9)</f>
        <v>14.8012</v>
      </c>
      <c r="H306" s="14">
        <f>CHOOSE(CONTROL!$C$42, 15.0496, 15.0496) * CHOOSE(CONTROL!$C$21, $C$9, 100%, $E$9)</f>
        <v>15.0496</v>
      </c>
      <c r="I306" s="14">
        <f>CHOOSE(CONTROL!$C$42, 14.8297, 14.8297)* CHOOSE(CONTROL!$C$21, $C$9, 100%, $E$9)</f>
        <v>14.829700000000001</v>
      </c>
      <c r="J306" s="14">
        <f>CHOOSE(CONTROL!$C$42, 14.7771, 14.7771)* CHOOSE(CONTROL!$C$21, $C$9, 100%, $E$9)</f>
        <v>14.777100000000001</v>
      </c>
      <c r="K306" s="52">
        <f>CHOOSE(CONTROL!$C$42, 14.8258, 14.8258) * CHOOSE(CONTROL!$C$21, $C$9, 100%, $E$9)</f>
        <v>14.825799999999999</v>
      </c>
      <c r="L306" s="14">
        <f>CHOOSE(CONTROL!$C$42, 15.6366, 15.6366) * CHOOSE(CONTROL!$C$21, $C$9, 100%, $E$9)</f>
        <v>15.6366</v>
      </c>
      <c r="M306" s="14">
        <f>CHOOSE(CONTROL!$C$42, 14.519, 14.519) * CHOOSE(CONTROL!$C$21, $C$9, 100%, $E$9)</f>
        <v>14.519</v>
      </c>
      <c r="N306" s="14">
        <f>CHOOSE(CONTROL!$C$42, 14.5358, 14.5358) * CHOOSE(CONTROL!$C$21, $C$9, 100%, $E$9)</f>
        <v>14.5358</v>
      </c>
      <c r="O306" s="14">
        <f>CHOOSE(CONTROL!$C$42, 14.7866, 14.7866) * CHOOSE(CONTROL!$C$21, $C$9, 100%, $E$9)</f>
        <v>14.7866</v>
      </c>
      <c r="P306" s="14">
        <f>CHOOSE(CONTROL!$C$42, 14.5699, 14.5699) * CHOOSE(CONTROL!$C$21, $C$9, 100%, $E$9)</f>
        <v>14.569900000000001</v>
      </c>
      <c r="Q306" s="14">
        <f>CHOOSE(CONTROL!$C$42, 15.3813, 15.3813) * CHOOSE(CONTROL!$C$21, $C$9, 100%, $E$9)</f>
        <v>15.3813</v>
      </c>
      <c r="R306" s="14">
        <f>CHOOSE(CONTROL!$C$42, 16.0067, 16.0067) * CHOOSE(CONTROL!$C$21, $C$9, 100%, $E$9)</f>
        <v>16.006699999999999</v>
      </c>
      <c r="S306" s="14">
        <f>CHOOSE(CONTROL!$C$42, 14.1745, 14.1745) * CHOOSE(CONTROL!$C$21, $C$9, 100%, $E$9)</f>
        <v>14.1745</v>
      </c>
      <c r="T30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06" s="56">
        <f>(1000*CHOOSE(CONTROL!$C$42, 695, 695)*CHOOSE(CONTROL!$C$42, 0.5599, 0.5599)*CHOOSE(CONTROL!$C$42, 30, 30))/1000000</f>
        <v>11.673914999999997</v>
      </c>
      <c r="V306" s="56">
        <f>(1000*CHOOSE(CONTROL!$C$42, 500, 500)*CHOOSE(CONTROL!$C$42, 0.275, 0.275)*CHOOSE(CONTROL!$C$42, 30, 30))/1000000</f>
        <v>4.125</v>
      </c>
      <c r="W306" s="56">
        <f>(1000*CHOOSE(CONTROL!$C$42, 0.1146, 0.1146)*CHOOSE(CONTROL!$C$42, 121.5, 121.5)*CHOOSE(CONTROL!$C$42, 30, 30))/1000000</f>
        <v>0.417717</v>
      </c>
      <c r="X306" s="56">
        <f>(30*0.1790888*245000/1000000)+(30*0.2374*100000/1000000)</f>
        <v>2.0285026799999999</v>
      </c>
      <c r="Y306" s="56"/>
      <c r="Z306" s="14"/>
      <c r="AA306" s="55"/>
      <c r="AB306" s="49">
        <f>(B306*194.205+C306*267.466+D306*133.845+E306*53.484+F306*40+G306*185+H306*0+I306*100+J306*300)/(194.205+267.466+133.845+53.484+0+40+185+100+300)</f>
        <v>14.819731790816327</v>
      </c>
      <c r="AC306" s="45">
        <f>(M306*'RAP TEMPLATE-GAS AVAILABILITY'!O305+N306*'RAP TEMPLATE-GAS AVAILABILITY'!P305+O306*'RAP TEMPLATE-GAS AVAILABILITY'!Q305+P306*'RAP TEMPLATE-GAS AVAILABILITY'!R305)/('RAP TEMPLATE-GAS AVAILABILITY'!O305+'RAP TEMPLATE-GAS AVAILABILITY'!P305+'RAP TEMPLATE-GAS AVAILABILITY'!Q305+'RAP TEMPLATE-GAS AVAILABILITY'!R305)</f>
        <v>14.605273381294966</v>
      </c>
    </row>
    <row r="307" spans="1:29" ht="15.75" x14ac:dyDescent="0.25">
      <c r="A307" s="34">
        <v>50222</v>
      </c>
      <c r="B307" s="14">
        <f>CHOOSE(CONTROL!$C$42, 14.4794, 14.4794) * CHOOSE(CONTROL!$C$21, $C$9, 100%, $E$9)</f>
        <v>14.4794</v>
      </c>
      <c r="C307" s="14">
        <f>CHOOSE(CONTROL!$C$42, 14.4874, 14.4874) * CHOOSE(CONTROL!$C$21, $C$9, 100%, $E$9)</f>
        <v>14.487399999999999</v>
      </c>
      <c r="D307" s="14">
        <f>CHOOSE(CONTROL!$C$42, 14.7465, 14.7465) * CHOOSE(CONTROL!$C$21, $C$9, 100%, $E$9)</f>
        <v>14.746499999999999</v>
      </c>
      <c r="E307" s="14">
        <f>CHOOSE(CONTROL!$C$42, 14.778, 14.778) * CHOOSE(CONTROL!$C$21, $C$9, 100%, $E$9)</f>
        <v>14.778</v>
      </c>
      <c r="F307" s="14">
        <f>CHOOSE(CONTROL!$C$42, 14.5016, 14.5016)*CHOOSE(CONTROL!$C$21, $C$9, 100%, $E$9)</f>
        <v>14.5016</v>
      </c>
      <c r="G307" s="14">
        <f>CHOOSE(CONTROL!$C$42, 14.5187, 14.5187)*CHOOSE(CONTROL!$C$21, $C$9, 100%, $E$9)</f>
        <v>14.518700000000001</v>
      </c>
      <c r="H307" s="14">
        <f>CHOOSE(CONTROL!$C$42, 14.7666, 14.7666) * CHOOSE(CONTROL!$C$21, $C$9, 100%, $E$9)</f>
        <v>14.7666</v>
      </c>
      <c r="I307" s="14">
        <f>CHOOSE(CONTROL!$C$42, 14.5458, 14.5458)* CHOOSE(CONTROL!$C$21, $C$9, 100%, $E$9)</f>
        <v>14.5458</v>
      </c>
      <c r="J307" s="14">
        <f>CHOOSE(CONTROL!$C$42, 14.4946, 14.4946)* CHOOSE(CONTROL!$C$21, $C$9, 100%, $E$9)</f>
        <v>14.4946</v>
      </c>
      <c r="K307" s="52">
        <f>CHOOSE(CONTROL!$C$42, 14.5419, 14.5419) * CHOOSE(CONTROL!$C$21, $C$9, 100%, $E$9)</f>
        <v>14.5419</v>
      </c>
      <c r="L307" s="14">
        <f>CHOOSE(CONTROL!$C$42, 15.3536, 15.3536) * CHOOSE(CONTROL!$C$21, $C$9, 100%, $E$9)</f>
        <v>15.3536</v>
      </c>
      <c r="M307" s="14">
        <f>CHOOSE(CONTROL!$C$42, 14.2416, 14.2416) * CHOOSE(CONTROL!$C$21, $C$9, 100%, $E$9)</f>
        <v>14.2416</v>
      </c>
      <c r="N307" s="14">
        <f>CHOOSE(CONTROL!$C$42, 14.2584, 14.2584) * CHOOSE(CONTROL!$C$21, $C$9, 100%, $E$9)</f>
        <v>14.2584</v>
      </c>
      <c r="O307" s="14">
        <f>CHOOSE(CONTROL!$C$42, 14.5087, 14.5087) * CHOOSE(CONTROL!$C$21, $C$9, 100%, $E$9)</f>
        <v>14.508699999999999</v>
      </c>
      <c r="P307" s="14">
        <f>CHOOSE(CONTROL!$C$42, 14.2911, 14.2911) * CHOOSE(CONTROL!$C$21, $C$9, 100%, $E$9)</f>
        <v>14.2911</v>
      </c>
      <c r="Q307" s="14">
        <f>CHOOSE(CONTROL!$C$42, 15.1034, 15.1034) * CHOOSE(CONTROL!$C$21, $C$9, 100%, $E$9)</f>
        <v>15.103400000000001</v>
      </c>
      <c r="R307" s="14">
        <f>CHOOSE(CONTROL!$C$42, 15.7281, 15.7281) * CHOOSE(CONTROL!$C$21, $C$9, 100%, $E$9)</f>
        <v>15.7281</v>
      </c>
      <c r="S307" s="14">
        <f>CHOOSE(CONTROL!$C$42, 13.9026, 13.9026) * CHOOSE(CONTROL!$C$21, $C$9, 100%, $E$9)</f>
        <v>13.9026</v>
      </c>
      <c r="T30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07" s="56">
        <f>(1000*CHOOSE(CONTROL!$C$42, 695, 695)*CHOOSE(CONTROL!$C$42, 0.5599, 0.5599)*CHOOSE(CONTROL!$C$42, 31, 31))/1000000</f>
        <v>12.063045499999998</v>
      </c>
      <c r="V307" s="56">
        <f>(1000*CHOOSE(CONTROL!$C$42, 500, 500)*CHOOSE(CONTROL!$C$42, 0.275, 0.275)*CHOOSE(CONTROL!$C$42, 31, 31))/1000000</f>
        <v>4.2625000000000002</v>
      </c>
      <c r="W307" s="56">
        <f>(1000*CHOOSE(CONTROL!$C$42, 0.1146, 0.1146)*CHOOSE(CONTROL!$C$42, 121.5, 121.5)*CHOOSE(CONTROL!$C$42, 31, 31))/1000000</f>
        <v>0.43164089999999994</v>
      </c>
      <c r="X307" s="56">
        <f>(31*0.1790888*245000/1000000)+(31*0.2374*100000/1000000)</f>
        <v>2.0961194359999999</v>
      </c>
      <c r="Y307" s="56"/>
      <c r="Z307" s="14"/>
      <c r="AA307" s="55"/>
      <c r="AB307" s="49">
        <f>(B307*194.205+C307*267.466+D307*133.845+E307*53.484+F307*40+G307*185+H307*0+I307*100+J307*300)/(194.205+267.466+133.845+53.484+0+40+185+100+300)</f>
        <v>14.536871389246466</v>
      </c>
      <c r="AC307" s="45">
        <f>(M307*'RAP TEMPLATE-GAS AVAILABILITY'!O306+N307*'RAP TEMPLATE-GAS AVAILABILITY'!P306+O307*'RAP TEMPLATE-GAS AVAILABILITY'!Q306+P307*'RAP TEMPLATE-GAS AVAILABILITY'!R306)/('RAP TEMPLATE-GAS AVAILABILITY'!O306+'RAP TEMPLATE-GAS AVAILABILITY'!P306+'RAP TEMPLATE-GAS AVAILABILITY'!Q306+'RAP TEMPLATE-GAS AVAILABILITY'!R306)</f>
        <v>14.327531654676259</v>
      </c>
    </row>
    <row r="308" spans="1:29" ht="15.75" x14ac:dyDescent="0.25">
      <c r="A308" s="34">
        <v>50253</v>
      </c>
      <c r="B308" s="14">
        <f>CHOOSE(CONTROL!$C$42, 13.7648, 13.7648) * CHOOSE(CONTROL!$C$21, $C$9, 100%, $E$9)</f>
        <v>13.764799999999999</v>
      </c>
      <c r="C308" s="14">
        <f>CHOOSE(CONTROL!$C$42, 13.7728, 13.7728) * CHOOSE(CONTROL!$C$21, $C$9, 100%, $E$9)</f>
        <v>13.7728</v>
      </c>
      <c r="D308" s="14">
        <f>CHOOSE(CONTROL!$C$42, 14.0319, 14.0319) * CHOOSE(CONTROL!$C$21, $C$9, 100%, $E$9)</f>
        <v>14.0319</v>
      </c>
      <c r="E308" s="14">
        <f>CHOOSE(CONTROL!$C$42, 14.0633, 14.0633) * CHOOSE(CONTROL!$C$21, $C$9, 100%, $E$9)</f>
        <v>14.0633</v>
      </c>
      <c r="F308" s="14">
        <f>CHOOSE(CONTROL!$C$42, 13.7872, 13.7872)*CHOOSE(CONTROL!$C$21, $C$9, 100%, $E$9)</f>
        <v>13.7872</v>
      </c>
      <c r="G308" s="14">
        <f>CHOOSE(CONTROL!$C$42, 13.8044, 13.8044)*CHOOSE(CONTROL!$C$21, $C$9, 100%, $E$9)</f>
        <v>13.804399999999999</v>
      </c>
      <c r="H308" s="14">
        <f>CHOOSE(CONTROL!$C$42, 14.052, 14.052) * CHOOSE(CONTROL!$C$21, $C$9, 100%, $E$9)</f>
        <v>14.052</v>
      </c>
      <c r="I308" s="14">
        <f>CHOOSE(CONTROL!$C$42, 13.829, 13.829)* CHOOSE(CONTROL!$C$21, $C$9, 100%, $E$9)</f>
        <v>13.829000000000001</v>
      </c>
      <c r="J308" s="14">
        <f>CHOOSE(CONTROL!$C$42, 13.7802, 13.7802)* CHOOSE(CONTROL!$C$21, $C$9, 100%, $E$9)</f>
        <v>13.780200000000001</v>
      </c>
      <c r="K308" s="52">
        <f>CHOOSE(CONTROL!$C$42, 13.8251, 13.8251) * CHOOSE(CONTROL!$C$21, $C$9, 100%, $E$9)</f>
        <v>13.825100000000001</v>
      </c>
      <c r="L308" s="14">
        <f>CHOOSE(CONTROL!$C$42, 14.639, 14.639) * CHOOSE(CONTROL!$C$21, $C$9, 100%, $E$9)</f>
        <v>14.638999999999999</v>
      </c>
      <c r="M308" s="14">
        <f>CHOOSE(CONTROL!$C$42, 13.54, 13.54) * CHOOSE(CONTROL!$C$21, $C$9, 100%, $E$9)</f>
        <v>13.54</v>
      </c>
      <c r="N308" s="14">
        <f>CHOOSE(CONTROL!$C$42, 13.5569, 13.5569) * CHOOSE(CONTROL!$C$21, $C$9, 100%, $E$9)</f>
        <v>13.556900000000001</v>
      </c>
      <c r="O308" s="14">
        <f>CHOOSE(CONTROL!$C$42, 13.8069, 13.8069) * CHOOSE(CONTROL!$C$21, $C$9, 100%, $E$9)</f>
        <v>13.806900000000001</v>
      </c>
      <c r="P308" s="14">
        <f>CHOOSE(CONTROL!$C$42, 13.5872, 13.5872) * CHOOSE(CONTROL!$C$21, $C$9, 100%, $E$9)</f>
        <v>13.587199999999999</v>
      </c>
      <c r="Q308" s="14">
        <f>CHOOSE(CONTROL!$C$42, 14.4016, 14.4016) * CHOOSE(CONTROL!$C$21, $C$9, 100%, $E$9)</f>
        <v>14.4016</v>
      </c>
      <c r="R308" s="14">
        <f>CHOOSE(CONTROL!$C$42, 15.0246, 15.0246) * CHOOSE(CONTROL!$C$21, $C$9, 100%, $E$9)</f>
        <v>15.0246</v>
      </c>
      <c r="S308" s="14">
        <f>CHOOSE(CONTROL!$C$42, 13.2159, 13.2159) * CHOOSE(CONTROL!$C$21, $C$9, 100%, $E$9)</f>
        <v>13.2159</v>
      </c>
      <c r="T30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08" s="56">
        <f>(1000*CHOOSE(CONTROL!$C$42, 695, 695)*CHOOSE(CONTROL!$C$42, 0.5599, 0.5599)*CHOOSE(CONTROL!$C$42, 31, 31))/1000000</f>
        <v>12.063045499999998</v>
      </c>
      <c r="V308" s="56">
        <f>(1000*CHOOSE(CONTROL!$C$42, 500, 500)*CHOOSE(CONTROL!$C$42, 0.275, 0.275)*CHOOSE(CONTROL!$C$42, 31, 31))/1000000</f>
        <v>4.2625000000000002</v>
      </c>
      <c r="W308" s="56">
        <f>(1000*CHOOSE(CONTROL!$C$42, 0.1146, 0.1146)*CHOOSE(CONTROL!$C$42, 121.5, 121.5)*CHOOSE(CONTROL!$C$42, 31, 31))/1000000</f>
        <v>0.43164089999999994</v>
      </c>
      <c r="X308" s="56">
        <f>(31*0.1790888*245000/1000000)+(31*0.2374*100000/1000000)</f>
        <v>2.0961194359999999</v>
      </c>
      <c r="Y308" s="56"/>
      <c r="Z308" s="14"/>
      <c r="AA308" s="55"/>
      <c r="AB308" s="49">
        <f>(B308*194.205+C308*267.466+D308*133.845+E308*53.484+F308*40+G308*185+H308*0+I308*100+J308*300)/(194.205+267.466+133.845+53.484+0+40+185+100+300)</f>
        <v>13.822191445447411</v>
      </c>
      <c r="AC308" s="45">
        <f>(M308*'RAP TEMPLATE-GAS AVAILABILITY'!O307+N308*'RAP TEMPLATE-GAS AVAILABILITY'!P307+O308*'RAP TEMPLATE-GAS AVAILABILITY'!Q307+P308*'RAP TEMPLATE-GAS AVAILABILITY'!R307)/('RAP TEMPLATE-GAS AVAILABILITY'!O307+'RAP TEMPLATE-GAS AVAILABILITY'!P307+'RAP TEMPLATE-GAS AVAILABILITY'!Q307+'RAP TEMPLATE-GAS AVAILABILITY'!R307)</f>
        <v>13.625567625899279</v>
      </c>
    </row>
    <row r="309" spans="1:29" ht="15.75" x14ac:dyDescent="0.25">
      <c r="A309" s="34">
        <v>50284</v>
      </c>
      <c r="B309" s="14">
        <f>CHOOSE(CONTROL!$C$42, 12.8914, 12.8914) * CHOOSE(CONTROL!$C$21, $C$9, 100%, $E$9)</f>
        <v>12.891400000000001</v>
      </c>
      <c r="C309" s="14">
        <f>CHOOSE(CONTROL!$C$42, 12.8994, 12.8994) * CHOOSE(CONTROL!$C$21, $C$9, 100%, $E$9)</f>
        <v>12.8994</v>
      </c>
      <c r="D309" s="14">
        <f>CHOOSE(CONTROL!$C$42, 13.1585, 13.1585) * CHOOSE(CONTROL!$C$21, $C$9, 100%, $E$9)</f>
        <v>13.1585</v>
      </c>
      <c r="E309" s="14">
        <f>CHOOSE(CONTROL!$C$42, 13.19, 13.19) * CHOOSE(CONTROL!$C$21, $C$9, 100%, $E$9)</f>
        <v>13.19</v>
      </c>
      <c r="F309" s="14">
        <f>CHOOSE(CONTROL!$C$42, 12.9139, 12.9139)*CHOOSE(CONTROL!$C$21, $C$9, 100%, $E$9)</f>
        <v>12.9139</v>
      </c>
      <c r="G309" s="14">
        <f>CHOOSE(CONTROL!$C$42, 12.9311, 12.9311)*CHOOSE(CONTROL!$C$21, $C$9, 100%, $E$9)</f>
        <v>12.931100000000001</v>
      </c>
      <c r="H309" s="14">
        <f>CHOOSE(CONTROL!$C$42, 13.1786, 13.1786) * CHOOSE(CONTROL!$C$21, $C$9, 100%, $E$9)</f>
        <v>13.178599999999999</v>
      </c>
      <c r="I309" s="14">
        <f>CHOOSE(CONTROL!$C$42, 12.9529, 12.9529)* CHOOSE(CONTROL!$C$21, $C$9, 100%, $E$9)</f>
        <v>12.9529</v>
      </c>
      <c r="J309" s="14">
        <f>CHOOSE(CONTROL!$C$42, 12.9069, 12.9069)* CHOOSE(CONTROL!$C$21, $C$9, 100%, $E$9)</f>
        <v>12.9069</v>
      </c>
      <c r="K309" s="52">
        <f>CHOOSE(CONTROL!$C$42, 12.949, 12.949) * CHOOSE(CONTROL!$C$21, $C$9, 100%, $E$9)</f>
        <v>12.949</v>
      </c>
      <c r="L309" s="14">
        <f>CHOOSE(CONTROL!$C$42, 13.7656, 13.7656) * CHOOSE(CONTROL!$C$21, $C$9, 100%, $E$9)</f>
        <v>13.765599999999999</v>
      </c>
      <c r="M309" s="14">
        <f>CHOOSE(CONTROL!$C$42, 12.6824, 12.6824) * CHOOSE(CONTROL!$C$21, $C$9, 100%, $E$9)</f>
        <v>12.682399999999999</v>
      </c>
      <c r="N309" s="14">
        <f>CHOOSE(CONTROL!$C$42, 12.6993, 12.6993) * CHOOSE(CONTROL!$C$21, $C$9, 100%, $E$9)</f>
        <v>12.699299999999999</v>
      </c>
      <c r="O309" s="14">
        <f>CHOOSE(CONTROL!$C$42, 12.9493, 12.9493) * CHOOSE(CONTROL!$C$21, $C$9, 100%, $E$9)</f>
        <v>12.949299999999999</v>
      </c>
      <c r="P309" s="14">
        <f>CHOOSE(CONTROL!$C$42, 12.7269, 12.7269) * CHOOSE(CONTROL!$C$21, $C$9, 100%, $E$9)</f>
        <v>12.726900000000001</v>
      </c>
      <c r="Q309" s="14">
        <f>CHOOSE(CONTROL!$C$42, 13.544, 13.544) * CHOOSE(CONTROL!$C$21, $C$9, 100%, $E$9)</f>
        <v>13.544</v>
      </c>
      <c r="R309" s="14">
        <f>CHOOSE(CONTROL!$C$42, 14.1648, 14.1648) * CHOOSE(CONTROL!$C$21, $C$9, 100%, $E$9)</f>
        <v>14.1648</v>
      </c>
      <c r="S309" s="14">
        <f>CHOOSE(CONTROL!$C$42, 12.3767, 12.3767) * CHOOSE(CONTROL!$C$21, $C$9, 100%, $E$9)</f>
        <v>12.3767</v>
      </c>
      <c r="T30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09" s="56">
        <f>(1000*CHOOSE(CONTROL!$C$42, 695, 695)*CHOOSE(CONTROL!$C$42, 0.5599, 0.5599)*CHOOSE(CONTROL!$C$42, 30, 30))/1000000</f>
        <v>11.673914999999997</v>
      </c>
      <c r="V309" s="56">
        <f>(1000*CHOOSE(CONTROL!$C$42, 500, 500)*CHOOSE(CONTROL!$C$42, 0.275, 0.275)*CHOOSE(CONTROL!$C$42, 30, 30))/1000000</f>
        <v>4.125</v>
      </c>
      <c r="W309" s="56">
        <f>(1000*CHOOSE(CONTROL!$C$42, 0.1146, 0.1146)*CHOOSE(CONTROL!$C$42, 121.5, 121.5)*CHOOSE(CONTROL!$C$42, 30, 30))/1000000</f>
        <v>0.417717</v>
      </c>
      <c r="X309" s="56">
        <f>(30*0.1790888*245000/1000000)+(30*0.2374*100000/1000000)</f>
        <v>2.0285026799999999</v>
      </c>
      <c r="Y309" s="56"/>
      <c r="Z309" s="14"/>
      <c r="AA309" s="55"/>
      <c r="AB309" s="49">
        <f>(B309*194.205+C309*267.466+D309*133.845+E309*53.484+F309*40+G309*185+H309*0+I309*100+J309*300)/(194.205+267.466+133.845+53.484+0+40+185+100+300)</f>
        <v>12.948624921428573</v>
      </c>
      <c r="AC309" s="45">
        <f>(M309*'RAP TEMPLATE-GAS AVAILABILITY'!O308+N309*'RAP TEMPLATE-GAS AVAILABILITY'!P308+O309*'RAP TEMPLATE-GAS AVAILABILITY'!Q308+P309*'RAP TEMPLATE-GAS AVAILABILITY'!R308)/('RAP TEMPLATE-GAS AVAILABILITY'!O308+'RAP TEMPLATE-GAS AVAILABILITY'!P308+'RAP TEMPLATE-GAS AVAILABILITY'!Q308+'RAP TEMPLATE-GAS AVAILABILITY'!R308)</f>
        <v>12.767579136690648</v>
      </c>
    </row>
    <row r="310" spans="1:29" ht="15.75" x14ac:dyDescent="0.25">
      <c r="A310" s="34">
        <v>50314</v>
      </c>
      <c r="B310" s="14">
        <f>CHOOSE(CONTROL!$C$42, 12.6281, 12.6281) * CHOOSE(CONTROL!$C$21, $C$9, 100%, $E$9)</f>
        <v>12.6281</v>
      </c>
      <c r="C310" s="14">
        <f>CHOOSE(CONTROL!$C$42, 12.6334, 12.6334) * CHOOSE(CONTROL!$C$21, $C$9, 100%, $E$9)</f>
        <v>12.6334</v>
      </c>
      <c r="D310" s="14">
        <f>CHOOSE(CONTROL!$C$42, 12.8975, 12.8975) * CHOOSE(CONTROL!$C$21, $C$9, 100%, $E$9)</f>
        <v>12.897500000000001</v>
      </c>
      <c r="E310" s="14">
        <f>CHOOSE(CONTROL!$C$42, 12.9266, 12.9266) * CHOOSE(CONTROL!$C$21, $C$9, 100%, $E$9)</f>
        <v>12.926600000000001</v>
      </c>
      <c r="F310" s="14">
        <f>CHOOSE(CONTROL!$C$42, 12.6528, 12.6528)*CHOOSE(CONTROL!$C$21, $C$9, 100%, $E$9)</f>
        <v>12.652799999999999</v>
      </c>
      <c r="G310" s="14">
        <f>CHOOSE(CONTROL!$C$42, 12.6699, 12.6699)*CHOOSE(CONTROL!$C$21, $C$9, 100%, $E$9)</f>
        <v>12.6699</v>
      </c>
      <c r="H310" s="14">
        <f>CHOOSE(CONTROL!$C$42, 12.9171, 12.9171) * CHOOSE(CONTROL!$C$21, $C$9, 100%, $E$9)</f>
        <v>12.9171</v>
      </c>
      <c r="I310" s="14">
        <f>CHOOSE(CONTROL!$C$42, 12.6905, 12.6905)* CHOOSE(CONTROL!$C$21, $C$9, 100%, $E$9)</f>
        <v>12.6905</v>
      </c>
      <c r="J310" s="14">
        <f>CHOOSE(CONTROL!$C$42, 12.6458, 12.6458)* CHOOSE(CONTROL!$C$21, $C$9, 100%, $E$9)</f>
        <v>12.645799999999999</v>
      </c>
      <c r="K310" s="52">
        <f>CHOOSE(CONTROL!$C$42, 12.6866, 12.6866) * CHOOSE(CONTROL!$C$21, $C$9, 100%, $E$9)</f>
        <v>12.6866</v>
      </c>
      <c r="L310" s="14">
        <f>CHOOSE(CONTROL!$C$42, 13.5041, 13.5041) * CHOOSE(CONTROL!$C$21, $C$9, 100%, $E$9)</f>
        <v>13.504099999999999</v>
      </c>
      <c r="M310" s="14">
        <f>CHOOSE(CONTROL!$C$42, 12.426, 12.426) * CHOOSE(CONTROL!$C$21, $C$9, 100%, $E$9)</f>
        <v>12.426</v>
      </c>
      <c r="N310" s="14">
        <f>CHOOSE(CONTROL!$C$42, 12.4428, 12.4428) * CHOOSE(CONTROL!$C$21, $C$9, 100%, $E$9)</f>
        <v>12.4428</v>
      </c>
      <c r="O310" s="14">
        <f>CHOOSE(CONTROL!$C$42, 12.6925, 12.6925) * CHOOSE(CONTROL!$C$21, $C$9, 100%, $E$9)</f>
        <v>12.692500000000001</v>
      </c>
      <c r="P310" s="14">
        <f>CHOOSE(CONTROL!$C$42, 12.4693, 12.4693) * CHOOSE(CONTROL!$C$21, $C$9, 100%, $E$9)</f>
        <v>12.4693</v>
      </c>
      <c r="Q310" s="14">
        <f>CHOOSE(CONTROL!$C$42, 13.2872, 13.2872) * CHOOSE(CONTROL!$C$21, $C$9, 100%, $E$9)</f>
        <v>13.2872</v>
      </c>
      <c r="R310" s="14">
        <f>CHOOSE(CONTROL!$C$42, 13.9074, 13.9074) * CHOOSE(CONTROL!$C$21, $C$9, 100%, $E$9)</f>
        <v>13.907400000000001</v>
      </c>
      <c r="S310" s="14">
        <f>CHOOSE(CONTROL!$C$42, 12.1254, 12.1254) * CHOOSE(CONTROL!$C$21, $C$9, 100%, $E$9)</f>
        <v>12.125400000000001</v>
      </c>
      <c r="T31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10" s="56">
        <f>(1000*CHOOSE(CONTROL!$C$42, 695, 695)*CHOOSE(CONTROL!$C$42, 0.5599, 0.5599)*CHOOSE(CONTROL!$C$42, 31, 31))/1000000</f>
        <v>12.063045499999998</v>
      </c>
      <c r="V310" s="56">
        <f>(1000*CHOOSE(CONTROL!$C$42, 500, 500)*CHOOSE(CONTROL!$C$42, 0.275, 0.275)*CHOOSE(CONTROL!$C$42, 31, 31))/1000000</f>
        <v>4.2625000000000002</v>
      </c>
      <c r="W310" s="56">
        <f>(1000*CHOOSE(CONTROL!$C$42, 0.1146, 0.1146)*CHOOSE(CONTROL!$C$42, 121.5, 121.5)*CHOOSE(CONTROL!$C$42, 31, 31))/1000000</f>
        <v>0.43164089999999994</v>
      </c>
      <c r="X310" s="56">
        <f>(31*0.1790888*245000/1000000)+(31*0.2374*100000/1000000)</f>
        <v>2.0961194359999999</v>
      </c>
      <c r="Y310" s="56"/>
      <c r="Z310" s="14"/>
      <c r="AA310" s="55"/>
      <c r="AB310" s="49">
        <f>(B310*131.881+C310*277.167+D310*79.08+E310*125.872+F310*40+G310*185+H310*0+I310*100+J310*300)/(131.881+277.167+79.08+125.872+0+40+185+100+300)</f>
        <v>12.693166125181596</v>
      </c>
      <c r="AC310" s="45">
        <f>(M310*'RAP TEMPLATE-GAS AVAILABILITY'!O309+N310*'RAP TEMPLATE-GAS AVAILABILITY'!P309+O310*'RAP TEMPLATE-GAS AVAILABILITY'!Q309+P310*'RAP TEMPLATE-GAS AVAILABILITY'!R309)/('RAP TEMPLATE-GAS AVAILABILITY'!O309+'RAP TEMPLATE-GAS AVAILABILITY'!P309+'RAP TEMPLATE-GAS AVAILABILITY'!Q309+'RAP TEMPLATE-GAS AVAILABILITY'!R309)</f>
        <v>12.510871223021583</v>
      </c>
    </row>
    <row r="311" spans="1:29" ht="15.75" x14ac:dyDescent="0.25">
      <c r="A311" s="34">
        <v>50345</v>
      </c>
      <c r="B311" s="14">
        <f>CHOOSE(CONTROL!$C$42, 12.9601, 12.9601) * CHOOSE(CONTROL!$C$21, $C$9, 100%, $E$9)</f>
        <v>12.960100000000001</v>
      </c>
      <c r="C311" s="14">
        <f>CHOOSE(CONTROL!$C$42, 12.9652, 12.9652) * CHOOSE(CONTROL!$C$21, $C$9, 100%, $E$9)</f>
        <v>12.965199999999999</v>
      </c>
      <c r="D311" s="14">
        <f>CHOOSE(CONTROL!$C$42, 13.0483, 13.0483) * CHOOSE(CONTROL!$C$21, $C$9, 100%, $E$9)</f>
        <v>13.048299999999999</v>
      </c>
      <c r="E311" s="14">
        <f>CHOOSE(CONTROL!$C$42, 13.0824, 13.0824) * CHOOSE(CONTROL!$C$21, $C$9, 100%, $E$9)</f>
        <v>13.0824</v>
      </c>
      <c r="F311" s="14">
        <f>CHOOSE(CONTROL!$C$42, 12.9878, 12.9878)*CHOOSE(CONTROL!$C$21, $C$9, 100%, $E$9)</f>
        <v>12.9878</v>
      </c>
      <c r="G311" s="14">
        <f>CHOOSE(CONTROL!$C$42, 13.0051, 13.0051)*CHOOSE(CONTROL!$C$21, $C$9, 100%, $E$9)</f>
        <v>13.005100000000001</v>
      </c>
      <c r="H311" s="14">
        <f>CHOOSE(CONTROL!$C$42, 13.0716, 13.0716) * CHOOSE(CONTROL!$C$21, $C$9, 100%, $E$9)</f>
        <v>13.0716</v>
      </c>
      <c r="I311" s="14">
        <f>CHOOSE(CONTROL!$C$42, 13.0203, 13.0203)* CHOOSE(CONTROL!$C$21, $C$9, 100%, $E$9)</f>
        <v>13.020300000000001</v>
      </c>
      <c r="J311" s="14">
        <f>CHOOSE(CONTROL!$C$42, 12.9808, 12.9808)* CHOOSE(CONTROL!$C$21, $C$9, 100%, $E$9)</f>
        <v>12.9808</v>
      </c>
      <c r="K311" s="52">
        <f>CHOOSE(CONTROL!$C$42, 13.0165, 13.0165) * CHOOSE(CONTROL!$C$21, $C$9, 100%, $E$9)</f>
        <v>13.016500000000001</v>
      </c>
      <c r="L311" s="14">
        <f>CHOOSE(CONTROL!$C$42, 13.6586, 13.6586) * CHOOSE(CONTROL!$C$21, $C$9, 100%, $E$9)</f>
        <v>13.6586</v>
      </c>
      <c r="M311" s="14">
        <f>CHOOSE(CONTROL!$C$42, 12.755, 12.755) * CHOOSE(CONTROL!$C$21, $C$9, 100%, $E$9)</f>
        <v>12.755000000000001</v>
      </c>
      <c r="N311" s="14">
        <f>CHOOSE(CONTROL!$C$42, 12.772, 12.772) * CHOOSE(CONTROL!$C$21, $C$9, 100%, $E$9)</f>
        <v>12.772</v>
      </c>
      <c r="O311" s="14">
        <f>CHOOSE(CONTROL!$C$42, 12.8441, 12.8441) * CHOOSE(CONTROL!$C$21, $C$9, 100%, $E$9)</f>
        <v>12.844099999999999</v>
      </c>
      <c r="P311" s="14">
        <f>CHOOSE(CONTROL!$C$42, 12.7932, 12.7932) * CHOOSE(CONTROL!$C$21, $C$9, 100%, $E$9)</f>
        <v>12.793200000000001</v>
      </c>
      <c r="Q311" s="14">
        <f>CHOOSE(CONTROL!$C$42, 13.4388, 13.4388) * CHOOSE(CONTROL!$C$21, $C$9, 100%, $E$9)</f>
        <v>13.438800000000001</v>
      </c>
      <c r="R311" s="14">
        <f>CHOOSE(CONTROL!$C$42, 14.0594, 14.0594) * CHOOSE(CONTROL!$C$21, $C$9, 100%, $E$9)</f>
        <v>14.0594</v>
      </c>
      <c r="S311" s="14">
        <f>CHOOSE(CONTROL!$C$42, 12.4448, 12.4448) * CHOOSE(CONTROL!$C$21, $C$9, 100%, $E$9)</f>
        <v>12.444800000000001</v>
      </c>
      <c r="T31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11" s="56">
        <f>(1000*CHOOSE(CONTROL!$C$42, 695, 695)*CHOOSE(CONTROL!$C$42, 0.5599, 0.5599)*CHOOSE(CONTROL!$C$42, 30, 30))/1000000</f>
        <v>11.673914999999997</v>
      </c>
      <c r="V311" s="56">
        <f>(1000*CHOOSE(CONTROL!$C$42, 500, 500)*CHOOSE(CONTROL!$C$42, 0.275, 0.275)*CHOOSE(CONTROL!$C$42, 30, 30))/1000000</f>
        <v>4.125</v>
      </c>
      <c r="W311" s="56">
        <f>(1000*CHOOSE(CONTROL!$C$42, 0.1146, 0.1146)*CHOOSE(CONTROL!$C$42, 121.5, 121.5)*CHOOSE(CONTROL!$C$42, 30, 30))/1000000</f>
        <v>0.417717</v>
      </c>
      <c r="X311" s="56">
        <f>(30*0.1790888*100000/1000000)+(30*0.2374*100000/1000000)</f>
        <v>1.2494664</v>
      </c>
      <c r="Y311" s="56"/>
      <c r="Z311" s="14"/>
      <c r="AA311" s="55"/>
      <c r="AB311" s="49">
        <f>(B311*122.58+C311*297.941+D311*89.177+E311*40.302+F311*40+G311*160+H311*0+I311*100+J311*300)/(122.58+297.941+89.177+40.302+0+40+160+100+300)</f>
        <v>12.99040595226087</v>
      </c>
      <c r="AC311" s="45">
        <f>(M311*'RAP TEMPLATE-GAS AVAILABILITY'!O310+N311*'RAP TEMPLATE-GAS AVAILABILITY'!P310+O311*'RAP TEMPLATE-GAS AVAILABILITY'!Q310+P311*'RAP TEMPLATE-GAS AVAILABILITY'!R310)/('RAP TEMPLATE-GAS AVAILABILITY'!O310+'RAP TEMPLATE-GAS AVAILABILITY'!P310+'RAP TEMPLATE-GAS AVAILABILITY'!Q310+'RAP TEMPLATE-GAS AVAILABILITY'!R310)</f>
        <v>12.801858273381294</v>
      </c>
    </row>
    <row r="312" spans="1:29" ht="15.75" x14ac:dyDescent="0.25">
      <c r="A312" s="34">
        <v>50375</v>
      </c>
      <c r="B312" s="14">
        <f>CHOOSE(CONTROL!$C$42, 13.8431, 13.8431) * CHOOSE(CONTROL!$C$21, $C$9, 100%, $E$9)</f>
        <v>13.8431</v>
      </c>
      <c r="C312" s="14">
        <f>CHOOSE(CONTROL!$C$42, 13.8482, 13.8482) * CHOOSE(CONTROL!$C$21, $C$9, 100%, $E$9)</f>
        <v>13.8482</v>
      </c>
      <c r="D312" s="14">
        <f>CHOOSE(CONTROL!$C$42, 13.9312, 13.9312) * CHOOSE(CONTROL!$C$21, $C$9, 100%, $E$9)</f>
        <v>13.9312</v>
      </c>
      <c r="E312" s="14">
        <f>CHOOSE(CONTROL!$C$42, 13.9653, 13.9653) * CHOOSE(CONTROL!$C$21, $C$9, 100%, $E$9)</f>
        <v>13.965299999999999</v>
      </c>
      <c r="F312" s="14">
        <f>CHOOSE(CONTROL!$C$42, 13.8731, 13.8731)*CHOOSE(CONTROL!$C$21, $C$9, 100%, $E$9)</f>
        <v>13.873100000000001</v>
      </c>
      <c r="G312" s="14">
        <f>CHOOSE(CONTROL!$C$42, 13.8912, 13.8912)*CHOOSE(CONTROL!$C$21, $C$9, 100%, $E$9)</f>
        <v>13.8912</v>
      </c>
      <c r="H312" s="14">
        <f>CHOOSE(CONTROL!$C$42, 13.9545, 13.9545) * CHOOSE(CONTROL!$C$21, $C$9, 100%, $E$9)</f>
        <v>13.954499999999999</v>
      </c>
      <c r="I312" s="14">
        <f>CHOOSE(CONTROL!$C$42, 13.9061, 13.9061)* CHOOSE(CONTROL!$C$21, $C$9, 100%, $E$9)</f>
        <v>13.9061</v>
      </c>
      <c r="J312" s="14">
        <f>CHOOSE(CONTROL!$C$42, 13.8661, 13.8661)* CHOOSE(CONTROL!$C$21, $C$9, 100%, $E$9)</f>
        <v>13.866099999999999</v>
      </c>
      <c r="K312" s="52">
        <f>CHOOSE(CONTROL!$C$42, 13.9022, 13.9022) * CHOOSE(CONTROL!$C$21, $C$9, 100%, $E$9)</f>
        <v>13.902200000000001</v>
      </c>
      <c r="L312" s="14">
        <f>CHOOSE(CONTROL!$C$42, 14.5415, 14.5415) * CHOOSE(CONTROL!$C$21, $C$9, 100%, $E$9)</f>
        <v>14.541499999999999</v>
      </c>
      <c r="M312" s="14">
        <f>CHOOSE(CONTROL!$C$42, 13.6244, 13.6244) * CHOOSE(CONTROL!$C$21, $C$9, 100%, $E$9)</f>
        <v>13.6244</v>
      </c>
      <c r="N312" s="14">
        <f>CHOOSE(CONTROL!$C$42, 13.6421, 13.6421) * CHOOSE(CONTROL!$C$21, $C$9, 100%, $E$9)</f>
        <v>13.642099999999999</v>
      </c>
      <c r="O312" s="14">
        <f>CHOOSE(CONTROL!$C$42, 13.7112, 13.7112) * CHOOSE(CONTROL!$C$21, $C$9, 100%, $E$9)</f>
        <v>13.7112</v>
      </c>
      <c r="P312" s="14">
        <f>CHOOSE(CONTROL!$C$42, 13.6629, 13.6629) * CHOOSE(CONTROL!$C$21, $C$9, 100%, $E$9)</f>
        <v>13.6629</v>
      </c>
      <c r="Q312" s="14">
        <f>CHOOSE(CONTROL!$C$42, 14.3059, 14.3059) * CHOOSE(CONTROL!$C$21, $C$9, 100%, $E$9)</f>
        <v>14.305899999999999</v>
      </c>
      <c r="R312" s="14">
        <f>CHOOSE(CONTROL!$C$42, 14.9287, 14.9287) * CHOOSE(CONTROL!$C$21, $C$9, 100%, $E$9)</f>
        <v>14.928699999999999</v>
      </c>
      <c r="S312" s="14">
        <f>CHOOSE(CONTROL!$C$42, 13.2933, 13.2933) * CHOOSE(CONTROL!$C$21, $C$9, 100%, $E$9)</f>
        <v>13.2933</v>
      </c>
      <c r="T31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12" s="56">
        <f>(1000*CHOOSE(CONTROL!$C$42, 695, 695)*CHOOSE(CONTROL!$C$42, 0.5599, 0.5599)*CHOOSE(CONTROL!$C$42, 31, 31))/1000000</f>
        <v>12.063045499999998</v>
      </c>
      <c r="V312" s="56">
        <f>(1000*CHOOSE(CONTROL!$C$42, 500, 500)*CHOOSE(CONTROL!$C$42, 0.275, 0.275)*CHOOSE(CONTROL!$C$42, 31, 31))/1000000</f>
        <v>4.2625000000000002</v>
      </c>
      <c r="W312" s="56">
        <f>(1000*CHOOSE(CONTROL!$C$42, 0.1146, 0.1146)*CHOOSE(CONTROL!$C$42, 121.5, 121.5)*CHOOSE(CONTROL!$C$42, 31, 31))/1000000</f>
        <v>0.43164089999999994</v>
      </c>
      <c r="X312" s="56">
        <f>(31*0.1790888*100000/1000000)+(31*0.2374*100000/1000000)</f>
        <v>1.2911152800000001</v>
      </c>
      <c r="Y312" s="56"/>
      <c r="Z312" s="14"/>
      <c r="AA312" s="55"/>
      <c r="AB312" s="49">
        <f>(B312*122.58+C312*297.941+D312*89.177+E312*40.302+F312*40+G312*160+H312*0+I312*100+J312*300)/(122.58+297.941+89.177+40.302+0+40+160+100+300)</f>
        <v>13.874749475826087</v>
      </c>
      <c r="AC312" s="45">
        <f>(M312*'RAP TEMPLATE-GAS AVAILABILITY'!O311+N312*'RAP TEMPLATE-GAS AVAILABILITY'!P311+O312*'RAP TEMPLATE-GAS AVAILABILITY'!Q311+P312*'RAP TEMPLATE-GAS AVAILABILITY'!R311)/('RAP TEMPLATE-GAS AVAILABILITY'!O311+'RAP TEMPLATE-GAS AVAILABILITY'!P311+'RAP TEMPLATE-GAS AVAILABILITY'!Q311+'RAP TEMPLATE-GAS AVAILABILITY'!R311)</f>
        <v>13.67029928057554</v>
      </c>
    </row>
    <row r="313" spans="1:29" ht="15.75" x14ac:dyDescent="0.25">
      <c r="A313" s="33">
        <v>50436</v>
      </c>
      <c r="B313" s="14">
        <f>CHOOSE(CONTROL!$C$42, 14.9899, 14.9899) * CHOOSE(CONTROL!$C$21, $C$9, 100%, $E$9)</f>
        <v>14.9899</v>
      </c>
      <c r="C313" s="14">
        <f>CHOOSE(CONTROL!$C$42, 14.995, 14.995) * CHOOSE(CONTROL!$C$21, $C$9, 100%, $E$9)</f>
        <v>14.994999999999999</v>
      </c>
      <c r="D313" s="14">
        <f>CHOOSE(CONTROL!$C$42, 15.0884, 15.0884) * CHOOSE(CONTROL!$C$21, $C$9, 100%, $E$9)</f>
        <v>15.0884</v>
      </c>
      <c r="E313" s="14">
        <f>CHOOSE(CONTROL!$C$42, 15.1225, 15.1225) * CHOOSE(CONTROL!$C$21, $C$9, 100%, $E$9)</f>
        <v>15.1225</v>
      </c>
      <c r="F313" s="14">
        <f>CHOOSE(CONTROL!$C$42, 15.0172, 15.0172)*CHOOSE(CONTROL!$C$21, $C$9, 100%, $E$9)</f>
        <v>15.017200000000001</v>
      </c>
      <c r="G313" s="14">
        <f>CHOOSE(CONTROL!$C$42, 15.0352, 15.0352)*CHOOSE(CONTROL!$C$21, $C$9, 100%, $E$9)</f>
        <v>15.0352</v>
      </c>
      <c r="H313" s="14">
        <f>CHOOSE(CONTROL!$C$42, 15.1117, 15.1117) * CHOOSE(CONTROL!$C$21, $C$9, 100%, $E$9)</f>
        <v>15.111700000000001</v>
      </c>
      <c r="I313" s="14">
        <f>CHOOSE(CONTROL!$C$42, 15.0627, 15.0627)* CHOOSE(CONTROL!$C$21, $C$9, 100%, $E$9)</f>
        <v>15.0627</v>
      </c>
      <c r="J313" s="14">
        <f>CHOOSE(CONTROL!$C$42, 15.0102, 15.0102)* CHOOSE(CONTROL!$C$21, $C$9, 100%, $E$9)</f>
        <v>15.010199999999999</v>
      </c>
      <c r="K313" s="52">
        <f>CHOOSE(CONTROL!$C$42, 15.0588, 15.0588) * CHOOSE(CONTROL!$C$21, $C$9, 100%, $E$9)</f>
        <v>15.0588</v>
      </c>
      <c r="L313" s="14">
        <f>CHOOSE(CONTROL!$C$42, 15.6987, 15.6987) * CHOOSE(CONTROL!$C$21, $C$9, 100%, $E$9)</f>
        <v>15.698700000000001</v>
      </c>
      <c r="M313" s="14">
        <f>CHOOSE(CONTROL!$C$42, 14.7479, 14.7479) * CHOOSE(CONTROL!$C$21, $C$9, 100%, $E$9)</f>
        <v>14.7479</v>
      </c>
      <c r="N313" s="14">
        <f>CHOOSE(CONTROL!$C$42, 14.7656, 14.7656) * CHOOSE(CONTROL!$C$21, $C$9, 100%, $E$9)</f>
        <v>14.765599999999999</v>
      </c>
      <c r="O313" s="14">
        <f>CHOOSE(CONTROL!$C$42, 14.8476, 14.8476) * CHOOSE(CONTROL!$C$21, $C$9, 100%, $E$9)</f>
        <v>14.8476</v>
      </c>
      <c r="P313" s="14">
        <f>CHOOSE(CONTROL!$C$42, 14.7987, 14.7987) * CHOOSE(CONTROL!$C$21, $C$9, 100%, $E$9)</f>
        <v>14.7987</v>
      </c>
      <c r="Q313" s="14">
        <f>CHOOSE(CONTROL!$C$42, 15.4423, 15.4423) * CHOOSE(CONTROL!$C$21, $C$9, 100%, $E$9)</f>
        <v>15.442299999999999</v>
      </c>
      <c r="R313" s="14">
        <f>CHOOSE(CONTROL!$C$42, 16.0679, 16.0679) * CHOOSE(CONTROL!$C$21, $C$9, 100%, $E$9)</f>
        <v>16.067900000000002</v>
      </c>
      <c r="S313" s="14">
        <f>CHOOSE(CONTROL!$C$42, 14.3952, 14.3952) * CHOOSE(CONTROL!$C$21, $C$9, 100%, $E$9)</f>
        <v>14.395200000000001</v>
      </c>
      <c r="T31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13" s="56">
        <f>(1000*CHOOSE(CONTROL!$C$42, 695, 695)*CHOOSE(CONTROL!$C$42, 0.5599, 0.5599)*CHOOSE(CONTROL!$C$42, 31, 31))/1000000</f>
        <v>12.063045499999998</v>
      </c>
      <c r="V313" s="56">
        <f>(1000*CHOOSE(CONTROL!$C$42, 500, 500)*CHOOSE(CONTROL!$C$42, 0.275, 0.275)*CHOOSE(CONTROL!$C$42, 31, 31))/1000000</f>
        <v>4.2625000000000002</v>
      </c>
      <c r="W313" s="56">
        <f>(1000*CHOOSE(CONTROL!$C$42, 0.1146, 0.1146)*CHOOSE(CONTROL!$C$42, 121.5, 121.5)*CHOOSE(CONTROL!$C$42, 31, 31))/1000000</f>
        <v>0.43164089999999994</v>
      </c>
      <c r="X313" s="56">
        <f>(31*0.1790888*100000/1000000)+(31*0.2374*100000/1000000)</f>
        <v>1.2911152800000001</v>
      </c>
      <c r="Y313" s="56"/>
      <c r="Z313" s="14"/>
      <c r="AA313" s="55"/>
      <c r="AB313" s="49">
        <f>(B313*122.58+C313*297.941+D313*89.177+E313*40.302+F313*40+G313*160+H313*0+I313*100+J313*300)/(122.58+297.941+89.177+40.302+0+40+160+100+300)</f>
        <v>15.022384764173912</v>
      </c>
      <c r="AC313" s="45">
        <f>(M313*'RAP TEMPLATE-GAS AVAILABILITY'!O312+N313*'RAP TEMPLATE-GAS AVAILABILITY'!P312+O313*'RAP TEMPLATE-GAS AVAILABILITY'!Q312+P313*'RAP TEMPLATE-GAS AVAILABILITY'!R312)/('RAP TEMPLATE-GAS AVAILABILITY'!O312+'RAP TEMPLATE-GAS AVAILABILITY'!P312+'RAP TEMPLATE-GAS AVAILABILITY'!Q312+'RAP TEMPLATE-GAS AVAILABILITY'!R312)</f>
        <v>14.801415827338131</v>
      </c>
    </row>
    <row r="314" spans="1:29" ht="15.75" x14ac:dyDescent="0.25">
      <c r="A314" s="33">
        <v>50464</v>
      </c>
      <c r="B314" s="14">
        <f>CHOOSE(CONTROL!$C$42, 15.2566, 15.2566) * CHOOSE(CONTROL!$C$21, $C$9, 100%, $E$9)</f>
        <v>15.256600000000001</v>
      </c>
      <c r="C314" s="14">
        <f>CHOOSE(CONTROL!$C$42, 15.2616, 15.2616) * CHOOSE(CONTROL!$C$21, $C$9, 100%, $E$9)</f>
        <v>15.2616</v>
      </c>
      <c r="D314" s="14">
        <f>CHOOSE(CONTROL!$C$42, 15.3551, 15.3551) * CHOOSE(CONTROL!$C$21, $C$9, 100%, $E$9)</f>
        <v>15.3551</v>
      </c>
      <c r="E314" s="14">
        <f>CHOOSE(CONTROL!$C$42, 15.3892, 15.3892) * CHOOSE(CONTROL!$C$21, $C$9, 100%, $E$9)</f>
        <v>15.389200000000001</v>
      </c>
      <c r="F314" s="14">
        <f>CHOOSE(CONTROL!$C$42, 15.2835, 15.2835)*CHOOSE(CONTROL!$C$21, $C$9, 100%, $E$9)</f>
        <v>15.2835</v>
      </c>
      <c r="G314" s="14">
        <f>CHOOSE(CONTROL!$C$42, 15.3014, 15.3014)*CHOOSE(CONTROL!$C$21, $C$9, 100%, $E$9)</f>
        <v>15.301399999999999</v>
      </c>
      <c r="H314" s="14">
        <f>CHOOSE(CONTROL!$C$42, 15.3784, 15.3784) * CHOOSE(CONTROL!$C$21, $C$9, 100%, $E$9)</f>
        <v>15.378399999999999</v>
      </c>
      <c r="I314" s="14">
        <f>CHOOSE(CONTROL!$C$42, 15.3302, 15.3302)* CHOOSE(CONTROL!$C$21, $C$9, 100%, $E$9)</f>
        <v>15.3302</v>
      </c>
      <c r="J314" s="14">
        <f>CHOOSE(CONTROL!$C$42, 15.2765, 15.2765)* CHOOSE(CONTROL!$C$21, $C$9, 100%, $E$9)</f>
        <v>15.2765</v>
      </c>
      <c r="K314" s="52">
        <f>CHOOSE(CONTROL!$C$42, 15.3263, 15.3263) * CHOOSE(CONTROL!$C$21, $C$9, 100%, $E$9)</f>
        <v>15.3263</v>
      </c>
      <c r="L314" s="14">
        <f>CHOOSE(CONTROL!$C$42, 15.9654, 15.9654) * CHOOSE(CONTROL!$C$21, $C$9, 100%, $E$9)</f>
        <v>15.965400000000001</v>
      </c>
      <c r="M314" s="14">
        <f>CHOOSE(CONTROL!$C$42, 15.0094, 15.0094) * CHOOSE(CONTROL!$C$21, $C$9, 100%, $E$9)</f>
        <v>15.009399999999999</v>
      </c>
      <c r="N314" s="14">
        <f>CHOOSE(CONTROL!$C$42, 15.027, 15.027) * CHOOSE(CONTROL!$C$21, $C$9, 100%, $E$9)</f>
        <v>15.026999999999999</v>
      </c>
      <c r="O314" s="14">
        <f>CHOOSE(CONTROL!$C$42, 15.1095, 15.1095) * CHOOSE(CONTROL!$C$21, $C$9, 100%, $E$9)</f>
        <v>15.109500000000001</v>
      </c>
      <c r="P314" s="14">
        <f>CHOOSE(CONTROL!$C$42, 15.0614, 15.0614) * CHOOSE(CONTROL!$C$21, $C$9, 100%, $E$9)</f>
        <v>15.061400000000001</v>
      </c>
      <c r="Q314" s="14">
        <f>CHOOSE(CONTROL!$C$42, 15.7042, 15.7042) * CHOOSE(CONTROL!$C$21, $C$9, 100%, $E$9)</f>
        <v>15.7042</v>
      </c>
      <c r="R314" s="14">
        <f>CHOOSE(CONTROL!$C$42, 16.3304, 16.3304) * CHOOSE(CONTROL!$C$21, $C$9, 100%, $E$9)</f>
        <v>16.330400000000001</v>
      </c>
      <c r="S314" s="14">
        <f>CHOOSE(CONTROL!$C$42, 14.6515, 14.6515) * CHOOSE(CONTROL!$C$21, $C$9, 100%, $E$9)</f>
        <v>14.6515</v>
      </c>
      <c r="T31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14" s="56">
        <f>(1000*CHOOSE(CONTROL!$C$42, 695, 695)*CHOOSE(CONTROL!$C$42, 0.5599, 0.5599)*CHOOSE(CONTROL!$C$42, 28, 28))/1000000</f>
        <v>10.895653999999999</v>
      </c>
      <c r="V314" s="56">
        <f>(1000*CHOOSE(CONTROL!$C$42, 500, 500)*CHOOSE(CONTROL!$C$42, 0.275, 0.275)*CHOOSE(CONTROL!$C$42, 28, 28))/1000000</f>
        <v>3.85</v>
      </c>
      <c r="W314" s="56">
        <f>(1000*CHOOSE(CONTROL!$C$42, 0.1146, 0.1146)*CHOOSE(CONTROL!$C$42, 121.5, 121.5)*CHOOSE(CONTROL!$C$42, 28, 28))/1000000</f>
        <v>0.38986920000000003</v>
      </c>
      <c r="X314" s="56">
        <f>(28*0.1790888*100000/1000000)+(28*0.2374*100000/1000000)</f>
        <v>1.16616864</v>
      </c>
      <c r="Y314" s="56"/>
      <c r="Z314" s="14"/>
      <c r="AA314" s="55"/>
      <c r="AB314" s="49">
        <f>(B314*122.58+C314*297.941+D314*89.177+E314*40.302+F314*40+G314*160+H314*0+I314*100+J314*300)/(122.58+297.941+89.177+40.302+0+40+160+100+300)</f>
        <v>15.288940595391304</v>
      </c>
      <c r="AC314" s="45">
        <f>(M314*'RAP TEMPLATE-GAS AVAILABILITY'!O313+N314*'RAP TEMPLATE-GAS AVAILABILITY'!P313+O314*'RAP TEMPLATE-GAS AVAILABILITY'!Q313+P314*'RAP TEMPLATE-GAS AVAILABILITY'!R313)/('RAP TEMPLATE-GAS AVAILABILITY'!O313+'RAP TEMPLATE-GAS AVAILABILITY'!P313+'RAP TEMPLATE-GAS AVAILABILITY'!Q313+'RAP TEMPLATE-GAS AVAILABILITY'!R313)</f>
        <v>15.063264028776977</v>
      </c>
    </row>
    <row r="315" spans="1:29" ht="15.75" x14ac:dyDescent="0.25">
      <c r="A315" s="33">
        <v>50495</v>
      </c>
      <c r="B315" s="14">
        <f>CHOOSE(CONTROL!$C$42, 14.8237, 14.8237) * CHOOSE(CONTROL!$C$21, $C$9, 100%, $E$9)</f>
        <v>14.823700000000001</v>
      </c>
      <c r="C315" s="14">
        <f>CHOOSE(CONTROL!$C$42, 14.8288, 14.8288) * CHOOSE(CONTROL!$C$21, $C$9, 100%, $E$9)</f>
        <v>14.828799999999999</v>
      </c>
      <c r="D315" s="14">
        <f>CHOOSE(CONTROL!$C$42, 14.9222, 14.9222) * CHOOSE(CONTROL!$C$21, $C$9, 100%, $E$9)</f>
        <v>14.9222</v>
      </c>
      <c r="E315" s="14">
        <f>CHOOSE(CONTROL!$C$42, 14.9563, 14.9563) * CHOOSE(CONTROL!$C$21, $C$9, 100%, $E$9)</f>
        <v>14.956300000000001</v>
      </c>
      <c r="F315" s="14">
        <f>CHOOSE(CONTROL!$C$42, 14.8498, 14.8498)*CHOOSE(CONTROL!$C$21, $C$9, 100%, $E$9)</f>
        <v>14.8498</v>
      </c>
      <c r="G315" s="14">
        <f>CHOOSE(CONTROL!$C$42, 14.8674, 14.8674)*CHOOSE(CONTROL!$C$21, $C$9, 100%, $E$9)</f>
        <v>14.8674</v>
      </c>
      <c r="H315" s="14">
        <f>CHOOSE(CONTROL!$C$42, 14.9455, 14.9455) * CHOOSE(CONTROL!$C$21, $C$9, 100%, $E$9)</f>
        <v>14.945499999999999</v>
      </c>
      <c r="I315" s="14">
        <f>CHOOSE(CONTROL!$C$42, 14.896, 14.896)* CHOOSE(CONTROL!$C$21, $C$9, 100%, $E$9)</f>
        <v>14.896000000000001</v>
      </c>
      <c r="J315" s="14">
        <f>CHOOSE(CONTROL!$C$42, 14.8428, 14.8428)* CHOOSE(CONTROL!$C$21, $C$9, 100%, $E$9)</f>
        <v>14.8428</v>
      </c>
      <c r="K315" s="52">
        <f>CHOOSE(CONTROL!$C$42, 14.8921, 14.8921) * CHOOSE(CONTROL!$C$21, $C$9, 100%, $E$9)</f>
        <v>14.892099999999999</v>
      </c>
      <c r="L315" s="14">
        <f>CHOOSE(CONTROL!$C$42, 15.5325, 15.5325) * CHOOSE(CONTROL!$C$21, $C$9, 100%, $E$9)</f>
        <v>15.532500000000001</v>
      </c>
      <c r="M315" s="14">
        <f>CHOOSE(CONTROL!$C$42, 14.5835, 14.5835) * CHOOSE(CONTROL!$C$21, $C$9, 100%, $E$9)</f>
        <v>14.583500000000001</v>
      </c>
      <c r="N315" s="14">
        <f>CHOOSE(CONTROL!$C$42, 14.6008, 14.6008) * CHOOSE(CONTROL!$C$21, $C$9, 100%, $E$9)</f>
        <v>14.6008</v>
      </c>
      <c r="O315" s="14">
        <f>CHOOSE(CONTROL!$C$42, 14.6844, 14.6844) * CHOOSE(CONTROL!$C$21, $C$9, 100%, $E$9)</f>
        <v>14.6844</v>
      </c>
      <c r="P315" s="14">
        <f>CHOOSE(CONTROL!$C$42, 14.635, 14.635) * CHOOSE(CONTROL!$C$21, $C$9, 100%, $E$9)</f>
        <v>14.635</v>
      </c>
      <c r="Q315" s="14">
        <f>CHOOSE(CONTROL!$C$42, 15.2791, 15.2791) * CHOOSE(CONTROL!$C$21, $C$9, 100%, $E$9)</f>
        <v>15.2791</v>
      </c>
      <c r="R315" s="14">
        <f>CHOOSE(CONTROL!$C$42, 15.9043, 15.9043) * CHOOSE(CONTROL!$C$21, $C$9, 100%, $E$9)</f>
        <v>15.904299999999999</v>
      </c>
      <c r="S315" s="14">
        <f>CHOOSE(CONTROL!$C$42, 14.2355, 14.2355) * CHOOSE(CONTROL!$C$21, $C$9, 100%, $E$9)</f>
        <v>14.2355</v>
      </c>
      <c r="T31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15" s="56">
        <f>(1000*CHOOSE(CONTROL!$C$42, 695, 695)*CHOOSE(CONTROL!$C$42, 0.5599, 0.5599)*CHOOSE(CONTROL!$C$42, 31, 31))/1000000</f>
        <v>12.063045499999998</v>
      </c>
      <c r="V315" s="56">
        <f>(1000*CHOOSE(CONTROL!$C$42, 500, 500)*CHOOSE(CONTROL!$C$42, 0.275, 0.275)*CHOOSE(CONTROL!$C$42, 31, 31))/1000000</f>
        <v>4.2625000000000002</v>
      </c>
      <c r="W315" s="56">
        <f>(1000*CHOOSE(CONTROL!$C$42, 0.1146, 0.1146)*CHOOSE(CONTROL!$C$42, 121.5, 121.5)*CHOOSE(CONTROL!$C$42, 31, 31))/1000000</f>
        <v>0.43164089999999994</v>
      </c>
      <c r="X315" s="56">
        <f>(31*0.1790888*100000/1000000)+(31*0.2374*100000/1000000)</f>
        <v>1.2911152800000001</v>
      </c>
      <c r="Y315" s="56"/>
      <c r="Z315" s="14"/>
      <c r="AA315" s="55"/>
      <c r="AB315" s="49">
        <f>(B315*122.58+C315*297.941+D315*89.177+E315*40.302+F315*40+G315*160+H315*0+I315*100+J315*300)/(122.58+297.941+89.177+40.302+0+40+160+100+300)</f>
        <v>14.855563894608697</v>
      </c>
      <c r="AC315" s="45">
        <f>(M315*'RAP TEMPLATE-GAS AVAILABILITY'!O314+N315*'RAP TEMPLATE-GAS AVAILABILITY'!P314+O315*'RAP TEMPLATE-GAS AVAILABILITY'!Q314+P315*'RAP TEMPLATE-GAS AVAILABILITY'!R314)/('RAP TEMPLATE-GAS AVAILABILITY'!O314+'RAP TEMPLATE-GAS AVAILABILITY'!P314+'RAP TEMPLATE-GAS AVAILABILITY'!Q314+'RAP TEMPLATE-GAS AVAILABILITY'!R314)</f>
        <v>14.637637410071942</v>
      </c>
    </row>
    <row r="316" spans="1:29" ht="15.75" x14ac:dyDescent="0.25">
      <c r="A316" s="33">
        <v>50525</v>
      </c>
      <c r="B316" s="14">
        <f>CHOOSE(CONTROL!$C$42, 14.7803, 14.7803) * CHOOSE(CONTROL!$C$21, $C$9, 100%, $E$9)</f>
        <v>14.7803</v>
      </c>
      <c r="C316" s="14">
        <f>CHOOSE(CONTROL!$C$42, 14.7848, 14.7848) * CHOOSE(CONTROL!$C$21, $C$9, 100%, $E$9)</f>
        <v>14.784800000000001</v>
      </c>
      <c r="D316" s="14">
        <f>CHOOSE(CONTROL!$C$42, 15.0471, 15.0471) * CHOOSE(CONTROL!$C$21, $C$9, 100%, $E$9)</f>
        <v>15.0471</v>
      </c>
      <c r="E316" s="14">
        <f>CHOOSE(CONTROL!$C$42, 15.0792, 15.0792) * CHOOSE(CONTROL!$C$21, $C$9, 100%, $E$9)</f>
        <v>15.0792</v>
      </c>
      <c r="F316" s="14">
        <f>CHOOSE(CONTROL!$C$42, 14.8032, 14.8032)*CHOOSE(CONTROL!$C$21, $C$9, 100%, $E$9)</f>
        <v>14.8032</v>
      </c>
      <c r="G316" s="14">
        <f>CHOOSE(CONTROL!$C$42, 14.8199, 14.8199)*CHOOSE(CONTROL!$C$21, $C$9, 100%, $E$9)</f>
        <v>14.819900000000001</v>
      </c>
      <c r="H316" s="14">
        <f>CHOOSE(CONTROL!$C$42, 15.069, 15.069) * CHOOSE(CONTROL!$C$21, $C$9, 100%, $E$9)</f>
        <v>15.069000000000001</v>
      </c>
      <c r="I316" s="14">
        <f>CHOOSE(CONTROL!$C$42, 14.8491, 14.8491)* CHOOSE(CONTROL!$C$21, $C$9, 100%, $E$9)</f>
        <v>14.8491</v>
      </c>
      <c r="J316" s="14">
        <f>CHOOSE(CONTROL!$C$42, 14.7962, 14.7962)* CHOOSE(CONTROL!$C$21, $C$9, 100%, $E$9)</f>
        <v>14.796200000000001</v>
      </c>
      <c r="K316" s="52">
        <f>CHOOSE(CONTROL!$C$42, 14.8452, 14.8452) * CHOOSE(CONTROL!$C$21, $C$9, 100%, $E$9)</f>
        <v>14.8452</v>
      </c>
      <c r="L316" s="14">
        <f>CHOOSE(CONTROL!$C$42, 15.656, 15.656) * CHOOSE(CONTROL!$C$21, $C$9, 100%, $E$9)</f>
        <v>15.656000000000001</v>
      </c>
      <c r="M316" s="14">
        <f>CHOOSE(CONTROL!$C$42, 14.5377, 14.5377) * CHOOSE(CONTROL!$C$21, $C$9, 100%, $E$9)</f>
        <v>14.537699999999999</v>
      </c>
      <c r="N316" s="14">
        <f>CHOOSE(CONTROL!$C$42, 14.5541, 14.5541) * CHOOSE(CONTROL!$C$21, $C$9, 100%, $E$9)</f>
        <v>14.5541</v>
      </c>
      <c r="O316" s="14">
        <f>CHOOSE(CONTROL!$C$42, 14.8056, 14.8056) * CHOOSE(CONTROL!$C$21, $C$9, 100%, $E$9)</f>
        <v>14.8056</v>
      </c>
      <c r="P316" s="14">
        <f>CHOOSE(CONTROL!$C$42, 14.589, 14.589) * CHOOSE(CONTROL!$C$21, $C$9, 100%, $E$9)</f>
        <v>14.589</v>
      </c>
      <c r="Q316" s="14">
        <f>CHOOSE(CONTROL!$C$42, 15.4003, 15.4003) * CHOOSE(CONTROL!$C$21, $C$9, 100%, $E$9)</f>
        <v>15.4003</v>
      </c>
      <c r="R316" s="14">
        <f>CHOOSE(CONTROL!$C$42, 16.0258, 16.0258) * CHOOSE(CONTROL!$C$21, $C$9, 100%, $E$9)</f>
        <v>16.0258</v>
      </c>
      <c r="S316" s="14">
        <f>CHOOSE(CONTROL!$C$42, 14.1931, 14.1931) * CHOOSE(CONTROL!$C$21, $C$9, 100%, $E$9)</f>
        <v>14.193099999999999</v>
      </c>
      <c r="T31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16" s="56">
        <f>(1000*CHOOSE(CONTROL!$C$42, 695, 695)*CHOOSE(CONTROL!$C$42, 0.5599, 0.5599)*CHOOSE(CONTROL!$C$42, 30, 30))/1000000</f>
        <v>11.673914999999997</v>
      </c>
      <c r="V316" s="56">
        <f>(1000*CHOOSE(CONTROL!$C$42, 500, 500)*CHOOSE(CONTROL!$C$42, 0.275, 0.275)*CHOOSE(CONTROL!$C$42, 30, 30))/1000000</f>
        <v>4.125</v>
      </c>
      <c r="W316" s="56">
        <f>(1000*CHOOSE(CONTROL!$C$42, 0.1146, 0.1146)*CHOOSE(CONTROL!$C$42, 121.5, 121.5)*CHOOSE(CONTROL!$C$42, 30, 30))/1000000</f>
        <v>0.417717</v>
      </c>
      <c r="X316" s="56">
        <f>(30*0.1790888*245000/1000000)+(30*0.2374*100000/1000000)</f>
        <v>2.0285026799999999</v>
      </c>
      <c r="Y316" s="56"/>
      <c r="Z316" s="14"/>
      <c r="AA316" s="55"/>
      <c r="AB316" s="49">
        <f>(B316*141.293+C316*267.993+D316*115.016+E316*89.698+F316*40+G316*185+H316*0+I316*100+J316*300)/(141.293+267.993+115.016+89.698+0+40+185+100+300)</f>
        <v>14.843734196529462</v>
      </c>
      <c r="AC316" s="45">
        <f>(M316*'RAP TEMPLATE-GAS AVAILABILITY'!O315+N316*'RAP TEMPLATE-GAS AVAILABILITY'!P315+O316*'RAP TEMPLATE-GAS AVAILABILITY'!Q315+P316*'RAP TEMPLATE-GAS AVAILABILITY'!R315)/('RAP TEMPLATE-GAS AVAILABILITY'!O315+'RAP TEMPLATE-GAS AVAILABILITY'!P315+'RAP TEMPLATE-GAS AVAILABILITY'!Q315+'RAP TEMPLATE-GAS AVAILABILITY'!R315)</f>
        <v>14.624023021582733</v>
      </c>
    </row>
    <row r="317" spans="1:29" ht="15.75" x14ac:dyDescent="0.25">
      <c r="A317" s="33">
        <v>50556</v>
      </c>
      <c r="B317" s="14">
        <f>CHOOSE(CONTROL!$C$42, 14.9121, 14.9121) * CHOOSE(CONTROL!$C$21, $C$9, 100%, $E$9)</f>
        <v>14.912100000000001</v>
      </c>
      <c r="C317" s="14">
        <f>CHOOSE(CONTROL!$C$42, 14.9201, 14.9201) * CHOOSE(CONTROL!$C$21, $C$9, 100%, $E$9)</f>
        <v>14.9201</v>
      </c>
      <c r="D317" s="14">
        <f>CHOOSE(CONTROL!$C$42, 15.1792, 15.1792) * CHOOSE(CONTROL!$C$21, $C$9, 100%, $E$9)</f>
        <v>15.1792</v>
      </c>
      <c r="E317" s="14">
        <f>CHOOSE(CONTROL!$C$42, 15.2107, 15.2107) * CHOOSE(CONTROL!$C$21, $C$9, 100%, $E$9)</f>
        <v>15.210699999999999</v>
      </c>
      <c r="F317" s="14">
        <f>CHOOSE(CONTROL!$C$42, 14.9336, 14.9336)*CHOOSE(CONTROL!$C$21, $C$9, 100%, $E$9)</f>
        <v>14.9336</v>
      </c>
      <c r="G317" s="14">
        <f>CHOOSE(CONTROL!$C$42, 14.9506, 14.9506)*CHOOSE(CONTROL!$C$21, $C$9, 100%, $E$9)</f>
        <v>14.9506</v>
      </c>
      <c r="H317" s="14">
        <f>CHOOSE(CONTROL!$C$42, 15.1993, 15.1993) * CHOOSE(CONTROL!$C$21, $C$9, 100%, $E$9)</f>
        <v>15.199299999999999</v>
      </c>
      <c r="I317" s="14">
        <f>CHOOSE(CONTROL!$C$42, 14.9799, 14.9799)* CHOOSE(CONTROL!$C$21, $C$9, 100%, $E$9)</f>
        <v>14.979900000000001</v>
      </c>
      <c r="J317" s="14">
        <f>CHOOSE(CONTROL!$C$42, 14.9266, 14.9266)* CHOOSE(CONTROL!$C$21, $C$9, 100%, $E$9)</f>
        <v>14.926600000000001</v>
      </c>
      <c r="K317" s="52">
        <f>CHOOSE(CONTROL!$C$42, 14.976, 14.976) * CHOOSE(CONTROL!$C$21, $C$9, 100%, $E$9)</f>
        <v>14.976000000000001</v>
      </c>
      <c r="L317" s="14">
        <f>CHOOSE(CONTROL!$C$42, 15.7863, 15.7863) * CHOOSE(CONTROL!$C$21, $C$9, 100%, $E$9)</f>
        <v>15.786300000000001</v>
      </c>
      <c r="M317" s="14">
        <f>CHOOSE(CONTROL!$C$42, 14.6658, 14.6658) * CHOOSE(CONTROL!$C$21, $C$9, 100%, $E$9)</f>
        <v>14.665800000000001</v>
      </c>
      <c r="N317" s="14">
        <f>CHOOSE(CONTROL!$C$42, 14.6825, 14.6825) * CHOOSE(CONTROL!$C$21, $C$9, 100%, $E$9)</f>
        <v>14.682499999999999</v>
      </c>
      <c r="O317" s="14">
        <f>CHOOSE(CONTROL!$C$42, 14.9336, 14.9336) * CHOOSE(CONTROL!$C$21, $C$9, 100%, $E$9)</f>
        <v>14.9336</v>
      </c>
      <c r="P317" s="14">
        <f>CHOOSE(CONTROL!$C$42, 14.7174, 14.7174) * CHOOSE(CONTROL!$C$21, $C$9, 100%, $E$9)</f>
        <v>14.7174</v>
      </c>
      <c r="Q317" s="14">
        <f>CHOOSE(CONTROL!$C$42, 15.5283, 15.5283) * CHOOSE(CONTROL!$C$21, $C$9, 100%, $E$9)</f>
        <v>15.5283</v>
      </c>
      <c r="R317" s="14">
        <f>CHOOSE(CONTROL!$C$42, 16.1541, 16.1541) * CHOOSE(CONTROL!$C$21, $C$9, 100%, $E$9)</f>
        <v>16.1541</v>
      </c>
      <c r="S317" s="14">
        <f>CHOOSE(CONTROL!$C$42, 14.3184, 14.3184) * CHOOSE(CONTROL!$C$21, $C$9, 100%, $E$9)</f>
        <v>14.3184</v>
      </c>
      <c r="T31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17" s="56">
        <f>(1000*CHOOSE(CONTROL!$C$42, 695, 695)*CHOOSE(CONTROL!$C$42, 0.5599, 0.5599)*CHOOSE(CONTROL!$C$42, 31, 31))/1000000</f>
        <v>12.063045499999998</v>
      </c>
      <c r="V317" s="56">
        <f>(1000*CHOOSE(CONTROL!$C$42, 500, 500)*CHOOSE(CONTROL!$C$42, 0.275, 0.275)*CHOOSE(CONTROL!$C$42, 31, 31))/1000000</f>
        <v>4.2625000000000002</v>
      </c>
      <c r="W317" s="56">
        <f>(1000*CHOOSE(CONTROL!$C$42, 0.1146, 0.1146)*CHOOSE(CONTROL!$C$42, 121.5, 121.5)*CHOOSE(CONTROL!$C$42, 31, 31))/1000000</f>
        <v>0.43164089999999994</v>
      </c>
      <c r="X317" s="56">
        <f>(31*0.1790888*245000/1000000)+(31*0.2374*100000/1000000)</f>
        <v>2.0961194359999999</v>
      </c>
      <c r="Y317" s="56"/>
      <c r="Z317" s="14"/>
      <c r="AA317" s="55"/>
      <c r="AB317" s="49">
        <f>(B317*194.205+C317*267.466+D317*133.845+E317*53.484+F317*40+G317*185+H317*0+I317*100+J317*300)/(194.205+267.466+133.845+53.484+0+40+185+100+300)</f>
        <v>14.969378296624805</v>
      </c>
      <c r="AC317" s="45">
        <f>(M317*'RAP TEMPLATE-GAS AVAILABILITY'!O316+N317*'RAP TEMPLATE-GAS AVAILABILITY'!P316+O317*'RAP TEMPLATE-GAS AVAILABILITY'!Q316+P317*'RAP TEMPLATE-GAS AVAILABILITY'!R316)/('RAP TEMPLATE-GAS AVAILABILITY'!O316+'RAP TEMPLATE-GAS AVAILABILITY'!P316+'RAP TEMPLATE-GAS AVAILABILITY'!Q316+'RAP TEMPLATE-GAS AVAILABILITY'!R316)</f>
        <v>14.752207194244605</v>
      </c>
    </row>
    <row r="318" spans="1:29" ht="15.75" x14ac:dyDescent="0.25">
      <c r="A318" s="33">
        <v>50586</v>
      </c>
      <c r="B318" s="14">
        <f>CHOOSE(CONTROL!$C$42, 15.3348, 15.3348) * CHOOSE(CONTROL!$C$21, $C$9, 100%, $E$9)</f>
        <v>15.3348</v>
      </c>
      <c r="C318" s="14">
        <f>CHOOSE(CONTROL!$C$42, 15.3428, 15.3428) * CHOOSE(CONTROL!$C$21, $C$9, 100%, $E$9)</f>
        <v>15.3428</v>
      </c>
      <c r="D318" s="14">
        <f>CHOOSE(CONTROL!$C$42, 15.6019, 15.6019) * CHOOSE(CONTROL!$C$21, $C$9, 100%, $E$9)</f>
        <v>15.601900000000001</v>
      </c>
      <c r="E318" s="14">
        <f>CHOOSE(CONTROL!$C$42, 15.6333, 15.6333) * CHOOSE(CONTROL!$C$21, $C$9, 100%, $E$9)</f>
        <v>15.6333</v>
      </c>
      <c r="F318" s="14">
        <f>CHOOSE(CONTROL!$C$42, 15.3565, 15.3565)*CHOOSE(CONTROL!$C$21, $C$9, 100%, $E$9)</f>
        <v>15.3565</v>
      </c>
      <c r="G318" s="14">
        <f>CHOOSE(CONTROL!$C$42, 15.3736, 15.3736)*CHOOSE(CONTROL!$C$21, $C$9, 100%, $E$9)</f>
        <v>15.3736</v>
      </c>
      <c r="H318" s="14">
        <f>CHOOSE(CONTROL!$C$42, 15.622, 15.622) * CHOOSE(CONTROL!$C$21, $C$9, 100%, $E$9)</f>
        <v>15.622</v>
      </c>
      <c r="I318" s="14">
        <f>CHOOSE(CONTROL!$C$42, 15.4039, 15.4039)* CHOOSE(CONTROL!$C$21, $C$9, 100%, $E$9)</f>
        <v>15.4039</v>
      </c>
      <c r="J318" s="14">
        <f>CHOOSE(CONTROL!$C$42, 15.3495, 15.3495)* CHOOSE(CONTROL!$C$21, $C$9, 100%, $E$9)</f>
        <v>15.349500000000001</v>
      </c>
      <c r="K318" s="52">
        <f>CHOOSE(CONTROL!$C$42, 15.4, 15.4) * CHOOSE(CONTROL!$C$21, $C$9, 100%, $E$9)</f>
        <v>15.4</v>
      </c>
      <c r="L318" s="14">
        <f>CHOOSE(CONTROL!$C$42, 16.209, 16.209) * CHOOSE(CONTROL!$C$21, $C$9, 100%, $E$9)</f>
        <v>16.209</v>
      </c>
      <c r="M318" s="14">
        <f>CHOOSE(CONTROL!$C$42, 15.0811, 15.0811) * CHOOSE(CONTROL!$C$21, $C$9, 100%, $E$9)</f>
        <v>15.081099999999999</v>
      </c>
      <c r="N318" s="14">
        <f>CHOOSE(CONTROL!$C$42, 15.0979, 15.0979) * CHOOSE(CONTROL!$C$21, $C$9, 100%, $E$9)</f>
        <v>15.097899999999999</v>
      </c>
      <c r="O318" s="14">
        <f>CHOOSE(CONTROL!$C$42, 15.3487, 15.3487) * CHOOSE(CONTROL!$C$21, $C$9, 100%, $E$9)</f>
        <v>15.348699999999999</v>
      </c>
      <c r="P318" s="14">
        <f>CHOOSE(CONTROL!$C$42, 15.1337, 15.1337) * CHOOSE(CONTROL!$C$21, $C$9, 100%, $E$9)</f>
        <v>15.133699999999999</v>
      </c>
      <c r="Q318" s="14">
        <f>CHOOSE(CONTROL!$C$42, 15.9434, 15.9434) * CHOOSE(CONTROL!$C$21, $C$9, 100%, $E$9)</f>
        <v>15.9434</v>
      </c>
      <c r="R318" s="14">
        <f>CHOOSE(CONTROL!$C$42, 16.5702, 16.5702) * CHOOSE(CONTROL!$C$21, $C$9, 100%, $E$9)</f>
        <v>16.5702</v>
      </c>
      <c r="S318" s="14">
        <f>CHOOSE(CONTROL!$C$42, 14.7245, 14.7245) * CHOOSE(CONTROL!$C$21, $C$9, 100%, $E$9)</f>
        <v>14.724500000000001</v>
      </c>
      <c r="T31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18" s="56">
        <f>(1000*CHOOSE(CONTROL!$C$42, 695, 695)*CHOOSE(CONTROL!$C$42, 0.5599, 0.5599)*CHOOSE(CONTROL!$C$42, 30, 30))/1000000</f>
        <v>11.673914999999997</v>
      </c>
      <c r="V318" s="56">
        <f>(1000*CHOOSE(CONTROL!$C$42, 500, 500)*CHOOSE(CONTROL!$C$42, 0.275, 0.275)*CHOOSE(CONTROL!$C$42, 30, 30))/1000000</f>
        <v>4.125</v>
      </c>
      <c r="W318" s="56">
        <f>(1000*CHOOSE(CONTROL!$C$42, 0.1146, 0.1146)*CHOOSE(CONTROL!$C$42, 121.5, 121.5)*CHOOSE(CONTROL!$C$42, 30, 30))/1000000</f>
        <v>0.417717</v>
      </c>
      <c r="X318" s="56">
        <f>(30*0.1790888*245000/1000000)+(30*0.2374*100000/1000000)</f>
        <v>2.0285026799999999</v>
      </c>
      <c r="Y318" s="56"/>
      <c r="Z318" s="14"/>
      <c r="AA318" s="55"/>
      <c r="AB318" s="49">
        <f>(B318*194.205+C318*267.466+D318*133.845+E318*53.484+F318*40+G318*185+H318*0+I318*100+J318*300)/(194.205+267.466+133.845+53.484+0+40+185+100+300)</f>
        <v>15.392273078100471</v>
      </c>
      <c r="AC318" s="45">
        <f>(M318*'RAP TEMPLATE-GAS AVAILABILITY'!O317+N318*'RAP TEMPLATE-GAS AVAILABILITY'!P317+O318*'RAP TEMPLATE-GAS AVAILABILITY'!Q317+P318*'RAP TEMPLATE-GAS AVAILABILITY'!R317)/('RAP TEMPLATE-GAS AVAILABILITY'!O317+'RAP TEMPLATE-GAS AVAILABILITY'!P317+'RAP TEMPLATE-GAS AVAILABILITY'!Q317+'RAP TEMPLATE-GAS AVAILABILITY'!R317)</f>
        <v>15.167617985611512</v>
      </c>
    </row>
    <row r="319" spans="1:29" ht="15.75" x14ac:dyDescent="0.25">
      <c r="A319" s="33">
        <v>50617</v>
      </c>
      <c r="B319" s="14">
        <f>CHOOSE(CONTROL!$C$42, 15.0408, 15.0408) * CHOOSE(CONTROL!$C$21, $C$9, 100%, $E$9)</f>
        <v>15.040800000000001</v>
      </c>
      <c r="C319" s="14">
        <f>CHOOSE(CONTROL!$C$42, 15.0488, 15.0488) * CHOOSE(CONTROL!$C$21, $C$9, 100%, $E$9)</f>
        <v>15.0488</v>
      </c>
      <c r="D319" s="14">
        <f>CHOOSE(CONTROL!$C$42, 15.3079, 15.3079) * CHOOSE(CONTROL!$C$21, $C$9, 100%, $E$9)</f>
        <v>15.3079</v>
      </c>
      <c r="E319" s="14">
        <f>CHOOSE(CONTROL!$C$42, 15.3394, 15.3394) * CHOOSE(CONTROL!$C$21, $C$9, 100%, $E$9)</f>
        <v>15.339399999999999</v>
      </c>
      <c r="F319" s="14">
        <f>CHOOSE(CONTROL!$C$42, 15.063, 15.063)*CHOOSE(CONTROL!$C$21, $C$9, 100%, $E$9)</f>
        <v>15.063000000000001</v>
      </c>
      <c r="G319" s="14">
        <f>CHOOSE(CONTROL!$C$42, 15.0802, 15.0802)*CHOOSE(CONTROL!$C$21, $C$9, 100%, $E$9)</f>
        <v>15.0802</v>
      </c>
      <c r="H319" s="14">
        <f>CHOOSE(CONTROL!$C$42, 15.328, 15.328) * CHOOSE(CONTROL!$C$21, $C$9, 100%, $E$9)</f>
        <v>15.327999999999999</v>
      </c>
      <c r="I319" s="14">
        <f>CHOOSE(CONTROL!$C$42, 15.109, 15.109)* CHOOSE(CONTROL!$C$21, $C$9, 100%, $E$9)</f>
        <v>15.109</v>
      </c>
      <c r="J319" s="14">
        <f>CHOOSE(CONTROL!$C$42, 15.056, 15.056)* CHOOSE(CONTROL!$C$21, $C$9, 100%, $E$9)</f>
        <v>15.055999999999999</v>
      </c>
      <c r="K319" s="52">
        <f>CHOOSE(CONTROL!$C$42, 15.1051, 15.1051) * CHOOSE(CONTROL!$C$21, $C$9, 100%, $E$9)</f>
        <v>15.1051</v>
      </c>
      <c r="L319" s="14">
        <f>CHOOSE(CONTROL!$C$42, 15.915, 15.915) * CHOOSE(CONTROL!$C$21, $C$9, 100%, $E$9)</f>
        <v>15.914999999999999</v>
      </c>
      <c r="M319" s="14">
        <f>CHOOSE(CONTROL!$C$42, 14.7929, 14.7929) * CHOOSE(CONTROL!$C$21, $C$9, 100%, $E$9)</f>
        <v>14.792899999999999</v>
      </c>
      <c r="N319" s="14">
        <f>CHOOSE(CONTROL!$C$42, 14.8097, 14.8097) * CHOOSE(CONTROL!$C$21, $C$9, 100%, $E$9)</f>
        <v>14.809699999999999</v>
      </c>
      <c r="O319" s="14">
        <f>CHOOSE(CONTROL!$C$42, 15.06, 15.06) * CHOOSE(CONTROL!$C$21, $C$9, 100%, $E$9)</f>
        <v>15.06</v>
      </c>
      <c r="P319" s="14">
        <f>CHOOSE(CONTROL!$C$42, 14.8442, 14.8442) * CHOOSE(CONTROL!$C$21, $C$9, 100%, $E$9)</f>
        <v>14.844200000000001</v>
      </c>
      <c r="Q319" s="14">
        <f>CHOOSE(CONTROL!$C$42, 15.6547, 15.6547) * CHOOSE(CONTROL!$C$21, $C$9, 100%, $E$9)</f>
        <v>15.6547</v>
      </c>
      <c r="R319" s="14">
        <f>CHOOSE(CONTROL!$C$42, 16.2808, 16.2808) * CHOOSE(CONTROL!$C$21, $C$9, 100%, $E$9)</f>
        <v>16.280799999999999</v>
      </c>
      <c r="S319" s="14">
        <f>CHOOSE(CONTROL!$C$42, 14.4421, 14.4421) * CHOOSE(CONTROL!$C$21, $C$9, 100%, $E$9)</f>
        <v>14.4421</v>
      </c>
      <c r="T31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19" s="56">
        <f>(1000*CHOOSE(CONTROL!$C$42, 695, 695)*CHOOSE(CONTROL!$C$42, 0.5599, 0.5599)*CHOOSE(CONTROL!$C$42, 31, 31))/1000000</f>
        <v>12.063045499999998</v>
      </c>
      <c r="V319" s="56">
        <f>(1000*CHOOSE(CONTROL!$C$42, 500, 500)*CHOOSE(CONTROL!$C$42, 0.275, 0.275)*CHOOSE(CONTROL!$C$42, 31, 31))/1000000</f>
        <v>4.2625000000000002</v>
      </c>
      <c r="W319" s="56">
        <f>(1000*CHOOSE(CONTROL!$C$42, 0.1146, 0.1146)*CHOOSE(CONTROL!$C$42, 121.5, 121.5)*CHOOSE(CONTROL!$C$42, 31, 31))/1000000</f>
        <v>0.43164089999999994</v>
      </c>
      <c r="X319" s="56">
        <f>(31*0.1790888*245000/1000000)+(31*0.2374*100000/1000000)</f>
        <v>2.0961194359999999</v>
      </c>
      <c r="Y319" s="56"/>
      <c r="Z319" s="14"/>
      <c r="AA319" s="55"/>
      <c r="AB319" s="49">
        <f>(B319*194.205+C319*267.466+D319*133.845+E319*53.484+F319*40+G319*185+H319*0+I319*100+J319*300)/(194.205+267.466+133.845+53.484+0+40+185+100+300)</f>
        <v>15.098427197723705</v>
      </c>
      <c r="AC319" s="45">
        <f>(M319*'RAP TEMPLATE-GAS AVAILABILITY'!O318+N319*'RAP TEMPLATE-GAS AVAILABILITY'!P318+O319*'RAP TEMPLATE-GAS AVAILABILITY'!Q318+P319*'RAP TEMPLATE-GAS AVAILABILITY'!R318)/('RAP TEMPLATE-GAS AVAILABILITY'!O318+'RAP TEMPLATE-GAS AVAILABILITY'!P318+'RAP TEMPLATE-GAS AVAILABILITY'!Q318+'RAP TEMPLATE-GAS AVAILABILITY'!R318)</f>
        <v>14.879090647482016</v>
      </c>
    </row>
    <row r="320" spans="1:29" ht="15.75" x14ac:dyDescent="0.25">
      <c r="A320" s="33">
        <v>50648</v>
      </c>
      <c r="B320" s="14">
        <f>CHOOSE(CONTROL!$C$42, 14.2984, 14.2984) * CHOOSE(CONTROL!$C$21, $C$9, 100%, $E$9)</f>
        <v>14.298400000000001</v>
      </c>
      <c r="C320" s="14">
        <f>CHOOSE(CONTROL!$C$42, 14.3065, 14.3065) * CHOOSE(CONTROL!$C$21, $C$9, 100%, $E$9)</f>
        <v>14.3065</v>
      </c>
      <c r="D320" s="14">
        <f>CHOOSE(CONTROL!$C$42, 14.5656, 14.5656) * CHOOSE(CONTROL!$C$21, $C$9, 100%, $E$9)</f>
        <v>14.5656</v>
      </c>
      <c r="E320" s="14">
        <f>CHOOSE(CONTROL!$C$42, 14.597, 14.597) * CHOOSE(CONTROL!$C$21, $C$9, 100%, $E$9)</f>
        <v>14.597</v>
      </c>
      <c r="F320" s="14">
        <f>CHOOSE(CONTROL!$C$42, 14.3209, 14.3209)*CHOOSE(CONTROL!$C$21, $C$9, 100%, $E$9)</f>
        <v>14.3209</v>
      </c>
      <c r="G320" s="14">
        <f>CHOOSE(CONTROL!$C$42, 14.3381, 14.3381)*CHOOSE(CONTROL!$C$21, $C$9, 100%, $E$9)</f>
        <v>14.338100000000001</v>
      </c>
      <c r="H320" s="14">
        <f>CHOOSE(CONTROL!$C$42, 14.5857, 14.5857) * CHOOSE(CONTROL!$C$21, $C$9, 100%, $E$9)</f>
        <v>14.585699999999999</v>
      </c>
      <c r="I320" s="14">
        <f>CHOOSE(CONTROL!$C$42, 14.3643, 14.3643)* CHOOSE(CONTROL!$C$21, $C$9, 100%, $E$9)</f>
        <v>14.3643</v>
      </c>
      <c r="J320" s="14">
        <f>CHOOSE(CONTROL!$C$42, 14.3139, 14.3139)* CHOOSE(CONTROL!$C$21, $C$9, 100%, $E$9)</f>
        <v>14.3139</v>
      </c>
      <c r="K320" s="52">
        <f>CHOOSE(CONTROL!$C$42, 14.3604, 14.3604) * CHOOSE(CONTROL!$C$21, $C$9, 100%, $E$9)</f>
        <v>14.3604</v>
      </c>
      <c r="L320" s="14">
        <f>CHOOSE(CONTROL!$C$42, 15.1727, 15.1727) * CHOOSE(CONTROL!$C$21, $C$9, 100%, $E$9)</f>
        <v>15.172700000000001</v>
      </c>
      <c r="M320" s="14">
        <f>CHOOSE(CONTROL!$C$42, 14.0641, 14.0641) * CHOOSE(CONTROL!$C$21, $C$9, 100%, $E$9)</f>
        <v>14.0641</v>
      </c>
      <c r="N320" s="14">
        <f>CHOOSE(CONTROL!$C$42, 14.081, 14.081) * CHOOSE(CONTROL!$C$21, $C$9, 100%, $E$9)</f>
        <v>14.081</v>
      </c>
      <c r="O320" s="14">
        <f>CHOOSE(CONTROL!$C$42, 14.331, 14.331) * CHOOSE(CONTROL!$C$21, $C$9, 100%, $E$9)</f>
        <v>14.331</v>
      </c>
      <c r="P320" s="14">
        <f>CHOOSE(CONTROL!$C$42, 14.1129, 14.1129) * CHOOSE(CONTROL!$C$21, $C$9, 100%, $E$9)</f>
        <v>14.1129</v>
      </c>
      <c r="Q320" s="14">
        <f>CHOOSE(CONTROL!$C$42, 14.9257, 14.9257) * CHOOSE(CONTROL!$C$21, $C$9, 100%, $E$9)</f>
        <v>14.925700000000001</v>
      </c>
      <c r="R320" s="14">
        <f>CHOOSE(CONTROL!$C$42, 15.55, 15.55) * CHOOSE(CONTROL!$C$21, $C$9, 100%, $E$9)</f>
        <v>15.55</v>
      </c>
      <c r="S320" s="14">
        <f>CHOOSE(CONTROL!$C$42, 13.7287, 13.7287) * CHOOSE(CONTROL!$C$21, $C$9, 100%, $E$9)</f>
        <v>13.7287</v>
      </c>
      <c r="T32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20" s="56">
        <f>(1000*CHOOSE(CONTROL!$C$42, 695, 695)*CHOOSE(CONTROL!$C$42, 0.5599, 0.5599)*CHOOSE(CONTROL!$C$42, 31, 31))/1000000</f>
        <v>12.063045499999998</v>
      </c>
      <c r="V320" s="56">
        <f>(1000*CHOOSE(CONTROL!$C$42, 500, 500)*CHOOSE(CONTROL!$C$42, 0.275, 0.275)*CHOOSE(CONTROL!$C$42, 31, 31))/1000000</f>
        <v>4.2625000000000002</v>
      </c>
      <c r="W320" s="56">
        <f>(1000*CHOOSE(CONTROL!$C$42, 0.1146, 0.1146)*CHOOSE(CONTROL!$C$42, 121.5, 121.5)*CHOOSE(CONTROL!$C$42, 31, 31))/1000000</f>
        <v>0.43164089999999994</v>
      </c>
      <c r="X320" s="56">
        <f>(31*0.1790888*245000/1000000)+(31*0.2374*100000/1000000)</f>
        <v>2.0961194359999999</v>
      </c>
      <c r="Y320" s="56"/>
      <c r="Z320" s="14"/>
      <c r="AA320" s="55"/>
      <c r="AB320" s="49">
        <f>(B320*194.205+C320*267.466+D320*133.845+E320*53.484+F320*40+G320*185+H320*0+I320*100+J320*300)/(194.205+267.466+133.845+53.484+0+40+185+100+300)</f>
        <v>14.356001790423864</v>
      </c>
      <c r="AC320" s="45">
        <f>(M320*'RAP TEMPLATE-GAS AVAILABILITY'!O319+N320*'RAP TEMPLATE-GAS AVAILABILITY'!P319+O320*'RAP TEMPLATE-GAS AVAILABILITY'!Q319+P320*'RAP TEMPLATE-GAS AVAILABILITY'!R319)/('RAP TEMPLATE-GAS AVAILABILITY'!O319+'RAP TEMPLATE-GAS AVAILABILITY'!P319+'RAP TEMPLATE-GAS AVAILABILITY'!Q319+'RAP TEMPLATE-GAS AVAILABILITY'!R319)</f>
        <v>14.149897841726618</v>
      </c>
    </row>
    <row r="321" spans="1:29" ht="15.75" x14ac:dyDescent="0.25">
      <c r="A321" s="33">
        <v>50678</v>
      </c>
      <c r="B321" s="14">
        <f>CHOOSE(CONTROL!$C$42, 13.3912, 13.3912) * CHOOSE(CONTROL!$C$21, $C$9, 100%, $E$9)</f>
        <v>13.3912</v>
      </c>
      <c r="C321" s="14">
        <f>CHOOSE(CONTROL!$C$42, 13.3992, 13.3992) * CHOOSE(CONTROL!$C$21, $C$9, 100%, $E$9)</f>
        <v>13.3992</v>
      </c>
      <c r="D321" s="14">
        <f>CHOOSE(CONTROL!$C$42, 13.6583, 13.6583) * CHOOSE(CONTROL!$C$21, $C$9, 100%, $E$9)</f>
        <v>13.658300000000001</v>
      </c>
      <c r="E321" s="14">
        <f>CHOOSE(CONTROL!$C$42, 13.6898, 13.6898) * CHOOSE(CONTROL!$C$21, $C$9, 100%, $E$9)</f>
        <v>13.6898</v>
      </c>
      <c r="F321" s="14">
        <f>CHOOSE(CONTROL!$C$42, 13.4137, 13.4137)*CHOOSE(CONTROL!$C$21, $C$9, 100%, $E$9)</f>
        <v>13.4137</v>
      </c>
      <c r="G321" s="14">
        <f>CHOOSE(CONTROL!$C$42, 13.4309, 13.4309)*CHOOSE(CONTROL!$C$21, $C$9, 100%, $E$9)</f>
        <v>13.430899999999999</v>
      </c>
      <c r="H321" s="14">
        <f>CHOOSE(CONTROL!$C$42, 13.6784, 13.6784) * CHOOSE(CONTROL!$C$21, $C$9, 100%, $E$9)</f>
        <v>13.6784</v>
      </c>
      <c r="I321" s="14">
        <f>CHOOSE(CONTROL!$C$42, 13.4542, 13.4542)* CHOOSE(CONTROL!$C$21, $C$9, 100%, $E$9)</f>
        <v>13.4542</v>
      </c>
      <c r="J321" s="14">
        <f>CHOOSE(CONTROL!$C$42, 13.4067, 13.4067)* CHOOSE(CONTROL!$C$21, $C$9, 100%, $E$9)</f>
        <v>13.406700000000001</v>
      </c>
      <c r="K321" s="52">
        <f>CHOOSE(CONTROL!$C$42, 13.4504, 13.4504) * CHOOSE(CONTROL!$C$21, $C$9, 100%, $E$9)</f>
        <v>13.4504</v>
      </c>
      <c r="L321" s="14">
        <f>CHOOSE(CONTROL!$C$42, 14.2654, 14.2654) * CHOOSE(CONTROL!$C$21, $C$9, 100%, $E$9)</f>
        <v>14.2654</v>
      </c>
      <c r="M321" s="14">
        <f>CHOOSE(CONTROL!$C$42, 13.1732, 13.1732) * CHOOSE(CONTROL!$C$21, $C$9, 100%, $E$9)</f>
        <v>13.1732</v>
      </c>
      <c r="N321" s="14">
        <f>CHOOSE(CONTROL!$C$42, 13.1901, 13.1901) * CHOOSE(CONTROL!$C$21, $C$9, 100%, $E$9)</f>
        <v>13.190099999999999</v>
      </c>
      <c r="O321" s="14">
        <f>CHOOSE(CONTROL!$C$42, 13.4401, 13.4401) * CHOOSE(CONTROL!$C$21, $C$9, 100%, $E$9)</f>
        <v>13.440099999999999</v>
      </c>
      <c r="P321" s="14">
        <f>CHOOSE(CONTROL!$C$42, 13.2193, 13.2193) * CHOOSE(CONTROL!$C$21, $C$9, 100%, $E$9)</f>
        <v>13.2193</v>
      </c>
      <c r="Q321" s="14">
        <f>CHOOSE(CONTROL!$C$42, 14.0348, 14.0348) * CHOOSE(CONTROL!$C$21, $C$9, 100%, $E$9)</f>
        <v>14.034800000000001</v>
      </c>
      <c r="R321" s="14">
        <f>CHOOSE(CONTROL!$C$42, 14.6569, 14.6569) * CHOOSE(CONTROL!$C$21, $C$9, 100%, $E$9)</f>
        <v>14.6569</v>
      </c>
      <c r="S321" s="14">
        <f>CHOOSE(CONTROL!$C$42, 12.857, 12.857) * CHOOSE(CONTROL!$C$21, $C$9, 100%, $E$9)</f>
        <v>12.856999999999999</v>
      </c>
      <c r="T32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21" s="56">
        <f>(1000*CHOOSE(CONTROL!$C$42, 695, 695)*CHOOSE(CONTROL!$C$42, 0.5599, 0.5599)*CHOOSE(CONTROL!$C$42, 30, 30))/1000000</f>
        <v>11.673914999999997</v>
      </c>
      <c r="V321" s="56">
        <f>(1000*CHOOSE(CONTROL!$C$42, 500, 500)*CHOOSE(CONTROL!$C$42, 0.275, 0.275)*CHOOSE(CONTROL!$C$42, 30, 30))/1000000</f>
        <v>4.125</v>
      </c>
      <c r="W321" s="56">
        <f>(1000*CHOOSE(CONTROL!$C$42, 0.1146, 0.1146)*CHOOSE(CONTROL!$C$42, 121.5, 121.5)*CHOOSE(CONTROL!$C$42, 30, 30))/1000000</f>
        <v>0.417717</v>
      </c>
      <c r="X321" s="56">
        <f>(30*0.1790888*245000/1000000)+(30*0.2374*100000/1000000)</f>
        <v>2.0285026799999999</v>
      </c>
      <c r="Y321" s="56"/>
      <c r="Z321" s="14"/>
      <c r="AA321" s="55"/>
      <c r="AB321" s="49">
        <f>(B321*194.205+C321*267.466+D321*133.845+E321*53.484+F321*40+G321*185+H321*0+I321*100+J321*300)/(194.205+267.466+133.845+53.484+0+40+185+100+300)</f>
        <v>13.448542660832025</v>
      </c>
      <c r="AC321" s="45">
        <f>(M321*'RAP TEMPLATE-GAS AVAILABILITY'!O320+N321*'RAP TEMPLATE-GAS AVAILABILITY'!P320+O321*'RAP TEMPLATE-GAS AVAILABILITY'!Q320+P321*'RAP TEMPLATE-GAS AVAILABILITY'!R320)/('RAP TEMPLATE-GAS AVAILABILITY'!O320+'RAP TEMPLATE-GAS AVAILABILITY'!P320+'RAP TEMPLATE-GAS AVAILABILITY'!Q320+'RAP TEMPLATE-GAS AVAILABILITY'!R320)</f>
        <v>13.258609352517986</v>
      </c>
    </row>
    <row r="322" spans="1:29" ht="15.75" x14ac:dyDescent="0.25">
      <c r="A322" s="33">
        <v>50709</v>
      </c>
      <c r="B322" s="14">
        <f>CHOOSE(CONTROL!$C$42, 13.1178, 13.1178) * CHOOSE(CONTROL!$C$21, $C$9, 100%, $E$9)</f>
        <v>13.117800000000001</v>
      </c>
      <c r="C322" s="14">
        <f>CHOOSE(CONTROL!$C$42, 13.1231, 13.1231) * CHOOSE(CONTROL!$C$21, $C$9, 100%, $E$9)</f>
        <v>13.123100000000001</v>
      </c>
      <c r="D322" s="14">
        <f>CHOOSE(CONTROL!$C$42, 13.3872, 13.3872) * CHOOSE(CONTROL!$C$21, $C$9, 100%, $E$9)</f>
        <v>13.3872</v>
      </c>
      <c r="E322" s="14">
        <f>CHOOSE(CONTROL!$C$42, 13.4163, 13.4163) * CHOOSE(CONTROL!$C$21, $C$9, 100%, $E$9)</f>
        <v>13.4163</v>
      </c>
      <c r="F322" s="14">
        <f>CHOOSE(CONTROL!$C$42, 13.1424, 13.1424)*CHOOSE(CONTROL!$C$21, $C$9, 100%, $E$9)</f>
        <v>13.1424</v>
      </c>
      <c r="G322" s="14">
        <f>CHOOSE(CONTROL!$C$42, 13.1595, 13.1595)*CHOOSE(CONTROL!$C$21, $C$9, 100%, $E$9)</f>
        <v>13.1595</v>
      </c>
      <c r="H322" s="14">
        <f>CHOOSE(CONTROL!$C$42, 13.4068, 13.4068) * CHOOSE(CONTROL!$C$21, $C$9, 100%, $E$9)</f>
        <v>13.4068</v>
      </c>
      <c r="I322" s="14">
        <f>CHOOSE(CONTROL!$C$42, 13.1817, 13.1817)* CHOOSE(CONTROL!$C$21, $C$9, 100%, $E$9)</f>
        <v>13.181699999999999</v>
      </c>
      <c r="J322" s="14">
        <f>CHOOSE(CONTROL!$C$42, 13.1354, 13.1354)* CHOOSE(CONTROL!$C$21, $C$9, 100%, $E$9)</f>
        <v>13.135400000000001</v>
      </c>
      <c r="K322" s="52">
        <f>CHOOSE(CONTROL!$C$42, 13.1778, 13.1778) * CHOOSE(CONTROL!$C$21, $C$9, 100%, $E$9)</f>
        <v>13.1778</v>
      </c>
      <c r="L322" s="14">
        <f>CHOOSE(CONTROL!$C$42, 13.9938, 13.9938) * CHOOSE(CONTROL!$C$21, $C$9, 100%, $E$9)</f>
        <v>13.9938</v>
      </c>
      <c r="M322" s="14">
        <f>CHOOSE(CONTROL!$C$42, 12.9069, 12.9069) * CHOOSE(CONTROL!$C$21, $C$9, 100%, $E$9)</f>
        <v>12.9069</v>
      </c>
      <c r="N322" s="14">
        <f>CHOOSE(CONTROL!$C$42, 12.9236, 12.9236) * CHOOSE(CONTROL!$C$21, $C$9, 100%, $E$9)</f>
        <v>12.9236</v>
      </c>
      <c r="O322" s="14">
        <f>CHOOSE(CONTROL!$C$42, 13.1733, 13.1733) * CHOOSE(CONTROL!$C$21, $C$9, 100%, $E$9)</f>
        <v>13.173299999999999</v>
      </c>
      <c r="P322" s="14">
        <f>CHOOSE(CONTROL!$C$42, 12.9517, 12.9517) * CHOOSE(CONTROL!$C$21, $C$9, 100%, $E$9)</f>
        <v>12.951700000000001</v>
      </c>
      <c r="Q322" s="14">
        <f>CHOOSE(CONTROL!$C$42, 13.768, 13.768) * CHOOSE(CONTROL!$C$21, $C$9, 100%, $E$9)</f>
        <v>13.768000000000001</v>
      </c>
      <c r="R322" s="14">
        <f>CHOOSE(CONTROL!$C$42, 14.3894, 14.3894) * CHOOSE(CONTROL!$C$21, $C$9, 100%, $E$9)</f>
        <v>14.3894</v>
      </c>
      <c r="S322" s="14">
        <f>CHOOSE(CONTROL!$C$42, 12.5959, 12.5959) * CHOOSE(CONTROL!$C$21, $C$9, 100%, $E$9)</f>
        <v>12.5959</v>
      </c>
      <c r="T32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22" s="56">
        <f>(1000*CHOOSE(CONTROL!$C$42, 695, 695)*CHOOSE(CONTROL!$C$42, 0.5599, 0.5599)*CHOOSE(CONTROL!$C$42, 31, 31))/1000000</f>
        <v>12.063045499999998</v>
      </c>
      <c r="V322" s="56">
        <f>(1000*CHOOSE(CONTROL!$C$42, 500, 500)*CHOOSE(CONTROL!$C$42, 0.275, 0.275)*CHOOSE(CONTROL!$C$42, 31, 31))/1000000</f>
        <v>4.2625000000000002</v>
      </c>
      <c r="W322" s="56">
        <f>(1000*CHOOSE(CONTROL!$C$42, 0.1146, 0.1146)*CHOOSE(CONTROL!$C$42, 121.5, 121.5)*CHOOSE(CONTROL!$C$42, 31, 31))/1000000</f>
        <v>0.43164089999999994</v>
      </c>
      <c r="X322" s="56">
        <f>(31*0.1790888*245000/1000000)+(31*0.2374*100000/1000000)</f>
        <v>2.0961194359999999</v>
      </c>
      <c r="Y322" s="56"/>
      <c r="Z322" s="14"/>
      <c r="AA322" s="55"/>
      <c r="AB322" s="49">
        <f>(B322*131.881+C322*277.167+D322*79.08+E322*125.872+F322*40+G322*185+H322*0+I322*100+J322*300)/(131.881+277.167+79.08+125.872+0+40+185+100+300)</f>
        <v>13.182944817675546</v>
      </c>
      <c r="AC322" s="45">
        <f>(M322*'RAP TEMPLATE-GAS AVAILABILITY'!O321+N322*'RAP TEMPLATE-GAS AVAILABILITY'!P321+O322*'RAP TEMPLATE-GAS AVAILABILITY'!Q321+P322*'RAP TEMPLATE-GAS AVAILABILITY'!R321)/('RAP TEMPLATE-GAS AVAILABILITY'!O321+'RAP TEMPLATE-GAS AVAILABILITY'!P321+'RAP TEMPLATE-GAS AVAILABILITY'!Q321+'RAP TEMPLATE-GAS AVAILABILITY'!R321)</f>
        <v>12.99193597122302</v>
      </c>
    </row>
    <row r="323" spans="1:29" ht="15.75" x14ac:dyDescent="0.25">
      <c r="A323" s="33">
        <v>50739</v>
      </c>
      <c r="B323" s="14">
        <f>CHOOSE(CONTROL!$C$42, 13.4627, 13.4627) * CHOOSE(CONTROL!$C$21, $C$9, 100%, $E$9)</f>
        <v>13.4627</v>
      </c>
      <c r="C323" s="14">
        <f>CHOOSE(CONTROL!$C$42, 13.4678, 13.4678) * CHOOSE(CONTROL!$C$21, $C$9, 100%, $E$9)</f>
        <v>13.4678</v>
      </c>
      <c r="D323" s="14">
        <f>CHOOSE(CONTROL!$C$42, 13.5508, 13.5508) * CHOOSE(CONTROL!$C$21, $C$9, 100%, $E$9)</f>
        <v>13.550800000000001</v>
      </c>
      <c r="E323" s="14">
        <f>CHOOSE(CONTROL!$C$42, 13.5849, 13.5849) * CHOOSE(CONTROL!$C$21, $C$9, 100%, $E$9)</f>
        <v>13.584899999999999</v>
      </c>
      <c r="F323" s="14">
        <f>CHOOSE(CONTROL!$C$42, 13.4903, 13.4903)*CHOOSE(CONTROL!$C$21, $C$9, 100%, $E$9)</f>
        <v>13.4903</v>
      </c>
      <c r="G323" s="14">
        <f>CHOOSE(CONTROL!$C$42, 13.5077, 13.5077)*CHOOSE(CONTROL!$C$21, $C$9, 100%, $E$9)</f>
        <v>13.5077</v>
      </c>
      <c r="H323" s="14">
        <f>CHOOSE(CONTROL!$C$42, 13.5741, 13.5741) * CHOOSE(CONTROL!$C$21, $C$9, 100%, $E$9)</f>
        <v>13.5741</v>
      </c>
      <c r="I323" s="14">
        <f>CHOOSE(CONTROL!$C$42, 13.5245, 13.5245)* CHOOSE(CONTROL!$C$21, $C$9, 100%, $E$9)</f>
        <v>13.5245</v>
      </c>
      <c r="J323" s="14">
        <f>CHOOSE(CONTROL!$C$42, 13.4833, 13.4833)* CHOOSE(CONTROL!$C$21, $C$9, 100%, $E$9)</f>
        <v>13.4833</v>
      </c>
      <c r="K323" s="52">
        <f>CHOOSE(CONTROL!$C$42, 13.5206, 13.5206) * CHOOSE(CONTROL!$C$21, $C$9, 100%, $E$9)</f>
        <v>13.5206</v>
      </c>
      <c r="L323" s="14">
        <f>CHOOSE(CONTROL!$C$42, 14.1611, 14.1611) * CHOOSE(CONTROL!$C$21, $C$9, 100%, $E$9)</f>
        <v>14.161099999999999</v>
      </c>
      <c r="M323" s="14">
        <f>CHOOSE(CONTROL!$C$42, 13.2485, 13.2485) * CHOOSE(CONTROL!$C$21, $C$9, 100%, $E$9)</f>
        <v>13.2485</v>
      </c>
      <c r="N323" s="14">
        <f>CHOOSE(CONTROL!$C$42, 13.2655, 13.2655) * CHOOSE(CONTROL!$C$21, $C$9, 100%, $E$9)</f>
        <v>13.265499999999999</v>
      </c>
      <c r="O323" s="14">
        <f>CHOOSE(CONTROL!$C$42, 13.3377, 13.3377) * CHOOSE(CONTROL!$C$21, $C$9, 100%, $E$9)</f>
        <v>13.3377</v>
      </c>
      <c r="P323" s="14">
        <f>CHOOSE(CONTROL!$C$42, 13.2882, 13.2882) * CHOOSE(CONTROL!$C$21, $C$9, 100%, $E$9)</f>
        <v>13.2882</v>
      </c>
      <c r="Q323" s="14">
        <f>CHOOSE(CONTROL!$C$42, 13.9324, 13.9324) * CHOOSE(CONTROL!$C$21, $C$9, 100%, $E$9)</f>
        <v>13.932399999999999</v>
      </c>
      <c r="R323" s="14">
        <f>CHOOSE(CONTROL!$C$42, 14.5542, 14.5542) * CHOOSE(CONTROL!$C$21, $C$9, 100%, $E$9)</f>
        <v>14.5542</v>
      </c>
      <c r="S323" s="14">
        <f>CHOOSE(CONTROL!$C$42, 12.9278, 12.9278) * CHOOSE(CONTROL!$C$21, $C$9, 100%, $E$9)</f>
        <v>12.9278</v>
      </c>
      <c r="T32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23" s="56">
        <f>(1000*CHOOSE(CONTROL!$C$42, 695, 695)*CHOOSE(CONTROL!$C$42, 0.5599, 0.5599)*CHOOSE(CONTROL!$C$42, 30, 30))/1000000</f>
        <v>11.673914999999997</v>
      </c>
      <c r="V323" s="56">
        <f>(1000*CHOOSE(CONTROL!$C$42, 500, 500)*CHOOSE(CONTROL!$C$42, 0.275, 0.275)*CHOOSE(CONTROL!$C$42, 30, 30))/1000000</f>
        <v>4.125</v>
      </c>
      <c r="W323" s="56">
        <f>(1000*CHOOSE(CONTROL!$C$42, 0.1146, 0.1146)*CHOOSE(CONTROL!$C$42, 121.5, 121.5)*CHOOSE(CONTROL!$C$42, 30, 30))/1000000</f>
        <v>0.417717</v>
      </c>
      <c r="X323" s="56">
        <f>(30*0.1790888*100000/1000000)+(30*0.2374*100000/1000000)</f>
        <v>1.2494664</v>
      </c>
      <c r="Y323" s="56"/>
      <c r="Z323" s="14"/>
      <c r="AA323" s="55"/>
      <c r="AB323" s="49">
        <f>(B323*122.58+C323*297.941+D323*89.177+E323*40.302+F323*40+G323*160+H323*0+I323*100+J323*300)/(122.58+297.941+89.177+40.302+0+40+160+100+300)</f>
        <v>13.493104258434784</v>
      </c>
      <c r="AC323" s="45">
        <f>(M323*'RAP TEMPLATE-GAS AVAILABILITY'!O322+N323*'RAP TEMPLATE-GAS AVAILABILITY'!P322+O323*'RAP TEMPLATE-GAS AVAILABILITY'!Q322+P323*'RAP TEMPLATE-GAS AVAILABILITY'!R322)/('RAP TEMPLATE-GAS AVAILABILITY'!O322+'RAP TEMPLATE-GAS AVAILABILITY'!P322+'RAP TEMPLATE-GAS AVAILABILITY'!Q322+'RAP TEMPLATE-GAS AVAILABILITY'!R322)</f>
        <v>13.295619424460432</v>
      </c>
    </row>
    <row r="324" spans="1:29" ht="15.75" x14ac:dyDescent="0.25">
      <c r="A324" s="33">
        <v>50770</v>
      </c>
      <c r="B324" s="14">
        <f>CHOOSE(CONTROL!$C$42, 14.3799, 14.3799) * CHOOSE(CONTROL!$C$21, $C$9, 100%, $E$9)</f>
        <v>14.379899999999999</v>
      </c>
      <c r="C324" s="14">
        <f>CHOOSE(CONTROL!$C$42, 14.385, 14.385) * CHOOSE(CONTROL!$C$21, $C$9, 100%, $E$9)</f>
        <v>14.385</v>
      </c>
      <c r="D324" s="14">
        <f>CHOOSE(CONTROL!$C$42, 14.468, 14.468) * CHOOSE(CONTROL!$C$21, $C$9, 100%, $E$9)</f>
        <v>14.468</v>
      </c>
      <c r="E324" s="14">
        <f>CHOOSE(CONTROL!$C$42, 14.5022, 14.5022) * CHOOSE(CONTROL!$C$21, $C$9, 100%, $E$9)</f>
        <v>14.5022</v>
      </c>
      <c r="F324" s="14">
        <f>CHOOSE(CONTROL!$C$42, 14.41, 14.41)*CHOOSE(CONTROL!$C$21, $C$9, 100%, $E$9)</f>
        <v>14.41</v>
      </c>
      <c r="G324" s="14">
        <f>CHOOSE(CONTROL!$C$42, 14.428, 14.428)*CHOOSE(CONTROL!$C$21, $C$9, 100%, $E$9)</f>
        <v>14.428000000000001</v>
      </c>
      <c r="H324" s="14">
        <f>CHOOSE(CONTROL!$C$42, 14.4913, 14.4913) * CHOOSE(CONTROL!$C$21, $C$9, 100%, $E$9)</f>
        <v>14.491300000000001</v>
      </c>
      <c r="I324" s="14">
        <f>CHOOSE(CONTROL!$C$42, 14.4446, 14.4446)* CHOOSE(CONTROL!$C$21, $C$9, 100%, $E$9)</f>
        <v>14.444599999999999</v>
      </c>
      <c r="J324" s="14">
        <f>CHOOSE(CONTROL!$C$42, 14.403, 14.403)* CHOOSE(CONTROL!$C$21, $C$9, 100%, $E$9)</f>
        <v>14.403</v>
      </c>
      <c r="K324" s="52">
        <f>CHOOSE(CONTROL!$C$42, 14.4407, 14.4407) * CHOOSE(CONTROL!$C$21, $C$9, 100%, $E$9)</f>
        <v>14.4407</v>
      </c>
      <c r="L324" s="14">
        <f>CHOOSE(CONTROL!$C$42, 15.0783, 15.0783) * CHOOSE(CONTROL!$C$21, $C$9, 100%, $E$9)</f>
        <v>15.0783</v>
      </c>
      <c r="M324" s="14">
        <f>CHOOSE(CONTROL!$C$42, 14.1516, 14.1516) * CHOOSE(CONTROL!$C$21, $C$9, 100%, $E$9)</f>
        <v>14.1516</v>
      </c>
      <c r="N324" s="14">
        <f>CHOOSE(CONTROL!$C$42, 14.1693, 14.1693) * CHOOSE(CONTROL!$C$21, $C$9, 100%, $E$9)</f>
        <v>14.1693</v>
      </c>
      <c r="O324" s="14">
        <f>CHOOSE(CONTROL!$C$42, 14.2384, 14.2384) * CHOOSE(CONTROL!$C$21, $C$9, 100%, $E$9)</f>
        <v>14.2384</v>
      </c>
      <c r="P324" s="14">
        <f>CHOOSE(CONTROL!$C$42, 14.1917, 14.1917) * CHOOSE(CONTROL!$C$21, $C$9, 100%, $E$9)</f>
        <v>14.191700000000001</v>
      </c>
      <c r="Q324" s="14">
        <f>CHOOSE(CONTROL!$C$42, 14.8331, 14.8331) * CHOOSE(CONTROL!$C$21, $C$9, 100%, $E$9)</f>
        <v>14.8331</v>
      </c>
      <c r="R324" s="14">
        <f>CHOOSE(CONTROL!$C$42, 15.4572, 15.4572) * CHOOSE(CONTROL!$C$21, $C$9, 100%, $E$9)</f>
        <v>15.4572</v>
      </c>
      <c r="S324" s="14">
        <f>CHOOSE(CONTROL!$C$42, 13.8091, 13.8091) * CHOOSE(CONTROL!$C$21, $C$9, 100%, $E$9)</f>
        <v>13.809100000000001</v>
      </c>
      <c r="T32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24" s="56">
        <f>(1000*CHOOSE(CONTROL!$C$42, 695, 695)*CHOOSE(CONTROL!$C$42, 0.5599, 0.5599)*CHOOSE(CONTROL!$C$42, 31, 31))/1000000</f>
        <v>12.063045499999998</v>
      </c>
      <c r="V324" s="56">
        <f>(1000*CHOOSE(CONTROL!$C$42, 500, 500)*CHOOSE(CONTROL!$C$42, 0.275, 0.275)*CHOOSE(CONTROL!$C$42, 31, 31))/1000000</f>
        <v>4.2625000000000002</v>
      </c>
      <c r="W324" s="56">
        <f>(1000*CHOOSE(CONTROL!$C$42, 0.1146, 0.1146)*CHOOSE(CONTROL!$C$42, 121.5, 121.5)*CHOOSE(CONTROL!$C$42, 31, 31))/1000000</f>
        <v>0.43164089999999994</v>
      </c>
      <c r="X324" s="56">
        <f>(31*0.1790888*100000/1000000)+(31*0.2374*100000/1000000)</f>
        <v>1.2911152800000001</v>
      </c>
      <c r="Y324" s="56"/>
      <c r="Z324" s="14"/>
      <c r="AA324" s="55"/>
      <c r="AB324" s="49">
        <f>(B324*122.58+C324*297.941+D324*89.177+E324*40.302+F324*40+G324*160+H324*0+I324*100+J324*300)/(122.58+297.941+89.177+40.302+0+40+160+100+300)</f>
        <v>14.411730371652176</v>
      </c>
      <c r="AC324" s="45">
        <f>(M324*'RAP TEMPLATE-GAS AVAILABILITY'!O323+N324*'RAP TEMPLATE-GAS AVAILABILITY'!P323+O324*'RAP TEMPLATE-GAS AVAILABILITY'!Q323+P324*'RAP TEMPLATE-GAS AVAILABILITY'!R323)/('RAP TEMPLATE-GAS AVAILABILITY'!O323+'RAP TEMPLATE-GAS AVAILABILITY'!P323+'RAP TEMPLATE-GAS AVAILABILITY'!Q323+'RAP TEMPLATE-GAS AVAILABILITY'!R323)</f>
        <v>14.197729496402879</v>
      </c>
    </row>
    <row r="325" spans="1:29" ht="15.75" x14ac:dyDescent="0.25">
      <c r="A325" s="33">
        <v>50801</v>
      </c>
      <c r="B325" s="14">
        <f>CHOOSE(CONTROL!$C$42, 15.5712, 15.5712) * CHOOSE(CONTROL!$C$21, $C$9, 100%, $E$9)</f>
        <v>15.571199999999999</v>
      </c>
      <c r="C325" s="14">
        <f>CHOOSE(CONTROL!$C$42, 15.5763, 15.5763) * CHOOSE(CONTROL!$C$21, $C$9, 100%, $E$9)</f>
        <v>15.5763</v>
      </c>
      <c r="D325" s="14">
        <f>CHOOSE(CONTROL!$C$42, 15.6698, 15.6698) * CHOOSE(CONTROL!$C$21, $C$9, 100%, $E$9)</f>
        <v>15.6698</v>
      </c>
      <c r="E325" s="14">
        <f>CHOOSE(CONTROL!$C$42, 15.7039, 15.7039) * CHOOSE(CONTROL!$C$21, $C$9, 100%, $E$9)</f>
        <v>15.703900000000001</v>
      </c>
      <c r="F325" s="14">
        <f>CHOOSE(CONTROL!$C$42, 15.5985, 15.5985)*CHOOSE(CONTROL!$C$21, $C$9, 100%, $E$9)</f>
        <v>15.5985</v>
      </c>
      <c r="G325" s="14">
        <f>CHOOSE(CONTROL!$C$42, 15.6165, 15.6165)*CHOOSE(CONTROL!$C$21, $C$9, 100%, $E$9)</f>
        <v>15.6165</v>
      </c>
      <c r="H325" s="14">
        <f>CHOOSE(CONTROL!$C$42, 15.6931, 15.6931) * CHOOSE(CONTROL!$C$21, $C$9, 100%, $E$9)</f>
        <v>15.693099999999999</v>
      </c>
      <c r="I325" s="14">
        <f>CHOOSE(CONTROL!$C$42, 15.6459, 15.6459)* CHOOSE(CONTROL!$C$21, $C$9, 100%, $E$9)</f>
        <v>15.645899999999999</v>
      </c>
      <c r="J325" s="14">
        <f>CHOOSE(CONTROL!$C$42, 15.5915, 15.5915)* CHOOSE(CONTROL!$C$21, $C$9, 100%, $E$9)</f>
        <v>15.5915</v>
      </c>
      <c r="K325" s="52">
        <f>CHOOSE(CONTROL!$C$42, 15.642, 15.642) * CHOOSE(CONTROL!$C$21, $C$9, 100%, $E$9)</f>
        <v>15.641999999999999</v>
      </c>
      <c r="L325" s="14">
        <f>CHOOSE(CONTROL!$C$42, 16.2801, 16.2801) * CHOOSE(CONTROL!$C$21, $C$9, 100%, $E$9)</f>
        <v>16.280100000000001</v>
      </c>
      <c r="M325" s="14">
        <f>CHOOSE(CONTROL!$C$42, 15.3188, 15.3188) * CHOOSE(CONTROL!$C$21, $C$9, 100%, $E$9)</f>
        <v>15.3188</v>
      </c>
      <c r="N325" s="14">
        <f>CHOOSE(CONTROL!$C$42, 15.3364, 15.3364) * CHOOSE(CONTROL!$C$21, $C$9, 100%, $E$9)</f>
        <v>15.336399999999999</v>
      </c>
      <c r="O325" s="14">
        <f>CHOOSE(CONTROL!$C$42, 15.4185, 15.4185) * CHOOSE(CONTROL!$C$21, $C$9, 100%, $E$9)</f>
        <v>15.4185</v>
      </c>
      <c r="P325" s="14">
        <f>CHOOSE(CONTROL!$C$42, 15.3714, 15.3714) * CHOOSE(CONTROL!$C$21, $C$9, 100%, $E$9)</f>
        <v>15.3714</v>
      </c>
      <c r="Q325" s="14">
        <f>CHOOSE(CONTROL!$C$42, 16.0132, 16.0132) * CHOOSE(CONTROL!$C$21, $C$9, 100%, $E$9)</f>
        <v>16.013200000000001</v>
      </c>
      <c r="R325" s="14">
        <f>CHOOSE(CONTROL!$C$42, 16.6402, 16.6402) * CHOOSE(CONTROL!$C$21, $C$9, 100%, $E$9)</f>
        <v>16.6402</v>
      </c>
      <c r="S325" s="14">
        <f>CHOOSE(CONTROL!$C$42, 14.9538, 14.9538) * CHOOSE(CONTROL!$C$21, $C$9, 100%, $E$9)</f>
        <v>14.953799999999999</v>
      </c>
      <c r="T32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25" s="56">
        <f>(1000*CHOOSE(CONTROL!$C$42, 695, 695)*CHOOSE(CONTROL!$C$42, 0.5599, 0.5599)*CHOOSE(CONTROL!$C$42, 31, 31))/1000000</f>
        <v>12.063045499999998</v>
      </c>
      <c r="V325" s="56">
        <f>(1000*CHOOSE(CONTROL!$C$42, 500, 500)*CHOOSE(CONTROL!$C$42, 0.275, 0.275)*CHOOSE(CONTROL!$C$42, 31, 31))/1000000</f>
        <v>4.2625000000000002</v>
      </c>
      <c r="W325" s="56">
        <f>(1000*CHOOSE(CONTROL!$C$42, 0.1146, 0.1146)*CHOOSE(CONTROL!$C$42, 121.5, 121.5)*CHOOSE(CONTROL!$C$42, 31, 31))/1000000</f>
        <v>0.43164089999999994</v>
      </c>
      <c r="X325" s="56">
        <f>(31*0.1790888*100000/1000000)+(31*0.2374*100000/1000000)</f>
        <v>1.2911152800000001</v>
      </c>
      <c r="Y325" s="56"/>
      <c r="Z325" s="14"/>
      <c r="AA325" s="55"/>
      <c r="AB325" s="49">
        <f>(B325*122.58+C325*297.941+D325*89.177+E325*40.302+F325*40+G325*160+H325*0+I325*100+J325*300)/(122.58+297.941+89.177+40.302+0+40+160+100+300)</f>
        <v>15.603861240608694</v>
      </c>
      <c r="AC325" s="45">
        <f>(M325*'RAP TEMPLATE-GAS AVAILABILITY'!O324+N325*'RAP TEMPLATE-GAS AVAILABILITY'!P324+O325*'RAP TEMPLATE-GAS AVAILABILITY'!Q324+P325*'RAP TEMPLATE-GAS AVAILABILITY'!R324)/('RAP TEMPLATE-GAS AVAILABILITY'!O324+'RAP TEMPLATE-GAS AVAILABILITY'!P324+'RAP TEMPLATE-GAS AVAILABILITY'!Q324+'RAP TEMPLATE-GAS AVAILABILITY'!R324)</f>
        <v>15.3725690647482</v>
      </c>
    </row>
    <row r="326" spans="1:29" ht="15.75" x14ac:dyDescent="0.25">
      <c r="A326" s="33">
        <v>50829</v>
      </c>
      <c r="B326" s="14">
        <f>CHOOSE(CONTROL!$C$42, 15.8482, 15.8482) * CHOOSE(CONTROL!$C$21, $C$9, 100%, $E$9)</f>
        <v>15.8482</v>
      </c>
      <c r="C326" s="14">
        <f>CHOOSE(CONTROL!$C$42, 15.8533, 15.8533) * CHOOSE(CONTROL!$C$21, $C$9, 100%, $E$9)</f>
        <v>15.853300000000001</v>
      </c>
      <c r="D326" s="14">
        <f>CHOOSE(CONTROL!$C$42, 15.9468, 15.9468) * CHOOSE(CONTROL!$C$21, $C$9, 100%, $E$9)</f>
        <v>15.9468</v>
      </c>
      <c r="E326" s="14">
        <f>CHOOSE(CONTROL!$C$42, 15.9809, 15.9809) * CHOOSE(CONTROL!$C$21, $C$9, 100%, $E$9)</f>
        <v>15.9809</v>
      </c>
      <c r="F326" s="14">
        <f>CHOOSE(CONTROL!$C$42, 15.8752, 15.8752)*CHOOSE(CONTROL!$C$21, $C$9, 100%, $E$9)</f>
        <v>15.8752</v>
      </c>
      <c r="G326" s="14">
        <f>CHOOSE(CONTROL!$C$42, 15.8931, 15.8931)*CHOOSE(CONTROL!$C$21, $C$9, 100%, $E$9)</f>
        <v>15.8931</v>
      </c>
      <c r="H326" s="14">
        <f>CHOOSE(CONTROL!$C$42, 15.9701, 15.9701) * CHOOSE(CONTROL!$C$21, $C$9, 100%, $E$9)</f>
        <v>15.9701</v>
      </c>
      <c r="I326" s="14">
        <f>CHOOSE(CONTROL!$C$42, 15.9238, 15.9238)* CHOOSE(CONTROL!$C$21, $C$9, 100%, $E$9)</f>
        <v>15.9238</v>
      </c>
      <c r="J326" s="14">
        <f>CHOOSE(CONTROL!$C$42, 15.8682, 15.8682)* CHOOSE(CONTROL!$C$21, $C$9, 100%, $E$9)</f>
        <v>15.8682</v>
      </c>
      <c r="K326" s="52">
        <f>CHOOSE(CONTROL!$C$42, 15.9199, 15.9199) * CHOOSE(CONTROL!$C$21, $C$9, 100%, $E$9)</f>
        <v>15.9199</v>
      </c>
      <c r="L326" s="14">
        <f>CHOOSE(CONTROL!$C$42, 16.5571, 16.5571) * CHOOSE(CONTROL!$C$21, $C$9, 100%, $E$9)</f>
        <v>16.557099999999998</v>
      </c>
      <c r="M326" s="14">
        <f>CHOOSE(CONTROL!$C$42, 15.5905, 15.5905) * CHOOSE(CONTROL!$C$21, $C$9, 100%, $E$9)</f>
        <v>15.5905</v>
      </c>
      <c r="N326" s="14">
        <f>CHOOSE(CONTROL!$C$42, 15.608, 15.608) * CHOOSE(CONTROL!$C$21, $C$9, 100%, $E$9)</f>
        <v>15.608000000000001</v>
      </c>
      <c r="O326" s="14">
        <f>CHOOSE(CONTROL!$C$42, 15.6905, 15.6905) * CHOOSE(CONTROL!$C$21, $C$9, 100%, $E$9)</f>
        <v>15.6905</v>
      </c>
      <c r="P326" s="14">
        <f>CHOOSE(CONTROL!$C$42, 15.6442, 15.6442) * CHOOSE(CONTROL!$C$21, $C$9, 100%, $E$9)</f>
        <v>15.6442</v>
      </c>
      <c r="Q326" s="14">
        <f>CHOOSE(CONTROL!$C$42, 16.2852, 16.2852) * CHOOSE(CONTROL!$C$21, $C$9, 100%, $E$9)</f>
        <v>16.2852</v>
      </c>
      <c r="R326" s="14">
        <f>CHOOSE(CONTROL!$C$42, 16.9129, 16.9129) * CHOOSE(CONTROL!$C$21, $C$9, 100%, $E$9)</f>
        <v>16.9129</v>
      </c>
      <c r="S326" s="14">
        <f>CHOOSE(CONTROL!$C$42, 15.22, 15.22) * CHOOSE(CONTROL!$C$21, $C$9, 100%, $E$9)</f>
        <v>15.22</v>
      </c>
      <c r="T32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26" s="56">
        <f>(1000*CHOOSE(CONTROL!$C$42, 695, 695)*CHOOSE(CONTROL!$C$42, 0.5599, 0.5599)*CHOOSE(CONTROL!$C$42, 28, 28))/1000000</f>
        <v>10.895653999999999</v>
      </c>
      <c r="V326" s="56">
        <f>(1000*CHOOSE(CONTROL!$C$42, 500, 500)*CHOOSE(CONTROL!$C$42, 0.275, 0.275)*CHOOSE(CONTROL!$C$42, 28, 28))/1000000</f>
        <v>3.85</v>
      </c>
      <c r="W326" s="56">
        <f>(1000*CHOOSE(CONTROL!$C$42, 0.1146, 0.1146)*CHOOSE(CONTROL!$C$42, 121.5, 121.5)*CHOOSE(CONTROL!$C$42, 28, 28))/1000000</f>
        <v>0.38986920000000003</v>
      </c>
      <c r="X326" s="56">
        <f>(28*0.1790888*100000/1000000)+(28*0.2374*100000/1000000)</f>
        <v>1.16616864</v>
      </c>
      <c r="Y326" s="56"/>
      <c r="Z326" s="14"/>
      <c r="AA326" s="55"/>
      <c r="AB326" s="49">
        <f>(B326*122.58+C326*297.941+D326*89.177+E326*40.302+F326*40+G326*160+H326*0+I326*100+J326*300)/(122.58+297.941+89.177+40.302+0+40+160+100+300)</f>
        <v>15.880795153652175</v>
      </c>
      <c r="AC326" s="45">
        <f>(M326*'RAP TEMPLATE-GAS AVAILABILITY'!O325+N326*'RAP TEMPLATE-GAS AVAILABILITY'!P325+O326*'RAP TEMPLATE-GAS AVAILABILITY'!Q325+P326*'RAP TEMPLATE-GAS AVAILABILITY'!R325)/('RAP TEMPLATE-GAS AVAILABILITY'!O325+'RAP TEMPLATE-GAS AVAILABILITY'!P325+'RAP TEMPLATE-GAS AVAILABILITY'!Q325+'RAP TEMPLATE-GAS AVAILABILITY'!R325)</f>
        <v>15.644557553956835</v>
      </c>
    </row>
    <row r="327" spans="1:29" ht="15.75" x14ac:dyDescent="0.25">
      <c r="A327" s="33">
        <v>50860</v>
      </c>
      <c r="B327" s="14">
        <f>CHOOSE(CONTROL!$C$42, 15.3986, 15.3986) * CHOOSE(CONTROL!$C$21, $C$9, 100%, $E$9)</f>
        <v>15.3986</v>
      </c>
      <c r="C327" s="14">
        <f>CHOOSE(CONTROL!$C$42, 15.4036, 15.4036) * CHOOSE(CONTROL!$C$21, $C$9, 100%, $E$9)</f>
        <v>15.403600000000001</v>
      </c>
      <c r="D327" s="14">
        <f>CHOOSE(CONTROL!$C$42, 15.4971, 15.4971) * CHOOSE(CONTROL!$C$21, $C$9, 100%, $E$9)</f>
        <v>15.4971</v>
      </c>
      <c r="E327" s="14">
        <f>CHOOSE(CONTROL!$C$42, 15.5312, 15.5312) * CHOOSE(CONTROL!$C$21, $C$9, 100%, $E$9)</f>
        <v>15.5312</v>
      </c>
      <c r="F327" s="14">
        <f>CHOOSE(CONTROL!$C$42, 15.4246, 15.4246)*CHOOSE(CONTROL!$C$21, $C$9, 100%, $E$9)</f>
        <v>15.4246</v>
      </c>
      <c r="G327" s="14">
        <f>CHOOSE(CONTROL!$C$42, 15.4423, 15.4423)*CHOOSE(CONTROL!$C$21, $C$9, 100%, $E$9)</f>
        <v>15.442299999999999</v>
      </c>
      <c r="H327" s="14">
        <f>CHOOSE(CONTROL!$C$42, 15.5204, 15.5204) * CHOOSE(CONTROL!$C$21, $C$9, 100%, $E$9)</f>
        <v>15.5204</v>
      </c>
      <c r="I327" s="14">
        <f>CHOOSE(CONTROL!$C$42, 15.4727, 15.4727)* CHOOSE(CONTROL!$C$21, $C$9, 100%, $E$9)</f>
        <v>15.4727</v>
      </c>
      <c r="J327" s="14">
        <f>CHOOSE(CONTROL!$C$42, 15.4176, 15.4176)* CHOOSE(CONTROL!$C$21, $C$9, 100%, $E$9)</f>
        <v>15.4176</v>
      </c>
      <c r="K327" s="52">
        <f>CHOOSE(CONTROL!$C$42, 15.4688, 15.4688) * CHOOSE(CONTROL!$C$21, $C$9, 100%, $E$9)</f>
        <v>15.4688</v>
      </c>
      <c r="L327" s="14">
        <f>CHOOSE(CONTROL!$C$42, 16.1074, 16.1074) * CHOOSE(CONTROL!$C$21, $C$9, 100%, $E$9)</f>
        <v>16.107399999999998</v>
      </c>
      <c r="M327" s="14">
        <f>CHOOSE(CONTROL!$C$42, 15.148, 15.148) * CHOOSE(CONTROL!$C$21, $C$9, 100%, $E$9)</f>
        <v>15.148</v>
      </c>
      <c r="N327" s="14">
        <f>CHOOSE(CONTROL!$C$42, 15.1654, 15.1654) * CHOOSE(CONTROL!$C$21, $C$9, 100%, $E$9)</f>
        <v>15.1654</v>
      </c>
      <c r="O327" s="14">
        <f>CHOOSE(CONTROL!$C$42, 15.2489, 15.2489) * CHOOSE(CONTROL!$C$21, $C$9, 100%, $E$9)</f>
        <v>15.248900000000001</v>
      </c>
      <c r="P327" s="14">
        <f>CHOOSE(CONTROL!$C$42, 15.2013, 15.2013) * CHOOSE(CONTROL!$C$21, $C$9, 100%, $E$9)</f>
        <v>15.2013</v>
      </c>
      <c r="Q327" s="14">
        <f>CHOOSE(CONTROL!$C$42, 15.8436, 15.8436) * CHOOSE(CONTROL!$C$21, $C$9, 100%, $E$9)</f>
        <v>15.8436</v>
      </c>
      <c r="R327" s="14">
        <f>CHOOSE(CONTROL!$C$42, 16.4703, 16.4703) * CHOOSE(CONTROL!$C$21, $C$9, 100%, $E$9)</f>
        <v>16.470300000000002</v>
      </c>
      <c r="S327" s="14">
        <f>CHOOSE(CONTROL!$C$42, 14.7879, 14.7879) * CHOOSE(CONTROL!$C$21, $C$9, 100%, $E$9)</f>
        <v>14.7879</v>
      </c>
      <c r="T32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27" s="56">
        <f>(1000*CHOOSE(CONTROL!$C$42, 695, 695)*CHOOSE(CONTROL!$C$42, 0.5599, 0.5599)*CHOOSE(CONTROL!$C$42, 31, 31))/1000000</f>
        <v>12.063045499999998</v>
      </c>
      <c r="V327" s="56">
        <f>(1000*CHOOSE(CONTROL!$C$42, 500, 500)*CHOOSE(CONTROL!$C$42, 0.275, 0.275)*CHOOSE(CONTROL!$C$42, 31, 31))/1000000</f>
        <v>4.2625000000000002</v>
      </c>
      <c r="W327" s="56">
        <f>(1000*CHOOSE(CONTROL!$C$42, 0.1146, 0.1146)*CHOOSE(CONTROL!$C$42, 121.5, 121.5)*CHOOSE(CONTROL!$C$42, 31, 31))/1000000</f>
        <v>0.43164089999999994</v>
      </c>
      <c r="X327" s="56">
        <f>(31*0.1790888*100000/1000000)+(31*0.2374*100000/1000000)</f>
        <v>1.2911152800000001</v>
      </c>
      <c r="Y327" s="56"/>
      <c r="Z327" s="14"/>
      <c r="AA327" s="55"/>
      <c r="AB327" s="49">
        <f>(B327*122.58+C327*297.941+D327*89.177+E327*40.302+F327*40+G327*160+H327*0+I327*100+J327*300)/(122.58+297.941+89.177+40.302+0+40+160+100+300)</f>
        <v>15.430564943217393</v>
      </c>
      <c r="AC327" s="45">
        <f>(M327*'RAP TEMPLATE-GAS AVAILABILITY'!O326+N327*'RAP TEMPLATE-GAS AVAILABILITY'!P326+O327*'RAP TEMPLATE-GAS AVAILABILITY'!Q326+P327*'RAP TEMPLATE-GAS AVAILABILITY'!R326)/('RAP TEMPLATE-GAS AVAILABILITY'!O326+'RAP TEMPLATE-GAS AVAILABILITY'!P326+'RAP TEMPLATE-GAS AVAILABILITY'!Q326+'RAP TEMPLATE-GAS AVAILABILITY'!R326)</f>
        <v>15.202402158273381</v>
      </c>
    </row>
    <row r="328" spans="1:29" ht="15.75" x14ac:dyDescent="0.25">
      <c r="A328" s="33">
        <v>50890</v>
      </c>
      <c r="B328" s="14">
        <f>CHOOSE(CONTROL!$C$42, 15.3535, 15.3535) * CHOOSE(CONTROL!$C$21, $C$9, 100%, $E$9)</f>
        <v>15.3535</v>
      </c>
      <c r="C328" s="14">
        <f>CHOOSE(CONTROL!$C$42, 15.358, 15.358) * CHOOSE(CONTROL!$C$21, $C$9, 100%, $E$9)</f>
        <v>15.358000000000001</v>
      </c>
      <c r="D328" s="14">
        <f>CHOOSE(CONTROL!$C$42, 15.6202, 15.6202) * CHOOSE(CONTROL!$C$21, $C$9, 100%, $E$9)</f>
        <v>15.620200000000001</v>
      </c>
      <c r="E328" s="14">
        <f>CHOOSE(CONTROL!$C$42, 15.6523, 15.6523) * CHOOSE(CONTROL!$C$21, $C$9, 100%, $E$9)</f>
        <v>15.6523</v>
      </c>
      <c r="F328" s="14">
        <f>CHOOSE(CONTROL!$C$42, 15.3763, 15.3763)*CHOOSE(CONTROL!$C$21, $C$9, 100%, $E$9)</f>
        <v>15.376300000000001</v>
      </c>
      <c r="G328" s="14">
        <f>CHOOSE(CONTROL!$C$42, 15.393, 15.393)*CHOOSE(CONTROL!$C$21, $C$9, 100%, $E$9)</f>
        <v>15.393000000000001</v>
      </c>
      <c r="H328" s="14">
        <f>CHOOSE(CONTROL!$C$42, 15.6421, 15.6421) * CHOOSE(CONTROL!$C$21, $C$9, 100%, $E$9)</f>
        <v>15.642099999999999</v>
      </c>
      <c r="I328" s="14">
        <f>CHOOSE(CONTROL!$C$42, 15.4241, 15.4241)* CHOOSE(CONTROL!$C$21, $C$9, 100%, $E$9)</f>
        <v>15.424099999999999</v>
      </c>
      <c r="J328" s="14">
        <f>CHOOSE(CONTROL!$C$42, 15.3693, 15.3693)* CHOOSE(CONTROL!$C$21, $C$9, 100%, $E$9)</f>
        <v>15.369300000000001</v>
      </c>
      <c r="K328" s="52">
        <f>CHOOSE(CONTROL!$C$42, 15.4202, 15.4202) * CHOOSE(CONTROL!$C$21, $C$9, 100%, $E$9)</f>
        <v>15.420199999999999</v>
      </c>
      <c r="L328" s="14">
        <f>CHOOSE(CONTROL!$C$42, 16.2291, 16.2291) * CHOOSE(CONTROL!$C$21, $C$9, 100%, $E$9)</f>
        <v>16.229099999999999</v>
      </c>
      <c r="M328" s="14">
        <f>CHOOSE(CONTROL!$C$42, 15.1006, 15.1006) * CHOOSE(CONTROL!$C$21, $C$9, 100%, $E$9)</f>
        <v>15.1006</v>
      </c>
      <c r="N328" s="14">
        <f>CHOOSE(CONTROL!$C$42, 15.117, 15.117) * CHOOSE(CONTROL!$C$21, $C$9, 100%, $E$9)</f>
        <v>15.117000000000001</v>
      </c>
      <c r="O328" s="14">
        <f>CHOOSE(CONTROL!$C$42, 15.3685, 15.3685) * CHOOSE(CONTROL!$C$21, $C$9, 100%, $E$9)</f>
        <v>15.368499999999999</v>
      </c>
      <c r="P328" s="14">
        <f>CHOOSE(CONTROL!$C$42, 15.1536, 15.1536) * CHOOSE(CONTROL!$C$21, $C$9, 100%, $E$9)</f>
        <v>15.153600000000001</v>
      </c>
      <c r="Q328" s="14">
        <f>CHOOSE(CONTROL!$C$42, 15.9632, 15.9632) * CHOOSE(CONTROL!$C$21, $C$9, 100%, $E$9)</f>
        <v>15.963200000000001</v>
      </c>
      <c r="R328" s="14">
        <f>CHOOSE(CONTROL!$C$42, 16.5901, 16.5901) * CHOOSE(CONTROL!$C$21, $C$9, 100%, $E$9)</f>
        <v>16.5901</v>
      </c>
      <c r="S328" s="14">
        <f>CHOOSE(CONTROL!$C$42, 14.7439, 14.7439) * CHOOSE(CONTROL!$C$21, $C$9, 100%, $E$9)</f>
        <v>14.7439</v>
      </c>
      <c r="T32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28" s="56">
        <f>(1000*CHOOSE(CONTROL!$C$42, 695, 695)*CHOOSE(CONTROL!$C$42, 0.5599, 0.5599)*CHOOSE(CONTROL!$C$42, 30, 30))/1000000</f>
        <v>11.673914999999997</v>
      </c>
      <c r="V328" s="56">
        <f>(1000*CHOOSE(CONTROL!$C$42, 500, 500)*CHOOSE(CONTROL!$C$42, 0.275, 0.275)*CHOOSE(CONTROL!$C$42, 30, 30))/1000000</f>
        <v>4.125</v>
      </c>
      <c r="W328" s="56">
        <f>(1000*CHOOSE(CONTROL!$C$42, 0.1146, 0.1146)*CHOOSE(CONTROL!$C$42, 121.5, 121.5)*CHOOSE(CONTROL!$C$42, 30, 30))/1000000</f>
        <v>0.417717</v>
      </c>
      <c r="X328" s="56">
        <f>(30*0.1790888*245000/1000000)+(30*0.2374*100000/1000000)</f>
        <v>2.0285026799999999</v>
      </c>
      <c r="Y328" s="56"/>
      <c r="Z328" s="14"/>
      <c r="AA328" s="55"/>
      <c r="AB328" s="49">
        <f>(B328*141.293+C328*267.993+D328*115.016+E328*89.698+F328*40+G328*185+H328*0+I328*100+J328*300)/(141.293+267.993+115.016+89.698+0+40+185+100+300)</f>
        <v>15.417020579580306</v>
      </c>
      <c r="AC328" s="45">
        <f>(M328*'RAP TEMPLATE-GAS AVAILABILITY'!O327+N328*'RAP TEMPLATE-GAS AVAILABILITY'!P327+O328*'RAP TEMPLATE-GAS AVAILABILITY'!Q327+P328*'RAP TEMPLATE-GAS AVAILABILITY'!R327)/('RAP TEMPLATE-GAS AVAILABILITY'!O327+'RAP TEMPLATE-GAS AVAILABILITY'!P327+'RAP TEMPLATE-GAS AVAILABILITY'!Q327+'RAP TEMPLATE-GAS AVAILABILITY'!R327)</f>
        <v>15.187167625899281</v>
      </c>
    </row>
    <row r="329" spans="1:29" ht="15.75" x14ac:dyDescent="0.25">
      <c r="A329" s="33">
        <v>50921</v>
      </c>
      <c r="B329" s="14">
        <f>CHOOSE(CONTROL!$C$42, 15.4903, 15.4903) * CHOOSE(CONTROL!$C$21, $C$9, 100%, $E$9)</f>
        <v>15.4903</v>
      </c>
      <c r="C329" s="14">
        <f>CHOOSE(CONTROL!$C$42, 15.4983, 15.4983) * CHOOSE(CONTROL!$C$21, $C$9, 100%, $E$9)</f>
        <v>15.4983</v>
      </c>
      <c r="D329" s="14">
        <f>CHOOSE(CONTROL!$C$42, 15.7574, 15.7574) * CHOOSE(CONTROL!$C$21, $C$9, 100%, $E$9)</f>
        <v>15.757400000000001</v>
      </c>
      <c r="E329" s="14">
        <f>CHOOSE(CONTROL!$C$42, 15.7889, 15.7889) * CHOOSE(CONTROL!$C$21, $C$9, 100%, $E$9)</f>
        <v>15.7889</v>
      </c>
      <c r="F329" s="14">
        <f>CHOOSE(CONTROL!$C$42, 15.5118, 15.5118)*CHOOSE(CONTROL!$C$21, $C$9, 100%, $E$9)</f>
        <v>15.511799999999999</v>
      </c>
      <c r="G329" s="14">
        <f>CHOOSE(CONTROL!$C$42, 15.5288, 15.5288)*CHOOSE(CONTROL!$C$21, $C$9, 100%, $E$9)</f>
        <v>15.5288</v>
      </c>
      <c r="H329" s="14">
        <f>CHOOSE(CONTROL!$C$42, 15.7775, 15.7775) * CHOOSE(CONTROL!$C$21, $C$9, 100%, $E$9)</f>
        <v>15.7775</v>
      </c>
      <c r="I329" s="14">
        <f>CHOOSE(CONTROL!$C$42, 15.5599, 15.5599)* CHOOSE(CONTROL!$C$21, $C$9, 100%, $E$9)</f>
        <v>15.559900000000001</v>
      </c>
      <c r="J329" s="14">
        <f>CHOOSE(CONTROL!$C$42, 15.5048, 15.5048)* CHOOSE(CONTROL!$C$21, $C$9, 100%, $E$9)</f>
        <v>15.504799999999999</v>
      </c>
      <c r="K329" s="52">
        <f>CHOOSE(CONTROL!$C$42, 15.556, 15.556) * CHOOSE(CONTROL!$C$21, $C$9, 100%, $E$9)</f>
        <v>15.555999999999999</v>
      </c>
      <c r="L329" s="14">
        <f>CHOOSE(CONTROL!$C$42, 16.3645, 16.3645) * CHOOSE(CONTROL!$C$21, $C$9, 100%, $E$9)</f>
        <v>16.3645</v>
      </c>
      <c r="M329" s="14">
        <f>CHOOSE(CONTROL!$C$42, 15.2337, 15.2337) * CHOOSE(CONTROL!$C$21, $C$9, 100%, $E$9)</f>
        <v>15.233700000000001</v>
      </c>
      <c r="N329" s="14">
        <f>CHOOSE(CONTROL!$C$42, 15.2503, 15.2503) * CHOOSE(CONTROL!$C$21, $C$9, 100%, $E$9)</f>
        <v>15.250299999999999</v>
      </c>
      <c r="O329" s="14">
        <f>CHOOSE(CONTROL!$C$42, 15.5014, 15.5014) * CHOOSE(CONTROL!$C$21, $C$9, 100%, $E$9)</f>
        <v>15.5014</v>
      </c>
      <c r="P329" s="14">
        <f>CHOOSE(CONTROL!$C$42, 15.287, 15.287) * CHOOSE(CONTROL!$C$21, $C$9, 100%, $E$9)</f>
        <v>15.287000000000001</v>
      </c>
      <c r="Q329" s="14">
        <f>CHOOSE(CONTROL!$C$42, 16.0961, 16.0961) * CHOOSE(CONTROL!$C$21, $C$9, 100%, $E$9)</f>
        <v>16.0961</v>
      </c>
      <c r="R329" s="14">
        <f>CHOOSE(CONTROL!$C$42, 16.7234, 16.7234) * CHOOSE(CONTROL!$C$21, $C$9, 100%, $E$9)</f>
        <v>16.723400000000002</v>
      </c>
      <c r="S329" s="14">
        <f>CHOOSE(CONTROL!$C$42, 14.874, 14.874) * CHOOSE(CONTROL!$C$21, $C$9, 100%, $E$9)</f>
        <v>14.874000000000001</v>
      </c>
      <c r="T32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29" s="56">
        <f>(1000*CHOOSE(CONTROL!$C$42, 695, 695)*CHOOSE(CONTROL!$C$42, 0.5599, 0.5599)*CHOOSE(CONTROL!$C$42, 31, 31))/1000000</f>
        <v>12.063045499999998</v>
      </c>
      <c r="V329" s="56">
        <f>(1000*CHOOSE(CONTROL!$C$42, 500, 500)*CHOOSE(CONTROL!$C$42, 0.275, 0.275)*CHOOSE(CONTROL!$C$42, 31, 31))/1000000</f>
        <v>4.2625000000000002</v>
      </c>
      <c r="W329" s="56">
        <f>(1000*CHOOSE(CONTROL!$C$42, 0.1146, 0.1146)*CHOOSE(CONTROL!$C$42, 121.5, 121.5)*CHOOSE(CONTROL!$C$42, 31, 31))/1000000</f>
        <v>0.43164089999999994</v>
      </c>
      <c r="X329" s="56">
        <f>(31*0.1790888*245000/1000000)+(31*0.2374*100000/1000000)</f>
        <v>2.0961194359999999</v>
      </c>
      <c r="Y329" s="56"/>
      <c r="Z329" s="14"/>
      <c r="AA329" s="55"/>
      <c r="AB329" s="49">
        <f>(B329*194.205+C329*267.466+D329*133.845+E329*53.484+F329*40+G329*185+H329*0+I329*100+J329*300)/(194.205+267.466+133.845+53.484+0+40+185+100+300)</f>
        <v>15.547719583908949</v>
      </c>
      <c r="AC329" s="45">
        <f>(M329*'RAP TEMPLATE-GAS AVAILABILITY'!O328+N329*'RAP TEMPLATE-GAS AVAILABILITY'!P328+O329*'RAP TEMPLATE-GAS AVAILABILITY'!Q328+P329*'RAP TEMPLATE-GAS AVAILABILITY'!R328)/('RAP TEMPLATE-GAS AVAILABILITY'!O328+'RAP TEMPLATE-GAS AVAILABILITY'!P328+'RAP TEMPLATE-GAS AVAILABILITY'!Q328+'RAP TEMPLATE-GAS AVAILABILITY'!R328)</f>
        <v>15.320300719424461</v>
      </c>
    </row>
    <row r="330" spans="1:29" ht="15.75" x14ac:dyDescent="0.25">
      <c r="A330" s="33">
        <v>50951</v>
      </c>
      <c r="B330" s="14">
        <f>CHOOSE(CONTROL!$C$42, 15.9294, 15.9294) * CHOOSE(CONTROL!$C$21, $C$9, 100%, $E$9)</f>
        <v>15.929399999999999</v>
      </c>
      <c r="C330" s="14">
        <f>CHOOSE(CONTROL!$C$42, 15.9374, 15.9374) * CHOOSE(CONTROL!$C$21, $C$9, 100%, $E$9)</f>
        <v>15.9374</v>
      </c>
      <c r="D330" s="14">
        <f>CHOOSE(CONTROL!$C$42, 16.1965, 16.1965) * CHOOSE(CONTROL!$C$21, $C$9, 100%, $E$9)</f>
        <v>16.1965</v>
      </c>
      <c r="E330" s="14">
        <f>CHOOSE(CONTROL!$C$42, 16.228, 16.228) * CHOOSE(CONTROL!$C$21, $C$9, 100%, $E$9)</f>
        <v>16.228000000000002</v>
      </c>
      <c r="F330" s="14">
        <f>CHOOSE(CONTROL!$C$42, 15.9512, 15.9512)*CHOOSE(CONTROL!$C$21, $C$9, 100%, $E$9)</f>
        <v>15.9512</v>
      </c>
      <c r="G330" s="14">
        <f>CHOOSE(CONTROL!$C$42, 15.9682, 15.9682)*CHOOSE(CONTROL!$C$21, $C$9, 100%, $E$9)</f>
        <v>15.9682</v>
      </c>
      <c r="H330" s="14">
        <f>CHOOSE(CONTROL!$C$42, 16.2166, 16.2166) * CHOOSE(CONTROL!$C$21, $C$9, 100%, $E$9)</f>
        <v>16.2166</v>
      </c>
      <c r="I330" s="14">
        <f>CHOOSE(CONTROL!$C$42, 16.0004, 16.0004)* CHOOSE(CONTROL!$C$21, $C$9, 100%, $E$9)</f>
        <v>16.000399999999999</v>
      </c>
      <c r="J330" s="14">
        <f>CHOOSE(CONTROL!$C$42, 15.9442, 15.9442)* CHOOSE(CONTROL!$C$21, $C$9, 100%, $E$9)</f>
        <v>15.9442</v>
      </c>
      <c r="K330" s="52">
        <f>CHOOSE(CONTROL!$C$42, 15.9965, 15.9965) * CHOOSE(CONTROL!$C$21, $C$9, 100%, $E$9)</f>
        <v>15.996499999999999</v>
      </c>
      <c r="L330" s="14">
        <f>CHOOSE(CONTROL!$C$42, 16.8036, 16.8036) * CHOOSE(CONTROL!$C$21, $C$9, 100%, $E$9)</f>
        <v>16.803599999999999</v>
      </c>
      <c r="M330" s="14">
        <f>CHOOSE(CONTROL!$C$42, 15.6651, 15.6651) * CHOOSE(CONTROL!$C$21, $C$9, 100%, $E$9)</f>
        <v>15.665100000000001</v>
      </c>
      <c r="N330" s="14">
        <f>CHOOSE(CONTROL!$C$42, 15.6818, 15.6818) * CHOOSE(CONTROL!$C$21, $C$9, 100%, $E$9)</f>
        <v>15.681800000000001</v>
      </c>
      <c r="O330" s="14">
        <f>CHOOSE(CONTROL!$C$42, 15.9326, 15.9326) * CHOOSE(CONTROL!$C$21, $C$9, 100%, $E$9)</f>
        <v>15.932600000000001</v>
      </c>
      <c r="P330" s="14">
        <f>CHOOSE(CONTROL!$C$42, 15.7195, 15.7195) * CHOOSE(CONTROL!$C$21, $C$9, 100%, $E$9)</f>
        <v>15.7195</v>
      </c>
      <c r="Q330" s="14">
        <f>CHOOSE(CONTROL!$C$42, 16.5273, 16.5273) * CHOOSE(CONTROL!$C$21, $C$9, 100%, $E$9)</f>
        <v>16.5273</v>
      </c>
      <c r="R330" s="14">
        <f>CHOOSE(CONTROL!$C$42, 17.1556, 17.1556) * CHOOSE(CONTROL!$C$21, $C$9, 100%, $E$9)</f>
        <v>17.1556</v>
      </c>
      <c r="S330" s="14">
        <f>CHOOSE(CONTROL!$C$42, 15.2959, 15.2959) * CHOOSE(CONTROL!$C$21, $C$9, 100%, $E$9)</f>
        <v>15.2959</v>
      </c>
      <c r="T33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30" s="56">
        <f>(1000*CHOOSE(CONTROL!$C$42, 695, 695)*CHOOSE(CONTROL!$C$42, 0.5599, 0.5599)*CHOOSE(CONTROL!$C$42, 30, 30))/1000000</f>
        <v>11.673914999999997</v>
      </c>
      <c r="V330" s="56">
        <f>(1000*CHOOSE(CONTROL!$C$42, 500, 500)*CHOOSE(CONTROL!$C$42, 0.275, 0.275)*CHOOSE(CONTROL!$C$42, 30, 30))/1000000</f>
        <v>4.125</v>
      </c>
      <c r="W330" s="56">
        <f>(1000*CHOOSE(CONTROL!$C$42, 0.1146, 0.1146)*CHOOSE(CONTROL!$C$42, 121.5, 121.5)*CHOOSE(CONTROL!$C$42, 30, 30))/1000000</f>
        <v>0.417717</v>
      </c>
      <c r="X330" s="56">
        <f>(30*0.1790888*245000/1000000)+(30*0.2374*100000/1000000)</f>
        <v>2.0285026799999999</v>
      </c>
      <c r="Y330" s="56"/>
      <c r="Z330" s="14"/>
      <c r="AA330" s="55"/>
      <c r="AB330" s="49">
        <f>(B330*194.205+C330*267.466+D330*133.845+E330*53.484+F330*40+G330*185+H330*0+I330*100+J330*300)/(194.205+267.466+133.845+53.484+0+40+185+100+300)</f>
        <v>15.987053100392469</v>
      </c>
      <c r="AC330" s="45">
        <f>(M330*'RAP TEMPLATE-GAS AVAILABILITY'!O329+N330*'RAP TEMPLATE-GAS AVAILABILITY'!P329+O330*'RAP TEMPLATE-GAS AVAILABILITY'!Q329+P330*'RAP TEMPLATE-GAS AVAILABILITY'!R329)/('RAP TEMPLATE-GAS AVAILABILITY'!O329+'RAP TEMPLATE-GAS AVAILABILITY'!P329+'RAP TEMPLATE-GAS AVAILABILITY'!Q329+'RAP TEMPLATE-GAS AVAILABILITY'!R329)</f>
        <v>15.751825899280576</v>
      </c>
    </row>
    <row r="331" spans="1:29" ht="15.75" x14ac:dyDescent="0.25">
      <c r="A331" s="33">
        <v>50982</v>
      </c>
      <c r="B331" s="14">
        <f>CHOOSE(CONTROL!$C$42, 15.624, 15.624) * CHOOSE(CONTROL!$C$21, $C$9, 100%, $E$9)</f>
        <v>15.624000000000001</v>
      </c>
      <c r="C331" s="14">
        <f>CHOOSE(CONTROL!$C$42, 15.632, 15.632) * CHOOSE(CONTROL!$C$21, $C$9, 100%, $E$9)</f>
        <v>15.632</v>
      </c>
      <c r="D331" s="14">
        <f>CHOOSE(CONTROL!$C$42, 15.8911, 15.8911) * CHOOSE(CONTROL!$C$21, $C$9, 100%, $E$9)</f>
        <v>15.8911</v>
      </c>
      <c r="E331" s="14">
        <f>CHOOSE(CONTROL!$C$42, 15.9226, 15.9226) * CHOOSE(CONTROL!$C$21, $C$9, 100%, $E$9)</f>
        <v>15.922599999999999</v>
      </c>
      <c r="F331" s="14">
        <f>CHOOSE(CONTROL!$C$42, 15.6462, 15.6462)*CHOOSE(CONTROL!$C$21, $C$9, 100%, $E$9)</f>
        <v>15.6462</v>
      </c>
      <c r="G331" s="14">
        <f>CHOOSE(CONTROL!$C$42, 15.6634, 15.6634)*CHOOSE(CONTROL!$C$21, $C$9, 100%, $E$9)</f>
        <v>15.663399999999999</v>
      </c>
      <c r="H331" s="14">
        <f>CHOOSE(CONTROL!$C$42, 15.9112, 15.9112) * CHOOSE(CONTROL!$C$21, $C$9, 100%, $E$9)</f>
        <v>15.911199999999999</v>
      </c>
      <c r="I331" s="14">
        <f>CHOOSE(CONTROL!$C$42, 15.694, 15.694)* CHOOSE(CONTROL!$C$21, $C$9, 100%, $E$9)</f>
        <v>15.694000000000001</v>
      </c>
      <c r="J331" s="14">
        <f>CHOOSE(CONTROL!$C$42, 15.6392, 15.6392)* CHOOSE(CONTROL!$C$21, $C$9, 100%, $E$9)</f>
        <v>15.639200000000001</v>
      </c>
      <c r="K331" s="52">
        <f>CHOOSE(CONTROL!$C$42, 15.6902, 15.6902) * CHOOSE(CONTROL!$C$21, $C$9, 100%, $E$9)</f>
        <v>15.690200000000001</v>
      </c>
      <c r="L331" s="14">
        <f>CHOOSE(CONTROL!$C$42, 16.4982, 16.4982) * CHOOSE(CONTROL!$C$21, $C$9, 100%, $E$9)</f>
        <v>16.498200000000001</v>
      </c>
      <c r="M331" s="14">
        <f>CHOOSE(CONTROL!$C$42, 15.3656, 15.3656) * CHOOSE(CONTROL!$C$21, $C$9, 100%, $E$9)</f>
        <v>15.365600000000001</v>
      </c>
      <c r="N331" s="14">
        <f>CHOOSE(CONTROL!$C$42, 15.3825, 15.3825) * CHOOSE(CONTROL!$C$21, $C$9, 100%, $E$9)</f>
        <v>15.3825</v>
      </c>
      <c r="O331" s="14">
        <f>CHOOSE(CONTROL!$C$42, 15.6327, 15.6327) * CHOOSE(CONTROL!$C$21, $C$9, 100%, $E$9)</f>
        <v>15.6327</v>
      </c>
      <c r="P331" s="14">
        <f>CHOOSE(CONTROL!$C$42, 15.4187, 15.4187) * CHOOSE(CONTROL!$C$21, $C$9, 100%, $E$9)</f>
        <v>15.418699999999999</v>
      </c>
      <c r="Q331" s="14">
        <f>CHOOSE(CONTROL!$C$42, 16.2274, 16.2274) * CHOOSE(CONTROL!$C$21, $C$9, 100%, $E$9)</f>
        <v>16.227399999999999</v>
      </c>
      <c r="R331" s="14">
        <f>CHOOSE(CONTROL!$C$42, 16.855, 16.855) * CHOOSE(CONTROL!$C$21, $C$9, 100%, $E$9)</f>
        <v>16.855</v>
      </c>
      <c r="S331" s="14">
        <f>CHOOSE(CONTROL!$C$42, 15.0025, 15.0025) * CHOOSE(CONTROL!$C$21, $C$9, 100%, $E$9)</f>
        <v>15.0025</v>
      </c>
      <c r="T33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31" s="56">
        <f>(1000*CHOOSE(CONTROL!$C$42, 695, 695)*CHOOSE(CONTROL!$C$42, 0.5599, 0.5599)*CHOOSE(CONTROL!$C$42, 31, 31))/1000000</f>
        <v>12.063045499999998</v>
      </c>
      <c r="V331" s="56">
        <f>(1000*CHOOSE(CONTROL!$C$42, 500, 500)*CHOOSE(CONTROL!$C$42, 0.275, 0.275)*CHOOSE(CONTROL!$C$42, 31, 31))/1000000</f>
        <v>4.2625000000000002</v>
      </c>
      <c r="W331" s="56">
        <f>(1000*CHOOSE(CONTROL!$C$42, 0.1146, 0.1146)*CHOOSE(CONTROL!$C$42, 121.5, 121.5)*CHOOSE(CONTROL!$C$42, 31, 31))/1000000</f>
        <v>0.43164089999999994</v>
      </c>
      <c r="X331" s="56">
        <f>(31*0.1790888*245000/1000000)+(31*0.2374*100000/1000000)</f>
        <v>2.0961194359999999</v>
      </c>
      <c r="Y331" s="56"/>
      <c r="Z331" s="14"/>
      <c r="AA331" s="55"/>
      <c r="AB331" s="49">
        <f>(B331*194.205+C331*267.466+D331*133.845+E331*53.484+F331*40+G331*185+H331*0+I331*100+J331*300)/(194.205+267.466+133.845+53.484+0+40+185+100+300)</f>
        <v>15.681768485007847</v>
      </c>
      <c r="AC331" s="45">
        <f>(M331*'RAP TEMPLATE-GAS AVAILABILITY'!O330+N331*'RAP TEMPLATE-GAS AVAILABILITY'!P330+O331*'RAP TEMPLATE-GAS AVAILABILITY'!Q330+P331*'RAP TEMPLATE-GAS AVAILABILITY'!R330)/('RAP TEMPLATE-GAS AVAILABILITY'!O330+'RAP TEMPLATE-GAS AVAILABILITY'!P330+'RAP TEMPLATE-GAS AVAILABILITY'!Q330+'RAP TEMPLATE-GAS AVAILABILITY'!R330)</f>
        <v>15.452072661870504</v>
      </c>
    </row>
    <row r="332" spans="1:29" ht="15.75" x14ac:dyDescent="0.25">
      <c r="A332" s="33">
        <v>51013</v>
      </c>
      <c r="B332" s="14">
        <f>CHOOSE(CONTROL!$C$42, 14.8529, 14.8529) * CHOOSE(CONTROL!$C$21, $C$9, 100%, $E$9)</f>
        <v>14.8529</v>
      </c>
      <c r="C332" s="14">
        <f>CHOOSE(CONTROL!$C$42, 14.8609, 14.8609) * CHOOSE(CONTROL!$C$21, $C$9, 100%, $E$9)</f>
        <v>14.860900000000001</v>
      </c>
      <c r="D332" s="14">
        <f>CHOOSE(CONTROL!$C$42, 15.12, 15.12) * CHOOSE(CONTROL!$C$21, $C$9, 100%, $E$9)</f>
        <v>15.12</v>
      </c>
      <c r="E332" s="14">
        <f>CHOOSE(CONTROL!$C$42, 15.1514, 15.1514) * CHOOSE(CONTROL!$C$21, $C$9, 100%, $E$9)</f>
        <v>15.151400000000001</v>
      </c>
      <c r="F332" s="14">
        <f>CHOOSE(CONTROL!$C$42, 14.8753, 14.8753)*CHOOSE(CONTROL!$C$21, $C$9, 100%, $E$9)</f>
        <v>14.875299999999999</v>
      </c>
      <c r="G332" s="14">
        <f>CHOOSE(CONTROL!$C$42, 14.8925, 14.8925)*CHOOSE(CONTROL!$C$21, $C$9, 100%, $E$9)</f>
        <v>14.8925</v>
      </c>
      <c r="H332" s="14">
        <f>CHOOSE(CONTROL!$C$42, 15.1401, 15.1401) * CHOOSE(CONTROL!$C$21, $C$9, 100%, $E$9)</f>
        <v>15.1401</v>
      </c>
      <c r="I332" s="14">
        <f>CHOOSE(CONTROL!$C$42, 14.9205, 14.9205)* CHOOSE(CONTROL!$C$21, $C$9, 100%, $E$9)</f>
        <v>14.920500000000001</v>
      </c>
      <c r="J332" s="14">
        <f>CHOOSE(CONTROL!$C$42, 14.8683, 14.8683)* CHOOSE(CONTROL!$C$21, $C$9, 100%, $E$9)</f>
        <v>14.8683</v>
      </c>
      <c r="K332" s="52">
        <f>CHOOSE(CONTROL!$C$42, 14.9166, 14.9166) * CHOOSE(CONTROL!$C$21, $C$9, 100%, $E$9)</f>
        <v>14.916600000000001</v>
      </c>
      <c r="L332" s="14">
        <f>CHOOSE(CONTROL!$C$42, 15.7271, 15.7271) * CHOOSE(CONTROL!$C$21, $C$9, 100%, $E$9)</f>
        <v>15.7271</v>
      </c>
      <c r="M332" s="14">
        <f>CHOOSE(CONTROL!$C$42, 14.6085, 14.6085) * CHOOSE(CONTROL!$C$21, $C$9, 100%, $E$9)</f>
        <v>14.608499999999999</v>
      </c>
      <c r="N332" s="14">
        <f>CHOOSE(CONTROL!$C$42, 14.6254, 14.6254) * CHOOSE(CONTROL!$C$21, $C$9, 100%, $E$9)</f>
        <v>14.625400000000001</v>
      </c>
      <c r="O332" s="14">
        <f>CHOOSE(CONTROL!$C$42, 14.8754, 14.8754) * CHOOSE(CONTROL!$C$21, $C$9, 100%, $E$9)</f>
        <v>14.875400000000001</v>
      </c>
      <c r="P332" s="14">
        <f>CHOOSE(CONTROL!$C$42, 14.659, 14.659) * CHOOSE(CONTROL!$C$21, $C$9, 100%, $E$9)</f>
        <v>14.659000000000001</v>
      </c>
      <c r="Q332" s="14">
        <f>CHOOSE(CONTROL!$C$42, 15.4701, 15.4701) * CHOOSE(CONTROL!$C$21, $C$9, 100%, $E$9)</f>
        <v>15.4701</v>
      </c>
      <c r="R332" s="14">
        <f>CHOOSE(CONTROL!$C$42, 16.0958, 16.0958) * CHOOSE(CONTROL!$C$21, $C$9, 100%, $E$9)</f>
        <v>16.095800000000001</v>
      </c>
      <c r="S332" s="14">
        <f>CHOOSE(CONTROL!$C$42, 14.2615, 14.2615) * CHOOSE(CONTROL!$C$21, $C$9, 100%, $E$9)</f>
        <v>14.2615</v>
      </c>
      <c r="T33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32" s="56">
        <f>(1000*CHOOSE(CONTROL!$C$42, 695, 695)*CHOOSE(CONTROL!$C$42, 0.5599, 0.5599)*CHOOSE(CONTROL!$C$42, 31, 31))/1000000</f>
        <v>12.063045499999998</v>
      </c>
      <c r="V332" s="56">
        <f>(1000*CHOOSE(CONTROL!$C$42, 500, 500)*CHOOSE(CONTROL!$C$42, 0.275, 0.275)*CHOOSE(CONTROL!$C$42, 31, 31))/1000000</f>
        <v>4.2625000000000002</v>
      </c>
      <c r="W332" s="56">
        <f>(1000*CHOOSE(CONTROL!$C$42, 0.1146, 0.1146)*CHOOSE(CONTROL!$C$42, 121.5, 121.5)*CHOOSE(CONTROL!$C$42, 31, 31))/1000000</f>
        <v>0.43164089999999994</v>
      </c>
      <c r="X332" s="56">
        <f>(31*0.1790888*245000/1000000)+(31*0.2374*100000/1000000)</f>
        <v>2.0961194359999999</v>
      </c>
      <c r="Y332" s="56"/>
      <c r="Z332" s="14"/>
      <c r="AA332" s="55"/>
      <c r="AB332" s="49">
        <f>(B332*194.205+C332*267.466+D332*133.845+E332*53.484+F332*40+G332*185+H332*0+I332*100+J332*300)/(194.205+267.466+133.845+53.484+0+40+185+100+300)</f>
        <v>14.910558321428574</v>
      </c>
      <c r="AC332" s="45">
        <f>(M332*'RAP TEMPLATE-GAS AVAILABILITY'!O331+N332*'RAP TEMPLATE-GAS AVAILABILITY'!P331+O332*'RAP TEMPLATE-GAS AVAILABILITY'!Q331+P332*'RAP TEMPLATE-GAS AVAILABILITY'!R331)/('RAP TEMPLATE-GAS AVAILABILITY'!O331+'RAP TEMPLATE-GAS AVAILABILITY'!P331+'RAP TEMPLATE-GAS AVAILABILITY'!Q331+'RAP TEMPLATE-GAS AVAILABILITY'!R331)</f>
        <v>14.694542446043165</v>
      </c>
    </row>
    <row r="333" spans="1:29" ht="15.75" x14ac:dyDescent="0.25">
      <c r="A333" s="33">
        <v>51043</v>
      </c>
      <c r="B333" s="14">
        <f>CHOOSE(CONTROL!$C$42, 13.9104, 13.9104) * CHOOSE(CONTROL!$C$21, $C$9, 100%, $E$9)</f>
        <v>13.910399999999999</v>
      </c>
      <c r="C333" s="14">
        <f>CHOOSE(CONTROL!$C$42, 13.9184, 13.9184) * CHOOSE(CONTROL!$C$21, $C$9, 100%, $E$9)</f>
        <v>13.9184</v>
      </c>
      <c r="D333" s="14">
        <f>CHOOSE(CONTROL!$C$42, 14.1775, 14.1775) * CHOOSE(CONTROL!$C$21, $C$9, 100%, $E$9)</f>
        <v>14.1775</v>
      </c>
      <c r="E333" s="14">
        <f>CHOOSE(CONTROL!$C$42, 14.209, 14.209) * CHOOSE(CONTROL!$C$21, $C$9, 100%, $E$9)</f>
        <v>14.209</v>
      </c>
      <c r="F333" s="14">
        <f>CHOOSE(CONTROL!$C$42, 13.9329, 13.9329)*CHOOSE(CONTROL!$C$21, $C$9, 100%, $E$9)</f>
        <v>13.9329</v>
      </c>
      <c r="G333" s="14">
        <f>CHOOSE(CONTROL!$C$42, 13.9501, 13.9501)*CHOOSE(CONTROL!$C$21, $C$9, 100%, $E$9)</f>
        <v>13.950100000000001</v>
      </c>
      <c r="H333" s="14">
        <f>CHOOSE(CONTROL!$C$42, 14.1976, 14.1976) * CHOOSE(CONTROL!$C$21, $C$9, 100%, $E$9)</f>
        <v>14.1976</v>
      </c>
      <c r="I333" s="14">
        <f>CHOOSE(CONTROL!$C$42, 13.9751, 13.9751)* CHOOSE(CONTROL!$C$21, $C$9, 100%, $E$9)</f>
        <v>13.975099999999999</v>
      </c>
      <c r="J333" s="14">
        <f>CHOOSE(CONTROL!$C$42, 13.9259, 13.9259)* CHOOSE(CONTROL!$C$21, $C$9, 100%, $E$9)</f>
        <v>13.9259</v>
      </c>
      <c r="K333" s="52">
        <f>CHOOSE(CONTROL!$C$42, 13.9712, 13.9712) * CHOOSE(CONTROL!$C$21, $C$9, 100%, $E$9)</f>
        <v>13.9712</v>
      </c>
      <c r="L333" s="14">
        <f>CHOOSE(CONTROL!$C$42, 14.7846, 14.7846) * CHOOSE(CONTROL!$C$21, $C$9, 100%, $E$9)</f>
        <v>14.784599999999999</v>
      </c>
      <c r="M333" s="14">
        <f>CHOOSE(CONTROL!$C$42, 13.6831, 13.6831) * CHOOSE(CONTROL!$C$21, $C$9, 100%, $E$9)</f>
        <v>13.6831</v>
      </c>
      <c r="N333" s="14">
        <f>CHOOSE(CONTROL!$C$42, 13.7, 13.7) * CHOOSE(CONTROL!$C$21, $C$9, 100%, $E$9)</f>
        <v>13.7</v>
      </c>
      <c r="O333" s="14">
        <f>CHOOSE(CONTROL!$C$42, 13.9499, 13.9499) * CHOOSE(CONTROL!$C$21, $C$9, 100%, $E$9)</f>
        <v>13.9499</v>
      </c>
      <c r="P333" s="14">
        <f>CHOOSE(CONTROL!$C$42, 13.7307, 13.7307) * CHOOSE(CONTROL!$C$21, $C$9, 100%, $E$9)</f>
        <v>13.730700000000001</v>
      </c>
      <c r="Q333" s="14">
        <f>CHOOSE(CONTROL!$C$42, 14.5446, 14.5446) * CHOOSE(CONTROL!$C$21, $C$9, 100%, $E$9)</f>
        <v>14.544600000000001</v>
      </c>
      <c r="R333" s="14">
        <f>CHOOSE(CONTROL!$C$42, 15.168, 15.168) * CHOOSE(CONTROL!$C$21, $C$9, 100%, $E$9)</f>
        <v>15.167999999999999</v>
      </c>
      <c r="S333" s="14">
        <f>CHOOSE(CONTROL!$C$42, 13.3559, 13.3559) * CHOOSE(CONTROL!$C$21, $C$9, 100%, $E$9)</f>
        <v>13.3559</v>
      </c>
      <c r="T33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33" s="56">
        <f>(1000*CHOOSE(CONTROL!$C$42, 695, 695)*CHOOSE(CONTROL!$C$42, 0.5599, 0.5599)*CHOOSE(CONTROL!$C$42, 30, 30))/1000000</f>
        <v>11.673914999999997</v>
      </c>
      <c r="V333" s="56">
        <f>(1000*CHOOSE(CONTROL!$C$42, 500, 500)*CHOOSE(CONTROL!$C$42, 0.275, 0.275)*CHOOSE(CONTROL!$C$42, 30, 30))/1000000</f>
        <v>4.125</v>
      </c>
      <c r="W333" s="56">
        <f>(1000*CHOOSE(CONTROL!$C$42, 0.1146, 0.1146)*CHOOSE(CONTROL!$C$42, 121.5, 121.5)*CHOOSE(CONTROL!$C$42, 30, 30))/1000000</f>
        <v>0.417717</v>
      </c>
      <c r="X333" s="56">
        <f>(30*0.1790888*245000/1000000)+(30*0.2374*100000/1000000)</f>
        <v>2.0285026799999999</v>
      </c>
      <c r="Y333" s="56"/>
      <c r="Z333" s="14"/>
      <c r="AA333" s="55"/>
      <c r="AB333" s="49">
        <f>(B333*194.205+C333*267.466+D333*133.845+E333*53.484+F333*40+G333*185+H333*0+I333*100+J333*300)/(194.205+267.466+133.845+53.484+0+40+185+100+300)</f>
        <v>13.967876098822606</v>
      </c>
      <c r="AC333" s="45">
        <f>(M333*'RAP TEMPLATE-GAS AVAILABILITY'!O332+N333*'RAP TEMPLATE-GAS AVAILABILITY'!P332+O333*'RAP TEMPLATE-GAS AVAILABILITY'!Q332+P333*'RAP TEMPLATE-GAS AVAILABILITY'!R332)/('RAP TEMPLATE-GAS AVAILABILITY'!O332+'RAP TEMPLATE-GAS AVAILABILITY'!P332+'RAP TEMPLATE-GAS AVAILABILITY'!Q332+'RAP TEMPLATE-GAS AVAILABILITY'!R332)</f>
        <v>13.768697122302157</v>
      </c>
    </row>
    <row r="334" spans="1:29" ht="15.75" x14ac:dyDescent="0.25">
      <c r="A334" s="33">
        <v>51074</v>
      </c>
      <c r="B334" s="14">
        <f>CHOOSE(CONTROL!$C$42, 13.6265, 13.6265) * CHOOSE(CONTROL!$C$21, $C$9, 100%, $E$9)</f>
        <v>13.6265</v>
      </c>
      <c r="C334" s="14">
        <f>CHOOSE(CONTROL!$C$42, 13.6318, 13.6318) * CHOOSE(CONTROL!$C$21, $C$9, 100%, $E$9)</f>
        <v>13.6318</v>
      </c>
      <c r="D334" s="14">
        <f>CHOOSE(CONTROL!$C$42, 13.8958, 13.8958) * CHOOSE(CONTROL!$C$21, $C$9, 100%, $E$9)</f>
        <v>13.895799999999999</v>
      </c>
      <c r="E334" s="14">
        <f>CHOOSE(CONTROL!$C$42, 13.925, 13.925) * CHOOSE(CONTROL!$C$21, $C$9, 100%, $E$9)</f>
        <v>13.925000000000001</v>
      </c>
      <c r="F334" s="14">
        <f>CHOOSE(CONTROL!$C$42, 13.6511, 13.6511)*CHOOSE(CONTROL!$C$21, $C$9, 100%, $E$9)</f>
        <v>13.6511</v>
      </c>
      <c r="G334" s="14">
        <f>CHOOSE(CONTROL!$C$42, 13.6682, 13.6682)*CHOOSE(CONTROL!$C$21, $C$9, 100%, $E$9)</f>
        <v>13.668200000000001</v>
      </c>
      <c r="H334" s="14">
        <f>CHOOSE(CONTROL!$C$42, 13.9154, 13.9154) * CHOOSE(CONTROL!$C$21, $C$9, 100%, $E$9)</f>
        <v>13.9154</v>
      </c>
      <c r="I334" s="14">
        <f>CHOOSE(CONTROL!$C$42, 13.692, 13.692)* CHOOSE(CONTROL!$C$21, $C$9, 100%, $E$9)</f>
        <v>13.692</v>
      </c>
      <c r="J334" s="14">
        <f>CHOOSE(CONTROL!$C$42, 13.6441, 13.6441)* CHOOSE(CONTROL!$C$21, $C$9, 100%, $E$9)</f>
        <v>13.6441</v>
      </c>
      <c r="K334" s="52">
        <f>CHOOSE(CONTROL!$C$42, 13.6881, 13.6881) * CHOOSE(CONTROL!$C$21, $C$9, 100%, $E$9)</f>
        <v>13.6881</v>
      </c>
      <c r="L334" s="14">
        <f>CHOOSE(CONTROL!$C$42, 14.5024, 14.5024) * CHOOSE(CONTROL!$C$21, $C$9, 100%, $E$9)</f>
        <v>14.5024</v>
      </c>
      <c r="M334" s="14">
        <f>CHOOSE(CONTROL!$C$42, 13.4064, 13.4064) * CHOOSE(CONTROL!$C$21, $C$9, 100%, $E$9)</f>
        <v>13.4064</v>
      </c>
      <c r="N334" s="14">
        <f>CHOOSE(CONTROL!$C$42, 13.4232, 13.4232) * CHOOSE(CONTROL!$C$21, $C$9, 100%, $E$9)</f>
        <v>13.4232</v>
      </c>
      <c r="O334" s="14">
        <f>CHOOSE(CONTROL!$C$42, 13.6728, 13.6728) * CHOOSE(CONTROL!$C$21, $C$9, 100%, $E$9)</f>
        <v>13.672800000000001</v>
      </c>
      <c r="P334" s="14">
        <f>CHOOSE(CONTROL!$C$42, 13.4527, 13.4527) * CHOOSE(CONTROL!$C$21, $C$9, 100%, $E$9)</f>
        <v>13.4527</v>
      </c>
      <c r="Q334" s="14">
        <f>CHOOSE(CONTROL!$C$42, 14.2675, 14.2675) * CHOOSE(CONTROL!$C$21, $C$9, 100%, $E$9)</f>
        <v>14.2675</v>
      </c>
      <c r="R334" s="14">
        <f>CHOOSE(CONTROL!$C$42, 14.8902, 14.8902) * CHOOSE(CONTROL!$C$21, $C$9, 100%, $E$9)</f>
        <v>14.8902</v>
      </c>
      <c r="S334" s="14">
        <f>CHOOSE(CONTROL!$C$42, 13.0847, 13.0847) * CHOOSE(CONTROL!$C$21, $C$9, 100%, $E$9)</f>
        <v>13.0847</v>
      </c>
      <c r="T3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34" s="56">
        <f>(1000*CHOOSE(CONTROL!$C$42, 695, 695)*CHOOSE(CONTROL!$C$42, 0.5599, 0.5599)*CHOOSE(CONTROL!$C$42, 31, 31))/1000000</f>
        <v>12.063045499999998</v>
      </c>
      <c r="V334" s="56">
        <f>(1000*CHOOSE(CONTROL!$C$42, 500, 500)*CHOOSE(CONTROL!$C$42, 0.275, 0.275)*CHOOSE(CONTROL!$C$42, 31, 31))/1000000</f>
        <v>4.2625000000000002</v>
      </c>
      <c r="W334" s="56">
        <f>(1000*CHOOSE(CONTROL!$C$42, 0.1146, 0.1146)*CHOOSE(CONTROL!$C$42, 121.5, 121.5)*CHOOSE(CONTROL!$C$42, 31, 31))/1000000</f>
        <v>0.43164089999999994</v>
      </c>
      <c r="X334" s="56">
        <f>(31*0.1790888*245000/1000000)+(31*0.2374*100000/1000000)</f>
        <v>2.0961194359999999</v>
      </c>
      <c r="Y334" s="56"/>
      <c r="Z334" s="14"/>
      <c r="AA334" s="55"/>
      <c r="AB334" s="49">
        <f>(B334*131.881+C334*277.167+D334*79.08+E334*125.872+F334*40+G334*185+H334*0+I334*100+J334*300)/(131.881+277.167+79.08+125.872+0+40+185+100+300)</f>
        <v>13.691767571509281</v>
      </c>
      <c r="AC334" s="45">
        <f>(M334*'RAP TEMPLATE-GAS AVAILABILITY'!O333+N334*'RAP TEMPLATE-GAS AVAILABILITY'!P333+O334*'RAP TEMPLATE-GAS AVAILABILITY'!Q333+P334*'RAP TEMPLATE-GAS AVAILABILITY'!R333)/('RAP TEMPLATE-GAS AVAILABILITY'!O333+'RAP TEMPLATE-GAS AVAILABILITY'!P333+'RAP TEMPLATE-GAS AVAILABILITY'!Q333+'RAP TEMPLATE-GAS AVAILABILITY'!R333)</f>
        <v>13.491674820143885</v>
      </c>
    </row>
    <row r="335" spans="1:29" ht="15.75" x14ac:dyDescent="0.25">
      <c r="A335" s="33">
        <v>51104</v>
      </c>
      <c r="B335" s="14">
        <f>CHOOSE(CONTROL!$C$42, 13.9848, 13.9848) * CHOOSE(CONTROL!$C$21, $C$9, 100%, $E$9)</f>
        <v>13.9848</v>
      </c>
      <c r="C335" s="14">
        <f>CHOOSE(CONTROL!$C$42, 13.9898, 13.9898) * CHOOSE(CONTROL!$C$21, $C$9, 100%, $E$9)</f>
        <v>13.989800000000001</v>
      </c>
      <c r="D335" s="14">
        <f>CHOOSE(CONTROL!$C$42, 14.0729, 14.0729) * CHOOSE(CONTROL!$C$21, $C$9, 100%, $E$9)</f>
        <v>14.072900000000001</v>
      </c>
      <c r="E335" s="14">
        <f>CHOOSE(CONTROL!$C$42, 14.107, 14.107) * CHOOSE(CONTROL!$C$21, $C$9, 100%, $E$9)</f>
        <v>14.106999999999999</v>
      </c>
      <c r="F335" s="14">
        <f>CHOOSE(CONTROL!$C$42, 14.0124, 14.0124)*CHOOSE(CONTROL!$C$21, $C$9, 100%, $E$9)</f>
        <v>14.0124</v>
      </c>
      <c r="G335" s="14">
        <f>CHOOSE(CONTROL!$C$42, 14.0297, 14.0297)*CHOOSE(CONTROL!$C$21, $C$9, 100%, $E$9)</f>
        <v>14.0297</v>
      </c>
      <c r="H335" s="14">
        <f>CHOOSE(CONTROL!$C$42, 14.0962, 14.0962) * CHOOSE(CONTROL!$C$21, $C$9, 100%, $E$9)</f>
        <v>14.0962</v>
      </c>
      <c r="I335" s="14">
        <f>CHOOSE(CONTROL!$C$42, 14.0482, 14.0482)* CHOOSE(CONTROL!$C$21, $C$9, 100%, $E$9)</f>
        <v>14.0482</v>
      </c>
      <c r="J335" s="14">
        <f>CHOOSE(CONTROL!$C$42, 14.0054, 14.0054)* CHOOSE(CONTROL!$C$21, $C$9, 100%, $E$9)</f>
        <v>14.0054</v>
      </c>
      <c r="K335" s="52">
        <f>CHOOSE(CONTROL!$C$42, 14.0443, 14.0443) * CHOOSE(CONTROL!$C$21, $C$9, 100%, $E$9)</f>
        <v>14.0443</v>
      </c>
      <c r="L335" s="14">
        <f>CHOOSE(CONTROL!$C$42, 14.6832, 14.6832) * CHOOSE(CONTROL!$C$21, $C$9, 100%, $E$9)</f>
        <v>14.683199999999999</v>
      </c>
      <c r="M335" s="14">
        <f>CHOOSE(CONTROL!$C$42, 13.7612, 13.7612) * CHOOSE(CONTROL!$C$21, $C$9, 100%, $E$9)</f>
        <v>13.761200000000001</v>
      </c>
      <c r="N335" s="14">
        <f>CHOOSE(CONTROL!$C$42, 13.7782, 13.7782) * CHOOSE(CONTROL!$C$21, $C$9, 100%, $E$9)</f>
        <v>13.7782</v>
      </c>
      <c r="O335" s="14">
        <f>CHOOSE(CONTROL!$C$42, 13.8503, 13.8503) * CHOOSE(CONTROL!$C$21, $C$9, 100%, $E$9)</f>
        <v>13.850300000000001</v>
      </c>
      <c r="P335" s="14">
        <f>CHOOSE(CONTROL!$C$42, 13.8025, 13.8025) * CHOOSE(CONTROL!$C$21, $C$9, 100%, $E$9)</f>
        <v>13.8025</v>
      </c>
      <c r="Q335" s="14">
        <f>CHOOSE(CONTROL!$C$42, 14.445, 14.445) * CHOOSE(CONTROL!$C$21, $C$9, 100%, $E$9)</f>
        <v>14.445</v>
      </c>
      <c r="R335" s="14">
        <f>CHOOSE(CONTROL!$C$42, 15.0682, 15.0682) * CHOOSE(CONTROL!$C$21, $C$9, 100%, $E$9)</f>
        <v>15.068199999999999</v>
      </c>
      <c r="S335" s="14">
        <f>CHOOSE(CONTROL!$C$42, 13.4294, 13.4294) * CHOOSE(CONTROL!$C$21, $C$9, 100%, $E$9)</f>
        <v>13.429399999999999</v>
      </c>
      <c r="T3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35" s="56">
        <f>(1000*CHOOSE(CONTROL!$C$42, 695, 695)*CHOOSE(CONTROL!$C$42, 0.5599, 0.5599)*CHOOSE(CONTROL!$C$42, 30, 30))/1000000</f>
        <v>11.673914999999997</v>
      </c>
      <c r="V335" s="56">
        <f>(1000*CHOOSE(CONTROL!$C$42, 500, 500)*CHOOSE(CONTROL!$C$42, 0.275, 0.275)*CHOOSE(CONTROL!$C$42, 30, 30))/1000000</f>
        <v>4.125</v>
      </c>
      <c r="W335" s="56">
        <f>(1000*CHOOSE(CONTROL!$C$42, 0.1146, 0.1146)*CHOOSE(CONTROL!$C$42, 121.5, 121.5)*CHOOSE(CONTROL!$C$42, 30, 30))/1000000</f>
        <v>0.417717</v>
      </c>
      <c r="X335" s="56">
        <f>(30*0.1790888*100000/1000000)+(30*0.2374*100000/1000000)</f>
        <v>1.2494664</v>
      </c>
      <c r="Y335" s="56"/>
      <c r="Z335" s="14"/>
      <c r="AA335" s="55"/>
      <c r="AB335" s="49">
        <f>(B335*122.58+C335*297.941+D335*89.177+E335*40.302+F335*40+G335*160+H335*0+I335*100+J335*300)/(122.58+297.941+89.177+40.302+0+40+160+100+300)</f>
        <v>14.015303567913044</v>
      </c>
      <c r="AC335" s="45">
        <f>(M335*'RAP TEMPLATE-GAS AVAILABILITY'!O334+N335*'RAP TEMPLATE-GAS AVAILABILITY'!P334+O335*'RAP TEMPLATE-GAS AVAILABILITY'!Q334+P335*'RAP TEMPLATE-GAS AVAILABILITY'!R334)/('RAP TEMPLATE-GAS AVAILABILITY'!O334+'RAP TEMPLATE-GAS AVAILABILITY'!P334+'RAP TEMPLATE-GAS AVAILABILITY'!Q334+'RAP TEMPLATE-GAS AVAILABILITY'!R334)</f>
        <v>13.808504316546763</v>
      </c>
    </row>
    <row r="336" spans="1:29" ht="15.75" x14ac:dyDescent="0.25">
      <c r="A336" s="33">
        <v>51135</v>
      </c>
      <c r="B336" s="14">
        <f>CHOOSE(CONTROL!$C$42, 14.9376, 14.9376) * CHOOSE(CONTROL!$C$21, $C$9, 100%, $E$9)</f>
        <v>14.9376</v>
      </c>
      <c r="C336" s="14">
        <f>CHOOSE(CONTROL!$C$42, 14.9426, 14.9426) * CHOOSE(CONTROL!$C$21, $C$9, 100%, $E$9)</f>
        <v>14.942600000000001</v>
      </c>
      <c r="D336" s="14">
        <f>CHOOSE(CONTROL!$C$42, 15.0257, 15.0257) * CHOOSE(CONTROL!$C$21, $C$9, 100%, $E$9)</f>
        <v>15.025700000000001</v>
      </c>
      <c r="E336" s="14">
        <f>CHOOSE(CONTROL!$C$42, 15.0598, 15.0598) * CHOOSE(CONTROL!$C$21, $C$9, 100%, $E$9)</f>
        <v>15.059799999999999</v>
      </c>
      <c r="F336" s="14">
        <f>CHOOSE(CONTROL!$C$42, 14.9676, 14.9676)*CHOOSE(CONTROL!$C$21, $C$9, 100%, $E$9)</f>
        <v>14.967599999999999</v>
      </c>
      <c r="G336" s="14">
        <f>CHOOSE(CONTROL!$C$42, 14.9856, 14.9856)*CHOOSE(CONTROL!$C$21, $C$9, 100%, $E$9)</f>
        <v>14.9856</v>
      </c>
      <c r="H336" s="14">
        <f>CHOOSE(CONTROL!$C$42, 15.049, 15.049) * CHOOSE(CONTROL!$C$21, $C$9, 100%, $E$9)</f>
        <v>15.048999999999999</v>
      </c>
      <c r="I336" s="14">
        <f>CHOOSE(CONTROL!$C$42, 15.004, 15.004)* CHOOSE(CONTROL!$C$21, $C$9, 100%, $E$9)</f>
        <v>15.004</v>
      </c>
      <c r="J336" s="14">
        <f>CHOOSE(CONTROL!$C$42, 14.9606, 14.9606)* CHOOSE(CONTROL!$C$21, $C$9, 100%, $E$9)</f>
        <v>14.960599999999999</v>
      </c>
      <c r="K336" s="52">
        <f>CHOOSE(CONTROL!$C$42, 15.0001, 15.0001) * CHOOSE(CONTROL!$C$21, $C$9, 100%, $E$9)</f>
        <v>15.0001</v>
      </c>
      <c r="L336" s="14">
        <f>CHOOSE(CONTROL!$C$42, 15.636, 15.636) * CHOOSE(CONTROL!$C$21, $C$9, 100%, $E$9)</f>
        <v>15.635999999999999</v>
      </c>
      <c r="M336" s="14">
        <f>CHOOSE(CONTROL!$C$42, 14.6992, 14.6992) * CHOOSE(CONTROL!$C$21, $C$9, 100%, $E$9)</f>
        <v>14.699199999999999</v>
      </c>
      <c r="N336" s="14">
        <f>CHOOSE(CONTROL!$C$42, 14.7169, 14.7169) * CHOOSE(CONTROL!$C$21, $C$9, 100%, $E$9)</f>
        <v>14.716900000000001</v>
      </c>
      <c r="O336" s="14">
        <f>CHOOSE(CONTROL!$C$42, 14.786, 14.786) * CHOOSE(CONTROL!$C$21, $C$9, 100%, $E$9)</f>
        <v>14.786</v>
      </c>
      <c r="P336" s="14">
        <f>CHOOSE(CONTROL!$C$42, 14.741, 14.741) * CHOOSE(CONTROL!$C$21, $C$9, 100%, $E$9)</f>
        <v>14.741</v>
      </c>
      <c r="Q336" s="14">
        <f>CHOOSE(CONTROL!$C$42, 15.3807, 15.3807) * CHOOSE(CONTROL!$C$21, $C$9, 100%, $E$9)</f>
        <v>15.380699999999999</v>
      </c>
      <c r="R336" s="14">
        <f>CHOOSE(CONTROL!$C$42, 16.0062, 16.0062) * CHOOSE(CONTROL!$C$21, $C$9, 100%, $E$9)</f>
        <v>16.0062</v>
      </c>
      <c r="S336" s="14">
        <f>CHOOSE(CONTROL!$C$42, 14.345, 14.345) * CHOOSE(CONTROL!$C$21, $C$9, 100%, $E$9)</f>
        <v>14.345000000000001</v>
      </c>
      <c r="T3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36" s="56">
        <f>(1000*CHOOSE(CONTROL!$C$42, 695, 695)*CHOOSE(CONTROL!$C$42, 0.5599, 0.5599)*CHOOSE(CONTROL!$C$42, 31, 31))/1000000</f>
        <v>12.063045499999998</v>
      </c>
      <c r="V336" s="56">
        <f>(1000*CHOOSE(CONTROL!$C$42, 500, 500)*CHOOSE(CONTROL!$C$42, 0.275, 0.275)*CHOOSE(CONTROL!$C$42, 31, 31))/1000000</f>
        <v>4.2625000000000002</v>
      </c>
      <c r="W336" s="56">
        <f>(1000*CHOOSE(CONTROL!$C$42, 0.1146, 0.1146)*CHOOSE(CONTROL!$C$42, 121.5, 121.5)*CHOOSE(CONTROL!$C$42, 31, 31))/1000000</f>
        <v>0.43164089999999994</v>
      </c>
      <c r="X336" s="56">
        <f>(31*0.1790888*100000/1000000)+(31*0.2374*100000/1000000)</f>
        <v>1.2911152800000001</v>
      </c>
      <c r="Y336" s="56"/>
      <c r="Z336" s="14"/>
      <c r="AA336" s="55"/>
      <c r="AB336" s="49">
        <f>(B336*122.58+C336*297.941+D336*89.177+E336*40.302+F336*40+G336*160+H336*0+I336*100+J336*300)/(122.58+297.941+89.177+40.302+0+40+160+100+300)</f>
        <v>14.969505307043478</v>
      </c>
      <c r="AC336" s="45">
        <f>(M336*'RAP TEMPLATE-GAS AVAILABILITY'!O335+N336*'RAP TEMPLATE-GAS AVAILABILITY'!P335+O336*'RAP TEMPLATE-GAS AVAILABILITY'!Q335+P336*'RAP TEMPLATE-GAS AVAILABILITY'!R335)/('RAP TEMPLATE-GAS AVAILABILITY'!O335+'RAP TEMPLATE-GAS AVAILABILITY'!P335+'RAP TEMPLATE-GAS AVAILABILITY'!Q335+'RAP TEMPLATE-GAS AVAILABILITY'!R335)</f>
        <v>14.745574100719425</v>
      </c>
    </row>
    <row r="337" spans="1:29" ht="15.75" x14ac:dyDescent="0.25">
      <c r="A337" s="33">
        <v>51166</v>
      </c>
      <c r="B337" s="14">
        <f>CHOOSE(CONTROL!$C$42, 16.1751, 16.1751) * CHOOSE(CONTROL!$C$21, $C$9, 100%, $E$9)</f>
        <v>16.1751</v>
      </c>
      <c r="C337" s="14">
        <f>CHOOSE(CONTROL!$C$42, 16.1802, 16.1802) * CHOOSE(CONTROL!$C$21, $C$9, 100%, $E$9)</f>
        <v>16.180199999999999</v>
      </c>
      <c r="D337" s="14">
        <f>CHOOSE(CONTROL!$C$42, 16.2737, 16.2737) * CHOOSE(CONTROL!$C$21, $C$9, 100%, $E$9)</f>
        <v>16.273700000000002</v>
      </c>
      <c r="E337" s="14">
        <f>CHOOSE(CONTROL!$C$42, 16.3078, 16.3078) * CHOOSE(CONTROL!$C$21, $C$9, 100%, $E$9)</f>
        <v>16.3078</v>
      </c>
      <c r="F337" s="14">
        <f>CHOOSE(CONTROL!$C$42, 16.2024, 16.2024)*CHOOSE(CONTROL!$C$21, $C$9, 100%, $E$9)</f>
        <v>16.202400000000001</v>
      </c>
      <c r="G337" s="14">
        <f>CHOOSE(CONTROL!$C$42, 16.2204, 16.2204)*CHOOSE(CONTROL!$C$21, $C$9, 100%, $E$9)</f>
        <v>16.220400000000001</v>
      </c>
      <c r="H337" s="14">
        <f>CHOOSE(CONTROL!$C$42, 16.297, 16.297) * CHOOSE(CONTROL!$C$21, $C$9, 100%, $E$9)</f>
        <v>16.297000000000001</v>
      </c>
      <c r="I337" s="14">
        <f>CHOOSE(CONTROL!$C$42, 16.2517, 16.2517)* CHOOSE(CONTROL!$C$21, $C$9, 100%, $E$9)</f>
        <v>16.2517</v>
      </c>
      <c r="J337" s="14">
        <f>CHOOSE(CONTROL!$C$42, 16.1954, 16.1954)* CHOOSE(CONTROL!$C$21, $C$9, 100%, $E$9)</f>
        <v>16.195399999999999</v>
      </c>
      <c r="K337" s="52">
        <f>CHOOSE(CONTROL!$C$42, 16.2478, 16.2478) * CHOOSE(CONTROL!$C$21, $C$9, 100%, $E$9)</f>
        <v>16.247800000000002</v>
      </c>
      <c r="L337" s="14">
        <f>CHOOSE(CONTROL!$C$42, 16.884, 16.884) * CHOOSE(CONTROL!$C$21, $C$9, 100%, $E$9)</f>
        <v>16.884</v>
      </c>
      <c r="M337" s="14">
        <f>CHOOSE(CONTROL!$C$42, 15.9118, 15.9118) * CHOOSE(CONTROL!$C$21, $C$9, 100%, $E$9)</f>
        <v>15.911799999999999</v>
      </c>
      <c r="N337" s="14">
        <f>CHOOSE(CONTROL!$C$42, 15.9295, 15.9295) * CHOOSE(CONTROL!$C$21, $C$9, 100%, $E$9)</f>
        <v>15.929500000000001</v>
      </c>
      <c r="O337" s="14">
        <f>CHOOSE(CONTROL!$C$42, 16.0115, 16.0115) * CHOOSE(CONTROL!$C$21, $C$9, 100%, $E$9)</f>
        <v>16.011500000000002</v>
      </c>
      <c r="P337" s="14">
        <f>CHOOSE(CONTROL!$C$42, 15.9662, 15.9662) * CHOOSE(CONTROL!$C$21, $C$9, 100%, $E$9)</f>
        <v>15.966200000000001</v>
      </c>
      <c r="Q337" s="14">
        <f>CHOOSE(CONTROL!$C$42, 16.6062, 16.6062) * CHOOSE(CONTROL!$C$21, $C$9, 100%, $E$9)</f>
        <v>16.606200000000001</v>
      </c>
      <c r="R337" s="14">
        <f>CHOOSE(CONTROL!$C$42, 17.2347, 17.2347) * CHOOSE(CONTROL!$C$21, $C$9, 100%, $E$9)</f>
        <v>17.2347</v>
      </c>
      <c r="S337" s="14">
        <f>CHOOSE(CONTROL!$C$42, 15.5341, 15.5341) * CHOOSE(CONTROL!$C$21, $C$9, 100%, $E$9)</f>
        <v>15.5341</v>
      </c>
      <c r="T3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37" s="56">
        <f>(1000*CHOOSE(CONTROL!$C$42, 695, 695)*CHOOSE(CONTROL!$C$42, 0.5599, 0.5599)*CHOOSE(CONTROL!$C$42, 31, 31))/1000000</f>
        <v>12.063045499999998</v>
      </c>
      <c r="V337" s="56">
        <f>(1000*CHOOSE(CONTROL!$C$42, 500, 500)*CHOOSE(CONTROL!$C$42, 0.275, 0.275)*CHOOSE(CONTROL!$C$42, 31, 31))/1000000</f>
        <v>4.2625000000000002</v>
      </c>
      <c r="W337" s="56">
        <f>(1000*CHOOSE(CONTROL!$C$42, 0.1146, 0.1146)*CHOOSE(CONTROL!$C$42, 121.5, 121.5)*CHOOSE(CONTROL!$C$42, 31, 31))/1000000</f>
        <v>0.43164089999999994</v>
      </c>
      <c r="X337" s="56">
        <f>(31*0.1790888*100000/1000000)+(31*0.2374*100000/1000000)</f>
        <v>1.2911152800000001</v>
      </c>
      <c r="Y337" s="56"/>
      <c r="Z337" s="14"/>
      <c r="AA337" s="55"/>
      <c r="AB337" s="49">
        <f>(B337*122.58+C337*297.941+D337*89.177+E337*40.302+F337*40+G337*160+H337*0+I337*100+J337*300)/(122.58+297.941+89.177+40.302+0+40+160+100+300)</f>
        <v>16.207926457999999</v>
      </c>
      <c r="AC337" s="45">
        <f>(M337*'RAP TEMPLATE-GAS AVAILABILITY'!O336+N337*'RAP TEMPLATE-GAS AVAILABILITY'!P336+O337*'RAP TEMPLATE-GAS AVAILABILITY'!Q336+P337*'RAP TEMPLATE-GAS AVAILABILITY'!R336)/('RAP TEMPLATE-GAS AVAILABILITY'!O336+'RAP TEMPLATE-GAS AVAILABILITY'!P336+'RAP TEMPLATE-GAS AVAILABILITY'!Q336+'RAP TEMPLATE-GAS AVAILABILITY'!R336)</f>
        <v>15.965833812949642</v>
      </c>
    </row>
    <row r="338" spans="1:29" ht="15.75" x14ac:dyDescent="0.25">
      <c r="A338" s="33">
        <v>51194</v>
      </c>
      <c r="B338" s="14">
        <f>CHOOSE(CONTROL!$C$42, 16.4629, 16.4629) * CHOOSE(CONTROL!$C$21, $C$9, 100%, $E$9)</f>
        <v>16.462900000000001</v>
      </c>
      <c r="C338" s="14">
        <f>CHOOSE(CONTROL!$C$42, 16.468, 16.468) * CHOOSE(CONTROL!$C$21, $C$9, 100%, $E$9)</f>
        <v>16.468</v>
      </c>
      <c r="D338" s="14">
        <f>CHOOSE(CONTROL!$C$42, 16.5614, 16.5614) * CHOOSE(CONTROL!$C$21, $C$9, 100%, $E$9)</f>
        <v>16.561399999999999</v>
      </c>
      <c r="E338" s="14">
        <f>CHOOSE(CONTROL!$C$42, 16.5955, 16.5955) * CHOOSE(CONTROL!$C$21, $C$9, 100%, $E$9)</f>
        <v>16.595500000000001</v>
      </c>
      <c r="F338" s="14">
        <f>CHOOSE(CONTROL!$C$42, 16.4898, 16.4898)*CHOOSE(CONTROL!$C$21, $C$9, 100%, $E$9)</f>
        <v>16.489799999999999</v>
      </c>
      <c r="G338" s="14">
        <f>CHOOSE(CONTROL!$C$42, 16.5077, 16.5077)*CHOOSE(CONTROL!$C$21, $C$9, 100%, $E$9)</f>
        <v>16.5077</v>
      </c>
      <c r="H338" s="14">
        <f>CHOOSE(CONTROL!$C$42, 16.5847, 16.5847) * CHOOSE(CONTROL!$C$21, $C$9, 100%, $E$9)</f>
        <v>16.584700000000002</v>
      </c>
      <c r="I338" s="14">
        <f>CHOOSE(CONTROL!$C$42, 16.5403, 16.5403)* CHOOSE(CONTROL!$C$21, $C$9, 100%, $E$9)</f>
        <v>16.540299999999998</v>
      </c>
      <c r="J338" s="14">
        <f>CHOOSE(CONTROL!$C$42, 16.4828, 16.4828)* CHOOSE(CONTROL!$C$21, $C$9, 100%, $E$9)</f>
        <v>16.482800000000001</v>
      </c>
      <c r="K338" s="52">
        <f>CHOOSE(CONTROL!$C$42, 16.5364, 16.5364) * CHOOSE(CONTROL!$C$21, $C$9, 100%, $E$9)</f>
        <v>16.5364</v>
      </c>
      <c r="L338" s="14">
        <f>CHOOSE(CONTROL!$C$42, 17.1717, 17.1717) * CHOOSE(CONTROL!$C$21, $C$9, 100%, $E$9)</f>
        <v>17.171700000000001</v>
      </c>
      <c r="M338" s="14">
        <f>CHOOSE(CONTROL!$C$42, 16.1941, 16.1941) * CHOOSE(CONTROL!$C$21, $C$9, 100%, $E$9)</f>
        <v>16.194099999999999</v>
      </c>
      <c r="N338" s="14">
        <f>CHOOSE(CONTROL!$C$42, 16.2116, 16.2116) * CHOOSE(CONTROL!$C$21, $C$9, 100%, $E$9)</f>
        <v>16.211600000000001</v>
      </c>
      <c r="O338" s="14">
        <f>CHOOSE(CONTROL!$C$42, 16.2941, 16.2941) * CHOOSE(CONTROL!$C$21, $C$9, 100%, $E$9)</f>
        <v>16.2941</v>
      </c>
      <c r="P338" s="14">
        <f>CHOOSE(CONTROL!$C$42, 16.2497, 16.2497) * CHOOSE(CONTROL!$C$21, $C$9, 100%, $E$9)</f>
        <v>16.249700000000001</v>
      </c>
      <c r="Q338" s="14">
        <f>CHOOSE(CONTROL!$C$42, 16.8888, 16.8888) * CHOOSE(CONTROL!$C$21, $C$9, 100%, $E$9)</f>
        <v>16.8888</v>
      </c>
      <c r="R338" s="14">
        <f>CHOOSE(CONTROL!$C$42, 17.518, 17.518) * CHOOSE(CONTROL!$C$21, $C$9, 100%, $E$9)</f>
        <v>17.518000000000001</v>
      </c>
      <c r="S338" s="14">
        <f>CHOOSE(CONTROL!$C$42, 15.8106, 15.8106) * CHOOSE(CONTROL!$C$21, $C$9, 100%, $E$9)</f>
        <v>15.810600000000001</v>
      </c>
      <c r="T33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38" s="56">
        <f>(1000*CHOOSE(CONTROL!$C$42, 695, 695)*CHOOSE(CONTROL!$C$42, 0.5599, 0.5599)*CHOOSE(CONTROL!$C$42, 29, 29))/1000000</f>
        <v>11.284784499999999</v>
      </c>
      <c r="V338" s="56">
        <f>(1000*CHOOSE(CONTROL!$C$42, 500, 500)*CHOOSE(CONTROL!$C$42, 0.275, 0.275)*CHOOSE(CONTROL!$C$42, 29, 29))/1000000</f>
        <v>3.9874999999999998</v>
      </c>
      <c r="W338" s="56">
        <f>(1000*CHOOSE(CONTROL!$C$42, 0.1146, 0.1146)*CHOOSE(CONTROL!$C$42, 121.5, 121.5)*CHOOSE(CONTROL!$C$42, 29, 29))/1000000</f>
        <v>0.40379309999999996</v>
      </c>
      <c r="X338" s="56">
        <f>(29*0.1790888*100000/1000000)+(29*0.2374*100000/1000000)</f>
        <v>1.2078175199999999</v>
      </c>
      <c r="Y338" s="56"/>
      <c r="Z338" s="14"/>
      <c r="AA338" s="55"/>
      <c r="AB338" s="49">
        <f>(B338*122.58+C338*297.941+D338*89.177+E338*40.302+F338*40+G338*160+H338*0+I338*100+J338*300)/(122.58+297.941+89.177+40.302+0+40+160+100+300)</f>
        <v>16.495596938086955</v>
      </c>
      <c r="AC338" s="45">
        <f>(M338*'RAP TEMPLATE-GAS AVAILABILITY'!O337+N338*'RAP TEMPLATE-GAS AVAILABILITY'!P337+O338*'RAP TEMPLATE-GAS AVAILABILITY'!Q337+P338*'RAP TEMPLATE-GAS AVAILABILITY'!R337)/('RAP TEMPLATE-GAS AVAILABILITY'!O337+'RAP TEMPLATE-GAS AVAILABILITY'!P337+'RAP TEMPLATE-GAS AVAILABILITY'!Q337+'RAP TEMPLATE-GAS AVAILABILITY'!R337)</f>
        <v>16.248430935251797</v>
      </c>
    </row>
    <row r="339" spans="1:29" ht="15.75" x14ac:dyDescent="0.25">
      <c r="A339" s="33">
        <v>51226</v>
      </c>
      <c r="B339" s="14">
        <f>CHOOSE(CONTROL!$C$42, 15.9958, 15.9958) * CHOOSE(CONTROL!$C$21, $C$9, 100%, $E$9)</f>
        <v>15.995799999999999</v>
      </c>
      <c r="C339" s="14">
        <f>CHOOSE(CONTROL!$C$42, 16.0008, 16.0008) * CHOOSE(CONTROL!$C$21, $C$9, 100%, $E$9)</f>
        <v>16.000800000000002</v>
      </c>
      <c r="D339" s="14">
        <f>CHOOSE(CONTROL!$C$42, 16.0943, 16.0943) * CHOOSE(CONTROL!$C$21, $C$9, 100%, $E$9)</f>
        <v>16.0943</v>
      </c>
      <c r="E339" s="14">
        <f>CHOOSE(CONTROL!$C$42, 16.1284, 16.1284) * CHOOSE(CONTROL!$C$21, $C$9, 100%, $E$9)</f>
        <v>16.128399999999999</v>
      </c>
      <c r="F339" s="14">
        <f>CHOOSE(CONTROL!$C$42, 16.0218, 16.0218)*CHOOSE(CONTROL!$C$21, $C$9, 100%, $E$9)</f>
        <v>16.021799999999999</v>
      </c>
      <c r="G339" s="14">
        <f>CHOOSE(CONTROL!$C$42, 16.0395, 16.0395)*CHOOSE(CONTROL!$C$21, $C$9, 100%, $E$9)</f>
        <v>16.0395</v>
      </c>
      <c r="H339" s="14">
        <f>CHOOSE(CONTROL!$C$42, 16.1176, 16.1176) * CHOOSE(CONTROL!$C$21, $C$9, 100%, $E$9)</f>
        <v>16.117599999999999</v>
      </c>
      <c r="I339" s="14">
        <f>CHOOSE(CONTROL!$C$42, 16.0718, 16.0718)* CHOOSE(CONTROL!$C$21, $C$9, 100%, $E$9)</f>
        <v>16.0718</v>
      </c>
      <c r="J339" s="14">
        <f>CHOOSE(CONTROL!$C$42, 16.0148, 16.0148)* CHOOSE(CONTROL!$C$21, $C$9, 100%, $E$9)</f>
        <v>16.014800000000001</v>
      </c>
      <c r="K339" s="52">
        <f>CHOOSE(CONTROL!$C$42, 16.0679, 16.0679) * CHOOSE(CONTROL!$C$21, $C$9, 100%, $E$9)</f>
        <v>16.067900000000002</v>
      </c>
      <c r="L339" s="14">
        <f>CHOOSE(CONTROL!$C$42, 16.7046, 16.7046) * CHOOSE(CONTROL!$C$21, $C$9, 100%, $E$9)</f>
        <v>16.704599999999999</v>
      </c>
      <c r="M339" s="14">
        <f>CHOOSE(CONTROL!$C$42, 15.7345, 15.7345) * CHOOSE(CONTROL!$C$21, $C$9, 100%, $E$9)</f>
        <v>15.734500000000001</v>
      </c>
      <c r="N339" s="14">
        <f>CHOOSE(CONTROL!$C$42, 15.7518, 15.7518) * CHOOSE(CONTROL!$C$21, $C$9, 100%, $E$9)</f>
        <v>15.751799999999999</v>
      </c>
      <c r="O339" s="14">
        <f>CHOOSE(CONTROL!$C$42, 15.8354, 15.8354) * CHOOSE(CONTROL!$C$21, $C$9, 100%, $E$9)</f>
        <v>15.8354</v>
      </c>
      <c r="P339" s="14">
        <f>CHOOSE(CONTROL!$C$42, 15.7896, 15.7896) * CHOOSE(CONTROL!$C$21, $C$9, 100%, $E$9)</f>
        <v>15.7896</v>
      </c>
      <c r="Q339" s="14">
        <f>CHOOSE(CONTROL!$C$42, 16.4301, 16.4301) * CHOOSE(CONTROL!$C$21, $C$9, 100%, $E$9)</f>
        <v>16.430099999999999</v>
      </c>
      <c r="R339" s="14">
        <f>CHOOSE(CONTROL!$C$42, 17.0582, 17.0582) * CHOOSE(CONTROL!$C$21, $C$9, 100%, $E$9)</f>
        <v>17.058199999999999</v>
      </c>
      <c r="S339" s="14">
        <f>CHOOSE(CONTROL!$C$42, 15.3618, 15.3618) * CHOOSE(CONTROL!$C$21, $C$9, 100%, $E$9)</f>
        <v>15.361800000000001</v>
      </c>
      <c r="T3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39" s="56">
        <f>(1000*CHOOSE(CONTROL!$C$42, 695, 695)*CHOOSE(CONTROL!$C$42, 0.5599, 0.5599)*CHOOSE(CONTROL!$C$42, 31, 31))/1000000</f>
        <v>12.063045499999998</v>
      </c>
      <c r="V339" s="56">
        <f>(1000*CHOOSE(CONTROL!$C$42, 500, 500)*CHOOSE(CONTROL!$C$42, 0.275, 0.275)*CHOOSE(CONTROL!$C$42, 31, 31))/1000000</f>
        <v>4.2625000000000002</v>
      </c>
      <c r="W339" s="56">
        <f>(1000*CHOOSE(CONTROL!$C$42, 0.1146, 0.1146)*CHOOSE(CONTROL!$C$42, 121.5, 121.5)*CHOOSE(CONTROL!$C$42, 31, 31))/1000000</f>
        <v>0.43164089999999994</v>
      </c>
      <c r="X339" s="56">
        <f>(31*0.1790888*100000/1000000)+(31*0.2374*100000/1000000)</f>
        <v>1.2911152800000001</v>
      </c>
      <c r="Y339" s="56"/>
      <c r="Z339" s="14"/>
      <c r="AA339" s="55"/>
      <c r="AB339" s="49">
        <f>(B339*122.58+C339*297.941+D339*89.177+E339*40.302+F339*40+G339*160+H339*0+I339*100+J339*300)/(122.58+297.941+89.177+40.302+0+40+160+100+300)</f>
        <v>16.027930160608697</v>
      </c>
      <c r="AC339" s="45">
        <f>(M339*'RAP TEMPLATE-GAS AVAILABILITY'!O338+N339*'RAP TEMPLATE-GAS AVAILABILITY'!P338+O339*'RAP TEMPLATE-GAS AVAILABILITY'!Q338+P339*'RAP TEMPLATE-GAS AVAILABILITY'!R338)/('RAP TEMPLATE-GAS AVAILABILITY'!O338+'RAP TEMPLATE-GAS AVAILABILITY'!P338+'RAP TEMPLATE-GAS AVAILABILITY'!Q338+'RAP TEMPLATE-GAS AVAILABILITY'!R338)</f>
        <v>15.789155395683453</v>
      </c>
    </row>
    <row r="340" spans="1:29" ht="15.75" x14ac:dyDescent="0.25">
      <c r="A340" s="33">
        <v>51256</v>
      </c>
      <c r="B340" s="14">
        <f>CHOOSE(CONTROL!$C$42, 15.9489, 15.9489) * CHOOSE(CONTROL!$C$21, $C$9, 100%, $E$9)</f>
        <v>15.9489</v>
      </c>
      <c r="C340" s="14">
        <f>CHOOSE(CONTROL!$C$42, 15.9534, 15.9534) * CHOOSE(CONTROL!$C$21, $C$9, 100%, $E$9)</f>
        <v>15.9534</v>
      </c>
      <c r="D340" s="14">
        <f>CHOOSE(CONTROL!$C$42, 16.2156, 16.2156) * CHOOSE(CONTROL!$C$21, $C$9, 100%, $E$9)</f>
        <v>16.215599999999998</v>
      </c>
      <c r="E340" s="14">
        <f>CHOOSE(CONTROL!$C$42, 16.2477, 16.2477) * CHOOSE(CONTROL!$C$21, $C$9, 100%, $E$9)</f>
        <v>16.247699999999998</v>
      </c>
      <c r="F340" s="14">
        <f>CHOOSE(CONTROL!$C$42, 15.9717, 15.9717)*CHOOSE(CONTROL!$C$21, $C$9, 100%, $E$9)</f>
        <v>15.9717</v>
      </c>
      <c r="G340" s="14">
        <f>CHOOSE(CONTROL!$C$42, 15.9885, 15.9885)*CHOOSE(CONTROL!$C$21, $C$9, 100%, $E$9)</f>
        <v>15.9885</v>
      </c>
      <c r="H340" s="14">
        <f>CHOOSE(CONTROL!$C$42, 16.2375, 16.2375) * CHOOSE(CONTROL!$C$21, $C$9, 100%, $E$9)</f>
        <v>16.237500000000001</v>
      </c>
      <c r="I340" s="14">
        <f>CHOOSE(CONTROL!$C$42, 16.0214, 16.0214)* CHOOSE(CONTROL!$C$21, $C$9, 100%, $E$9)</f>
        <v>16.0214</v>
      </c>
      <c r="J340" s="14">
        <f>CHOOSE(CONTROL!$C$42, 15.9647, 15.9647)* CHOOSE(CONTROL!$C$21, $C$9, 100%, $E$9)</f>
        <v>15.964700000000001</v>
      </c>
      <c r="K340" s="52">
        <f>CHOOSE(CONTROL!$C$42, 16.0175, 16.0175) * CHOOSE(CONTROL!$C$21, $C$9, 100%, $E$9)</f>
        <v>16.017499999999998</v>
      </c>
      <c r="L340" s="14">
        <f>CHOOSE(CONTROL!$C$42, 16.8245, 16.8245) * CHOOSE(CONTROL!$C$21, $C$9, 100%, $E$9)</f>
        <v>16.8245</v>
      </c>
      <c r="M340" s="14">
        <f>CHOOSE(CONTROL!$C$42, 15.6853, 15.6853) * CHOOSE(CONTROL!$C$21, $C$9, 100%, $E$9)</f>
        <v>15.6853</v>
      </c>
      <c r="N340" s="14">
        <f>CHOOSE(CONTROL!$C$42, 15.7017, 15.7017) * CHOOSE(CONTROL!$C$21, $C$9, 100%, $E$9)</f>
        <v>15.701700000000001</v>
      </c>
      <c r="O340" s="14">
        <f>CHOOSE(CONTROL!$C$42, 15.9532, 15.9532) * CHOOSE(CONTROL!$C$21, $C$9, 100%, $E$9)</f>
        <v>15.953200000000001</v>
      </c>
      <c r="P340" s="14">
        <f>CHOOSE(CONTROL!$C$42, 15.7401, 15.7401) * CHOOSE(CONTROL!$C$21, $C$9, 100%, $E$9)</f>
        <v>15.7401</v>
      </c>
      <c r="Q340" s="14">
        <f>CHOOSE(CONTROL!$C$42, 16.5479, 16.5479) * CHOOSE(CONTROL!$C$21, $C$9, 100%, $E$9)</f>
        <v>16.547899999999998</v>
      </c>
      <c r="R340" s="14">
        <f>CHOOSE(CONTROL!$C$42, 17.1762, 17.1762) * CHOOSE(CONTROL!$C$21, $C$9, 100%, $E$9)</f>
        <v>17.176200000000001</v>
      </c>
      <c r="S340" s="14">
        <f>CHOOSE(CONTROL!$C$42, 15.316, 15.316) * CHOOSE(CONTROL!$C$21, $C$9, 100%, $E$9)</f>
        <v>15.316000000000001</v>
      </c>
      <c r="T3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40" s="56">
        <f>(1000*CHOOSE(CONTROL!$C$42, 695, 695)*CHOOSE(CONTROL!$C$42, 0.5599, 0.5599)*CHOOSE(CONTROL!$C$42, 30, 30))/1000000</f>
        <v>11.673914999999997</v>
      </c>
      <c r="V340" s="56">
        <f>(1000*CHOOSE(CONTROL!$C$42, 500, 500)*CHOOSE(CONTROL!$C$42, 0.275, 0.275)*CHOOSE(CONTROL!$C$42, 30, 30))/1000000</f>
        <v>4.125</v>
      </c>
      <c r="W340" s="56">
        <f>(1000*CHOOSE(CONTROL!$C$42, 0.1146, 0.1146)*CHOOSE(CONTROL!$C$42, 121.5, 121.5)*CHOOSE(CONTROL!$C$42, 30, 30))/1000000</f>
        <v>0.417717</v>
      </c>
      <c r="X340" s="56">
        <f>(30*0.1790888*245000/1000000)+(30*0.2374*100000/1000000)</f>
        <v>2.0285026799999999</v>
      </c>
      <c r="Y340" s="56"/>
      <c r="Z340" s="14"/>
      <c r="AA340" s="55"/>
      <c r="AB340" s="49">
        <f>(B340*141.293+C340*267.993+D340*115.016+E340*89.698+F340*40+G340*185+H340*0+I340*100+J340*300)/(141.293+267.993+115.016+89.698+0+40+185+100+300)</f>
        <v>16.012588860451977</v>
      </c>
      <c r="AC340" s="45">
        <f>(M340*'RAP TEMPLATE-GAS AVAILABILITY'!O339+N340*'RAP TEMPLATE-GAS AVAILABILITY'!P339+O340*'RAP TEMPLATE-GAS AVAILABILITY'!Q339+P340*'RAP TEMPLATE-GAS AVAILABILITY'!R339)/('RAP TEMPLATE-GAS AVAILABILITY'!O339+'RAP TEMPLATE-GAS AVAILABILITY'!P339+'RAP TEMPLATE-GAS AVAILABILITY'!Q339+'RAP TEMPLATE-GAS AVAILABILITY'!R339)</f>
        <v>15.772126618705038</v>
      </c>
    </row>
    <row r="341" spans="1:29" ht="15.75" x14ac:dyDescent="0.25">
      <c r="A341" s="33">
        <v>51287</v>
      </c>
      <c r="B341" s="14">
        <f>CHOOSE(CONTROL!$C$42, 16.091, 16.091) * CHOOSE(CONTROL!$C$21, $C$9, 100%, $E$9)</f>
        <v>16.091000000000001</v>
      </c>
      <c r="C341" s="14">
        <f>CHOOSE(CONTROL!$C$42, 16.099, 16.099) * CHOOSE(CONTROL!$C$21, $C$9, 100%, $E$9)</f>
        <v>16.099</v>
      </c>
      <c r="D341" s="14">
        <f>CHOOSE(CONTROL!$C$42, 16.3581, 16.3581) * CHOOSE(CONTROL!$C$21, $C$9, 100%, $E$9)</f>
        <v>16.3581</v>
      </c>
      <c r="E341" s="14">
        <f>CHOOSE(CONTROL!$C$42, 16.3896, 16.3896) * CHOOSE(CONTROL!$C$21, $C$9, 100%, $E$9)</f>
        <v>16.389600000000002</v>
      </c>
      <c r="F341" s="14">
        <f>CHOOSE(CONTROL!$C$42, 16.1125, 16.1125)*CHOOSE(CONTROL!$C$21, $C$9, 100%, $E$9)</f>
        <v>16.112500000000001</v>
      </c>
      <c r="G341" s="14">
        <f>CHOOSE(CONTROL!$C$42, 16.1295, 16.1295)*CHOOSE(CONTROL!$C$21, $C$9, 100%, $E$9)</f>
        <v>16.1295</v>
      </c>
      <c r="H341" s="14">
        <f>CHOOSE(CONTROL!$C$42, 16.3782, 16.3782) * CHOOSE(CONTROL!$C$21, $C$9, 100%, $E$9)</f>
        <v>16.3782</v>
      </c>
      <c r="I341" s="14">
        <f>CHOOSE(CONTROL!$C$42, 16.1625, 16.1625)* CHOOSE(CONTROL!$C$21, $C$9, 100%, $E$9)</f>
        <v>16.162500000000001</v>
      </c>
      <c r="J341" s="14">
        <f>CHOOSE(CONTROL!$C$42, 16.1055, 16.1055)* CHOOSE(CONTROL!$C$21, $C$9, 100%, $E$9)</f>
        <v>16.105499999999999</v>
      </c>
      <c r="K341" s="52">
        <f>CHOOSE(CONTROL!$C$42, 16.1586, 16.1586) * CHOOSE(CONTROL!$C$21, $C$9, 100%, $E$9)</f>
        <v>16.1586</v>
      </c>
      <c r="L341" s="14">
        <f>CHOOSE(CONTROL!$C$42, 16.9652, 16.9652) * CHOOSE(CONTROL!$C$21, $C$9, 100%, $E$9)</f>
        <v>16.965199999999999</v>
      </c>
      <c r="M341" s="14">
        <f>CHOOSE(CONTROL!$C$42, 15.8235, 15.8235) * CHOOSE(CONTROL!$C$21, $C$9, 100%, $E$9)</f>
        <v>15.823499999999999</v>
      </c>
      <c r="N341" s="14">
        <f>CHOOSE(CONTROL!$C$42, 15.8402, 15.8402) * CHOOSE(CONTROL!$C$21, $C$9, 100%, $E$9)</f>
        <v>15.840199999999999</v>
      </c>
      <c r="O341" s="14">
        <f>CHOOSE(CONTROL!$C$42, 16.0913, 16.0913) * CHOOSE(CONTROL!$C$21, $C$9, 100%, $E$9)</f>
        <v>16.0913</v>
      </c>
      <c r="P341" s="14">
        <f>CHOOSE(CONTROL!$C$42, 15.8786, 15.8786) * CHOOSE(CONTROL!$C$21, $C$9, 100%, $E$9)</f>
        <v>15.8786</v>
      </c>
      <c r="Q341" s="14">
        <f>CHOOSE(CONTROL!$C$42, 16.686, 16.686) * CHOOSE(CONTROL!$C$21, $C$9, 100%, $E$9)</f>
        <v>16.686</v>
      </c>
      <c r="R341" s="14">
        <f>CHOOSE(CONTROL!$C$42, 17.3147, 17.3147) * CHOOSE(CONTROL!$C$21, $C$9, 100%, $E$9)</f>
        <v>17.314699999999998</v>
      </c>
      <c r="S341" s="14">
        <f>CHOOSE(CONTROL!$C$42, 15.4512, 15.4512) * CHOOSE(CONTROL!$C$21, $C$9, 100%, $E$9)</f>
        <v>15.4512</v>
      </c>
      <c r="T34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41" s="56">
        <f>(1000*CHOOSE(CONTROL!$C$42, 695, 695)*CHOOSE(CONTROL!$C$42, 0.5599, 0.5599)*CHOOSE(CONTROL!$C$42, 31, 31))/1000000</f>
        <v>12.063045499999998</v>
      </c>
      <c r="V341" s="56">
        <f>(1000*CHOOSE(CONTROL!$C$42, 500, 500)*CHOOSE(CONTROL!$C$42, 0.275, 0.275)*CHOOSE(CONTROL!$C$42, 31, 31))/1000000</f>
        <v>4.2625000000000002</v>
      </c>
      <c r="W341" s="56">
        <f>(1000*CHOOSE(CONTROL!$C$42, 0.1146, 0.1146)*CHOOSE(CONTROL!$C$42, 121.5, 121.5)*CHOOSE(CONTROL!$C$42, 31, 31))/1000000</f>
        <v>0.43164089999999994</v>
      </c>
      <c r="X341" s="56">
        <f>(31*0.1790888*245000/1000000)+(31*0.2374*100000/1000000)</f>
        <v>2.0961194359999999</v>
      </c>
      <c r="Y341" s="56"/>
      <c r="Z341" s="14"/>
      <c r="AA341" s="55"/>
      <c r="AB341" s="49">
        <f>(B341*194.205+C341*267.466+D341*133.845+E341*53.484+F341*40+G341*185+H341*0+I341*100+J341*300)/(194.205+267.466+133.845+53.484+0+40+185+100+300)</f>
        <v>16.148568720486658</v>
      </c>
      <c r="AC341" s="45">
        <f>(M341*'RAP TEMPLATE-GAS AVAILABILITY'!O340+N341*'RAP TEMPLATE-GAS AVAILABILITY'!P340+O341*'RAP TEMPLATE-GAS AVAILABILITY'!Q340+P341*'RAP TEMPLATE-GAS AVAILABILITY'!R340)/('RAP TEMPLATE-GAS AVAILABILITY'!O340+'RAP TEMPLATE-GAS AVAILABILITY'!P340+'RAP TEMPLATE-GAS AVAILABILITY'!Q340+'RAP TEMPLATE-GAS AVAILABILITY'!R340)</f>
        <v>15.910410791366907</v>
      </c>
    </row>
    <row r="342" spans="1:29" ht="15.75" x14ac:dyDescent="0.25">
      <c r="A342" s="33">
        <v>51317</v>
      </c>
      <c r="B342" s="14">
        <f>CHOOSE(CONTROL!$C$42, 16.5471, 16.5471) * CHOOSE(CONTROL!$C$21, $C$9, 100%, $E$9)</f>
        <v>16.5471</v>
      </c>
      <c r="C342" s="14">
        <f>CHOOSE(CONTROL!$C$42, 16.5551, 16.5551) * CHOOSE(CONTROL!$C$21, $C$9, 100%, $E$9)</f>
        <v>16.555099999999999</v>
      </c>
      <c r="D342" s="14">
        <f>CHOOSE(CONTROL!$C$42, 16.8142, 16.8142) * CHOOSE(CONTROL!$C$21, $C$9, 100%, $E$9)</f>
        <v>16.8142</v>
      </c>
      <c r="E342" s="14">
        <f>CHOOSE(CONTROL!$C$42, 16.8457, 16.8457) * CHOOSE(CONTROL!$C$21, $C$9, 100%, $E$9)</f>
        <v>16.845700000000001</v>
      </c>
      <c r="F342" s="14">
        <f>CHOOSE(CONTROL!$C$42, 16.5689, 16.5689)*CHOOSE(CONTROL!$C$21, $C$9, 100%, $E$9)</f>
        <v>16.568899999999999</v>
      </c>
      <c r="G342" s="14">
        <f>CHOOSE(CONTROL!$C$42, 16.5859, 16.5859)*CHOOSE(CONTROL!$C$21, $C$9, 100%, $E$9)</f>
        <v>16.585899999999999</v>
      </c>
      <c r="H342" s="14">
        <f>CHOOSE(CONTROL!$C$42, 16.8343, 16.8343) * CHOOSE(CONTROL!$C$21, $C$9, 100%, $E$9)</f>
        <v>16.834299999999999</v>
      </c>
      <c r="I342" s="14">
        <f>CHOOSE(CONTROL!$C$42, 16.62, 16.62)* CHOOSE(CONTROL!$C$21, $C$9, 100%, $E$9)</f>
        <v>16.62</v>
      </c>
      <c r="J342" s="14">
        <f>CHOOSE(CONTROL!$C$42, 16.5619, 16.5619)* CHOOSE(CONTROL!$C$21, $C$9, 100%, $E$9)</f>
        <v>16.561900000000001</v>
      </c>
      <c r="K342" s="52">
        <f>CHOOSE(CONTROL!$C$42, 16.6161, 16.6161) * CHOOSE(CONTROL!$C$21, $C$9, 100%, $E$9)</f>
        <v>16.616099999999999</v>
      </c>
      <c r="L342" s="14">
        <f>CHOOSE(CONTROL!$C$42, 17.4213, 17.4213) * CHOOSE(CONTROL!$C$21, $C$9, 100%, $E$9)</f>
        <v>17.421299999999999</v>
      </c>
      <c r="M342" s="14">
        <f>CHOOSE(CONTROL!$C$42, 16.2717, 16.2717) * CHOOSE(CONTROL!$C$21, $C$9, 100%, $E$9)</f>
        <v>16.271699999999999</v>
      </c>
      <c r="N342" s="14">
        <f>CHOOSE(CONTROL!$C$42, 16.2884, 16.2884) * CHOOSE(CONTROL!$C$21, $C$9, 100%, $E$9)</f>
        <v>16.288399999999999</v>
      </c>
      <c r="O342" s="14">
        <f>CHOOSE(CONTROL!$C$42, 16.5392, 16.5392) * CHOOSE(CONTROL!$C$21, $C$9, 100%, $E$9)</f>
        <v>16.539200000000001</v>
      </c>
      <c r="P342" s="14">
        <f>CHOOSE(CONTROL!$C$42, 16.3279, 16.3279) * CHOOSE(CONTROL!$C$21, $C$9, 100%, $E$9)</f>
        <v>16.3279</v>
      </c>
      <c r="Q342" s="14">
        <f>CHOOSE(CONTROL!$C$42, 17.1339, 17.1339) * CHOOSE(CONTROL!$C$21, $C$9, 100%, $E$9)</f>
        <v>17.133900000000001</v>
      </c>
      <c r="R342" s="14">
        <f>CHOOSE(CONTROL!$C$42, 17.7637, 17.7637) * CHOOSE(CONTROL!$C$21, $C$9, 100%, $E$9)</f>
        <v>17.7637</v>
      </c>
      <c r="S342" s="14">
        <f>CHOOSE(CONTROL!$C$42, 15.8895, 15.8895) * CHOOSE(CONTROL!$C$21, $C$9, 100%, $E$9)</f>
        <v>15.8895</v>
      </c>
      <c r="T34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42" s="56">
        <f>(1000*CHOOSE(CONTROL!$C$42, 695, 695)*CHOOSE(CONTROL!$C$42, 0.5599, 0.5599)*CHOOSE(CONTROL!$C$42, 30, 30))/1000000</f>
        <v>11.673914999999997</v>
      </c>
      <c r="V342" s="56">
        <f>(1000*CHOOSE(CONTROL!$C$42, 500, 500)*CHOOSE(CONTROL!$C$42, 0.275, 0.275)*CHOOSE(CONTROL!$C$42, 30, 30))/1000000</f>
        <v>4.125</v>
      </c>
      <c r="W342" s="56">
        <f>(1000*CHOOSE(CONTROL!$C$42, 0.1146, 0.1146)*CHOOSE(CONTROL!$C$42, 121.5, 121.5)*CHOOSE(CONTROL!$C$42, 30, 30))/1000000</f>
        <v>0.417717</v>
      </c>
      <c r="X342" s="56">
        <f>(30*0.1790888*245000/1000000)+(30*0.2374*100000/1000000)</f>
        <v>2.0285026799999999</v>
      </c>
      <c r="Y342" s="56"/>
      <c r="Z342" s="14"/>
      <c r="AA342" s="55"/>
      <c r="AB342" s="49">
        <f>(B342*194.205+C342*267.466+D342*133.845+E342*53.484+F342*40+G342*185+H342*0+I342*100+J342*300)/(194.205+267.466+133.845+53.484+0+40+185+100+300)</f>
        <v>16.604902236970172</v>
      </c>
      <c r="AC342" s="45">
        <f>(M342*'RAP TEMPLATE-GAS AVAILABILITY'!O341+N342*'RAP TEMPLATE-GAS AVAILABILITY'!P341+O342*'RAP TEMPLATE-GAS AVAILABILITY'!Q341+P342*'RAP TEMPLATE-GAS AVAILABILITY'!R341)/('RAP TEMPLATE-GAS AVAILABILITY'!O341+'RAP TEMPLATE-GAS AVAILABILITY'!P341+'RAP TEMPLATE-GAS AVAILABILITY'!Q341+'RAP TEMPLATE-GAS AVAILABILITY'!R341)</f>
        <v>16.35868489208633</v>
      </c>
    </row>
    <row r="343" spans="1:29" ht="15.75" x14ac:dyDescent="0.25">
      <c r="A343" s="33">
        <v>51348</v>
      </c>
      <c r="B343" s="14">
        <f>CHOOSE(CONTROL!$C$42, 16.2299, 16.2299) * CHOOSE(CONTROL!$C$21, $C$9, 100%, $E$9)</f>
        <v>16.229900000000001</v>
      </c>
      <c r="C343" s="14">
        <f>CHOOSE(CONTROL!$C$42, 16.2379, 16.2379) * CHOOSE(CONTROL!$C$21, $C$9, 100%, $E$9)</f>
        <v>16.2379</v>
      </c>
      <c r="D343" s="14">
        <f>CHOOSE(CONTROL!$C$42, 16.497, 16.497) * CHOOSE(CONTROL!$C$21, $C$9, 100%, $E$9)</f>
        <v>16.497</v>
      </c>
      <c r="E343" s="14">
        <f>CHOOSE(CONTROL!$C$42, 16.5284, 16.5284) * CHOOSE(CONTROL!$C$21, $C$9, 100%, $E$9)</f>
        <v>16.528400000000001</v>
      </c>
      <c r="F343" s="14">
        <f>CHOOSE(CONTROL!$C$42, 16.2521, 16.2521)*CHOOSE(CONTROL!$C$21, $C$9, 100%, $E$9)</f>
        <v>16.252099999999999</v>
      </c>
      <c r="G343" s="14">
        <f>CHOOSE(CONTROL!$C$42, 16.2692, 16.2692)*CHOOSE(CONTROL!$C$21, $C$9, 100%, $E$9)</f>
        <v>16.269200000000001</v>
      </c>
      <c r="H343" s="14">
        <f>CHOOSE(CONTROL!$C$42, 16.5171, 16.5171) * CHOOSE(CONTROL!$C$21, $C$9, 100%, $E$9)</f>
        <v>16.517099999999999</v>
      </c>
      <c r="I343" s="14">
        <f>CHOOSE(CONTROL!$C$42, 16.3018, 16.3018)* CHOOSE(CONTROL!$C$21, $C$9, 100%, $E$9)</f>
        <v>16.3018</v>
      </c>
      <c r="J343" s="14">
        <f>CHOOSE(CONTROL!$C$42, 16.2451, 16.2451)* CHOOSE(CONTROL!$C$21, $C$9, 100%, $E$9)</f>
        <v>16.245100000000001</v>
      </c>
      <c r="K343" s="52">
        <f>CHOOSE(CONTROL!$C$42, 16.2979, 16.2979) * CHOOSE(CONTROL!$C$21, $C$9, 100%, $E$9)</f>
        <v>16.297899999999998</v>
      </c>
      <c r="L343" s="14">
        <f>CHOOSE(CONTROL!$C$42, 17.1041, 17.1041) * CHOOSE(CONTROL!$C$21, $C$9, 100%, $E$9)</f>
        <v>17.104099999999999</v>
      </c>
      <c r="M343" s="14">
        <f>CHOOSE(CONTROL!$C$42, 15.9606, 15.9606) * CHOOSE(CONTROL!$C$21, $C$9, 100%, $E$9)</f>
        <v>15.960599999999999</v>
      </c>
      <c r="N343" s="14">
        <f>CHOOSE(CONTROL!$C$42, 15.9774, 15.9774) * CHOOSE(CONTROL!$C$21, $C$9, 100%, $E$9)</f>
        <v>15.977399999999999</v>
      </c>
      <c r="O343" s="14">
        <f>CHOOSE(CONTROL!$C$42, 16.2277, 16.2277) * CHOOSE(CONTROL!$C$21, $C$9, 100%, $E$9)</f>
        <v>16.227699999999999</v>
      </c>
      <c r="P343" s="14">
        <f>CHOOSE(CONTROL!$C$42, 16.0154, 16.0154) * CHOOSE(CONTROL!$C$21, $C$9, 100%, $E$9)</f>
        <v>16.0154</v>
      </c>
      <c r="Q343" s="14">
        <f>CHOOSE(CONTROL!$C$42, 16.8224, 16.8224) * CHOOSE(CONTROL!$C$21, $C$9, 100%, $E$9)</f>
        <v>16.822399999999998</v>
      </c>
      <c r="R343" s="14">
        <f>CHOOSE(CONTROL!$C$42, 17.4514, 17.4514) * CHOOSE(CONTROL!$C$21, $C$9, 100%, $E$9)</f>
        <v>17.4514</v>
      </c>
      <c r="S343" s="14">
        <f>CHOOSE(CONTROL!$C$42, 15.5846, 15.5846) * CHOOSE(CONTROL!$C$21, $C$9, 100%, $E$9)</f>
        <v>15.5846</v>
      </c>
      <c r="T34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43" s="56">
        <f>(1000*CHOOSE(CONTROL!$C$42, 695, 695)*CHOOSE(CONTROL!$C$42, 0.5599, 0.5599)*CHOOSE(CONTROL!$C$42, 31, 31))/1000000</f>
        <v>12.063045499999998</v>
      </c>
      <c r="V343" s="56">
        <f>(1000*CHOOSE(CONTROL!$C$42, 500, 500)*CHOOSE(CONTROL!$C$42, 0.275, 0.275)*CHOOSE(CONTROL!$C$42, 31, 31))/1000000</f>
        <v>4.2625000000000002</v>
      </c>
      <c r="W343" s="56">
        <f>(1000*CHOOSE(CONTROL!$C$42, 0.1146, 0.1146)*CHOOSE(CONTROL!$C$42, 121.5, 121.5)*CHOOSE(CONTROL!$C$42, 31, 31))/1000000</f>
        <v>0.43164089999999994</v>
      </c>
      <c r="X343" s="56">
        <f>(31*0.1790888*245000/1000000)+(31*0.2374*100000/1000000)</f>
        <v>2.0961194359999999</v>
      </c>
      <c r="Y343" s="56"/>
      <c r="Z343" s="14"/>
      <c r="AA343" s="55"/>
      <c r="AB343" s="49">
        <f>(B343*194.205+C343*267.466+D343*133.845+E343*53.484+F343*40+G343*185+H343*0+I343*100+J343*300)/(194.205+267.466+133.845+53.484+0+40+185+100+300)</f>
        <v>16.2877989022763</v>
      </c>
      <c r="AC343" s="45">
        <f>(M343*'RAP TEMPLATE-GAS AVAILABILITY'!O342+N343*'RAP TEMPLATE-GAS AVAILABILITY'!P342+O343*'RAP TEMPLATE-GAS AVAILABILITY'!Q342+P343*'RAP TEMPLATE-GAS AVAILABILITY'!R342)/('RAP TEMPLATE-GAS AVAILABILITY'!O342+'RAP TEMPLATE-GAS AVAILABILITY'!P342+'RAP TEMPLATE-GAS AVAILABILITY'!Q342+'RAP TEMPLATE-GAS AVAILABILITY'!R342)</f>
        <v>16.047294244604316</v>
      </c>
    </row>
    <row r="344" spans="1:29" ht="15.75" x14ac:dyDescent="0.25">
      <c r="A344" s="33">
        <v>51379</v>
      </c>
      <c r="B344" s="14">
        <f>CHOOSE(CONTROL!$C$42, 15.4288, 15.4288) * CHOOSE(CONTROL!$C$21, $C$9, 100%, $E$9)</f>
        <v>15.428800000000001</v>
      </c>
      <c r="C344" s="14">
        <f>CHOOSE(CONTROL!$C$42, 15.4368, 15.4368) * CHOOSE(CONTROL!$C$21, $C$9, 100%, $E$9)</f>
        <v>15.4368</v>
      </c>
      <c r="D344" s="14">
        <f>CHOOSE(CONTROL!$C$42, 15.6959, 15.6959) * CHOOSE(CONTROL!$C$21, $C$9, 100%, $E$9)</f>
        <v>15.6959</v>
      </c>
      <c r="E344" s="14">
        <f>CHOOSE(CONTROL!$C$42, 15.7274, 15.7274) * CHOOSE(CONTROL!$C$21, $C$9, 100%, $E$9)</f>
        <v>15.727399999999999</v>
      </c>
      <c r="F344" s="14">
        <f>CHOOSE(CONTROL!$C$42, 15.4512, 15.4512)*CHOOSE(CONTROL!$C$21, $C$9, 100%, $E$9)</f>
        <v>15.4512</v>
      </c>
      <c r="G344" s="14">
        <f>CHOOSE(CONTROL!$C$42, 15.4684, 15.4684)*CHOOSE(CONTROL!$C$21, $C$9, 100%, $E$9)</f>
        <v>15.468400000000001</v>
      </c>
      <c r="H344" s="14">
        <f>CHOOSE(CONTROL!$C$42, 15.716, 15.716) * CHOOSE(CONTROL!$C$21, $C$9, 100%, $E$9)</f>
        <v>15.715999999999999</v>
      </c>
      <c r="I344" s="14">
        <f>CHOOSE(CONTROL!$C$42, 15.4982, 15.4982)* CHOOSE(CONTROL!$C$21, $C$9, 100%, $E$9)</f>
        <v>15.498200000000001</v>
      </c>
      <c r="J344" s="14">
        <f>CHOOSE(CONTROL!$C$42, 15.4442, 15.4442)* CHOOSE(CONTROL!$C$21, $C$9, 100%, $E$9)</f>
        <v>15.4442</v>
      </c>
      <c r="K344" s="52">
        <f>CHOOSE(CONTROL!$C$42, 15.4943, 15.4943) * CHOOSE(CONTROL!$C$21, $C$9, 100%, $E$9)</f>
        <v>15.494300000000001</v>
      </c>
      <c r="L344" s="14">
        <f>CHOOSE(CONTROL!$C$42, 16.303, 16.303) * CHOOSE(CONTROL!$C$21, $C$9, 100%, $E$9)</f>
        <v>16.303000000000001</v>
      </c>
      <c r="M344" s="14">
        <f>CHOOSE(CONTROL!$C$42, 15.1741, 15.1741) * CHOOSE(CONTROL!$C$21, $C$9, 100%, $E$9)</f>
        <v>15.174099999999999</v>
      </c>
      <c r="N344" s="14">
        <f>CHOOSE(CONTROL!$C$42, 15.191, 15.191) * CHOOSE(CONTROL!$C$21, $C$9, 100%, $E$9)</f>
        <v>15.191000000000001</v>
      </c>
      <c r="O344" s="14">
        <f>CHOOSE(CONTROL!$C$42, 15.441, 15.441) * CHOOSE(CONTROL!$C$21, $C$9, 100%, $E$9)</f>
        <v>15.441000000000001</v>
      </c>
      <c r="P344" s="14">
        <f>CHOOSE(CONTROL!$C$42, 15.2263, 15.2263) * CHOOSE(CONTROL!$C$21, $C$9, 100%, $E$9)</f>
        <v>15.2263</v>
      </c>
      <c r="Q344" s="14">
        <f>CHOOSE(CONTROL!$C$42, 16.0357, 16.0357) * CHOOSE(CONTROL!$C$21, $C$9, 100%, $E$9)</f>
        <v>16.035699999999999</v>
      </c>
      <c r="R344" s="14">
        <f>CHOOSE(CONTROL!$C$42, 16.6628, 16.6628) * CHOOSE(CONTROL!$C$21, $C$9, 100%, $E$9)</f>
        <v>16.662800000000001</v>
      </c>
      <c r="S344" s="14">
        <f>CHOOSE(CONTROL!$C$42, 14.8149, 14.8149) * CHOOSE(CONTROL!$C$21, $C$9, 100%, $E$9)</f>
        <v>14.8149</v>
      </c>
      <c r="T34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44" s="56">
        <f>(1000*CHOOSE(CONTROL!$C$42, 695, 695)*CHOOSE(CONTROL!$C$42, 0.5599, 0.5599)*CHOOSE(CONTROL!$C$42, 31, 31))/1000000</f>
        <v>12.063045499999998</v>
      </c>
      <c r="V344" s="56">
        <f>(1000*CHOOSE(CONTROL!$C$42, 500, 500)*CHOOSE(CONTROL!$C$42, 0.275, 0.275)*CHOOSE(CONTROL!$C$42, 31, 31))/1000000</f>
        <v>4.2625000000000002</v>
      </c>
      <c r="W344" s="56">
        <f>(1000*CHOOSE(CONTROL!$C$42, 0.1146, 0.1146)*CHOOSE(CONTROL!$C$42, 121.5, 121.5)*CHOOSE(CONTROL!$C$42, 31, 31))/1000000</f>
        <v>0.43164089999999994</v>
      </c>
      <c r="X344" s="56">
        <f>(31*0.1790888*245000/1000000)+(31*0.2374*100000/1000000)</f>
        <v>2.0961194359999999</v>
      </c>
      <c r="Y344" s="56"/>
      <c r="Z344" s="14"/>
      <c r="AA344" s="55"/>
      <c r="AB344" s="49">
        <f>(B344*194.205+C344*267.466+D344*133.845+E344*53.484+F344*40+G344*185+H344*0+I344*100+J344*300)/(194.205+267.466+133.845+53.484+0+40+185+100+300)</f>
        <v>15.486603806828887</v>
      </c>
      <c r="AC344" s="45">
        <f>(M344*'RAP TEMPLATE-GAS AVAILABILITY'!O343+N344*'RAP TEMPLATE-GAS AVAILABILITY'!P343+O344*'RAP TEMPLATE-GAS AVAILABILITY'!Q343+P344*'RAP TEMPLATE-GAS AVAILABILITY'!R343)/('RAP TEMPLATE-GAS AVAILABILITY'!O343+'RAP TEMPLATE-GAS AVAILABILITY'!P343+'RAP TEMPLATE-GAS AVAILABILITY'!Q343+'RAP TEMPLATE-GAS AVAILABILITY'!R343)</f>
        <v>15.260387050359714</v>
      </c>
    </row>
    <row r="345" spans="1:29" ht="15.75" x14ac:dyDescent="0.25">
      <c r="A345" s="33">
        <v>51409</v>
      </c>
      <c r="B345" s="14">
        <f>CHOOSE(CONTROL!$C$42, 14.4498, 14.4498) * CHOOSE(CONTROL!$C$21, $C$9, 100%, $E$9)</f>
        <v>14.4498</v>
      </c>
      <c r="C345" s="14">
        <f>CHOOSE(CONTROL!$C$42, 14.4578, 14.4578) * CHOOSE(CONTROL!$C$21, $C$9, 100%, $E$9)</f>
        <v>14.457800000000001</v>
      </c>
      <c r="D345" s="14">
        <f>CHOOSE(CONTROL!$C$42, 14.7169, 14.7169) * CHOOSE(CONTROL!$C$21, $C$9, 100%, $E$9)</f>
        <v>14.716900000000001</v>
      </c>
      <c r="E345" s="14">
        <f>CHOOSE(CONTROL!$C$42, 14.7483, 14.7483) * CHOOSE(CONTROL!$C$21, $C$9, 100%, $E$9)</f>
        <v>14.7483</v>
      </c>
      <c r="F345" s="14">
        <f>CHOOSE(CONTROL!$C$42, 14.4722, 14.4722)*CHOOSE(CONTROL!$C$21, $C$9, 100%, $E$9)</f>
        <v>14.472200000000001</v>
      </c>
      <c r="G345" s="14">
        <f>CHOOSE(CONTROL!$C$42, 14.4895, 14.4895)*CHOOSE(CONTROL!$C$21, $C$9, 100%, $E$9)</f>
        <v>14.4895</v>
      </c>
      <c r="H345" s="14">
        <f>CHOOSE(CONTROL!$C$42, 14.737, 14.737) * CHOOSE(CONTROL!$C$21, $C$9, 100%, $E$9)</f>
        <v>14.737</v>
      </c>
      <c r="I345" s="14">
        <f>CHOOSE(CONTROL!$C$42, 14.5161, 14.5161)* CHOOSE(CONTROL!$C$21, $C$9, 100%, $E$9)</f>
        <v>14.5161</v>
      </c>
      <c r="J345" s="14">
        <f>CHOOSE(CONTROL!$C$42, 14.4652, 14.4652)* CHOOSE(CONTROL!$C$21, $C$9, 100%, $E$9)</f>
        <v>14.465199999999999</v>
      </c>
      <c r="K345" s="52">
        <f>CHOOSE(CONTROL!$C$42, 14.5122, 14.5122) * CHOOSE(CONTROL!$C$21, $C$9, 100%, $E$9)</f>
        <v>14.5122</v>
      </c>
      <c r="L345" s="14">
        <f>CHOOSE(CONTROL!$C$42, 15.324, 15.324) * CHOOSE(CONTROL!$C$21, $C$9, 100%, $E$9)</f>
        <v>15.324</v>
      </c>
      <c r="M345" s="14">
        <f>CHOOSE(CONTROL!$C$42, 14.2128, 14.2128) * CHOOSE(CONTROL!$C$21, $C$9, 100%, $E$9)</f>
        <v>14.2128</v>
      </c>
      <c r="N345" s="14">
        <f>CHOOSE(CONTROL!$C$42, 14.2297, 14.2297) * CHOOSE(CONTROL!$C$21, $C$9, 100%, $E$9)</f>
        <v>14.229699999999999</v>
      </c>
      <c r="O345" s="14">
        <f>CHOOSE(CONTROL!$C$42, 14.4796, 14.4796) * CHOOSE(CONTROL!$C$21, $C$9, 100%, $E$9)</f>
        <v>14.4796</v>
      </c>
      <c r="P345" s="14">
        <f>CHOOSE(CONTROL!$C$42, 14.262, 14.262) * CHOOSE(CONTROL!$C$21, $C$9, 100%, $E$9)</f>
        <v>14.262</v>
      </c>
      <c r="Q345" s="14">
        <f>CHOOSE(CONTROL!$C$42, 15.0743, 15.0743) * CHOOSE(CONTROL!$C$21, $C$9, 100%, $E$9)</f>
        <v>15.074299999999999</v>
      </c>
      <c r="R345" s="14">
        <f>CHOOSE(CONTROL!$C$42, 15.699, 15.699) * CHOOSE(CONTROL!$C$21, $C$9, 100%, $E$9)</f>
        <v>15.699</v>
      </c>
      <c r="S345" s="14">
        <f>CHOOSE(CONTROL!$C$42, 13.8741, 13.8741) * CHOOSE(CONTROL!$C$21, $C$9, 100%, $E$9)</f>
        <v>13.8741</v>
      </c>
      <c r="T34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45" s="56">
        <f>(1000*CHOOSE(CONTROL!$C$42, 695, 695)*CHOOSE(CONTROL!$C$42, 0.5599, 0.5599)*CHOOSE(CONTROL!$C$42, 30, 30))/1000000</f>
        <v>11.673914999999997</v>
      </c>
      <c r="V345" s="56">
        <f>(1000*CHOOSE(CONTROL!$C$42, 500, 500)*CHOOSE(CONTROL!$C$42, 0.275, 0.275)*CHOOSE(CONTROL!$C$42, 30, 30))/1000000</f>
        <v>4.125</v>
      </c>
      <c r="W345" s="56">
        <f>(1000*CHOOSE(CONTROL!$C$42, 0.1146, 0.1146)*CHOOSE(CONTROL!$C$42, 121.5, 121.5)*CHOOSE(CONTROL!$C$42, 30, 30))/1000000</f>
        <v>0.417717</v>
      </c>
      <c r="X345" s="56">
        <f>(30*0.1790888*245000/1000000)+(30*0.2374*100000/1000000)</f>
        <v>2.0285026799999999</v>
      </c>
      <c r="Y345" s="56"/>
      <c r="Z345" s="14"/>
      <c r="AA345" s="55"/>
      <c r="AB345" s="49">
        <f>(B345*194.205+C345*267.466+D345*133.845+E345*53.484+F345*40+G345*185+H345*0+I345*100+J345*300)/(194.205+267.466+133.845+53.484+0+40+185+100+300)</f>
        <v>14.507370801805338</v>
      </c>
      <c r="AC345" s="45">
        <f>(M345*'RAP TEMPLATE-GAS AVAILABILITY'!O344+N345*'RAP TEMPLATE-GAS AVAILABILITY'!P344+O345*'RAP TEMPLATE-GAS AVAILABILITY'!Q344+P345*'RAP TEMPLATE-GAS AVAILABILITY'!R344)/('RAP TEMPLATE-GAS AVAILABILITY'!O344+'RAP TEMPLATE-GAS AVAILABILITY'!P344+'RAP TEMPLATE-GAS AVAILABILITY'!Q344+'RAP TEMPLATE-GAS AVAILABILITY'!R344)</f>
        <v>14.298627338129499</v>
      </c>
    </row>
    <row r="346" spans="1:29" ht="15.75" x14ac:dyDescent="0.25">
      <c r="A346" s="33">
        <v>51440</v>
      </c>
      <c r="B346" s="14">
        <f>CHOOSE(CONTROL!$C$42, 14.1549, 14.1549) * CHOOSE(CONTROL!$C$21, $C$9, 100%, $E$9)</f>
        <v>14.1549</v>
      </c>
      <c r="C346" s="14">
        <f>CHOOSE(CONTROL!$C$42, 14.1602, 14.1602) * CHOOSE(CONTROL!$C$21, $C$9, 100%, $E$9)</f>
        <v>14.1602</v>
      </c>
      <c r="D346" s="14">
        <f>CHOOSE(CONTROL!$C$42, 14.4242, 14.4242) * CHOOSE(CONTROL!$C$21, $C$9, 100%, $E$9)</f>
        <v>14.424200000000001</v>
      </c>
      <c r="E346" s="14">
        <f>CHOOSE(CONTROL!$C$42, 14.4534, 14.4534) * CHOOSE(CONTROL!$C$21, $C$9, 100%, $E$9)</f>
        <v>14.4534</v>
      </c>
      <c r="F346" s="14">
        <f>CHOOSE(CONTROL!$C$42, 14.1795, 14.1795)*CHOOSE(CONTROL!$C$21, $C$9, 100%, $E$9)</f>
        <v>14.179500000000001</v>
      </c>
      <c r="G346" s="14">
        <f>CHOOSE(CONTROL!$C$42, 14.1966, 14.1966)*CHOOSE(CONTROL!$C$21, $C$9, 100%, $E$9)</f>
        <v>14.1966</v>
      </c>
      <c r="H346" s="14">
        <f>CHOOSE(CONTROL!$C$42, 14.4438, 14.4438) * CHOOSE(CONTROL!$C$21, $C$9, 100%, $E$9)</f>
        <v>14.4438</v>
      </c>
      <c r="I346" s="14">
        <f>CHOOSE(CONTROL!$C$42, 14.2221, 14.2221)* CHOOSE(CONTROL!$C$21, $C$9, 100%, $E$9)</f>
        <v>14.222099999999999</v>
      </c>
      <c r="J346" s="14">
        <f>CHOOSE(CONTROL!$C$42, 14.1725, 14.1725)* CHOOSE(CONTROL!$C$21, $C$9, 100%, $E$9)</f>
        <v>14.172499999999999</v>
      </c>
      <c r="K346" s="52">
        <f>CHOOSE(CONTROL!$C$42, 14.2182, 14.2182) * CHOOSE(CONTROL!$C$21, $C$9, 100%, $E$9)</f>
        <v>14.2182</v>
      </c>
      <c r="L346" s="14">
        <f>CHOOSE(CONTROL!$C$42, 15.0308, 15.0308) * CHOOSE(CONTROL!$C$21, $C$9, 100%, $E$9)</f>
        <v>15.030799999999999</v>
      </c>
      <c r="M346" s="14">
        <f>CHOOSE(CONTROL!$C$42, 13.9253, 13.9253) * CHOOSE(CONTROL!$C$21, $C$9, 100%, $E$9)</f>
        <v>13.9253</v>
      </c>
      <c r="N346" s="14">
        <f>CHOOSE(CONTROL!$C$42, 13.9421, 13.9421) * CHOOSE(CONTROL!$C$21, $C$9, 100%, $E$9)</f>
        <v>13.9421</v>
      </c>
      <c r="O346" s="14">
        <f>CHOOSE(CONTROL!$C$42, 14.1917, 14.1917) * CHOOSE(CONTROL!$C$21, $C$9, 100%, $E$9)</f>
        <v>14.191700000000001</v>
      </c>
      <c r="P346" s="14">
        <f>CHOOSE(CONTROL!$C$42, 13.9732, 13.9732) * CHOOSE(CONTROL!$C$21, $C$9, 100%, $E$9)</f>
        <v>13.9732</v>
      </c>
      <c r="Q346" s="14">
        <f>CHOOSE(CONTROL!$C$42, 14.7864, 14.7864) * CHOOSE(CONTROL!$C$21, $C$9, 100%, $E$9)</f>
        <v>14.7864</v>
      </c>
      <c r="R346" s="14">
        <f>CHOOSE(CONTROL!$C$42, 15.4104, 15.4104) * CHOOSE(CONTROL!$C$21, $C$9, 100%, $E$9)</f>
        <v>15.410399999999999</v>
      </c>
      <c r="S346" s="14">
        <f>CHOOSE(CONTROL!$C$42, 13.5925, 13.5925) * CHOOSE(CONTROL!$C$21, $C$9, 100%, $E$9)</f>
        <v>13.592499999999999</v>
      </c>
      <c r="T3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6" s="56">
        <f>(1000*CHOOSE(CONTROL!$C$42, 695, 695)*CHOOSE(CONTROL!$C$42, 0.5599, 0.5599)*CHOOSE(CONTROL!$C$42, 31, 31))/1000000</f>
        <v>12.063045499999998</v>
      </c>
      <c r="V346" s="56">
        <f>(1000*CHOOSE(CONTROL!$C$42, 500, 500)*CHOOSE(CONTROL!$C$42, 0.275, 0.275)*CHOOSE(CONTROL!$C$42, 31, 31))/1000000</f>
        <v>4.2625000000000002</v>
      </c>
      <c r="W346" s="56">
        <f>(1000*CHOOSE(CONTROL!$C$42, 0.1146, 0.1146)*CHOOSE(CONTROL!$C$42, 121.5, 121.5)*CHOOSE(CONTROL!$C$42, 31, 31))/1000000</f>
        <v>0.43164089999999994</v>
      </c>
      <c r="X346" s="56">
        <f>(31*0.1790888*245000/1000000)+(31*0.2374*100000/1000000)</f>
        <v>2.0961194359999999</v>
      </c>
      <c r="Y346" s="56"/>
      <c r="Z346" s="14"/>
      <c r="AA346" s="55"/>
      <c r="AB346" s="49">
        <f>(B346*131.881+C346*277.167+D346*79.08+E346*125.872+F346*40+G346*185+H346*0+I346*100+J346*300)/(131.881+277.167+79.08+125.872+0+40+185+100+300)</f>
        <v>14.220304778934624</v>
      </c>
      <c r="AC346" s="45">
        <f>(M346*'RAP TEMPLATE-GAS AVAILABILITY'!O345+N346*'RAP TEMPLATE-GAS AVAILABILITY'!P345+O346*'RAP TEMPLATE-GAS AVAILABILITY'!Q345+P346*'RAP TEMPLATE-GAS AVAILABILITY'!R345)/('RAP TEMPLATE-GAS AVAILABILITY'!O345+'RAP TEMPLATE-GAS AVAILABILITY'!P345+'RAP TEMPLATE-GAS AVAILABILITY'!Q345+'RAP TEMPLATE-GAS AVAILABILITY'!R345)</f>
        <v>14.010805035971224</v>
      </c>
    </row>
    <row r="347" spans="1:29" ht="15.75" x14ac:dyDescent="0.25">
      <c r="A347" s="33">
        <v>51470</v>
      </c>
      <c r="B347" s="14">
        <f>CHOOSE(CONTROL!$C$42, 14.5271, 14.5271) * CHOOSE(CONTROL!$C$21, $C$9, 100%, $E$9)</f>
        <v>14.527100000000001</v>
      </c>
      <c r="C347" s="14">
        <f>CHOOSE(CONTROL!$C$42, 14.5321, 14.5321) * CHOOSE(CONTROL!$C$21, $C$9, 100%, $E$9)</f>
        <v>14.5321</v>
      </c>
      <c r="D347" s="14">
        <f>CHOOSE(CONTROL!$C$42, 14.6152, 14.6152) * CHOOSE(CONTROL!$C$21, $C$9, 100%, $E$9)</f>
        <v>14.6152</v>
      </c>
      <c r="E347" s="14">
        <f>CHOOSE(CONTROL!$C$42, 14.6493, 14.6493) * CHOOSE(CONTROL!$C$21, $C$9, 100%, $E$9)</f>
        <v>14.6493</v>
      </c>
      <c r="F347" s="14">
        <f>CHOOSE(CONTROL!$C$42, 14.5547, 14.5547)*CHOOSE(CONTROL!$C$21, $C$9, 100%, $E$9)</f>
        <v>14.5547</v>
      </c>
      <c r="G347" s="14">
        <f>CHOOSE(CONTROL!$C$42, 14.5721, 14.5721)*CHOOSE(CONTROL!$C$21, $C$9, 100%, $E$9)</f>
        <v>14.572100000000001</v>
      </c>
      <c r="H347" s="14">
        <f>CHOOSE(CONTROL!$C$42, 14.6385, 14.6385) * CHOOSE(CONTROL!$C$21, $C$9, 100%, $E$9)</f>
        <v>14.638500000000001</v>
      </c>
      <c r="I347" s="14">
        <f>CHOOSE(CONTROL!$C$42, 14.5922, 14.5922)* CHOOSE(CONTROL!$C$21, $C$9, 100%, $E$9)</f>
        <v>14.5922</v>
      </c>
      <c r="J347" s="14">
        <f>CHOOSE(CONTROL!$C$42, 14.5477, 14.5477)* CHOOSE(CONTROL!$C$21, $C$9, 100%, $E$9)</f>
        <v>14.547700000000001</v>
      </c>
      <c r="K347" s="52">
        <f>CHOOSE(CONTROL!$C$42, 14.5883, 14.5883) * CHOOSE(CONTROL!$C$21, $C$9, 100%, $E$9)</f>
        <v>14.5883</v>
      </c>
      <c r="L347" s="14">
        <f>CHOOSE(CONTROL!$C$42, 15.2255, 15.2255) * CHOOSE(CONTROL!$C$21, $C$9, 100%, $E$9)</f>
        <v>15.2255</v>
      </c>
      <c r="M347" s="14">
        <f>CHOOSE(CONTROL!$C$42, 14.2937, 14.2937) * CHOOSE(CONTROL!$C$21, $C$9, 100%, $E$9)</f>
        <v>14.293699999999999</v>
      </c>
      <c r="N347" s="14">
        <f>CHOOSE(CONTROL!$C$42, 14.3108, 14.3108) * CHOOSE(CONTROL!$C$21, $C$9, 100%, $E$9)</f>
        <v>14.3108</v>
      </c>
      <c r="O347" s="14">
        <f>CHOOSE(CONTROL!$C$42, 14.3829, 14.3829) * CHOOSE(CONTROL!$C$21, $C$9, 100%, $E$9)</f>
        <v>14.382899999999999</v>
      </c>
      <c r="P347" s="14">
        <f>CHOOSE(CONTROL!$C$42, 14.3367, 14.3367) * CHOOSE(CONTROL!$C$21, $C$9, 100%, $E$9)</f>
        <v>14.3367</v>
      </c>
      <c r="Q347" s="14">
        <f>CHOOSE(CONTROL!$C$42, 14.9776, 14.9776) * CHOOSE(CONTROL!$C$21, $C$9, 100%, $E$9)</f>
        <v>14.977600000000001</v>
      </c>
      <c r="R347" s="14">
        <f>CHOOSE(CONTROL!$C$42, 15.6021, 15.6021) * CHOOSE(CONTROL!$C$21, $C$9, 100%, $E$9)</f>
        <v>15.6021</v>
      </c>
      <c r="S347" s="14">
        <f>CHOOSE(CONTROL!$C$42, 13.9505, 13.9505) * CHOOSE(CONTROL!$C$21, $C$9, 100%, $E$9)</f>
        <v>13.9505</v>
      </c>
      <c r="T3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47" s="56">
        <f>(1000*CHOOSE(CONTROL!$C$42, 695, 695)*CHOOSE(CONTROL!$C$42, 0.5599, 0.5599)*CHOOSE(CONTROL!$C$42, 30, 30))/1000000</f>
        <v>11.673914999999997</v>
      </c>
      <c r="V347" s="56">
        <f>(1000*CHOOSE(CONTROL!$C$42, 500, 500)*CHOOSE(CONTROL!$C$42, 0.275, 0.275)*CHOOSE(CONTROL!$C$42, 30, 30))/1000000</f>
        <v>4.125</v>
      </c>
      <c r="W347" s="56">
        <f>(1000*CHOOSE(CONTROL!$C$42, 0.1146, 0.1146)*CHOOSE(CONTROL!$C$42, 121.5, 121.5)*CHOOSE(CONTROL!$C$42, 30, 30))/1000000</f>
        <v>0.417717</v>
      </c>
      <c r="X347" s="56">
        <f>(30*0.1790888*100000/1000000)+(30*0.2374*100000/1000000)</f>
        <v>1.2494664</v>
      </c>
      <c r="Y347" s="56"/>
      <c r="Z347" s="14"/>
      <c r="AA347" s="55"/>
      <c r="AB347" s="49">
        <f>(B347*122.58+C347*297.941+D347*89.177+E347*40.302+F347*40+G347*160+H347*0+I347*100+J347*300)/(122.58+297.941+89.177+40.302+0+40+160+100+300)</f>
        <v>14.557765307043478</v>
      </c>
      <c r="AC347" s="45">
        <f>(M347*'RAP TEMPLATE-GAS AVAILABILITY'!O346+N347*'RAP TEMPLATE-GAS AVAILABILITY'!P346+O347*'RAP TEMPLATE-GAS AVAILABILITY'!Q346+P347*'RAP TEMPLATE-GAS AVAILABILITY'!R346)/('RAP TEMPLATE-GAS AVAILABILITY'!O346+'RAP TEMPLATE-GAS AVAILABILITY'!P346+'RAP TEMPLATE-GAS AVAILABILITY'!Q346+'RAP TEMPLATE-GAS AVAILABILITY'!R346)</f>
        <v>14.341299999999999</v>
      </c>
    </row>
    <row r="348" spans="1:29" ht="15.75" x14ac:dyDescent="0.25">
      <c r="A348" s="33">
        <v>51501</v>
      </c>
      <c r="B348" s="14">
        <f>CHOOSE(CONTROL!$C$42, 15.5169, 15.5169) * CHOOSE(CONTROL!$C$21, $C$9, 100%, $E$9)</f>
        <v>15.5169</v>
      </c>
      <c r="C348" s="14">
        <f>CHOOSE(CONTROL!$C$42, 15.5219, 15.5219) * CHOOSE(CONTROL!$C$21, $C$9, 100%, $E$9)</f>
        <v>15.5219</v>
      </c>
      <c r="D348" s="14">
        <f>CHOOSE(CONTROL!$C$42, 15.605, 15.605) * CHOOSE(CONTROL!$C$21, $C$9, 100%, $E$9)</f>
        <v>15.605</v>
      </c>
      <c r="E348" s="14">
        <f>CHOOSE(CONTROL!$C$42, 15.6391, 15.6391) * CHOOSE(CONTROL!$C$21, $C$9, 100%, $E$9)</f>
        <v>15.639099999999999</v>
      </c>
      <c r="F348" s="14">
        <f>CHOOSE(CONTROL!$C$42, 15.5469, 15.5469)*CHOOSE(CONTROL!$C$21, $C$9, 100%, $E$9)</f>
        <v>15.546900000000001</v>
      </c>
      <c r="G348" s="14">
        <f>CHOOSE(CONTROL!$C$42, 15.5649, 15.5649)*CHOOSE(CONTROL!$C$21, $C$9, 100%, $E$9)</f>
        <v>15.5649</v>
      </c>
      <c r="H348" s="14">
        <f>CHOOSE(CONTROL!$C$42, 15.6283, 15.6283) * CHOOSE(CONTROL!$C$21, $C$9, 100%, $E$9)</f>
        <v>15.628299999999999</v>
      </c>
      <c r="I348" s="14">
        <f>CHOOSE(CONTROL!$C$42, 15.5851, 15.5851)* CHOOSE(CONTROL!$C$21, $C$9, 100%, $E$9)</f>
        <v>15.585100000000001</v>
      </c>
      <c r="J348" s="14">
        <f>CHOOSE(CONTROL!$C$42, 15.5399, 15.5399)* CHOOSE(CONTROL!$C$21, $C$9, 100%, $E$9)</f>
        <v>15.539899999999999</v>
      </c>
      <c r="K348" s="52">
        <f>CHOOSE(CONTROL!$C$42, 15.5812, 15.5812) * CHOOSE(CONTROL!$C$21, $C$9, 100%, $E$9)</f>
        <v>15.581200000000001</v>
      </c>
      <c r="L348" s="14">
        <f>CHOOSE(CONTROL!$C$42, 16.2153, 16.2153) * CHOOSE(CONTROL!$C$21, $C$9, 100%, $E$9)</f>
        <v>16.215299999999999</v>
      </c>
      <c r="M348" s="14">
        <f>CHOOSE(CONTROL!$C$42, 15.2681, 15.2681) * CHOOSE(CONTROL!$C$21, $C$9, 100%, $E$9)</f>
        <v>15.2681</v>
      </c>
      <c r="N348" s="14">
        <f>CHOOSE(CONTROL!$C$42, 15.2858, 15.2858) * CHOOSE(CONTROL!$C$21, $C$9, 100%, $E$9)</f>
        <v>15.2858</v>
      </c>
      <c r="O348" s="14">
        <f>CHOOSE(CONTROL!$C$42, 15.3549, 15.3549) * CHOOSE(CONTROL!$C$21, $C$9, 100%, $E$9)</f>
        <v>15.354900000000001</v>
      </c>
      <c r="P348" s="14">
        <f>CHOOSE(CONTROL!$C$42, 15.3117, 15.3117) * CHOOSE(CONTROL!$C$21, $C$9, 100%, $E$9)</f>
        <v>15.3117</v>
      </c>
      <c r="Q348" s="14">
        <f>CHOOSE(CONTROL!$C$42, 15.9496, 15.9496) * CHOOSE(CONTROL!$C$21, $C$9, 100%, $E$9)</f>
        <v>15.9496</v>
      </c>
      <c r="R348" s="14">
        <f>CHOOSE(CONTROL!$C$42, 16.5765, 16.5765) * CHOOSE(CONTROL!$C$21, $C$9, 100%, $E$9)</f>
        <v>16.576499999999999</v>
      </c>
      <c r="S348" s="14">
        <f>CHOOSE(CONTROL!$C$42, 14.9016, 14.9016) * CHOOSE(CONTROL!$C$21, $C$9, 100%, $E$9)</f>
        <v>14.9016</v>
      </c>
      <c r="T3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48" s="56">
        <f>(1000*CHOOSE(CONTROL!$C$42, 695, 695)*CHOOSE(CONTROL!$C$42, 0.5599, 0.5599)*CHOOSE(CONTROL!$C$42, 31, 31))/1000000</f>
        <v>12.063045499999998</v>
      </c>
      <c r="V348" s="56">
        <f>(1000*CHOOSE(CONTROL!$C$42, 500, 500)*CHOOSE(CONTROL!$C$42, 0.275, 0.275)*CHOOSE(CONTROL!$C$42, 31, 31))/1000000</f>
        <v>4.2625000000000002</v>
      </c>
      <c r="W348" s="56">
        <f>(1000*CHOOSE(CONTROL!$C$42, 0.1146, 0.1146)*CHOOSE(CONTROL!$C$42, 121.5, 121.5)*CHOOSE(CONTROL!$C$42, 31, 31))/1000000</f>
        <v>0.43164089999999994</v>
      </c>
      <c r="X348" s="56">
        <f>(31*0.1790888*100000/1000000)+(31*0.2374*100000/1000000)</f>
        <v>1.2911152800000001</v>
      </c>
      <c r="Y348" s="56"/>
      <c r="Z348" s="14"/>
      <c r="AA348" s="55"/>
      <c r="AB348" s="49">
        <f>(B348*122.58+C348*297.941+D348*89.177+E348*40.302+F348*40+G348*160+H348*0+I348*100+J348*300)/(122.58+297.941+89.177+40.302+0+40+160+100+300)</f>
        <v>15.548961828782609</v>
      </c>
      <c r="AC348" s="45">
        <f>(M348*'RAP TEMPLATE-GAS AVAILABILITY'!O347+N348*'RAP TEMPLATE-GAS AVAILABILITY'!P347+O348*'RAP TEMPLATE-GAS AVAILABILITY'!Q347+P348*'RAP TEMPLATE-GAS AVAILABILITY'!R347)/('RAP TEMPLATE-GAS AVAILABILITY'!O347+'RAP TEMPLATE-GAS AVAILABILITY'!P347+'RAP TEMPLATE-GAS AVAILABILITY'!Q347+'RAP TEMPLATE-GAS AVAILABILITY'!R347)</f>
        <v>15.314733093525179</v>
      </c>
    </row>
    <row r="349" spans="1:29" ht="15.75" x14ac:dyDescent="0.25">
      <c r="A349" s="33">
        <v>51532</v>
      </c>
      <c r="B349" s="14">
        <f>CHOOSE(CONTROL!$C$42, 16.8024, 16.8024) * CHOOSE(CONTROL!$C$21, $C$9, 100%, $E$9)</f>
        <v>16.802399999999999</v>
      </c>
      <c r="C349" s="14">
        <f>CHOOSE(CONTROL!$C$42, 16.8075, 16.8075) * CHOOSE(CONTROL!$C$21, $C$9, 100%, $E$9)</f>
        <v>16.807500000000001</v>
      </c>
      <c r="D349" s="14">
        <f>CHOOSE(CONTROL!$C$42, 16.901, 16.901) * CHOOSE(CONTROL!$C$21, $C$9, 100%, $E$9)</f>
        <v>16.901</v>
      </c>
      <c r="E349" s="14">
        <f>CHOOSE(CONTROL!$C$42, 16.9351, 16.9351) * CHOOSE(CONTROL!$C$21, $C$9, 100%, $E$9)</f>
        <v>16.935099999999998</v>
      </c>
      <c r="F349" s="14">
        <f>CHOOSE(CONTROL!$C$42, 16.8297, 16.8297)*CHOOSE(CONTROL!$C$21, $C$9, 100%, $E$9)</f>
        <v>16.829699999999999</v>
      </c>
      <c r="G349" s="14">
        <f>CHOOSE(CONTROL!$C$42, 16.8477, 16.8477)*CHOOSE(CONTROL!$C$21, $C$9, 100%, $E$9)</f>
        <v>16.8477</v>
      </c>
      <c r="H349" s="14">
        <f>CHOOSE(CONTROL!$C$42, 16.9243, 16.9243) * CHOOSE(CONTROL!$C$21, $C$9, 100%, $E$9)</f>
        <v>16.924299999999999</v>
      </c>
      <c r="I349" s="14">
        <f>CHOOSE(CONTROL!$C$42, 16.881, 16.881)* CHOOSE(CONTROL!$C$21, $C$9, 100%, $E$9)</f>
        <v>16.881</v>
      </c>
      <c r="J349" s="14">
        <f>CHOOSE(CONTROL!$C$42, 16.8227, 16.8227)* CHOOSE(CONTROL!$C$21, $C$9, 100%, $E$9)</f>
        <v>16.822700000000001</v>
      </c>
      <c r="K349" s="52">
        <f>CHOOSE(CONTROL!$C$42, 16.8771, 16.8771) * CHOOSE(CONTROL!$C$21, $C$9, 100%, $E$9)</f>
        <v>16.877099999999999</v>
      </c>
      <c r="L349" s="14">
        <f>CHOOSE(CONTROL!$C$42, 17.5113, 17.5113) * CHOOSE(CONTROL!$C$21, $C$9, 100%, $E$9)</f>
        <v>17.511299999999999</v>
      </c>
      <c r="M349" s="14">
        <f>CHOOSE(CONTROL!$C$42, 16.5279, 16.5279) * CHOOSE(CONTROL!$C$21, $C$9, 100%, $E$9)</f>
        <v>16.527899999999999</v>
      </c>
      <c r="N349" s="14">
        <f>CHOOSE(CONTROL!$C$42, 16.5455, 16.5455) * CHOOSE(CONTROL!$C$21, $C$9, 100%, $E$9)</f>
        <v>16.545500000000001</v>
      </c>
      <c r="O349" s="14">
        <f>CHOOSE(CONTROL!$C$42, 16.6276, 16.6276) * CHOOSE(CONTROL!$C$21, $C$9, 100%, $E$9)</f>
        <v>16.627600000000001</v>
      </c>
      <c r="P349" s="14">
        <f>CHOOSE(CONTROL!$C$42, 16.5842, 16.5842) * CHOOSE(CONTROL!$C$21, $C$9, 100%, $E$9)</f>
        <v>16.584199999999999</v>
      </c>
      <c r="Q349" s="14">
        <f>CHOOSE(CONTROL!$C$42, 17.2223, 17.2223) * CHOOSE(CONTROL!$C$21, $C$9, 100%, $E$9)</f>
        <v>17.222300000000001</v>
      </c>
      <c r="R349" s="14">
        <f>CHOOSE(CONTROL!$C$42, 17.8523, 17.8523) * CHOOSE(CONTROL!$C$21, $C$9, 100%, $E$9)</f>
        <v>17.8523</v>
      </c>
      <c r="S349" s="14">
        <f>CHOOSE(CONTROL!$C$42, 16.1369, 16.1369) * CHOOSE(CONTROL!$C$21, $C$9, 100%, $E$9)</f>
        <v>16.136900000000001</v>
      </c>
      <c r="T3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49" s="56">
        <f>(1000*CHOOSE(CONTROL!$C$42, 695, 695)*CHOOSE(CONTROL!$C$42, 0.5599, 0.5599)*CHOOSE(CONTROL!$C$42, 31, 31))/1000000</f>
        <v>12.063045499999998</v>
      </c>
      <c r="V349" s="56">
        <f>(1000*CHOOSE(CONTROL!$C$42, 500, 500)*CHOOSE(CONTROL!$C$42, 0.275, 0.275)*CHOOSE(CONTROL!$C$42, 31, 31))/1000000</f>
        <v>4.2625000000000002</v>
      </c>
      <c r="W349" s="56">
        <f>(1000*CHOOSE(CONTROL!$C$42, 0.1146, 0.1146)*CHOOSE(CONTROL!$C$42, 121.5, 121.5)*CHOOSE(CONTROL!$C$42, 31, 31))/1000000</f>
        <v>0.43164089999999994</v>
      </c>
      <c r="X349" s="56">
        <f>(31*0.1790888*100000/1000000)+(31*0.2374*100000/1000000)</f>
        <v>1.2911152800000001</v>
      </c>
      <c r="Y349" s="56"/>
      <c r="Z349" s="14"/>
      <c r="AA349" s="55"/>
      <c r="AB349" s="49">
        <f>(B349*122.58+C349*297.941+D349*89.177+E349*40.302+F349*40+G349*160+H349*0+I349*100+J349*300)/(122.58+297.941+89.177+40.302+0+40+160+100+300)</f>
        <v>16.835400371043477</v>
      </c>
      <c r="AC349" s="45">
        <f>(M349*'RAP TEMPLATE-GAS AVAILABILITY'!O348+N349*'RAP TEMPLATE-GAS AVAILABILITY'!P348+O349*'RAP TEMPLATE-GAS AVAILABILITY'!Q348+P349*'RAP TEMPLATE-GAS AVAILABILITY'!R348)/('RAP TEMPLATE-GAS AVAILABILITY'!O348+'RAP TEMPLATE-GAS AVAILABILITY'!P348+'RAP TEMPLATE-GAS AVAILABILITY'!Q348+'RAP TEMPLATE-GAS AVAILABILITY'!R348)</f>
        <v>16.582201438848919</v>
      </c>
    </row>
    <row r="350" spans="1:29" ht="15.75" x14ac:dyDescent="0.25">
      <c r="A350" s="33">
        <v>51560</v>
      </c>
      <c r="B350" s="14">
        <f>CHOOSE(CONTROL!$C$42, 17.1014, 17.1014) * CHOOSE(CONTROL!$C$21, $C$9, 100%, $E$9)</f>
        <v>17.101400000000002</v>
      </c>
      <c r="C350" s="14">
        <f>CHOOSE(CONTROL!$C$42, 17.1064, 17.1064) * CHOOSE(CONTROL!$C$21, $C$9, 100%, $E$9)</f>
        <v>17.106400000000001</v>
      </c>
      <c r="D350" s="14">
        <f>CHOOSE(CONTROL!$C$42, 17.1999, 17.1999) * CHOOSE(CONTROL!$C$21, $C$9, 100%, $E$9)</f>
        <v>17.1999</v>
      </c>
      <c r="E350" s="14">
        <f>CHOOSE(CONTROL!$C$42, 17.234, 17.234) * CHOOSE(CONTROL!$C$21, $C$9, 100%, $E$9)</f>
        <v>17.234000000000002</v>
      </c>
      <c r="F350" s="14">
        <f>CHOOSE(CONTROL!$C$42, 17.1283, 17.1283)*CHOOSE(CONTROL!$C$21, $C$9, 100%, $E$9)</f>
        <v>17.128299999999999</v>
      </c>
      <c r="G350" s="14">
        <f>CHOOSE(CONTROL!$C$42, 17.1462, 17.1462)*CHOOSE(CONTROL!$C$21, $C$9, 100%, $E$9)</f>
        <v>17.1462</v>
      </c>
      <c r="H350" s="14">
        <f>CHOOSE(CONTROL!$C$42, 17.2232, 17.2232) * CHOOSE(CONTROL!$C$21, $C$9, 100%, $E$9)</f>
        <v>17.223199999999999</v>
      </c>
      <c r="I350" s="14">
        <f>CHOOSE(CONTROL!$C$42, 17.1808, 17.1808)* CHOOSE(CONTROL!$C$21, $C$9, 100%, $E$9)</f>
        <v>17.180800000000001</v>
      </c>
      <c r="J350" s="14">
        <f>CHOOSE(CONTROL!$C$42, 17.1213, 17.1213)* CHOOSE(CONTROL!$C$21, $C$9, 100%, $E$9)</f>
        <v>17.121300000000002</v>
      </c>
      <c r="K350" s="52">
        <f>CHOOSE(CONTROL!$C$42, 17.1769, 17.1769) * CHOOSE(CONTROL!$C$21, $C$9, 100%, $E$9)</f>
        <v>17.1769</v>
      </c>
      <c r="L350" s="14">
        <f>CHOOSE(CONTROL!$C$42, 17.8102, 17.8102) * CHOOSE(CONTROL!$C$21, $C$9, 100%, $E$9)</f>
        <v>17.810199999999998</v>
      </c>
      <c r="M350" s="14">
        <f>CHOOSE(CONTROL!$C$42, 16.8211, 16.8211) * CHOOSE(CONTROL!$C$21, $C$9, 100%, $E$9)</f>
        <v>16.821100000000001</v>
      </c>
      <c r="N350" s="14">
        <f>CHOOSE(CONTROL!$C$42, 16.8386, 16.8386) * CHOOSE(CONTROL!$C$21, $C$9, 100%, $E$9)</f>
        <v>16.8386</v>
      </c>
      <c r="O350" s="14">
        <f>CHOOSE(CONTROL!$C$42, 16.9211, 16.9211) * CHOOSE(CONTROL!$C$21, $C$9, 100%, $E$9)</f>
        <v>16.921099999999999</v>
      </c>
      <c r="P350" s="14">
        <f>CHOOSE(CONTROL!$C$42, 16.8786, 16.8786) * CHOOSE(CONTROL!$C$21, $C$9, 100%, $E$9)</f>
        <v>16.878599999999999</v>
      </c>
      <c r="Q350" s="14">
        <f>CHOOSE(CONTROL!$C$42, 17.5158, 17.5158) * CHOOSE(CONTROL!$C$21, $C$9, 100%, $E$9)</f>
        <v>17.515799999999999</v>
      </c>
      <c r="R350" s="14">
        <f>CHOOSE(CONTROL!$C$42, 18.1466, 18.1466) * CHOOSE(CONTROL!$C$21, $C$9, 100%, $E$9)</f>
        <v>18.146599999999999</v>
      </c>
      <c r="S350" s="14">
        <f>CHOOSE(CONTROL!$C$42, 16.4242, 16.4242) * CHOOSE(CONTROL!$C$21, $C$9, 100%, $E$9)</f>
        <v>16.424199999999999</v>
      </c>
      <c r="T35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50" s="56">
        <f>(1000*CHOOSE(CONTROL!$C$42, 695, 695)*CHOOSE(CONTROL!$C$42, 0.5599, 0.5599)*CHOOSE(CONTROL!$C$42, 28, 28))/1000000</f>
        <v>10.895653999999999</v>
      </c>
      <c r="V350" s="56">
        <f>(1000*CHOOSE(CONTROL!$C$42, 500, 500)*CHOOSE(CONTROL!$C$42, 0.275, 0.275)*CHOOSE(CONTROL!$C$42, 28, 28))/1000000</f>
        <v>3.85</v>
      </c>
      <c r="W350" s="56">
        <f>(1000*CHOOSE(CONTROL!$C$42, 0.1146, 0.1146)*CHOOSE(CONTROL!$C$42, 121.5, 121.5)*CHOOSE(CONTROL!$C$42, 28, 28))/1000000</f>
        <v>0.38986920000000003</v>
      </c>
      <c r="X350" s="56">
        <f>(28*0.1790888*100000/1000000)+(28*0.2374*100000/1000000)</f>
        <v>1.16616864</v>
      </c>
      <c r="Y350" s="56"/>
      <c r="Z350" s="14"/>
      <c r="AA350" s="55"/>
      <c r="AB350" s="49">
        <f>(B350*122.58+C350*297.941+D350*89.177+E350*40.302+F350*40+G350*160+H350*0+I350*100+J350*300)/(122.58+297.941+89.177+40.302+0+40+160+100+300)</f>
        <v>17.134244943217393</v>
      </c>
      <c r="AC350" s="45">
        <f>(M350*'RAP TEMPLATE-GAS AVAILABILITY'!O349+N350*'RAP TEMPLATE-GAS AVAILABILITY'!P349+O350*'RAP TEMPLATE-GAS AVAILABILITY'!Q349+P350*'RAP TEMPLATE-GAS AVAILABILITY'!R349)/('RAP TEMPLATE-GAS AVAILABILITY'!O349+'RAP TEMPLATE-GAS AVAILABILITY'!P349+'RAP TEMPLATE-GAS AVAILABILITY'!Q349+'RAP TEMPLATE-GAS AVAILABILITY'!R349)</f>
        <v>16.875704316546763</v>
      </c>
    </row>
    <row r="351" spans="1:29" ht="15.75" x14ac:dyDescent="0.25">
      <c r="A351" s="33">
        <v>51591</v>
      </c>
      <c r="B351" s="14">
        <f>CHOOSE(CONTROL!$C$42, 16.6161, 16.6161) * CHOOSE(CONTROL!$C$21, $C$9, 100%, $E$9)</f>
        <v>16.616099999999999</v>
      </c>
      <c r="C351" s="14">
        <f>CHOOSE(CONTROL!$C$42, 16.6212, 16.6212) * CHOOSE(CONTROL!$C$21, $C$9, 100%, $E$9)</f>
        <v>16.621200000000002</v>
      </c>
      <c r="D351" s="14">
        <f>CHOOSE(CONTROL!$C$42, 16.7147, 16.7147) * CHOOSE(CONTROL!$C$21, $C$9, 100%, $E$9)</f>
        <v>16.714700000000001</v>
      </c>
      <c r="E351" s="14">
        <f>CHOOSE(CONTROL!$C$42, 16.7488, 16.7488) * CHOOSE(CONTROL!$C$21, $C$9, 100%, $E$9)</f>
        <v>16.748799999999999</v>
      </c>
      <c r="F351" s="14">
        <f>CHOOSE(CONTROL!$C$42, 16.6422, 16.6422)*CHOOSE(CONTROL!$C$21, $C$9, 100%, $E$9)</f>
        <v>16.642199999999999</v>
      </c>
      <c r="G351" s="14">
        <f>CHOOSE(CONTROL!$C$42, 16.6598, 16.6598)*CHOOSE(CONTROL!$C$21, $C$9, 100%, $E$9)</f>
        <v>16.659800000000001</v>
      </c>
      <c r="H351" s="14">
        <f>CHOOSE(CONTROL!$C$42, 16.738, 16.738) * CHOOSE(CONTROL!$C$21, $C$9, 100%, $E$9)</f>
        <v>16.738</v>
      </c>
      <c r="I351" s="14">
        <f>CHOOSE(CONTROL!$C$42, 16.6941, 16.6941)* CHOOSE(CONTROL!$C$21, $C$9, 100%, $E$9)</f>
        <v>16.694099999999999</v>
      </c>
      <c r="J351" s="14">
        <f>CHOOSE(CONTROL!$C$42, 16.6352, 16.6352)* CHOOSE(CONTROL!$C$21, $C$9, 100%, $E$9)</f>
        <v>16.635200000000001</v>
      </c>
      <c r="K351" s="52">
        <f>CHOOSE(CONTROL!$C$42, 16.6902, 16.6902) * CHOOSE(CONTROL!$C$21, $C$9, 100%, $E$9)</f>
        <v>16.690200000000001</v>
      </c>
      <c r="L351" s="14">
        <f>CHOOSE(CONTROL!$C$42, 17.325, 17.325) * CHOOSE(CONTROL!$C$21, $C$9, 100%, $E$9)</f>
        <v>17.324999999999999</v>
      </c>
      <c r="M351" s="14">
        <f>CHOOSE(CONTROL!$C$42, 16.3437, 16.3437) * CHOOSE(CONTROL!$C$21, $C$9, 100%, $E$9)</f>
        <v>16.343699999999998</v>
      </c>
      <c r="N351" s="14">
        <f>CHOOSE(CONTROL!$C$42, 16.361, 16.361) * CHOOSE(CONTROL!$C$21, $C$9, 100%, $E$9)</f>
        <v>16.361000000000001</v>
      </c>
      <c r="O351" s="14">
        <f>CHOOSE(CONTROL!$C$42, 16.4446, 16.4446) * CHOOSE(CONTROL!$C$21, $C$9, 100%, $E$9)</f>
        <v>16.444600000000001</v>
      </c>
      <c r="P351" s="14">
        <f>CHOOSE(CONTROL!$C$42, 16.4006, 16.4006) * CHOOSE(CONTROL!$C$21, $C$9, 100%, $E$9)</f>
        <v>16.400600000000001</v>
      </c>
      <c r="Q351" s="14">
        <f>CHOOSE(CONTROL!$C$42, 17.0393, 17.0393) * CHOOSE(CONTROL!$C$21, $C$9, 100%, $E$9)</f>
        <v>17.039300000000001</v>
      </c>
      <c r="R351" s="14">
        <f>CHOOSE(CONTROL!$C$42, 17.6689, 17.6689) * CHOOSE(CONTROL!$C$21, $C$9, 100%, $E$9)</f>
        <v>17.668900000000001</v>
      </c>
      <c r="S351" s="14">
        <f>CHOOSE(CONTROL!$C$42, 15.9579, 15.9579) * CHOOSE(CONTROL!$C$21, $C$9, 100%, $E$9)</f>
        <v>15.9579</v>
      </c>
      <c r="T3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51" s="56">
        <f>(1000*CHOOSE(CONTROL!$C$42, 695, 695)*CHOOSE(CONTROL!$C$42, 0.5599, 0.5599)*CHOOSE(CONTROL!$C$42, 31, 31))/1000000</f>
        <v>12.063045499999998</v>
      </c>
      <c r="V351" s="56">
        <f>(1000*CHOOSE(CONTROL!$C$42, 500, 500)*CHOOSE(CONTROL!$C$42, 0.275, 0.275)*CHOOSE(CONTROL!$C$42, 31, 31))/1000000</f>
        <v>4.2625000000000002</v>
      </c>
      <c r="W351" s="56">
        <f>(1000*CHOOSE(CONTROL!$C$42, 0.1146, 0.1146)*CHOOSE(CONTROL!$C$42, 121.5, 121.5)*CHOOSE(CONTROL!$C$42, 31, 31))/1000000</f>
        <v>0.43164089999999994</v>
      </c>
      <c r="X351" s="56">
        <f>(31*0.1790888*100000/1000000)+(31*0.2374*100000/1000000)</f>
        <v>1.2911152800000001</v>
      </c>
      <c r="Y351" s="56"/>
      <c r="Z351" s="14"/>
      <c r="AA351" s="55"/>
      <c r="AB351" s="49">
        <f>(B351*122.58+C351*297.941+D351*89.177+E351*40.302+F351*40+G351*160+H351*0+I351*100+J351*300)/(122.58+297.941+89.177+40.302+0+40+160+100+300)</f>
        <v>16.64847080582609</v>
      </c>
      <c r="AC351" s="45">
        <f>(M351*'RAP TEMPLATE-GAS AVAILABILITY'!O350+N351*'RAP TEMPLATE-GAS AVAILABILITY'!P350+O351*'RAP TEMPLATE-GAS AVAILABILITY'!Q350+P351*'RAP TEMPLATE-GAS AVAILABILITY'!R350)/('RAP TEMPLATE-GAS AVAILABILITY'!O350+'RAP TEMPLATE-GAS AVAILABILITY'!P350+'RAP TEMPLATE-GAS AVAILABILITY'!Q350+'RAP TEMPLATE-GAS AVAILABILITY'!R350)</f>
        <v>16.398614388489207</v>
      </c>
    </row>
    <row r="352" spans="1:29" ht="15.75" x14ac:dyDescent="0.25">
      <c r="A352" s="33">
        <v>51621</v>
      </c>
      <c r="B352" s="14">
        <f>CHOOSE(CONTROL!$C$42, 16.5674, 16.5674) * CHOOSE(CONTROL!$C$21, $C$9, 100%, $E$9)</f>
        <v>16.567399999999999</v>
      </c>
      <c r="C352" s="14">
        <f>CHOOSE(CONTROL!$C$42, 16.5719, 16.5719) * CHOOSE(CONTROL!$C$21, $C$9, 100%, $E$9)</f>
        <v>16.571899999999999</v>
      </c>
      <c r="D352" s="14">
        <f>CHOOSE(CONTROL!$C$42, 16.8341, 16.8341) * CHOOSE(CONTROL!$C$21, $C$9, 100%, $E$9)</f>
        <v>16.834099999999999</v>
      </c>
      <c r="E352" s="14">
        <f>CHOOSE(CONTROL!$C$42, 16.8662, 16.8662) * CHOOSE(CONTROL!$C$21, $C$9, 100%, $E$9)</f>
        <v>16.866199999999999</v>
      </c>
      <c r="F352" s="14">
        <f>CHOOSE(CONTROL!$C$42, 16.5902, 16.5902)*CHOOSE(CONTROL!$C$21, $C$9, 100%, $E$9)</f>
        <v>16.590199999999999</v>
      </c>
      <c r="G352" s="14">
        <f>CHOOSE(CONTROL!$C$42, 16.607, 16.607)*CHOOSE(CONTROL!$C$21, $C$9, 100%, $E$9)</f>
        <v>16.606999999999999</v>
      </c>
      <c r="H352" s="14">
        <f>CHOOSE(CONTROL!$C$42, 16.856, 16.856) * CHOOSE(CONTROL!$C$21, $C$9, 100%, $E$9)</f>
        <v>16.856000000000002</v>
      </c>
      <c r="I352" s="14">
        <f>CHOOSE(CONTROL!$C$42, 16.6418, 16.6418)* CHOOSE(CONTROL!$C$21, $C$9, 100%, $E$9)</f>
        <v>16.6418</v>
      </c>
      <c r="J352" s="14">
        <f>CHOOSE(CONTROL!$C$42, 16.5832, 16.5832)* CHOOSE(CONTROL!$C$21, $C$9, 100%, $E$9)</f>
        <v>16.583200000000001</v>
      </c>
      <c r="K352" s="52">
        <f>CHOOSE(CONTROL!$C$42, 16.6379, 16.6379) * CHOOSE(CONTROL!$C$21, $C$9, 100%, $E$9)</f>
        <v>16.637899999999998</v>
      </c>
      <c r="L352" s="14">
        <f>CHOOSE(CONTROL!$C$42, 17.443, 17.443) * CHOOSE(CONTROL!$C$21, $C$9, 100%, $E$9)</f>
        <v>17.443000000000001</v>
      </c>
      <c r="M352" s="14">
        <f>CHOOSE(CONTROL!$C$42, 16.2927, 16.2927) * CHOOSE(CONTROL!$C$21, $C$9, 100%, $E$9)</f>
        <v>16.2927</v>
      </c>
      <c r="N352" s="14">
        <f>CHOOSE(CONTROL!$C$42, 16.3091, 16.3091) * CHOOSE(CONTROL!$C$21, $C$9, 100%, $E$9)</f>
        <v>16.309100000000001</v>
      </c>
      <c r="O352" s="14">
        <f>CHOOSE(CONTROL!$C$42, 16.5605, 16.5605) * CHOOSE(CONTROL!$C$21, $C$9, 100%, $E$9)</f>
        <v>16.560500000000001</v>
      </c>
      <c r="P352" s="14">
        <f>CHOOSE(CONTROL!$C$42, 16.3493, 16.3493) * CHOOSE(CONTROL!$C$21, $C$9, 100%, $E$9)</f>
        <v>16.349299999999999</v>
      </c>
      <c r="Q352" s="14">
        <f>CHOOSE(CONTROL!$C$42, 17.1552, 17.1552) * CHOOSE(CONTROL!$C$21, $C$9, 100%, $E$9)</f>
        <v>17.155200000000001</v>
      </c>
      <c r="R352" s="14">
        <f>CHOOSE(CONTROL!$C$42, 17.7851, 17.7851) * CHOOSE(CONTROL!$C$21, $C$9, 100%, $E$9)</f>
        <v>17.7851</v>
      </c>
      <c r="S352" s="14">
        <f>CHOOSE(CONTROL!$C$42, 15.9103, 15.9103) * CHOOSE(CONTROL!$C$21, $C$9, 100%, $E$9)</f>
        <v>15.910299999999999</v>
      </c>
      <c r="T3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52" s="56">
        <f>(1000*CHOOSE(CONTROL!$C$42, 695, 695)*CHOOSE(CONTROL!$C$42, 0.5599, 0.5599)*CHOOSE(CONTROL!$C$42, 30, 30))/1000000</f>
        <v>11.673914999999997</v>
      </c>
      <c r="V352" s="56">
        <f>(1000*CHOOSE(CONTROL!$C$42, 500, 500)*CHOOSE(CONTROL!$C$42, 0.275, 0.275)*CHOOSE(CONTROL!$C$42, 30, 30))/1000000</f>
        <v>4.125</v>
      </c>
      <c r="W352" s="56">
        <f>(1000*CHOOSE(CONTROL!$C$42, 0.1146, 0.1146)*CHOOSE(CONTROL!$C$42, 121.5, 121.5)*CHOOSE(CONTROL!$C$42, 30, 30))/1000000</f>
        <v>0.417717</v>
      </c>
      <c r="X352" s="56">
        <f>(30*0.1790888*245000/1000000)+(30*0.2374*100000/1000000)</f>
        <v>2.0285026799999999</v>
      </c>
      <c r="Y352" s="56"/>
      <c r="Z352" s="14"/>
      <c r="AA352" s="55"/>
      <c r="AB352" s="49">
        <f>(B352*141.293+C352*267.993+D352*115.016+E352*89.698+F352*40+G352*185+H352*0+I352*100+J352*300)/(141.293+267.993+115.016+89.698+0+40+185+100+300)</f>
        <v>16.631242209927361</v>
      </c>
      <c r="AC352" s="45">
        <f>(M352*'RAP TEMPLATE-GAS AVAILABILITY'!O351+N352*'RAP TEMPLATE-GAS AVAILABILITY'!P351+O352*'RAP TEMPLATE-GAS AVAILABILITY'!Q351+P352*'RAP TEMPLATE-GAS AVAILABILITY'!R351)/('RAP TEMPLATE-GAS AVAILABILITY'!O351+'RAP TEMPLATE-GAS AVAILABILITY'!P351+'RAP TEMPLATE-GAS AVAILABILITY'!Q351+'RAP TEMPLATE-GAS AVAILABILITY'!R351)</f>
        <v>16.379757553956836</v>
      </c>
    </row>
    <row r="353" spans="1:29" ht="15.75" x14ac:dyDescent="0.25">
      <c r="A353" s="33">
        <v>51652</v>
      </c>
      <c r="B353" s="14">
        <f>CHOOSE(CONTROL!$C$42, 16.7149, 16.7149) * CHOOSE(CONTROL!$C$21, $C$9, 100%, $E$9)</f>
        <v>16.7149</v>
      </c>
      <c r="C353" s="14">
        <f>CHOOSE(CONTROL!$C$42, 16.723, 16.723) * CHOOSE(CONTROL!$C$21, $C$9, 100%, $E$9)</f>
        <v>16.722999999999999</v>
      </c>
      <c r="D353" s="14">
        <f>CHOOSE(CONTROL!$C$42, 16.9821, 16.9821) * CHOOSE(CONTROL!$C$21, $C$9, 100%, $E$9)</f>
        <v>16.982099999999999</v>
      </c>
      <c r="E353" s="14">
        <f>CHOOSE(CONTROL!$C$42, 17.0135, 17.0135) * CHOOSE(CONTROL!$C$21, $C$9, 100%, $E$9)</f>
        <v>17.013500000000001</v>
      </c>
      <c r="F353" s="14">
        <f>CHOOSE(CONTROL!$C$42, 16.7365, 16.7365)*CHOOSE(CONTROL!$C$21, $C$9, 100%, $E$9)</f>
        <v>16.736499999999999</v>
      </c>
      <c r="G353" s="14">
        <f>CHOOSE(CONTROL!$C$42, 16.7534, 16.7534)*CHOOSE(CONTROL!$C$21, $C$9, 100%, $E$9)</f>
        <v>16.753399999999999</v>
      </c>
      <c r="H353" s="14">
        <f>CHOOSE(CONTROL!$C$42, 17.0022, 17.0022) * CHOOSE(CONTROL!$C$21, $C$9, 100%, $E$9)</f>
        <v>17.002199999999998</v>
      </c>
      <c r="I353" s="14">
        <f>CHOOSE(CONTROL!$C$42, 16.7884, 16.7884)* CHOOSE(CONTROL!$C$21, $C$9, 100%, $E$9)</f>
        <v>16.788399999999999</v>
      </c>
      <c r="J353" s="14">
        <f>CHOOSE(CONTROL!$C$42, 16.7295, 16.7295)* CHOOSE(CONTROL!$C$21, $C$9, 100%, $E$9)</f>
        <v>16.729500000000002</v>
      </c>
      <c r="K353" s="52">
        <f>CHOOSE(CONTROL!$C$42, 16.7845, 16.7845) * CHOOSE(CONTROL!$C$21, $C$9, 100%, $E$9)</f>
        <v>16.784500000000001</v>
      </c>
      <c r="L353" s="14">
        <f>CHOOSE(CONTROL!$C$42, 17.5892, 17.5892) * CHOOSE(CONTROL!$C$21, $C$9, 100%, $E$9)</f>
        <v>17.589200000000002</v>
      </c>
      <c r="M353" s="14">
        <f>CHOOSE(CONTROL!$C$42, 16.4363, 16.4363) * CHOOSE(CONTROL!$C$21, $C$9, 100%, $E$9)</f>
        <v>16.436299999999999</v>
      </c>
      <c r="N353" s="14">
        <f>CHOOSE(CONTROL!$C$42, 16.4529, 16.4529) * CHOOSE(CONTROL!$C$21, $C$9, 100%, $E$9)</f>
        <v>16.4529</v>
      </c>
      <c r="O353" s="14">
        <f>CHOOSE(CONTROL!$C$42, 16.704, 16.704) * CHOOSE(CONTROL!$C$21, $C$9, 100%, $E$9)</f>
        <v>16.704000000000001</v>
      </c>
      <c r="P353" s="14">
        <f>CHOOSE(CONTROL!$C$42, 16.4933, 16.4933) * CHOOSE(CONTROL!$C$21, $C$9, 100%, $E$9)</f>
        <v>16.493300000000001</v>
      </c>
      <c r="Q353" s="14">
        <f>CHOOSE(CONTROL!$C$42, 17.2987, 17.2987) * CHOOSE(CONTROL!$C$21, $C$9, 100%, $E$9)</f>
        <v>17.2987</v>
      </c>
      <c r="R353" s="14">
        <f>CHOOSE(CONTROL!$C$42, 17.929, 17.929) * CHOOSE(CONTROL!$C$21, $C$9, 100%, $E$9)</f>
        <v>17.928999999999998</v>
      </c>
      <c r="S353" s="14">
        <f>CHOOSE(CONTROL!$C$42, 16.0508, 16.0508) * CHOOSE(CONTROL!$C$21, $C$9, 100%, $E$9)</f>
        <v>16.050799999999999</v>
      </c>
      <c r="T35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53" s="56">
        <f>(1000*CHOOSE(CONTROL!$C$42, 695, 695)*CHOOSE(CONTROL!$C$42, 0.5599, 0.5599)*CHOOSE(CONTROL!$C$42, 31, 31))/1000000</f>
        <v>12.063045499999998</v>
      </c>
      <c r="V353" s="56">
        <f>(1000*CHOOSE(CONTROL!$C$42, 500, 500)*CHOOSE(CONTROL!$C$42, 0.275, 0.275)*CHOOSE(CONTROL!$C$42, 31, 31))/1000000</f>
        <v>4.2625000000000002</v>
      </c>
      <c r="W353" s="56">
        <f>(1000*CHOOSE(CONTROL!$C$42, 0.1146, 0.1146)*CHOOSE(CONTROL!$C$42, 121.5, 121.5)*CHOOSE(CONTROL!$C$42, 31, 31))/1000000</f>
        <v>0.43164089999999994</v>
      </c>
      <c r="X353" s="56">
        <f>(31*0.1790888*245000/1000000)+(31*0.2374*100000/1000000)</f>
        <v>2.0961194359999999</v>
      </c>
      <c r="Y353" s="56"/>
      <c r="Z353" s="14"/>
      <c r="AA353" s="55"/>
      <c r="AB353" s="49">
        <f>(B353*194.205+C353*267.466+D353*133.845+E353*53.484+F353*40+G353*185+H353*0+I353*100+J353*300)/(194.205+267.466+133.845+53.484+0+40+185+100+300)</f>
        <v>16.772683894034536</v>
      </c>
      <c r="AC353" s="45">
        <f>(M353*'RAP TEMPLATE-GAS AVAILABILITY'!O352+N353*'RAP TEMPLATE-GAS AVAILABILITY'!P352+O353*'RAP TEMPLATE-GAS AVAILABILITY'!Q352+P353*'RAP TEMPLATE-GAS AVAILABILITY'!R352)/('RAP TEMPLATE-GAS AVAILABILITY'!O352+'RAP TEMPLATE-GAS AVAILABILITY'!P352+'RAP TEMPLATE-GAS AVAILABILITY'!Q352+'RAP TEMPLATE-GAS AVAILABILITY'!R352)</f>
        <v>16.523433093525181</v>
      </c>
    </row>
    <row r="354" spans="1:29" ht="15.75" x14ac:dyDescent="0.25">
      <c r="A354" s="33">
        <v>51682</v>
      </c>
      <c r="B354" s="14">
        <f>CHOOSE(CONTROL!$C$42, 17.1888, 17.1888) * CHOOSE(CONTROL!$C$21, $C$9, 100%, $E$9)</f>
        <v>17.188800000000001</v>
      </c>
      <c r="C354" s="14">
        <f>CHOOSE(CONTROL!$C$42, 17.1968, 17.1968) * CHOOSE(CONTROL!$C$21, $C$9, 100%, $E$9)</f>
        <v>17.1968</v>
      </c>
      <c r="D354" s="14">
        <f>CHOOSE(CONTROL!$C$42, 17.4559, 17.4559) * CHOOSE(CONTROL!$C$21, $C$9, 100%, $E$9)</f>
        <v>17.4559</v>
      </c>
      <c r="E354" s="14">
        <f>CHOOSE(CONTROL!$C$42, 17.4873, 17.4873) * CHOOSE(CONTROL!$C$21, $C$9, 100%, $E$9)</f>
        <v>17.487300000000001</v>
      </c>
      <c r="F354" s="14">
        <f>CHOOSE(CONTROL!$C$42, 17.2105, 17.2105)*CHOOSE(CONTROL!$C$21, $C$9, 100%, $E$9)</f>
        <v>17.2105</v>
      </c>
      <c r="G354" s="14">
        <f>CHOOSE(CONTROL!$C$42, 17.2276, 17.2276)*CHOOSE(CONTROL!$C$21, $C$9, 100%, $E$9)</f>
        <v>17.227599999999999</v>
      </c>
      <c r="H354" s="14">
        <f>CHOOSE(CONTROL!$C$42, 17.476, 17.476) * CHOOSE(CONTROL!$C$21, $C$9, 100%, $E$9)</f>
        <v>17.475999999999999</v>
      </c>
      <c r="I354" s="14">
        <f>CHOOSE(CONTROL!$C$42, 17.2637, 17.2637)* CHOOSE(CONTROL!$C$21, $C$9, 100%, $E$9)</f>
        <v>17.2637</v>
      </c>
      <c r="J354" s="14">
        <f>CHOOSE(CONTROL!$C$42, 17.2035, 17.2035)* CHOOSE(CONTROL!$C$21, $C$9, 100%, $E$9)</f>
        <v>17.203499999999998</v>
      </c>
      <c r="K354" s="52">
        <f>CHOOSE(CONTROL!$C$42, 17.2598, 17.2598) * CHOOSE(CONTROL!$C$21, $C$9, 100%, $E$9)</f>
        <v>17.259799999999998</v>
      </c>
      <c r="L354" s="14">
        <f>CHOOSE(CONTROL!$C$42, 18.063, 18.063) * CHOOSE(CONTROL!$C$21, $C$9, 100%, $E$9)</f>
        <v>18.062999999999999</v>
      </c>
      <c r="M354" s="14">
        <f>CHOOSE(CONTROL!$C$42, 16.9018, 16.9018) * CHOOSE(CONTROL!$C$21, $C$9, 100%, $E$9)</f>
        <v>16.901800000000001</v>
      </c>
      <c r="N354" s="14">
        <f>CHOOSE(CONTROL!$C$42, 16.9185, 16.9185) * CHOOSE(CONTROL!$C$21, $C$9, 100%, $E$9)</f>
        <v>16.918500000000002</v>
      </c>
      <c r="O354" s="14">
        <f>CHOOSE(CONTROL!$C$42, 17.1693, 17.1693) * CHOOSE(CONTROL!$C$21, $C$9, 100%, $E$9)</f>
        <v>17.1693</v>
      </c>
      <c r="P354" s="14">
        <f>CHOOSE(CONTROL!$C$42, 16.96, 16.96) * CHOOSE(CONTROL!$C$21, $C$9, 100%, $E$9)</f>
        <v>16.96</v>
      </c>
      <c r="Q354" s="14">
        <f>CHOOSE(CONTROL!$C$42, 17.764, 17.764) * CHOOSE(CONTROL!$C$21, $C$9, 100%, $E$9)</f>
        <v>17.763999999999999</v>
      </c>
      <c r="R354" s="14">
        <f>CHOOSE(CONTROL!$C$42, 18.3954, 18.3954) * CHOOSE(CONTROL!$C$21, $C$9, 100%, $E$9)</f>
        <v>18.395399999999999</v>
      </c>
      <c r="S354" s="14">
        <f>CHOOSE(CONTROL!$C$42, 16.506, 16.506) * CHOOSE(CONTROL!$C$21, $C$9, 100%, $E$9)</f>
        <v>16.506</v>
      </c>
      <c r="T35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54" s="56">
        <f>(1000*CHOOSE(CONTROL!$C$42, 695, 695)*CHOOSE(CONTROL!$C$42, 0.5599, 0.5599)*CHOOSE(CONTROL!$C$42, 30, 30))/1000000</f>
        <v>11.673914999999997</v>
      </c>
      <c r="V354" s="56">
        <f>(1000*CHOOSE(CONTROL!$C$42, 500, 500)*CHOOSE(CONTROL!$C$42, 0.275, 0.275)*CHOOSE(CONTROL!$C$42, 30, 30))/1000000</f>
        <v>4.125</v>
      </c>
      <c r="W354" s="56">
        <f>(1000*CHOOSE(CONTROL!$C$42, 0.1146, 0.1146)*CHOOSE(CONTROL!$C$42, 121.5, 121.5)*CHOOSE(CONTROL!$C$42, 30, 30))/1000000</f>
        <v>0.417717</v>
      </c>
      <c r="X354" s="56">
        <f>(30*0.1790888*245000/1000000)+(30*0.2374*100000/1000000)</f>
        <v>2.0285026799999999</v>
      </c>
      <c r="Y354" s="56"/>
      <c r="Z354" s="14"/>
      <c r="AA354" s="55"/>
      <c r="AB354" s="49">
        <f>(B354*194.205+C354*267.466+D354*133.845+E354*53.484+F354*40+G354*185+H354*0+I354*100+J354*300)/(194.205+267.466+133.845+53.484+0+40+185+100+300)</f>
        <v>17.246728337127159</v>
      </c>
      <c r="AC354" s="45">
        <f>(M354*'RAP TEMPLATE-GAS AVAILABILITY'!O353+N354*'RAP TEMPLATE-GAS AVAILABILITY'!P353+O354*'RAP TEMPLATE-GAS AVAILABILITY'!Q353+P354*'RAP TEMPLATE-GAS AVAILABILITY'!R353)/('RAP TEMPLATE-GAS AVAILABILITY'!O353+'RAP TEMPLATE-GAS AVAILABILITY'!P353+'RAP TEMPLATE-GAS AVAILABILITY'!Q353+'RAP TEMPLATE-GAS AVAILABILITY'!R353)</f>
        <v>16.989072661870505</v>
      </c>
    </row>
    <row r="355" spans="1:29" ht="15.75" x14ac:dyDescent="0.25">
      <c r="A355" s="33">
        <v>51713</v>
      </c>
      <c r="B355" s="14">
        <f>CHOOSE(CONTROL!$C$42, 16.8592, 16.8592) * CHOOSE(CONTROL!$C$21, $C$9, 100%, $E$9)</f>
        <v>16.859200000000001</v>
      </c>
      <c r="C355" s="14">
        <f>CHOOSE(CONTROL!$C$42, 16.8672, 16.8672) * CHOOSE(CONTROL!$C$21, $C$9, 100%, $E$9)</f>
        <v>16.8672</v>
      </c>
      <c r="D355" s="14">
        <f>CHOOSE(CONTROL!$C$42, 17.1263, 17.1263) * CHOOSE(CONTROL!$C$21, $C$9, 100%, $E$9)</f>
        <v>17.126300000000001</v>
      </c>
      <c r="E355" s="14">
        <f>CHOOSE(CONTROL!$C$42, 17.1578, 17.1578) * CHOOSE(CONTROL!$C$21, $C$9, 100%, $E$9)</f>
        <v>17.157800000000002</v>
      </c>
      <c r="F355" s="14">
        <f>CHOOSE(CONTROL!$C$42, 16.8814, 16.8814)*CHOOSE(CONTROL!$C$21, $C$9, 100%, $E$9)</f>
        <v>16.881399999999999</v>
      </c>
      <c r="G355" s="14">
        <f>CHOOSE(CONTROL!$C$42, 16.8986, 16.8986)*CHOOSE(CONTROL!$C$21, $C$9, 100%, $E$9)</f>
        <v>16.898599999999998</v>
      </c>
      <c r="H355" s="14">
        <f>CHOOSE(CONTROL!$C$42, 17.1464, 17.1464) * CHOOSE(CONTROL!$C$21, $C$9, 100%, $E$9)</f>
        <v>17.1464</v>
      </c>
      <c r="I355" s="14">
        <f>CHOOSE(CONTROL!$C$42, 16.9331, 16.9331)* CHOOSE(CONTROL!$C$21, $C$9, 100%, $E$9)</f>
        <v>16.9331</v>
      </c>
      <c r="J355" s="14">
        <f>CHOOSE(CONTROL!$C$42, 16.8744, 16.8744)* CHOOSE(CONTROL!$C$21, $C$9, 100%, $E$9)</f>
        <v>16.874400000000001</v>
      </c>
      <c r="K355" s="52">
        <f>CHOOSE(CONTROL!$C$42, 16.9292, 16.9292) * CHOOSE(CONTROL!$C$21, $C$9, 100%, $E$9)</f>
        <v>16.929200000000002</v>
      </c>
      <c r="L355" s="14">
        <f>CHOOSE(CONTROL!$C$42, 17.7334, 17.7334) * CHOOSE(CONTROL!$C$21, $C$9, 100%, $E$9)</f>
        <v>17.7334</v>
      </c>
      <c r="M355" s="14">
        <f>CHOOSE(CONTROL!$C$42, 16.5786, 16.5786) * CHOOSE(CONTROL!$C$21, $C$9, 100%, $E$9)</f>
        <v>16.578600000000002</v>
      </c>
      <c r="N355" s="14">
        <f>CHOOSE(CONTROL!$C$42, 16.5954, 16.5954) * CHOOSE(CONTROL!$C$21, $C$9, 100%, $E$9)</f>
        <v>16.595400000000001</v>
      </c>
      <c r="O355" s="14">
        <f>CHOOSE(CONTROL!$C$42, 16.8457, 16.8457) * CHOOSE(CONTROL!$C$21, $C$9, 100%, $E$9)</f>
        <v>16.845700000000001</v>
      </c>
      <c r="P355" s="14">
        <f>CHOOSE(CONTROL!$C$42, 16.6354, 16.6354) * CHOOSE(CONTROL!$C$21, $C$9, 100%, $E$9)</f>
        <v>16.635400000000001</v>
      </c>
      <c r="Q355" s="14">
        <f>CHOOSE(CONTROL!$C$42, 17.4404, 17.4404) * CHOOSE(CONTROL!$C$21, $C$9, 100%, $E$9)</f>
        <v>17.4404</v>
      </c>
      <c r="R355" s="14">
        <f>CHOOSE(CONTROL!$C$42, 18.071, 18.071) * CHOOSE(CONTROL!$C$21, $C$9, 100%, $E$9)</f>
        <v>18.071000000000002</v>
      </c>
      <c r="S355" s="14">
        <f>CHOOSE(CONTROL!$C$42, 16.1894, 16.1894) * CHOOSE(CONTROL!$C$21, $C$9, 100%, $E$9)</f>
        <v>16.189399999999999</v>
      </c>
      <c r="T35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55" s="56">
        <f>(1000*CHOOSE(CONTROL!$C$42, 695, 695)*CHOOSE(CONTROL!$C$42, 0.5599, 0.5599)*CHOOSE(CONTROL!$C$42, 31, 31))/1000000</f>
        <v>12.063045499999998</v>
      </c>
      <c r="V355" s="56">
        <f>(1000*CHOOSE(CONTROL!$C$42, 500, 500)*CHOOSE(CONTROL!$C$42, 0.275, 0.275)*CHOOSE(CONTROL!$C$42, 31, 31))/1000000</f>
        <v>4.2625000000000002</v>
      </c>
      <c r="W355" s="56">
        <f>(1000*CHOOSE(CONTROL!$C$42, 0.1146, 0.1146)*CHOOSE(CONTROL!$C$42, 121.5, 121.5)*CHOOSE(CONTROL!$C$42, 31, 31))/1000000</f>
        <v>0.43164089999999994</v>
      </c>
      <c r="X355" s="56">
        <f>(31*0.1790888*245000/1000000)+(31*0.2374*100000/1000000)</f>
        <v>2.0961194359999999</v>
      </c>
      <c r="Y355" s="56"/>
      <c r="Z355" s="14"/>
      <c r="AA355" s="55"/>
      <c r="AB355" s="49">
        <f>(B355*194.205+C355*267.466+D355*133.845+E355*53.484+F355*40+G355*185+H355*0+I355*100+J355*300)/(194.205+267.466+133.845+53.484+0+40+185+100+300)</f>
        <v>16.917274607456829</v>
      </c>
      <c r="AC355" s="45">
        <f>(M355*'RAP TEMPLATE-GAS AVAILABILITY'!O354+N355*'RAP TEMPLATE-GAS AVAILABILITY'!P354+O355*'RAP TEMPLATE-GAS AVAILABILITY'!Q354+P355*'RAP TEMPLATE-GAS AVAILABILITY'!R354)/('RAP TEMPLATE-GAS AVAILABILITY'!O354+'RAP TEMPLATE-GAS AVAILABILITY'!P354+'RAP TEMPLATE-GAS AVAILABILITY'!Q354+'RAP TEMPLATE-GAS AVAILABILITY'!R354)</f>
        <v>16.665582014388487</v>
      </c>
    </row>
    <row r="356" spans="1:29" ht="15.75" x14ac:dyDescent="0.25">
      <c r="A356" s="33">
        <v>51744</v>
      </c>
      <c r="B356" s="14">
        <f>CHOOSE(CONTROL!$C$42, 16.027, 16.027) * CHOOSE(CONTROL!$C$21, $C$9, 100%, $E$9)</f>
        <v>16.027000000000001</v>
      </c>
      <c r="C356" s="14">
        <f>CHOOSE(CONTROL!$C$42, 16.0351, 16.0351) * CHOOSE(CONTROL!$C$21, $C$9, 100%, $E$9)</f>
        <v>16.0351</v>
      </c>
      <c r="D356" s="14">
        <f>CHOOSE(CONTROL!$C$42, 16.2942, 16.2942) * CHOOSE(CONTROL!$C$21, $C$9, 100%, $E$9)</f>
        <v>16.2942</v>
      </c>
      <c r="E356" s="14">
        <f>CHOOSE(CONTROL!$C$42, 16.3256, 16.3256) * CHOOSE(CONTROL!$C$21, $C$9, 100%, $E$9)</f>
        <v>16.325600000000001</v>
      </c>
      <c r="F356" s="14">
        <f>CHOOSE(CONTROL!$C$42, 16.0495, 16.0495)*CHOOSE(CONTROL!$C$21, $C$9, 100%, $E$9)</f>
        <v>16.049499999999998</v>
      </c>
      <c r="G356" s="14">
        <f>CHOOSE(CONTROL!$C$42, 16.0667, 16.0667)*CHOOSE(CONTROL!$C$21, $C$9, 100%, $E$9)</f>
        <v>16.066700000000001</v>
      </c>
      <c r="H356" s="14">
        <f>CHOOSE(CONTROL!$C$42, 16.3143, 16.3143) * CHOOSE(CONTROL!$C$21, $C$9, 100%, $E$9)</f>
        <v>16.314299999999999</v>
      </c>
      <c r="I356" s="14">
        <f>CHOOSE(CONTROL!$C$42, 16.0983, 16.0983)* CHOOSE(CONTROL!$C$21, $C$9, 100%, $E$9)</f>
        <v>16.098299999999998</v>
      </c>
      <c r="J356" s="14">
        <f>CHOOSE(CONTROL!$C$42, 16.0425, 16.0425)* CHOOSE(CONTROL!$C$21, $C$9, 100%, $E$9)</f>
        <v>16.0425</v>
      </c>
      <c r="K356" s="52">
        <f>CHOOSE(CONTROL!$C$42, 16.0944, 16.0944) * CHOOSE(CONTROL!$C$21, $C$9, 100%, $E$9)</f>
        <v>16.0944</v>
      </c>
      <c r="L356" s="14">
        <f>CHOOSE(CONTROL!$C$42, 16.9013, 16.9013) * CHOOSE(CONTROL!$C$21, $C$9, 100%, $E$9)</f>
        <v>16.901299999999999</v>
      </c>
      <c r="M356" s="14">
        <f>CHOOSE(CONTROL!$C$42, 15.7616, 15.7616) * CHOOSE(CONTROL!$C$21, $C$9, 100%, $E$9)</f>
        <v>15.7616</v>
      </c>
      <c r="N356" s="14">
        <f>CHOOSE(CONTROL!$C$42, 15.7785, 15.7785) * CHOOSE(CONTROL!$C$21, $C$9, 100%, $E$9)</f>
        <v>15.778499999999999</v>
      </c>
      <c r="O356" s="14">
        <f>CHOOSE(CONTROL!$C$42, 16.0285, 16.0285) * CHOOSE(CONTROL!$C$21, $C$9, 100%, $E$9)</f>
        <v>16.028500000000001</v>
      </c>
      <c r="P356" s="14">
        <f>CHOOSE(CONTROL!$C$42, 15.8157, 15.8157) * CHOOSE(CONTROL!$C$21, $C$9, 100%, $E$9)</f>
        <v>15.8157</v>
      </c>
      <c r="Q356" s="14">
        <f>CHOOSE(CONTROL!$C$42, 16.6232, 16.6232) * CHOOSE(CONTROL!$C$21, $C$9, 100%, $E$9)</f>
        <v>16.623200000000001</v>
      </c>
      <c r="R356" s="14">
        <f>CHOOSE(CONTROL!$C$42, 17.2518, 17.2518) * CHOOSE(CONTROL!$C$21, $C$9, 100%, $E$9)</f>
        <v>17.251799999999999</v>
      </c>
      <c r="S356" s="14">
        <f>CHOOSE(CONTROL!$C$42, 15.3898, 15.3898) * CHOOSE(CONTROL!$C$21, $C$9, 100%, $E$9)</f>
        <v>15.389799999999999</v>
      </c>
      <c r="T35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56" s="56">
        <f>(1000*CHOOSE(CONTROL!$C$42, 695, 695)*CHOOSE(CONTROL!$C$42, 0.5599, 0.5599)*CHOOSE(CONTROL!$C$42, 31, 31))/1000000</f>
        <v>12.063045499999998</v>
      </c>
      <c r="V356" s="56">
        <f>(1000*CHOOSE(CONTROL!$C$42, 500, 500)*CHOOSE(CONTROL!$C$42, 0.275, 0.275)*CHOOSE(CONTROL!$C$42, 31, 31))/1000000</f>
        <v>4.2625000000000002</v>
      </c>
      <c r="W356" s="56">
        <f>(1000*CHOOSE(CONTROL!$C$42, 0.1146, 0.1146)*CHOOSE(CONTROL!$C$42, 121.5, 121.5)*CHOOSE(CONTROL!$C$42, 31, 31))/1000000</f>
        <v>0.43164089999999994</v>
      </c>
      <c r="X356" s="56">
        <f>(31*0.1790888*245000/1000000)+(31*0.2374*100000/1000000)</f>
        <v>2.0961194359999999</v>
      </c>
      <c r="Y356" s="56"/>
      <c r="Z356" s="14"/>
      <c r="AA356" s="55"/>
      <c r="AB356" s="49">
        <f>(B356*194.205+C356*267.466+D356*133.845+E356*53.484+F356*40+G356*185+H356*0+I356*100+J356*300)/(194.205+267.466+133.845+53.484+0+40+185+100+300)</f>
        <v>16.085025652276293</v>
      </c>
      <c r="AC356" s="45">
        <f>(M356*'RAP TEMPLATE-GAS AVAILABILITY'!O355+N356*'RAP TEMPLATE-GAS AVAILABILITY'!P355+O356*'RAP TEMPLATE-GAS AVAILABILITY'!Q355+P356*'RAP TEMPLATE-GAS AVAILABILITY'!R355)/('RAP TEMPLATE-GAS AVAILABILITY'!O355+'RAP TEMPLATE-GAS AVAILABILITY'!P355+'RAP TEMPLATE-GAS AVAILABILITY'!Q355+'RAP TEMPLATE-GAS AVAILABILITY'!R355)</f>
        <v>15.848160431654676</v>
      </c>
    </row>
    <row r="357" spans="1:29" ht="15.75" x14ac:dyDescent="0.25">
      <c r="A357" s="33">
        <v>51774</v>
      </c>
      <c r="B357" s="14">
        <f>CHOOSE(CONTROL!$C$42, 15.0101, 15.0101) * CHOOSE(CONTROL!$C$21, $C$9, 100%, $E$9)</f>
        <v>15.0101</v>
      </c>
      <c r="C357" s="14">
        <f>CHOOSE(CONTROL!$C$42, 15.0181, 15.0181) * CHOOSE(CONTROL!$C$21, $C$9, 100%, $E$9)</f>
        <v>15.0181</v>
      </c>
      <c r="D357" s="14">
        <f>CHOOSE(CONTROL!$C$42, 15.2772, 15.2772) * CHOOSE(CONTROL!$C$21, $C$9, 100%, $E$9)</f>
        <v>15.277200000000001</v>
      </c>
      <c r="E357" s="14">
        <f>CHOOSE(CONTROL!$C$42, 15.3086, 15.3086) * CHOOSE(CONTROL!$C$21, $C$9, 100%, $E$9)</f>
        <v>15.3086</v>
      </c>
      <c r="F357" s="14">
        <f>CHOOSE(CONTROL!$C$42, 15.0325, 15.0325)*CHOOSE(CONTROL!$C$21, $C$9, 100%, $E$9)</f>
        <v>15.032500000000001</v>
      </c>
      <c r="G357" s="14">
        <f>CHOOSE(CONTROL!$C$42, 15.0497, 15.0497)*CHOOSE(CONTROL!$C$21, $C$9, 100%, $E$9)</f>
        <v>15.0497</v>
      </c>
      <c r="H357" s="14">
        <f>CHOOSE(CONTROL!$C$42, 15.2973, 15.2973) * CHOOSE(CONTROL!$C$21, $C$9, 100%, $E$9)</f>
        <v>15.2973</v>
      </c>
      <c r="I357" s="14">
        <f>CHOOSE(CONTROL!$C$42, 15.0782, 15.0782)* CHOOSE(CONTROL!$C$21, $C$9, 100%, $E$9)</f>
        <v>15.078200000000001</v>
      </c>
      <c r="J357" s="14">
        <f>CHOOSE(CONTROL!$C$42, 15.0255, 15.0255)* CHOOSE(CONTROL!$C$21, $C$9, 100%, $E$9)</f>
        <v>15.025499999999999</v>
      </c>
      <c r="K357" s="52">
        <f>CHOOSE(CONTROL!$C$42, 15.0743, 15.0743) * CHOOSE(CONTROL!$C$21, $C$9, 100%, $E$9)</f>
        <v>15.074299999999999</v>
      </c>
      <c r="L357" s="14">
        <f>CHOOSE(CONTROL!$C$42, 15.8843, 15.8843) * CHOOSE(CONTROL!$C$21, $C$9, 100%, $E$9)</f>
        <v>15.8843</v>
      </c>
      <c r="M357" s="14">
        <f>CHOOSE(CONTROL!$C$42, 14.763, 14.763) * CHOOSE(CONTROL!$C$21, $C$9, 100%, $E$9)</f>
        <v>14.763</v>
      </c>
      <c r="N357" s="14">
        <f>CHOOSE(CONTROL!$C$42, 14.7799, 14.7799) * CHOOSE(CONTROL!$C$21, $C$9, 100%, $E$9)</f>
        <v>14.7799</v>
      </c>
      <c r="O357" s="14">
        <f>CHOOSE(CONTROL!$C$42, 15.0298, 15.0298) * CHOOSE(CONTROL!$C$21, $C$9, 100%, $E$9)</f>
        <v>15.0298</v>
      </c>
      <c r="P357" s="14">
        <f>CHOOSE(CONTROL!$C$42, 14.8139, 14.8139) * CHOOSE(CONTROL!$C$21, $C$9, 100%, $E$9)</f>
        <v>14.8139</v>
      </c>
      <c r="Q357" s="14">
        <f>CHOOSE(CONTROL!$C$42, 15.6245, 15.6245) * CHOOSE(CONTROL!$C$21, $C$9, 100%, $E$9)</f>
        <v>15.624499999999999</v>
      </c>
      <c r="R357" s="14">
        <f>CHOOSE(CONTROL!$C$42, 16.2506, 16.2506) * CHOOSE(CONTROL!$C$21, $C$9, 100%, $E$9)</f>
        <v>16.250599999999999</v>
      </c>
      <c r="S357" s="14">
        <f>CHOOSE(CONTROL!$C$42, 14.4125, 14.4125) * CHOOSE(CONTROL!$C$21, $C$9, 100%, $E$9)</f>
        <v>14.4125</v>
      </c>
      <c r="T35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57" s="56">
        <f>(1000*CHOOSE(CONTROL!$C$42, 695, 695)*CHOOSE(CONTROL!$C$42, 0.5599, 0.5599)*CHOOSE(CONTROL!$C$42, 30, 30))/1000000</f>
        <v>11.673914999999997</v>
      </c>
      <c r="V357" s="56">
        <f>(1000*CHOOSE(CONTROL!$C$42, 500, 500)*CHOOSE(CONTROL!$C$42, 0.275, 0.275)*CHOOSE(CONTROL!$C$42, 30, 30))/1000000</f>
        <v>4.125</v>
      </c>
      <c r="W357" s="56">
        <f>(1000*CHOOSE(CONTROL!$C$42, 0.1146, 0.1146)*CHOOSE(CONTROL!$C$42, 121.5, 121.5)*CHOOSE(CONTROL!$C$42, 30, 30))/1000000</f>
        <v>0.417717</v>
      </c>
      <c r="X357" s="56">
        <f>(30*0.1790888*245000/1000000)+(30*0.2374*100000/1000000)</f>
        <v>2.0285026799999999</v>
      </c>
      <c r="Y357" s="56"/>
      <c r="Z357" s="14"/>
      <c r="AA357" s="55"/>
      <c r="AB357" s="49">
        <f>(B357*194.205+C357*267.466+D357*133.845+E357*53.484+F357*40+G357*185+H357*0+I357*100+J357*300)/(194.205+267.466+133.845+53.484+0+40+185+100+300)</f>
        <v>15.067797567896388</v>
      </c>
      <c r="AC357" s="45">
        <f>(M357*'RAP TEMPLATE-GAS AVAILABILITY'!O356+N357*'RAP TEMPLATE-GAS AVAILABILITY'!P356+O357*'RAP TEMPLATE-GAS AVAILABILITY'!Q356+P357*'RAP TEMPLATE-GAS AVAILABILITY'!R356)/('RAP TEMPLATE-GAS AVAILABILITY'!O356+'RAP TEMPLATE-GAS AVAILABILITY'!P356+'RAP TEMPLATE-GAS AVAILABILITY'!Q356+'RAP TEMPLATE-GAS AVAILABILITY'!R356)</f>
        <v>14.849071942446043</v>
      </c>
    </row>
    <row r="358" spans="1:29" ht="15.75" x14ac:dyDescent="0.25">
      <c r="A358" s="33">
        <v>51805</v>
      </c>
      <c r="B358" s="14">
        <f>CHOOSE(CONTROL!$C$42, 14.7038, 14.7038) * CHOOSE(CONTROL!$C$21, $C$9, 100%, $E$9)</f>
        <v>14.703799999999999</v>
      </c>
      <c r="C358" s="14">
        <f>CHOOSE(CONTROL!$C$42, 14.7091, 14.7091) * CHOOSE(CONTROL!$C$21, $C$9, 100%, $E$9)</f>
        <v>14.709099999999999</v>
      </c>
      <c r="D358" s="14">
        <f>CHOOSE(CONTROL!$C$42, 14.9731, 14.9731) * CHOOSE(CONTROL!$C$21, $C$9, 100%, $E$9)</f>
        <v>14.973100000000001</v>
      </c>
      <c r="E358" s="14">
        <f>CHOOSE(CONTROL!$C$42, 15.0023, 15.0023) * CHOOSE(CONTROL!$C$21, $C$9, 100%, $E$9)</f>
        <v>15.0023</v>
      </c>
      <c r="F358" s="14">
        <f>CHOOSE(CONTROL!$C$42, 14.7284, 14.7284)*CHOOSE(CONTROL!$C$21, $C$9, 100%, $E$9)</f>
        <v>14.728400000000001</v>
      </c>
      <c r="G358" s="14">
        <f>CHOOSE(CONTROL!$C$42, 14.7455, 14.7455)*CHOOSE(CONTROL!$C$21, $C$9, 100%, $E$9)</f>
        <v>14.7455</v>
      </c>
      <c r="H358" s="14">
        <f>CHOOSE(CONTROL!$C$42, 14.9927, 14.9927) * CHOOSE(CONTROL!$C$21, $C$9, 100%, $E$9)</f>
        <v>14.992699999999999</v>
      </c>
      <c r="I358" s="14">
        <f>CHOOSE(CONTROL!$C$42, 14.7727, 14.7727)* CHOOSE(CONTROL!$C$21, $C$9, 100%, $E$9)</f>
        <v>14.7727</v>
      </c>
      <c r="J358" s="14">
        <f>CHOOSE(CONTROL!$C$42, 14.7214, 14.7214)* CHOOSE(CONTROL!$C$21, $C$9, 100%, $E$9)</f>
        <v>14.721399999999999</v>
      </c>
      <c r="K358" s="52">
        <f>CHOOSE(CONTROL!$C$42, 14.7688, 14.7688) * CHOOSE(CONTROL!$C$21, $C$9, 100%, $E$9)</f>
        <v>14.768800000000001</v>
      </c>
      <c r="L358" s="14">
        <f>CHOOSE(CONTROL!$C$42, 15.5797, 15.5797) * CHOOSE(CONTROL!$C$21, $C$9, 100%, $E$9)</f>
        <v>15.579700000000001</v>
      </c>
      <c r="M358" s="14">
        <f>CHOOSE(CONTROL!$C$42, 14.4643, 14.4643) * CHOOSE(CONTROL!$C$21, $C$9, 100%, $E$9)</f>
        <v>14.4643</v>
      </c>
      <c r="N358" s="14">
        <f>CHOOSE(CONTROL!$C$42, 14.4811, 14.4811) * CHOOSE(CONTROL!$C$21, $C$9, 100%, $E$9)</f>
        <v>14.4811</v>
      </c>
      <c r="O358" s="14">
        <f>CHOOSE(CONTROL!$C$42, 14.7308, 14.7308) * CHOOSE(CONTROL!$C$21, $C$9, 100%, $E$9)</f>
        <v>14.7308</v>
      </c>
      <c r="P358" s="14">
        <f>CHOOSE(CONTROL!$C$42, 14.5139, 14.5139) * CHOOSE(CONTROL!$C$21, $C$9, 100%, $E$9)</f>
        <v>14.5139</v>
      </c>
      <c r="Q358" s="14">
        <f>CHOOSE(CONTROL!$C$42, 15.3255, 15.3255) * CHOOSE(CONTROL!$C$21, $C$9, 100%, $E$9)</f>
        <v>15.3255</v>
      </c>
      <c r="R358" s="14">
        <f>CHOOSE(CONTROL!$C$42, 15.9508, 15.9508) * CHOOSE(CONTROL!$C$21, $C$9, 100%, $E$9)</f>
        <v>15.950799999999999</v>
      </c>
      <c r="S358" s="14">
        <f>CHOOSE(CONTROL!$C$42, 14.1199, 14.1199) * CHOOSE(CONTROL!$C$21, $C$9, 100%, $E$9)</f>
        <v>14.119899999999999</v>
      </c>
      <c r="T3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58" s="56">
        <f>(1000*CHOOSE(CONTROL!$C$42, 695, 695)*CHOOSE(CONTROL!$C$42, 0.5599, 0.5599)*CHOOSE(CONTROL!$C$42, 31, 31))/1000000</f>
        <v>12.063045499999998</v>
      </c>
      <c r="V358" s="56">
        <f>(1000*CHOOSE(CONTROL!$C$42, 500, 500)*CHOOSE(CONTROL!$C$42, 0.275, 0.275)*CHOOSE(CONTROL!$C$42, 31, 31))/1000000</f>
        <v>4.2625000000000002</v>
      </c>
      <c r="W358" s="56">
        <f>(1000*CHOOSE(CONTROL!$C$42, 0.1146, 0.1146)*CHOOSE(CONTROL!$C$42, 121.5, 121.5)*CHOOSE(CONTROL!$C$42, 31, 31))/1000000</f>
        <v>0.43164089999999994</v>
      </c>
      <c r="X358" s="56">
        <f>(31*0.1790888*245000/1000000)+(31*0.2374*100000/1000000)</f>
        <v>2.0961194359999999</v>
      </c>
      <c r="Y358" s="56"/>
      <c r="Z358" s="14"/>
      <c r="AA358" s="55"/>
      <c r="AB358" s="49">
        <f>(B358*131.881+C358*277.167+D358*79.08+E358*125.872+F358*40+G358*185+H358*0+I358*100+J358*300)/(131.881+277.167+79.08+125.872+0+40+185+100+300)</f>
        <v>14.769341986359965</v>
      </c>
      <c r="AC358" s="45">
        <f>(M358*'RAP TEMPLATE-GAS AVAILABILITY'!O357+N358*'RAP TEMPLATE-GAS AVAILABILITY'!P357+O358*'RAP TEMPLATE-GAS AVAILABILITY'!Q357+P358*'RAP TEMPLATE-GAS AVAILABILITY'!R357)/('RAP TEMPLATE-GAS AVAILABILITY'!O357+'RAP TEMPLATE-GAS AVAILABILITY'!P357+'RAP TEMPLATE-GAS AVAILABILITY'!Q357+'RAP TEMPLATE-GAS AVAILABILITY'!R357)</f>
        <v>14.550077697841724</v>
      </c>
    </row>
    <row r="359" spans="1:29" ht="15.75" x14ac:dyDescent="0.25">
      <c r="A359" s="33">
        <v>51835</v>
      </c>
      <c r="B359" s="14">
        <f>CHOOSE(CONTROL!$C$42, 15.0905, 15.0905) * CHOOSE(CONTROL!$C$21, $C$9, 100%, $E$9)</f>
        <v>15.0905</v>
      </c>
      <c r="C359" s="14">
        <f>CHOOSE(CONTROL!$C$42, 15.0955, 15.0955) * CHOOSE(CONTROL!$C$21, $C$9, 100%, $E$9)</f>
        <v>15.095499999999999</v>
      </c>
      <c r="D359" s="14">
        <f>CHOOSE(CONTROL!$C$42, 15.1786, 15.1786) * CHOOSE(CONTROL!$C$21, $C$9, 100%, $E$9)</f>
        <v>15.178599999999999</v>
      </c>
      <c r="E359" s="14">
        <f>CHOOSE(CONTROL!$C$42, 15.2127, 15.2127) * CHOOSE(CONTROL!$C$21, $C$9, 100%, $E$9)</f>
        <v>15.2127</v>
      </c>
      <c r="F359" s="14">
        <f>CHOOSE(CONTROL!$C$42, 15.1181, 15.1181)*CHOOSE(CONTROL!$C$21, $C$9, 100%, $E$9)</f>
        <v>15.1181</v>
      </c>
      <c r="G359" s="14">
        <f>CHOOSE(CONTROL!$C$42, 15.1354, 15.1354)*CHOOSE(CONTROL!$C$21, $C$9, 100%, $E$9)</f>
        <v>15.135400000000001</v>
      </c>
      <c r="H359" s="14">
        <f>CHOOSE(CONTROL!$C$42, 15.2019, 15.2019) * CHOOSE(CONTROL!$C$21, $C$9, 100%, $E$9)</f>
        <v>15.2019</v>
      </c>
      <c r="I359" s="14">
        <f>CHOOSE(CONTROL!$C$42, 15.1573, 15.1573)* CHOOSE(CONTROL!$C$21, $C$9, 100%, $E$9)</f>
        <v>15.157299999999999</v>
      </c>
      <c r="J359" s="14">
        <f>CHOOSE(CONTROL!$C$42, 15.1111, 15.1111)* CHOOSE(CONTROL!$C$21, $C$9, 100%, $E$9)</f>
        <v>15.1111</v>
      </c>
      <c r="K359" s="52">
        <f>CHOOSE(CONTROL!$C$42, 15.1535, 15.1535) * CHOOSE(CONTROL!$C$21, $C$9, 100%, $E$9)</f>
        <v>15.153499999999999</v>
      </c>
      <c r="L359" s="14">
        <f>CHOOSE(CONTROL!$C$42, 15.7889, 15.7889) * CHOOSE(CONTROL!$C$21, $C$9, 100%, $E$9)</f>
        <v>15.7889</v>
      </c>
      <c r="M359" s="14">
        <f>CHOOSE(CONTROL!$C$42, 14.847, 14.847) * CHOOSE(CONTROL!$C$21, $C$9, 100%, $E$9)</f>
        <v>14.847</v>
      </c>
      <c r="N359" s="14">
        <f>CHOOSE(CONTROL!$C$42, 14.864, 14.864) * CHOOSE(CONTROL!$C$21, $C$9, 100%, $E$9)</f>
        <v>14.864000000000001</v>
      </c>
      <c r="O359" s="14">
        <f>CHOOSE(CONTROL!$C$42, 14.9361, 14.9361) * CHOOSE(CONTROL!$C$21, $C$9, 100%, $E$9)</f>
        <v>14.9361</v>
      </c>
      <c r="P359" s="14">
        <f>CHOOSE(CONTROL!$C$42, 14.8916, 14.8916) * CHOOSE(CONTROL!$C$21, $C$9, 100%, $E$9)</f>
        <v>14.8916</v>
      </c>
      <c r="Q359" s="14">
        <f>CHOOSE(CONTROL!$C$42, 15.5308, 15.5308) * CHOOSE(CONTROL!$C$21, $C$9, 100%, $E$9)</f>
        <v>15.530799999999999</v>
      </c>
      <c r="R359" s="14">
        <f>CHOOSE(CONTROL!$C$42, 16.1567, 16.1567) * CHOOSE(CONTROL!$C$21, $C$9, 100%, $E$9)</f>
        <v>16.156700000000001</v>
      </c>
      <c r="S359" s="14">
        <f>CHOOSE(CONTROL!$C$42, 14.4919, 14.4919) * CHOOSE(CONTROL!$C$21, $C$9, 100%, $E$9)</f>
        <v>14.491899999999999</v>
      </c>
      <c r="T3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9" s="56">
        <f>(1000*CHOOSE(CONTROL!$C$42, 695, 695)*CHOOSE(CONTROL!$C$42, 0.5599, 0.5599)*CHOOSE(CONTROL!$C$42, 30, 30))/1000000</f>
        <v>11.673914999999997</v>
      </c>
      <c r="V359" s="56">
        <f>(1000*CHOOSE(CONTROL!$C$42, 500, 500)*CHOOSE(CONTROL!$C$42, 0.275, 0.275)*CHOOSE(CONTROL!$C$42, 30, 30))/1000000</f>
        <v>4.125</v>
      </c>
      <c r="W359" s="56">
        <f>(1000*CHOOSE(CONTROL!$C$42, 0.1146, 0.1146)*CHOOSE(CONTROL!$C$42, 121.5, 121.5)*CHOOSE(CONTROL!$C$42, 30, 30))/1000000</f>
        <v>0.417717</v>
      </c>
      <c r="X359" s="56">
        <f>(30*0.1790888*100000/1000000)+(30*0.2374*100000/1000000)</f>
        <v>1.2494664</v>
      </c>
      <c r="Y359" s="56"/>
      <c r="Z359" s="14"/>
      <c r="AA359" s="55"/>
      <c r="AB359" s="49">
        <f>(B359*122.58+C359*297.941+D359*89.177+E359*40.302+F359*40+G359*160+H359*0+I359*100+J359*300)/(122.58+297.941+89.177+40.302+0+40+160+100+300)</f>
        <v>15.121299220086955</v>
      </c>
      <c r="AC359" s="45">
        <f>(M359*'RAP TEMPLATE-GAS AVAILABILITY'!O358+N359*'RAP TEMPLATE-GAS AVAILABILITY'!P358+O359*'RAP TEMPLATE-GAS AVAILABILITY'!Q358+P359*'RAP TEMPLATE-GAS AVAILABILITY'!R358)/('RAP TEMPLATE-GAS AVAILABILITY'!O358+'RAP TEMPLATE-GAS AVAILABILITY'!P358+'RAP TEMPLATE-GAS AVAILABILITY'!Q358+'RAP TEMPLATE-GAS AVAILABILITY'!R358)</f>
        <v>14.89477913669065</v>
      </c>
    </row>
    <row r="360" spans="1:29" ht="15.75" x14ac:dyDescent="0.25">
      <c r="A360" s="33">
        <v>51866</v>
      </c>
      <c r="B360" s="14">
        <f>CHOOSE(CONTROL!$C$42, 16.1187, 16.1187) * CHOOSE(CONTROL!$C$21, $C$9, 100%, $E$9)</f>
        <v>16.1187</v>
      </c>
      <c r="C360" s="14">
        <f>CHOOSE(CONTROL!$C$42, 16.1237, 16.1237) * CHOOSE(CONTROL!$C$21, $C$9, 100%, $E$9)</f>
        <v>16.123699999999999</v>
      </c>
      <c r="D360" s="14">
        <f>CHOOSE(CONTROL!$C$42, 16.2068, 16.2068) * CHOOSE(CONTROL!$C$21, $C$9, 100%, $E$9)</f>
        <v>16.206800000000001</v>
      </c>
      <c r="E360" s="14">
        <f>CHOOSE(CONTROL!$C$42, 16.2409, 16.2409) * CHOOSE(CONTROL!$C$21, $C$9, 100%, $E$9)</f>
        <v>16.2409</v>
      </c>
      <c r="F360" s="14">
        <f>CHOOSE(CONTROL!$C$42, 16.1487, 16.1487)*CHOOSE(CONTROL!$C$21, $C$9, 100%, $E$9)</f>
        <v>16.148700000000002</v>
      </c>
      <c r="G360" s="14">
        <f>CHOOSE(CONTROL!$C$42, 16.1667, 16.1667)*CHOOSE(CONTROL!$C$21, $C$9, 100%, $E$9)</f>
        <v>16.166699999999999</v>
      </c>
      <c r="H360" s="14">
        <f>CHOOSE(CONTROL!$C$42, 16.2301, 16.2301) * CHOOSE(CONTROL!$C$21, $C$9, 100%, $E$9)</f>
        <v>16.2301</v>
      </c>
      <c r="I360" s="14">
        <f>CHOOSE(CONTROL!$C$42, 16.1888, 16.1888)* CHOOSE(CONTROL!$C$21, $C$9, 100%, $E$9)</f>
        <v>16.188800000000001</v>
      </c>
      <c r="J360" s="14">
        <f>CHOOSE(CONTROL!$C$42, 16.1417, 16.1417)* CHOOSE(CONTROL!$C$21, $C$9, 100%, $E$9)</f>
        <v>16.1417</v>
      </c>
      <c r="K360" s="52">
        <f>CHOOSE(CONTROL!$C$42, 16.1849, 16.1849) * CHOOSE(CONTROL!$C$21, $C$9, 100%, $E$9)</f>
        <v>16.184899999999999</v>
      </c>
      <c r="L360" s="14">
        <f>CHOOSE(CONTROL!$C$42, 16.8171, 16.8171) * CHOOSE(CONTROL!$C$21, $C$9, 100%, $E$9)</f>
        <v>16.8171</v>
      </c>
      <c r="M360" s="14">
        <f>CHOOSE(CONTROL!$C$42, 15.8591, 15.8591) * CHOOSE(CONTROL!$C$21, $C$9, 100%, $E$9)</f>
        <v>15.8591</v>
      </c>
      <c r="N360" s="14">
        <f>CHOOSE(CONTROL!$C$42, 15.8768, 15.8768) * CHOOSE(CONTROL!$C$21, $C$9, 100%, $E$9)</f>
        <v>15.876799999999999</v>
      </c>
      <c r="O360" s="14">
        <f>CHOOSE(CONTROL!$C$42, 15.9459, 15.9459) * CHOOSE(CONTROL!$C$21, $C$9, 100%, $E$9)</f>
        <v>15.9459</v>
      </c>
      <c r="P360" s="14">
        <f>CHOOSE(CONTROL!$C$42, 15.9045, 15.9045) * CHOOSE(CONTROL!$C$21, $C$9, 100%, $E$9)</f>
        <v>15.904500000000001</v>
      </c>
      <c r="Q360" s="14">
        <f>CHOOSE(CONTROL!$C$42, 16.5406, 16.5406) * CHOOSE(CONTROL!$C$21, $C$9, 100%, $E$9)</f>
        <v>16.540600000000001</v>
      </c>
      <c r="R360" s="14">
        <f>CHOOSE(CONTROL!$C$42, 17.1689, 17.1689) * CHOOSE(CONTROL!$C$21, $C$9, 100%, $E$9)</f>
        <v>17.168900000000001</v>
      </c>
      <c r="S360" s="14">
        <f>CHOOSE(CONTROL!$C$42, 15.4799, 15.4799) * CHOOSE(CONTROL!$C$21, $C$9, 100%, $E$9)</f>
        <v>15.479900000000001</v>
      </c>
      <c r="T3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0" s="56">
        <f>(1000*CHOOSE(CONTROL!$C$42, 695, 695)*CHOOSE(CONTROL!$C$42, 0.5599, 0.5599)*CHOOSE(CONTROL!$C$42, 31, 31))/1000000</f>
        <v>12.063045499999998</v>
      </c>
      <c r="V360" s="56">
        <f>(1000*CHOOSE(CONTROL!$C$42, 500, 500)*CHOOSE(CONTROL!$C$42, 0.275, 0.275)*CHOOSE(CONTROL!$C$42, 31, 31))/1000000</f>
        <v>4.2625000000000002</v>
      </c>
      <c r="W360" s="56">
        <f>(1000*CHOOSE(CONTROL!$C$42, 0.1146, 0.1146)*CHOOSE(CONTROL!$C$42, 121.5, 121.5)*CHOOSE(CONTROL!$C$42, 31, 31))/1000000</f>
        <v>0.43164089999999994</v>
      </c>
      <c r="X360" s="56">
        <f>(31*0.1790888*100000/1000000)+(31*0.2374*100000/1000000)</f>
        <v>1.2911152800000001</v>
      </c>
      <c r="Y360" s="56"/>
      <c r="Z360" s="14"/>
      <c r="AA360" s="55"/>
      <c r="AB360" s="49">
        <f>(B360*122.58+C360*297.941+D360*89.177+E360*40.302+F360*40+G360*160+H360*0+I360*100+J360*300)/(122.58+297.941+89.177+40.302+0+40+160+100+300)</f>
        <v>16.150927046173912</v>
      </c>
      <c r="AC360" s="45">
        <f>(M360*'RAP TEMPLATE-GAS AVAILABILITY'!O359+N360*'RAP TEMPLATE-GAS AVAILABILITY'!P359+O360*'RAP TEMPLATE-GAS AVAILABILITY'!Q359+P360*'RAP TEMPLATE-GAS AVAILABILITY'!R359)/('RAP TEMPLATE-GAS AVAILABILITY'!O359+'RAP TEMPLATE-GAS AVAILABILITY'!P359+'RAP TEMPLATE-GAS AVAILABILITY'!Q359+'RAP TEMPLATE-GAS AVAILABILITY'!R359)</f>
        <v>15.905992086330933</v>
      </c>
    </row>
    <row r="361" spans="1:29" ht="15.75" x14ac:dyDescent="0.25">
      <c r="A361" s="33">
        <v>51897</v>
      </c>
      <c r="B361" s="14">
        <f>CHOOSE(CONTROL!$C$42, 17.4541, 17.4541) * CHOOSE(CONTROL!$C$21, $C$9, 100%, $E$9)</f>
        <v>17.4541</v>
      </c>
      <c r="C361" s="14">
        <f>CHOOSE(CONTROL!$C$42, 17.4592, 17.4592) * CHOOSE(CONTROL!$C$21, $C$9, 100%, $E$9)</f>
        <v>17.459199999999999</v>
      </c>
      <c r="D361" s="14">
        <f>CHOOSE(CONTROL!$C$42, 17.5527, 17.5527) * CHOOSE(CONTROL!$C$21, $C$9, 100%, $E$9)</f>
        <v>17.552700000000002</v>
      </c>
      <c r="E361" s="14">
        <f>CHOOSE(CONTROL!$C$42, 17.5868, 17.5868) * CHOOSE(CONTROL!$C$21, $C$9, 100%, $E$9)</f>
        <v>17.5868</v>
      </c>
      <c r="F361" s="14">
        <f>CHOOSE(CONTROL!$C$42, 17.4814, 17.4814)*CHOOSE(CONTROL!$C$21, $C$9, 100%, $E$9)</f>
        <v>17.481400000000001</v>
      </c>
      <c r="G361" s="14">
        <f>CHOOSE(CONTROL!$C$42, 17.4994, 17.4994)*CHOOSE(CONTROL!$C$21, $C$9, 100%, $E$9)</f>
        <v>17.499400000000001</v>
      </c>
      <c r="H361" s="14">
        <f>CHOOSE(CONTROL!$C$42, 17.576, 17.576) * CHOOSE(CONTROL!$C$21, $C$9, 100%, $E$9)</f>
        <v>17.576000000000001</v>
      </c>
      <c r="I361" s="14">
        <f>CHOOSE(CONTROL!$C$42, 17.5347, 17.5347)* CHOOSE(CONTROL!$C$21, $C$9, 100%, $E$9)</f>
        <v>17.534700000000001</v>
      </c>
      <c r="J361" s="14">
        <f>CHOOSE(CONTROL!$C$42, 17.4744, 17.4744)* CHOOSE(CONTROL!$C$21, $C$9, 100%, $E$9)</f>
        <v>17.474399999999999</v>
      </c>
      <c r="K361" s="52">
        <f>CHOOSE(CONTROL!$C$42, 17.5308, 17.5308) * CHOOSE(CONTROL!$C$21, $C$9, 100%, $E$9)</f>
        <v>17.530799999999999</v>
      </c>
      <c r="L361" s="14">
        <f>CHOOSE(CONTROL!$C$42, 18.163, 18.163) * CHOOSE(CONTROL!$C$21, $C$9, 100%, $E$9)</f>
        <v>18.163</v>
      </c>
      <c r="M361" s="14">
        <f>CHOOSE(CONTROL!$C$42, 17.1678, 17.1678) * CHOOSE(CONTROL!$C$21, $C$9, 100%, $E$9)</f>
        <v>17.1678</v>
      </c>
      <c r="N361" s="14">
        <f>CHOOSE(CONTROL!$C$42, 17.1854, 17.1854) * CHOOSE(CONTROL!$C$21, $C$9, 100%, $E$9)</f>
        <v>17.185400000000001</v>
      </c>
      <c r="O361" s="14">
        <f>CHOOSE(CONTROL!$C$42, 17.2675, 17.2675) * CHOOSE(CONTROL!$C$21, $C$9, 100%, $E$9)</f>
        <v>17.267499999999998</v>
      </c>
      <c r="P361" s="14">
        <f>CHOOSE(CONTROL!$C$42, 17.2261, 17.2261) * CHOOSE(CONTROL!$C$21, $C$9, 100%, $E$9)</f>
        <v>17.226099999999999</v>
      </c>
      <c r="Q361" s="14">
        <f>CHOOSE(CONTROL!$C$42, 17.8622, 17.8622) * CHOOSE(CONTROL!$C$21, $C$9, 100%, $E$9)</f>
        <v>17.862200000000001</v>
      </c>
      <c r="R361" s="14">
        <f>CHOOSE(CONTROL!$C$42, 18.4939, 18.4939) * CHOOSE(CONTROL!$C$21, $C$9, 100%, $E$9)</f>
        <v>18.4939</v>
      </c>
      <c r="S361" s="14">
        <f>CHOOSE(CONTROL!$C$42, 16.7631, 16.7631) * CHOOSE(CONTROL!$C$21, $C$9, 100%, $E$9)</f>
        <v>16.763100000000001</v>
      </c>
      <c r="T3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61" s="56">
        <f>(1000*CHOOSE(CONTROL!$C$42, 695, 695)*CHOOSE(CONTROL!$C$42, 0.5599, 0.5599)*CHOOSE(CONTROL!$C$42, 31, 31))/1000000</f>
        <v>12.063045499999998</v>
      </c>
      <c r="V361" s="56">
        <f>(1000*CHOOSE(CONTROL!$C$42, 500, 500)*CHOOSE(CONTROL!$C$42, 0.275, 0.275)*CHOOSE(CONTROL!$C$42, 31, 31))/1000000</f>
        <v>4.2625000000000002</v>
      </c>
      <c r="W361" s="56">
        <f>(1000*CHOOSE(CONTROL!$C$42, 0.1146, 0.1146)*CHOOSE(CONTROL!$C$42, 121.5, 121.5)*CHOOSE(CONTROL!$C$42, 31, 31))/1000000</f>
        <v>0.43164089999999994</v>
      </c>
      <c r="X361" s="56">
        <f>(31*0.1790888*100000/1000000)+(31*0.2374*100000/1000000)</f>
        <v>1.2911152800000001</v>
      </c>
      <c r="Y361" s="56"/>
      <c r="Z361" s="14"/>
      <c r="AA361" s="55"/>
      <c r="AB361" s="49">
        <f>(B361*122.58+C361*297.941+D361*89.177+E361*40.302+F361*40+G361*160+H361*0+I361*100+J361*300)/(122.58+297.941+89.177+40.302+0+40+160+100+300)</f>
        <v>17.487274284086951</v>
      </c>
      <c r="AC361" s="45">
        <f>(M361*'RAP TEMPLATE-GAS AVAILABILITY'!O360+N361*'RAP TEMPLATE-GAS AVAILABILITY'!P360+O361*'RAP TEMPLATE-GAS AVAILABILITY'!Q360+P361*'RAP TEMPLATE-GAS AVAILABILITY'!R360)/('RAP TEMPLATE-GAS AVAILABILITY'!O360+'RAP TEMPLATE-GAS AVAILABILITY'!P360+'RAP TEMPLATE-GAS AVAILABILITY'!Q360+'RAP TEMPLATE-GAS AVAILABILITY'!R360)</f>
        <v>17.222389208633093</v>
      </c>
    </row>
    <row r="362" spans="1:29" ht="15.75" x14ac:dyDescent="0.25">
      <c r="A362" s="33">
        <v>51925</v>
      </c>
      <c r="B362" s="14">
        <f>CHOOSE(CONTROL!$C$42, 17.7647, 17.7647) * CHOOSE(CONTROL!$C$21, $C$9, 100%, $E$9)</f>
        <v>17.764700000000001</v>
      </c>
      <c r="C362" s="14">
        <f>CHOOSE(CONTROL!$C$42, 17.7697, 17.7697) * CHOOSE(CONTROL!$C$21, $C$9, 100%, $E$9)</f>
        <v>17.7697</v>
      </c>
      <c r="D362" s="14">
        <f>CHOOSE(CONTROL!$C$42, 17.8632, 17.8632) * CHOOSE(CONTROL!$C$21, $C$9, 100%, $E$9)</f>
        <v>17.863199999999999</v>
      </c>
      <c r="E362" s="14">
        <f>CHOOSE(CONTROL!$C$42, 17.8973, 17.8973) * CHOOSE(CONTROL!$C$21, $C$9, 100%, $E$9)</f>
        <v>17.897300000000001</v>
      </c>
      <c r="F362" s="14">
        <f>CHOOSE(CONTROL!$C$42, 17.7916, 17.7916)*CHOOSE(CONTROL!$C$21, $C$9, 100%, $E$9)</f>
        <v>17.791599999999999</v>
      </c>
      <c r="G362" s="14">
        <f>CHOOSE(CONTROL!$C$42, 17.8095, 17.8095)*CHOOSE(CONTROL!$C$21, $C$9, 100%, $E$9)</f>
        <v>17.8095</v>
      </c>
      <c r="H362" s="14">
        <f>CHOOSE(CONTROL!$C$42, 17.8865, 17.8865) * CHOOSE(CONTROL!$C$21, $C$9, 100%, $E$9)</f>
        <v>17.886500000000002</v>
      </c>
      <c r="I362" s="14">
        <f>CHOOSE(CONTROL!$C$42, 17.8462, 17.8462)* CHOOSE(CONTROL!$C$21, $C$9, 100%, $E$9)</f>
        <v>17.8462</v>
      </c>
      <c r="J362" s="14">
        <f>CHOOSE(CONTROL!$C$42, 17.7846, 17.7846)* CHOOSE(CONTROL!$C$21, $C$9, 100%, $E$9)</f>
        <v>17.784600000000001</v>
      </c>
      <c r="K362" s="52">
        <f>CHOOSE(CONTROL!$C$42, 17.8423, 17.8423) * CHOOSE(CONTROL!$C$21, $C$9, 100%, $E$9)</f>
        <v>17.842300000000002</v>
      </c>
      <c r="L362" s="14">
        <f>CHOOSE(CONTROL!$C$42, 18.4735, 18.4735) * CHOOSE(CONTROL!$C$21, $C$9, 100%, $E$9)</f>
        <v>18.473500000000001</v>
      </c>
      <c r="M362" s="14">
        <f>CHOOSE(CONTROL!$C$42, 17.4724, 17.4724) * CHOOSE(CONTROL!$C$21, $C$9, 100%, $E$9)</f>
        <v>17.4724</v>
      </c>
      <c r="N362" s="14">
        <f>CHOOSE(CONTROL!$C$42, 17.49, 17.49) * CHOOSE(CONTROL!$C$21, $C$9, 100%, $E$9)</f>
        <v>17.489999999999998</v>
      </c>
      <c r="O362" s="14">
        <f>CHOOSE(CONTROL!$C$42, 17.5725, 17.5725) * CHOOSE(CONTROL!$C$21, $C$9, 100%, $E$9)</f>
        <v>17.572500000000002</v>
      </c>
      <c r="P362" s="14">
        <f>CHOOSE(CONTROL!$C$42, 17.532, 17.532) * CHOOSE(CONTROL!$C$21, $C$9, 100%, $E$9)</f>
        <v>17.532</v>
      </c>
      <c r="Q362" s="14">
        <f>CHOOSE(CONTROL!$C$42, 18.1672, 18.1672) * CHOOSE(CONTROL!$C$21, $C$9, 100%, $E$9)</f>
        <v>18.167200000000001</v>
      </c>
      <c r="R362" s="14">
        <f>CHOOSE(CONTROL!$C$42, 18.7996, 18.7996) * CHOOSE(CONTROL!$C$21, $C$9, 100%, $E$9)</f>
        <v>18.799600000000002</v>
      </c>
      <c r="S362" s="14">
        <f>CHOOSE(CONTROL!$C$42, 17.0615, 17.0615) * CHOOSE(CONTROL!$C$21, $C$9, 100%, $E$9)</f>
        <v>17.061499999999999</v>
      </c>
      <c r="T36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62" s="56">
        <f>(1000*CHOOSE(CONTROL!$C$42, 695, 695)*CHOOSE(CONTROL!$C$42, 0.5599, 0.5599)*CHOOSE(CONTROL!$C$42, 28, 28))/1000000</f>
        <v>10.895653999999999</v>
      </c>
      <c r="V362" s="56">
        <f>(1000*CHOOSE(CONTROL!$C$42, 500, 500)*CHOOSE(CONTROL!$C$42, 0.275, 0.275)*CHOOSE(CONTROL!$C$42, 28, 28))/1000000</f>
        <v>3.85</v>
      </c>
      <c r="W362" s="56">
        <f>(1000*CHOOSE(CONTROL!$C$42, 0.1146, 0.1146)*CHOOSE(CONTROL!$C$42, 121.5, 121.5)*CHOOSE(CONTROL!$C$42, 28, 28))/1000000</f>
        <v>0.38986920000000003</v>
      </c>
      <c r="X362" s="56">
        <f>(28*0.1790888*100000/1000000)+(28*0.2374*100000/1000000)</f>
        <v>1.16616864</v>
      </c>
      <c r="Y362" s="56"/>
      <c r="Z362" s="14"/>
      <c r="AA362" s="55"/>
      <c r="AB362" s="49">
        <f>(B362*122.58+C362*297.941+D362*89.177+E362*40.302+F362*40+G362*160+H362*0+I362*100+J362*300)/(122.58+297.941+89.177+40.302+0+40+160+100+300)</f>
        <v>17.797727551913045</v>
      </c>
      <c r="AC362" s="45">
        <f>(M362*'RAP TEMPLATE-GAS AVAILABILITY'!O361+N362*'RAP TEMPLATE-GAS AVAILABILITY'!P361+O362*'RAP TEMPLATE-GAS AVAILABILITY'!Q361+P362*'RAP TEMPLATE-GAS AVAILABILITY'!R361)/('RAP TEMPLATE-GAS AVAILABILITY'!O361+'RAP TEMPLATE-GAS AVAILABILITY'!P361+'RAP TEMPLATE-GAS AVAILABILITY'!Q361+'RAP TEMPLATE-GAS AVAILABILITY'!R361)</f>
        <v>17.527357553956836</v>
      </c>
    </row>
    <row r="363" spans="1:29" ht="15.75" x14ac:dyDescent="0.25">
      <c r="A363" s="33">
        <v>51956</v>
      </c>
      <c r="B363" s="14">
        <f>CHOOSE(CONTROL!$C$42, 17.2606, 17.2606) * CHOOSE(CONTROL!$C$21, $C$9, 100%, $E$9)</f>
        <v>17.2606</v>
      </c>
      <c r="C363" s="14">
        <f>CHOOSE(CONTROL!$C$42, 17.2656, 17.2656) * CHOOSE(CONTROL!$C$21, $C$9, 100%, $E$9)</f>
        <v>17.265599999999999</v>
      </c>
      <c r="D363" s="14">
        <f>CHOOSE(CONTROL!$C$42, 17.3591, 17.3591) * CHOOSE(CONTROL!$C$21, $C$9, 100%, $E$9)</f>
        <v>17.359100000000002</v>
      </c>
      <c r="E363" s="14">
        <f>CHOOSE(CONTROL!$C$42, 17.3932, 17.3932) * CHOOSE(CONTROL!$C$21, $C$9, 100%, $E$9)</f>
        <v>17.3932</v>
      </c>
      <c r="F363" s="14">
        <f>CHOOSE(CONTROL!$C$42, 17.2866, 17.2866)*CHOOSE(CONTROL!$C$21, $C$9, 100%, $E$9)</f>
        <v>17.2866</v>
      </c>
      <c r="G363" s="14">
        <f>CHOOSE(CONTROL!$C$42, 17.3043, 17.3043)*CHOOSE(CONTROL!$C$21, $C$9, 100%, $E$9)</f>
        <v>17.304300000000001</v>
      </c>
      <c r="H363" s="14">
        <f>CHOOSE(CONTROL!$C$42, 17.3824, 17.3824) * CHOOSE(CONTROL!$C$21, $C$9, 100%, $E$9)</f>
        <v>17.382400000000001</v>
      </c>
      <c r="I363" s="14">
        <f>CHOOSE(CONTROL!$C$42, 17.3405, 17.3405)* CHOOSE(CONTROL!$C$21, $C$9, 100%, $E$9)</f>
        <v>17.340499999999999</v>
      </c>
      <c r="J363" s="14">
        <f>CHOOSE(CONTROL!$C$42, 17.2796, 17.2796)* CHOOSE(CONTROL!$C$21, $C$9, 100%, $E$9)</f>
        <v>17.279599999999999</v>
      </c>
      <c r="K363" s="52">
        <f>CHOOSE(CONTROL!$C$42, 17.3366, 17.3366) * CHOOSE(CONTROL!$C$21, $C$9, 100%, $E$9)</f>
        <v>17.336600000000001</v>
      </c>
      <c r="L363" s="14">
        <f>CHOOSE(CONTROL!$C$42, 17.9694, 17.9694) * CHOOSE(CONTROL!$C$21, $C$9, 100%, $E$9)</f>
        <v>17.9694</v>
      </c>
      <c r="M363" s="14">
        <f>CHOOSE(CONTROL!$C$42, 16.9765, 16.9765) * CHOOSE(CONTROL!$C$21, $C$9, 100%, $E$9)</f>
        <v>16.976500000000001</v>
      </c>
      <c r="N363" s="14">
        <f>CHOOSE(CONTROL!$C$42, 16.9939, 16.9939) * CHOOSE(CONTROL!$C$21, $C$9, 100%, $E$9)</f>
        <v>16.9939</v>
      </c>
      <c r="O363" s="14">
        <f>CHOOSE(CONTROL!$C$42, 17.0775, 17.0775) * CHOOSE(CONTROL!$C$21, $C$9, 100%, $E$9)</f>
        <v>17.077500000000001</v>
      </c>
      <c r="P363" s="14">
        <f>CHOOSE(CONTROL!$C$42, 17.0354, 17.0354) * CHOOSE(CONTROL!$C$21, $C$9, 100%, $E$9)</f>
        <v>17.035399999999999</v>
      </c>
      <c r="Q363" s="14">
        <f>CHOOSE(CONTROL!$C$42, 17.6722, 17.6722) * CHOOSE(CONTROL!$C$21, $C$9, 100%, $E$9)</f>
        <v>17.6722</v>
      </c>
      <c r="R363" s="14">
        <f>CHOOSE(CONTROL!$C$42, 18.3033, 18.3033) * CHOOSE(CONTROL!$C$21, $C$9, 100%, $E$9)</f>
        <v>18.3033</v>
      </c>
      <c r="S363" s="14">
        <f>CHOOSE(CONTROL!$C$42, 16.5771, 16.5771) * CHOOSE(CONTROL!$C$21, $C$9, 100%, $E$9)</f>
        <v>16.577100000000002</v>
      </c>
      <c r="T3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63" s="56">
        <f>(1000*CHOOSE(CONTROL!$C$42, 695, 695)*CHOOSE(CONTROL!$C$42, 0.5599, 0.5599)*CHOOSE(CONTROL!$C$42, 31, 31))/1000000</f>
        <v>12.063045499999998</v>
      </c>
      <c r="V363" s="56">
        <f>(1000*CHOOSE(CONTROL!$C$42, 500, 500)*CHOOSE(CONTROL!$C$42, 0.275, 0.275)*CHOOSE(CONTROL!$C$42, 31, 31))/1000000</f>
        <v>4.2625000000000002</v>
      </c>
      <c r="W363" s="56">
        <f>(1000*CHOOSE(CONTROL!$C$42, 0.1146, 0.1146)*CHOOSE(CONTROL!$C$42, 121.5, 121.5)*CHOOSE(CONTROL!$C$42, 31, 31))/1000000</f>
        <v>0.43164089999999994</v>
      </c>
      <c r="X363" s="56">
        <f>(31*0.1790888*100000/1000000)+(31*0.2374*100000/1000000)</f>
        <v>1.2911152800000001</v>
      </c>
      <c r="Y363" s="56"/>
      <c r="Z363" s="14"/>
      <c r="AA363" s="55"/>
      <c r="AB363" s="49">
        <f>(B363*122.58+C363*297.941+D363*89.177+E363*40.302+F363*40+G363*160+H363*0+I363*100+J363*300)/(122.58+297.941+89.177+40.302+0+40+160+100+300)</f>
        <v>17.293069291043476</v>
      </c>
      <c r="AC363" s="45">
        <f>(M363*'RAP TEMPLATE-GAS AVAILABILITY'!O362+N363*'RAP TEMPLATE-GAS AVAILABILITY'!P362+O363*'RAP TEMPLATE-GAS AVAILABILITY'!Q362+P363*'RAP TEMPLATE-GAS AVAILABILITY'!R362)/('RAP TEMPLATE-GAS AVAILABILITY'!O362+'RAP TEMPLATE-GAS AVAILABILITY'!P362+'RAP TEMPLATE-GAS AVAILABILITY'!Q362+'RAP TEMPLATE-GAS AVAILABILITY'!R362)</f>
        <v>17.031753237410072</v>
      </c>
    </row>
    <row r="364" spans="1:29" ht="15.75" x14ac:dyDescent="0.25">
      <c r="A364" s="33">
        <v>51986</v>
      </c>
      <c r="B364" s="14">
        <f>CHOOSE(CONTROL!$C$42, 17.2099, 17.2099) * CHOOSE(CONTROL!$C$21, $C$9, 100%, $E$9)</f>
        <v>17.209900000000001</v>
      </c>
      <c r="C364" s="14">
        <f>CHOOSE(CONTROL!$C$42, 17.2144, 17.2144) * CHOOSE(CONTROL!$C$21, $C$9, 100%, $E$9)</f>
        <v>17.214400000000001</v>
      </c>
      <c r="D364" s="14">
        <f>CHOOSE(CONTROL!$C$42, 17.4766, 17.4766) * CHOOSE(CONTROL!$C$21, $C$9, 100%, $E$9)</f>
        <v>17.476600000000001</v>
      </c>
      <c r="E364" s="14">
        <f>CHOOSE(CONTROL!$C$42, 17.5088, 17.5088) * CHOOSE(CONTROL!$C$21, $C$9, 100%, $E$9)</f>
        <v>17.508800000000001</v>
      </c>
      <c r="F364" s="14">
        <f>CHOOSE(CONTROL!$C$42, 17.2328, 17.2328)*CHOOSE(CONTROL!$C$21, $C$9, 100%, $E$9)</f>
        <v>17.232800000000001</v>
      </c>
      <c r="G364" s="14">
        <f>CHOOSE(CONTROL!$C$42, 17.2495, 17.2495)*CHOOSE(CONTROL!$C$21, $C$9, 100%, $E$9)</f>
        <v>17.249500000000001</v>
      </c>
      <c r="H364" s="14">
        <f>CHOOSE(CONTROL!$C$42, 17.4985, 17.4985) * CHOOSE(CONTROL!$C$21, $C$9, 100%, $E$9)</f>
        <v>17.4985</v>
      </c>
      <c r="I364" s="14">
        <f>CHOOSE(CONTROL!$C$42, 17.2863, 17.2863)* CHOOSE(CONTROL!$C$21, $C$9, 100%, $E$9)</f>
        <v>17.286300000000001</v>
      </c>
      <c r="J364" s="14">
        <f>CHOOSE(CONTROL!$C$42, 17.2258, 17.2258)* CHOOSE(CONTROL!$C$21, $C$9, 100%, $E$9)</f>
        <v>17.2258</v>
      </c>
      <c r="K364" s="52">
        <f>CHOOSE(CONTROL!$C$42, 17.2824, 17.2824) * CHOOSE(CONTROL!$C$21, $C$9, 100%, $E$9)</f>
        <v>17.282399999999999</v>
      </c>
      <c r="L364" s="14">
        <f>CHOOSE(CONTROL!$C$42, 18.0855, 18.0855) * CHOOSE(CONTROL!$C$21, $C$9, 100%, $E$9)</f>
        <v>18.0855</v>
      </c>
      <c r="M364" s="14">
        <f>CHOOSE(CONTROL!$C$42, 16.9236, 16.9236) * CHOOSE(CONTROL!$C$21, $C$9, 100%, $E$9)</f>
        <v>16.9236</v>
      </c>
      <c r="N364" s="14">
        <f>CHOOSE(CONTROL!$C$42, 16.94, 16.94) * CHOOSE(CONTROL!$C$21, $C$9, 100%, $E$9)</f>
        <v>16.940000000000001</v>
      </c>
      <c r="O364" s="14">
        <f>CHOOSE(CONTROL!$C$42, 17.1915, 17.1915) * CHOOSE(CONTROL!$C$21, $C$9, 100%, $E$9)</f>
        <v>17.191500000000001</v>
      </c>
      <c r="P364" s="14">
        <f>CHOOSE(CONTROL!$C$42, 16.9822, 16.9822) * CHOOSE(CONTROL!$C$21, $C$9, 100%, $E$9)</f>
        <v>16.982199999999999</v>
      </c>
      <c r="Q364" s="14">
        <f>CHOOSE(CONTROL!$C$42, 17.7862, 17.7862) * CHOOSE(CONTROL!$C$21, $C$9, 100%, $E$9)</f>
        <v>17.786200000000001</v>
      </c>
      <c r="R364" s="14">
        <f>CHOOSE(CONTROL!$C$42, 18.4177, 18.4177) * CHOOSE(CONTROL!$C$21, $C$9, 100%, $E$9)</f>
        <v>18.4177</v>
      </c>
      <c r="S364" s="14">
        <f>CHOOSE(CONTROL!$C$42, 16.5277, 16.5277) * CHOOSE(CONTROL!$C$21, $C$9, 100%, $E$9)</f>
        <v>16.527699999999999</v>
      </c>
      <c r="T3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64" s="56">
        <f>(1000*CHOOSE(CONTROL!$C$42, 695, 695)*CHOOSE(CONTROL!$C$42, 0.5599, 0.5599)*CHOOSE(CONTROL!$C$42, 30, 30))/1000000</f>
        <v>11.673914999999997</v>
      </c>
      <c r="V364" s="56">
        <f>(1000*CHOOSE(CONTROL!$C$42, 500, 500)*CHOOSE(CONTROL!$C$42, 0.275, 0.275)*CHOOSE(CONTROL!$C$42, 30, 30))/1000000</f>
        <v>4.125</v>
      </c>
      <c r="W364" s="56">
        <f>(1000*CHOOSE(CONTROL!$C$42, 0.1146, 0.1146)*CHOOSE(CONTROL!$C$42, 121.5, 121.5)*CHOOSE(CONTROL!$C$42, 30, 30))/1000000</f>
        <v>0.417717</v>
      </c>
      <c r="X364" s="56">
        <f>(30*0.1790888*245000/1000000)+(30*0.2374*100000/1000000)</f>
        <v>2.0285026799999999</v>
      </c>
      <c r="Y364" s="56"/>
      <c r="Z364" s="14"/>
      <c r="AA364" s="55"/>
      <c r="AB364" s="49">
        <f>(B364*141.293+C364*267.993+D364*115.016+E364*89.698+F364*40+G364*185+H364*0+I364*100+J364*300)/(141.293+267.993+115.016+89.698+0+40+185+100+300)</f>
        <v>17.273938311460856</v>
      </c>
      <c r="AC364" s="45">
        <f>(M364*'RAP TEMPLATE-GAS AVAILABILITY'!O363+N364*'RAP TEMPLATE-GAS AVAILABILITY'!P363+O364*'RAP TEMPLATE-GAS AVAILABILITY'!Q363+P364*'RAP TEMPLATE-GAS AVAILABILITY'!R363)/('RAP TEMPLATE-GAS AVAILABILITY'!O363+'RAP TEMPLATE-GAS AVAILABILITY'!P363+'RAP TEMPLATE-GAS AVAILABILITY'!Q363+'RAP TEMPLATE-GAS AVAILABILITY'!R363)</f>
        <v>17.010973381294964</v>
      </c>
    </row>
    <row r="365" spans="1:29" ht="15.75" x14ac:dyDescent="0.25">
      <c r="A365" s="33">
        <v>52017</v>
      </c>
      <c r="B365" s="14">
        <f>CHOOSE(CONTROL!$C$42, 17.3631, 17.3631) * CHOOSE(CONTROL!$C$21, $C$9, 100%, $E$9)</f>
        <v>17.363099999999999</v>
      </c>
      <c r="C365" s="14">
        <f>CHOOSE(CONTROL!$C$42, 17.3712, 17.3712) * CHOOSE(CONTROL!$C$21, $C$9, 100%, $E$9)</f>
        <v>17.371200000000002</v>
      </c>
      <c r="D365" s="14">
        <f>CHOOSE(CONTROL!$C$42, 17.6302, 17.6302) * CHOOSE(CONTROL!$C$21, $C$9, 100%, $E$9)</f>
        <v>17.630199999999999</v>
      </c>
      <c r="E365" s="14">
        <f>CHOOSE(CONTROL!$C$42, 17.6617, 17.6617) * CHOOSE(CONTROL!$C$21, $C$9, 100%, $E$9)</f>
        <v>17.6617</v>
      </c>
      <c r="F365" s="14">
        <f>CHOOSE(CONTROL!$C$42, 17.3847, 17.3847)*CHOOSE(CONTROL!$C$21, $C$9, 100%, $E$9)</f>
        <v>17.384699999999999</v>
      </c>
      <c r="G365" s="14">
        <f>CHOOSE(CONTROL!$C$42, 17.4016, 17.4016)*CHOOSE(CONTROL!$C$21, $C$9, 100%, $E$9)</f>
        <v>17.401599999999998</v>
      </c>
      <c r="H365" s="14">
        <f>CHOOSE(CONTROL!$C$42, 17.6503, 17.6503) * CHOOSE(CONTROL!$C$21, $C$9, 100%, $E$9)</f>
        <v>17.650300000000001</v>
      </c>
      <c r="I365" s="14">
        <f>CHOOSE(CONTROL!$C$42, 17.4386, 17.4386)* CHOOSE(CONTROL!$C$21, $C$9, 100%, $E$9)</f>
        <v>17.438600000000001</v>
      </c>
      <c r="J365" s="14">
        <f>CHOOSE(CONTROL!$C$42, 17.3777, 17.3777)* CHOOSE(CONTROL!$C$21, $C$9, 100%, $E$9)</f>
        <v>17.377700000000001</v>
      </c>
      <c r="K365" s="52">
        <f>CHOOSE(CONTROL!$C$42, 17.4347, 17.4347) * CHOOSE(CONTROL!$C$21, $C$9, 100%, $E$9)</f>
        <v>17.434699999999999</v>
      </c>
      <c r="L365" s="14">
        <f>CHOOSE(CONTROL!$C$42, 18.2373, 18.2373) * CHOOSE(CONTROL!$C$21, $C$9, 100%, $E$9)</f>
        <v>18.237300000000001</v>
      </c>
      <c r="M365" s="14">
        <f>CHOOSE(CONTROL!$C$42, 17.0728, 17.0728) * CHOOSE(CONTROL!$C$21, $C$9, 100%, $E$9)</f>
        <v>17.072800000000001</v>
      </c>
      <c r="N365" s="14">
        <f>CHOOSE(CONTROL!$C$42, 17.0894, 17.0894) * CHOOSE(CONTROL!$C$21, $C$9, 100%, $E$9)</f>
        <v>17.089400000000001</v>
      </c>
      <c r="O365" s="14">
        <f>CHOOSE(CONTROL!$C$42, 17.3406, 17.3406) * CHOOSE(CONTROL!$C$21, $C$9, 100%, $E$9)</f>
        <v>17.340599999999998</v>
      </c>
      <c r="P365" s="14">
        <f>CHOOSE(CONTROL!$C$42, 17.1317, 17.1317) * CHOOSE(CONTROL!$C$21, $C$9, 100%, $E$9)</f>
        <v>17.131699999999999</v>
      </c>
      <c r="Q365" s="14">
        <f>CHOOSE(CONTROL!$C$42, 17.9353, 17.9353) * CHOOSE(CONTROL!$C$21, $C$9, 100%, $E$9)</f>
        <v>17.935300000000002</v>
      </c>
      <c r="R365" s="14">
        <f>CHOOSE(CONTROL!$C$42, 18.5671, 18.5671) * CHOOSE(CONTROL!$C$21, $C$9, 100%, $E$9)</f>
        <v>18.5671</v>
      </c>
      <c r="S365" s="14">
        <f>CHOOSE(CONTROL!$C$42, 16.6736, 16.6736) * CHOOSE(CONTROL!$C$21, $C$9, 100%, $E$9)</f>
        <v>16.6736</v>
      </c>
      <c r="T3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65" s="56">
        <f>(1000*CHOOSE(CONTROL!$C$42, 695, 695)*CHOOSE(CONTROL!$C$42, 0.5599, 0.5599)*CHOOSE(CONTROL!$C$42, 31, 31))/1000000</f>
        <v>12.063045499999998</v>
      </c>
      <c r="V365" s="56">
        <f>(1000*CHOOSE(CONTROL!$C$42, 500, 500)*CHOOSE(CONTROL!$C$42, 0.275, 0.275)*CHOOSE(CONTROL!$C$42, 31, 31))/1000000</f>
        <v>4.2625000000000002</v>
      </c>
      <c r="W365" s="56">
        <f>(1000*CHOOSE(CONTROL!$C$42, 0.1146, 0.1146)*CHOOSE(CONTROL!$C$42, 121.5, 121.5)*CHOOSE(CONTROL!$C$42, 31, 31))/1000000</f>
        <v>0.43164089999999994</v>
      </c>
      <c r="X365" s="56">
        <f>(31*0.1790888*245000/1000000)+(31*0.2374*100000/1000000)</f>
        <v>2.0961194359999999</v>
      </c>
      <c r="Y365" s="56"/>
      <c r="Z365" s="14"/>
      <c r="AA365" s="55"/>
      <c r="AB365" s="49">
        <f>(B365*194.205+C365*267.466+D365*133.845+E365*53.484+F365*40+G365*185+H365*0+I365*100+J365*300)/(194.205+267.466+133.845+53.484+0+40+185+100+300)</f>
        <v>17.421030374018837</v>
      </c>
      <c r="AC365" s="45">
        <f>(M365*'RAP TEMPLATE-GAS AVAILABILITY'!O364+N365*'RAP TEMPLATE-GAS AVAILABILITY'!P364+O365*'RAP TEMPLATE-GAS AVAILABILITY'!Q364+P365*'RAP TEMPLATE-GAS AVAILABILITY'!R364)/('RAP TEMPLATE-GAS AVAILABILITY'!O364+'RAP TEMPLATE-GAS AVAILABILITY'!P364+'RAP TEMPLATE-GAS AVAILABILITY'!Q364+'RAP TEMPLATE-GAS AVAILABILITY'!R364)</f>
        <v>17.160234532374101</v>
      </c>
    </row>
    <row r="366" spans="1:29" ht="15.75" x14ac:dyDescent="0.25">
      <c r="A366" s="33">
        <v>52047</v>
      </c>
      <c r="B366" s="14">
        <f>CHOOSE(CONTROL!$C$42, 17.8553, 17.8553) * CHOOSE(CONTROL!$C$21, $C$9, 100%, $E$9)</f>
        <v>17.8553</v>
      </c>
      <c r="C366" s="14">
        <f>CHOOSE(CONTROL!$C$42, 17.8633, 17.8633) * CHOOSE(CONTROL!$C$21, $C$9, 100%, $E$9)</f>
        <v>17.863299999999999</v>
      </c>
      <c r="D366" s="14">
        <f>CHOOSE(CONTROL!$C$42, 18.1224, 18.1224) * CHOOSE(CONTROL!$C$21, $C$9, 100%, $E$9)</f>
        <v>18.122399999999999</v>
      </c>
      <c r="E366" s="14">
        <f>CHOOSE(CONTROL!$C$42, 18.1539, 18.1539) * CHOOSE(CONTROL!$C$21, $C$9, 100%, $E$9)</f>
        <v>18.1539</v>
      </c>
      <c r="F366" s="14">
        <f>CHOOSE(CONTROL!$C$42, 17.8771, 17.8771)*CHOOSE(CONTROL!$C$21, $C$9, 100%, $E$9)</f>
        <v>17.877099999999999</v>
      </c>
      <c r="G366" s="14">
        <f>CHOOSE(CONTROL!$C$42, 17.8941, 17.8941)*CHOOSE(CONTROL!$C$21, $C$9, 100%, $E$9)</f>
        <v>17.894100000000002</v>
      </c>
      <c r="H366" s="14">
        <f>CHOOSE(CONTROL!$C$42, 18.1425, 18.1425) * CHOOSE(CONTROL!$C$21, $C$9, 100%, $E$9)</f>
        <v>18.142499999999998</v>
      </c>
      <c r="I366" s="14">
        <f>CHOOSE(CONTROL!$C$42, 17.9323, 17.9323)* CHOOSE(CONTROL!$C$21, $C$9, 100%, $E$9)</f>
        <v>17.932300000000001</v>
      </c>
      <c r="J366" s="14">
        <f>CHOOSE(CONTROL!$C$42, 17.8701, 17.8701)* CHOOSE(CONTROL!$C$21, $C$9, 100%, $E$9)</f>
        <v>17.870100000000001</v>
      </c>
      <c r="K366" s="52">
        <f>CHOOSE(CONTROL!$C$42, 17.9284, 17.9284) * CHOOSE(CONTROL!$C$21, $C$9, 100%, $E$9)</f>
        <v>17.9284</v>
      </c>
      <c r="L366" s="14">
        <f>CHOOSE(CONTROL!$C$42, 18.7295, 18.7295) * CHOOSE(CONTROL!$C$21, $C$9, 100%, $E$9)</f>
        <v>18.729500000000002</v>
      </c>
      <c r="M366" s="14">
        <f>CHOOSE(CONTROL!$C$42, 17.5564, 17.5564) * CHOOSE(CONTROL!$C$21, $C$9, 100%, $E$9)</f>
        <v>17.5564</v>
      </c>
      <c r="N366" s="14">
        <f>CHOOSE(CONTROL!$C$42, 17.5731, 17.5731) * CHOOSE(CONTROL!$C$21, $C$9, 100%, $E$9)</f>
        <v>17.5731</v>
      </c>
      <c r="O366" s="14">
        <f>CHOOSE(CONTROL!$C$42, 17.8239, 17.8239) * CHOOSE(CONTROL!$C$21, $C$9, 100%, $E$9)</f>
        <v>17.823899999999998</v>
      </c>
      <c r="P366" s="14">
        <f>CHOOSE(CONTROL!$C$42, 17.6166, 17.6166) * CHOOSE(CONTROL!$C$21, $C$9, 100%, $E$9)</f>
        <v>17.616599999999998</v>
      </c>
      <c r="Q366" s="14">
        <f>CHOOSE(CONTROL!$C$42, 18.4186, 18.4186) * CHOOSE(CONTROL!$C$21, $C$9, 100%, $E$9)</f>
        <v>18.418600000000001</v>
      </c>
      <c r="R366" s="14">
        <f>CHOOSE(CONTROL!$C$42, 19.0516, 19.0516) * CHOOSE(CONTROL!$C$21, $C$9, 100%, $E$9)</f>
        <v>19.051600000000001</v>
      </c>
      <c r="S366" s="14">
        <f>CHOOSE(CONTROL!$C$42, 17.1465, 17.1465) * CHOOSE(CONTROL!$C$21, $C$9, 100%, $E$9)</f>
        <v>17.1465</v>
      </c>
      <c r="T3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66" s="56">
        <f>(1000*CHOOSE(CONTROL!$C$42, 695, 695)*CHOOSE(CONTROL!$C$42, 0.5599, 0.5599)*CHOOSE(CONTROL!$C$42, 30, 30))/1000000</f>
        <v>11.673914999999997</v>
      </c>
      <c r="V366" s="56">
        <f>(1000*CHOOSE(CONTROL!$C$42, 500, 500)*CHOOSE(CONTROL!$C$42, 0.275, 0.275)*CHOOSE(CONTROL!$C$42, 30, 30))/1000000</f>
        <v>4.125</v>
      </c>
      <c r="W366" s="56">
        <f>(1000*CHOOSE(CONTROL!$C$42, 0.1146, 0.1146)*CHOOSE(CONTROL!$C$42, 121.5, 121.5)*CHOOSE(CONTROL!$C$42, 30, 30))/1000000</f>
        <v>0.417717</v>
      </c>
      <c r="X366" s="56">
        <f>(30*0.1790888*245000/1000000)+(30*0.2374*100000/1000000)</f>
        <v>2.0285026799999999</v>
      </c>
      <c r="Y366" s="56"/>
      <c r="Z366" s="14"/>
      <c r="AA366" s="55"/>
      <c r="AB366" s="49">
        <f>(B366*194.205+C366*267.466+D366*133.845+E366*53.484+F366*40+G366*185+H366*0+I366*100+J366*300)/(194.205+267.466+133.845+53.484+0+40+185+100+300)</f>
        <v>17.913424058006282</v>
      </c>
      <c r="AC366" s="45">
        <f>(M366*'RAP TEMPLATE-GAS AVAILABILITY'!O365+N366*'RAP TEMPLATE-GAS AVAILABILITY'!P365+O366*'RAP TEMPLATE-GAS AVAILABILITY'!Q365+P366*'RAP TEMPLATE-GAS AVAILABILITY'!R365)/('RAP TEMPLATE-GAS AVAILABILITY'!O365+'RAP TEMPLATE-GAS AVAILABILITY'!P365+'RAP TEMPLATE-GAS AVAILABILITY'!Q365+'RAP TEMPLATE-GAS AVAILABILITY'!R365)</f>
        <v>17.643960431654676</v>
      </c>
    </row>
    <row r="367" spans="1:29" ht="15.75" x14ac:dyDescent="0.25">
      <c r="A367" s="33">
        <v>52078</v>
      </c>
      <c r="B367" s="14">
        <f>CHOOSE(CONTROL!$C$42, 17.513, 17.513) * CHOOSE(CONTROL!$C$21, $C$9, 100%, $E$9)</f>
        <v>17.513000000000002</v>
      </c>
      <c r="C367" s="14">
        <f>CHOOSE(CONTROL!$C$42, 17.521, 17.521) * CHOOSE(CONTROL!$C$21, $C$9, 100%, $E$9)</f>
        <v>17.521000000000001</v>
      </c>
      <c r="D367" s="14">
        <f>CHOOSE(CONTROL!$C$42, 17.7801, 17.7801) * CHOOSE(CONTROL!$C$21, $C$9, 100%, $E$9)</f>
        <v>17.780100000000001</v>
      </c>
      <c r="E367" s="14">
        <f>CHOOSE(CONTROL!$C$42, 17.8116, 17.8116) * CHOOSE(CONTROL!$C$21, $C$9, 100%, $E$9)</f>
        <v>17.811599999999999</v>
      </c>
      <c r="F367" s="14">
        <f>CHOOSE(CONTROL!$C$42, 17.5352, 17.5352)*CHOOSE(CONTROL!$C$21, $C$9, 100%, $E$9)</f>
        <v>17.5352</v>
      </c>
      <c r="G367" s="14">
        <f>CHOOSE(CONTROL!$C$42, 17.5524, 17.5524)*CHOOSE(CONTROL!$C$21, $C$9, 100%, $E$9)</f>
        <v>17.552399999999999</v>
      </c>
      <c r="H367" s="14">
        <f>CHOOSE(CONTROL!$C$42, 17.8002, 17.8002) * CHOOSE(CONTROL!$C$21, $C$9, 100%, $E$9)</f>
        <v>17.8002</v>
      </c>
      <c r="I367" s="14">
        <f>CHOOSE(CONTROL!$C$42, 17.5889, 17.5889)* CHOOSE(CONTROL!$C$21, $C$9, 100%, $E$9)</f>
        <v>17.588899999999999</v>
      </c>
      <c r="J367" s="14">
        <f>CHOOSE(CONTROL!$C$42, 17.5282, 17.5282)* CHOOSE(CONTROL!$C$21, $C$9, 100%, $E$9)</f>
        <v>17.528199999999998</v>
      </c>
      <c r="K367" s="52">
        <f>CHOOSE(CONTROL!$C$42, 17.5851, 17.5851) * CHOOSE(CONTROL!$C$21, $C$9, 100%, $E$9)</f>
        <v>17.585100000000001</v>
      </c>
      <c r="L367" s="14">
        <f>CHOOSE(CONTROL!$C$42, 18.3872, 18.3872) * CHOOSE(CONTROL!$C$21, $C$9, 100%, $E$9)</f>
        <v>18.3872</v>
      </c>
      <c r="M367" s="14">
        <f>CHOOSE(CONTROL!$C$42, 17.2206, 17.2206) * CHOOSE(CONTROL!$C$21, $C$9, 100%, $E$9)</f>
        <v>17.220600000000001</v>
      </c>
      <c r="N367" s="14">
        <f>CHOOSE(CONTROL!$C$42, 17.2375, 17.2375) * CHOOSE(CONTROL!$C$21, $C$9, 100%, $E$9)</f>
        <v>17.237500000000001</v>
      </c>
      <c r="O367" s="14">
        <f>CHOOSE(CONTROL!$C$42, 17.4877, 17.4877) * CHOOSE(CONTROL!$C$21, $C$9, 100%, $E$9)</f>
        <v>17.4877</v>
      </c>
      <c r="P367" s="14">
        <f>CHOOSE(CONTROL!$C$42, 17.2794, 17.2794) * CHOOSE(CONTROL!$C$21, $C$9, 100%, $E$9)</f>
        <v>17.279399999999999</v>
      </c>
      <c r="Q367" s="14">
        <f>CHOOSE(CONTROL!$C$42, 18.0824, 18.0824) * CHOOSE(CONTROL!$C$21, $C$9, 100%, $E$9)</f>
        <v>18.0824</v>
      </c>
      <c r="R367" s="14">
        <f>CHOOSE(CONTROL!$C$42, 18.7146, 18.7146) * CHOOSE(CONTROL!$C$21, $C$9, 100%, $E$9)</f>
        <v>18.714600000000001</v>
      </c>
      <c r="S367" s="14">
        <f>CHOOSE(CONTROL!$C$42, 16.8176, 16.8176) * CHOOSE(CONTROL!$C$21, $C$9, 100%, $E$9)</f>
        <v>16.817599999999999</v>
      </c>
      <c r="T3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67" s="56">
        <f>(1000*CHOOSE(CONTROL!$C$42, 695, 695)*CHOOSE(CONTROL!$C$42, 0.5599, 0.5599)*CHOOSE(CONTROL!$C$42, 31, 31))/1000000</f>
        <v>12.063045499999998</v>
      </c>
      <c r="V367" s="56">
        <f>(1000*CHOOSE(CONTROL!$C$42, 500, 500)*CHOOSE(CONTROL!$C$42, 0.275, 0.275)*CHOOSE(CONTROL!$C$42, 31, 31))/1000000</f>
        <v>4.2625000000000002</v>
      </c>
      <c r="W367" s="56">
        <f>(1000*CHOOSE(CONTROL!$C$42, 0.1146, 0.1146)*CHOOSE(CONTROL!$C$42, 121.5, 121.5)*CHOOSE(CONTROL!$C$42, 31, 31))/1000000</f>
        <v>0.43164089999999994</v>
      </c>
      <c r="X367" s="56">
        <f>(31*0.1790888*245000/1000000)+(31*0.2374*100000/1000000)</f>
        <v>2.0961194359999999</v>
      </c>
      <c r="Y367" s="56"/>
      <c r="Z367" s="14"/>
      <c r="AA367" s="55"/>
      <c r="AB367" s="49">
        <f>(B367*194.205+C367*267.466+D367*133.845+E367*53.484+F367*40+G367*185+H367*0+I367*100+J367*300)/(194.205+267.466+133.845+53.484+0+40+185+100+300)</f>
        <v>17.5712315933281</v>
      </c>
      <c r="AC367" s="45">
        <f>(M367*'RAP TEMPLATE-GAS AVAILABILITY'!O366+N367*'RAP TEMPLATE-GAS AVAILABILITY'!P366+O367*'RAP TEMPLATE-GAS AVAILABILITY'!Q366+P367*'RAP TEMPLATE-GAS AVAILABILITY'!R366)/('RAP TEMPLATE-GAS AVAILABILITY'!O366+'RAP TEMPLATE-GAS AVAILABILITY'!P366+'RAP TEMPLATE-GAS AVAILABILITY'!Q366+'RAP TEMPLATE-GAS AVAILABILITY'!R366)</f>
        <v>17.307892805755397</v>
      </c>
    </row>
    <row r="368" spans="1:29" ht="15.75" x14ac:dyDescent="0.25">
      <c r="A368" s="33">
        <v>52109</v>
      </c>
      <c r="B368" s="14">
        <f>CHOOSE(CONTROL!$C$42, 16.6485, 16.6485) * CHOOSE(CONTROL!$C$21, $C$9, 100%, $E$9)</f>
        <v>16.648499999999999</v>
      </c>
      <c r="C368" s="14">
        <f>CHOOSE(CONTROL!$C$42, 16.6566, 16.6566) * CHOOSE(CONTROL!$C$21, $C$9, 100%, $E$9)</f>
        <v>16.656600000000001</v>
      </c>
      <c r="D368" s="14">
        <f>CHOOSE(CONTROL!$C$42, 16.9156, 16.9156) * CHOOSE(CONTROL!$C$21, $C$9, 100%, $E$9)</f>
        <v>16.915600000000001</v>
      </c>
      <c r="E368" s="14">
        <f>CHOOSE(CONTROL!$C$42, 16.9471, 16.9471) * CHOOSE(CONTROL!$C$21, $C$9, 100%, $E$9)</f>
        <v>16.947099999999999</v>
      </c>
      <c r="F368" s="14">
        <f>CHOOSE(CONTROL!$C$42, 16.6709, 16.6709)*CHOOSE(CONTROL!$C$21, $C$9, 100%, $E$9)</f>
        <v>16.6709</v>
      </c>
      <c r="G368" s="14">
        <f>CHOOSE(CONTROL!$C$42, 16.6881, 16.6881)*CHOOSE(CONTROL!$C$21, $C$9, 100%, $E$9)</f>
        <v>16.688099999999999</v>
      </c>
      <c r="H368" s="14">
        <f>CHOOSE(CONTROL!$C$42, 16.9357, 16.9357) * CHOOSE(CONTROL!$C$21, $C$9, 100%, $E$9)</f>
        <v>16.935700000000001</v>
      </c>
      <c r="I368" s="14">
        <f>CHOOSE(CONTROL!$C$42, 16.7218, 16.7218)* CHOOSE(CONTROL!$C$21, $C$9, 100%, $E$9)</f>
        <v>16.721800000000002</v>
      </c>
      <c r="J368" s="14">
        <f>CHOOSE(CONTROL!$C$42, 16.6639, 16.6639)* CHOOSE(CONTROL!$C$21, $C$9, 100%, $E$9)</f>
        <v>16.663900000000002</v>
      </c>
      <c r="K368" s="52">
        <f>CHOOSE(CONTROL!$C$42, 16.7179, 16.7179) * CHOOSE(CONTROL!$C$21, $C$9, 100%, $E$9)</f>
        <v>16.7179</v>
      </c>
      <c r="L368" s="14">
        <f>CHOOSE(CONTROL!$C$42, 17.5227, 17.5227) * CHOOSE(CONTROL!$C$21, $C$9, 100%, $E$9)</f>
        <v>17.5227</v>
      </c>
      <c r="M368" s="14">
        <f>CHOOSE(CONTROL!$C$42, 16.3719, 16.3719) * CHOOSE(CONTROL!$C$21, $C$9, 100%, $E$9)</f>
        <v>16.3719</v>
      </c>
      <c r="N368" s="14">
        <f>CHOOSE(CONTROL!$C$42, 16.3888, 16.3888) * CHOOSE(CONTROL!$C$21, $C$9, 100%, $E$9)</f>
        <v>16.3888</v>
      </c>
      <c r="O368" s="14">
        <f>CHOOSE(CONTROL!$C$42, 16.6388, 16.6388) * CHOOSE(CONTROL!$C$21, $C$9, 100%, $E$9)</f>
        <v>16.6388</v>
      </c>
      <c r="P368" s="14">
        <f>CHOOSE(CONTROL!$C$42, 16.4278, 16.4278) * CHOOSE(CONTROL!$C$21, $C$9, 100%, $E$9)</f>
        <v>16.427800000000001</v>
      </c>
      <c r="Q368" s="14">
        <f>CHOOSE(CONTROL!$C$42, 17.2335, 17.2335) * CHOOSE(CONTROL!$C$21, $C$9, 100%, $E$9)</f>
        <v>17.233499999999999</v>
      </c>
      <c r="R368" s="14">
        <f>CHOOSE(CONTROL!$C$42, 17.8636, 17.8636) * CHOOSE(CONTROL!$C$21, $C$9, 100%, $E$9)</f>
        <v>17.863600000000002</v>
      </c>
      <c r="S368" s="14">
        <f>CHOOSE(CONTROL!$C$42, 15.9869, 15.9869) * CHOOSE(CONTROL!$C$21, $C$9, 100%, $E$9)</f>
        <v>15.9869</v>
      </c>
      <c r="T3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68" s="56">
        <f>(1000*CHOOSE(CONTROL!$C$42, 695, 695)*CHOOSE(CONTROL!$C$42, 0.5599, 0.5599)*CHOOSE(CONTROL!$C$42, 31, 31))/1000000</f>
        <v>12.063045499999998</v>
      </c>
      <c r="V368" s="56">
        <f>(1000*CHOOSE(CONTROL!$C$42, 500, 500)*CHOOSE(CONTROL!$C$42, 0.275, 0.275)*CHOOSE(CONTROL!$C$42, 31, 31))/1000000</f>
        <v>4.2625000000000002</v>
      </c>
      <c r="W368" s="56">
        <f>(1000*CHOOSE(CONTROL!$C$42, 0.1146, 0.1146)*CHOOSE(CONTROL!$C$42, 121.5, 121.5)*CHOOSE(CONTROL!$C$42, 31, 31))/1000000</f>
        <v>0.43164089999999994</v>
      </c>
      <c r="X368" s="56">
        <f>(31*0.1790888*245000/1000000)+(31*0.2374*100000/1000000)</f>
        <v>2.0961194359999999</v>
      </c>
      <c r="Y368" s="56"/>
      <c r="Z368" s="14"/>
      <c r="AA368" s="55"/>
      <c r="AB368" s="49">
        <f>(B368*194.205+C368*267.466+D368*133.845+E368*53.484+F368*40+G368*185+H368*0+I368*100+J368*300)/(194.205+267.466+133.845+53.484+0+40+185+100+300)</f>
        <v>16.706630923469387</v>
      </c>
      <c r="AC368" s="45">
        <f>(M368*'RAP TEMPLATE-GAS AVAILABILITY'!O367+N368*'RAP TEMPLATE-GAS AVAILABILITY'!P367+O368*'RAP TEMPLATE-GAS AVAILABILITY'!Q367+P368*'RAP TEMPLATE-GAS AVAILABILITY'!R367)/('RAP TEMPLATE-GAS AVAILABILITY'!O367+'RAP TEMPLATE-GAS AVAILABILITY'!P367+'RAP TEMPLATE-GAS AVAILABILITY'!Q367+'RAP TEMPLATE-GAS AVAILABILITY'!R367)</f>
        <v>16.45871942446043</v>
      </c>
    </row>
    <row r="369" spans="1:29" ht="15.75" x14ac:dyDescent="0.25">
      <c r="A369" s="33">
        <v>52139</v>
      </c>
      <c r="B369" s="14">
        <f>CHOOSE(CONTROL!$C$42, 15.5921, 15.5921) * CHOOSE(CONTROL!$C$21, $C$9, 100%, $E$9)</f>
        <v>15.5921</v>
      </c>
      <c r="C369" s="14">
        <f>CHOOSE(CONTROL!$C$42, 15.6001, 15.6001) * CHOOSE(CONTROL!$C$21, $C$9, 100%, $E$9)</f>
        <v>15.600099999999999</v>
      </c>
      <c r="D369" s="14">
        <f>CHOOSE(CONTROL!$C$42, 15.8592, 15.8592) * CHOOSE(CONTROL!$C$21, $C$9, 100%, $E$9)</f>
        <v>15.8592</v>
      </c>
      <c r="E369" s="14">
        <f>CHOOSE(CONTROL!$C$42, 15.8907, 15.8907) * CHOOSE(CONTROL!$C$21, $C$9, 100%, $E$9)</f>
        <v>15.890700000000001</v>
      </c>
      <c r="F369" s="14">
        <f>CHOOSE(CONTROL!$C$42, 15.6146, 15.6146)*CHOOSE(CONTROL!$C$21, $C$9, 100%, $E$9)</f>
        <v>15.614599999999999</v>
      </c>
      <c r="G369" s="14">
        <f>CHOOSE(CONTROL!$C$42, 15.6318, 15.6318)*CHOOSE(CONTROL!$C$21, $C$9, 100%, $E$9)</f>
        <v>15.6318</v>
      </c>
      <c r="H369" s="14">
        <f>CHOOSE(CONTROL!$C$42, 15.8793, 15.8793) * CHOOSE(CONTROL!$C$21, $C$9, 100%, $E$9)</f>
        <v>15.879300000000001</v>
      </c>
      <c r="I369" s="14">
        <f>CHOOSE(CONTROL!$C$42, 15.662, 15.662)* CHOOSE(CONTROL!$C$21, $C$9, 100%, $E$9)</f>
        <v>15.662000000000001</v>
      </c>
      <c r="J369" s="14">
        <f>CHOOSE(CONTROL!$C$42, 15.6076, 15.6076)* CHOOSE(CONTROL!$C$21, $C$9, 100%, $E$9)</f>
        <v>15.6076</v>
      </c>
      <c r="K369" s="52">
        <f>CHOOSE(CONTROL!$C$42, 15.6581, 15.6581) * CHOOSE(CONTROL!$C$21, $C$9, 100%, $E$9)</f>
        <v>15.658099999999999</v>
      </c>
      <c r="L369" s="14">
        <f>CHOOSE(CONTROL!$C$42, 16.4663, 16.4663) * CHOOSE(CONTROL!$C$21, $C$9, 100%, $E$9)</f>
        <v>16.4663</v>
      </c>
      <c r="M369" s="14">
        <f>CHOOSE(CONTROL!$C$42, 15.3345, 15.3345) * CHOOSE(CONTROL!$C$21, $C$9, 100%, $E$9)</f>
        <v>15.3345</v>
      </c>
      <c r="N369" s="14">
        <f>CHOOSE(CONTROL!$C$42, 15.3514, 15.3514) * CHOOSE(CONTROL!$C$21, $C$9, 100%, $E$9)</f>
        <v>15.3514</v>
      </c>
      <c r="O369" s="14">
        <f>CHOOSE(CONTROL!$C$42, 15.6014, 15.6014) * CHOOSE(CONTROL!$C$21, $C$9, 100%, $E$9)</f>
        <v>15.6014</v>
      </c>
      <c r="P369" s="14">
        <f>CHOOSE(CONTROL!$C$42, 15.3872, 15.3872) * CHOOSE(CONTROL!$C$21, $C$9, 100%, $E$9)</f>
        <v>15.3872</v>
      </c>
      <c r="Q369" s="14">
        <f>CHOOSE(CONTROL!$C$42, 16.1961, 16.1961) * CHOOSE(CONTROL!$C$21, $C$9, 100%, $E$9)</f>
        <v>16.196100000000001</v>
      </c>
      <c r="R369" s="14">
        <f>CHOOSE(CONTROL!$C$42, 16.8236, 16.8236) * CHOOSE(CONTROL!$C$21, $C$9, 100%, $E$9)</f>
        <v>16.823599999999999</v>
      </c>
      <c r="S369" s="14">
        <f>CHOOSE(CONTROL!$C$42, 14.9718, 14.9718) * CHOOSE(CONTROL!$C$21, $C$9, 100%, $E$9)</f>
        <v>14.9718</v>
      </c>
      <c r="T3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69" s="56">
        <f>(1000*CHOOSE(CONTROL!$C$42, 695, 695)*CHOOSE(CONTROL!$C$42, 0.5599, 0.5599)*CHOOSE(CONTROL!$C$42, 30, 30))/1000000</f>
        <v>11.673914999999997</v>
      </c>
      <c r="V369" s="56">
        <f>(1000*CHOOSE(CONTROL!$C$42, 500, 500)*CHOOSE(CONTROL!$C$42, 0.275, 0.275)*CHOOSE(CONTROL!$C$42, 30, 30))/1000000</f>
        <v>4.125</v>
      </c>
      <c r="W369" s="56">
        <f>(1000*CHOOSE(CONTROL!$C$42, 0.1146, 0.1146)*CHOOSE(CONTROL!$C$42, 121.5, 121.5)*CHOOSE(CONTROL!$C$42, 30, 30))/1000000</f>
        <v>0.417717</v>
      </c>
      <c r="X369" s="56">
        <f>(30*0.1790888*245000/1000000)+(30*0.2374*100000/1000000)</f>
        <v>2.0285026799999999</v>
      </c>
      <c r="Y369" s="56"/>
      <c r="Z369" s="14"/>
      <c r="AA369" s="55"/>
      <c r="AB369" s="49">
        <f>(B369*194.205+C369*267.466+D369*133.845+E369*53.484+F369*40+G369*185+H369*0+I369*100+J369*300)/(194.205+267.466+133.845+53.484+0+40+185+100+300)</f>
        <v>15.64998426208791</v>
      </c>
      <c r="AC369" s="45">
        <f>(M369*'RAP TEMPLATE-GAS AVAILABILITY'!O368+N369*'RAP TEMPLATE-GAS AVAILABILITY'!P368+O369*'RAP TEMPLATE-GAS AVAILABILITY'!Q368+P369*'RAP TEMPLATE-GAS AVAILABILITY'!R368)/('RAP TEMPLATE-GAS AVAILABILITY'!O368+'RAP TEMPLATE-GAS AVAILABILITY'!P368+'RAP TEMPLATE-GAS AVAILABILITY'!Q368+'RAP TEMPLATE-GAS AVAILABILITY'!R368)</f>
        <v>15.420858992805757</v>
      </c>
    </row>
    <row r="370" spans="1:29" ht="15.75" x14ac:dyDescent="0.25">
      <c r="A370" s="33">
        <v>52170</v>
      </c>
      <c r="B370" s="14">
        <f>CHOOSE(CONTROL!$C$42, 15.274, 15.274) * CHOOSE(CONTROL!$C$21, $C$9, 100%, $E$9)</f>
        <v>15.273999999999999</v>
      </c>
      <c r="C370" s="14">
        <f>CHOOSE(CONTROL!$C$42, 15.2793, 15.2793) * CHOOSE(CONTROL!$C$21, $C$9, 100%, $E$9)</f>
        <v>15.279299999999999</v>
      </c>
      <c r="D370" s="14">
        <f>CHOOSE(CONTROL!$C$42, 15.5434, 15.5434) * CHOOSE(CONTROL!$C$21, $C$9, 100%, $E$9)</f>
        <v>15.5434</v>
      </c>
      <c r="E370" s="14">
        <f>CHOOSE(CONTROL!$C$42, 15.5725, 15.5725) * CHOOSE(CONTROL!$C$21, $C$9, 100%, $E$9)</f>
        <v>15.5725</v>
      </c>
      <c r="F370" s="14">
        <f>CHOOSE(CONTROL!$C$42, 15.2986, 15.2986)*CHOOSE(CONTROL!$C$21, $C$9, 100%, $E$9)</f>
        <v>15.2986</v>
      </c>
      <c r="G370" s="14">
        <f>CHOOSE(CONTROL!$C$42, 15.3157, 15.3157)*CHOOSE(CONTROL!$C$21, $C$9, 100%, $E$9)</f>
        <v>15.3157</v>
      </c>
      <c r="H370" s="14">
        <f>CHOOSE(CONTROL!$C$42, 15.563, 15.563) * CHOOSE(CONTROL!$C$21, $C$9, 100%, $E$9)</f>
        <v>15.563000000000001</v>
      </c>
      <c r="I370" s="14">
        <f>CHOOSE(CONTROL!$C$42, 15.3447, 15.3447)* CHOOSE(CONTROL!$C$21, $C$9, 100%, $E$9)</f>
        <v>15.3447</v>
      </c>
      <c r="J370" s="14">
        <f>CHOOSE(CONTROL!$C$42, 15.2916, 15.2916)* CHOOSE(CONTROL!$C$21, $C$9, 100%, $E$9)</f>
        <v>15.291600000000001</v>
      </c>
      <c r="K370" s="52">
        <f>CHOOSE(CONTROL!$C$42, 15.3408, 15.3408) * CHOOSE(CONTROL!$C$21, $C$9, 100%, $E$9)</f>
        <v>15.3408</v>
      </c>
      <c r="L370" s="14">
        <f>CHOOSE(CONTROL!$C$42, 16.15, 16.15) * CHOOSE(CONTROL!$C$21, $C$9, 100%, $E$9)</f>
        <v>16.149999999999999</v>
      </c>
      <c r="M370" s="14">
        <f>CHOOSE(CONTROL!$C$42, 15.0243, 15.0243) * CHOOSE(CONTROL!$C$21, $C$9, 100%, $E$9)</f>
        <v>15.0243</v>
      </c>
      <c r="N370" s="14">
        <f>CHOOSE(CONTROL!$C$42, 15.0411, 15.0411) * CHOOSE(CONTROL!$C$21, $C$9, 100%, $E$9)</f>
        <v>15.0411</v>
      </c>
      <c r="O370" s="14">
        <f>CHOOSE(CONTROL!$C$42, 15.2907, 15.2907) * CHOOSE(CONTROL!$C$21, $C$9, 100%, $E$9)</f>
        <v>15.290699999999999</v>
      </c>
      <c r="P370" s="14">
        <f>CHOOSE(CONTROL!$C$42, 15.0756, 15.0756) * CHOOSE(CONTROL!$C$21, $C$9, 100%, $E$9)</f>
        <v>15.0756</v>
      </c>
      <c r="Q370" s="14">
        <f>CHOOSE(CONTROL!$C$42, 15.8854, 15.8854) * CHOOSE(CONTROL!$C$21, $C$9, 100%, $E$9)</f>
        <v>15.885400000000001</v>
      </c>
      <c r="R370" s="14">
        <f>CHOOSE(CONTROL!$C$42, 16.5121, 16.5121) * CHOOSE(CONTROL!$C$21, $C$9, 100%, $E$9)</f>
        <v>16.5121</v>
      </c>
      <c r="S370" s="14">
        <f>CHOOSE(CONTROL!$C$42, 14.6678, 14.6678) * CHOOSE(CONTROL!$C$21, $C$9, 100%, $E$9)</f>
        <v>14.6678</v>
      </c>
      <c r="T3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70" s="56">
        <f>(1000*CHOOSE(CONTROL!$C$42, 695, 695)*CHOOSE(CONTROL!$C$42, 0.5599, 0.5599)*CHOOSE(CONTROL!$C$42, 31, 31))/1000000</f>
        <v>12.063045499999998</v>
      </c>
      <c r="V370" s="56">
        <f>(1000*CHOOSE(CONTROL!$C$42, 500, 500)*CHOOSE(CONTROL!$C$42, 0.275, 0.275)*CHOOSE(CONTROL!$C$42, 31, 31))/1000000</f>
        <v>4.2625000000000002</v>
      </c>
      <c r="W370" s="56">
        <f>(1000*CHOOSE(CONTROL!$C$42, 0.1146, 0.1146)*CHOOSE(CONTROL!$C$42, 121.5, 121.5)*CHOOSE(CONTROL!$C$42, 31, 31))/1000000</f>
        <v>0.43164089999999994</v>
      </c>
      <c r="X370" s="56">
        <f>(31*0.1790888*245000/1000000)+(31*0.2374*100000/1000000)</f>
        <v>2.0961194359999999</v>
      </c>
      <c r="Y370" s="56"/>
      <c r="Z370" s="14"/>
      <c r="AA370" s="55"/>
      <c r="AB370" s="49">
        <f>(B370*131.881+C370*277.167+D370*79.08+E370*125.872+F370*40+G370*185+H370*0+I370*100+J370*300)/(131.881+277.167+79.08+125.872+0+40+185+100+300)</f>
        <v>15.339693647376919</v>
      </c>
      <c r="AC370" s="45">
        <f>(M370*'RAP TEMPLATE-GAS AVAILABILITY'!O369+N370*'RAP TEMPLATE-GAS AVAILABILITY'!P369+O370*'RAP TEMPLATE-GAS AVAILABILITY'!Q369+P370*'RAP TEMPLATE-GAS AVAILABILITY'!R369)/('RAP TEMPLATE-GAS AVAILABILITY'!O369+'RAP TEMPLATE-GAS AVAILABILITY'!P369+'RAP TEMPLATE-GAS AVAILABILITY'!Q369+'RAP TEMPLATE-GAS AVAILABILITY'!R369)</f>
        <v>15.110294244604315</v>
      </c>
    </row>
    <row r="371" spans="1:29" ht="15.75" x14ac:dyDescent="0.25">
      <c r="A371" s="33">
        <v>52200</v>
      </c>
      <c r="B371" s="14">
        <f>CHOOSE(CONTROL!$C$42, 15.6757, 15.6757) * CHOOSE(CONTROL!$C$21, $C$9, 100%, $E$9)</f>
        <v>15.675700000000001</v>
      </c>
      <c r="C371" s="14">
        <f>CHOOSE(CONTROL!$C$42, 15.6808, 15.6808) * CHOOSE(CONTROL!$C$21, $C$9, 100%, $E$9)</f>
        <v>15.6808</v>
      </c>
      <c r="D371" s="14">
        <f>CHOOSE(CONTROL!$C$42, 15.7638, 15.7638) * CHOOSE(CONTROL!$C$21, $C$9, 100%, $E$9)</f>
        <v>15.7638</v>
      </c>
      <c r="E371" s="14">
        <f>CHOOSE(CONTROL!$C$42, 15.7979, 15.7979) * CHOOSE(CONTROL!$C$21, $C$9, 100%, $E$9)</f>
        <v>15.7979</v>
      </c>
      <c r="F371" s="14">
        <f>CHOOSE(CONTROL!$C$42, 15.7033, 15.7033)*CHOOSE(CONTROL!$C$21, $C$9, 100%, $E$9)</f>
        <v>15.7033</v>
      </c>
      <c r="G371" s="14">
        <f>CHOOSE(CONTROL!$C$42, 15.7207, 15.7207)*CHOOSE(CONTROL!$C$21, $C$9, 100%, $E$9)</f>
        <v>15.720700000000001</v>
      </c>
      <c r="H371" s="14">
        <f>CHOOSE(CONTROL!$C$42, 15.7871, 15.7871) * CHOOSE(CONTROL!$C$21, $C$9, 100%, $E$9)</f>
        <v>15.787100000000001</v>
      </c>
      <c r="I371" s="14">
        <f>CHOOSE(CONTROL!$C$42, 15.7444, 15.7444)* CHOOSE(CONTROL!$C$21, $C$9, 100%, $E$9)</f>
        <v>15.744400000000001</v>
      </c>
      <c r="J371" s="14">
        <f>CHOOSE(CONTROL!$C$42, 15.6963, 15.6963)* CHOOSE(CONTROL!$C$21, $C$9, 100%, $E$9)</f>
        <v>15.696300000000001</v>
      </c>
      <c r="K371" s="52">
        <f>CHOOSE(CONTROL!$C$42, 15.7405, 15.7405) * CHOOSE(CONTROL!$C$21, $C$9, 100%, $E$9)</f>
        <v>15.740500000000001</v>
      </c>
      <c r="L371" s="14">
        <f>CHOOSE(CONTROL!$C$42, 16.3741, 16.3741) * CHOOSE(CONTROL!$C$21, $C$9, 100%, $E$9)</f>
        <v>16.374099999999999</v>
      </c>
      <c r="M371" s="14">
        <f>CHOOSE(CONTROL!$C$42, 15.4217, 15.4217) * CHOOSE(CONTROL!$C$21, $C$9, 100%, $E$9)</f>
        <v>15.4217</v>
      </c>
      <c r="N371" s="14">
        <f>CHOOSE(CONTROL!$C$42, 15.4387, 15.4387) * CHOOSE(CONTROL!$C$21, $C$9, 100%, $E$9)</f>
        <v>15.438700000000001</v>
      </c>
      <c r="O371" s="14">
        <f>CHOOSE(CONTROL!$C$42, 15.5109, 15.5109) * CHOOSE(CONTROL!$C$21, $C$9, 100%, $E$9)</f>
        <v>15.510899999999999</v>
      </c>
      <c r="P371" s="14">
        <f>CHOOSE(CONTROL!$C$42, 15.4681, 15.4681) * CHOOSE(CONTROL!$C$21, $C$9, 100%, $E$9)</f>
        <v>15.4681</v>
      </c>
      <c r="Q371" s="14">
        <f>CHOOSE(CONTROL!$C$42, 16.1056, 16.1056) * CHOOSE(CONTROL!$C$21, $C$9, 100%, $E$9)</f>
        <v>16.105599999999999</v>
      </c>
      <c r="R371" s="14">
        <f>CHOOSE(CONTROL!$C$42, 16.7328, 16.7328) * CHOOSE(CONTROL!$C$21, $C$9, 100%, $E$9)</f>
        <v>16.732800000000001</v>
      </c>
      <c r="S371" s="14">
        <f>CHOOSE(CONTROL!$C$42, 15.0542, 15.0542) * CHOOSE(CONTROL!$C$21, $C$9, 100%, $E$9)</f>
        <v>15.0542</v>
      </c>
      <c r="T3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71" s="56">
        <f>(1000*CHOOSE(CONTROL!$C$42, 695, 695)*CHOOSE(CONTROL!$C$42, 0.5599, 0.5599)*CHOOSE(CONTROL!$C$42, 30, 30))/1000000</f>
        <v>11.673914999999997</v>
      </c>
      <c r="V371" s="56">
        <f>(1000*CHOOSE(CONTROL!$C$42, 500, 500)*CHOOSE(CONTROL!$C$42, 0.275, 0.275)*CHOOSE(CONTROL!$C$42, 30, 30))/1000000</f>
        <v>4.125</v>
      </c>
      <c r="W371" s="56">
        <f>(1000*CHOOSE(CONTROL!$C$42, 0.1146, 0.1146)*CHOOSE(CONTROL!$C$42, 121.5, 121.5)*CHOOSE(CONTROL!$C$42, 30, 30))/1000000</f>
        <v>0.417717</v>
      </c>
      <c r="X371" s="56">
        <f>(30*0.1790888*100000/1000000)+(30*0.2374*100000/1000000)</f>
        <v>1.2494664</v>
      </c>
      <c r="Y371" s="56"/>
      <c r="Z371" s="14"/>
      <c r="AA371" s="55"/>
      <c r="AB371" s="49">
        <f>(B371*122.58+C371*297.941+D371*89.177+E371*40.302+F371*40+G371*160+H371*0+I371*100+J371*300)/(122.58+297.941+89.177+40.302+0+40+160+100+300)</f>
        <v>15.706704258434781</v>
      </c>
      <c r="AC371" s="45">
        <f>(M371*'RAP TEMPLATE-GAS AVAILABILITY'!O370+N371*'RAP TEMPLATE-GAS AVAILABILITY'!P370+O371*'RAP TEMPLATE-GAS AVAILABILITY'!Q370+P371*'RAP TEMPLATE-GAS AVAILABILITY'!R370)/('RAP TEMPLATE-GAS AVAILABILITY'!O370+'RAP TEMPLATE-GAS AVAILABILITY'!P370+'RAP TEMPLATE-GAS AVAILABILITY'!Q370+'RAP TEMPLATE-GAS AVAILABILITY'!R370)</f>
        <v>15.46978345323741</v>
      </c>
    </row>
    <row r="372" spans="1:29" ht="15.75" x14ac:dyDescent="0.25">
      <c r="A372" s="33">
        <v>52231</v>
      </c>
      <c r="B372" s="14">
        <f>CHOOSE(CONTROL!$C$42, 16.7438, 16.7438) * CHOOSE(CONTROL!$C$21, $C$9, 100%, $E$9)</f>
        <v>16.7438</v>
      </c>
      <c r="C372" s="14">
        <f>CHOOSE(CONTROL!$C$42, 16.7489, 16.7489) * CHOOSE(CONTROL!$C$21, $C$9, 100%, $E$9)</f>
        <v>16.748899999999999</v>
      </c>
      <c r="D372" s="14">
        <f>CHOOSE(CONTROL!$C$42, 16.8319, 16.8319) * CHOOSE(CONTROL!$C$21, $C$9, 100%, $E$9)</f>
        <v>16.831900000000001</v>
      </c>
      <c r="E372" s="14">
        <f>CHOOSE(CONTROL!$C$42, 16.866, 16.866) * CHOOSE(CONTROL!$C$21, $C$9, 100%, $E$9)</f>
        <v>16.866</v>
      </c>
      <c r="F372" s="14">
        <f>CHOOSE(CONTROL!$C$42, 16.7739, 16.7739)*CHOOSE(CONTROL!$C$21, $C$9, 100%, $E$9)</f>
        <v>16.773900000000001</v>
      </c>
      <c r="G372" s="14">
        <f>CHOOSE(CONTROL!$C$42, 16.7919, 16.7919)*CHOOSE(CONTROL!$C$21, $C$9, 100%, $E$9)</f>
        <v>16.791899999999998</v>
      </c>
      <c r="H372" s="14">
        <f>CHOOSE(CONTROL!$C$42, 16.8552, 16.8552) * CHOOSE(CONTROL!$C$21, $C$9, 100%, $E$9)</f>
        <v>16.8552</v>
      </c>
      <c r="I372" s="14">
        <f>CHOOSE(CONTROL!$C$42, 16.8159, 16.8159)* CHOOSE(CONTROL!$C$21, $C$9, 100%, $E$9)</f>
        <v>16.815899999999999</v>
      </c>
      <c r="J372" s="14">
        <f>CHOOSE(CONTROL!$C$42, 16.7669, 16.7669)* CHOOSE(CONTROL!$C$21, $C$9, 100%, $E$9)</f>
        <v>16.7669</v>
      </c>
      <c r="K372" s="52">
        <f>CHOOSE(CONTROL!$C$42, 16.812, 16.812) * CHOOSE(CONTROL!$C$21, $C$9, 100%, $E$9)</f>
        <v>16.812000000000001</v>
      </c>
      <c r="L372" s="14">
        <f>CHOOSE(CONTROL!$C$42, 17.4422, 17.4422) * CHOOSE(CONTROL!$C$21, $C$9, 100%, $E$9)</f>
        <v>17.4422</v>
      </c>
      <c r="M372" s="14">
        <f>CHOOSE(CONTROL!$C$42, 16.473, 16.473) * CHOOSE(CONTROL!$C$21, $C$9, 100%, $E$9)</f>
        <v>16.472999999999999</v>
      </c>
      <c r="N372" s="14">
        <f>CHOOSE(CONTROL!$C$42, 16.4907, 16.4907) * CHOOSE(CONTROL!$C$21, $C$9, 100%, $E$9)</f>
        <v>16.4907</v>
      </c>
      <c r="O372" s="14">
        <f>CHOOSE(CONTROL!$C$42, 16.5598, 16.5598) * CHOOSE(CONTROL!$C$21, $C$9, 100%, $E$9)</f>
        <v>16.559799999999999</v>
      </c>
      <c r="P372" s="14">
        <f>CHOOSE(CONTROL!$C$42, 16.5202, 16.5202) * CHOOSE(CONTROL!$C$21, $C$9, 100%, $E$9)</f>
        <v>16.520199999999999</v>
      </c>
      <c r="Q372" s="14">
        <f>CHOOSE(CONTROL!$C$42, 17.1545, 17.1545) * CHOOSE(CONTROL!$C$21, $C$9, 100%, $E$9)</f>
        <v>17.154499999999999</v>
      </c>
      <c r="R372" s="14">
        <f>CHOOSE(CONTROL!$C$42, 17.7843, 17.7843) * CHOOSE(CONTROL!$C$21, $C$9, 100%, $E$9)</f>
        <v>17.784300000000002</v>
      </c>
      <c r="S372" s="14">
        <f>CHOOSE(CONTROL!$C$42, 16.0806, 16.0806) * CHOOSE(CONTROL!$C$21, $C$9, 100%, $E$9)</f>
        <v>16.0806</v>
      </c>
      <c r="T3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72" s="56">
        <f>(1000*CHOOSE(CONTROL!$C$42, 695, 695)*CHOOSE(CONTROL!$C$42, 0.5599, 0.5599)*CHOOSE(CONTROL!$C$42, 31, 31))/1000000</f>
        <v>12.063045499999998</v>
      </c>
      <c r="V372" s="56">
        <f>(1000*CHOOSE(CONTROL!$C$42, 500, 500)*CHOOSE(CONTROL!$C$42, 0.275, 0.275)*CHOOSE(CONTROL!$C$42, 31, 31))/1000000</f>
        <v>4.2625000000000002</v>
      </c>
      <c r="W372" s="56">
        <f>(1000*CHOOSE(CONTROL!$C$42, 0.1146, 0.1146)*CHOOSE(CONTROL!$C$42, 121.5, 121.5)*CHOOSE(CONTROL!$C$42, 31, 31))/1000000</f>
        <v>0.43164089999999994</v>
      </c>
      <c r="X372" s="56">
        <f>(31*0.1790888*100000/1000000)+(31*0.2374*100000/1000000)</f>
        <v>1.2911152800000001</v>
      </c>
      <c r="Y372" s="56"/>
      <c r="Z372" s="14"/>
      <c r="AA372" s="55"/>
      <c r="AB372" s="49">
        <f>(B372*122.58+C372*297.941+D372*89.177+E372*40.302+F372*40+G372*160+H372*0+I372*100+J372*300)/(122.58+297.941+89.177+40.302+0+40+160+100+300)</f>
        <v>16.776270345391303</v>
      </c>
      <c r="AC372" s="45">
        <f>(M372*'RAP TEMPLATE-GAS AVAILABILITY'!O371+N372*'RAP TEMPLATE-GAS AVAILABILITY'!P371+O372*'RAP TEMPLATE-GAS AVAILABILITY'!Q371+P372*'RAP TEMPLATE-GAS AVAILABILITY'!R371)/('RAP TEMPLATE-GAS AVAILABILITY'!O371+'RAP TEMPLATE-GAS AVAILABILITY'!P371+'RAP TEMPLATE-GAS AVAILABILITY'!Q371+'RAP TEMPLATE-GAS AVAILABILITY'!R371)</f>
        <v>16.520151079136689</v>
      </c>
    </row>
    <row r="373" spans="1:29" ht="15.75" x14ac:dyDescent="0.25">
      <c r="A373" s="33">
        <v>52262</v>
      </c>
      <c r="B373" s="14">
        <f>CHOOSE(CONTROL!$C$42, 18.1311, 18.1311) * CHOOSE(CONTROL!$C$21, $C$9, 100%, $E$9)</f>
        <v>18.1311</v>
      </c>
      <c r="C373" s="14">
        <f>CHOOSE(CONTROL!$C$42, 18.1361, 18.1361) * CHOOSE(CONTROL!$C$21, $C$9, 100%, $E$9)</f>
        <v>18.136099999999999</v>
      </c>
      <c r="D373" s="14">
        <f>CHOOSE(CONTROL!$C$42, 18.2296, 18.2296) * CHOOSE(CONTROL!$C$21, $C$9, 100%, $E$9)</f>
        <v>18.229600000000001</v>
      </c>
      <c r="E373" s="14">
        <f>CHOOSE(CONTROL!$C$42, 18.2637, 18.2637) * CHOOSE(CONTROL!$C$21, $C$9, 100%, $E$9)</f>
        <v>18.2637</v>
      </c>
      <c r="F373" s="14">
        <f>CHOOSE(CONTROL!$C$42, 18.1584, 18.1584)*CHOOSE(CONTROL!$C$21, $C$9, 100%, $E$9)</f>
        <v>18.1584</v>
      </c>
      <c r="G373" s="14">
        <f>CHOOSE(CONTROL!$C$42, 18.1763, 18.1763)*CHOOSE(CONTROL!$C$21, $C$9, 100%, $E$9)</f>
        <v>18.176300000000001</v>
      </c>
      <c r="H373" s="14">
        <f>CHOOSE(CONTROL!$C$42, 18.2529, 18.2529) * CHOOSE(CONTROL!$C$21, $C$9, 100%, $E$9)</f>
        <v>18.2529</v>
      </c>
      <c r="I373" s="14">
        <f>CHOOSE(CONTROL!$C$42, 18.2137, 18.2137)* CHOOSE(CONTROL!$C$21, $C$9, 100%, $E$9)</f>
        <v>18.213699999999999</v>
      </c>
      <c r="J373" s="14">
        <f>CHOOSE(CONTROL!$C$42, 18.1514, 18.1514)* CHOOSE(CONTROL!$C$21, $C$9, 100%, $E$9)</f>
        <v>18.151399999999999</v>
      </c>
      <c r="K373" s="52">
        <f>CHOOSE(CONTROL!$C$42, 18.2099, 18.2099) * CHOOSE(CONTROL!$C$21, $C$9, 100%, $E$9)</f>
        <v>18.209900000000001</v>
      </c>
      <c r="L373" s="14">
        <f>CHOOSE(CONTROL!$C$42, 18.8399, 18.8399) * CHOOSE(CONTROL!$C$21, $C$9, 100%, $E$9)</f>
        <v>18.8399</v>
      </c>
      <c r="M373" s="14">
        <f>CHOOSE(CONTROL!$C$42, 17.8326, 17.8326) * CHOOSE(CONTROL!$C$21, $C$9, 100%, $E$9)</f>
        <v>17.832599999999999</v>
      </c>
      <c r="N373" s="14">
        <f>CHOOSE(CONTROL!$C$42, 17.8502, 17.8502) * CHOOSE(CONTROL!$C$21, $C$9, 100%, $E$9)</f>
        <v>17.850200000000001</v>
      </c>
      <c r="O373" s="14">
        <f>CHOOSE(CONTROL!$C$42, 17.9323, 17.9323) * CHOOSE(CONTROL!$C$21, $C$9, 100%, $E$9)</f>
        <v>17.932300000000001</v>
      </c>
      <c r="P373" s="14">
        <f>CHOOSE(CONTROL!$C$42, 17.8929, 17.8929) * CHOOSE(CONTROL!$C$21, $C$9, 100%, $E$9)</f>
        <v>17.892900000000001</v>
      </c>
      <c r="Q373" s="14">
        <f>CHOOSE(CONTROL!$C$42, 18.527, 18.527) * CHOOSE(CONTROL!$C$21, $C$9, 100%, $E$9)</f>
        <v>18.527000000000001</v>
      </c>
      <c r="R373" s="14">
        <f>CHOOSE(CONTROL!$C$42, 19.1603, 19.1603) * CHOOSE(CONTROL!$C$21, $C$9, 100%, $E$9)</f>
        <v>19.160299999999999</v>
      </c>
      <c r="S373" s="14">
        <f>CHOOSE(CONTROL!$C$42, 17.4136, 17.4136) * CHOOSE(CONTROL!$C$21, $C$9, 100%, $E$9)</f>
        <v>17.413599999999999</v>
      </c>
      <c r="T3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3" s="56">
        <f>(1000*CHOOSE(CONTROL!$C$42, 695, 695)*CHOOSE(CONTROL!$C$42, 0.5599, 0.5599)*CHOOSE(CONTROL!$C$42, 31, 31))/1000000</f>
        <v>12.063045499999998</v>
      </c>
      <c r="V373" s="56">
        <f>(1000*CHOOSE(CONTROL!$C$42, 500, 500)*CHOOSE(CONTROL!$C$42, 0.275, 0.275)*CHOOSE(CONTROL!$C$42, 31, 31))/1000000</f>
        <v>4.2625000000000002</v>
      </c>
      <c r="W373" s="56">
        <f>(1000*CHOOSE(CONTROL!$C$42, 0.1146, 0.1146)*CHOOSE(CONTROL!$C$42, 121.5, 121.5)*CHOOSE(CONTROL!$C$42, 31, 31))/1000000</f>
        <v>0.43164089999999994</v>
      </c>
      <c r="X373" s="56">
        <f>(31*0.1790888*100000/1000000)+(31*0.2374*100000/1000000)</f>
        <v>1.2911152800000001</v>
      </c>
      <c r="Y373" s="56"/>
      <c r="Z373" s="14"/>
      <c r="AA373" s="55"/>
      <c r="AB373" s="49">
        <f>(B373*122.58+C373*297.941+D373*89.177+E373*40.302+F373*40+G373*160+H373*0+I373*100+J373*300)/(122.58+297.941+89.177+40.302+0+40+160+100+300)</f>
        <v>18.164397117130434</v>
      </c>
      <c r="AC373" s="45">
        <f>(M373*'RAP TEMPLATE-GAS AVAILABILITY'!O372+N373*'RAP TEMPLATE-GAS AVAILABILITY'!P372+O373*'RAP TEMPLATE-GAS AVAILABILITY'!Q372+P373*'RAP TEMPLATE-GAS AVAILABILITY'!R372)/('RAP TEMPLATE-GAS AVAILABILITY'!O372+'RAP TEMPLATE-GAS AVAILABILITY'!P372+'RAP TEMPLATE-GAS AVAILABILITY'!Q372+'RAP TEMPLATE-GAS AVAILABILITY'!R372)</f>
        <v>17.887476978417268</v>
      </c>
    </row>
    <row r="374" spans="1:29" ht="15.75" x14ac:dyDescent="0.25">
      <c r="A374" s="33">
        <v>52290</v>
      </c>
      <c r="B374" s="14">
        <f>CHOOSE(CONTROL!$C$42, 18.4537, 18.4537) * CHOOSE(CONTROL!$C$21, $C$9, 100%, $E$9)</f>
        <v>18.453700000000001</v>
      </c>
      <c r="C374" s="14">
        <f>CHOOSE(CONTROL!$C$42, 18.4587, 18.4587) * CHOOSE(CONTROL!$C$21, $C$9, 100%, $E$9)</f>
        <v>18.4587</v>
      </c>
      <c r="D374" s="14">
        <f>CHOOSE(CONTROL!$C$42, 18.5522, 18.5522) * CHOOSE(CONTROL!$C$21, $C$9, 100%, $E$9)</f>
        <v>18.552199999999999</v>
      </c>
      <c r="E374" s="14">
        <f>CHOOSE(CONTROL!$C$42, 18.5863, 18.5863) * CHOOSE(CONTROL!$C$21, $C$9, 100%, $E$9)</f>
        <v>18.586300000000001</v>
      </c>
      <c r="F374" s="14">
        <f>CHOOSE(CONTROL!$C$42, 18.4806, 18.4806)*CHOOSE(CONTROL!$C$21, $C$9, 100%, $E$9)</f>
        <v>18.480599999999999</v>
      </c>
      <c r="G374" s="14">
        <f>CHOOSE(CONTROL!$C$42, 18.4985, 18.4985)*CHOOSE(CONTROL!$C$21, $C$9, 100%, $E$9)</f>
        <v>18.4985</v>
      </c>
      <c r="H374" s="14">
        <f>CHOOSE(CONTROL!$C$42, 18.5755, 18.5755) * CHOOSE(CONTROL!$C$21, $C$9, 100%, $E$9)</f>
        <v>18.575500000000002</v>
      </c>
      <c r="I374" s="14">
        <f>CHOOSE(CONTROL!$C$42, 18.5373, 18.5373)* CHOOSE(CONTROL!$C$21, $C$9, 100%, $E$9)</f>
        <v>18.537299999999998</v>
      </c>
      <c r="J374" s="14">
        <f>CHOOSE(CONTROL!$C$42, 18.4736, 18.4736)* CHOOSE(CONTROL!$C$21, $C$9, 100%, $E$9)</f>
        <v>18.473600000000001</v>
      </c>
      <c r="K374" s="52">
        <f>CHOOSE(CONTROL!$C$42, 18.5335, 18.5335) * CHOOSE(CONTROL!$C$21, $C$9, 100%, $E$9)</f>
        <v>18.5335</v>
      </c>
      <c r="L374" s="14">
        <f>CHOOSE(CONTROL!$C$42, 19.1625, 19.1625) * CHOOSE(CONTROL!$C$21, $C$9, 100%, $E$9)</f>
        <v>19.162500000000001</v>
      </c>
      <c r="M374" s="14">
        <f>CHOOSE(CONTROL!$C$42, 18.149, 18.149) * CHOOSE(CONTROL!$C$21, $C$9, 100%, $E$9)</f>
        <v>18.149000000000001</v>
      </c>
      <c r="N374" s="14">
        <f>CHOOSE(CONTROL!$C$42, 18.1666, 18.1666) * CHOOSE(CONTROL!$C$21, $C$9, 100%, $E$9)</f>
        <v>18.166599999999999</v>
      </c>
      <c r="O374" s="14">
        <f>CHOOSE(CONTROL!$C$42, 18.2491, 18.2491) * CHOOSE(CONTROL!$C$21, $C$9, 100%, $E$9)</f>
        <v>18.249099999999999</v>
      </c>
      <c r="P374" s="14">
        <f>CHOOSE(CONTROL!$C$42, 18.2107, 18.2107) * CHOOSE(CONTROL!$C$21, $C$9, 100%, $E$9)</f>
        <v>18.210699999999999</v>
      </c>
      <c r="Q374" s="14">
        <f>CHOOSE(CONTROL!$C$42, 18.8438, 18.8438) * CHOOSE(CONTROL!$C$21, $C$9, 100%, $E$9)</f>
        <v>18.843800000000002</v>
      </c>
      <c r="R374" s="14">
        <f>CHOOSE(CONTROL!$C$42, 19.4779, 19.4779) * CHOOSE(CONTROL!$C$21, $C$9, 100%, $E$9)</f>
        <v>19.477900000000002</v>
      </c>
      <c r="S374" s="14">
        <f>CHOOSE(CONTROL!$C$42, 17.7236, 17.7236) * CHOOSE(CONTROL!$C$21, $C$9, 100%, $E$9)</f>
        <v>17.723600000000001</v>
      </c>
      <c r="T37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74" s="56">
        <f>(1000*CHOOSE(CONTROL!$C$42, 695, 695)*CHOOSE(CONTROL!$C$42, 0.5599, 0.5599)*CHOOSE(CONTROL!$C$42, 28, 28))/1000000</f>
        <v>10.895653999999999</v>
      </c>
      <c r="V374" s="56">
        <f>(1000*CHOOSE(CONTROL!$C$42, 500, 500)*CHOOSE(CONTROL!$C$42, 0.275, 0.275)*CHOOSE(CONTROL!$C$42, 28, 28))/1000000</f>
        <v>3.85</v>
      </c>
      <c r="W374" s="56">
        <f>(1000*CHOOSE(CONTROL!$C$42, 0.1146, 0.1146)*CHOOSE(CONTROL!$C$42, 121.5, 121.5)*CHOOSE(CONTROL!$C$42, 28, 28))/1000000</f>
        <v>0.38986920000000003</v>
      </c>
      <c r="X374" s="56">
        <f>(28*0.1790888*100000/1000000)+(28*0.2374*100000/1000000)</f>
        <v>1.16616864</v>
      </c>
      <c r="Y374" s="56"/>
      <c r="Z374" s="14"/>
      <c r="AA374" s="55"/>
      <c r="AB374" s="49">
        <f>(B374*122.58+C374*297.941+D374*89.177+E374*40.302+F374*40+G374*160+H374*0+I374*100+J374*300)/(122.58+297.941+89.177+40.302+0+40+160+100+300)</f>
        <v>18.486910160608694</v>
      </c>
      <c r="AC374" s="45">
        <f>(M374*'RAP TEMPLATE-GAS AVAILABILITY'!O373+N374*'RAP TEMPLATE-GAS AVAILABILITY'!P373+O374*'RAP TEMPLATE-GAS AVAILABILITY'!Q373+P374*'RAP TEMPLATE-GAS AVAILABILITY'!R373)/('RAP TEMPLATE-GAS AVAILABILITY'!O373+'RAP TEMPLATE-GAS AVAILABILITY'!P373+'RAP TEMPLATE-GAS AVAILABILITY'!Q373+'RAP TEMPLATE-GAS AVAILABILITY'!R373)</f>
        <v>18.204259712230215</v>
      </c>
    </row>
    <row r="375" spans="1:29" ht="15.75" x14ac:dyDescent="0.25">
      <c r="A375" s="33">
        <v>52321</v>
      </c>
      <c r="B375" s="14">
        <f>CHOOSE(CONTROL!$C$42, 17.93, 17.93) * CHOOSE(CONTROL!$C$21, $C$9, 100%, $E$9)</f>
        <v>17.93</v>
      </c>
      <c r="C375" s="14">
        <f>CHOOSE(CONTROL!$C$42, 17.9351, 17.9351) * CHOOSE(CONTROL!$C$21, $C$9, 100%, $E$9)</f>
        <v>17.935099999999998</v>
      </c>
      <c r="D375" s="14">
        <f>CHOOSE(CONTROL!$C$42, 18.0286, 18.0286) * CHOOSE(CONTROL!$C$21, $C$9, 100%, $E$9)</f>
        <v>18.028600000000001</v>
      </c>
      <c r="E375" s="14">
        <f>CHOOSE(CONTROL!$C$42, 18.0627, 18.0627) * CHOOSE(CONTROL!$C$21, $C$9, 100%, $E$9)</f>
        <v>18.0627</v>
      </c>
      <c r="F375" s="14">
        <f>CHOOSE(CONTROL!$C$42, 17.9561, 17.9561)*CHOOSE(CONTROL!$C$21, $C$9, 100%, $E$9)</f>
        <v>17.956099999999999</v>
      </c>
      <c r="G375" s="14">
        <f>CHOOSE(CONTROL!$C$42, 17.9737, 17.9737)*CHOOSE(CONTROL!$C$21, $C$9, 100%, $E$9)</f>
        <v>17.973700000000001</v>
      </c>
      <c r="H375" s="14">
        <f>CHOOSE(CONTROL!$C$42, 18.0519, 18.0519) * CHOOSE(CONTROL!$C$21, $C$9, 100%, $E$9)</f>
        <v>18.0519</v>
      </c>
      <c r="I375" s="14">
        <f>CHOOSE(CONTROL!$C$42, 18.0121, 18.0121)* CHOOSE(CONTROL!$C$21, $C$9, 100%, $E$9)</f>
        <v>18.0121</v>
      </c>
      <c r="J375" s="14">
        <f>CHOOSE(CONTROL!$C$42, 17.9491, 17.9491)* CHOOSE(CONTROL!$C$21, $C$9, 100%, $E$9)</f>
        <v>17.949100000000001</v>
      </c>
      <c r="K375" s="52">
        <f>CHOOSE(CONTROL!$C$42, 18.0082, 18.0082) * CHOOSE(CONTROL!$C$21, $C$9, 100%, $E$9)</f>
        <v>18.008199999999999</v>
      </c>
      <c r="L375" s="14">
        <f>CHOOSE(CONTROL!$C$42, 18.6389, 18.6389) * CHOOSE(CONTROL!$C$21, $C$9, 100%, $E$9)</f>
        <v>18.6389</v>
      </c>
      <c r="M375" s="14">
        <f>CHOOSE(CONTROL!$C$42, 17.6339, 17.6339) * CHOOSE(CONTROL!$C$21, $C$9, 100%, $E$9)</f>
        <v>17.633900000000001</v>
      </c>
      <c r="N375" s="14">
        <f>CHOOSE(CONTROL!$C$42, 17.6513, 17.6513) * CHOOSE(CONTROL!$C$21, $C$9, 100%, $E$9)</f>
        <v>17.651299999999999</v>
      </c>
      <c r="O375" s="14">
        <f>CHOOSE(CONTROL!$C$42, 17.7349, 17.7349) * CHOOSE(CONTROL!$C$21, $C$9, 100%, $E$9)</f>
        <v>17.7349</v>
      </c>
      <c r="P375" s="14">
        <f>CHOOSE(CONTROL!$C$42, 17.6949, 17.6949) * CHOOSE(CONTROL!$C$21, $C$9, 100%, $E$9)</f>
        <v>17.694900000000001</v>
      </c>
      <c r="Q375" s="14">
        <f>CHOOSE(CONTROL!$C$42, 18.3296, 18.3296) * CHOOSE(CONTROL!$C$21, $C$9, 100%, $E$9)</f>
        <v>18.329599999999999</v>
      </c>
      <c r="R375" s="14">
        <f>CHOOSE(CONTROL!$C$42, 18.9624, 18.9624) * CHOOSE(CONTROL!$C$21, $C$9, 100%, $E$9)</f>
        <v>18.962399999999999</v>
      </c>
      <c r="S375" s="14">
        <f>CHOOSE(CONTROL!$C$42, 17.2204, 17.2204) * CHOOSE(CONTROL!$C$21, $C$9, 100%, $E$9)</f>
        <v>17.220400000000001</v>
      </c>
      <c r="T3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75" s="56">
        <f>(1000*CHOOSE(CONTROL!$C$42, 695, 695)*CHOOSE(CONTROL!$C$42, 0.5599, 0.5599)*CHOOSE(CONTROL!$C$42, 31, 31))/1000000</f>
        <v>12.063045499999998</v>
      </c>
      <c r="V375" s="56">
        <f>(1000*CHOOSE(CONTROL!$C$42, 500, 500)*CHOOSE(CONTROL!$C$42, 0.275, 0.275)*CHOOSE(CONTROL!$C$42, 31, 31))/1000000</f>
        <v>4.2625000000000002</v>
      </c>
      <c r="W375" s="56">
        <f>(1000*CHOOSE(CONTROL!$C$42, 0.1146, 0.1146)*CHOOSE(CONTROL!$C$42, 121.5, 121.5)*CHOOSE(CONTROL!$C$42, 31, 31))/1000000</f>
        <v>0.43164089999999994</v>
      </c>
      <c r="X375" s="56">
        <f>(31*0.1790888*100000/1000000)+(31*0.2374*100000/1000000)</f>
        <v>1.2911152800000001</v>
      </c>
      <c r="Y375" s="56"/>
      <c r="Z375" s="14"/>
      <c r="AA375" s="55"/>
      <c r="AB375" s="49">
        <f>(B375*122.58+C375*297.941+D375*89.177+E375*40.302+F375*40+G375*160+H375*0+I375*100+J375*300)/(122.58+297.941+89.177+40.302+0+40+160+100+300)</f>
        <v>17.962727327565215</v>
      </c>
      <c r="AC375" s="45">
        <f>(M375*'RAP TEMPLATE-GAS AVAILABILITY'!O374+N375*'RAP TEMPLATE-GAS AVAILABILITY'!P374+O375*'RAP TEMPLATE-GAS AVAILABILITY'!Q374+P375*'RAP TEMPLATE-GAS AVAILABILITY'!R374)/('RAP TEMPLATE-GAS AVAILABILITY'!O374+'RAP TEMPLATE-GAS AVAILABILITY'!P374+'RAP TEMPLATE-GAS AVAILABILITY'!Q374+'RAP TEMPLATE-GAS AVAILABILITY'!R374)</f>
        <v>17.689455395683453</v>
      </c>
    </row>
    <row r="376" spans="1:29" ht="15.75" x14ac:dyDescent="0.25">
      <c r="A376" s="33">
        <v>52351</v>
      </c>
      <c r="B376" s="14">
        <f>CHOOSE(CONTROL!$C$42, 17.8774, 17.8774) * CHOOSE(CONTROL!$C$21, $C$9, 100%, $E$9)</f>
        <v>17.877400000000002</v>
      </c>
      <c r="C376" s="14">
        <f>CHOOSE(CONTROL!$C$42, 17.8819, 17.8819) * CHOOSE(CONTROL!$C$21, $C$9, 100%, $E$9)</f>
        <v>17.881900000000002</v>
      </c>
      <c r="D376" s="14">
        <f>CHOOSE(CONTROL!$C$42, 18.1441, 18.1441) * CHOOSE(CONTROL!$C$21, $C$9, 100%, $E$9)</f>
        <v>18.144100000000002</v>
      </c>
      <c r="E376" s="14">
        <f>CHOOSE(CONTROL!$C$42, 18.1762, 18.1762) * CHOOSE(CONTROL!$C$21, $C$9, 100%, $E$9)</f>
        <v>18.176200000000001</v>
      </c>
      <c r="F376" s="14">
        <f>CHOOSE(CONTROL!$C$42, 17.9002, 17.9002)*CHOOSE(CONTROL!$C$21, $C$9, 100%, $E$9)</f>
        <v>17.900200000000002</v>
      </c>
      <c r="G376" s="14">
        <f>CHOOSE(CONTROL!$C$42, 17.9169, 17.9169)*CHOOSE(CONTROL!$C$21, $C$9, 100%, $E$9)</f>
        <v>17.916899999999998</v>
      </c>
      <c r="H376" s="14">
        <f>CHOOSE(CONTROL!$C$42, 18.166, 18.166) * CHOOSE(CONTROL!$C$21, $C$9, 100%, $E$9)</f>
        <v>18.166</v>
      </c>
      <c r="I376" s="14">
        <f>CHOOSE(CONTROL!$C$42, 17.9559, 17.9559)* CHOOSE(CONTROL!$C$21, $C$9, 100%, $E$9)</f>
        <v>17.9559</v>
      </c>
      <c r="J376" s="14">
        <f>CHOOSE(CONTROL!$C$42, 17.8932, 17.8932)* CHOOSE(CONTROL!$C$21, $C$9, 100%, $E$9)</f>
        <v>17.8932</v>
      </c>
      <c r="K376" s="52">
        <f>CHOOSE(CONTROL!$C$42, 17.952, 17.952) * CHOOSE(CONTROL!$C$21, $C$9, 100%, $E$9)</f>
        <v>17.952000000000002</v>
      </c>
      <c r="L376" s="14">
        <f>CHOOSE(CONTROL!$C$42, 18.753, 18.753) * CHOOSE(CONTROL!$C$21, $C$9, 100%, $E$9)</f>
        <v>18.753</v>
      </c>
      <c r="M376" s="14">
        <f>CHOOSE(CONTROL!$C$42, 17.5791, 17.5791) * CHOOSE(CONTROL!$C$21, $C$9, 100%, $E$9)</f>
        <v>17.5791</v>
      </c>
      <c r="N376" s="14">
        <f>CHOOSE(CONTROL!$C$42, 17.5955, 17.5955) * CHOOSE(CONTROL!$C$21, $C$9, 100%, $E$9)</f>
        <v>17.595500000000001</v>
      </c>
      <c r="O376" s="14">
        <f>CHOOSE(CONTROL!$C$42, 17.8469, 17.8469) * CHOOSE(CONTROL!$C$21, $C$9, 100%, $E$9)</f>
        <v>17.846900000000002</v>
      </c>
      <c r="P376" s="14">
        <f>CHOOSE(CONTROL!$C$42, 17.6397, 17.6397) * CHOOSE(CONTROL!$C$21, $C$9, 100%, $E$9)</f>
        <v>17.639700000000001</v>
      </c>
      <c r="Q376" s="14">
        <f>CHOOSE(CONTROL!$C$42, 18.4416, 18.4416) * CHOOSE(CONTROL!$C$21, $C$9, 100%, $E$9)</f>
        <v>18.441600000000001</v>
      </c>
      <c r="R376" s="14">
        <f>CHOOSE(CONTROL!$C$42, 19.0747, 19.0747) * CHOOSE(CONTROL!$C$21, $C$9, 100%, $E$9)</f>
        <v>19.0747</v>
      </c>
      <c r="S376" s="14">
        <f>CHOOSE(CONTROL!$C$42, 17.1691, 17.1691) * CHOOSE(CONTROL!$C$21, $C$9, 100%, $E$9)</f>
        <v>17.1691</v>
      </c>
      <c r="T3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76" s="56">
        <f>(1000*CHOOSE(CONTROL!$C$42, 695, 695)*CHOOSE(CONTROL!$C$42, 0.5599, 0.5599)*CHOOSE(CONTROL!$C$42, 30, 30))/1000000</f>
        <v>11.673914999999997</v>
      </c>
      <c r="V376" s="56">
        <f>(1000*CHOOSE(CONTROL!$C$42, 500, 500)*CHOOSE(CONTROL!$C$42, 0.275, 0.275)*CHOOSE(CONTROL!$C$42, 30, 30))/1000000</f>
        <v>4.125</v>
      </c>
      <c r="W376" s="56">
        <f>(1000*CHOOSE(CONTROL!$C$42, 0.1146, 0.1146)*CHOOSE(CONTROL!$C$42, 121.5, 121.5)*CHOOSE(CONTROL!$C$42, 30, 30))/1000000</f>
        <v>0.417717</v>
      </c>
      <c r="X376" s="56">
        <f>(30*0.1790888*245000/1000000)+(30*0.2374*100000/1000000)</f>
        <v>2.0285026799999999</v>
      </c>
      <c r="Y376" s="56"/>
      <c r="Z376" s="14"/>
      <c r="AA376" s="55"/>
      <c r="AB376" s="49">
        <f>(B376*141.293+C376*267.993+D376*115.016+E376*89.698+F376*40+G376*185+H376*0+I376*100+J376*300)/(141.293+267.993+115.016+89.698+0+40+185+100+300)</f>
        <v>17.941558190556901</v>
      </c>
      <c r="AC376" s="45">
        <f>(M376*'RAP TEMPLATE-GAS AVAILABILITY'!O375+N376*'RAP TEMPLATE-GAS AVAILABILITY'!P375+O376*'RAP TEMPLATE-GAS AVAILABILITY'!Q375+P376*'RAP TEMPLATE-GAS AVAILABILITY'!R375)/('RAP TEMPLATE-GAS AVAILABILITY'!O375+'RAP TEMPLATE-GAS AVAILABILITY'!P375+'RAP TEMPLATE-GAS AVAILABILITY'!Q375+'RAP TEMPLATE-GAS AVAILABILITY'!R375)</f>
        <v>17.666733093525181</v>
      </c>
    </row>
    <row r="377" spans="1:29" ht="15.75" x14ac:dyDescent="0.25">
      <c r="A377" s="33">
        <v>52382</v>
      </c>
      <c r="B377" s="14">
        <f>CHOOSE(CONTROL!$C$42, 18.0365, 18.0365) * CHOOSE(CONTROL!$C$21, $C$9, 100%, $E$9)</f>
        <v>18.0365</v>
      </c>
      <c r="C377" s="14">
        <f>CHOOSE(CONTROL!$C$42, 18.0445, 18.0445) * CHOOSE(CONTROL!$C$21, $C$9, 100%, $E$9)</f>
        <v>18.044499999999999</v>
      </c>
      <c r="D377" s="14">
        <f>CHOOSE(CONTROL!$C$42, 18.3036, 18.3036) * CHOOSE(CONTROL!$C$21, $C$9, 100%, $E$9)</f>
        <v>18.303599999999999</v>
      </c>
      <c r="E377" s="14">
        <f>CHOOSE(CONTROL!$C$42, 18.335, 18.335) * CHOOSE(CONTROL!$C$21, $C$9, 100%, $E$9)</f>
        <v>18.335000000000001</v>
      </c>
      <c r="F377" s="14">
        <f>CHOOSE(CONTROL!$C$42, 18.058, 18.058)*CHOOSE(CONTROL!$C$21, $C$9, 100%, $E$9)</f>
        <v>18.058</v>
      </c>
      <c r="G377" s="14">
        <f>CHOOSE(CONTROL!$C$42, 18.075, 18.075)*CHOOSE(CONTROL!$C$21, $C$9, 100%, $E$9)</f>
        <v>18.074999999999999</v>
      </c>
      <c r="H377" s="14">
        <f>CHOOSE(CONTROL!$C$42, 18.3237, 18.3237) * CHOOSE(CONTROL!$C$21, $C$9, 100%, $E$9)</f>
        <v>18.323699999999999</v>
      </c>
      <c r="I377" s="14">
        <f>CHOOSE(CONTROL!$C$42, 18.1141, 18.1141)* CHOOSE(CONTROL!$C$21, $C$9, 100%, $E$9)</f>
        <v>18.114100000000001</v>
      </c>
      <c r="J377" s="14">
        <f>CHOOSE(CONTROL!$C$42, 18.051, 18.051)* CHOOSE(CONTROL!$C$21, $C$9, 100%, $E$9)</f>
        <v>18.050999999999998</v>
      </c>
      <c r="K377" s="52">
        <f>CHOOSE(CONTROL!$C$42, 18.1102, 18.1102) * CHOOSE(CONTROL!$C$21, $C$9, 100%, $E$9)</f>
        <v>18.110199999999999</v>
      </c>
      <c r="L377" s="14">
        <f>CHOOSE(CONTROL!$C$42, 18.9107, 18.9107) * CHOOSE(CONTROL!$C$21, $C$9, 100%, $E$9)</f>
        <v>18.910699999999999</v>
      </c>
      <c r="M377" s="14">
        <f>CHOOSE(CONTROL!$C$42, 17.734, 17.734) * CHOOSE(CONTROL!$C$21, $C$9, 100%, $E$9)</f>
        <v>17.734000000000002</v>
      </c>
      <c r="N377" s="14">
        <f>CHOOSE(CONTROL!$C$42, 17.7507, 17.7507) * CHOOSE(CONTROL!$C$21, $C$9, 100%, $E$9)</f>
        <v>17.750699999999998</v>
      </c>
      <c r="O377" s="14">
        <f>CHOOSE(CONTROL!$C$42, 18.0018, 18.0018) * CHOOSE(CONTROL!$C$21, $C$9, 100%, $E$9)</f>
        <v>18.001799999999999</v>
      </c>
      <c r="P377" s="14">
        <f>CHOOSE(CONTROL!$C$42, 17.795, 17.795) * CHOOSE(CONTROL!$C$21, $C$9, 100%, $E$9)</f>
        <v>17.795000000000002</v>
      </c>
      <c r="Q377" s="14">
        <f>CHOOSE(CONTROL!$C$42, 18.5965, 18.5965) * CHOOSE(CONTROL!$C$21, $C$9, 100%, $E$9)</f>
        <v>18.596499999999999</v>
      </c>
      <c r="R377" s="14">
        <f>CHOOSE(CONTROL!$C$42, 19.23, 19.23) * CHOOSE(CONTROL!$C$21, $C$9, 100%, $E$9)</f>
        <v>19.23</v>
      </c>
      <c r="S377" s="14">
        <f>CHOOSE(CONTROL!$C$42, 17.3206, 17.3206) * CHOOSE(CONTROL!$C$21, $C$9, 100%, $E$9)</f>
        <v>17.320599999999999</v>
      </c>
      <c r="T3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77" s="56">
        <f>(1000*CHOOSE(CONTROL!$C$42, 695, 695)*CHOOSE(CONTROL!$C$42, 0.5599, 0.5599)*CHOOSE(CONTROL!$C$42, 31, 31))/1000000</f>
        <v>12.063045499999998</v>
      </c>
      <c r="V377" s="56">
        <f>(1000*CHOOSE(CONTROL!$C$42, 500, 500)*CHOOSE(CONTROL!$C$42, 0.275, 0.275)*CHOOSE(CONTROL!$C$42, 31, 31))/1000000</f>
        <v>4.2625000000000002</v>
      </c>
      <c r="W377" s="56">
        <f>(1000*CHOOSE(CONTROL!$C$42, 0.1146, 0.1146)*CHOOSE(CONTROL!$C$42, 121.5, 121.5)*CHOOSE(CONTROL!$C$42, 31, 31))/1000000</f>
        <v>0.43164089999999994</v>
      </c>
      <c r="X377" s="56">
        <f>(31*0.1790888*245000/1000000)+(31*0.2374*100000/1000000)</f>
        <v>2.0961194359999999</v>
      </c>
      <c r="Y377" s="56"/>
      <c r="Z377" s="14"/>
      <c r="AA377" s="55"/>
      <c r="AB377" s="49">
        <f>(B377*194.205+C377*267.466+D377*133.845+E377*53.484+F377*40+G377*185+H377*0+I377*100+J377*300)/(194.205+267.466+133.845+53.484+0+40+185+100+300)</f>
        <v>18.094543329277869</v>
      </c>
      <c r="AC377" s="45">
        <f>(M377*'RAP TEMPLATE-GAS AVAILABILITY'!O376+N377*'RAP TEMPLATE-GAS AVAILABILITY'!P376+O377*'RAP TEMPLATE-GAS AVAILABILITY'!Q376+P377*'RAP TEMPLATE-GAS AVAILABILITY'!R376)/('RAP TEMPLATE-GAS AVAILABILITY'!O376+'RAP TEMPLATE-GAS AVAILABILITY'!P376+'RAP TEMPLATE-GAS AVAILABILITY'!Q376+'RAP TEMPLATE-GAS AVAILABILITY'!R376)</f>
        <v>17.821759712230214</v>
      </c>
    </row>
    <row r="378" spans="1:29" ht="15.75" x14ac:dyDescent="0.25">
      <c r="A378" s="33">
        <v>52412</v>
      </c>
      <c r="B378" s="14">
        <f>CHOOSE(CONTROL!$C$42, 18.5478, 18.5478) * CHOOSE(CONTROL!$C$21, $C$9, 100%, $E$9)</f>
        <v>18.547799999999999</v>
      </c>
      <c r="C378" s="14">
        <f>CHOOSE(CONTROL!$C$42, 18.5558, 18.5558) * CHOOSE(CONTROL!$C$21, $C$9, 100%, $E$9)</f>
        <v>18.555800000000001</v>
      </c>
      <c r="D378" s="14">
        <f>CHOOSE(CONTROL!$C$42, 18.8149, 18.8149) * CHOOSE(CONTROL!$C$21, $C$9, 100%, $E$9)</f>
        <v>18.814900000000002</v>
      </c>
      <c r="E378" s="14">
        <f>CHOOSE(CONTROL!$C$42, 18.8463, 18.8463) * CHOOSE(CONTROL!$C$21, $C$9, 100%, $E$9)</f>
        <v>18.846299999999999</v>
      </c>
      <c r="F378" s="14">
        <f>CHOOSE(CONTROL!$C$42, 18.5695, 18.5695)*CHOOSE(CONTROL!$C$21, $C$9, 100%, $E$9)</f>
        <v>18.569500000000001</v>
      </c>
      <c r="G378" s="14">
        <f>CHOOSE(CONTROL!$C$42, 18.5866, 18.5866)*CHOOSE(CONTROL!$C$21, $C$9, 100%, $E$9)</f>
        <v>18.586600000000001</v>
      </c>
      <c r="H378" s="14">
        <f>CHOOSE(CONTROL!$C$42, 18.835, 18.835) * CHOOSE(CONTROL!$C$21, $C$9, 100%, $E$9)</f>
        <v>18.835000000000001</v>
      </c>
      <c r="I378" s="14">
        <f>CHOOSE(CONTROL!$C$42, 18.6269, 18.6269)* CHOOSE(CONTROL!$C$21, $C$9, 100%, $E$9)</f>
        <v>18.626899999999999</v>
      </c>
      <c r="J378" s="14">
        <f>CHOOSE(CONTROL!$C$42, 18.5625, 18.5625)* CHOOSE(CONTROL!$C$21, $C$9, 100%, $E$9)</f>
        <v>18.5625</v>
      </c>
      <c r="K378" s="52">
        <f>CHOOSE(CONTROL!$C$42, 18.6231, 18.6231) * CHOOSE(CONTROL!$C$21, $C$9, 100%, $E$9)</f>
        <v>18.623100000000001</v>
      </c>
      <c r="L378" s="14">
        <f>CHOOSE(CONTROL!$C$42, 19.422, 19.422) * CHOOSE(CONTROL!$C$21, $C$9, 100%, $E$9)</f>
        <v>19.422000000000001</v>
      </c>
      <c r="M378" s="14">
        <f>CHOOSE(CONTROL!$C$42, 18.2363, 18.2363) * CHOOSE(CONTROL!$C$21, $C$9, 100%, $E$9)</f>
        <v>18.2363</v>
      </c>
      <c r="N378" s="14">
        <f>CHOOSE(CONTROL!$C$42, 18.2531, 18.2531) * CHOOSE(CONTROL!$C$21, $C$9, 100%, $E$9)</f>
        <v>18.2531</v>
      </c>
      <c r="O378" s="14">
        <f>CHOOSE(CONTROL!$C$42, 18.5039, 18.5039) * CHOOSE(CONTROL!$C$21, $C$9, 100%, $E$9)</f>
        <v>18.503900000000002</v>
      </c>
      <c r="P378" s="14">
        <f>CHOOSE(CONTROL!$C$42, 18.2986, 18.2986) * CHOOSE(CONTROL!$C$21, $C$9, 100%, $E$9)</f>
        <v>18.2986</v>
      </c>
      <c r="Q378" s="14">
        <f>CHOOSE(CONTROL!$C$42, 19.0986, 19.0986) * CHOOSE(CONTROL!$C$21, $C$9, 100%, $E$9)</f>
        <v>19.098600000000001</v>
      </c>
      <c r="R378" s="14">
        <f>CHOOSE(CONTROL!$C$42, 19.7333, 19.7333) * CHOOSE(CONTROL!$C$21, $C$9, 100%, $E$9)</f>
        <v>19.7333</v>
      </c>
      <c r="S378" s="14">
        <f>CHOOSE(CONTROL!$C$42, 17.8119, 17.8119) * CHOOSE(CONTROL!$C$21, $C$9, 100%, $E$9)</f>
        <v>17.811900000000001</v>
      </c>
      <c r="T3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78" s="56">
        <f>(1000*CHOOSE(CONTROL!$C$42, 695, 695)*CHOOSE(CONTROL!$C$42, 0.5599, 0.5599)*CHOOSE(CONTROL!$C$42, 30, 30))/1000000</f>
        <v>11.673914999999997</v>
      </c>
      <c r="V378" s="56">
        <f>(1000*CHOOSE(CONTROL!$C$42, 500, 500)*CHOOSE(CONTROL!$C$42, 0.275, 0.275)*CHOOSE(CONTROL!$C$42, 30, 30))/1000000</f>
        <v>4.125</v>
      </c>
      <c r="W378" s="56">
        <f>(1000*CHOOSE(CONTROL!$C$42, 0.1146, 0.1146)*CHOOSE(CONTROL!$C$42, 121.5, 121.5)*CHOOSE(CONTROL!$C$42, 30, 30))/1000000</f>
        <v>0.417717</v>
      </c>
      <c r="X378" s="56">
        <f>(30*0.1790888*245000/1000000)+(30*0.2374*100000/1000000)</f>
        <v>2.0285026799999999</v>
      </c>
      <c r="Y378" s="56"/>
      <c r="Z378" s="14"/>
      <c r="AA378" s="55"/>
      <c r="AB378" s="49">
        <f>(B378*194.205+C378*267.466+D378*133.845+E378*53.484+F378*40+G378*185+H378*0+I378*100+J378*300)/(194.205+267.466+133.845+53.484+0+40+185+100+300)</f>
        <v>18.606058007456831</v>
      </c>
      <c r="AC378" s="45">
        <f>(M378*'RAP TEMPLATE-GAS AVAILABILITY'!O377+N378*'RAP TEMPLATE-GAS AVAILABILITY'!P377+O378*'RAP TEMPLATE-GAS AVAILABILITY'!Q377+P378*'RAP TEMPLATE-GAS AVAILABILITY'!R377)/('RAP TEMPLATE-GAS AVAILABILITY'!O377+'RAP TEMPLATE-GAS AVAILABILITY'!P377+'RAP TEMPLATE-GAS AVAILABILITY'!Q377+'RAP TEMPLATE-GAS AVAILABILITY'!R377)</f>
        <v>18.324213669064747</v>
      </c>
    </row>
    <row r="379" spans="1:29" ht="15.75" x14ac:dyDescent="0.25">
      <c r="A379" s="33">
        <v>52443</v>
      </c>
      <c r="B379" s="14">
        <f>CHOOSE(CONTROL!$C$42, 18.1922, 18.1922) * CHOOSE(CONTROL!$C$21, $C$9, 100%, $E$9)</f>
        <v>18.1922</v>
      </c>
      <c r="C379" s="14">
        <f>CHOOSE(CONTROL!$C$42, 18.2002, 18.2002) * CHOOSE(CONTROL!$C$21, $C$9, 100%, $E$9)</f>
        <v>18.200199999999999</v>
      </c>
      <c r="D379" s="14">
        <f>CHOOSE(CONTROL!$C$42, 18.4593, 18.4593) * CHOOSE(CONTROL!$C$21, $C$9, 100%, $E$9)</f>
        <v>18.459299999999999</v>
      </c>
      <c r="E379" s="14">
        <f>CHOOSE(CONTROL!$C$42, 18.4907, 18.4907) * CHOOSE(CONTROL!$C$21, $C$9, 100%, $E$9)</f>
        <v>18.4907</v>
      </c>
      <c r="F379" s="14">
        <f>CHOOSE(CONTROL!$C$42, 18.2144, 18.2144)*CHOOSE(CONTROL!$C$21, $C$9, 100%, $E$9)</f>
        <v>18.214400000000001</v>
      </c>
      <c r="G379" s="14">
        <f>CHOOSE(CONTROL!$C$42, 18.2315, 18.2315)*CHOOSE(CONTROL!$C$21, $C$9, 100%, $E$9)</f>
        <v>18.2315</v>
      </c>
      <c r="H379" s="14">
        <f>CHOOSE(CONTROL!$C$42, 18.4794, 18.4794) * CHOOSE(CONTROL!$C$21, $C$9, 100%, $E$9)</f>
        <v>18.479399999999998</v>
      </c>
      <c r="I379" s="14">
        <f>CHOOSE(CONTROL!$C$42, 18.2702, 18.2702)* CHOOSE(CONTROL!$C$21, $C$9, 100%, $E$9)</f>
        <v>18.270199999999999</v>
      </c>
      <c r="J379" s="14">
        <f>CHOOSE(CONTROL!$C$42, 18.2074, 18.2074)* CHOOSE(CONTROL!$C$21, $C$9, 100%, $E$9)</f>
        <v>18.2074</v>
      </c>
      <c r="K379" s="52">
        <f>CHOOSE(CONTROL!$C$42, 18.2663, 18.2663) * CHOOSE(CONTROL!$C$21, $C$9, 100%, $E$9)</f>
        <v>18.266300000000001</v>
      </c>
      <c r="L379" s="14">
        <f>CHOOSE(CONTROL!$C$42, 19.0664, 19.0664) * CHOOSE(CONTROL!$C$21, $C$9, 100%, $E$9)</f>
        <v>19.066400000000002</v>
      </c>
      <c r="M379" s="14">
        <f>CHOOSE(CONTROL!$C$42, 17.8876, 17.8876) * CHOOSE(CONTROL!$C$21, $C$9, 100%, $E$9)</f>
        <v>17.887599999999999</v>
      </c>
      <c r="N379" s="14">
        <f>CHOOSE(CONTROL!$C$42, 17.9044, 17.9044) * CHOOSE(CONTROL!$C$21, $C$9, 100%, $E$9)</f>
        <v>17.904399999999999</v>
      </c>
      <c r="O379" s="14">
        <f>CHOOSE(CONTROL!$C$42, 18.1547, 18.1547) * CHOOSE(CONTROL!$C$21, $C$9, 100%, $E$9)</f>
        <v>18.154699999999998</v>
      </c>
      <c r="P379" s="14">
        <f>CHOOSE(CONTROL!$C$42, 17.9484, 17.9484) * CHOOSE(CONTROL!$C$21, $C$9, 100%, $E$9)</f>
        <v>17.948399999999999</v>
      </c>
      <c r="Q379" s="14">
        <f>CHOOSE(CONTROL!$C$42, 18.7494, 18.7494) * CHOOSE(CONTROL!$C$21, $C$9, 100%, $E$9)</f>
        <v>18.749400000000001</v>
      </c>
      <c r="R379" s="14">
        <f>CHOOSE(CONTROL!$C$42, 19.3832, 19.3832) * CHOOSE(CONTROL!$C$21, $C$9, 100%, $E$9)</f>
        <v>19.383199999999999</v>
      </c>
      <c r="S379" s="14">
        <f>CHOOSE(CONTROL!$C$42, 17.4702, 17.4702) * CHOOSE(CONTROL!$C$21, $C$9, 100%, $E$9)</f>
        <v>17.470199999999998</v>
      </c>
      <c r="T3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79" s="56">
        <f>(1000*CHOOSE(CONTROL!$C$42, 695, 695)*CHOOSE(CONTROL!$C$42, 0.5599, 0.5599)*CHOOSE(CONTROL!$C$42, 31, 31))/1000000</f>
        <v>12.063045499999998</v>
      </c>
      <c r="V379" s="56">
        <f>(1000*CHOOSE(CONTROL!$C$42, 500, 500)*CHOOSE(CONTROL!$C$42, 0.275, 0.275)*CHOOSE(CONTROL!$C$42, 31, 31))/1000000</f>
        <v>4.2625000000000002</v>
      </c>
      <c r="W379" s="56">
        <f>(1000*CHOOSE(CONTROL!$C$42, 0.1146, 0.1146)*CHOOSE(CONTROL!$C$42, 121.5, 121.5)*CHOOSE(CONTROL!$C$42, 31, 31))/1000000</f>
        <v>0.43164089999999994</v>
      </c>
      <c r="X379" s="56">
        <f>(31*0.1790888*245000/1000000)+(31*0.2374*100000/1000000)</f>
        <v>2.0961194359999999</v>
      </c>
      <c r="Y379" s="56"/>
      <c r="Z379" s="14"/>
      <c r="AA379" s="55"/>
      <c r="AB379" s="49">
        <f>(B379*194.205+C379*267.466+D379*133.845+E379*53.484+F379*40+G379*185+H379*0+I379*100+J379*300)/(194.205+267.466+133.845+53.484+0+40+185+100+300)</f>
        <v>18.250577709183673</v>
      </c>
      <c r="AC379" s="45">
        <f>(M379*'RAP TEMPLATE-GAS AVAILABILITY'!O378+N379*'RAP TEMPLATE-GAS AVAILABILITY'!P378+O379*'RAP TEMPLATE-GAS AVAILABILITY'!Q378+P379*'RAP TEMPLATE-GAS AVAILABILITY'!R378)/('RAP TEMPLATE-GAS AVAILABILITY'!O378+'RAP TEMPLATE-GAS AVAILABILITY'!P378+'RAP TEMPLATE-GAS AVAILABILITY'!Q378+'RAP TEMPLATE-GAS AVAILABILITY'!R378)</f>
        <v>17.975157553956834</v>
      </c>
    </row>
    <row r="380" spans="1:29" ht="15.75" x14ac:dyDescent="0.25">
      <c r="A380" s="33">
        <v>52474</v>
      </c>
      <c r="B380" s="14">
        <f>CHOOSE(CONTROL!$C$42, 17.2941, 17.2941) * CHOOSE(CONTROL!$C$21, $C$9, 100%, $E$9)</f>
        <v>17.2941</v>
      </c>
      <c r="C380" s="14">
        <f>CHOOSE(CONTROL!$C$42, 17.3022, 17.3022) * CHOOSE(CONTROL!$C$21, $C$9, 100%, $E$9)</f>
        <v>17.302199999999999</v>
      </c>
      <c r="D380" s="14">
        <f>CHOOSE(CONTROL!$C$42, 17.5613, 17.5613) * CHOOSE(CONTROL!$C$21, $C$9, 100%, $E$9)</f>
        <v>17.561299999999999</v>
      </c>
      <c r="E380" s="14">
        <f>CHOOSE(CONTROL!$C$42, 17.5927, 17.5927) * CHOOSE(CONTROL!$C$21, $C$9, 100%, $E$9)</f>
        <v>17.592700000000001</v>
      </c>
      <c r="F380" s="14">
        <f>CHOOSE(CONTROL!$C$42, 17.3165, 17.3165)*CHOOSE(CONTROL!$C$21, $C$9, 100%, $E$9)</f>
        <v>17.316500000000001</v>
      </c>
      <c r="G380" s="14">
        <f>CHOOSE(CONTROL!$C$42, 17.3337, 17.3337)*CHOOSE(CONTROL!$C$21, $C$9, 100%, $E$9)</f>
        <v>17.3337</v>
      </c>
      <c r="H380" s="14">
        <f>CHOOSE(CONTROL!$C$42, 17.5813, 17.5813) * CHOOSE(CONTROL!$C$21, $C$9, 100%, $E$9)</f>
        <v>17.581299999999999</v>
      </c>
      <c r="I380" s="14">
        <f>CHOOSE(CONTROL!$C$42, 17.3694, 17.3694)* CHOOSE(CONTROL!$C$21, $C$9, 100%, $E$9)</f>
        <v>17.369399999999999</v>
      </c>
      <c r="J380" s="14">
        <f>CHOOSE(CONTROL!$C$42, 17.3095, 17.3095)* CHOOSE(CONTROL!$C$21, $C$9, 100%, $E$9)</f>
        <v>17.3095</v>
      </c>
      <c r="K380" s="52">
        <f>CHOOSE(CONTROL!$C$42, 17.3655, 17.3655) * CHOOSE(CONTROL!$C$21, $C$9, 100%, $E$9)</f>
        <v>17.365500000000001</v>
      </c>
      <c r="L380" s="14">
        <f>CHOOSE(CONTROL!$C$42, 18.1683, 18.1683) * CHOOSE(CONTROL!$C$21, $C$9, 100%, $E$9)</f>
        <v>18.168299999999999</v>
      </c>
      <c r="M380" s="14">
        <f>CHOOSE(CONTROL!$C$42, 17.0059, 17.0059) * CHOOSE(CONTROL!$C$21, $C$9, 100%, $E$9)</f>
        <v>17.0059</v>
      </c>
      <c r="N380" s="14">
        <f>CHOOSE(CONTROL!$C$42, 17.0228, 17.0228) * CHOOSE(CONTROL!$C$21, $C$9, 100%, $E$9)</f>
        <v>17.0228</v>
      </c>
      <c r="O380" s="14">
        <f>CHOOSE(CONTROL!$C$42, 17.2728, 17.2728) * CHOOSE(CONTROL!$C$21, $C$9, 100%, $E$9)</f>
        <v>17.2728</v>
      </c>
      <c r="P380" s="14">
        <f>CHOOSE(CONTROL!$C$42, 17.0638, 17.0638) * CHOOSE(CONTROL!$C$21, $C$9, 100%, $E$9)</f>
        <v>17.063800000000001</v>
      </c>
      <c r="Q380" s="14">
        <f>CHOOSE(CONTROL!$C$42, 17.8675, 17.8675) * CHOOSE(CONTROL!$C$21, $C$9, 100%, $E$9)</f>
        <v>17.8675</v>
      </c>
      <c r="R380" s="14">
        <f>CHOOSE(CONTROL!$C$42, 18.4992, 18.4992) * CHOOSE(CONTROL!$C$21, $C$9, 100%, $E$9)</f>
        <v>18.499199999999998</v>
      </c>
      <c r="S380" s="14">
        <f>CHOOSE(CONTROL!$C$42, 16.6073, 16.6073) * CHOOSE(CONTROL!$C$21, $C$9, 100%, $E$9)</f>
        <v>16.607299999999999</v>
      </c>
      <c r="T3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80" s="56">
        <f>(1000*CHOOSE(CONTROL!$C$42, 695, 695)*CHOOSE(CONTROL!$C$42, 0.5599, 0.5599)*CHOOSE(CONTROL!$C$42, 31, 31))/1000000</f>
        <v>12.063045499999998</v>
      </c>
      <c r="V380" s="56">
        <f>(1000*CHOOSE(CONTROL!$C$42, 500, 500)*CHOOSE(CONTROL!$C$42, 0.275, 0.275)*CHOOSE(CONTROL!$C$42, 31, 31))/1000000</f>
        <v>4.2625000000000002</v>
      </c>
      <c r="W380" s="56">
        <f>(1000*CHOOSE(CONTROL!$C$42, 0.1146, 0.1146)*CHOOSE(CONTROL!$C$42, 121.5, 121.5)*CHOOSE(CONTROL!$C$42, 31, 31))/1000000</f>
        <v>0.43164089999999994</v>
      </c>
      <c r="X380" s="56">
        <f>(31*0.1790888*245000/1000000)+(31*0.2374*100000/1000000)</f>
        <v>2.0961194359999999</v>
      </c>
      <c r="Y380" s="56"/>
      <c r="Z380" s="14"/>
      <c r="AA380" s="55"/>
      <c r="AB380" s="49">
        <f>(B380*194.205+C380*267.466+D380*133.845+E380*53.484+F380*40+G380*185+H380*0+I380*100+J380*300)/(194.205+267.466+133.845+53.484+0+40+185+100+300)</f>
        <v>17.352398415227633</v>
      </c>
      <c r="AC380" s="45">
        <f>(M380*'RAP TEMPLATE-GAS AVAILABILITY'!O379+N380*'RAP TEMPLATE-GAS AVAILABILITY'!P379+O380*'RAP TEMPLATE-GAS AVAILABILITY'!Q379+P380*'RAP TEMPLATE-GAS AVAILABILITY'!R379)/('RAP TEMPLATE-GAS AVAILABILITY'!O379+'RAP TEMPLATE-GAS AVAILABILITY'!P379+'RAP TEMPLATE-GAS AVAILABILITY'!Q379+'RAP TEMPLATE-GAS AVAILABILITY'!R379)</f>
        <v>17.093007194244603</v>
      </c>
    </row>
    <row r="381" spans="1:29" ht="15.75" x14ac:dyDescent="0.25">
      <c r="A381" s="33">
        <v>52504</v>
      </c>
      <c r="B381" s="14">
        <f>CHOOSE(CONTROL!$C$42, 16.1967, 16.1967) * CHOOSE(CONTROL!$C$21, $C$9, 100%, $E$9)</f>
        <v>16.1967</v>
      </c>
      <c r="C381" s="14">
        <f>CHOOSE(CONTROL!$C$42, 16.2047, 16.2047) * CHOOSE(CONTROL!$C$21, $C$9, 100%, $E$9)</f>
        <v>16.204699999999999</v>
      </c>
      <c r="D381" s="14">
        <f>CHOOSE(CONTROL!$C$42, 16.4638, 16.4638) * CHOOSE(CONTROL!$C$21, $C$9, 100%, $E$9)</f>
        <v>16.463799999999999</v>
      </c>
      <c r="E381" s="14">
        <f>CHOOSE(CONTROL!$C$42, 16.4953, 16.4953) * CHOOSE(CONTROL!$C$21, $C$9, 100%, $E$9)</f>
        <v>16.4953</v>
      </c>
      <c r="F381" s="14">
        <f>CHOOSE(CONTROL!$C$42, 16.2192, 16.2192)*CHOOSE(CONTROL!$C$21, $C$9, 100%, $E$9)</f>
        <v>16.219200000000001</v>
      </c>
      <c r="G381" s="14">
        <f>CHOOSE(CONTROL!$C$42, 16.2364, 16.2364)*CHOOSE(CONTROL!$C$21, $C$9, 100%, $E$9)</f>
        <v>16.2364</v>
      </c>
      <c r="H381" s="14">
        <f>CHOOSE(CONTROL!$C$42, 16.4839, 16.4839) * CHOOSE(CONTROL!$C$21, $C$9, 100%, $E$9)</f>
        <v>16.483899999999998</v>
      </c>
      <c r="I381" s="14">
        <f>CHOOSE(CONTROL!$C$42, 16.2685, 16.2685)* CHOOSE(CONTROL!$C$21, $C$9, 100%, $E$9)</f>
        <v>16.2685</v>
      </c>
      <c r="J381" s="14">
        <f>CHOOSE(CONTROL!$C$42, 16.2122, 16.2122)* CHOOSE(CONTROL!$C$21, $C$9, 100%, $E$9)</f>
        <v>16.212199999999999</v>
      </c>
      <c r="K381" s="52">
        <f>CHOOSE(CONTROL!$C$42, 16.2646, 16.2646) * CHOOSE(CONTROL!$C$21, $C$9, 100%, $E$9)</f>
        <v>16.264600000000002</v>
      </c>
      <c r="L381" s="14">
        <f>CHOOSE(CONTROL!$C$42, 17.0709, 17.0709) * CHOOSE(CONTROL!$C$21, $C$9, 100%, $E$9)</f>
        <v>17.070900000000002</v>
      </c>
      <c r="M381" s="14">
        <f>CHOOSE(CONTROL!$C$42, 15.9283, 15.9283) * CHOOSE(CONTROL!$C$21, $C$9, 100%, $E$9)</f>
        <v>15.9283</v>
      </c>
      <c r="N381" s="14">
        <f>CHOOSE(CONTROL!$C$42, 15.9452, 15.9452) * CHOOSE(CONTROL!$C$21, $C$9, 100%, $E$9)</f>
        <v>15.9452</v>
      </c>
      <c r="O381" s="14">
        <f>CHOOSE(CONTROL!$C$42, 16.1951, 16.1951) * CHOOSE(CONTROL!$C$21, $C$9, 100%, $E$9)</f>
        <v>16.1951</v>
      </c>
      <c r="P381" s="14">
        <f>CHOOSE(CONTROL!$C$42, 15.9828, 15.9828) * CHOOSE(CONTROL!$C$21, $C$9, 100%, $E$9)</f>
        <v>15.982799999999999</v>
      </c>
      <c r="Q381" s="14">
        <f>CHOOSE(CONTROL!$C$42, 16.7898, 16.7898) * CHOOSE(CONTROL!$C$21, $C$9, 100%, $E$9)</f>
        <v>16.7898</v>
      </c>
      <c r="R381" s="14">
        <f>CHOOSE(CONTROL!$C$42, 17.4188, 17.4188) * CHOOSE(CONTROL!$C$21, $C$9, 100%, $E$9)</f>
        <v>17.418800000000001</v>
      </c>
      <c r="S381" s="14">
        <f>CHOOSE(CONTROL!$C$42, 15.5528, 15.5528) * CHOOSE(CONTROL!$C$21, $C$9, 100%, $E$9)</f>
        <v>15.5528</v>
      </c>
      <c r="T3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81" s="56">
        <f>(1000*CHOOSE(CONTROL!$C$42, 695, 695)*CHOOSE(CONTROL!$C$42, 0.5599, 0.5599)*CHOOSE(CONTROL!$C$42, 30, 30))/1000000</f>
        <v>11.673914999999997</v>
      </c>
      <c r="V381" s="56">
        <f>(1000*CHOOSE(CONTROL!$C$42, 500, 500)*CHOOSE(CONTROL!$C$42, 0.275, 0.275)*CHOOSE(CONTROL!$C$42, 30, 30))/1000000</f>
        <v>4.125</v>
      </c>
      <c r="W381" s="56">
        <f>(1000*CHOOSE(CONTROL!$C$42, 0.1146, 0.1146)*CHOOSE(CONTROL!$C$42, 121.5, 121.5)*CHOOSE(CONTROL!$C$42, 30, 30))/1000000</f>
        <v>0.417717</v>
      </c>
      <c r="X381" s="56">
        <f>(30*0.1790888*245000/1000000)+(30*0.2374*100000/1000000)</f>
        <v>2.0285026799999999</v>
      </c>
      <c r="Y381" s="56"/>
      <c r="Z381" s="14"/>
      <c r="AA381" s="55"/>
      <c r="AB381" s="49">
        <f>(B381*194.205+C381*267.466+D381*133.845+E381*53.484+F381*40+G381*185+H381*0+I381*100+J381*300)/(194.205+267.466+133.845+53.484+0+40+185+100+300)</f>
        <v>16.254733398665621</v>
      </c>
      <c r="AC381" s="45">
        <f>(M381*'RAP TEMPLATE-GAS AVAILABILITY'!O380+N381*'RAP TEMPLATE-GAS AVAILABILITY'!P380+O381*'RAP TEMPLATE-GAS AVAILABILITY'!Q380+P381*'RAP TEMPLATE-GAS AVAILABILITY'!R380)/('RAP TEMPLATE-GAS AVAILABILITY'!O380+'RAP TEMPLATE-GAS AVAILABILITY'!P380+'RAP TEMPLATE-GAS AVAILABILITY'!Q380+'RAP TEMPLATE-GAS AVAILABILITY'!R380)</f>
        <v>16.014889928057553</v>
      </c>
    </row>
    <row r="382" spans="1:29" ht="15.75" x14ac:dyDescent="0.25">
      <c r="A382" s="33">
        <v>52535</v>
      </c>
      <c r="B382" s="14">
        <f>CHOOSE(CONTROL!$C$42, 15.8663, 15.8663) * CHOOSE(CONTROL!$C$21, $C$9, 100%, $E$9)</f>
        <v>15.866300000000001</v>
      </c>
      <c r="C382" s="14">
        <f>CHOOSE(CONTROL!$C$42, 15.8716, 15.8716) * CHOOSE(CONTROL!$C$21, $C$9, 100%, $E$9)</f>
        <v>15.871600000000001</v>
      </c>
      <c r="D382" s="14">
        <f>CHOOSE(CONTROL!$C$42, 16.1357, 16.1357) * CHOOSE(CONTROL!$C$21, $C$9, 100%, $E$9)</f>
        <v>16.1357</v>
      </c>
      <c r="E382" s="14">
        <f>CHOOSE(CONTROL!$C$42, 16.1648, 16.1648) * CHOOSE(CONTROL!$C$21, $C$9, 100%, $E$9)</f>
        <v>16.1648</v>
      </c>
      <c r="F382" s="14">
        <f>CHOOSE(CONTROL!$C$42, 15.891, 15.891)*CHOOSE(CONTROL!$C$21, $C$9, 100%, $E$9)</f>
        <v>15.891</v>
      </c>
      <c r="G382" s="14">
        <f>CHOOSE(CONTROL!$C$42, 15.9081, 15.9081)*CHOOSE(CONTROL!$C$21, $C$9, 100%, $E$9)</f>
        <v>15.908099999999999</v>
      </c>
      <c r="H382" s="14">
        <f>CHOOSE(CONTROL!$C$42, 16.1553, 16.1553) * CHOOSE(CONTROL!$C$21, $C$9, 100%, $E$9)</f>
        <v>16.1553</v>
      </c>
      <c r="I382" s="14">
        <f>CHOOSE(CONTROL!$C$42, 15.9389, 15.9389)* CHOOSE(CONTROL!$C$21, $C$9, 100%, $E$9)</f>
        <v>15.9389</v>
      </c>
      <c r="J382" s="14">
        <f>CHOOSE(CONTROL!$C$42, 15.884, 15.884)* CHOOSE(CONTROL!$C$21, $C$9, 100%, $E$9)</f>
        <v>15.884</v>
      </c>
      <c r="K382" s="52">
        <f>CHOOSE(CONTROL!$C$42, 15.935, 15.935) * CHOOSE(CONTROL!$C$21, $C$9, 100%, $E$9)</f>
        <v>15.935</v>
      </c>
      <c r="L382" s="14">
        <f>CHOOSE(CONTROL!$C$42, 16.7423, 16.7423) * CHOOSE(CONTROL!$C$21, $C$9, 100%, $E$9)</f>
        <v>16.7423</v>
      </c>
      <c r="M382" s="14">
        <f>CHOOSE(CONTROL!$C$42, 15.606, 15.606) * CHOOSE(CONTROL!$C$21, $C$9, 100%, $E$9)</f>
        <v>15.606</v>
      </c>
      <c r="N382" s="14">
        <f>CHOOSE(CONTROL!$C$42, 15.6227, 15.6227) * CHOOSE(CONTROL!$C$21, $C$9, 100%, $E$9)</f>
        <v>15.6227</v>
      </c>
      <c r="O382" s="14">
        <f>CHOOSE(CONTROL!$C$42, 15.8724, 15.8724) * CHOOSE(CONTROL!$C$21, $C$9, 100%, $E$9)</f>
        <v>15.872400000000001</v>
      </c>
      <c r="P382" s="14">
        <f>CHOOSE(CONTROL!$C$42, 15.6591, 15.6591) * CHOOSE(CONTROL!$C$21, $C$9, 100%, $E$9)</f>
        <v>15.6591</v>
      </c>
      <c r="Q382" s="14">
        <f>CHOOSE(CONTROL!$C$42, 16.4671, 16.4671) * CHOOSE(CONTROL!$C$21, $C$9, 100%, $E$9)</f>
        <v>16.467099999999999</v>
      </c>
      <c r="R382" s="14">
        <f>CHOOSE(CONTROL!$C$42, 17.0953, 17.0953) * CHOOSE(CONTROL!$C$21, $C$9, 100%, $E$9)</f>
        <v>17.095300000000002</v>
      </c>
      <c r="S382" s="14">
        <f>CHOOSE(CONTROL!$C$42, 15.237, 15.237) * CHOOSE(CONTROL!$C$21, $C$9, 100%, $E$9)</f>
        <v>15.237</v>
      </c>
      <c r="T3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82" s="56">
        <f>(1000*CHOOSE(CONTROL!$C$42, 695, 695)*CHOOSE(CONTROL!$C$42, 0.5599, 0.5599)*CHOOSE(CONTROL!$C$42, 31, 31))/1000000</f>
        <v>12.063045499999998</v>
      </c>
      <c r="V382" s="56">
        <f>(1000*CHOOSE(CONTROL!$C$42, 500, 500)*CHOOSE(CONTROL!$C$42, 0.275, 0.275)*CHOOSE(CONTROL!$C$42, 31, 31))/1000000</f>
        <v>4.2625000000000002</v>
      </c>
      <c r="W382" s="56">
        <f>(1000*CHOOSE(CONTROL!$C$42, 0.1146, 0.1146)*CHOOSE(CONTROL!$C$42, 121.5, 121.5)*CHOOSE(CONTROL!$C$42, 31, 31))/1000000</f>
        <v>0.43164089999999994</v>
      </c>
      <c r="X382" s="56">
        <f>(31*0.1790888*245000/1000000)+(31*0.2374*100000/1000000)</f>
        <v>2.0961194359999999</v>
      </c>
      <c r="Y382" s="56"/>
      <c r="Z382" s="14"/>
      <c r="AA382" s="55"/>
      <c r="AB382" s="49">
        <f>(B382*131.881+C382*277.167+D382*79.08+E382*125.872+F382*40+G382*185+H382*0+I382*100+J382*300)/(131.881+277.167+79.08+125.872+0+40+185+100+300)</f>
        <v>15.932189369733655</v>
      </c>
      <c r="AC382" s="45">
        <f>(M382*'RAP TEMPLATE-GAS AVAILABILITY'!O381+N382*'RAP TEMPLATE-GAS AVAILABILITY'!P381+O382*'RAP TEMPLATE-GAS AVAILABILITY'!Q381+P382*'RAP TEMPLATE-GAS AVAILABILITY'!R381)/('RAP TEMPLATE-GAS AVAILABILITY'!O381+'RAP TEMPLATE-GAS AVAILABILITY'!P381+'RAP TEMPLATE-GAS AVAILABILITY'!Q381+'RAP TEMPLATE-GAS AVAILABILITY'!R381)</f>
        <v>15.692230215827339</v>
      </c>
    </row>
    <row r="383" spans="1:29" ht="15.75" x14ac:dyDescent="0.25">
      <c r="A383" s="33">
        <v>52565</v>
      </c>
      <c r="B383" s="14">
        <f>CHOOSE(CONTROL!$C$42, 16.2836, 16.2836) * CHOOSE(CONTROL!$C$21, $C$9, 100%, $E$9)</f>
        <v>16.2836</v>
      </c>
      <c r="C383" s="14">
        <f>CHOOSE(CONTROL!$C$42, 16.2887, 16.2887) * CHOOSE(CONTROL!$C$21, $C$9, 100%, $E$9)</f>
        <v>16.288699999999999</v>
      </c>
      <c r="D383" s="14">
        <f>CHOOSE(CONTROL!$C$42, 16.3718, 16.3718) * CHOOSE(CONTROL!$C$21, $C$9, 100%, $E$9)</f>
        <v>16.3718</v>
      </c>
      <c r="E383" s="14">
        <f>CHOOSE(CONTROL!$C$42, 16.4059, 16.4059) * CHOOSE(CONTROL!$C$21, $C$9, 100%, $E$9)</f>
        <v>16.405899999999999</v>
      </c>
      <c r="F383" s="14">
        <f>CHOOSE(CONTROL!$C$42, 16.3113, 16.3113)*CHOOSE(CONTROL!$C$21, $C$9, 100%, $E$9)</f>
        <v>16.311299999999999</v>
      </c>
      <c r="G383" s="14">
        <f>CHOOSE(CONTROL!$C$42, 16.3286, 16.3286)*CHOOSE(CONTROL!$C$21, $C$9, 100%, $E$9)</f>
        <v>16.328600000000002</v>
      </c>
      <c r="H383" s="14">
        <f>CHOOSE(CONTROL!$C$42, 16.3951, 16.3951) * CHOOSE(CONTROL!$C$21, $C$9, 100%, $E$9)</f>
        <v>16.395099999999999</v>
      </c>
      <c r="I383" s="14">
        <f>CHOOSE(CONTROL!$C$42, 16.3543, 16.3543)* CHOOSE(CONTROL!$C$21, $C$9, 100%, $E$9)</f>
        <v>16.354299999999999</v>
      </c>
      <c r="J383" s="14">
        <f>CHOOSE(CONTROL!$C$42, 16.3043, 16.3043)* CHOOSE(CONTROL!$C$21, $C$9, 100%, $E$9)</f>
        <v>16.304300000000001</v>
      </c>
      <c r="K383" s="52">
        <f>CHOOSE(CONTROL!$C$42, 16.3504, 16.3504) * CHOOSE(CONTROL!$C$21, $C$9, 100%, $E$9)</f>
        <v>16.3504</v>
      </c>
      <c r="L383" s="14">
        <f>CHOOSE(CONTROL!$C$42, 16.9821, 16.9821) * CHOOSE(CONTROL!$C$21, $C$9, 100%, $E$9)</f>
        <v>16.982099999999999</v>
      </c>
      <c r="M383" s="14">
        <f>CHOOSE(CONTROL!$C$42, 16.0187, 16.0187) * CHOOSE(CONTROL!$C$21, $C$9, 100%, $E$9)</f>
        <v>16.018699999999999</v>
      </c>
      <c r="N383" s="14">
        <f>CHOOSE(CONTROL!$C$42, 16.0357, 16.0357) * CHOOSE(CONTROL!$C$21, $C$9, 100%, $E$9)</f>
        <v>16.035699999999999</v>
      </c>
      <c r="O383" s="14">
        <f>CHOOSE(CONTROL!$C$42, 16.1079, 16.1079) * CHOOSE(CONTROL!$C$21, $C$9, 100%, $E$9)</f>
        <v>16.107900000000001</v>
      </c>
      <c r="P383" s="14">
        <f>CHOOSE(CONTROL!$C$42, 16.067, 16.067) * CHOOSE(CONTROL!$C$21, $C$9, 100%, $E$9)</f>
        <v>16.067</v>
      </c>
      <c r="Q383" s="14">
        <f>CHOOSE(CONTROL!$C$42, 16.7026, 16.7026) * CHOOSE(CONTROL!$C$21, $C$9, 100%, $E$9)</f>
        <v>16.7026</v>
      </c>
      <c r="R383" s="14">
        <f>CHOOSE(CONTROL!$C$42, 17.3313, 17.3313) * CHOOSE(CONTROL!$C$21, $C$9, 100%, $E$9)</f>
        <v>17.331299999999999</v>
      </c>
      <c r="S383" s="14">
        <f>CHOOSE(CONTROL!$C$42, 15.6384, 15.6384) * CHOOSE(CONTROL!$C$21, $C$9, 100%, $E$9)</f>
        <v>15.638400000000001</v>
      </c>
      <c r="T3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83" s="56">
        <f>(1000*CHOOSE(CONTROL!$C$42, 695, 695)*CHOOSE(CONTROL!$C$42, 0.5599, 0.5599)*CHOOSE(CONTROL!$C$42, 30, 30))/1000000</f>
        <v>11.673914999999997</v>
      </c>
      <c r="V383" s="56">
        <f>(1000*CHOOSE(CONTROL!$C$42, 500, 500)*CHOOSE(CONTROL!$C$42, 0.275, 0.275)*CHOOSE(CONTROL!$C$42, 30, 30))/1000000</f>
        <v>4.125</v>
      </c>
      <c r="W383" s="56">
        <f>(1000*CHOOSE(CONTROL!$C$42, 0.1146, 0.1146)*CHOOSE(CONTROL!$C$42, 121.5, 121.5)*CHOOSE(CONTROL!$C$42, 30, 30))/1000000</f>
        <v>0.417717</v>
      </c>
      <c r="X383" s="56">
        <f>(30*0.1790888*100000/1000000)+(30*0.2374*100000/1000000)</f>
        <v>1.2494664</v>
      </c>
      <c r="Y383" s="56"/>
      <c r="Z383" s="14"/>
      <c r="AA383" s="55"/>
      <c r="AB383" s="49">
        <f>(B383*122.58+C383*297.941+D383*89.177+E383*40.302+F383*40+G383*160+H383*0+I383*100+J383*300)/(122.58+297.941+89.177+40.302+0+40+160+100+300)</f>
        <v>16.314818995739131</v>
      </c>
      <c r="AC383" s="45">
        <f>(M383*'RAP TEMPLATE-GAS AVAILABILITY'!O382+N383*'RAP TEMPLATE-GAS AVAILABILITY'!P382+O383*'RAP TEMPLATE-GAS AVAILABILITY'!Q382+P383*'RAP TEMPLATE-GAS AVAILABILITY'!R382)/('RAP TEMPLATE-GAS AVAILABILITY'!O382+'RAP TEMPLATE-GAS AVAILABILITY'!P382+'RAP TEMPLATE-GAS AVAILABILITY'!Q382+'RAP TEMPLATE-GAS AVAILABILITY'!R382)</f>
        <v>16.067056834532377</v>
      </c>
    </row>
    <row r="384" spans="1:29" ht="15.75" x14ac:dyDescent="0.25">
      <c r="A384" s="33">
        <v>52596</v>
      </c>
      <c r="B384" s="14">
        <f>CHOOSE(CONTROL!$C$42, 17.3932, 17.3932) * CHOOSE(CONTROL!$C$21, $C$9, 100%, $E$9)</f>
        <v>17.3932</v>
      </c>
      <c r="C384" s="14">
        <f>CHOOSE(CONTROL!$C$42, 17.3983, 17.3983) * CHOOSE(CONTROL!$C$21, $C$9, 100%, $E$9)</f>
        <v>17.398299999999999</v>
      </c>
      <c r="D384" s="14">
        <f>CHOOSE(CONTROL!$C$42, 17.4813, 17.4813) * CHOOSE(CONTROL!$C$21, $C$9, 100%, $E$9)</f>
        <v>17.481300000000001</v>
      </c>
      <c r="E384" s="14">
        <f>CHOOSE(CONTROL!$C$42, 17.5154, 17.5154) * CHOOSE(CONTROL!$C$21, $C$9, 100%, $E$9)</f>
        <v>17.5154</v>
      </c>
      <c r="F384" s="14">
        <f>CHOOSE(CONTROL!$C$42, 17.4233, 17.4233)*CHOOSE(CONTROL!$C$21, $C$9, 100%, $E$9)</f>
        <v>17.423300000000001</v>
      </c>
      <c r="G384" s="14">
        <f>CHOOSE(CONTROL!$C$42, 17.4413, 17.4413)*CHOOSE(CONTROL!$C$21, $C$9, 100%, $E$9)</f>
        <v>17.441299999999998</v>
      </c>
      <c r="H384" s="14">
        <f>CHOOSE(CONTROL!$C$42, 17.5046, 17.5046) * CHOOSE(CONTROL!$C$21, $C$9, 100%, $E$9)</f>
        <v>17.5046</v>
      </c>
      <c r="I384" s="14">
        <f>CHOOSE(CONTROL!$C$42, 17.4673, 17.4673)* CHOOSE(CONTROL!$C$21, $C$9, 100%, $E$9)</f>
        <v>17.467300000000002</v>
      </c>
      <c r="J384" s="14">
        <f>CHOOSE(CONTROL!$C$42, 17.4163, 17.4163)* CHOOSE(CONTROL!$C$21, $C$9, 100%, $E$9)</f>
        <v>17.4163</v>
      </c>
      <c r="K384" s="52">
        <f>CHOOSE(CONTROL!$C$42, 17.4634, 17.4634) * CHOOSE(CONTROL!$C$21, $C$9, 100%, $E$9)</f>
        <v>17.4634</v>
      </c>
      <c r="L384" s="14">
        <f>CHOOSE(CONTROL!$C$42, 18.0916, 18.0916) * CHOOSE(CONTROL!$C$21, $C$9, 100%, $E$9)</f>
        <v>18.0916</v>
      </c>
      <c r="M384" s="14">
        <f>CHOOSE(CONTROL!$C$42, 17.1107, 17.1107) * CHOOSE(CONTROL!$C$21, $C$9, 100%, $E$9)</f>
        <v>17.110700000000001</v>
      </c>
      <c r="N384" s="14">
        <f>CHOOSE(CONTROL!$C$42, 17.1284, 17.1284) * CHOOSE(CONTROL!$C$21, $C$9, 100%, $E$9)</f>
        <v>17.128399999999999</v>
      </c>
      <c r="O384" s="14">
        <f>CHOOSE(CONTROL!$C$42, 17.1975, 17.1975) * CHOOSE(CONTROL!$C$21, $C$9, 100%, $E$9)</f>
        <v>17.197500000000002</v>
      </c>
      <c r="P384" s="14">
        <f>CHOOSE(CONTROL!$C$42, 17.1599, 17.1599) * CHOOSE(CONTROL!$C$21, $C$9, 100%, $E$9)</f>
        <v>17.1599</v>
      </c>
      <c r="Q384" s="14">
        <f>CHOOSE(CONTROL!$C$42, 17.7922, 17.7922) * CHOOSE(CONTROL!$C$21, $C$9, 100%, $E$9)</f>
        <v>17.792200000000001</v>
      </c>
      <c r="R384" s="14">
        <f>CHOOSE(CONTROL!$C$42, 18.4236, 18.4236) * CHOOSE(CONTROL!$C$21, $C$9, 100%, $E$9)</f>
        <v>18.4236</v>
      </c>
      <c r="S384" s="14">
        <f>CHOOSE(CONTROL!$C$42, 16.7046, 16.7046) * CHOOSE(CONTROL!$C$21, $C$9, 100%, $E$9)</f>
        <v>16.704599999999999</v>
      </c>
      <c r="T3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84" s="56">
        <f>(1000*CHOOSE(CONTROL!$C$42, 695, 695)*CHOOSE(CONTROL!$C$42, 0.5599, 0.5599)*CHOOSE(CONTROL!$C$42, 31, 31))/1000000</f>
        <v>12.063045499999998</v>
      </c>
      <c r="V384" s="56">
        <f>(1000*CHOOSE(CONTROL!$C$42, 500, 500)*CHOOSE(CONTROL!$C$42, 0.275, 0.275)*CHOOSE(CONTROL!$C$42, 31, 31))/1000000</f>
        <v>4.2625000000000002</v>
      </c>
      <c r="W384" s="56">
        <f>(1000*CHOOSE(CONTROL!$C$42, 0.1146, 0.1146)*CHOOSE(CONTROL!$C$42, 121.5, 121.5)*CHOOSE(CONTROL!$C$42, 31, 31))/1000000</f>
        <v>0.43164089999999994</v>
      </c>
      <c r="X384" s="56">
        <f>(31*0.1790888*100000/1000000)+(31*0.2374*100000/1000000)</f>
        <v>1.2911152800000001</v>
      </c>
      <c r="Y384" s="56"/>
      <c r="Z384" s="14"/>
      <c r="AA384" s="55"/>
      <c r="AB384" s="49">
        <f>(B384*122.58+C384*297.941+D384*89.177+E384*40.302+F384*40+G384*160+H384*0+I384*100+J384*300)/(122.58+297.941+89.177+40.302+0+40+160+100+300)</f>
        <v>17.425844258434783</v>
      </c>
      <c r="AC384" s="45">
        <f>(M384*'RAP TEMPLATE-GAS AVAILABILITY'!O383+N384*'RAP TEMPLATE-GAS AVAILABILITY'!P383+O384*'RAP TEMPLATE-GAS AVAILABILITY'!Q383+P384*'RAP TEMPLATE-GAS AVAILABILITY'!R383)/('RAP TEMPLATE-GAS AVAILABILITY'!O383+'RAP TEMPLATE-GAS AVAILABILITY'!P383+'RAP TEMPLATE-GAS AVAILABILITY'!Q383+'RAP TEMPLATE-GAS AVAILABILITY'!R383)</f>
        <v>17.158138848920863</v>
      </c>
    </row>
    <row r="385" spans="1:29" ht="15.75" x14ac:dyDescent="0.25">
      <c r="A385" s="33">
        <v>52627</v>
      </c>
      <c r="B385" s="14">
        <f>CHOOSE(CONTROL!$C$42, 18.8343, 18.8343) * CHOOSE(CONTROL!$C$21, $C$9, 100%, $E$9)</f>
        <v>18.834299999999999</v>
      </c>
      <c r="C385" s="14">
        <f>CHOOSE(CONTROL!$C$42, 18.8394, 18.8394) * CHOOSE(CONTROL!$C$21, $C$9, 100%, $E$9)</f>
        <v>18.839400000000001</v>
      </c>
      <c r="D385" s="14">
        <f>CHOOSE(CONTROL!$C$42, 18.9328, 18.9328) * CHOOSE(CONTROL!$C$21, $C$9, 100%, $E$9)</f>
        <v>18.9328</v>
      </c>
      <c r="E385" s="14">
        <f>CHOOSE(CONTROL!$C$42, 18.9669, 18.9669) * CHOOSE(CONTROL!$C$21, $C$9, 100%, $E$9)</f>
        <v>18.966899999999999</v>
      </c>
      <c r="F385" s="14">
        <f>CHOOSE(CONTROL!$C$42, 18.8616, 18.8616)*CHOOSE(CONTROL!$C$21, $C$9, 100%, $E$9)</f>
        <v>18.861599999999999</v>
      </c>
      <c r="G385" s="14">
        <f>CHOOSE(CONTROL!$C$42, 18.8796, 18.8796)*CHOOSE(CONTROL!$C$21, $C$9, 100%, $E$9)</f>
        <v>18.8796</v>
      </c>
      <c r="H385" s="14">
        <f>CHOOSE(CONTROL!$C$42, 18.9561, 18.9561) * CHOOSE(CONTROL!$C$21, $C$9, 100%, $E$9)</f>
        <v>18.956099999999999</v>
      </c>
      <c r="I385" s="14">
        <f>CHOOSE(CONTROL!$C$42, 18.9192, 18.9192)* CHOOSE(CONTROL!$C$21, $C$9, 100%, $E$9)</f>
        <v>18.9192</v>
      </c>
      <c r="J385" s="14">
        <f>CHOOSE(CONTROL!$C$42, 18.8546, 18.8546)* CHOOSE(CONTROL!$C$21, $C$9, 100%, $E$9)</f>
        <v>18.854600000000001</v>
      </c>
      <c r="K385" s="52">
        <f>CHOOSE(CONTROL!$C$42, 18.9153, 18.9153) * CHOOSE(CONTROL!$C$21, $C$9, 100%, $E$9)</f>
        <v>18.915299999999998</v>
      </c>
      <c r="L385" s="14">
        <f>CHOOSE(CONTROL!$C$42, 19.5431, 19.5431) * CHOOSE(CONTROL!$C$21, $C$9, 100%, $E$9)</f>
        <v>19.543099999999999</v>
      </c>
      <c r="M385" s="14">
        <f>CHOOSE(CONTROL!$C$42, 18.5232, 18.5232) * CHOOSE(CONTROL!$C$21, $C$9, 100%, $E$9)</f>
        <v>18.523199999999999</v>
      </c>
      <c r="N385" s="14">
        <f>CHOOSE(CONTROL!$C$42, 18.5408, 18.5408) * CHOOSE(CONTROL!$C$21, $C$9, 100%, $E$9)</f>
        <v>18.540800000000001</v>
      </c>
      <c r="O385" s="14">
        <f>CHOOSE(CONTROL!$C$42, 18.6229, 18.6229) * CHOOSE(CONTROL!$C$21, $C$9, 100%, $E$9)</f>
        <v>18.622900000000001</v>
      </c>
      <c r="P385" s="14">
        <f>CHOOSE(CONTROL!$C$42, 18.5856, 18.5856) * CHOOSE(CONTROL!$C$21, $C$9, 100%, $E$9)</f>
        <v>18.585599999999999</v>
      </c>
      <c r="Q385" s="14">
        <f>CHOOSE(CONTROL!$C$42, 19.2176, 19.2176) * CHOOSE(CONTROL!$C$21, $C$9, 100%, $E$9)</f>
        <v>19.217600000000001</v>
      </c>
      <c r="R385" s="14">
        <f>CHOOSE(CONTROL!$C$42, 19.8526, 19.8526) * CHOOSE(CONTROL!$C$21, $C$9, 100%, $E$9)</f>
        <v>19.852599999999999</v>
      </c>
      <c r="S385" s="14">
        <f>CHOOSE(CONTROL!$C$42, 18.0893, 18.0893) * CHOOSE(CONTROL!$C$21, $C$9, 100%, $E$9)</f>
        <v>18.089300000000001</v>
      </c>
      <c r="T3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85" s="56">
        <f>(1000*CHOOSE(CONTROL!$C$42, 695, 695)*CHOOSE(CONTROL!$C$42, 0.5599, 0.5599)*CHOOSE(CONTROL!$C$42, 31, 31))/1000000</f>
        <v>12.063045499999998</v>
      </c>
      <c r="V385" s="56">
        <f>(1000*CHOOSE(CONTROL!$C$42, 500, 500)*CHOOSE(CONTROL!$C$42, 0.275, 0.275)*CHOOSE(CONTROL!$C$42, 31, 31))/1000000</f>
        <v>4.2625000000000002</v>
      </c>
      <c r="W385" s="56">
        <f>(1000*CHOOSE(CONTROL!$C$42, 0.1146, 0.1146)*CHOOSE(CONTROL!$C$42, 121.5, 121.5)*CHOOSE(CONTROL!$C$42, 31, 31))/1000000</f>
        <v>0.43164089999999994</v>
      </c>
      <c r="X385" s="56">
        <f>(31*0.1790888*100000/1000000)+(31*0.2374*100000/1000000)</f>
        <v>1.2911152800000001</v>
      </c>
      <c r="Y385" s="56"/>
      <c r="Z385" s="14"/>
      <c r="AA385" s="55"/>
      <c r="AB385" s="49">
        <f>(B385*122.58+C385*297.941+D385*89.177+E385*40.302+F385*40+G385*160+H385*0+I385*100+J385*300)/(122.58+297.941+89.177+40.302+0+40+160+100+300)</f>
        <v>18.867836938086956</v>
      </c>
      <c r="AC385" s="45">
        <f>(M385*'RAP TEMPLATE-GAS AVAILABILITY'!O384+N385*'RAP TEMPLATE-GAS AVAILABILITY'!P384+O385*'RAP TEMPLATE-GAS AVAILABILITY'!Q384+P385*'RAP TEMPLATE-GAS AVAILABILITY'!R384)/('RAP TEMPLATE-GAS AVAILABILITY'!O384+'RAP TEMPLATE-GAS AVAILABILITY'!P384+'RAP TEMPLATE-GAS AVAILABILITY'!Q384+'RAP TEMPLATE-GAS AVAILABILITY'!R384)</f>
        <v>18.57837913669065</v>
      </c>
    </row>
    <row r="386" spans="1:29" ht="15.75" x14ac:dyDescent="0.25">
      <c r="A386" s="33">
        <v>52655</v>
      </c>
      <c r="B386" s="14">
        <f>CHOOSE(CONTROL!$C$42, 19.1694, 19.1694) * CHOOSE(CONTROL!$C$21, $C$9, 100%, $E$9)</f>
        <v>19.1694</v>
      </c>
      <c r="C386" s="14">
        <f>CHOOSE(CONTROL!$C$42, 19.1745, 19.1745) * CHOOSE(CONTROL!$C$21, $C$9, 100%, $E$9)</f>
        <v>19.174499999999998</v>
      </c>
      <c r="D386" s="14">
        <f>CHOOSE(CONTROL!$C$42, 19.2679, 19.2679) * CHOOSE(CONTROL!$C$21, $C$9, 100%, $E$9)</f>
        <v>19.267900000000001</v>
      </c>
      <c r="E386" s="14">
        <f>CHOOSE(CONTROL!$C$42, 19.3021, 19.3021) * CHOOSE(CONTROL!$C$21, $C$9, 100%, $E$9)</f>
        <v>19.302099999999999</v>
      </c>
      <c r="F386" s="14">
        <f>CHOOSE(CONTROL!$C$42, 19.1964, 19.1964)*CHOOSE(CONTROL!$C$21, $C$9, 100%, $E$9)</f>
        <v>19.196400000000001</v>
      </c>
      <c r="G386" s="14">
        <f>CHOOSE(CONTROL!$C$42, 19.2142, 19.2142)*CHOOSE(CONTROL!$C$21, $C$9, 100%, $E$9)</f>
        <v>19.214200000000002</v>
      </c>
      <c r="H386" s="14">
        <f>CHOOSE(CONTROL!$C$42, 19.2912, 19.2912) * CHOOSE(CONTROL!$C$21, $C$9, 100%, $E$9)</f>
        <v>19.2912</v>
      </c>
      <c r="I386" s="14">
        <f>CHOOSE(CONTROL!$C$42, 19.2553, 19.2553)* CHOOSE(CONTROL!$C$21, $C$9, 100%, $E$9)</f>
        <v>19.255299999999998</v>
      </c>
      <c r="J386" s="14">
        <f>CHOOSE(CONTROL!$C$42, 19.1894, 19.1894)* CHOOSE(CONTROL!$C$21, $C$9, 100%, $E$9)</f>
        <v>19.189399999999999</v>
      </c>
      <c r="K386" s="52">
        <f>CHOOSE(CONTROL!$C$42, 19.2514, 19.2514) * CHOOSE(CONTROL!$C$21, $C$9, 100%, $E$9)</f>
        <v>19.2514</v>
      </c>
      <c r="L386" s="14">
        <f>CHOOSE(CONTROL!$C$42, 19.8782, 19.8782) * CHOOSE(CONTROL!$C$21, $C$9, 100%, $E$9)</f>
        <v>19.8782</v>
      </c>
      <c r="M386" s="14">
        <f>CHOOSE(CONTROL!$C$42, 18.8519, 18.8519) * CHOOSE(CONTROL!$C$21, $C$9, 100%, $E$9)</f>
        <v>18.851900000000001</v>
      </c>
      <c r="N386" s="14">
        <f>CHOOSE(CONTROL!$C$42, 18.8694, 18.8694) * CHOOSE(CONTROL!$C$21, $C$9, 100%, $E$9)</f>
        <v>18.869399999999999</v>
      </c>
      <c r="O386" s="14">
        <f>CHOOSE(CONTROL!$C$42, 18.952, 18.952) * CHOOSE(CONTROL!$C$21, $C$9, 100%, $E$9)</f>
        <v>18.952000000000002</v>
      </c>
      <c r="P386" s="14">
        <f>CHOOSE(CONTROL!$C$42, 18.9157, 18.9157) * CHOOSE(CONTROL!$C$21, $C$9, 100%, $E$9)</f>
        <v>18.915700000000001</v>
      </c>
      <c r="Q386" s="14">
        <f>CHOOSE(CONTROL!$C$42, 19.5467, 19.5467) * CHOOSE(CONTROL!$C$21, $C$9, 100%, $E$9)</f>
        <v>19.546700000000001</v>
      </c>
      <c r="R386" s="14">
        <f>CHOOSE(CONTROL!$C$42, 20.1825, 20.1825) * CHOOSE(CONTROL!$C$21, $C$9, 100%, $E$9)</f>
        <v>20.182500000000001</v>
      </c>
      <c r="S386" s="14">
        <f>CHOOSE(CONTROL!$C$42, 18.4113, 18.4113) * CHOOSE(CONTROL!$C$21, $C$9, 100%, $E$9)</f>
        <v>18.411300000000001</v>
      </c>
      <c r="T38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86" s="56">
        <f>(1000*CHOOSE(CONTROL!$C$42, 695, 695)*CHOOSE(CONTROL!$C$42, 0.5599, 0.5599)*CHOOSE(CONTROL!$C$42, 29, 29))/1000000</f>
        <v>11.284784499999999</v>
      </c>
      <c r="V386" s="56">
        <f>(1000*CHOOSE(CONTROL!$C$42, 500, 500)*CHOOSE(CONTROL!$C$42, 0.275, 0.275)*CHOOSE(CONTROL!$C$42, 29, 29))/1000000</f>
        <v>3.9874999999999998</v>
      </c>
      <c r="W386" s="56">
        <f>(1000*CHOOSE(CONTROL!$C$42, 0.1146, 0.1146)*CHOOSE(CONTROL!$C$42, 121.5, 121.5)*CHOOSE(CONTROL!$C$42, 29, 29))/1000000</f>
        <v>0.40379309999999996</v>
      </c>
      <c r="X386" s="56">
        <f>(29*0.1790888*100000/1000000)+(29*0.2374*100000/1000000)</f>
        <v>1.2078175199999999</v>
      </c>
      <c r="Y386" s="56"/>
      <c r="Z386" s="14"/>
      <c r="AA386" s="55"/>
      <c r="AB386" s="49">
        <f>(B386*122.58+C386*297.941+D386*89.177+E386*40.302+F386*40+G386*160+H386*0+I386*100+J386*300)/(122.58+297.941+89.177+40.302+0+40+160+100+300)</f>
        <v>19.202869138260866</v>
      </c>
      <c r="AC386" s="45">
        <f>(M386*'RAP TEMPLATE-GAS AVAILABILITY'!O385+N386*'RAP TEMPLATE-GAS AVAILABILITY'!P385+O386*'RAP TEMPLATE-GAS AVAILABILITY'!Q385+P386*'RAP TEMPLATE-GAS AVAILABILITY'!R385)/('RAP TEMPLATE-GAS AVAILABILITY'!O385+'RAP TEMPLATE-GAS AVAILABILITY'!P385+'RAP TEMPLATE-GAS AVAILABILITY'!Q385+'RAP TEMPLATE-GAS AVAILABILITY'!R385)</f>
        <v>18.907456115107916</v>
      </c>
    </row>
    <row r="387" spans="1:29" ht="15.75" x14ac:dyDescent="0.25">
      <c r="A387" s="33">
        <v>52687</v>
      </c>
      <c r="B387" s="14">
        <f>CHOOSE(CONTROL!$C$42, 18.6254, 18.6254) * CHOOSE(CONTROL!$C$21, $C$9, 100%, $E$9)</f>
        <v>18.625399999999999</v>
      </c>
      <c r="C387" s="14">
        <f>CHOOSE(CONTROL!$C$42, 18.6305, 18.6305) * CHOOSE(CONTROL!$C$21, $C$9, 100%, $E$9)</f>
        <v>18.630500000000001</v>
      </c>
      <c r="D387" s="14">
        <f>CHOOSE(CONTROL!$C$42, 18.724, 18.724) * CHOOSE(CONTROL!$C$21, $C$9, 100%, $E$9)</f>
        <v>18.724</v>
      </c>
      <c r="E387" s="14">
        <f>CHOOSE(CONTROL!$C$42, 18.7581, 18.7581) * CHOOSE(CONTROL!$C$21, $C$9, 100%, $E$9)</f>
        <v>18.758099999999999</v>
      </c>
      <c r="F387" s="14">
        <f>CHOOSE(CONTROL!$C$42, 18.6515, 18.6515)*CHOOSE(CONTROL!$C$21, $C$9, 100%, $E$9)</f>
        <v>18.651499999999999</v>
      </c>
      <c r="G387" s="14">
        <f>CHOOSE(CONTROL!$C$42, 18.6692, 18.6692)*CHOOSE(CONTROL!$C$21, $C$9, 100%, $E$9)</f>
        <v>18.6692</v>
      </c>
      <c r="H387" s="14">
        <f>CHOOSE(CONTROL!$C$42, 18.7473, 18.7473) * CHOOSE(CONTROL!$C$21, $C$9, 100%, $E$9)</f>
        <v>18.747299999999999</v>
      </c>
      <c r="I387" s="14">
        <f>CHOOSE(CONTROL!$C$42, 18.7097, 18.7097)* CHOOSE(CONTROL!$C$21, $C$9, 100%, $E$9)</f>
        <v>18.709700000000002</v>
      </c>
      <c r="J387" s="14">
        <f>CHOOSE(CONTROL!$C$42, 18.6445, 18.6445)* CHOOSE(CONTROL!$C$21, $C$9, 100%, $E$9)</f>
        <v>18.644500000000001</v>
      </c>
      <c r="K387" s="52">
        <f>CHOOSE(CONTROL!$C$42, 18.7058, 18.7058) * CHOOSE(CONTROL!$C$21, $C$9, 100%, $E$9)</f>
        <v>18.7058</v>
      </c>
      <c r="L387" s="14">
        <f>CHOOSE(CONTROL!$C$42, 19.3343, 19.3343) * CHOOSE(CONTROL!$C$21, $C$9, 100%, $E$9)</f>
        <v>19.334299999999999</v>
      </c>
      <c r="M387" s="14">
        <f>CHOOSE(CONTROL!$C$42, 18.3169, 18.3169) * CHOOSE(CONTROL!$C$21, $C$9, 100%, $E$9)</f>
        <v>18.3169</v>
      </c>
      <c r="N387" s="14">
        <f>CHOOSE(CONTROL!$C$42, 18.3342, 18.3342) * CHOOSE(CONTROL!$C$21, $C$9, 100%, $E$9)</f>
        <v>18.334199999999999</v>
      </c>
      <c r="O387" s="14">
        <f>CHOOSE(CONTROL!$C$42, 18.4178, 18.4178) * CHOOSE(CONTROL!$C$21, $C$9, 100%, $E$9)</f>
        <v>18.4178</v>
      </c>
      <c r="P387" s="14">
        <f>CHOOSE(CONTROL!$C$42, 18.3799, 18.3799) * CHOOSE(CONTROL!$C$21, $C$9, 100%, $E$9)</f>
        <v>18.379899999999999</v>
      </c>
      <c r="Q387" s="14">
        <f>CHOOSE(CONTROL!$C$42, 19.0125, 19.0125) * CHOOSE(CONTROL!$C$21, $C$9, 100%, $E$9)</f>
        <v>19.012499999999999</v>
      </c>
      <c r="R387" s="14">
        <f>CHOOSE(CONTROL!$C$42, 19.647, 19.647) * CHOOSE(CONTROL!$C$21, $C$9, 100%, $E$9)</f>
        <v>19.646999999999998</v>
      </c>
      <c r="S387" s="14">
        <f>CHOOSE(CONTROL!$C$42, 17.8887, 17.8887) * CHOOSE(CONTROL!$C$21, $C$9, 100%, $E$9)</f>
        <v>17.8887</v>
      </c>
      <c r="T3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87" s="56">
        <f>(1000*CHOOSE(CONTROL!$C$42, 695, 695)*CHOOSE(CONTROL!$C$42, 0.5599, 0.5599)*CHOOSE(CONTROL!$C$42, 31, 31))/1000000</f>
        <v>12.063045499999998</v>
      </c>
      <c r="V387" s="56">
        <f>(1000*CHOOSE(CONTROL!$C$42, 500, 500)*CHOOSE(CONTROL!$C$42, 0.275, 0.275)*CHOOSE(CONTROL!$C$42, 31, 31))/1000000</f>
        <v>4.2625000000000002</v>
      </c>
      <c r="W387" s="56">
        <f>(1000*CHOOSE(CONTROL!$C$42, 0.1146, 0.1146)*CHOOSE(CONTROL!$C$42, 121.5, 121.5)*CHOOSE(CONTROL!$C$42, 31, 31))/1000000</f>
        <v>0.43164089999999994</v>
      </c>
      <c r="X387" s="56">
        <f>(31*0.1790888*100000/1000000)+(31*0.2374*100000/1000000)</f>
        <v>1.2911152800000001</v>
      </c>
      <c r="Y387" s="56"/>
      <c r="Z387" s="14"/>
      <c r="AA387" s="55"/>
      <c r="AB387" s="49">
        <f>(B387*122.58+C387*297.941+D387*89.177+E387*40.302+F387*40+G387*160+H387*0+I387*100+J387*300)/(122.58+297.941+89.177+40.302+0+40+160+100+300)</f>
        <v>18.658332544956522</v>
      </c>
      <c r="AC387" s="45">
        <f>(M387*'RAP TEMPLATE-GAS AVAILABILITY'!O386+N387*'RAP TEMPLATE-GAS AVAILABILITY'!P386+O387*'RAP TEMPLATE-GAS AVAILABILITY'!Q386+P387*'RAP TEMPLATE-GAS AVAILABILITY'!R386)/('RAP TEMPLATE-GAS AVAILABILITY'!O386+'RAP TEMPLATE-GAS AVAILABILITY'!P386+'RAP TEMPLATE-GAS AVAILABILITY'!Q386+'RAP TEMPLATE-GAS AVAILABILITY'!R386)</f>
        <v>18.372692086330936</v>
      </c>
    </row>
    <row r="388" spans="1:29" ht="15.75" x14ac:dyDescent="0.25">
      <c r="A388" s="33">
        <v>52717</v>
      </c>
      <c r="B388" s="14">
        <f>CHOOSE(CONTROL!$C$42, 18.5707, 18.5707) * CHOOSE(CONTROL!$C$21, $C$9, 100%, $E$9)</f>
        <v>18.570699999999999</v>
      </c>
      <c r="C388" s="14">
        <f>CHOOSE(CONTROL!$C$42, 18.5752, 18.5752) * CHOOSE(CONTROL!$C$21, $C$9, 100%, $E$9)</f>
        <v>18.575199999999999</v>
      </c>
      <c r="D388" s="14">
        <f>CHOOSE(CONTROL!$C$42, 18.8374, 18.8374) * CHOOSE(CONTROL!$C$21, $C$9, 100%, $E$9)</f>
        <v>18.837399999999999</v>
      </c>
      <c r="E388" s="14">
        <f>CHOOSE(CONTROL!$C$42, 18.8695, 18.8695) * CHOOSE(CONTROL!$C$21, $C$9, 100%, $E$9)</f>
        <v>18.869499999999999</v>
      </c>
      <c r="F388" s="14">
        <f>CHOOSE(CONTROL!$C$42, 18.5935, 18.5935)*CHOOSE(CONTROL!$C$21, $C$9, 100%, $E$9)</f>
        <v>18.593499999999999</v>
      </c>
      <c r="G388" s="14">
        <f>CHOOSE(CONTROL!$C$42, 18.6103, 18.6103)*CHOOSE(CONTROL!$C$21, $C$9, 100%, $E$9)</f>
        <v>18.610299999999999</v>
      </c>
      <c r="H388" s="14">
        <f>CHOOSE(CONTROL!$C$42, 18.8593, 18.8593) * CHOOSE(CONTROL!$C$21, $C$9, 100%, $E$9)</f>
        <v>18.859300000000001</v>
      </c>
      <c r="I388" s="14">
        <f>CHOOSE(CONTROL!$C$42, 18.6514, 18.6514)* CHOOSE(CONTROL!$C$21, $C$9, 100%, $E$9)</f>
        <v>18.651399999999999</v>
      </c>
      <c r="J388" s="14">
        <f>CHOOSE(CONTROL!$C$42, 18.5865, 18.5865)* CHOOSE(CONTROL!$C$21, $C$9, 100%, $E$9)</f>
        <v>18.586500000000001</v>
      </c>
      <c r="K388" s="52">
        <f>CHOOSE(CONTROL!$C$42, 18.6475, 18.6475) * CHOOSE(CONTROL!$C$21, $C$9, 100%, $E$9)</f>
        <v>18.647500000000001</v>
      </c>
      <c r="L388" s="14">
        <f>CHOOSE(CONTROL!$C$42, 19.4463, 19.4463) * CHOOSE(CONTROL!$C$21, $C$9, 100%, $E$9)</f>
        <v>19.446300000000001</v>
      </c>
      <c r="M388" s="14">
        <f>CHOOSE(CONTROL!$C$42, 18.2599, 18.2599) * CHOOSE(CONTROL!$C$21, $C$9, 100%, $E$9)</f>
        <v>18.259899999999998</v>
      </c>
      <c r="N388" s="14">
        <f>CHOOSE(CONTROL!$C$42, 18.2763, 18.2763) * CHOOSE(CONTROL!$C$21, $C$9, 100%, $E$9)</f>
        <v>18.276299999999999</v>
      </c>
      <c r="O388" s="14">
        <f>CHOOSE(CONTROL!$C$42, 18.5278, 18.5278) * CHOOSE(CONTROL!$C$21, $C$9, 100%, $E$9)</f>
        <v>18.527799999999999</v>
      </c>
      <c r="P388" s="14">
        <f>CHOOSE(CONTROL!$C$42, 18.3226, 18.3226) * CHOOSE(CONTROL!$C$21, $C$9, 100%, $E$9)</f>
        <v>18.322600000000001</v>
      </c>
      <c r="Q388" s="14">
        <f>CHOOSE(CONTROL!$C$42, 19.1225, 19.1225) * CHOOSE(CONTROL!$C$21, $C$9, 100%, $E$9)</f>
        <v>19.122499999999999</v>
      </c>
      <c r="R388" s="14">
        <f>CHOOSE(CONTROL!$C$42, 19.7573, 19.7573) * CHOOSE(CONTROL!$C$21, $C$9, 100%, $E$9)</f>
        <v>19.757300000000001</v>
      </c>
      <c r="S388" s="14">
        <f>CHOOSE(CONTROL!$C$42, 17.8353, 17.8353) * CHOOSE(CONTROL!$C$21, $C$9, 100%, $E$9)</f>
        <v>17.8353</v>
      </c>
      <c r="T3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88" s="56">
        <f>(1000*CHOOSE(CONTROL!$C$42, 695, 695)*CHOOSE(CONTROL!$C$42, 0.5599, 0.5599)*CHOOSE(CONTROL!$C$42, 30, 30))/1000000</f>
        <v>11.673914999999997</v>
      </c>
      <c r="V388" s="56">
        <f>(1000*CHOOSE(CONTROL!$C$42, 500, 500)*CHOOSE(CONTROL!$C$42, 0.275, 0.275)*CHOOSE(CONTROL!$C$42, 30, 30))/1000000</f>
        <v>4.125</v>
      </c>
      <c r="W388" s="56">
        <f>(1000*CHOOSE(CONTROL!$C$42, 0.1146, 0.1146)*CHOOSE(CONTROL!$C$42, 121.5, 121.5)*CHOOSE(CONTROL!$C$42, 30, 30))/1000000</f>
        <v>0.417717</v>
      </c>
      <c r="X388" s="56">
        <f>(30*0.1790888*245000/1000000)+(30*0.2374*100000/1000000)</f>
        <v>2.0285026799999999</v>
      </c>
      <c r="Y388" s="56"/>
      <c r="Z388" s="14"/>
      <c r="AA388" s="55"/>
      <c r="AB388" s="49">
        <f>(B388*141.293+C388*267.993+D388*115.016+E388*89.698+F388*40+G388*185+H388*0+I388*100+J388*300)/(141.293+267.993+115.016+89.698+0+40+185+100+300)</f>
        <v>18.635050684503632</v>
      </c>
      <c r="AC388" s="45">
        <f>(M388*'RAP TEMPLATE-GAS AVAILABILITY'!O387+N388*'RAP TEMPLATE-GAS AVAILABILITY'!P387+O388*'RAP TEMPLATE-GAS AVAILABILITY'!Q387+P388*'RAP TEMPLATE-GAS AVAILABILITY'!R387)/('RAP TEMPLATE-GAS AVAILABILITY'!O387+'RAP TEMPLATE-GAS AVAILABILITY'!P387+'RAP TEMPLATE-GAS AVAILABILITY'!Q387+'RAP TEMPLATE-GAS AVAILABILITY'!R387)</f>
        <v>18.347863309352515</v>
      </c>
    </row>
    <row r="389" spans="1:29" ht="15.75" x14ac:dyDescent="0.25">
      <c r="A389" s="33">
        <v>52748</v>
      </c>
      <c r="B389" s="14">
        <f>CHOOSE(CONTROL!$C$42, 18.7359, 18.7359) * CHOOSE(CONTROL!$C$21, $C$9, 100%, $E$9)</f>
        <v>18.735900000000001</v>
      </c>
      <c r="C389" s="14">
        <f>CHOOSE(CONTROL!$C$42, 18.744, 18.744) * CHOOSE(CONTROL!$C$21, $C$9, 100%, $E$9)</f>
        <v>18.744</v>
      </c>
      <c r="D389" s="14">
        <f>CHOOSE(CONTROL!$C$42, 19.003, 19.003) * CHOOSE(CONTROL!$C$21, $C$9, 100%, $E$9)</f>
        <v>19.003</v>
      </c>
      <c r="E389" s="14">
        <f>CHOOSE(CONTROL!$C$42, 19.0345, 19.0345) * CHOOSE(CONTROL!$C$21, $C$9, 100%, $E$9)</f>
        <v>19.034500000000001</v>
      </c>
      <c r="F389" s="14">
        <f>CHOOSE(CONTROL!$C$42, 18.7575, 18.7575)*CHOOSE(CONTROL!$C$21, $C$9, 100%, $E$9)</f>
        <v>18.7575</v>
      </c>
      <c r="G389" s="14">
        <f>CHOOSE(CONTROL!$C$42, 18.7744, 18.7744)*CHOOSE(CONTROL!$C$21, $C$9, 100%, $E$9)</f>
        <v>18.7744</v>
      </c>
      <c r="H389" s="14">
        <f>CHOOSE(CONTROL!$C$42, 19.0231, 19.0231) * CHOOSE(CONTROL!$C$21, $C$9, 100%, $E$9)</f>
        <v>19.023099999999999</v>
      </c>
      <c r="I389" s="14">
        <f>CHOOSE(CONTROL!$C$42, 18.8157, 18.8157)* CHOOSE(CONTROL!$C$21, $C$9, 100%, $E$9)</f>
        <v>18.8157</v>
      </c>
      <c r="J389" s="14">
        <f>CHOOSE(CONTROL!$C$42, 18.7505, 18.7505)* CHOOSE(CONTROL!$C$21, $C$9, 100%, $E$9)</f>
        <v>18.750499999999999</v>
      </c>
      <c r="K389" s="52">
        <f>CHOOSE(CONTROL!$C$42, 18.8118, 18.8118) * CHOOSE(CONTROL!$C$21, $C$9, 100%, $E$9)</f>
        <v>18.811800000000002</v>
      </c>
      <c r="L389" s="14">
        <f>CHOOSE(CONTROL!$C$42, 19.6101, 19.6101) * CHOOSE(CONTROL!$C$21, $C$9, 100%, $E$9)</f>
        <v>19.610099999999999</v>
      </c>
      <c r="M389" s="14">
        <f>CHOOSE(CONTROL!$C$42, 18.4209, 18.4209) * CHOOSE(CONTROL!$C$21, $C$9, 100%, $E$9)</f>
        <v>18.4209</v>
      </c>
      <c r="N389" s="14">
        <f>CHOOSE(CONTROL!$C$42, 18.4376, 18.4376) * CHOOSE(CONTROL!$C$21, $C$9, 100%, $E$9)</f>
        <v>18.4376</v>
      </c>
      <c r="O389" s="14">
        <f>CHOOSE(CONTROL!$C$42, 18.6887, 18.6887) * CHOOSE(CONTROL!$C$21, $C$9, 100%, $E$9)</f>
        <v>18.688700000000001</v>
      </c>
      <c r="P389" s="14">
        <f>CHOOSE(CONTROL!$C$42, 18.484, 18.484) * CHOOSE(CONTROL!$C$21, $C$9, 100%, $E$9)</f>
        <v>18.484000000000002</v>
      </c>
      <c r="Q389" s="14">
        <f>CHOOSE(CONTROL!$C$42, 19.2834, 19.2834) * CHOOSE(CONTROL!$C$21, $C$9, 100%, $E$9)</f>
        <v>19.2834</v>
      </c>
      <c r="R389" s="14">
        <f>CHOOSE(CONTROL!$C$42, 19.9186, 19.9186) * CHOOSE(CONTROL!$C$21, $C$9, 100%, $E$9)</f>
        <v>19.918600000000001</v>
      </c>
      <c r="S389" s="14">
        <f>CHOOSE(CONTROL!$C$42, 17.9927, 17.9927) * CHOOSE(CONTROL!$C$21, $C$9, 100%, $E$9)</f>
        <v>17.992699999999999</v>
      </c>
      <c r="T3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89" s="56">
        <f>(1000*CHOOSE(CONTROL!$C$42, 695, 695)*CHOOSE(CONTROL!$C$42, 0.5599, 0.5599)*CHOOSE(CONTROL!$C$42, 31, 31))/1000000</f>
        <v>12.063045499999998</v>
      </c>
      <c r="V389" s="56">
        <f>(1000*CHOOSE(CONTROL!$C$42, 500, 500)*CHOOSE(CONTROL!$C$42, 0.275, 0.275)*CHOOSE(CONTROL!$C$42, 31, 31))/1000000</f>
        <v>4.2625000000000002</v>
      </c>
      <c r="W389" s="56">
        <f>(1000*CHOOSE(CONTROL!$C$42, 0.1146, 0.1146)*CHOOSE(CONTROL!$C$42, 121.5, 121.5)*CHOOSE(CONTROL!$C$42, 31, 31))/1000000</f>
        <v>0.43164089999999994</v>
      </c>
      <c r="X389" s="56">
        <f>(31*0.1790888*245000/1000000)+(31*0.2374*100000/1000000)</f>
        <v>2.0961194359999999</v>
      </c>
      <c r="Y389" s="56"/>
      <c r="Z389" s="14"/>
      <c r="AA389" s="55"/>
      <c r="AB389" s="49">
        <f>(B389*194.205+C389*267.466+D389*133.845+E389*53.484+F389*40+G389*185+H389*0+I389*100+J389*300)/(194.205+267.466+133.845+53.484+0+40+185+100+300)</f>
        <v>18.794167893642072</v>
      </c>
      <c r="AC389" s="45">
        <f>(M389*'RAP TEMPLATE-GAS AVAILABILITY'!O388+N389*'RAP TEMPLATE-GAS AVAILABILITY'!P388+O389*'RAP TEMPLATE-GAS AVAILABILITY'!Q388+P389*'RAP TEMPLATE-GAS AVAILABILITY'!R388)/('RAP TEMPLATE-GAS AVAILABILITY'!O388+'RAP TEMPLATE-GAS AVAILABILITY'!P388+'RAP TEMPLATE-GAS AVAILABILITY'!Q388+'RAP TEMPLATE-GAS AVAILABILITY'!R388)</f>
        <v>18.508961870503597</v>
      </c>
    </row>
    <row r="390" spans="1:29" ht="15.75" x14ac:dyDescent="0.25">
      <c r="A390" s="33">
        <v>52778</v>
      </c>
      <c r="B390" s="14">
        <f>CHOOSE(CONTROL!$C$42, 19.2671, 19.2671) * CHOOSE(CONTROL!$C$21, $C$9, 100%, $E$9)</f>
        <v>19.267099999999999</v>
      </c>
      <c r="C390" s="14">
        <f>CHOOSE(CONTROL!$C$42, 19.2751, 19.2751) * CHOOSE(CONTROL!$C$21, $C$9, 100%, $E$9)</f>
        <v>19.275099999999998</v>
      </c>
      <c r="D390" s="14">
        <f>CHOOSE(CONTROL!$C$42, 19.5342, 19.5342) * CHOOSE(CONTROL!$C$21, $C$9, 100%, $E$9)</f>
        <v>19.534199999999998</v>
      </c>
      <c r="E390" s="14">
        <f>CHOOSE(CONTROL!$C$42, 19.5656, 19.5656) * CHOOSE(CONTROL!$C$21, $C$9, 100%, $E$9)</f>
        <v>19.5656</v>
      </c>
      <c r="F390" s="14">
        <f>CHOOSE(CONTROL!$C$42, 19.2888, 19.2888)*CHOOSE(CONTROL!$C$21, $C$9, 100%, $E$9)</f>
        <v>19.288799999999998</v>
      </c>
      <c r="G390" s="14">
        <f>CHOOSE(CONTROL!$C$42, 19.3059, 19.3059)*CHOOSE(CONTROL!$C$21, $C$9, 100%, $E$9)</f>
        <v>19.305900000000001</v>
      </c>
      <c r="H390" s="14">
        <f>CHOOSE(CONTROL!$C$42, 19.5543, 19.5543) * CHOOSE(CONTROL!$C$21, $C$9, 100%, $E$9)</f>
        <v>19.554300000000001</v>
      </c>
      <c r="I390" s="14">
        <f>CHOOSE(CONTROL!$C$42, 19.3485, 19.3485)* CHOOSE(CONTROL!$C$21, $C$9, 100%, $E$9)</f>
        <v>19.348500000000001</v>
      </c>
      <c r="J390" s="14">
        <f>CHOOSE(CONTROL!$C$42, 19.2818, 19.2818)* CHOOSE(CONTROL!$C$21, $C$9, 100%, $E$9)</f>
        <v>19.2818</v>
      </c>
      <c r="K390" s="52">
        <f>CHOOSE(CONTROL!$C$42, 19.3446, 19.3446) * CHOOSE(CONTROL!$C$21, $C$9, 100%, $E$9)</f>
        <v>19.3446</v>
      </c>
      <c r="L390" s="14">
        <f>CHOOSE(CONTROL!$C$42, 20.1413, 20.1413) * CHOOSE(CONTROL!$C$21, $C$9, 100%, $E$9)</f>
        <v>20.141300000000001</v>
      </c>
      <c r="M390" s="14">
        <f>CHOOSE(CONTROL!$C$42, 18.9427, 18.9427) * CHOOSE(CONTROL!$C$21, $C$9, 100%, $E$9)</f>
        <v>18.942699999999999</v>
      </c>
      <c r="N390" s="14">
        <f>CHOOSE(CONTROL!$C$42, 18.9594, 18.9594) * CHOOSE(CONTROL!$C$21, $C$9, 100%, $E$9)</f>
        <v>18.959399999999999</v>
      </c>
      <c r="O390" s="14">
        <f>CHOOSE(CONTROL!$C$42, 19.2103, 19.2103) * CHOOSE(CONTROL!$C$21, $C$9, 100%, $E$9)</f>
        <v>19.2103</v>
      </c>
      <c r="P390" s="14">
        <f>CHOOSE(CONTROL!$C$42, 19.0072, 19.0072) * CHOOSE(CONTROL!$C$21, $C$9, 100%, $E$9)</f>
        <v>19.007200000000001</v>
      </c>
      <c r="Q390" s="14">
        <f>CHOOSE(CONTROL!$C$42, 19.805, 19.805) * CHOOSE(CONTROL!$C$21, $C$9, 100%, $E$9)</f>
        <v>19.805</v>
      </c>
      <c r="R390" s="14">
        <f>CHOOSE(CONTROL!$C$42, 20.4415, 20.4415) * CHOOSE(CONTROL!$C$21, $C$9, 100%, $E$9)</f>
        <v>20.441500000000001</v>
      </c>
      <c r="S390" s="14">
        <f>CHOOSE(CONTROL!$C$42, 18.5031, 18.5031) * CHOOSE(CONTROL!$C$21, $C$9, 100%, $E$9)</f>
        <v>18.5031</v>
      </c>
      <c r="T3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90" s="56">
        <f>(1000*CHOOSE(CONTROL!$C$42, 695, 695)*CHOOSE(CONTROL!$C$42, 0.5599, 0.5599)*CHOOSE(CONTROL!$C$42, 30, 30))/1000000</f>
        <v>11.673914999999997</v>
      </c>
      <c r="V390" s="56">
        <f>(1000*CHOOSE(CONTROL!$C$42, 500, 500)*CHOOSE(CONTROL!$C$42, 0.275, 0.275)*CHOOSE(CONTROL!$C$42, 30, 30))/1000000</f>
        <v>4.125</v>
      </c>
      <c r="W390" s="56">
        <f>(1000*CHOOSE(CONTROL!$C$42, 0.1146, 0.1146)*CHOOSE(CONTROL!$C$42, 121.5, 121.5)*CHOOSE(CONTROL!$C$42, 30, 30))/1000000</f>
        <v>0.417717</v>
      </c>
      <c r="X390" s="56">
        <f>(30*0.1790888*245000/1000000)+(30*0.2374*100000/1000000)</f>
        <v>2.0285026799999999</v>
      </c>
      <c r="Y390" s="56"/>
      <c r="Z390" s="14"/>
      <c r="AA390" s="55"/>
      <c r="AB390" s="49">
        <f>(B390*194.205+C390*267.466+D390*133.845+E390*53.484+F390*40+G390*185+H390*0+I390*100+J390*300)/(194.205+267.466+133.845+53.484+0+40+185+100+300)</f>
        <v>19.32553854120879</v>
      </c>
      <c r="AC390" s="45">
        <f>(M390*'RAP TEMPLATE-GAS AVAILABILITY'!O389+N390*'RAP TEMPLATE-GAS AVAILABILITY'!P389+O390*'RAP TEMPLATE-GAS AVAILABILITY'!Q389+P390*'RAP TEMPLATE-GAS AVAILABILITY'!R389)/('RAP TEMPLATE-GAS AVAILABILITY'!O389+'RAP TEMPLATE-GAS AVAILABILITY'!P389+'RAP TEMPLATE-GAS AVAILABILITY'!Q389+'RAP TEMPLATE-GAS AVAILABILITY'!R389)</f>
        <v>19.030907194244605</v>
      </c>
    </row>
    <row r="391" spans="1:29" ht="15.75" x14ac:dyDescent="0.25">
      <c r="A391" s="33">
        <v>52809</v>
      </c>
      <c r="B391" s="14">
        <f>CHOOSE(CONTROL!$C$42, 18.8977, 18.8977) * CHOOSE(CONTROL!$C$21, $C$9, 100%, $E$9)</f>
        <v>18.8977</v>
      </c>
      <c r="C391" s="14">
        <f>CHOOSE(CONTROL!$C$42, 18.9057, 18.9057) * CHOOSE(CONTROL!$C$21, $C$9, 100%, $E$9)</f>
        <v>18.9057</v>
      </c>
      <c r="D391" s="14">
        <f>CHOOSE(CONTROL!$C$42, 19.1648, 19.1648) * CHOOSE(CONTROL!$C$21, $C$9, 100%, $E$9)</f>
        <v>19.1648</v>
      </c>
      <c r="E391" s="14">
        <f>CHOOSE(CONTROL!$C$42, 19.1962, 19.1962) * CHOOSE(CONTROL!$C$21, $C$9, 100%, $E$9)</f>
        <v>19.196200000000001</v>
      </c>
      <c r="F391" s="14">
        <f>CHOOSE(CONTROL!$C$42, 18.9199, 18.9199)*CHOOSE(CONTROL!$C$21, $C$9, 100%, $E$9)</f>
        <v>18.919899999999998</v>
      </c>
      <c r="G391" s="14">
        <f>CHOOSE(CONTROL!$C$42, 18.937, 18.937)*CHOOSE(CONTROL!$C$21, $C$9, 100%, $E$9)</f>
        <v>18.937000000000001</v>
      </c>
      <c r="H391" s="14">
        <f>CHOOSE(CONTROL!$C$42, 19.1849, 19.1849) * CHOOSE(CONTROL!$C$21, $C$9, 100%, $E$9)</f>
        <v>19.184899999999999</v>
      </c>
      <c r="I391" s="14">
        <f>CHOOSE(CONTROL!$C$42, 18.9779, 18.9779)* CHOOSE(CONTROL!$C$21, $C$9, 100%, $E$9)</f>
        <v>18.977900000000002</v>
      </c>
      <c r="J391" s="14">
        <f>CHOOSE(CONTROL!$C$42, 18.9129, 18.9129)* CHOOSE(CONTROL!$C$21, $C$9, 100%, $E$9)</f>
        <v>18.9129</v>
      </c>
      <c r="K391" s="52">
        <f>CHOOSE(CONTROL!$C$42, 18.9741, 18.9741) * CHOOSE(CONTROL!$C$21, $C$9, 100%, $E$9)</f>
        <v>18.9741</v>
      </c>
      <c r="L391" s="14">
        <f>CHOOSE(CONTROL!$C$42, 19.7719, 19.7719) * CHOOSE(CONTROL!$C$21, $C$9, 100%, $E$9)</f>
        <v>19.771899999999999</v>
      </c>
      <c r="M391" s="14">
        <f>CHOOSE(CONTROL!$C$42, 18.5804, 18.5804) * CHOOSE(CONTROL!$C$21, $C$9, 100%, $E$9)</f>
        <v>18.580400000000001</v>
      </c>
      <c r="N391" s="14">
        <f>CHOOSE(CONTROL!$C$42, 18.5972, 18.5972) * CHOOSE(CONTROL!$C$21, $C$9, 100%, $E$9)</f>
        <v>18.597200000000001</v>
      </c>
      <c r="O391" s="14">
        <f>CHOOSE(CONTROL!$C$42, 18.8475, 18.8475) * CHOOSE(CONTROL!$C$21, $C$9, 100%, $E$9)</f>
        <v>18.8475</v>
      </c>
      <c r="P391" s="14">
        <f>CHOOSE(CONTROL!$C$42, 18.6433, 18.6433) * CHOOSE(CONTROL!$C$21, $C$9, 100%, $E$9)</f>
        <v>18.6433</v>
      </c>
      <c r="Q391" s="14">
        <f>CHOOSE(CONTROL!$C$42, 19.4422, 19.4422) * CHOOSE(CONTROL!$C$21, $C$9, 100%, $E$9)</f>
        <v>19.4422</v>
      </c>
      <c r="R391" s="14">
        <f>CHOOSE(CONTROL!$C$42, 20.0778, 20.0778) * CHOOSE(CONTROL!$C$21, $C$9, 100%, $E$9)</f>
        <v>20.0778</v>
      </c>
      <c r="S391" s="14">
        <f>CHOOSE(CONTROL!$C$42, 18.1481, 18.1481) * CHOOSE(CONTROL!$C$21, $C$9, 100%, $E$9)</f>
        <v>18.148099999999999</v>
      </c>
      <c r="T3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91" s="56">
        <f>(1000*CHOOSE(CONTROL!$C$42, 695, 695)*CHOOSE(CONTROL!$C$42, 0.5599, 0.5599)*CHOOSE(CONTROL!$C$42, 31, 31))/1000000</f>
        <v>12.063045499999998</v>
      </c>
      <c r="V391" s="56">
        <f>(1000*CHOOSE(CONTROL!$C$42, 500, 500)*CHOOSE(CONTROL!$C$42, 0.275, 0.275)*CHOOSE(CONTROL!$C$42, 31, 31))/1000000</f>
        <v>4.2625000000000002</v>
      </c>
      <c r="W391" s="56">
        <f>(1000*CHOOSE(CONTROL!$C$42, 0.1146, 0.1146)*CHOOSE(CONTROL!$C$42, 121.5, 121.5)*CHOOSE(CONTROL!$C$42, 31, 31))/1000000</f>
        <v>0.43164089999999994</v>
      </c>
      <c r="X391" s="56">
        <f>(31*0.1790888*245000/1000000)+(31*0.2374*100000/1000000)</f>
        <v>2.0961194359999999</v>
      </c>
      <c r="Y391" s="56"/>
      <c r="Z391" s="14"/>
      <c r="AA391" s="55"/>
      <c r="AB391" s="49">
        <f>(B391*194.205+C391*267.466+D391*133.845+E391*53.484+F391*40+G391*185+H391*0+I391*100+J391*300)/(194.205+267.466+133.845+53.484+0+40+185+100+300)</f>
        <v>18.956250393642073</v>
      </c>
      <c r="AC391" s="45">
        <f>(M391*'RAP TEMPLATE-GAS AVAILABILITY'!O390+N391*'RAP TEMPLATE-GAS AVAILABILITY'!P390+O391*'RAP TEMPLATE-GAS AVAILABILITY'!Q390+P391*'RAP TEMPLATE-GAS AVAILABILITY'!R390)/('RAP TEMPLATE-GAS AVAILABILITY'!O390+'RAP TEMPLATE-GAS AVAILABILITY'!P390+'RAP TEMPLATE-GAS AVAILABILITY'!Q390+'RAP TEMPLATE-GAS AVAILABILITY'!R390)</f>
        <v>18.668259712230213</v>
      </c>
    </row>
    <row r="392" spans="1:29" ht="15.75" x14ac:dyDescent="0.25">
      <c r="A392" s="33">
        <v>52840</v>
      </c>
      <c r="B392" s="14">
        <f>CHOOSE(CONTROL!$C$42, 17.9648, 17.9648) * CHOOSE(CONTROL!$C$21, $C$9, 100%, $E$9)</f>
        <v>17.9648</v>
      </c>
      <c r="C392" s="14">
        <f>CHOOSE(CONTROL!$C$42, 17.9728, 17.9728) * CHOOSE(CONTROL!$C$21, $C$9, 100%, $E$9)</f>
        <v>17.972799999999999</v>
      </c>
      <c r="D392" s="14">
        <f>CHOOSE(CONTROL!$C$42, 18.2319, 18.2319) * CHOOSE(CONTROL!$C$21, $C$9, 100%, $E$9)</f>
        <v>18.2319</v>
      </c>
      <c r="E392" s="14">
        <f>CHOOSE(CONTROL!$C$42, 18.2634, 18.2634) * CHOOSE(CONTROL!$C$21, $C$9, 100%, $E$9)</f>
        <v>18.263400000000001</v>
      </c>
      <c r="F392" s="14">
        <f>CHOOSE(CONTROL!$C$42, 17.9872, 17.9872)*CHOOSE(CONTROL!$C$21, $C$9, 100%, $E$9)</f>
        <v>17.987200000000001</v>
      </c>
      <c r="G392" s="14">
        <f>CHOOSE(CONTROL!$C$42, 18.0044, 18.0044)*CHOOSE(CONTROL!$C$21, $C$9, 100%, $E$9)</f>
        <v>18.0044</v>
      </c>
      <c r="H392" s="14">
        <f>CHOOSE(CONTROL!$C$42, 18.252, 18.252) * CHOOSE(CONTROL!$C$21, $C$9, 100%, $E$9)</f>
        <v>18.251999999999999</v>
      </c>
      <c r="I392" s="14">
        <f>CHOOSE(CONTROL!$C$42, 18.0422, 18.0422)* CHOOSE(CONTROL!$C$21, $C$9, 100%, $E$9)</f>
        <v>18.042200000000001</v>
      </c>
      <c r="J392" s="14">
        <f>CHOOSE(CONTROL!$C$42, 17.9802, 17.9802)* CHOOSE(CONTROL!$C$21, $C$9, 100%, $E$9)</f>
        <v>17.9802</v>
      </c>
      <c r="K392" s="52">
        <f>CHOOSE(CONTROL!$C$42, 18.0383, 18.0383) * CHOOSE(CONTROL!$C$21, $C$9, 100%, $E$9)</f>
        <v>18.0383</v>
      </c>
      <c r="L392" s="14">
        <f>CHOOSE(CONTROL!$C$42, 18.839, 18.839) * CHOOSE(CONTROL!$C$21, $C$9, 100%, $E$9)</f>
        <v>18.838999999999999</v>
      </c>
      <c r="M392" s="14">
        <f>CHOOSE(CONTROL!$C$42, 17.6645, 17.6645) * CHOOSE(CONTROL!$C$21, $C$9, 100%, $E$9)</f>
        <v>17.6645</v>
      </c>
      <c r="N392" s="14">
        <f>CHOOSE(CONTROL!$C$42, 17.6814, 17.6814) * CHOOSE(CONTROL!$C$21, $C$9, 100%, $E$9)</f>
        <v>17.6814</v>
      </c>
      <c r="O392" s="14">
        <f>CHOOSE(CONTROL!$C$42, 17.9314, 17.9314) * CHOOSE(CONTROL!$C$21, $C$9, 100%, $E$9)</f>
        <v>17.9314</v>
      </c>
      <c r="P392" s="14">
        <f>CHOOSE(CONTROL!$C$42, 17.7244, 17.7244) * CHOOSE(CONTROL!$C$21, $C$9, 100%, $E$9)</f>
        <v>17.724399999999999</v>
      </c>
      <c r="Q392" s="14">
        <f>CHOOSE(CONTROL!$C$42, 18.5261, 18.5261) * CHOOSE(CONTROL!$C$21, $C$9, 100%, $E$9)</f>
        <v>18.5261</v>
      </c>
      <c r="R392" s="14">
        <f>CHOOSE(CONTROL!$C$42, 19.1594, 19.1594) * CHOOSE(CONTROL!$C$21, $C$9, 100%, $E$9)</f>
        <v>19.159400000000002</v>
      </c>
      <c r="S392" s="14">
        <f>CHOOSE(CONTROL!$C$42, 17.2517, 17.2517) * CHOOSE(CONTROL!$C$21, $C$9, 100%, $E$9)</f>
        <v>17.2517</v>
      </c>
      <c r="T3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92" s="56">
        <f>(1000*CHOOSE(CONTROL!$C$42, 695, 695)*CHOOSE(CONTROL!$C$42, 0.5599, 0.5599)*CHOOSE(CONTROL!$C$42, 31, 31))/1000000</f>
        <v>12.063045499999998</v>
      </c>
      <c r="V392" s="56">
        <f>(1000*CHOOSE(CONTROL!$C$42, 500, 500)*CHOOSE(CONTROL!$C$42, 0.275, 0.275)*CHOOSE(CONTROL!$C$42, 31, 31))/1000000</f>
        <v>4.2625000000000002</v>
      </c>
      <c r="W392" s="56">
        <f>(1000*CHOOSE(CONTROL!$C$42, 0.1146, 0.1146)*CHOOSE(CONTROL!$C$42, 121.5, 121.5)*CHOOSE(CONTROL!$C$42, 31, 31))/1000000</f>
        <v>0.43164089999999994</v>
      </c>
      <c r="X392" s="56">
        <f>(31*0.1790888*245000/1000000)+(31*0.2374*100000/1000000)</f>
        <v>2.0961194359999999</v>
      </c>
      <c r="Y392" s="56"/>
      <c r="Z392" s="14"/>
      <c r="AA392" s="55"/>
      <c r="AB392" s="49">
        <f>(B392*194.205+C392*267.466+D392*133.845+E392*53.484+F392*40+G392*185+H392*0+I392*100+J392*300)/(194.205+267.466+133.845+53.484+0+40+185+100+300)</f>
        <v>18.023231750313972</v>
      </c>
      <c r="AC392" s="45">
        <f>(M392*'RAP TEMPLATE-GAS AVAILABILITY'!O391+N392*'RAP TEMPLATE-GAS AVAILABILITY'!P391+O392*'RAP TEMPLATE-GAS AVAILABILITY'!Q391+P392*'RAP TEMPLATE-GAS AVAILABILITY'!R391)/('RAP TEMPLATE-GAS AVAILABILITY'!O391+'RAP TEMPLATE-GAS AVAILABILITY'!P391+'RAP TEMPLATE-GAS AVAILABILITY'!Q391+'RAP TEMPLATE-GAS AVAILABILITY'!R391)</f>
        <v>17.751894964028779</v>
      </c>
    </row>
    <row r="393" spans="1:29" ht="15.75" x14ac:dyDescent="0.25">
      <c r="A393" s="33">
        <v>52870</v>
      </c>
      <c r="B393" s="14">
        <f>CHOOSE(CONTROL!$C$42, 16.8248, 16.8248) * CHOOSE(CONTROL!$C$21, $C$9, 100%, $E$9)</f>
        <v>16.8248</v>
      </c>
      <c r="C393" s="14">
        <f>CHOOSE(CONTROL!$C$42, 16.8328, 16.8328) * CHOOSE(CONTROL!$C$21, $C$9, 100%, $E$9)</f>
        <v>16.832799999999999</v>
      </c>
      <c r="D393" s="14">
        <f>CHOOSE(CONTROL!$C$42, 17.0919, 17.0919) * CHOOSE(CONTROL!$C$21, $C$9, 100%, $E$9)</f>
        <v>17.091899999999999</v>
      </c>
      <c r="E393" s="14">
        <f>CHOOSE(CONTROL!$C$42, 17.1234, 17.1234) * CHOOSE(CONTROL!$C$21, $C$9, 100%, $E$9)</f>
        <v>17.1234</v>
      </c>
      <c r="F393" s="14">
        <f>CHOOSE(CONTROL!$C$42, 16.8473, 16.8473)*CHOOSE(CONTROL!$C$21, $C$9, 100%, $E$9)</f>
        <v>16.847300000000001</v>
      </c>
      <c r="G393" s="14">
        <f>CHOOSE(CONTROL!$C$42, 16.8645, 16.8645)*CHOOSE(CONTROL!$C$21, $C$9, 100%, $E$9)</f>
        <v>16.8645</v>
      </c>
      <c r="H393" s="14">
        <f>CHOOSE(CONTROL!$C$42, 17.112, 17.112) * CHOOSE(CONTROL!$C$21, $C$9, 100%, $E$9)</f>
        <v>17.111999999999998</v>
      </c>
      <c r="I393" s="14">
        <f>CHOOSE(CONTROL!$C$42, 16.8986, 16.8986)* CHOOSE(CONTROL!$C$21, $C$9, 100%, $E$9)</f>
        <v>16.898599999999998</v>
      </c>
      <c r="J393" s="14">
        <f>CHOOSE(CONTROL!$C$42, 16.8403, 16.8403)* CHOOSE(CONTROL!$C$21, $C$9, 100%, $E$9)</f>
        <v>16.840299999999999</v>
      </c>
      <c r="K393" s="52">
        <f>CHOOSE(CONTROL!$C$42, 16.8947, 16.8947) * CHOOSE(CONTROL!$C$21, $C$9, 100%, $E$9)</f>
        <v>16.8947</v>
      </c>
      <c r="L393" s="14">
        <f>CHOOSE(CONTROL!$C$42, 17.699, 17.699) * CHOOSE(CONTROL!$C$21, $C$9, 100%, $E$9)</f>
        <v>17.699000000000002</v>
      </c>
      <c r="M393" s="14">
        <f>CHOOSE(CONTROL!$C$42, 16.545, 16.545) * CHOOSE(CONTROL!$C$21, $C$9, 100%, $E$9)</f>
        <v>16.545000000000002</v>
      </c>
      <c r="N393" s="14">
        <f>CHOOSE(CONTROL!$C$42, 16.562, 16.562) * CHOOSE(CONTROL!$C$21, $C$9, 100%, $E$9)</f>
        <v>16.562000000000001</v>
      </c>
      <c r="O393" s="14">
        <f>CHOOSE(CONTROL!$C$42, 16.8119, 16.8119) * CHOOSE(CONTROL!$C$21, $C$9, 100%, $E$9)</f>
        <v>16.811900000000001</v>
      </c>
      <c r="P393" s="14">
        <f>CHOOSE(CONTROL!$C$42, 16.6014, 16.6014) * CHOOSE(CONTROL!$C$21, $C$9, 100%, $E$9)</f>
        <v>16.601400000000002</v>
      </c>
      <c r="Q393" s="14">
        <f>CHOOSE(CONTROL!$C$42, 17.4066, 17.4066) * CHOOSE(CONTROL!$C$21, $C$9, 100%, $E$9)</f>
        <v>17.406600000000001</v>
      </c>
      <c r="R393" s="14">
        <f>CHOOSE(CONTROL!$C$42, 18.0371, 18.0371) * CHOOSE(CONTROL!$C$21, $C$9, 100%, $E$9)</f>
        <v>18.037099999999999</v>
      </c>
      <c r="S393" s="14">
        <f>CHOOSE(CONTROL!$C$42, 16.1563, 16.1563) * CHOOSE(CONTROL!$C$21, $C$9, 100%, $E$9)</f>
        <v>16.156300000000002</v>
      </c>
      <c r="T3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93" s="56">
        <f>(1000*CHOOSE(CONTROL!$C$42, 695, 695)*CHOOSE(CONTROL!$C$42, 0.5599, 0.5599)*CHOOSE(CONTROL!$C$42, 30, 30))/1000000</f>
        <v>11.673914999999997</v>
      </c>
      <c r="V393" s="56">
        <f>(1000*CHOOSE(CONTROL!$C$42, 500, 500)*CHOOSE(CONTROL!$C$42, 0.275, 0.275)*CHOOSE(CONTROL!$C$42, 30, 30))/1000000</f>
        <v>4.125</v>
      </c>
      <c r="W393" s="56">
        <f>(1000*CHOOSE(CONTROL!$C$42, 0.1146, 0.1146)*CHOOSE(CONTROL!$C$42, 121.5, 121.5)*CHOOSE(CONTROL!$C$42, 30, 30))/1000000</f>
        <v>0.417717</v>
      </c>
      <c r="X393" s="56">
        <f>(30*0.1790888*245000/1000000)+(30*0.2374*100000/1000000)</f>
        <v>2.0285026799999999</v>
      </c>
      <c r="Y393" s="56"/>
      <c r="Z393" s="14"/>
      <c r="AA393" s="55"/>
      <c r="AB393" s="49">
        <f>(B393*194.205+C393*267.466+D393*133.845+E393*53.484+F393*40+G393*185+H393*0+I393*100+J393*300)/(194.205+267.466+133.845+53.484+0+40+185+100+300)</f>
        <v>16.882990384536889</v>
      </c>
      <c r="AC393" s="45">
        <f>(M393*'RAP TEMPLATE-GAS AVAILABILITY'!O392+N393*'RAP TEMPLATE-GAS AVAILABILITY'!P392+O393*'RAP TEMPLATE-GAS AVAILABILITY'!Q392+P393*'RAP TEMPLATE-GAS AVAILABILITY'!R392)/('RAP TEMPLATE-GAS AVAILABILITY'!O392+'RAP TEMPLATE-GAS AVAILABILITY'!P392+'RAP TEMPLATE-GAS AVAILABILITY'!Q392+'RAP TEMPLATE-GAS AVAILABILITY'!R392)</f>
        <v>16.631914388489211</v>
      </c>
    </row>
    <row r="394" spans="1:29" ht="15.75" x14ac:dyDescent="0.25">
      <c r="A394" s="33">
        <v>52901</v>
      </c>
      <c r="B394" s="14">
        <f>CHOOSE(CONTROL!$C$42, 16.4816, 16.4816) * CHOOSE(CONTROL!$C$21, $C$9, 100%, $E$9)</f>
        <v>16.4816</v>
      </c>
      <c r="C394" s="14">
        <f>CHOOSE(CONTROL!$C$42, 16.487, 16.487) * CHOOSE(CONTROL!$C$21, $C$9, 100%, $E$9)</f>
        <v>16.486999999999998</v>
      </c>
      <c r="D394" s="14">
        <f>CHOOSE(CONTROL!$C$42, 16.751, 16.751) * CHOOSE(CONTROL!$C$21, $C$9, 100%, $E$9)</f>
        <v>16.751000000000001</v>
      </c>
      <c r="E394" s="14">
        <f>CHOOSE(CONTROL!$C$42, 16.7802, 16.7802) * CHOOSE(CONTROL!$C$21, $C$9, 100%, $E$9)</f>
        <v>16.780200000000001</v>
      </c>
      <c r="F394" s="14">
        <f>CHOOSE(CONTROL!$C$42, 16.5063, 16.5063)*CHOOSE(CONTROL!$C$21, $C$9, 100%, $E$9)</f>
        <v>16.5063</v>
      </c>
      <c r="G394" s="14">
        <f>CHOOSE(CONTROL!$C$42, 16.5234, 16.5234)*CHOOSE(CONTROL!$C$21, $C$9, 100%, $E$9)</f>
        <v>16.523399999999999</v>
      </c>
      <c r="H394" s="14">
        <f>CHOOSE(CONTROL!$C$42, 16.7706, 16.7706) * CHOOSE(CONTROL!$C$21, $C$9, 100%, $E$9)</f>
        <v>16.770600000000002</v>
      </c>
      <c r="I394" s="14">
        <f>CHOOSE(CONTROL!$C$42, 16.5561, 16.5561)* CHOOSE(CONTROL!$C$21, $C$9, 100%, $E$9)</f>
        <v>16.556100000000001</v>
      </c>
      <c r="J394" s="14">
        <f>CHOOSE(CONTROL!$C$42, 16.4993, 16.4993)* CHOOSE(CONTROL!$C$21, $C$9, 100%, $E$9)</f>
        <v>16.499300000000002</v>
      </c>
      <c r="K394" s="52">
        <f>CHOOSE(CONTROL!$C$42, 16.5522, 16.5522) * CHOOSE(CONTROL!$C$21, $C$9, 100%, $E$9)</f>
        <v>16.552199999999999</v>
      </c>
      <c r="L394" s="14">
        <f>CHOOSE(CONTROL!$C$42, 17.3576, 17.3576) * CHOOSE(CONTROL!$C$21, $C$9, 100%, $E$9)</f>
        <v>17.357600000000001</v>
      </c>
      <c r="M394" s="14">
        <f>CHOOSE(CONTROL!$C$42, 16.2102, 16.2102) * CHOOSE(CONTROL!$C$21, $C$9, 100%, $E$9)</f>
        <v>16.2102</v>
      </c>
      <c r="N394" s="14">
        <f>CHOOSE(CONTROL!$C$42, 16.227, 16.227) * CHOOSE(CONTROL!$C$21, $C$9, 100%, $E$9)</f>
        <v>16.227</v>
      </c>
      <c r="O394" s="14">
        <f>CHOOSE(CONTROL!$C$42, 16.4767, 16.4767) * CHOOSE(CONTROL!$C$21, $C$9, 100%, $E$9)</f>
        <v>16.476700000000001</v>
      </c>
      <c r="P394" s="14">
        <f>CHOOSE(CONTROL!$C$42, 16.2652, 16.2652) * CHOOSE(CONTROL!$C$21, $C$9, 100%, $E$9)</f>
        <v>16.2652</v>
      </c>
      <c r="Q394" s="14">
        <f>CHOOSE(CONTROL!$C$42, 17.0714, 17.0714) * CHOOSE(CONTROL!$C$21, $C$9, 100%, $E$9)</f>
        <v>17.071400000000001</v>
      </c>
      <c r="R394" s="14">
        <f>CHOOSE(CONTROL!$C$42, 17.701, 17.701) * CHOOSE(CONTROL!$C$21, $C$9, 100%, $E$9)</f>
        <v>17.701000000000001</v>
      </c>
      <c r="S394" s="14">
        <f>CHOOSE(CONTROL!$C$42, 15.8283, 15.8283) * CHOOSE(CONTROL!$C$21, $C$9, 100%, $E$9)</f>
        <v>15.8283</v>
      </c>
      <c r="T3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94" s="56">
        <f>(1000*CHOOSE(CONTROL!$C$42, 695, 695)*CHOOSE(CONTROL!$C$42, 0.5599, 0.5599)*CHOOSE(CONTROL!$C$42, 31, 31))/1000000</f>
        <v>12.063045499999998</v>
      </c>
      <c r="V394" s="56">
        <f>(1000*CHOOSE(CONTROL!$C$42, 500, 500)*CHOOSE(CONTROL!$C$42, 0.275, 0.275)*CHOOSE(CONTROL!$C$42, 31, 31))/1000000</f>
        <v>4.2625000000000002</v>
      </c>
      <c r="W394" s="56">
        <f>(1000*CHOOSE(CONTROL!$C$42, 0.1146, 0.1146)*CHOOSE(CONTROL!$C$42, 121.5, 121.5)*CHOOSE(CONTROL!$C$42, 31, 31))/1000000</f>
        <v>0.43164089999999994</v>
      </c>
      <c r="X394" s="56">
        <f>(31*0.1790888*245000/1000000)+(31*0.2374*100000/1000000)</f>
        <v>2.0961194359999999</v>
      </c>
      <c r="Y394" s="56"/>
      <c r="Z394" s="14"/>
      <c r="AA394" s="55"/>
      <c r="AB394" s="49">
        <f>(B394*131.881+C394*277.167+D394*79.08+E394*125.872+F394*40+G394*185+H394*0+I394*100+J394*300)/(131.881+277.167+79.08+125.872+0+40+185+100+300)</f>
        <v>16.54767524858757</v>
      </c>
      <c r="AC394" s="45">
        <f>(M394*'RAP TEMPLATE-GAS AVAILABILITY'!O393+N394*'RAP TEMPLATE-GAS AVAILABILITY'!P393+O394*'RAP TEMPLATE-GAS AVAILABILITY'!Q393+P394*'RAP TEMPLATE-GAS AVAILABILITY'!R393)/('RAP TEMPLATE-GAS AVAILABILITY'!O393+'RAP TEMPLATE-GAS AVAILABILITY'!P393+'RAP TEMPLATE-GAS AVAILABILITY'!Q393+'RAP TEMPLATE-GAS AVAILABILITY'!R393)</f>
        <v>16.296754676258995</v>
      </c>
    </row>
    <row r="395" spans="1:29" ht="15.75" x14ac:dyDescent="0.25">
      <c r="A395" s="33">
        <v>52931</v>
      </c>
      <c r="B395" s="14">
        <f>CHOOSE(CONTROL!$C$42, 16.9152, 16.9152) * CHOOSE(CONTROL!$C$21, $C$9, 100%, $E$9)</f>
        <v>16.915199999999999</v>
      </c>
      <c r="C395" s="14">
        <f>CHOOSE(CONTROL!$C$42, 16.9202, 16.9202) * CHOOSE(CONTROL!$C$21, $C$9, 100%, $E$9)</f>
        <v>16.920200000000001</v>
      </c>
      <c r="D395" s="14">
        <f>CHOOSE(CONTROL!$C$42, 17.0033, 17.0033) * CHOOSE(CONTROL!$C$21, $C$9, 100%, $E$9)</f>
        <v>17.003299999999999</v>
      </c>
      <c r="E395" s="14">
        <f>CHOOSE(CONTROL!$C$42, 17.0374, 17.0374) * CHOOSE(CONTROL!$C$21, $C$9, 100%, $E$9)</f>
        <v>17.037400000000002</v>
      </c>
      <c r="F395" s="14">
        <f>CHOOSE(CONTROL!$C$42, 16.9428, 16.9428)*CHOOSE(CONTROL!$C$21, $C$9, 100%, $E$9)</f>
        <v>16.942799999999998</v>
      </c>
      <c r="G395" s="14">
        <f>CHOOSE(CONTROL!$C$42, 16.9602, 16.9602)*CHOOSE(CONTROL!$C$21, $C$9, 100%, $E$9)</f>
        <v>16.9602</v>
      </c>
      <c r="H395" s="14">
        <f>CHOOSE(CONTROL!$C$42, 17.0266, 17.0266) * CHOOSE(CONTROL!$C$21, $C$9, 100%, $E$9)</f>
        <v>17.026599999999998</v>
      </c>
      <c r="I395" s="14">
        <f>CHOOSE(CONTROL!$C$42, 16.9878, 16.9878)* CHOOSE(CONTROL!$C$21, $C$9, 100%, $E$9)</f>
        <v>16.9878</v>
      </c>
      <c r="J395" s="14">
        <f>CHOOSE(CONTROL!$C$42, 16.9358, 16.9358)* CHOOSE(CONTROL!$C$21, $C$9, 100%, $E$9)</f>
        <v>16.9358</v>
      </c>
      <c r="K395" s="52">
        <f>CHOOSE(CONTROL!$C$42, 16.9839, 16.9839) * CHOOSE(CONTROL!$C$21, $C$9, 100%, $E$9)</f>
        <v>16.983899999999998</v>
      </c>
      <c r="L395" s="14">
        <f>CHOOSE(CONTROL!$C$42, 17.6136, 17.6136) * CHOOSE(CONTROL!$C$21, $C$9, 100%, $E$9)</f>
        <v>17.613600000000002</v>
      </c>
      <c r="M395" s="14">
        <f>CHOOSE(CONTROL!$C$42, 16.6389, 16.6389) * CHOOSE(CONTROL!$C$21, $C$9, 100%, $E$9)</f>
        <v>16.6389</v>
      </c>
      <c r="N395" s="14">
        <f>CHOOSE(CONTROL!$C$42, 16.6559, 16.6559) * CHOOSE(CONTROL!$C$21, $C$9, 100%, $E$9)</f>
        <v>16.655899999999999</v>
      </c>
      <c r="O395" s="14">
        <f>CHOOSE(CONTROL!$C$42, 16.728, 16.728) * CHOOSE(CONTROL!$C$21, $C$9, 100%, $E$9)</f>
        <v>16.728000000000002</v>
      </c>
      <c r="P395" s="14">
        <f>CHOOSE(CONTROL!$C$42, 16.689, 16.689) * CHOOSE(CONTROL!$C$21, $C$9, 100%, $E$9)</f>
        <v>16.689</v>
      </c>
      <c r="Q395" s="14">
        <f>CHOOSE(CONTROL!$C$42, 17.3227, 17.3227) * CHOOSE(CONTROL!$C$21, $C$9, 100%, $E$9)</f>
        <v>17.322700000000001</v>
      </c>
      <c r="R395" s="14">
        <f>CHOOSE(CONTROL!$C$42, 17.9531, 17.9531) * CHOOSE(CONTROL!$C$21, $C$9, 100%, $E$9)</f>
        <v>17.953099999999999</v>
      </c>
      <c r="S395" s="14">
        <f>CHOOSE(CONTROL!$C$42, 16.2452, 16.2452) * CHOOSE(CONTROL!$C$21, $C$9, 100%, $E$9)</f>
        <v>16.245200000000001</v>
      </c>
      <c r="T3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95" s="56">
        <f>(1000*CHOOSE(CONTROL!$C$42, 695, 695)*CHOOSE(CONTROL!$C$42, 0.5599, 0.5599)*CHOOSE(CONTROL!$C$42, 30, 30))/1000000</f>
        <v>11.673914999999997</v>
      </c>
      <c r="V395" s="56">
        <f>(1000*CHOOSE(CONTROL!$C$42, 500, 500)*CHOOSE(CONTROL!$C$42, 0.275, 0.275)*CHOOSE(CONTROL!$C$42, 30, 30))/1000000</f>
        <v>4.125</v>
      </c>
      <c r="W395" s="56">
        <f>(1000*CHOOSE(CONTROL!$C$42, 0.1146, 0.1146)*CHOOSE(CONTROL!$C$42, 121.5, 121.5)*CHOOSE(CONTROL!$C$42, 30, 30))/1000000</f>
        <v>0.417717</v>
      </c>
      <c r="X395" s="56">
        <f>(30*0.1790888*100000/1000000)+(30*0.2374*100000/1000000)</f>
        <v>1.2494664</v>
      </c>
      <c r="Y395" s="56"/>
      <c r="Z395" s="14"/>
      <c r="AA395" s="55"/>
      <c r="AB395" s="49">
        <f>(B395*122.58+C395*297.941+D395*89.177+E395*40.302+F395*40+G395*160+H395*0+I395*100+J395*300)/(122.58+297.941+89.177+40.302+0+40+160+100+300)</f>
        <v>16.946517480956519</v>
      </c>
      <c r="AC395" s="45">
        <f>(M395*'RAP TEMPLATE-GAS AVAILABILITY'!O394+N395*'RAP TEMPLATE-GAS AVAILABILITY'!P394+O395*'RAP TEMPLATE-GAS AVAILABILITY'!Q394+P395*'RAP TEMPLATE-GAS AVAILABILITY'!R394)/('RAP TEMPLATE-GAS AVAILABILITY'!O394+'RAP TEMPLATE-GAS AVAILABILITY'!P394+'RAP TEMPLATE-GAS AVAILABILITY'!Q394+'RAP TEMPLATE-GAS AVAILABILITY'!R394)</f>
        <v>16.687470503597122</v>
      </c>
    </row>
    <row r="396" spans="1:29" ht="15.75" x14ac:dyDescent="0.25">
      <c r="A396" s="33">
        <v>52962</v>
      </c>
      <c r="B396" s="14">
        <f>CHOOSE(CONTROL!$C$42, 18.0678, 18.0678) * CHOOSE(CONTROL!$C$21, $C$9, 100%, $E$9)</f>
        <v>18.067799999999998</v>
      </c>
      <c r="C396" s="14">
        <f>CHOOSE(CONTROL!$C$42, 18.0729, 18.0729) * CHOOSE(CONTROL!$C$21, $C$9, 100%, $E$9)</f>
        <v>18.072900000000001</v>
      </c>
      <c r="D396" s="14">
        <f>CHOOSE(CONTROL!$C$42, 18.1559, 18.1559) * CHOOSE(CONTROL!$C$21, $C$9, 100%, $E$9)</f>
        <v>18.155899999999999</v>
      </c>
      <c r="E396" s="14">
        <f>CHOOSE(CONTROL!$C$42, 18.19, 18.19) * CHOOSE(CONTROL!$C$21, $C$9, 100%, $E$9)</f>
        <v>18.190000000000001</v>
      </c>
      <c r="F396" s="14">
        <f>CHOOSE(CONTROL!$C$42, 18.0978, 18.0978)*CHOOSE(CONTROL!$C$21, $C$9, 100%, $E$9)</f>
        <v>18.097799999999999</v>
      </c>
      <c r="G396" s="14">
        <f>CHOOSE(CONTROL!$C$42, 18.1159, 18.1159)*CHOOSE(CONTROL!$C$21, $C$9, 100%, $E$9)</f>
        <v>18.1159</v>
      </c>
      <c r="H396" s="14">
        <f>CHOOSE(CONTROL!$C$42, 18.1792, 18.1792) * CHOOSE(CONTROL!$C$21, $C$9, 100%, $E$9)</f>
        <v>18.179200000000002</v>
      </c>
      <c r="I396" s="14">
        <f>CHOOSE(CONTROL!$C$42, 18.144, 18.144)* CHOOSE(CONTROL!$C$21, $C$9, 100%, $E$9)</f>
        <v>18.143999999999998</v>
      </c>
      <c r="J396" s="14">
        <f>CHOOSE(CONTROL!$C$42, 18.0908, 18.0908)* CHOOSE(CONTROL!$C$21, $C$9, 100%, $E$9)</f>
        <v>18.090800000000002</v>
      </c>
      <c r="K396" s="52">
        <f>CHOOSE(CONTROL!$C$42, 18.1401, 18.1401) * CHOOSE(CONTROL!$C$21, $C$9, 100%, $E$9)</f>
        <v>18.1401</v>
      </c>
      <c r="L396" s="14">
        <f>CHOOSE(CONTROL!$C$42, 18.7662, 18.7662) * CHOOSE(CONTROL!$C$21, $C$9, 100%, $E$9)</f>
        <v>18.766200000000001</v>
      </c>
      <c r="M396" s="14">
        <f>CHOOSE(CONTROL!$C$42, 17.7731, 17.7731) * CHOOSE(CONTROL!$C$21, $C$9, 100%, $E$9)</f>
        <v>17.773099999999999</v>
      </c>
      <c r="N396" s="14">
        <f>CHOOSE(CONTROL!$C$42, 17.7908, 17.7908) * CHOOSE(CONTROL!$C$21, $C$9, 100%, $E$9)</f>
        <v>17.790800000000001</v>
      </c>
      <c r="O396" s="14">
        <f>CHOOSE(CONTROL!$C$42, 17.8599, 17.8599) * CHOOSE(CONTROL!$C$21, $C$9, 100%, $E$9)</f>
        <v>17.8599</v>
      </c>
      <c r="P396" s="14">
        <f>CHOOSE(CONTROL!$C$42, 17.8244, 17.8244) * CHOOSE(CONTROL!$C$21, $C$9, 100%, $E$9)</f>
        <v>17.824400000000001</v>
      </c>
      <c r="Q396" s="14">
        <f>CHOOSE(CONTROL!$C$42, 18.4546, 18.4546) * CHOOSE(CONTROL!$C$21, $C$9, 100%, $E$9)</f>
        <v>18.454599999999999</v>
      </c>
      <c r="R396" s="14">
        <f>CHOOSE(CONTROL!$C$42, 19.0878, 19.0878) * CHOOSE(CONTROL!$C$21, $C$9, 100%, $E$9)</f>
        <v>19.087800000000001</v>
      </c>
      <c r="S396" s="14">
        <f>CHOOSE(CONTROL!$C$42, 17.3528, 17.3528) * CHOOSE(CONTROL!$C$21, $C$9, 100%, $E$9)</f>
        <v>17.352799999999998</v>
      </c>
      <c r="T3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96" s="56">
        <f>(1000*CHOOSE(CONTROL!$C$42, 695, 695)*CHOOSE(CONTROL!$C$42, 0.5599, 0.5599)*CHOOSE(CONTROL!$C$42, 31, 31))/1000000</f>
        <v>12.063045499999998</v>
      </c>
      <c r="V396" s="56">
        <f>(1000*CHOOSE(CONTROL!$C$42, 500, 500)*CHOOSE(CONTROL!$C$42, 0.275, 0.275)*CHOOSE(CONTROL!$C$42, 31, 31))/1000000</f>
        <v>4.2625000000000002</v>
      </c>
      <c r="W396" s="56">
        <f>(1000*CHOOSE(CONTROL!$C$42, 0.1146, 0.1146)*CHOOSE(CONTROL!$C$42, 121.5, 121.5)*CHOOSE(CONTROL!$C$42, 31, 31))/1000000</f>
        <v>0.43164089999999994</v>
      </c>
      <c r="X396" s="56">
        <f>(31*0.1790888*100000/1000000)+(31*0.2374*100000/1000000)</f>
        <v>1.2911152800000001</v>
      </c>
      <c r="Y396" s="56"/>
      <c r="Z396" s="14"/>
      <c r="AA396" s="55"/>
      <c r="AB396" s="49">
        <f>(B396*122.58+C396*297.941+D396*89.177+E396*40.302+F396*40+G396*160+H396*0+I396*100+J396*300)/(122.58+297.941+89.177+40.302+0+40+160+100+300)</f>
        <v>18.100597301913044</v>
      </c>
      <c r="AC396" s="45">
        <f>(M396*'RAP TEMPLATE-GAS AVAILABILITY'!O395+N396*'RAP TEMPLATE-GAS AVAILABILITY'!P395+O396*'RAP TEMPLATE-GAS AVAILABILITY'!Q395+P396*'RAP TEMPLATE-GAS AVAILABILITY'!R395)/('RAP TEMPLATE-GAS AVAILABILITY'!O395+'RAP TEMPLATE-GAS AVAILABILITY'!P395+'RAP TEMPLATE-GAS AVAILABILITY'!Q395+'RAP TEMPLATE-GAS AVAILABILITY'!R395)</f>
        <v>17.820841007194247</v>
      </c>
    </row>
    <row r="397" spans="1:29" ht="15.75" x14ac:dyDescent="0.25">
      <c r="A397" s="33">
        <v>52993</v>
      </c>
      <c r="B397" s="14">
        <f>CHOOSE(CONTROL!$C$42, 19.5648, 19.5648) * CHOOSE(CONTROL!$C$21, $C$9, 100%, $E$9)</f>
        <v>19.564800000000002</v>
      </c>
      <c r="C397" s="14">
        <f>CHOOSE(CONTROL!$C$42, 19.5699, 19.5699) * CHOOSE(CONTROL!$C$21, $C$9, 100%, $E$9)</f>
        <v>19.569900000000001</v>
      </c>
      <c r="D397" s="14">
        <f>CHOOSE(CONTROL!$C$42, 19.6634, 19.6634) * CHOOSE(CONTROL!$C$21, $C$9, 100%, $E$9)</f>
        <v>19.663399999999999</v>
      </c>
      <c r="E397" s="14">
        <f>CHOOSE(CONTROL!$C$42, 19.6975, 19.6975) * CHOOSE(CONTROL!$C$21, $C$9, 100%, $E$9)</f>
        <v>19.697500000000002</v>
      </c>
      <c r="F397" s="14">
        <f>CHOOSE(CONTROL!$C$42, 19.5921, 19.5921)*CHOOSE(CONTROL!$C$21, $C$9, 100%, $E$9)</f>
        <v>19.592099999999999</v>
      </c>
      <c r="G397" s="14">
        <f>CHOOSE(CONTROL!$C$42, 19.6101, 19.6101)*CHOOSE(CONTROL!$C$21, $C$9, 100%, $E$9)</f>
        <v>19.610099999999999</v>
      </c>
      <c r="H397" s="14">
        <f>CHOOSE(CONTROL!$C$42, 19.6867, 19.6867) * CHOOSE(CONTROL!$C$21, $C$9, 100%, $E$9)</f>
        <v>19.686699999999998</v>
      </c>
      <c r="I397" s="14">
        <f>CHOOSE(CONTROL!$C$42, 19.652, 19.652)* CHOOSE(CONTROL!$C$21, $C$9, 100%, $E$9)</f>
        <v>19.652000000000001</v>
      </c>
      <c r="J397" s="14">
        <f>CHOOSE(CONTROL!$C$42, 19.5851, 19.5851)* CHOOSE(CONTROL!$C$21, $C$9, 100%, $E$9)</f>
        <v>19.585100000000001</v>
      </c>
      <c r="K397" s="52">
        <f>CHOOSE(CONTROL!$C$42, 19.6481, 19.6481) * CHOOSE(CONTROL!$C$21, $C$9, 100%, $E$9)</f>
        <v>19.648099999999999</v>
      </c>
      <c r="L397" s="14">
        <f>CHOOSE(CONTROL!$C$42, 20.2737, 20.2737) * CHOOSE(CONTROL!$C$21, $C$9, 100%, $E$9)</f>
        <v>20.273700000000002</v>
      </c>
      <c r="M397" s="14">
        <f>CHOOSE(CONTROL!$C$42, 19.2405, 19.2405) * CHOOSE(CONTROL!$C$21, $C$9, 100%, $E$9)</f>
        <v>19.240500000000001</v>
      </c>
      <c r="N397" s="14">
        <f>CHOOSE(CONTROL!$C$42, 19.2582, 19.2582) * CHOOSE(CONTROL!$C$21, $C$9, 100%, $E$9)</f>
        <v>19.258199999999999</v>
      </c>
      <c r="O397" s="14">
        <f>CHOOSE(CONTROL!$C$42, 19.3403, 19.3403) * CHOOSE(CONTROL!$C$21, $C$9, 100%, $E$9)</f>
        <v>19.340299999999999</v>
      </c>
      <c r="P397" s="14">
        <f>CHOOSE(CONTROL!$C$42, 19.3052, 19.3052) * CHOOSE(CONTROL!$C$21, $C$9, 100%, $E$9)</f>
        <v>19.305199999999999</v>
      </c>
      <c r="Q397" s="14">
        <f>CHOOSE(CONTROL!$C$42, 19.935, 19.935) * CHOOSE(CONTROL!$C$21, $C$9, 100%, $E$9)</f>
        <v>19.934999999999999</v>
      </c>
      <c r="R397" s="14">
        <f>CHOOSE(CONTROL!$C$42, 20.5718, 20.5718) * CHOOSE(CONTROL!$C$21, $C$9, 100%, $E$9)</f>
        <v>20.5718</v>
      </c>
      <c r="S397" s="14">
        <f>CHOOSE(CONTROL!$C$42, 18.7913, 18.7913) * CHOOSE(CONTROL!$C$21, $C$9, 100%, $E$9)</f>
        <v>18.7913</v>
      </c>
      <c r="T3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97" s="56">
        <f>(1000*CHOOSE(CONTROL!$C$42, 695, 695)*CHOOSE(CONTROL!$C$42, 0.5599, 0.5599)*CHOOSE(CONTROL!$C$42, 31, 31))/1000000</f>
        <v>12.063045499999998</v>
      </c>
      <c r="V397" s="56">
        <f>(1000*CHOOSE(CONTROL!$C$42, 500, 500)*CHOOSE(CONTROL!$C$42, 0.275, 0.275)*CHOOSE(CONTROL!$C$42, 31, 31))/1000000</f>
        <v>4.2625000000000002</v>
      </c>
      <c r="W397" s="56">
        <f>(1000*CHOOSE(CONTROL!$C$42, 0.1146, 0.1146)*CHOOSE(CONTROL!$C$42, 121.5, 121.5)*CHOOSE(CONTROL!$C$42, 31, 31))/1000000</f>
        <v>0.43164089999999994</v>
      </c>
      <c r="X397" s="56">
        <f>(31*0.1790888*100000/1000000)+(31*0.2374*100000/1000000)</f>
        <v>1.2911152800000001</v>
      </c>
      <c r="Y397" s="56"/>
      <c r="Z397" s="14"/>
      <c r="AA397" s="55"/>
      <c r="AB397" s="49">
        <f>(B397*122.58+C397*297.941+D397*89.177+E397*40.302+F397*40+G397*160+H397*0+I397*100+J397*300)/(122.58+297.941+89.177+40.302+0+40+160+100+300)</f>
        <v>19.598548197130434</v>
      </c>
      <c r="AC397" s="45">
        <f>(M397*'RAP TEMPLATE-GAS AVAILABILITY'!O396+N397*'RAP TEMPLATE-GAS AVAILABILITY'!P396+O397*'RAP TEMPLATE-GAS AVAILABILITY'!Q396+P397*'RAP TEMPLATE-GAS AVAILABILITY'!R396)/('RAP TEMPLATE-GAS AVAILABILITY'!O396+'RAP TEMPLATE-GAS AVAILABILITY'!P396+'RAP TEMPLATE-GAS AVAILABILITY'!Q396+'RAP TEMPLATE-GAS AVAILABILITY'!R396)</f>
        <v>19.296061151079137</v>
      </c>
    </row>
    <row r="398" spans="1:29" ht="15.75" x14ac:dyDescent="0.25">
      <c r="A398" s="33">
        <v>53021</v>
      </c>
      <c r="B398" s="14">
        <f>CHOOSE(CONTROL!$C$42, 19.9129, 19.9129) * CHOOSE(CONTROL!$C$21, $C$9, 100%, $E$9)</f>
        <v>19.9129</v>
      </c>
      <c r="C398" s="14">
        <f>CHOOSE(CONTROL!$C$42, 19.918, 19.918) * CHOOSE(CONTROL!$C$21, $C$9, 100%, $E$9)</f>
        <v>19.917999999999999</v>
      </c>
      <c r="D398" s="14">
        <f>CHOOSE(CONTROL!$C$42, 20.0115, 20.0115) * CHOOSE(CONTROL!$C$21, $C$9, 100%, $E$9)</f>
        <v>20.011500000000002</v>
      </c>
      <c r="E398" s="14">
        <f>CHOOSE(CONTROL!$C$42, 20.0456, 20.0456) * CHOOSE(CONTROL!$C$21, $C$9, 100%, $E$9)</f>
        <v>20.0456</v>
      </c>
      <c r="F398" s="14">
        <f>CHOOSE(CONTROL!$C$42, 19.9399, 19.9399)*CHOOSE(CONTROL!$C$21, $C$9, 100%, $E$9)</f>
        <v>19.939900000000002</v>
      </c>
      <c r="G398" s="14">
        <f>CHOOSE(CONTROL!$C$42, 19.9577, 19.9577)*CHOOSE(CONTROL!$C$21, $C$9, 100%, $E$9)</f>
        <v>19.957699999999999</v>
      </c>
      <c r="H398" s="14">
        <f>CHOOSE(CONTROL!$C$42, 20.0348, 20.0348) * CHOOSE(CONTROL!$C$21, $C$9, 100%, $E$9)</f>
        <v>20.034800000000001</v>
      </c>
      <c r="I398" s="14">
        <f>CHOOSE(CONTROL!$C$42, 20.0012, 20.0012)* CHOOSE(CONTROL!$C$21, $C$9, 100%, $E$9)</f>
        <v>20.001200000000001</v>
      </c>
      <c r="J398" s="14">
        <f>CHOOSE(CONTROL!$C$42, 19.9329, 19.9329)* CHOOSE(CONTROL!$C$21, $C$9, 100%, $E$9)</f>
        <v>19.9329</v>
      </c>
      <c r="K398" s="52">
        <f>CHOOSE(CONTROL!$C$42, 19.9973, 19.9973) * CHOOSE(CONTROL!$C$21, $C$9, 100%, $E$9)</f>
        <v>19.997299999999999</v>
      </c>
      <c r="L398" s="14">
        <f>CHOOSE(CONTROL!$C$42, 20.6218, 20.6218) * CHOOSE(CONTROL!$C$21, $C$9, 100%, $E$9)</f>
        <v>20.6218</v>
      </c>
      <c r="M398" s="14">
        <f>CHOOSE(CONTROL!$C$42, 19.582, 19.582) * CHOOSE(CONTROL!$C$21, $C$9, 100%, $E$9)</f>
        <v>19.582000000000001</v>
      </c>
      <c r="N398" s="14">
        <f>CHOOSE(CONTROL!$C$42, 19.5996, 19.5996) * CHOOSE(CONTROL!$C$21, $C$9, 100%, $E$9)</f>
        <v>19.599599999999999</v>
      </c>
      <c r="O398" s="14">
        <f>CHOOSE(CONTROL!$C$42, 19.6821, 19.6821) * CHOOSE(CONTROL!$C$21, $C$9, 100%, $E$9)</f>
        <v>19.682099999999998</v>
      </c>
      <c r="P398" s="14">
        <f>CHOOSE(CONTROL!$C$42, 19.6481, 19.6481) * CHOOSE(CONTROL!$C$21, $C$9, 100%, $E$9)</f>
        <v>19.648099999999999</v>
      </c>
      <c r="Q398" s="14">
        <f>CHOOSE(CONTROL!$C$42, 20.2768, 20.2768) * CHOOSE(CONTROL!$C$21, $C$9, 100%, $E$9)</f>
        <v>20.276800000000001</v>
      </c>
      <c r="R398" s="14">
        <f>CHOOSE(CONTROL!$C$42, 20.9145, 20.9145) * CHOOSE(CONTROL!$C$21, $C$9, 100%, $E$9)</f>
        <v>20.9145</v>
      </c>
      <c r="S398" s="14">
        <f>CHOOSE(CONTROL!$C$42, 19.1258, 19.1258) * CHOOSE(CONTROL!$C$21, $C$9, 100%, $E$9)</f>
        <v>19.125800000000002</v>
      </c>
      <c r="T39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98" s="56">
        <f>(1000*CHOOSE(CONTROL!$C$42, 695, 695)*CHOOSE(CONTROL!$C$42, 0.5599, 0.5599)*CHOOSE(CONTROL!$C$42, 28, 28))/1000000</f>
        <v>10.895653999999999</v>
      </c>
      <c r="V398" s="56">
        <f>(1000*CHOOSE(CONTROL!$C$42, 500, 500)*CHOOSE(CONTROL!$C$42, 0.275, 0.275)*CHOOSE(CONTROL!$C$42, 28, 28))/1000000</f>
        <v>3.85</v>
      </c>
      <c r="W398" s="56">
        <f>(1000*CHOOSE(CONTROL!$C$42, 0.1146, 0.1146)*CHOOSE(CONTROL!$C$42, 121.5, 121.5)*CHOOSE(CONTROL!$C$42, 28, 28))/1000000</f>
        <v>0.38986920000000003</v>
      </c>
      <c r="X398" s="56">
        <f>(28*0.1790888*100000/1000000)+(28*0.2374*100000/1000000)</f>
        <v>1.16616864</v>
      </c>
      <c r="Y398" s="56"/>
      <c r="Z398" s="14"/>
      <c r="AA398" s="55"/>
      <c r="AB398" s="49">
        <f>(B398*122.58+C398*297.941+D398*89.177+E398*40.302+F398*40+G398*160+H398*0+I398*100+J398*300)/(122.58+297.941+89.177+40.302+0+40+160+100+300)</f>
        <v>19.946585588434779</v>
      </c>
      <c r="AC398" s="45">
        <f>(M398*'RAP TEMPLATE-GAS AVAILABILITY'!O397+N398*'RAP TEMPLATE-GAS AVAILABILITY'!P397+O398*'RAP TEMPLATE-GAS AVAILABILITY'!Q397+P398*'RAP TEMPLATE-GAS AVAILABILITY'!R397)/('RAP TEMPLATE-GAS AVAILABILITY'!O397+'RAP TEMPLATE-GAS AVAILABILITY'!P397+'RAP TEMPLATE-GAS AVAILABILITY'!Q397+'RAP TEMPLATE-GAS AVAILABILITY'!R397)</f>
        <v>19.637892805755396</v>
      </c>
    </row>
    <row r="399" spans="1:29" ht="15.75" x14ac:dyDescent="0.25">
      <c r="A399" s="33">
        <v>53052</v>
      </c>
      <c r="B399" s="14">
        <f>CHOOSE(CONTROL!$C$42, 19.3479, 19.3479) * CHOOSE(CONTROL!$C$21, $C$9, 100%, $E$9)</f>
        <v>19.347899999999999</v>
      </c>
      <c r="C399" s="14">
        <f>CHOOSE(CONTROL!$C$42, 19.3529, 19.3529) * CHOOSE(CONTROL!$C$21, $C$9, 100%, $E$9)</f>
        <v>19.352900000000002</v>
      </c>
      <c r="D399" s="14">
        <f>CHOOSE(CONTROL!$C$42, 19.4464, 19.4464) * CHOOSE(CONTROL!$C$21, $C$9, 100%, $E$9)</f>
        <v>19.446400000000001</v>
      </c>
      <c r="E399" s="14">
        <f>CHOOSE(CONTROL!$C$42, 19.4805, 19.4805) * CHOOSE(CONTROL!$C$21, $C$9, 100%, $E$9)</f>
        <v>19.480499999999999</v>
      </c>
      <c r="F399" s="14">
        <f>CHOOSE(CONTROL!$C$42, 19.3739, 19.3739)*CHOOSE(CONTROL!$C$21, $C$9, 100%, $E$9)</f>
        <v>19.373899999999999</v>
      </c>
      <c r="G399" s="14">
        <f>CHOOSE(CONTROL!$C$42, 19.3916, 19.3916)*CHOOSE(CONTROL!$C$21, $C$9, 100%, $E$9)</f>
        <v>19.3916</v>
      </c>
      <c r="H399" s="14">
        <f>CHOOSE(CONTROL!$C$42, 19.4697, 19.4697) * CHOOSE(CONTROL!$C$21, $C$9, 100%, $E$9)</f>
        <v>19.4697</v>
      </c>
      <c r="I399" s="14">
        <f>CHOOSE(CONTROL!$C$42, 19.4344, 19.4344)* CHOOSE(CONTROL!$C$21, $C$9, 100%, $E$9)</f>
        <v>19.4344</v>
      </c>
      <c r="J399" s="14">
        <f>CHOOSE(CONTROL!$C$42, 19.3669, 19.3669)* CHOOSE(CONTROL!$C$21, $C$9, 100%, $E$9)</f>
        <v>19.366900000000001</v>
      </c>
      <c r="K399" s="52">
        <f>CHOOSE(CONTROL!$C$42, 19.4305, 19.4305) * CHOOSE(CONTROL!$C$21, $C$9, 100%, $E$9)</f>
        <v>19.430499999999999</v>
      </c>
      <c r="L399" s="14">
        <f>CHOOSE(CONTROL!$C$42, 20.0567, 20.0567) * CHOOSE(CONTROL!$C$21, $C$9, 100%, $E$9)</f>
        <v>20.056699999999999</v>
      </c>
      <c r="M399" s="14">
        <f>CHOOSE(CONTROL!$C$42, 19.0263, 19.0263) * CHOOSE(CONTROL!$C$21, $C$9, 100%, $E$9)</f>
        <v>19.026299999999999</v>
      </c>
      <c r="N399" s="14">
        <f>CHOOSE(CONTROL!$C$42, 19.0436, 19.0436) * CHOOSE(CONTROL!$C$21, $C$9, 100%, $E$9)</f>
        <v>19.043600000000001</v>
      </c>
      <c r="O399" s="14">
        <f>CHOOSE(CONTROL!$C$42, 19.1272, 19.1272) * CHOOSE(CONTROL!$C$21, $C$9, 100%, $E$9)</f>
        <v>19.127199999999998</v>
      </c>
      <c r="P399" s="14">
        <f>CHOOSE(CONTROL!$C$42, 19.0915, 19.0915) * CHOOSE(CONTROL!$C$21, $C$9, 100%, $E$9)</f>
        <v>19.0915</v>
      </c>
      <c r="Q399" s="14">
        <f>CHOOSE(CONTROL!$C$42, 19.7219, 19.7219) * CHOOSE(CONTROL!$C$21, $C$9, 100%, $E$9)</f>
        <v>19.721900000000002</v>
      </c>
      <c r="R399" s="14">
        <f>CHOOSE(CONTROL!$C$42, 20.3582, 20.3582) * CHOOSE(CONTROL!$C$21, $C$9, 100%, $E$9)</f>
        <v>20.3582</v>
      </c>
      <c r="S399" s="14">
        <f>CHOOSE(CONTROL!$C$42, 18.5828, 18.5828) * CHOOSE(CONTROL!$C$21, $C$9, 100%, $E$9)</f>
        <v>18.582799999999999</v>
      </c>
      <c r="T3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9" s="56">
        <f>(1000*CHOOSE(CONTROL!$C$42, 695, 695)*CHOOSE(CONTROL!$C$42, 0.5599, 0.5599)*CHOOSE(CONTROL!$C$42, 31, 31))/1000000</f>
        <v>12.063045499999998</v>
      </c>
      <c r="V399" s="56">
        <f>(1000*CHOOSE(CONTROL!$C$42, 500, 500)*CHOOSE(CONTROL!$C$42, 0.275, 0.275)*CHOOSE(CONTROL!$C$42, 31, 31))/1000000</f>
        <v>4.2625000000000002</v>
      </c>
      <c r="W399" s="56">
        <f>(1000*CHOOSE(CONTROL!$C$42, 0.1146, 0.1146)*CHOOSE(CONTROL!$C$42, 121.5, 121.5)*CHOOSE(CONTROL!$C$42, 31, 31))/1000000</f>
        <v>0.43164089999999994</v>
      </c>
      <c r="X399" s="56">
        <f>(31*0.1790888*100000/1000000)+(31*0.2374*100000/1000000)</f>
        <v>1.2911152800000001</v>
      </c>
      <c r="Y399" s="56"/>
      <c r="Z399" s="14"/>
      <c r="AA399" s="55"/>
      <c r="AB399" s="49">
        <f>(B399*122.58+C399*297.941+D399*89.177+E399*40.302+F399*40+G399*160+H399*0+I399*100+J399*300)/(122.58+297.941+89.177+40.302+0+40+160+100+300)</f>
        <v>19.380943204086957</v>
      </c>
      <c r="AC399" s="45">
        <f>(M399*'RAP TEMPLATE-GAS AVAILABILITY'!O398+N399*'RAP TEMPLATE-GAS AVAILABILITY'!P398+O399*'RAP TEMPLATE-GAS AVAILABILITY'!Q398+P399*'RAP TEMPLATE-GAS AVAILABILITY'!R398)/('RAP TEMPLATE-GAS AVAILABILITY'!O398+'RAP TEMPLATE-GAS AVAILABILITY'!P398+'RAP TEMPLATE-GAS AVAILABILITY'!Q398+'RAP TEMPLATE-GAS AVAILABILITY'!R398)</f>
        <v>19.082408633093525</v>
      </c>
    </row>
    <row r="400" spans="1:29" ht="15.75" x14ac:dyDescent="0.25">
      <c r="A400" s="33">
        <v>53082</v>
      </c>
      <c r="B400" s="14">
        <f>CHOOSE(CONTROL!$C$42, 19.291, 19.291) * CHOOSE(CONTROL!$C$21, $C$9, 100%, $E$9)</f>
        <v>19.291</v>
      </c>
      <c r="C400" s="14">
        <f>CHOOSE(CONTROL!$C$42, 19.2955, 19.2955) * CHOOSE(CONTROL!$C$21, $C$9, 100%, $E$9)</f>
        <v>19.295500000000001</v>
      </c>
      <c r="D400" s="14">
        <f>CHOOSE(CONTROL!$C$42, 19.5577, 19.5577) * CHOOSE(CONTROL!$C$21, $C$9, 100%, $E$9)</f>
        <v>19.557700000000001</v>
      </c>
      <c r="E400" s="14">
        <f>CHOOSE(CONTROL!$C$42, 19.5898, 19.5898) * CHOOSE(CONTROL!$C$21, $C$9, 100%, $E$9)</f>
        <v>19.5898</v>
      </c>
      <c r="F400" s="14">
        <f>CHOOSE(CONTROL!$C$42, 19.3138, 19.3138)*CHOOSE(CONTROL!$C$21, $C$9, 100%, $E$9)</f>
        <v>19.313800000000001</v>
      </c>
      <c r="G400" s="14">
        <f>CHOOSE(CONTROL!$C$42, 19.3305, 19.3305)*CHOOSE(CONTROL!$C$21, $C$9, 100%, $E$9)</f>
        <v>19.330500000000001</v>
      </c>
      <c r="H400" s="14">
        <f>CHOOSE(CONTROL!$C$42, 19.5796, 19.5796) * CHOOSE(CONTROL!$C$21, $C$9, 100%, $E$9)</f>
        <v>19.579599999999999</v>
      </c>
      <c r="I400" s="14">
        <f>CHOOSE(CONTROL!$C$42, 19.3739, 19.3739)* CHOOSE(CONTROL!$C$21, $C$9, 100%, $E$9)</f>
        <v>19.373899999999999</v>
      </c>
      <c r="J400" s="14">
        <f>CHOOSE(CONTROL!$C$42, 19.3068, 19.3068)* CHOOSE(CONTROL!$C$21, $C$9, 100%, $E$9)</f>
        <v>19.306799999999999</v>
      </c>
      <c r="K400" s="52">
        <f>CHOOSE(CONTROL!$C$42, 19.37, 19.37) * CHOOSE(CONTROL!$C$21, $C$9, 100%, $E$9)</f>
        <v>19.37</v>
      </c>
      <c r="L400" s="14">
        <f>CHOOSE(CONTROL!$C$42, 20.1666, 20.1666) * CHOOSE(CONTROL!$C$21, $C$9, 100%, $E$9)</f>
        <v>20.166599999999999</v>
      </c>
      <c r="M400" s="14">
        <f>CHOOSE(CONTROL!$C$42, 18.9672, 18.9672) * CHOOSE(CONTROL!$C$21, $C$9, 100%, $E$9)</f>
        <v>18.967199999999998</v>
      </c>
      <c r="N400" s="14">
        <f>CHOOSE(CONTROL!$C$42, 18.9836, 18.9836) * CHOOSE(CONTROL!$C$21, $C$9, 100%, $E$9)</f>
        <v>18.983599999999999</v>
      </c>
      <c r="O400" s="14">
        <f>CHOOSE(CONTROL!$C$42, 19.2351, 19.2351) * CHOOSE(CONTROL!$C$21, $C$9, 100%, $E$9)</f>
        <v>19.235099999999999</v>
      </c>
      <c r="P400" s="14">
        <f>CHOOSE(CONTROL!$C$42, 19.0321, 19.0321) * CHOOSE(CONTROL!$C$21, $C$9, 100%, $E$9)</f>
        <v>19.0321</v>
      </c>
      <c r="Q400" s="14">
        <f>CHOOSE(CONTROL!$C$42, 19.8298, 19.8298) * CHOOSE(CONTROL!$C$21, $C$9, 100%, $E$9)</f>
        <v>19.829799999999999</v>
      </c>
      <c r="R400" s="14">
        <f>CHOOSE(CONTROL!$C$42, 20.4664, 20.4664) * CHOOSE(CONTROL!$C$21, $C$9, 100%, $E$9)</f>
        <v>20.4664</v>
      </c>
      <c r="S400" s="14">
        <f>CHOOSE(CONTROL!$C$42, 18.5274, 18.5274) * CHOOSE(CONTROL!$C$21, $C$9, 100%, $E$9)</f>
        <v>18.5274</v>
      </c>
      <c r="T4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0" s="56">
        <f>(1000*CHOOSE(CONTROL!$C$42, 695, 695)*CHOOSE(CONTROL!$C$42, 0.5599, 0.5599)*CHOOSE(CONTROL!$C$42, 30, 30))/1000000</f>
        <v>11.673914999999997</v>
      </c>
      <c r="V400" s="56">
        <f>(1000*CHOOSE(CONTROL!$C$42, 500, 500)*CHOOSE(CONTROL!$C$42, 0.275, 0.275)*CHOOSE(CONTROL!$C$42, 30, 30))/1000000</f>
        <v>4.125</v>
      </c>
      <c r="W400" s="56">
        <f>(1000*CHOOSE(CONTROL!$C$42, 0.1146, 0.1146)*CHOOSE(CONTROL!$C$42, 121.5, 121.5)*CHOOSE(CONTROL!$C$42, 30, 30))/1000000</f>
        <v>0.417717</v>
      </c>
      <c r="X400" s="56">
        <f>(30*0.1790888*245000/1000000)+(30*0.2374*100000/1000000)</f>
        <v>2.0285026799999999</v>
      </c>
      <c r="Y400" s="56"/>
      <c r="Z400" s="14"/>
      <c r="AA400" s="55"/>
      <c r="AB400" s="49">
        <f>(B400*141.293+C400*267.993+D400*115.016+E400*89.698+F400*40+G400*185+H400*0+I400*100+J400*300)/(141.293+267.993+115.016+89.698+0+40+185+100+300)</f>
        <v>19.355513315657788</v>
      </c>
      <c r="AC400" s="45">
        <f>(M400*'RAP TEMPLATE-GAS AVAILABILITY'!O399+N400*'RAP TEMPLATE-GAS AVAILABILITY'!P399+O400*'RAP TEMPLATE-GAS AVAILABILITY'!Q399+P400*'RAP TEMPLATE-GAS AVAILABILITY'!R399)/('RAP TEMPLATE-GAS AVAILABILITY'!O399+'RAP TEMPLATE-GAS AVAILABILITY'!P399+'RAP TEMPLATE-GAS AVAILABILITY'!Q399+'RAP TEMPLATE-GAS AVAILABILITY'!R399)</f>
        <v>19.055479856115106</v>
      </c>
    </row>
    <row r="401" spans="1:29" ht="15.75" x14ac:dyDescent="0.25">
      <c r="A401" s="33">
        <v>53113</v>
      </c>
      <c r="B401" s="14">
        <f>CHOOSE(CONTROL!$C$42, 19.4625, 19.4625) * CHOOSE(CONTROL!$C$21, $C$9, 100%, $E$9)</f>
        <v>19.462499999999999</v>
      </c>
      <c r="C401" s="14">
        <f>CHOOSE(CONTROL!$C$42, 19.4706, 19.4706) * CHOOSE(CONTROL!$C$21, $C$9, 100%, $E$9)</f>
        <v>19.470600000000001</v>
      </c>
      <c r="D401" s="14">
        <f>CHOOSE(CONTROL!$C$42, 19.7297, 19.7297) * CHOOSE(CONTROL!$C$21, $C$9, 100%, $E$9)</f>
        <v>19.729700000000001</v>
      </c>
      <c r="E401" s="14">
        <f>CHOOSE(CONTROL!$C$42, 19.7611, 19.7611) * CHOOSE(CONTROL!$C$21, $C$9, 100%, $E$9)</f>
        <v>19.761099999999999</v>
      </c>
      <c r="F401" s="14">
        <f>CHOOSE(CONTROL!$C$42, 19.4841, 19.4841)*CHOOSE(CONTROL!$C$21, $C$9, 100%, $E$9)</f>
        <v>19.484100000000002</v>
      </c>
      <c r="G401" s="14">
        <f>CHOOSE(CONTROL!$C$42, 19.501, 19.501)*CHOOSE(CONTROL!$C$21, $C$9, 100%, $E$9)</f>
        <v>19.501000000000001</v>
      </c>
      <c r="H401" s="14">
        <f>CHOOSE(CONTROL!$C$42, 19.7498, 19.7498) * CHOOSE(CONTROL!$C$21, $C$9, 100%, $E$9)</f>
        <v>19.7498</v>
      </c>
      <c r="I401" s="14">
        <f>CHOOSE(CONTROL!$C$42, 19.5446, 19.5446)* CHOOSE(CONTROL!$C$21, $C$9, 100%, $E$9)</f>
        <v>19.544599999999999</v>
      </c>
      <c r="J401" s="14">
        <f>CHOOSE(CONTROL!$C$42, 19.4771, 19.4771)* CHOOSE(CONTROL!$C$21, $C$9, 100%, $E$9)</f>
        <v>19.4771</v>
      </c>
      <c r="K401" s="52">
        <f>CHOOSE(CONTROL!$C$42, 19.5407, 19.5407) * CHOOSE(CONTROL!$C$21, $C$9, 100%, $E$9)</f>
        <v>19.540700000000001</v>
      </c>
      <c r="L401" s="14">
        <f>CHOOSE(CONTROL!$C$42, 20.3368, 20.3368) * CHOOSE(CONTROL!$C$21, $C$9, 100%, $E$9)</f>
        <v>20.3368</v>
      </c>
      <c r="M401" s="14">
        <f>CHOOSE(CONTROL!$C$42, 19.1344, 19.1344) * CHOOSE(CONTROL!$C$21, $C$9, 100%, $E$9)</f>
        <v>19.134399999999999</v>
      </c>
      <c r="N401" s="14">
        <f>CHOOSE(CONTROL!$C$42, 19.1511, 19.1511) * CHOOSE(CONTROL!$C$21, $C$9, 100%, $E$9)</f>
        <v>19.1511</v>
      </c>
      <c r="O401" s="14">
        <f>CHOOSE(CONTROL!$C$42, 19.4022, 19.4022) * CHOOSE(CONTROL!$C$21, $C$9, 100%, $E$9)</f>
        <v>19.402200000000001</v>
      </c>
      <c r="P401" s="14">
        <f>CHOOSE(CONTROL!$C$42, 19.1997, 19.1997) * CHOOSE(CONTROL!$C$21, $C$9, 100%, $E$9)</f>
        <v>19.1997</v>
      </c>
      <c r="Q401" s="14">
        <f>CHOOSE(CONTROL!$C$42, 19.9969, 19.9969) * CHOOSE(CONTROL!$C$21, $C$9, 100%, $E$9)</f>
        <v>19.9969</v>
      </c>
      <c r="R401" s="14">
        <f>CHOOSE(CONTROL!$C$42, 20.6339, 20.6339) * CHOOSE(CONTROL!$C$21, $C$9, 100%, $E$9)</f>
        <v>20.633900000000001</v>
      </c>
      <c r="S401" s="14">
        <f>CHOOSE(CONTROL!$C$42, 18.6909, 18.6909) * CHOOSE(CONTROL!$C$21, $C$9, 100%, $E$9)</f>
        <v>18.690899999999999</v>
      </c>
      <c r="T4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01" s="56">
        <f>(1000*CHOOSE(CONTROL!$C$42, 695, 695)*CHOOSE(CONTROL!$C$42, 0.5599, 0.5599)*CHOOSE(CONTROL!$C$42, 31, 31))/1000000</f>
        <v>12.063045499999998</v>
      </c>
      <c r="V401" s="56">
        <f>(1000*CHOOSE(CONTROL!$C$42, 500, 500)*CHOOSE(CONTROL!$C$42, 0.275, 0.275)*CHOOSE(CONTROL!$C$42, 31, 31))/1000000</f>
        <v>4.2625000000000002</v>
      </c>
      <c r="W401" s="56">
        <f>(1000*CHOOSE(CONTROL!$C$42, 0.1146, 0.1146)*CHOOSE(CONTROL!$C$42, 121.5, 121.5)*CHOOSE(CONTROL!$C$42, 31, 31))/1000000</f>
        <v>0.43164089999999994</v>
      </c>
      <c r="X401" s="56">
        <f>(31*0.1790888*245000/1000000)+(31*0.2374*100000/1000000)</f>
        <v>2.0961194359999999</v>
      </c>
      <c r="Y401" s="56"/>
      <c r="Z401" s="14"/>
      <c r="AA401" s="55"/>
      <c r="AB401" s="49">
        <f>(B401*194.205+C401*267.466+D401*133.845+E401*53.484+F401*40+G401*185+H401*0+I401*100+J401*300)/(194.205+267.466+133.845+53.484+0+40+185+100+300)</f>
        <v>19.520958933281005</v>
      </c>
      <c r="AC401" s="45">
        <f>(M401*'RAP TEMPLATE-GAS AVAILABILITY'!O400+N401*'RAP TEMPLATE-GAS AVAILABILITY'!P400+O401*'RAP TEMPLATE-GAS AVAILABILITY'!Q400+P401*'RAP TEMPLATE-GAS AVAILABILITY'!R400)/('RAP TEMPLATE-GAS AVAILABILITY'!O400+'RAP TEMPLATE-GAS AVAILABILITY'!P400+'RAP TEMPLATE-GAS AVAILABILITY'!Q400+'RAP TEMPLATE-GAS AVAILABILITY'!R400)</f>
        <v>19.222778417266184</v>
      </c>
    </row>
    <row r="402" spans="1:29" ht="15.75" x14ac:dyDescent="0.25">
      <c r="A402" s="33">
        <v>53143</v>
      </c>
      <c r="B402" s="14">
        <f>CHOOSE(CONTROL!$C$42, 20.0143, 20.0143) * CHOOSE(CONTROL!$C$21, $C$9, 100%, $E$9)</f>
        <v>20.014299999999999</v>
      </c>
      <c r="C402" s="14">
        <f>CHOOSE(CONTROL!$C$42, 20.0223, 20.0223) * CHOOSE(CONTROL!$C$21, $C$9, 100%, $E$9)</f>
        <v>20.022300000000001</v>
      </c>
      <c r="D402" s="14">
        <f>CHOOSE(CONTROL!$C$42, 20.2814, 20.2814) * CHOOSE(CONTROL!$C$21, $C$9, 100%, $E$9)</f>
        <v>20.281400000000001</v>
      </c>
      <c r="E402" s="14">
        <f>CHOOSE(CONTROL!$C$42, 20.3129, 20.3129) * CHOOSE(CONTROL!$C$21, $C$9, 100%, $E$9)</f>
        <v>20.312899999999999</v>
      </c>
      <c r="F402" s="14">
        <f>CHOOSE(CONTROL!$C$42, 20.0361, 20.0361)*CHOOSE(CONTROL!$C$21, $C$9, 100%, $E$9)</f>
        <v>20.036100000000001</v>
      </c>
      <c r="G402" s="14">
        <f>CHOOSE(CONTROL!$C$42, 20.0531, 20.0531)*CHOOSE(CONTROL!$C$21, $C$9, 100%, $E$9)</f>
        <v>20.053100000000001</v>
      </c>
      <c r="H402" s="14">
        <f>CHOOSE(CONTROL!$C$42, 20.3015, 20.3015) * CHOOSE(CONTROL!$C$21, $C$9, 100%, $E$9)</f>
        <v>20.301500000000001</v>
      </c>
      <c r="I402" s="14">
        <f>CHOOSE(CONTROL!$C$42, 20.0981, 20.0981)* CHOOSE(CONTROL!$C$21, $C$9, 100%, $E$9)</f>
        <v>20.098099999999999</v>
      </c>
      <c r="J402" s="14">
        <f>CHOOSE(CONTROL!$C$42, 20.0291, 20.0291)* CHOOSE(CONTROL!$C$21, $C$9, 100%, $E$9)</f>
        <v>20.0291</v>
      </c>
      <c r="K402" s="52">
        <f>CHOOSE(CONTROL!$C$42, 20.0942, 20.0942) * CHOOSE(CONTROL!$C$21, $C$9, 100%, $E$9)</f>
        <v>20.094200000000001</v>
      </c>
      <c r="L402" s="14">
        <f>CHOOSE(CONTROL!$C$42, 20.8885, 20.8885) * CHOOSE(CONTROL!$C$21, $C$9, 100%, $E$9)</f>
        <v>20.888500000000001</v>
      </c>
      <c r="M402" s="14">
        <f>CHOOSE(CONTROL!$C$42, 19.6765, 19.6765) * CHOOSE(CONTROL!$C$21, $C$9, 100%, $E$9)</f>
        <v>19.676500000000001</v>
      </c>
      <c r="N402" s="14">
        <f>CHOOSE(CONTROL!$C$42, 19.6932, 19.6932) * CHOOSE(CONTROL!$C$21, $C$9, 100%, $E$9)</f>
        <v>19.693200000000001</v>
      </c>
      <c r="O402" s="14">
        <f>CHOOSE(CONTROL!$C$42, 19.944, 19.944) * CHOOSE(CONTROL!$C$21, $C$9, 100%, $E$9)</f>
        <v>19.943999999999999</v>
      </c>
      <c r="P402" s="14">
        <f>CHOOSE(CONTROL!$C$42, 19.7432, 19.7432) * CHOOSE(CONTROL!$C$21, $C$9, 100%, $E$9)</f>
        <v>19.743200000000002</v>
      </c>
      <c r="Q402" s="14">
        <f>CHOOSE(CONTROL!$C$42, 20.5387, 20.5387) * CHOOSE(CONTROL!$C$21, $C$9, 100%, $E$9)</f>
        <v>20.538699999999999</v>
      </c>
      <c r="R402" s="14">
        <f>CHOOSE(CONTROL!$C$42, 21.1771, 21.1771) * CHOOSE(CONTROL!$C$21, $C$9, 100%, $E$9)</f>
        <v>21.177099999999999</v>
      </c>
      <c r="S402" s="14">
        <f>CHOOSE(CONTROL!$C$42, 19.2211, 19.2211) * CHOOSE(CONTROL!$C$21, $C$9, 100%, $E$9)</f>
        <v>19.2211</v>
      </c>
      <c r="T4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02" s="56">
        <f>(1000*CHOOSE(CONTROL!$C$42, 695, 695)*CHOOSE(CONTROL!$C$42, 0.5599, 0.5599)*CHOOSE(CONTROL!$C$42, 30, 30))/1000000</f>
        <v>11.673914999999997</v>
      </c>
      <c r="V402" s="56">
        <f>(1000*CHOOSE(CONTROL!$C$42, 500, 500)*CHOOSE(CONTROL!$C$42, 0.275, 0.275)*CHOOSE(CONTROL!$C$42, 30, 30))/1000000</f>
        <v>4.125</v>
      </c>
      <c r="W402" s="56">
        <f>(1000*CHOOSE(CONTROL!$C$42, 0.1146, 0.1146)*CHOOSE(CONTROL!$C$42, 121.5, 121.5)*CHOOSE(CONTROL!$C$42, 30, 30))/1000000</f>
        <v>0.417717</v>
      </c>
      <c r="X402" s="56">
        <f>(30*0.1790888*245000/1000000)+(30*0.2374*100000/1000000)</f>
        <v>2.0285026799999999</v>
      </c>
      <c r="Y402" s="56"/>
      <c r="Z402" s="14"/>
      <c r="AA402" s="55"/>
      <c r="AB402" s="49">
        <f>(B402*194.205+C402*267.466+D402*133.845+E402*53.484+F402*40+G402*185+H402*0+I402*100+J402*300)/(194.205+267.466+133.845+53.484+0+40+185+100+300)</f>
        <v>20.072957809968603</v>
      </c>
      <c r="AC402" s="45">
        <f>(M402*'RAP TEMPLATE-GAS AVAILABILITY'!O401+N402*'RAP TEMPLATE-GAS AVAILABILITY'!P401+O402*'RAP TEMPLATE-GAS AVAILABILITY'!Q401+P402*'RAP TEMPLATE-GAS AVAILABILITY'!R401)/('RAP TEMPLATE-GAS AVAILABILITY'!O401+'RAP TEMPLATE-GAS AVAILABILITY'!P401+'RAP TEMPLATE-GAS AVAILABILITY'!Q401+'RAP TEMPLATE-GAS AVAILABILITY'!R401)</f>
        <v>19.76499568345324</v>
      </c>
    </row>
    <row r="403" spans="1:29" ht="15.75" x14ac:dyDescent="0.25">
      <c r="A403" s="33">
        <v>53174</v>
      </c>
      <c r="B403" s="14">
        <f>CHOOSE(CONTROL!$C$42, 19.6305, 19.6305) * CHOOSE(CONTROL!$C$21, $C$9, 100%, $E$9)</f>
        <v>19.630500000000001</v>
      </c>
      <c r="C403" s="14">
        <f>CHOOSE(CONTROL!$C$42, 19.6386, 19.6386) * CHOOSE(CONTROL!$C$21, $C$9, 100%, $E$9)</f>
        <v>19.6386</v>
      </c>
      <c r="D403" s="14">
        <f>CHOOSE(CONTROL!$C$42, 19.8977, 19.8977) * CHOOSE(CONTROL!$C$21, $C$9, 100%, $E$9)</f>
        <v>19.8977</v>
      </c>
      <c r="E403" s="14">
        <f>CHOOSE(CONTROL!$C$42, 19.9291, 19.9291) * CHOOSE(CONTROL!$C$21, $C$9, 100%, $E$9)</f>
        <v>19.929099999999998</v>
      </c>
      <c r="F403" s="14">
        <f>CHOOSE(CONTROL!$C$42, 19.6527, 19.6527)*CHOOSE(CONTROL!$C$21, $C$9, 100%, $E$9)</f>
        <v>19.652699999999999</v>
      </c>
      <c r="G403" s="14">
        <f>CHOOSE(CONTROL!$C$42, 19.6699, 19.6699)*CHOOSE(CONTROL!$C$21, $C$9, 100%, $E$9)</f>
        <v>19.669899999999998</v>
      </c>
      <c r="H403" s="14">
        <f>CHOOSE(CONTROL!$C$42, 19.9178, 19.9178) * CHOOSE(CONTROL!$C$21, $C$9, 100%, $E$9)</f>
        <v>19.9178</v>
      </c>
      <c r="I403" s="14">
        <f>CHOOSE(CONTROL!$C$42, 19.7131, 19.7131)* CHOOSE(CONTROL!$C$21, $C$9, 100%, $E$9)</f>
        <v>19.713100000000001</v>
      </c>
      <c r="J403" s="14">
        <f>CHOOSE(CONTROL!$C$42, 19.6457, 19.6457)* CHOOSE(CONTROL!$C$21, $C$9, 100%, $E$9)</f>
        <v>19.645700000000001</v>
      </c>
      <c r="K403" s="52">
        <f>CHOOSE(CONTROL!$C$42, 19.7092, 19.7092) * CHOOSE(CONTROL!$C$21, $C$9, 100%, $E$9)</f>
        <v>19.709199999999999</v>
      </c>
      <c r="L403" s="14">
        <f>CHOOSE(CONTROL!$C$42, 20.5048, 20.5048) * CHOOSE(CONTROL!$C$21, $C$9, 100%, $E$9)</f>
        <v>20.504799999999999</v>
      </c>
      <c r="M403" s="14">
        <f>CHOOSE(CONTROL!$C$42, 19.3001, 19.3001) * CHOOSE(CONTROL!$C$21, $C$9, 100%, $E$9)</f>
        <v>19.3001</v>
      </c>
      <c r="N403" s="14">
        <f>CHOOSE(CONTROL!$C$42, 19.3169, 19.3169) * CHOOSE(CONTROL!$C$21, $C$9, 100%, $E$9)</f>
        <v>19.3169</v>
      </c>
      <c r="O403" s="14">
        <f>CHOOSE(CONTROL!$C$42, 19.5672, 19.5672) * CHOOSE(CONTROL!$C$21, $C$9, 100%, $E$9)</f>
        <v>19.5672</v>
      </c>
      <c r="P403" s="14">
        <f>CHOOSE(CONTROL!$C$42, 19.3652, 19.3652) * CHOOSE(CONTROL!$C$21, $C$9, 100%, $E$9)</f>
        <v>19.365200000000002</v>
      </c>
      <c r="Q403" s="14">
        <f>CHOOSE(CONTROL!$C$42, 20.1619, 20.1619) * CHOOSE(CONTROL!$C$21, $C$9, 100%, $E$9)</f>
        <v>20.161899999999999</v>
      </c>
      <c r="R403" s="14">
        <f>CHOOSE(CONTROL!$C$42, 20.7993, 20.7993) * CHOOSE(CONTROL!$C$21, $C$9, 100%, $E$9)</f>
        <v>20.799299999999999</v>
      </c>
      <c r="S403" s="14">
        <f>CHOOSE(CONTROL!$C$42, 18.8524, 18.8524) * CHOOSE(CONTROL!$C$21, $C$9, 100%, $E$9)</f>
        <v>18.852399999999999</v>
      </c>
      <c r="T4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03" s="56">
        <f>(1000*CHOOSE(CONTROL!$C$42, 695, 695)*CHOOSE(CONTROL!$C$42, 0.5599, 0.5599)*CHOOSE(CONTROL!$C$42, 31, 31))/1000000</f>
        <v>12.063045499999998</v>
      </c>
      <c r="V403" s="56">
        <f>(1000*CHOOSE(CONTROL!$C$42, 500, 500)*CHOOSE(CONTROL!$C$42, 0.275, 0.275)*CHOOSE(CONTROL!$C$42, 31, 31))/1000000</f>
        <v>4.2625000000000002</v>
      </c>
      <c r="W403" s="56">
        <f>(1000*CHOOSE(CONTROL!$C$42, 0.1146, 0.1146)*CHOOSE(CONTROL!$C$42, 121.5, 121.5)*CHOOSE(CONTROL!$C$42, 31, 31))/1000000</f>
        <v>0.43164089999999994</v>
      </c>
      <c r="X403" s="56">
        <f>(31*0.1790888*245000/1000000)+(31*0.2374*100000/1000000)</f>
        <v>2.0961194359999999</v>
      </c>
      <c r="Y403" s="56"/>
      <c r="Z403" s="14"/>
      <c r="AA403" s="55"/>
      <c r="AB403" s="49">
        <f>(B403*194.205+C403*267.466+D403*133.845+E403*53.484+F403*40+G403*185+H403*0+I403*100+J403*300)/(194.205+267.466+133.845+53.484+0+40+185+100+300)</f>
        <v>19.689288996075355</v>
      </c>
      <c r="AC403" s="45">
        <f>(M403*'RAP TEMPLATE-GAS AVAILABILITY'!O402+N403*'RAP TEMPLATE-GAS AVAILABILITY'!P402+O403*'RAP TEMPLATE-GAS AVAILABILITY'!Q402+P403*'RAP TEMPLATE-GAS AVAILABILITY'!R402)/('RAP TEMPLATE-GAS AVAILABILITY'!O402+'RAP TEMPLATE-GAS AVAILABILITY'!P402+'RAP TEMPLATE-GAS AVAILABILITY'!Q402+'RAP TEMPLATE-GAS AVAILABILITY'!R402)</f>
        <v>19.388276258992807</v>
      </c>
    </row>
    <row r="404" spans="1:29" ht="15.75" x14ac:dyDescent="0.25">
      <c r="A404" s="33">
        <v>53205</v>
      </c>
      <c r="B404" s="14">
        <f>CHOOSE(CONTROL!$C$42, 18.6615, 18.6615) * CHOOSE(CONTROL!$C$21, $C$9, 100%, $E$9)</f>
        <v>18.6615</v>
      </c>
      <c r="C404" s="14">
        <f>CHOOSE(CONTROL!$C$42, 18.6695, 18.6695) * CHOOSE(CONTROL!$C$21, $C$9, 100%, $E$9)</f>
        <v>18.669499999999999</v>
      </c>
      <c r="D404" s="14">
        <f>CHOOSE(CONTROL!$C$42, 18.9286, 18.9286) * CHOOSE(CONTROL!$C$21, $C$9, 100%, $E$9)</f>
        <v>18.928599999999999</v>
      </c>
      <c r="E404" s="14">
        <f>CHOOSE(CONTROL!$C$42, 18.9601, 18.9601) * CHOOSE(CONTROL!$C$21, $C$9, 100%, $E$9)</f>
        <v>18.960100000000001</v>
      </c>
      <c r="F404" s="14">
        <f>CHOOSE(CONTROL!$C$42, 18.6839, 18.6839)*CHOOSE(CONTROL!$C$21, $C$9, 100%, $E$9)</f>
        <v>18.683900000000001</v>
      </c>
      <c r="G404" s="14">
        <f>CHOOSE(CONTROL!$C$42, 18.7011, 18.7011)*CHOOSE(CONTROL!$C$21, $C$9, 100%, $E$9)</f>
        <v>18.7011</v>
      </c>
      <c r="H404" s="14">
        <f>CHOOSE(CONTROL!$C$42, 18.9487, 18.9487) * CHOOSE(CONTROL!$C$21, $C$9, 100%, $E$9)</f>
        <v>18.948699999999999</v>
      </c>
      <c r="I404" s="14">
        <f>CHOOSE(CONTROL!$C$42, 18.741, 18.741)* CHOOSE(CONTROL!$C$21, $C$9, 100%, $E$9)</f>
        <v>18.741</v>
      </c>
      <c r="J404" s="14">
        <f>CHOOSE(CONTROL!$C$42, 18.6769, 18.6769)* CHOOSE(CONTROL!$C$21, $C$9, 100%, $E$9)</f>
        <v>18.6769</v>
      </c>
      <c r="K404" s="52">
        <f>CHOOSE(CONTROL!$C$42, 18.7371, 18.7371) * CHOOSE(CONTROL!$C$21, $C$9, 100%, $E$9)</f>
        <v>18.737100000000002</v>
      </c>
      <c r="L404" s="14">
        <f>CHOOSE(CONTROL!$C$42, 19.5357, 19.5357) * CHOOSE(CONTROL!$C$21, $C$9, 100%, $E$9)</f>
        <v>19.535699999999999</v>
      </c>
      <c r="M404" s="14">
        <f>CHOOSE(CONTROL!$C$42, 18.3486, 18.3486) * CHOOSE(CONTROL!$C$21, $C$9, 100%, $E$9)</f>
        <v>18.348600000000001</v>
      </c>
      <c r="N404" s="14">
        <f>CHOOSE(CONTROL!$C$42, 18.3655, 18.3655) * CHOOSE(CONTROL!$C$21, $C$9, 100%, $E$9)</f>
        <v>18.365500000000001</v>
      </c>
      <c r="O404" s="14">
        <f>CHOOSE(CONTROL!$C$42, 18.6156, 18.6156) * CHOOSE(CONTROL!$C$21, $C$9, 100%, $E$9)</f>
        <v>18.615600000000001</v>
      </c>
      <c r="P404" s="14">
        <f>CHOOSE(CONTROL!$C$42, 18.4107, 18.4107) * CHOOSE(CONTROL!$C$21, $C$9, 100%, $E$9)</f>
        <v>18.410699999999999</v>
      </c>
      <c r="Q404" s="14">
        <f>CHOOSE(CONTROL!$C$42, 19.2103, 19.2103) * CHOOSE(CONTROL!$C$21, $C$9, 100%, $E$9)</f>
        <v>19.2103</v>
      </c>
      <c r="R404" s="14">
        <f>CHOOSE(CONTROL!$C$42, 19.8453, 19.8453) * CHOOSE(CONTROL!$C$21, $C$9, 100%, $E$9)</f>
        <v>19.845300000000002</v>
      </c>
      <c r="S404" s="14">
        <f>CHOOSE(CONTROL!$C$42, 17.9212, 17.9212) * CHOOSE(CONTROL!$C$21, $C$9, 100%, $E$9)</f>
        <v>17.921199999999999</v>
      </c>
      <c r="T4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04" s="56">
        <f>(1000*CHOOSE(CONTROL!$C$42, 695, 695)*CHOOSE(CONTROL!$C$42, 0.5599, 0.5599)*CHOOSE(CONTROL!$C$42, 31, 31))/1000000</f>
        <v>12.063045499999998</v>
      </c>
      <c r="V404" s="56">
        <f>(1000*CHOOSE(CONTROL!$C$42, 500, 500)*CHOOSE(CONTROL!$C$42, 0.275, 0.275)*CHOOSE(CONTROL!$C$42, 31, 31))/1000000</f>
        <v>4.2625000000000002</v>
      </c>
      <c r="W404" s="56">
        <f>(1000*CHOOSE(CONTROL!$C$42, 0.1146, 0.1146)*CHOOSE(CONTROL!$C$42, 121.5, 121.5)*CHOOSE(CONTROL!$C$42, 31, 31))/1000000</f>
        <v>0.43164089999999994</v>
      </c>
      <c r="X404" s="56">
        <f>(31*0.1790888*245000/1000000)+(31*0.2374*100000/1000000)</f>
        <v>2.0961194359999999</v>
      </c>
      <c r="Y404" s="56"/>
      <c r="Z404" s="14"/>
      <c r="AA404" s="55"/>
      <c r="AB404" s="49">
        <f>(B404*194.205+C404*267.466+D404*133.845+E404*53.484+F404*40+G404*185+H404*0+I404*100+J404*300)/(194.205+267.466+133.845+53.484+0+40+185+100+300)</f>
        <v>18.720096585478807</v>
      </c>
      <c r="AC404" s="45">
        <f>(M404*'RAP TEMPLATE-GAS AVAILABILITY'!O403+N404*'RAP TEMPLATE-GAS AVAILABILITY'!P403+O404*'RAP TEMPLATE-GAS AVAILABILITY'!Q403+P404*'RAP TEMPLATE-GAS AVAILABILITY'!R403)/('RAP TEMPLATE-GAS AVAILABILITY'!O403+'RAP TEMPLATE-GAS AVAILABILITY'!P403+'RAP TEMPLATE-GAS AVAILABILITY'!Q403+'RAP TEMPLATE-GAS AVAILABILITY'!R403)</f>
        <v>18.436339568345321</v>
      </c>
    </row>
    <row r="405" spans="1:29" ht="15.75" x14ac:dyDescent="0.25">
      <c r="A405" s="33">
        <v>53235</v>
      </c>
      <c r="B405" s="14">
        <f>CHOOSE(CONTROL!$C$42, 17.4772, 17.4772) * CHOOSE(CONTROL!$C$21, $C$9, 100%, $E$9)</f>
        <v>17.4772</v>
      </c>
      <c r="C405" s="14">
        <f>CHOOSE(CONTROL!$C$42, 17.4853, 17.4853) * CHOOSE(CONTROL!$C$21, $C$9, 100%, $E$9)</f>
        <v>17.485299999999999</v>
      </c>
      <c r="D405" s="14">
        <f>CHOOSE(CONTROL!$C$42, 17.7443, 17.7443) * CHOOSE(CONTROL!$C$21, $C$9, 100%, $E$9)</f>
        <v>17.744299999999999</v>
      </c>
      <c r="E405" s="14">
        <f>CHOOSE(CONTROL!$C$42, 17.7758, 17.7758) * CHOOSE(CONTROL!$C$21, $C$9, 100%, $E$9)</f>
        <v>17.7758</v>
      </c>
      <c r="F405" s="14">
        <f>CHOOSE(CONTROL!$C$42, 17.4997, 17.4997)*CHOOSE(CONTROL!$C$21, $C$9, 100%, $E$9)</f>
        <v>17.499700000000001</v>
      </c>
      <c r="G405" s="14">
        <f>CHOOSE(CONTROL!$C$42, 17.5169, 17.5169)*CHOOSE(CONTROL!$C$21, $C$9, 100%, $E$9)</f>
        <v>17.5169</v>
      </c>
      <c r="H405" s="14">
        <f>CHOOSE(CONTROL!$C$42, 17.7644, 17.7644) * CHOOSE(CONTROL!$C$21, $C$9, 100%, $E$9)</f>
        <v>17.764399999999998</v>
      </c>
      <c r="I405" s="14">
        <f>CHOOSE(CONTROL!$C$42, 17.5531, 17.5531)* CHOOSE(CONTROL!$C$21, $C$9, 100%, $E$9)</f>
        <v>17.553100000000001</v>
      </c>
      <c r="J405" s="14">
        <f>CHOOSE(CONTROL!$C$42, 17.4927, 17.4927)* CHOOSE(CONTROL!$C$21, $C$9, 100%, $E$9)</f>
        <v>17.492699999999999</v>
      </c>
      <c r="K405" s="52">
        <f>CHOOSE(CONTROL!$C$42, 17.5492, 17.5492) * CHOOSE(CONTROL!$C$21, $C$9, 100%, $E$9)</f>
        <v>17.549199999999999</v>
      </c>
      <c r="L405" s="14">
        <f>CHOOSE(CONTROL!$C$42, 18.3514, 18.3514) * CHOOSE(CONTROL!$C$21, $C$9, 100%, $E$9)</f>
        <v>18.351400000000002</v>
      </c>
      <c r="M405" s="14">
        <f>CHOOSE(CONTROL!$C$42, 17.1858, 17.1858) * CHOOSE(CONTROL!$C$21, $C$9, 100%, $E$9)</f>
        <v>17.1858</v>
      </c>
      <c r="N405" s="14">
        <f>CHOOSE(CONTROL!$C$42, 17.2027, 17.2027) * CHOOSE(CONTROL!$C$21, $C$9, 100%, $E$9)</f>
        <v>17.2027</v>
      </c>
      <c r="O405" s="14">
        <f>CHOOSE(CONTROL!$C$42, 17.4526, 17.4526) * CHOOSE(CONTROL!$C$21, $C$9, 100%, $E$9)</f>
        <v>17.4526</v>
      </c>
      <c r="P405" s="14">
        <f>CHOOSE(CONTROL!$C$42, 17.2441, 17.2441) * CHOOSE(CONTROL!$C$21, $C$9, 100%, $E$9)</f>
        <v>17.2441</v>
      </c>
      <c r="Q405" s="14">
        <f>CHOOSE(CONTROL!$C$42, 18.0473, 18.0473) * CHOOSE(CONTROL!$C$21, $C$9, 100%, $E$9)</f>
        <v>18.0473</v>
      </c>
      <c r="R405" s="14">
        <f>CHOOSE(CONTROL!$C$42, 18.6794, 18.6794) * CHOOSE(CONTROL!$C$21, $C$9, 100%, $E$9)</f>
        <v>18.679400000000001</v>
      </c>
      <c r="S405" s="14">
        <f>CHOOSE(CONTROL!$C$42, 16.7832, 16.7832) * CHOOSE(CONTROL!$C$21, $C$9, 100%, $E$9)</f>
        <v>16.783200000000001</v>
      </c>
      <c r="T4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05" s="56">
        <f>(1000*CHOOSE(CONTROL!$C$42, 695, 695)*CHOOSE(CONTROL!$C$42, 0.5599, 0.5599)*CHOOSE(CONTROL!$C$42, 30, 30))/1000000</f>
        <v>11.673914999999997</v>
      </c>
      <c r="V405" s="56">
        <f>(1000*CHOOSE(CONTROL!$C$42, 500, 500)*CHOOSE(CONTROL!$C$42, 0.275, 0.275)*CHOOSE(CONTROL!$C$42, 30, 30))/1000000</f>
        <v>4.125</v>
      </c>
      <c r="W405" s="56">
        <f>(1000*CHOOSE(CONTROL!$C$42, 0.1146, 0.1146)*CHOOSE(CONTROL!$C$42, 121.5, 121.5)*CHOOSE(CONTROL!$C$42, 30, 30))/1000000</f>
        <v>0.417717</v>
      </c>
      <c r="X405" s="56">
        <f>(30*0.1790888*245000/1000000)+(30*0.2374*100000/1000000)</f>
        <v>2.0285026799999999</v>
      </c>
      <c r="Y405" s="56"/>
      <c r="Z405" s="14"/>
      <c r="AA405" s="55"/>
      <c r="AB405" s="49">
        <f>(B405*194.205+C405*267.466+D405*133.845+E405*53.484+F405*40+G405*185+H405*0+I405*100+J405*300)/(194.205+267.466+133.845+53.484+0+40+185+100+300)</f>
        <v>17.53557621389325</v>
      </c>
      <c r="AC405" s="45">
        <f>(M405*'RAP TEMPLATE-GAS AVAILABILITY'!O404+N405*'RAP TEMPLATE-GAS AVAILABILITY'!P404+O405*'RAP TEMPLATE-GAS AVAILABILITY'!Q404+P405*'RAP TEMPLATE-GAS AVAILABILITY'!R404)/('RAP TEMPLATE-GAS AVAILABILITY'!O404+'RAP TEMPLATE-GAS AVAILABILITY'!P404+'RAP TEMPLATE-GAS AVAILABILITY'!Q404+'RAP TEMPLATE-GAS AVAILABILITY'!R404)</f>
        <v>17.272936690647484</v>
      </c>
    </row>
    <row r="406" spans="1:29" ht="15.75" x14ac:dyDescent="0.25">
      <c r="A406" s="33">
        <v>53266</v>
      </c>
      <c r="B406" s="14">
        <f>CHOOSE(CONTROL!$C$42, 17.1209, 17.1209) * CHOOSE(CONTROL!$C$21, $C$9, 100%, $E$9)</f>
        <v>17.120899999999999</v>
      </c>
      <c r="C406" s="14">
        <f>CHOOSE(CONTROL!$C$42, 17.1262, 17.1262) * CHOOSE(CONTROL!$C$21, $C$9, 100%, $E$9)</f>
        <v>17.126200000000001</v>
      </c>
      <c r="D406" s="14">
        <f>CHOOSE(CONTROL!$C$42, 17.3902, 17.3902) * CHOOSE(CONTROL!$C$21, $C$9, 100%, $E$9)</f>
        <v>17.3902</v>
      </c>
      <c r="E406" s="14">
        <f>CHOOSE(CONTROL!$C$42, 17.4194, 17.4194) * CHOOSE(CONTROL!$C$21, $C$9, 100%, $E$9)</f>
        <v>17.4194</v>
      </c>
      <c r="F406" s="14">
        <f>CHOOSE(CONTROL!$C$42, 17.1455, 17.1455)*CHOOSE(CONTROL!$C$21, $C$9, 100%, $E$9)</f>
        <v>17.145499999999998</v>
      </c>
      <c r="G406" s="14">
        <f>CHOOSE(CONTROL!$C$42, 17.1626, 17.1626)*CHOOSE(CONTROL!$C$21, $C$9, 100%, $E$9)</f>
        <v>17.162600000000001</v>
      </c>
      <c r="H406" s="14">
        <f>CHOOSE(CONTROL!$C$42, 17.4098, 17.4098) * CHOOSE(CONTROL!$C$21, $C$9, 100%, $E$9)</f>
        <v>17.409800000000001</v>
      </c>
      <c r="I406" s="14">
        <f>CHOOSE(CONTROL!$C$42, 17.1973, 17.1973)* CHOOSE(CONTROL!$C$21, $C$9, 100%, $E$9)</f>
        <v>17.197299999999998</v>
      </c>
      <c r="J406" s="14">
        <f>CHOOSE(CONTROL!$C$42, 17.1385, 17.1385)* CHOOSE(CONTROL!$C$21, $C$9, 100%, $E$9)</f>
        <v>17.138500000000001</v>
      </c>
      <c r="K406" s="52">
        <f>CHOOSE(CONTROL!$C$42, 17.1934, 17.1934) * CHOOSE(CONTROL!$C$21, $C$9, 100%, $E$9)</f>
        <v>17.1934</v>
      </c>
      <c r="L406" s="14">
        <f>CHOOSE(CONTROL!$C$42, 17.9968, 17.9968) * CHOOSE(CONTROL!$C$21, $C$9, 100%, $E$9)</f>
        <v>17.9968</v>
      </c>
      <c r="M406" s="14">
        <f>CHOOSE(CONTROL!$C$42, 16.8379, 16.8379) * CHOOSE(CONTROL!$C$21, $C$9, 100%, $E$9)</f>
        <v>16.837900000000001</v>
      </c>
      <c r="N406" s="14">
        <f>CHOOSE(CONTROL!$C$42, 16.8547, 16.8547) * CHOOSE(CONTROL!$C$21, $C$9, 100%, $E$9)</f>
        <v>16.854700000000001</v>
      </c>
      <c r="O406" s="14">
        <f>CHOOSE(CONTROL!$C$42, 17.1044, 17.1044) * CHOOSE(CONTROL!$C$21, $C$9, 100%, $E$9)</f>
        <v>17.104399999999998</v>
      </c>
      <c r="P406" s="14">
        <f>CHOOSE(CONTROL!$C$42, 16.8948, 16.8948) * CHOOSE(CONTROL!$C$21, $C$9, 100%, $E$9)</f>
        <v>16.8948</v>
      </c>
      <c r="Q406" s="14">
        <f>CHOOSE(CONTROL!$C$42, 17.6991, 17.6991) * CHOOSE(CONTROL!$C$21, $C$9, 100%, $E$9)</f>
        <v>17.699100000000001</v>
      </c>
      <c r="R406" s="14">
        <f>CHOOSE(CONTROL!$C$42, 18.3303, 18.3303) * CHOOSE(CONTROL!$C$21, $C$9, 100%, $E$9)</f>
        <v>18.330300000000001</v>
      </c>
      <c r="S406" s="14">
        <f>CHOOSE(CONTROL!$C$42, 16.4425, 16.4425) * CHOOSE(CONTROL!$C$21, $C$9, 100%, $E$9)</f>
        <v>16.442499999999999</v>
      </c>
      <c r="T4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06" s="56">
        <f>(1000*CHOOSE(CONTROL!$C$42, 695, 695)*CHOOSE(CONTROL!$C$42, 0.5599, 0.5599)*CHOOSE(CONTROL!$C$42, 31, 31))/1000000</f>
        <v>12.063045499999998</v>
      </c>
      <c r="V406" s="56">
        <f>(1000*CHOOSE(CONTROL!$C$42, 500, 500)*CHOOSE(CONTROL!$C$42, 0.275, 0.275)*CHOOSE(CONTROL!$C$42, 31, 31))/1000000</f>
        <v>4.2625000000000002</v>
      </c>
      <c r="W406" s="56">
        <f>(1000*CHOOSE(CONTROL!$C$42, 0.1146, 0.1146)*CHOOSE(CONTROL!$C$42, 121.5, 121.5)*CHOOSE(CONTROL!$C$42, 31, 31))/1000000</f>
        <v>0.43164089999999994</v>
      </c>
      <c r="X406" s="56">
        <f>(31*0.1790888*245000/1000000)+(31*0.2374*100000/1000000)</f>
        <v>2.0961194359999999</v>
      </c>
      <c r="Y406" s="56"/>
      <c r="Z406" s="14"/>
      <c r="AA406" s="55"/>
      <c r="AB406" s="49">
        <f>(B406*131.881+C406*277.167+D406*79.08+E406*125.872+F406*40+G406*185+H406*0+I406*100+J406*300)/(131.881+277.167+79.08+125.872+0+40+185+100+300)</f>
        <v>17.18704731323648</v>
      </c>
      <c r="AC406" s="45">
        <f>(M406*'RAP TEMPLATE-GAS AVAILABILITY'!O405+N406*'RAP TEMPLATE-GAS AVAILABILITY'!P405+O406*'RAP TEMPLATE-GAS AVAILABILITY'!Q405+P406*'RAP TEMPLATE-GAS AVAILABILITY'!R405)/('RAP TEMPLATE-GAS AVAILABILITY'!O405+'RAP TEMPLATE-GAS AVAILABILITY'!P405+'RAP TEMPLATE-GAS AVAILABILITY'!Q405+'RAP TEMPLATE-GAS AVAILABILITY'!R405)</f>
        <v>16.924728057553956</v>
      </c>
    </row>
    <row r="407" spans="1:29" ht="15.75" x14ac:dyDescent="0.25">
      <c r="A407" s="33">
        <v>53296</v>
      </c>
      <c r="B407" s="14">
        <f>CHOOSE(CONTROL!$C$42, 17.5712, 17.5712) * CHOOSE(CONTROL!$C$21, $C$9, 100%, $E$9)</f>
        <v>17.571200000000001</v>
      </c>
      <c r="C407" s="14">
        <f>CHOOSE(CONTROL!$C$42, 17.5763, 17.5763) * CHOOSE(CONTROL!$C$21, $C$9, 100%, $E$9)</f>
        <v>17.5763</v>
      </c>
      <c r="D407" s="14">
        <f>CHOOSE(CONTROL!$C$42, 17.6593, 17.6593) * CHOOSE(CONTROL!$C$21, $C$9, 100%, $E$9)</f>
        <v>17.659300000000002</v>
      </c>
      <c r="E407" s="14">
        <f>CHOOSE(CONTROL!$C$42, 17.6935, 17.6935) * CHOOSE(CONTROL!$C$21, $C$9, 100%, $E$9)</f>
        <v>17.6935</v>
      </c>
      <c r="F407" s="14">
        <f>CHOOSE(CONTROL!$C$42, 17.5988, 17.5988)*CHOOSE(CONTROL!$C$21, $C$9, 100%, $E$9)</f>
        <v>17.598800000000001</v>
      </c>
      <c r="G407" s="14">
        <f>CHOOSE(CONTROL!$C$42, 17.6162, 17.6162)*CHOOSE(CONTROL!$C$21, $C$9, 100%, $E$9)</f>
        <v>17.616199999999999</v>
      </c>
      <c r="H407" s="14">
        <f>CHOOSE(CONTROL!$C$42, 17.6826, 17.6826) * CHOOSE(CONTROL!$C$21, $C$9, 100%, $E$9)</f>
        <v>17.682600000000001</v>
      </c>
      <c r="I407" s="14">
        <f>CHOOSE(CONTROL!$C$42, 17.6459, 17.6459)* CHOOSE(CONTROL!$C$21, $C$9, 100%, $E$9)</f>
        <v>17.645900000000001</v>
      </c>
      <c r="J407" s="14">
        <f>CHOOSE(CONTROL!$C$42, 17.5918, 17.5918)* CHOOSE(CONTROL!$C$21, $C$9, 100%, $E$9)</f>
        <v>17.591799999999999</v>
      </c>
      <c r="K407" s="52">
        <f>CHOOSE(CONTROL!$C$42, 17.642, 17.642) * CHOOSE(CONTROL!$C$21, $C$9, 100%, $E$9)</f>
        <v>17.641999999999999</v>
      </c>
      <c r="L407" s="14">
        <f>CHOOSE(CONTROL!$C$42, 18.2696, 18.2696) * CHOOSE(CONTROL!$C$21, $C$9, 100%, $E$9)</f>
        <v>18.269600000000001</v>
      </c>
      <c r="M407" s="14">
        <f>CHOOSE(CONTROL!$C$42, 17.2831, 17.2831) * CHOOSE(CONTROL!$C$21, $C$9, 100%, $E$9)</f>
        <v>17.283100000000001</v>
      </c>
      <c r="N407" s="14">
        <f>CHOOSE(CONTROL!$C$42, 17.3002, 17.3002) * CHOOSE(CONTROL!$C$21, $C$9, 100%, $E$9)</f>
        <v>17.3002</v>
      </c>
      <c r="O407" s="14">
        <f>CHOOSE(CONTROL!$C$42, 17.3723, 17.3723) * CHOOSE(CONTROL!$C$21, $C$9, 100%, $E$9)</f>
        <v>17.372299999999999</v>
      </c>
      <c r="P407" s="14">
        <f>CHOOSE(CONTROL!$C$42, 17.3353, 17.3353) * CHOOSE(CONTROL!$C$21, $C$9, 100%, $E$9)</f>
        <v>17.3353</v>
      </c>
      <c r="Q407" s="14">
        <f>CHOOSE(CONTROL!$C$42, 17.967, 17.967) * CHOOSE(CONTROL!$C$21, $C$9, 100%, $E$9)</f>
        <v>17.966999999999999</v>
      </c>
      <c r="R407" s="14">
        <f>CHOOSE(CONTROL!$C$42, 18.5989, 18.5989) * CHOOSE(CONTROL!$C$21, $C$9, 100%, $E$9)</f>
        <v>18.5989</v>
      </c>
      <c r="S407" s="14">
        <f>CHOOSE(CONTROL!$C$42, 16.8756, 16.8756) * CHOOSE(CONTROL!$C$21, $C$9, 100%, $E$9)</f>
        <v>16.875599999999999</v>
      </c>
      <c r="T4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07" s="56">
        <f>(1000*CHOOSE(CONTROL!$C$42, 695, 695)*CHOOSE(CONTROL!$C$42, 0.5599, 0.5599)*CHOOSE(CONTROL!$C$42, 30, 30))/1000000</f>
        <v>11.673914999999997</v>
      </c>
      <c r="V407" s="56">
        <f>(1000*CHOOSE(CONTROL!$C$42, 500, 500)*CHOOSE(CONTROL!$C$42, 0.275, 0.275)*CHOOSE(CONTROL!$C$42, 30, 30))/1000000</f>
        <v>4.125</v>
      </c>
      <c r="W407" s="56">
        <f>(1000*CHOOSE(CONTROL!$C$42, 0.1146, 0.1146)*CHOOSE(CONTROL!$C$42, 121.5, 121.5)*CHOOSE(CONTROL!$C$42, 30, 30))/1000000</f>
        <v>0.417717</v>
      </c>
      <c r="X407" s="56">
        <f>(30*0.1790888*100000/1000000)+(30*0.2374*100000/1000000)</f>
        <v>1.2494664</v>
      </c>
      <c r="Y407" s="56"/>
      <c r="Z407" s="14"/>
      <c r="AA407" s="55"/>
      <c r="AB407" s="49">
        <f>(B407*122.58+C407*297.941+D407*89.177+E407*40.302+F407*40+G407*160+H407*0+I407*100+J407*300)/(122.58+297.941+89.177+40.302+0+40+160+100+300)</f>
        <v>17.602729502086955</v>
      </c>
      <c r="AC407" s="45">
        <f>(M407*'RAP TEMPLATE-GAS AVAILABILITY'!O406+N407*'RAP TEMPLATE-GAS AVAILABILITY'!P406+O407*'RAP TEMPLATE-GAS AVAILABILITY'!Q406+P407*'RAP TEMPLATE-GAS AVAILABILITY'!R406)/('RAP TEMPLATE-GAS AVAILABILITY'!O406+'RAP TEMPLATE-GAS AVAILABILITY'!P406+'RAP TEMPLATE-GAS AVAILABILITY'!Q406+'RAP TEMPLATE-GAS AVAILABILITY'!R406)</f>
        <v>17.332023741007195</v>
      </c>
    </row>
    <row r="408" spans="1:29" ht="15.75" x14ac:dyDescent="0.25">
      <c r="A408" s="33">
        <v>53327</v>
      </c>
      <c r="B408" s="14">
        <f>CHOOSE(CONTROL!$C$42, 18.7686, 18.7686) * CHOOSE(CONTROL!$C$21, $C$9, 100%, $E$9)</f>
        <v>18.768599999999999</v>
      </c>
      <c r="C408" s="14">
        <f>CHOOSE(CONTROL!$C$42, 18.7736, 18.7736) * CHOOSE(CONTROL!$C$21, $C$9, 100%, $E$9)</f>
        <v>18.773599999999998</v>
      </c>
      <c r="D408" s="14">
        <f>CHOOSE(CONTROL!$C$42, 18.8567, 18.8567) * CHOOSE(CONTROL!$C$21, $C$9, 100%, $E$9)</f>
        <v>18.8567</v>
      </c>
      <c r="E408" s="14">
        <f>CHOOSE(CONTROL!$C$42, 18.8908, 18.8908) * CHOOSE(CONTROL!$C$21, $C$9, 100%, $E$9)</f>
        <v>18.890799999999999</v>
      </c>
      <c r="F408" s="14">
        <f>CHOOSE(CONTROL!$C$42, 18.7986, 18.7986)*CHOOSE(CONTROL!$C$21, $C$9, 100%, $E$9)</f>
        <v>18.7986</v>
      </c>
      <c r="G408" s="14">
        <f>CHOOSE(CONTROL!$C$42, 18.8166, 18.8166)*CHOOSE(CONTROL!$C$21, $C$9, 100%, $E$9)</f>
        <v>18.816600000000001</v>
      </c>
      <c r="H408" s="14">
        <f>CHOOSE(CONTROL!$C$42, 18.88, 18.88) * CHOOSE(CONTROL!$C$21, $C$9, 100%, $E$9)</f>
        <v>18.88</v>
      </c>
      <c r="I408" s="14">
        <f>CHOOSE(CONTROL!$C$42, 18.847, 18.847)* CHOOSE(CONTROL!$C$21, $C$9, 100%, $E$9)</f>
        <v>18.847000000000001</v>
      </c>
      <c r="J408" s="14">
        <f>CHOOSE(CONTROL!$C$42, 18.7916, 18.7916)* CHOOSE(CONTROL!$C$21, $C$9, 100%, $E$9)</f>
        <v>18.791599999999999</v>
      </c>
      <c r="K408" s="52">
        <f>CHOOSE(CONTROL!$C$42, 18.8431, 18.8431) * CHOOSE(CONTROL!$C$21, $C$9, 100%, $E$9)</f>
        <v>18.8431</v>
      </c>
      <c r="L408" s="14">
        <f>CHOOSE(CONTROL!$C$42, 19.467, 19.467) * CHOOSE(CONTROL!$C$21, $C$9, 100%, $E$9)</f>
        <v>19.466999999999999</v>
      </c>
      <c r="M408" s="14">
        <f>CHOOSE(CONTROL!$C$42, 18.4613, 18.4613) * CHOOSE(CONTROL!$C$21, $C$9, 100%, $E$9)</f>
        <v>18.461300000000001</v>
      </c>
      <c r="N408" s="14">
        <f>CHOOSE(CONTROL!$C$42, 18.479, 18.479) * CHOOSE(CONTROL!$C$21, $C$9, 100%, $E$9)</f>
        <v>18.478999999999999</v>
      </c>
      <c r="O408" s="14">
        <f>CHOOSE(CONTROL!$C$42, 18.5481, 18.5481) * CHOOSE(CONTROL!$C$21, $C$9, 100%, $E$9)</f>
        <v>18.548100000000002</v>
      </c>
      <c r="P408" s="14">
        <f>CHOOSE(CONTROL!$C$42, 18.5147, 18.5147) * CHOOSE(CONTROL!$C$21, $C$9, 100%, $E$9)</f>
        <v>18.514700000000001</v>
      </c>
      <c r="Q408" s="14">
        <f>CHOOSE(CONTROL!$C$42, 19.1428, 19.1428) * CHOOSE(CONTROL!$C$21, $C$9, 100%, $E$9)</f>
        <v>19.142800000000001</v>
      </c>
      <c r="R408" s="14">
        <f>CHOOSE(CONTROL!$C$42, 19.7777, 19.7777) * CHOOSE(CONTROL!$C$21, $C$9, 100%, $E$9)</f>
        <v>19.777699999999999</v>
      </c>
      <c r="S408" s="14">
        <f>CHOOSE(CONTROL!$C$42, 18.0262, 18.0262) * CHOOSE(CONTROL!$C$21, $C$9, 100%, $E$9)</f>
        <v>18.026199999999999</v>
      </c>
      <c r="T4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08" s="56">
        <f>(1000*CHOOSE(CONTROL!$C$42, 695, 695)*CHOOSE(CONTROL!$C$42, 0.5599, 0.5599)*CHOOSE(CONTROL!$C$42, 31, 31))/1000000</f>
        <v>12.063045499999998</v>
      </c>
      <c r="V408" s="56">
        <f>(1000*CHOOSE(CONTROL!$C$42, 500, 500)*CHOOSE(CONTROL!$C$42, 0.275, 0.275)*CHOOSE(CONTROL!$C$42, 31, 31))/1000000</f>
        <v>4.2625000000000002</v>
      </c>
      <c r="W408" s="56">
        <f>(1000*CHOOSE(CONTROL!$C$42, 0.1146, 0.1146)*CHOOSE(CONTROL!$C$42, 121.5, 121.5)*CHOOSE(CONTROL!$C$42, 31, 31))/1000000</f>
        <v>0.43164089999999994</v>
      </c>
      <c r="X408" s="56">
        <f>(31*0.1790888*100000/1000000)+(31*0.2374*100000/1000000)</f>
        <v>1.2911152800000001</v>
      </c>
      <c r="Y408" s="56"/>
      <c r="Z408" s="14"/>
      <c r="AA408" s="55"/>
      <c r="AB408" s="49">
        <f>(B408*122.58+C408*297.941+D408*89.177+E408*40.302+F408*40+G408*160+H408*0+I408*100+J408*300)/(122.58+297.941+89.177+40.302+0+40+160+100+300)</f>
        <v>18.801548785304345</v>
      </c>
      <c r="AC408" s="45">
        <f>(M408*'RAP TEMPLATE-GAS AVAILABILITY'!O407+N408*'RAP TEMPLATE-GAS AVAILABILITY'!P407+O408*'RAP TEMPLATE-GAS AVAILABILITY'!Q407+P408*'RAP TEMPLATE-GAS AVAILABILITY'!R407)/('RAP TEMPLATE-GAS AVAILABILITY'!O407+'RAP TEMPLATE-GAS AVAILABILITY'!P407+'RAP TEMPLATE-GAS AVAILABILITY'!Q407+'RAP TEMPLATE-GAS AVAILABILITY'!R407)</f>
        <v>18.509343165467627</v>
      </c>
    </row>
    <row r="409" spans="1:29" ht="15.75" x14ac:dyDescent="0.25">
      <c r="A409" s="33">
        <v>53358</v>
      </c>
      <c r="B409" s="14">
        <f>CHOOSE(CONTROL!$C$42, 20.3237, 20.3237) * CHOOSE(CONTROL!$C$21, $C$9, 100%, $E$9)</f>
        <v>20.323699999999999</v>
      </c>
      <c r="C409" s="14">
        <f>CHOOSE(CONTROL!$C$42, 20.3288, 20.3288) * CHOOSE(CONTROL!$C$21, $C$9, 100%, $E$9)</f>
        <v>20.328800000000001</v>
      </c>
      <c r="D409" s="14">
        <f>CHOOSE(CONTROL!$C$42, 20.4222, 20.4222) * CHOOSE(CONTROL!$C$21, $C$9, 100%, $E$9)</f>
        <v>20.4222</v>
      </c>
      <c r="E409" s="14">
        <f>CHOOSE(CONTROL!$C$42, 20.4563, 20.4563) * CHOOSE(CONTROL!$C$21, $C$9, 100%, $E$9)</f>
        <v>20.456299999999999</v>
      </c>
      <c r="F409" s="14">
        <f>CHOOSE(CONTROL!$C$42, 20.351, 20.351)*CHOOSE(CONTROL!$C$21, $C$9, 100%, $E$9)</f>
        <v>20.350999999999999</v>
      </c>
      <c r="G409" s="14">
        <f>CHOOSE(CONTROL!$C$42, 20.369, 20.369)*CHOOSE(CONTROL!$C$21, $C$9, 100%, $E$9)</f>
        <v>20.369</v>
      </c>
      <c r="H409" s="14">
        <f>CHOOSE(CONTROL!$C$42, 20.4455, 20.4455) * CHOOSE(CONTROL!$C$21, $C$9, 100%, $E$9)</f>
        <v>20.445499999999999</v>
      </c>
      <c r="I409" s="14">
        <f>CHOOSE(CONTROL!$C$42, 20.4132, 20.4132)* CHOOSE(CONTROL!$C$21, $C$9, 100%, $E$9)</f>
        <v>20.4132</v>
      </c>
      <c r="J409" s="14">
        <f>CHOOSE(CONTROL!$C$42, 20.344, 20.344)* CHOOSE(CONTROL!$C$21, $C$9, 100%, $E$9)</f>
        <v>20.344000000000001</v>
      </c>
      <c r="K409" s="52">
        <f>CHOOSE(CONTROL!$C$42, 20.4093, 20.4093) * CHOOSE(CONTROL!$C$21, $C$9, 100%, $E$9)</f>
        <v>20.409300000000002</v>
      </c>
      <c r="L409" s="14">
        <f>CHOOSE(CONTROL!$C$42, 21.0325, 21.0325) * CHOOSE(CONTROL!$C$21, $C$9, 100%, $E$9)</f>
        <v>21.032499999999999</v>
      </c>
      <c r="M409" s="14">
        <f>CHOOSE(CONTROL!$C$42, 19.9858, 19.9858) * CHOOSE(CONTROL!$C$21, $C$9, 100%, $E$9)</f>
        <v>19.985800000000001</v>
      </c>
      <c r="N409" s="14">
        <f>CHOOSE(CONTROL!$C$42, 20.0034, 20.0034) * CHOOSE(CONTROL!$C$21, $C$9, 100%, $E$9)</f>
        <v>20.003399999999999</v>
      </c>
      <c r="O409" s="14">
        <f>CHOOSE(CONTROL!$C$42, 20.0855, 20.0855) * CHOOSE(CONTROL!$C$21, $C$9, 100%, $E$9)</f>
        <v>20.0855</v>
      </c>
      <c r="P409" s="14">
        <f>CHOOSE(CONTROL!$C$42, 20.0527, 20.0527) * CHOOSE(CONTROL!$C$21, $C$9, 100%, $E$9)</f>
        <v>20.052700000000002</v>
      </c>
      <c r="Q409" s="14">
        <f>CHOOSE(CONTROL!$C$42, 20.6802, 20.6802) * CHOOSE(CONTROL!$C$21, $C$9, 100%, $E$9)</f>
        <v>20.680199999999999</v>
      </c>
      <c r="R409" s="14">
        <f>CHOOSE(CONTROL!$C$42, 21.3189, 21.3189) * CHOOSE(CONTROL!$C$21, $C$9, 100%, $E$9)</f>
        <v>21.318899999999999</v>
      </c>
      <c r="S409" s="14">
        <f>CHOOSE(CONTROL!$C$42, 19.5205, 19.5205) * CHOOSE(CONTROL!$C$21, $C$9, 100%, $E$9)</f>
        <v>19.520499999999998</v>
      </c>
      <c r="T4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09" s="56">
        <f>(1000*CHOOSE(CONTROL!$C$42, 695, 695)*CHOOSE(CONTROL!$C$42, 0.5599, 0.5599)*CHOOSE(CONTROL!$C$42, 31, 31))/1000000</f>
        <v>12.063045499999998</v>
      </c>
      <c r="V409" s="56">
        <f>(1000*CHOOSE(CONTROL!$C$42, 500, 500)*CHOOSE(CONTROL!$C$42, 0.275, 0.275)*CHOOSE(CONTROL!$C$42, 31, 31))/1000000</f>
        <v>4.2625000000000002</v>
      </c>
      <c r="W409" s="56">
        <f>(1000*CHOOSE(CONTROL!$C$42, 0.1146, 0.1146)*CHOOSE(CONTROL!$C$42, 121.5, 121.5)*CHOOSE(CONTROL!$C$42, 31, 31))/1000000</f>
        <v>0.43164089999999994</v>
      </c>
      <c r="X409" s="56">
        <f>(31*0.1790888*100000/1000000)+(31*0.2374*100000/1000000)</f>
        <v>1.2911152800000001</v>
      </c>
      <c r="Y409" s="56"/>
      <c r="Z409" s="14"/>
      <c r="AA409" s="55"/>
      <c r="AB409" s="49">
        <f>(B409*122.58+C409*297.941+D409*89.177+E409*40.302+F409*40+G409*160+H409*0+I409*100+J409*300)/(122.58+297.941+89.177+40.302+0+40+160+100+300)</f>
        <v>20.357636938086955</v>
      </c>
      <c r="AC409" s="45">
        <f>(M409*'RAP TEMPLATE-GAS AVAILABILITY'!O408+N409*'RAP TEMPLATE-GAS AVAILABILITY'!P408+O409*'RAP TEMPLATE-GAS AVAILABILITY'!Q408+P409*'RAP TEMPLATE-GAS AVAILABILITY'!R408)/('RAP TEMPLATE-GAS AVAILABILITY'!O408+'RAP TEMPLATE-GAS AVAILABILITY'!P408+'RAP TEMPLATE-GAS AVAILABILITY'!Q408+'RAP TEMPLATE-GAS AVAILABILITY'!R408)</f>
        <v>20.041626618705038</v>
      </c>
    </row>
    <row r="410" spans="1:29" ht="15.75" x14ac:dyDescent="0.25">
      <c r="A410" s="33">
        <v>53386</v>
      </c>
      <c r="B410" s="14">
        <f>CHOOSE(CONTROL!$C$42, 20.6853, 20.6853) * CHOOSE(CONTROL!$C$21, $C$9, 100%, $E$9)</f>
        <v>20.685300000000002</v>
      </c>
      <c r="C410" s="14">
        <f>CHOOSE(CONTROL!$C$42, 20.6904, 20.6904) * CHOOSE(CONTROL!$C$21, $C$9, 100%, $E$9)</f>
        <v>20.6904</v>
      </c>
      <c r="D410" s="14">
        <f>CHOOSE(CONTROL!$C$42, 20.7838, 20.7838) * CHOOSE(CONTROL!$C$21, $C$9, 100%, $E$9)</f>
        <v>20.783799999999999</v>
      </c>
      <c r="E410" s="14">
        <f>CHOOSE(CONTROL!$C$42, 20.818, 20.818) * CHOOSE(CONTROL!$C$21, $C$9, 100%, $E$9)</f>
        <v>20.818000000000001</v>
      </c>
      <c r="F410" s="14">
        <f>CHOOSE(CONTROL!$C$42, 20.7123, 20.7123)*CHOOSE(CONTROL!$C$21, $C$9, 100%, $E$9)</f>
        <v>20.712299999999999</v>
      </c>
      <c r="G410" s="14">
        <f>CHOOSE(CONTROL!$C$42, 20.7301, 20.7301)*CHOOSE(CONTROL!$C$21, $C$9, 100%, $E$9)</f>
        <v>20.7301</v>
      </c>
      <c r="H410" s="14">
        <f>CHOOSE(CONTROL!$C$42, 20.8072, 20.8072) * CHOOSE(CONTROL!$C$21, $C$9, 100%, $E$9)</f>
        <v>20.807200000000002</v>
      </c>
      <c r="I410" s="14">
        <f>CHOOSE(CONTROL!$C$42, 20.776, 20.776)* CHOOSE(CONTROL!$C$21, $C$9, 100%, $E$9)</f>
        <v>20.776</v>
      </c>
      <c r="J410" s="14">
        <f>CHOOSE(CONTROL!$C$42, 20.7053, 20.7053)* CHOOSE(CONTROL!$C$21, $C$9, 100%, $E$9)</f>
        <v>20.705300000000001</v>
      </c>
      <c r="K410" s="52">
        <f>CHOOSE(CONTROL!$C$42, 20.7721, 20.7721) * CHOOSE(CONTROL!$C$21, $C$9, 100%, $E$9)</f>
        <v>20.772099999999998</v>
      </c>
      <c r="L410" s="14">
        <f>CHOOSE(CONTROL!$C$42, 21.3942, 21.3942) * CHOOSE(CONTROL!$C$21, $C$9, 100%, $E$9)</f>
        <v>21.394200000000001</v>
      </c>
      <c r="M410" s="14">
        <f>CHOOSE(CONTROL!$C$42, 20.3405, 20.3405) * CHOOSE(CONTROL!$C$21, $C$9, 100%, $E$9)</f>
        <v>20.340499999999999</v>
      </c>
      <c r="N410" s="14">
        <f>CHOOSE(CONTROL!$C$42, 20.3581, 20.3581) * CHOOSE(CONTROL!$C$21, $C$9, 100%, $E$9)</f>
        <v>20.3581</v>
      </c>
      <c r="O410" s="14">
        <f>CHOOSE(CONTROL!$C$42, 20.4406, 20.4406) * CHOOSE(CONTROL!$C$21, $C$9, 100%, $E$9)</f>
        <v>20.4406</v>
      </c>
      <c r="P410" s="14">
        <f>CHOOSE(CONTROL!$C$42, 20.4089, 20.4089) * CHOOSE(CONTROL!$C$21, $C$9, 100%, $E$9)</f>
        <v>20.408899999999999</v>
      </c>
      <c r="Q410" s="14">
        <f>CHOOSE(CONTROL!$C$42, 21.0353, 21.0353) * CHOOSE(CONTROL!$C$21, $C$9, 100%, $E$9)</f>
        <v>21.035299999999999</v>
      </c>
      <c r="R410" s="14">
        <f>CHOOSE(CONTROL!$C$42, 21.6749, 21.6749) * CHOOSE(CONTROL!$C$21, $C$9, 100%, $E$9)</f>
        <v>21.674900000000001</v>
      </c>
      <c r="S410" s="14">
        <f>CHOOSE(CONTROL!$C$42, 19.868, 19.868) * CHOOSE(CONTROL!$C$21, $C$9, 100%, $E$9)</f>
        <v>19.867999999999999</v>
      </c>
      <c r="T41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10" s="56">
        <f>(1000*CHOOSE(CONTROL!$C$42, 695, 695)*CHOOSE(CONTROL!$C$42, 0.5599, 0.5599)*CHOOSE(CONTROL!$C$42, 28, 28))/1000000</f>
        <v>10.895653999999999</v>
      </c>
      <c r="V410" s="56">
        <f>(1000*CHOOSE(CONTROL!$C$42, 500, 500)*CHOOSE(CONTROL!$C$42, 0.275, 0.275)*CHOOSE(CONTROL!$C$42, 28, 28))/1000000</f>
        <v>3.85</v>
      </c>
      <c r="W410" s="56">
        <f>(1000*CHOOSE(CONTROL!$C$42, 0.1146, 0.1146)*CHOOSE(CONTROL!$C$42, 121.5, 121.5)*CHOOSE(CONTROL!$C$42, 28, 28))/1000000</f>
        <v>0.38986920000000003</v>
      </c>
      <c r="X410" s="56">
        <f>(28*0.1790888*100000/1000000)+(28*0.2374*100000/1000000)</f>
        <v>1.16616864</v>
      </c>
      <c r="Y410" s="56"/>
      <c r="Z410" s="14"/>
      <c r="AA410" s="55"/>
      <c r="AB410" s="49">
        <f>(B410*122.58+C410*297.941+D410*89.177+E410*40.302+F410*40+G410*160+H410*0+I410*100+J410*300)/(122.58+297.941+89.177+40.302+0+40+160+100+300)</f>
        <v>20.719186529565217</v>
      </c>
      <c r="AC410" s="45">
        <f>(M410*'RAP TEMPLATE-GAS AVAILABILITY'!O409+N410*'RAP TEMPLATE-GAS AVAILABILITY'!P409+O410*'RAP TEMPLATE-GAS AVAILABILITY'!Q409+P410*'RAP TEMPLATE-GAS AVAILABILITY'!R409)/('RAP TEMPLATE-GAS AVAILABILITY'!O409+'RAP TEMPLATE-GAS AVAILABILITY'!P409+'RAP TEMPLATE-GAS AVAILABILITY'!Q409+'RAP TEMPLATE-GAS AVAILABILITY'!R409)</f>
        <v>20.396723741007193</v>
      </c>
    </row>
    <row r="411" spans="1:29" ht="15.75" x14ac:dyDescent="0.25">
      <c r="A411" s="33">
        <v>53417</v>
      </c>
      <c r="B411" s="14">
        <f>CHOOSE(CONTROL!$C$42, 20.0983, 20.0983) * CHOOSE(CONTROL!$C$21, $C$9, 100%, $E$9)</f>
        <v>20.098299999999998</v>
      </c>
      <c r="C411" s="14">
        <f>CHOOSE(CONTROL!$C$42, 20.1034, 20.1034) * CHOOSE(CONTROL!$C$21, $C$9, 100%, $E$9)</f>
        <v>20.103400000000001</v>
      </c>
      <c r="D411" s="14">
        <f>CHOOSE(CONTROL!$C$42, 20.1969, 20.1969) * CHOOSE(CONTROL!$C$21, $C$9, 100%, $E$9)</f>
        <v>20.196899999999999</v>
      </c>
      <c r="E411" s="14">
        <f>CHOOSE(CONTROL!$C$42, 20.231, 20.231) * CHOOSE(CONTROL!$C$21, $C$9, 100%, $E$9)</f>
        <v>20.231000000000002</v>
      </c>
      <c r="F411" s="14">
        <f>CHOOSE(CONTROL!$C$42, 20.1244, 20.1244)*CHOOSE(CONTROL!$C$21, $C$9, 100%, $E$9)</f>
        <v>20.124400000000001</v>
      </c>
      <c r="G411" s="14">
        <f>CHOOSE(CONTROL!$C$42, 20.142, 20.142)*CHOOSE(CONTROL!$C$21, $C$9, 100%, $E$9)</f>
        <v>20.141999999999999</v>
      </c>
      <c r="H411" s="14">
        <f>CHOOSE(CONTROL!$C$42, 20.2202, 20.2202) * CHOOSE(CONTROL!$C$21, $C$9, 100%, $E$9)</f>
        <v>20.220199999999998</v>
      </c>
      <c r="I411" s="14">
        <f>CHOOSE(CONTROL!$C$42, 20.1872, 20.1872)* CHOOSE(CONTROL!$C$21, $C$9, 100%, $E$9)</f>
        <v>20.187200000000001</v>
      </c>
      <c r="J411" s="14">
        <f>CHOOSE(CONTROL!$C$42, 20.1174, 20.1174)* CHOOSE(CONTROL!$C$21, $C$9, 100%, $E$9)</f>
        <v>20.1174</v>
      </c>
      <c r="K411" s="52">
        <f>CHOOSE(CONTROL!$C$42, 20.1833, 20.1833) * CHOOSE(CONTROL!$C$21, $C$9, 100%, $E$9)</f>
        <v>20.183299999999999</v>
      </c>
      <c r="L411" s="14">
        <f>CHOOSE(CONTROL!$C$42, 20.8072, 20.8072) * CHOOSE(CONTROL!$C$21, $C$9, 100%, $E$9)</f>
        <v>20.807200000000002</v>
      </c>
      <c r="M411" s="14">
        <f>CHOOSE(CONTROL!$C$42, 19.7632, 19.7632) * CHOOSE(CONTROL!$C$21, $C$9, 100%, $E$9)</f>
        <v>19.763200000000001</v>
      </c>
      <c r="N411" s="14">
        <f>CHOOSE(CONTROL!$C$42, 19.7806, 19.7806) * CHOOSE(CONTROL!$C$21, $C$9, 100%, $E$9)</f>
        <v>19.7806</v>
      </c>
      <c r="O411" s="14">
        <f>CHOOSE(CONTROL!$C$42, 19.8642, 19.8642) * CHOOSE(CONTROL!$C$21, $C$9, 100%, $E$9)</f>
        <v>19.8642</v>
      </c>
      <c r="P411" s="14">
        <f>CHOOSE(CONTROL!$C$42, 19.8307, 19.8307) * CHOOSE(CONTROL!$C$21, $C$9, 100%, $E$9)</f>
        <v>19.8307</v>
      </c>
      <c r="Q411" s="14">
        <f>CHOOSE(CONTROL!$C$42, 20.4589, 20.4589) * CHOOSE(CONTROL!$C$21, $C$9, 100%, $E$9)</f>
        <v>20.4589</v>
      </c>
      <c r="R411" s="14">
        <f>CHOOSE(CONTROL!$C$42, 21.097, 21.097) * CHOOSE(CONTROL!$C$21, $C$9, 100%, $E$9)</f>
        <v>21.097000000000001</v>
      </c>
      <c r="S411" s="14">
        <f>CHOOSE(CONTROL!$C$42, 19.3039, 19.3039) * CHOOSE(CONTROL!$C$21, $C$9, 100%, $E$9)</f>
        <v>19.303899999999999</v>
      </c>
      <c r="T4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11" s="56">
        <f>(1000*CHOOSE(CONTROL!$C$42, 695, 695)*CHOOSE(CONTROL!$C$42, 0.5599, 0.5599)*CHOOSE(CONTROL!$C$42, 31, 31))/1000000</f>
        <v>12.063045499999998</v>
      </c>
      <c r="V411" s="56">
        <f>(1000*CHOOSE(CONTROL!$C$42, 500, 500)*CHOOSE(CONTROL!$C$42, 0.275, 0.275)*CHOOSE(CONTROL!$C$42, 31, 31))/1000000</f>
        <v>4.2625000000000002</v>
      </c>
      <c r="W411" s="56">
        <f>(1000*CHOOSE(CONTROL!$C$42, 0.1146, 0.1146)*CHOOSE(CONTROL!$C$42, 121.5, 121.5)*CHOOSE(CONTROL!$C$42, 31, 31))/1000000</f>
        <v>0.43164089999999994</v>
      </c>
      <c r="X411" s="56">
        <f>(31*0.1790888*100000/1000000)+(31*0.2374*100000/1000000)</f>
        <v>1.2911152800000001</v>
      </c>
      <c r="Y411" s="56"/>
      <c r="Z411" s="14"/>
      <c r="AA411" s="55"/>
      <c r="AB411" s="49">
        <f>(B411*122.58+C411*297.941+D411*89.177+E411*40.302+F411*40+G411*160+H411*0+I411*100+J411*300)/(122.58+297.941+89.177+40.302+0+40+160+100+300)</f>
        <v>20.131618631913046</v>
      </c>
      <c r="AC411" s="45">
        <f>(M411*'RAP TEMPLATE-GAS AVAILABILITY'!O410+N411*'RAP TEMPLATE-GAS AVAILABILITY'!P410+O411*'RAP TEMPLATE-GAS AVAILABILITY'!Q410+P411*'RAP TEMPLATE-GAS AVAILABILITY'!R410)/('RAP TEMPLATE-GAS AVAILABILITY'!O410+'RAP TEMPLATE-GAS AVAILABILITY'!P410+'RAP TEMPLATE-GAS AVAILABILITY'!Q410+'RAP TEMPLATE-GAS AVAILABILITY'!R410)</f>
        <v>19.819690647482016</v>
      </c>
    </row>
    <row r="412" spans="1:29" ht="15.75" x14ac:dyDescent="0.25">
      <c r="A412" s="33">
        <v>53447</v>
      </c>
      <c r="B412" s="14">
        <f>CHOOSE(CONTROL!$C$42, 20.0392, 20.0392) * CHOOSE(CONTROL!$C$21, $C$9, 100%, $E$9)</f>
        <v>20.039200000000001</v>
      </c>
      <c r="C412" s="14">
        <f>CHOOSE(CONTROL!$C$42, 20.0437, 20.0437) * CHOOSE(CONTROL!$C$21, $C$9, 100%, $E$9)</f>
        <v>20.043700000000001</v>
      </c>
      <c r="D412" s="14">
        <f>CHOOSE(CONTROL!$C$42, 20.3059, 20.3059) * CHOOSE(CONTROL!$C$21, $C$9, 100%, $E$9)</f>
        <v>20.305900000000001</v>
      </c>
      <c r="E412" s="14">
        <f>CHOOSE(CONTROL!$C$42, 20.338, 20.338) * CHOOSE(CONTROL!$C$21, $C$9, 100%, $E$9)</f>
        <v>20.338000000000001</v>
      </c>
      <c r="F412" s="14">
        <f>CHOOSE(CONTROL!$C$42, 20.062, 20.062)*CHOOSE(CONTROL!$C$21, $C$9, 100%, $E$9)</f>
        <v>20.062000000000001</v>
      </c>
      <c r="G412" s="14">
        <f>CHOOSE(CONTROL!$C$42, 20.0787, 20.0787)*CHOOSE(CONTROL!$C$21, $C$9, 100%, $E$9)</f>
        <v>20.078700000000001</v>
      </c>
      <c r="H412" s="14">
        <f>CHOOSE(CONTROL!$C$42, 20.3278, 20.3278) * CHOOSE(CONTROL!$C$21, $C$9, 100%, $E$9)</f>
        <v>20.3278</v>
      </c>
      <c r="I412" s="14">
        <f>CHOOSE(CONTROL!$C$42, 20.1244, 20.1244)* CHOOSE(CONTROL!$C$21, $C$9, 100%, $E$9)</f>
        <v>20.124400000000001</v>
      </c>
      <c r="J412" s="14">
        <f>CHOOSE(CONTROL!$C$42, 20.055, 20.055)* CHOOSE(CONTROL!$C$21, $C$9, 100%, $E$9)</f>
        <v>20.055</v>
      </c>
      <c r="K412" s="52">
        <f>CHOOSE(CONTROL!$C$42, 20.1205, 20.1205) * CHOOSE(CONTROL!$C$21, $C$9, 100%, $E$9)</f>
        <v>20.1205</v>
      </c>
      <c r="L412" s="14">
        <f>CHOOSE(CONTROL!$C$42, 20.9148, 20.9148) * CHOOSE(CONTROL!$C$21, $C$9, 100%, $E$9)</f>
        <v>20.9148</v>
      </c>
      <c r="M412" s="14">
        <f>CHOOSE(CONTROL!$C$42, 19.702, 19.702) * CHOOSE(CONTROL!$C$21, $C$9, 100%, $E$9)</f>
        <v>19.702000000000002</v>
      </c>
      <c r="N412" s="14">
        <f>CHOOSE(CONTROL!$C$42, 19.7184, 19.7184) * CHOOSE(CONTROL!$C$21, $C$9, 100%, $E$9)</f>
        <v>19.718399999999999</v>
      </c>
      <c r="O412" s="14">
        <f>CHOOSE(CONTROL!$C$42, 19.9698, 19.9698) * CHOOSE(CONTROL!$C$21, $C$9, 100%, $E$9)</f>
        <v>19.969799999999999</v>
      </c>
      <c r="P412" s="14">
        <f>CHOOSE(CONTROL!$C$42, 19.7691, 19.7691) * CHOOSE(CONTROL!$C$21, $C$9, 100%, $E$9)</f>
        <v>19.769100000000002</v>
      </c>
      <c r="Q412" s="14">
        <f>CHOOSE(CONTROL!$C$42, 20.5645, 20.5645) * CHOOSE(CONTROL!$C$21, $C$9, 100%, $E$9)</f>
        <v>20.564499999999999</v>
      </c>
      <c r="R412" s="14">
        <f>CHOOSE(CONTROL!$C$42, 21.203, 21.203) * CHOOSE(CONTROL!$C$21, $C$9, 100%, $E$9)</f>
        <v>21.202999999999999</v>
      </c>
      <c r="S412" s="14">
        <f>CHOOSE(CONTROL!$C$42, 19.2464, 19.2464) * CHOOSE(CONTROL!$C$21, $C$9, 100%, $E$9)</f>
        <v>19.246400000000001</v>
      </c>
      <c r="T4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12" s="56">
        <f>(1000*CHOOSE(CONTROL!$C$42, 695, 695)*CHOOSE(CONTROL!$C$42, 0.5599, 0.5599)*CHOOSE(CONTROL!$C$42, 30, 30))/1000000</f>
        <v>11.673914999999997</v>
      </c>
      <c r="V412" s="56">
        <f>(1000*CHOOSE(CONTROL!$C$42, 500, 500)*CHOOSE(CONTROL!$C$42, 0.275, 0.275)*CHOOSE(CONTROL!$C$42, 30, 30))/1000000</f>
        <v>4.125</v>
      </c>
      <c r="W412" s="56">
        <f>(1000*CHOOSE(CONTROL!$C$42, 0.1146, 0.1146)*CHOOSE(CONTROL!$C$42, 121.5, 121.5)*CHOOSE(CONTROL!$C$42, 30, 30))/1000000</f>
        <v>0.417717</v>
      </c>
      <c r="X412" s="56">
        <f>(30*0.1790888*245000/1000000)+(30*0.2374*100000/1000000)</f>
        <v>2.0285026799999999</v>
      </c>
      <c r="Y412" s="56"/>
      <c r="Z412" s="14"/>
      <c r="AA412" s="55"/>
      <c r="AB412" s="49">
        <f>(B412*141.293+C412*267.993+D412*115.016+E412*89.698+F412*40+G412*185+H412*0+I412*100+J412*300)/(141.293+267.993+115.016+89.698+0+40+185+100+300)</f>
        <v>20.103898949233251</v>
      </c>
      <c r="AC412" s="45">
        <f>(M412*'RAP TEMPLATE-GAS AVAILABILITY'!O411+N412*'RAP TEMPLATE-GAS AVAILABILITY'!P411+O412*'RAP TEMPLATE-GAS AVAILABILITY'!Q411+P412*'RAP TEMPLATE-GAS AVAILABILITY'!R411)/('RAP TEMPLATE-GAS AVAILABILITY'!O411+'RAP TEMPLATE-GAS AVAILABILITY'!P411+'RAP TEMPLATE-GAS AVAILABILITY'!Q411+'RAP TEMPLATE-GAS AVAILABILITY'!R411)</f>
        <v>19.790568345323742</v>
      </c>
    </row>
    <row r="413" spans="1:29" ht="15.75" x14ac:dyDescent="0.25">
      <c r="A413" s="33">
        <v>53478</v>
      </c>
      <c r="B413" s="14">
        <f>CHOOSE(CONTROL!$C$42, 20.2173, 20.2173) * CHOOSE(CONTROL!$C$21, $C$9, 100%, $E$9)</f>
        <v>20.217300000000002</v>
      </c>
      <c r="C413" s="14">
        <f>CHOOSE(CONTROL!$C$42, 20.2254, 20.2254) * CHOOSE(CONTROL!$C$21, $C$9, 100%, $E$9)</f>
        <v>20.2254</v>
      </c>
      <c r="D413" s="14">
        <f>CHOOSE(CONTROL!$C$42, 20.4845, 20.4845) * CHOOSE(CONTROL!$C$21, $C$9, 100%, $E$9)</f>
        <v>20.484500000000001</v>
      </c>
      <c r="E413" s="14">
        <f>CHOOSE(CONTROL!$C$42, 20.5159, 20.5159) * CHOOSE(CONTROL!$C$21, $C$9, 100%, $E$9)</f>
        <v>20.515899999999998</v>
      </c>
      <c r="F413" s="14">
        <f>CHOOSE(CONTROL!$C$42, 20.2389, 20.2389)*CHOOSE(CONTROL!$C$21, $C$9, 100%, $E$9)</f>
        <v>20.238900000000001</v>
      </c>
      <c r="G413" s="14">
        <f>CHOOSE(CONTROL!$C$42, 20.2558, 20.2558)*CHOOSE(CONTROL!$C$21, $C$9, 100%, $E$9)</f>
        <v>20.255800000000001</v>
      </c>
      <c r="H413" s="14">
        <f>CHOOSE(CONTROL!$C$42, 20.5046, 20.5046) * CHOOSE(CONTROL!$C$21, $C$9, 100%, $E$9)</f>
        <v>20.5046</v>
      </c>
      <c r="I413" s="14">
        <f>CHOOSE(CONTROL!$C$42, 20.3018, 20.3018)* CHOOSE(CONTROL!$C$21, $C$9, 100%, $E$9)</f>
        <v>20.3018</v>
      </c>
      <c r="J413" s="14">
        <f>CHOOSE(CONTROL!$C$42, 20.2319, 20.2319)* CHOOSE(CONTROL!$C$21, $C$9, 100%, $E$9)</f>
        <v>20.2319</v>
      </c>
      <c r="K413" s="52">
        <f>CHOOSE(CONTROL!$C$42, 20.2979, 20.2979) * CHOOSE(CONTROL!$C$21, $C$9, 100%, $E$9)</f>
        <v>20.297899999999998</v>
      </c>
      <c r="L413" s="14">
        <f>CHOOSE(CONTROL!$C$42, 21.0916, 21.0916) * CHOOSE(CONTROL!$C$21, $C$9, 100%, $E$9)</f>
        <v>21.0916</v>
      </c>
      <c r="M413" s="14">
        <f>CHOOSE(CONTROL!$C$42, 19.8757, 19.8757) * CHOOSE(CONTROL!$C$21, $C$9, 100%, $E$9)</f>
        <v>19.875699999999998</v>
      </c>
      <c r="N413" s="14">
        <f>CHOOSE(CONTROL!$C$42, 19.8923, 19.8923) * CHOOSE(CONTROL!$C$21, $C$9, 100%, $E$9)</f>
        <v>19.892299999999999</v>
      </c>
      <c r="O413" s="14">
        <f>CHOOSE(CONTROL!$C$42, 20.1434, 20.1434) * CHOOSE(CONTROL!$C$21, $C$9, 100%, $E$9)</f>
        <v>20.1434</v>
      </c>
      <c r="P413" s="14">
        <f>CHOOSE(CONTROL!$C$42, 19.9432, 19.9432) * CHOOSE(CONTROL!$C$21, $C$9, 100%, $E$9)</f>
        <v>19.943200000000001</v>
      </c>
      <c r="Q413" s="14">
        <f>CHOOSE(CONTROL!$C$42, 20.7381, 20.7381) * CHOOSE(CONTROL!$C$21, $C$9, 100%, $E$9)</f>
        <v>20.738099999999999</v>
      </c>
      <c r="R413" s="14">
        <f>CHOOSE(CONTROL!$C$42, 21.377, 21.377) * CHOOSE(CONTROL!$C$21, $C$9, 100%, $E$9)</f>
        <v>21.376999999999999</v>
      </c>
      <c r="S413" s="14">
        <f>CHOOSE(CONTROL!$C$42, 19.4162, 19.4162) * CHOOSE(CONTROL!$C$21, $C$9, 100%, $E$9)</f>
        <v>19.4162</v>
      </c>
      <c r="T4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13" s="56">
        <f>(1000*CHOOSE(CONTROL!$C$42, 695, 695)*CHOOSE(CONTROL!$C$42, 0.5599, 0.5599)*CHOOSE(CONTROL!$C$42, 31, 31))/1000000</f>
        <v>12.063045499999998</v>
      </c>
      <c r="V413" s="56">
        <f>(1000*CHOOSE(CONTROL!$C$42, 500, 500)*CHOOSE(CONTROL!$C$42, 0.275, 0.275)*CHOOSE(CONTROL!$C$42, 31, 31))/1000000</f>
        <v>4.2625000000000002</v>
      </c>
      <c r="W413" s="56">
        <f>(1000*CHOOSE(CONTROL!$C$42, 0.1146, 0.1146)*CHOOSE(CONTROL!$C$42, 121.5, 121.5)*CHOOSE(CONTROL!$C$42, 31, 31))/1000000</f>
        <v>0.43164089999999994</v>
      </c>
      <c r="X413" s="56">
        <f>(31*0.1790888*245000/1000000)+(31*0.2374*100000/1000000)</f>
        <v>2.0961194359999999</v>
      </c>
      <c r="Y413" s="56"/>
      <c r="Z413" s="14"/>
      <c r="AA413" s="55"/>
      <c r="AB413" s="49">
        <f>(B413*194.205+C413*267.466+D413*133.845+E413*53.484+F413*40+G413*185+H413*0+I413*100+J413*300)/(194.205+267.466+133.845+53.484+0+40+185+100+300)</f>
        <v>20.275947316326533</v>
      </c>
      <c r="AC413" s="45">
        <f>(M413*'RAP TEMPLATE-GAS AVAILABILITY'!O412+N413*'RAP TEMPLATE-GAS AVAILABILITY'!P412+O413*'RAP TEMPLATE-GAS AVAILABILITY'!Q412+P413*'RAP TEMPLATE-GAS AVAILABILITY'!R412)/('RAP TEMPLATE-GAS AVAILABILITY'!O412+'RAP TEMPLATE-GAS AVAILABILITY'!P412+'RAP TEMPLATE-GAS AVAILABILITY'!Q412+'RAP TEMPLATE-GAS AVAILABILITY'!R412)</f>
        <v>19.964343884892084</v>
      </c>
    </row>
    <row r="414" spans="1:29" ht="15.75" x14ac:dyDescent="0.25">
      <c r="A414" s="33">
        <v>53508</v>
      </c>
      <c r="B414" s="14">
        <f>CHOOSE(CONTROL!$C$42, 20.7905, 20.7905) * CHOOSE(CONTROL!$C$21, $C$9, 100%, $E$9)</f>
        <v>20.790500000000002</v>
      </c>
      <c r="C414" s="14">
        <f>CHOOSE(CONTROL!$C$42, 20.7985, 20.7985) * CHOOSE(CONTROL!$C$21, $C$9, 100%, $E$9)</f>
        <v>20.798500000000001</v>
      </c>
      <c r="D414" s="14">
        <f>CHOOSE(CONTROL!$C$42, 21.0576, 21.0576) * CHOOSE(CONTROL!$C$21, $C$9, 100%, $E$9)</f>
        <v>21.057600000000001</v>
      </c>
      <c r="E414" s="14">
        <f>CHOOSE(CONTROL!$C$42, 21.0891, 21.0891) * CHOOSE(CONTROL!$C$21, $C$9, 100%, $E$9)</f>
        <v>21.089099999999998</v>
      </c>
      <c r="F414" s="14">
        <f>CHOOSE(CONTROL!$C$42, 20.8123, 20.8123)*CHOOSE(CONTROL!$C$21, $C$9, 100%, $E$9)</f>
        <v>20.8123</v>
      </c>
      <c r="G414" s="14">
        <f>CHOOSE(CONTROL!$C$42, 20.8293, 20.8293)*CHOOSE(CONTROL!$C$21, $C$9, 100%, $E$9)</f>
        <v>20.8293</v>
      </c>
      <c r="H414" s="14">
        <f>CHOOSE(CONTROL!$C$42, 21.0777, 21.0777) * CHOOSE(CONTROL!$C$21, $C$9, 100%, $E$9)</f>
        <v>21.0777</v>
      </c>
      <c r="I414" s="14">
        <f>CHOOSE(CONTROL!$C$42, 20.8767, 20.8767)* CHOOSE(CONTROL!$C$21, $C$9, 100%, $E$9)</f>
        <v>20.8767</v>
      </c>
      <c r="J414" s="14">
        <f>CHOOSE(CONTROL!$C$42, 20.8053, 20.8053)* CHOOSE(CONTROL!$C$21, $C$9, 100%, $E$9)</f>
        <v>20.805299999999999</v>
      </c>
      <c r="K414" s="52">
        <f>CHOOSE(CONTROL!$C$42, 20.8728, 20.8728) * CHOOSE(CONTROL!$C$21, $C$9, 100%, $E$9)</f>
        <v>20.872800000000002</v>
      </c>
      <c r="L414" s="14">
        <f>CHOOSE(CONTROL!$C$42, 21.6647, 21.6647) * CHOOSE(CONTROL!$C$21, $C$9, 100%, $E$9)</f>
        <v>21.6647</v>
      </c>
      <c r="M414" s="14">
        <f>CHOOSE(CONTROL!$C$42, 20.4388, 20.4388) * CHOOSE(CONTROL!$C$21, $C$9, 100%, $E$9)</f>
        <v>20.438800000000001</v>
      </c>
      <c r="N414" s="14">
        <f>CHOOSE(CONTROL!$C$42, 20.4555, 20.4555) * CHOOSE(CONTROL!$C$21, $C$9, 100%, $E$9)</f>
        <v>20.455500000000001</v>
      </c>
      <c r="O414" s="14">
        <f>CHOOSE(CONTROL!$C$42, 20.7063, 20.7063) * CHOOSE(CONTROL!$C$21, $C$9, 100%, $E$9)</f>
        <v>20.706299999999999</v>
      </c>
      <c r="P414" s="14">
        <f>CHOOSE(CONTROL!$C$42, 20.5078, 20.5078) * CHOOSE(CONTROL!$C$21, $C$9, 100%, $E$9)</f>
        <v>20.5078</v>
      </c>
      <c r="Q414" s="14">
        <f>CHOOSE(CONTROL!$C$42, 21.301, 21.301) * CHOOSE(CONTROL!$C$21, $C$9, 100%, $E$9)</f>
        <v>21.300999999999998</v>
      </c>
      <c r="R414" s="14">
        <f>CHOOSE(CONTROL!$C$42, 21.9412, 21.9412) * CHOOSE(CONTROL!$C$21, $C$9, 100%, $E$9)</f>
        <v>21.941199999999998</v>
      </c>
      <c r="S414" s="14">
        <f>CHOOSE(CONTROL!$C$42, 19.967, 19.967) * CHOOSE(CONTROL!$C$21, $C$9, 100%, $E$9)</f>
        <v>19.966999999999999</v>
      </c>
      <c r="T4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14" s="56">
        <f>(1000*CHOOSE(CONTROL!$C$42, 695, 695)*CHOOSE(CONTROL!$C$42, 0.5599, 0.5599)*CHOOSE(CONTROL!$C$42, 30, 30))/1000000</f>
        <v>11.673914999999997</v>
      </c>
      <c r="V414" s="56">
        <f>(1000*CHOOSE(CONTROL!$C$42, 500, 500)*CHOOSE(CONTROL!$C$42, 0.275, 0.275)*CHOOSE(CONTROL!$C$42, 30, 30))/1000000</f>
        <v>4.125</v>
      </c>
      <c r="W414" s="56">
        <f>(1000*CHOOSE(CONTROL!$C$42, 0.1146, 0.1146)*CHOOSE(CONTROL!$C$42, 121.5, 121.5)*CHOOSE(CONTROL!$C$42, 30, 30))/1000000</f>
        <v>0.417717</v>
      </c>
      <c r="X414" s="56">
        <f>(30*0.1790888*245000/1000000)+(30*0.2374*100000/1000000)</f>
        <v>2.0285026799999999</v>
      </c>
      <c r="Y414" s="56"/>
      <c r="Z414" s="14"/>
      <c r="AA414" s="55"/>
      <c r="AB414" s="49">
        <f>(B414*194.205+C414*267.466+D414*133.845+E414*53.484+F414*40+G414*185+H414*0+I414*100+J414*300)/(194.205+267.466+133.845+53.484+0+40+185+100+300)</f>
        <v>20.849346193014128</v>
      </c>
      <c r="AC414" s="45">
        <f>(M414*'RAP TEMPLATE-GAS AVAILABILITY'!O413+N414*'RAP TEMPLATE-GAS AVAILABILITY'!P413+O414*'RAP TEMPLATE-GAS AVAILABILITY'!Q413+P414*'RAP TEMPLATE-GAS AVAILABILITY'!R413)/('RAP TEMPLATE-GAS AVAILABILITY'!O413+'RAP TEMPLATE-GAS AVAILABILITY'!P413+'RAP TEMPLATE-GAS AVAILABILITY'!Q413+'RAP TEMPLATE-GAS AVAILABILITY'!R413)</f>
        <v>20.527626618705035</v>
      </c>
    </row>
    <row r="415" spans="1:29" ht="15.75" x14ac:dyDescent="0.25">
      <c r="A415" s="33">
        <v>53539</v>
      </c>
      <c r="B415" s="14">
        <f>CHOOSE(CONTROL!$C$42, 20.3919, 20.3919) * CHOOSE(CONTROL!$C$21, $C$9, 100%, $E$9)</f>
        <v>20.3919</v>
      </c>
      <c r="C415" s="14">
        <f>CHOOSE(CONTROL!$C$42, 20.3999, 20.3999) * CHOOSE(CONTROL!$C$21, $C$9, 100%, $E$9)</f>
        <v>20.399899999999999</v>
      </c>
      <c r="D415" s="14">
        <f>CHOOSE(CONTROL!$C$42, 20.659, 20.659) * CHOOSE(CONTROL!$C$21, $C$9, 100%, $E$9)</f>
        <v>20.658999999999999</v>
      </c>
      <c r="E415" s="14">
        <f>CHOOSE(CONTROL!$C$42, 20.6904, 20.6904) * CHOOSE(CONTROL!$C$21, $C$9, 100%, $E$9)</f>
        <v>20.6904</v>
      </c>
      <c r="F415" s="14">
        <f>CHOOSE(CONTROL!$C$42, 20.4141, 20.4141)*CHOOSE(CONTROL!$C$21, $C$9, 100%, $E$9)</f>
        <v>20.414100000000001</v>
      </c>
      <c r="G415" s="14">
        <f>CHOOSE(CONTROL!$C$42, 20.4312, 20.4312)*CHOOSE(CONTROL!$C$21, $C$9, 100%, $E$9)</f>
        <v>20.4312</v>
      </c>
      <c r="H415" s="14">
        <f>CHOOSE(CONTROL!$C$42, 20.6791, 20.6791) * CHOOSE(CONTROL!$C$21, $C$9, 100%, $E$9)</f>
        <v>20.679099999999998</v>
      </c>
      <c r="I415" s="14">
        <f>CHOOSE(CONTROL!$C$42, 20.4768, 20.4768)* CHOOSE(CONTROL!$C$21, $C$9, 100%, $E$9)</f>
        <v>20.476800000000001</v>
      </c>
      <c r="J415" s="14">
        <f>CHOOSE(CONTROL!$C$42, 20.4071, 20.4071)* CHOOSE(CONTROL!$C$21, $C$9, 100%, $E$9)</f>
        <v>20.4071</v>
      </c>
      <c r="K415" s="52">
        <f>CHOOSE(CONTROL!$C$42, 20.4729, 20.4729) * CHOOSE(CONTROL!$C$21, $C$9, 100%, $E$9)</f>
        <v>20.472899999999999</v>
      </c>
      <c r="L415" s="14">
        <f>CHOOSE(CONTROL!$C$42, 21.2661, 21.2661) * CHOOSE(CONTROL!$C$21, $C$9, 100%, $E$9)</f>
        <v>21.266100000000002</v>
      </c>
      <c r="M415" s="14">
        <f>CHOOSE(CONTROL!$C$42, 20.0477, 20.0477) * CHOOSE(CONTROL!$C$21, $C$9, 100%, $E$9)</f>
        <v>20.047699999999999</v>
      </c>
      <c r="N415" s="14">
        <f>CHOOSE(CONTROL!$C$42, 20.0646, 20.0646) * CHOOSE(CONTROL!$C$21, $C$9, 100%, $E$9)</f>
        <v>20.064599999999999</v>
      </c>
      <c r="O415" s="14">
        <f>CHOOSE(CONTROL!$C$42, 20.3148, 20.3148) * CHOOSE(CONTROL!$C$21, $C$9, 100%, $E$9)</f>
        <v>20.314800000000002</v>
      </c>
      <c r="P415" s="14">
        <f>CHOOSE(CONTROL!$C$42, 20.1151, 20.1151) * CHOOSE(CONTROL!$C$21, $C$9, 100%, $E$9)</f>
        <v>20.115100000000002</v>
      </c>
      <c r="Q415" s="14">
        <f>CHOOSE(CONTROL!$C$42, 20.9095, 20.9095) * CHOOSE(CONTROL!$C$21, $C$9, 100%, $E$9)</f>
        <v>20.909500000000001</v>
      </c>
      <c r="R415" s="14">
        <f>CHOOSE(CONTROL!$C$42, 21.5488, 21.5488) * CHOOSE(CONTROL!$C$21, $C$9, 100%, $E$9)</f>
        <v>21.5488</v>
      </c>
      <c r="S415" s="14">
        <f>CHOOSE(CONTROL!$C$42, 19.5839, 19.5839) * CHOOSE(CONTROL!$C$21, $C$9, 100%, $E$9)</f>
        <v>19.5839</v>
      </c>
      <c r="T4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15" s="56">
        <f>(1000*CHOOSE(CONTROL!$C$42, 695, 695)*CHOOSE(CONTROL!$C$42, 0.5599, 0.5599)*CHOOSE(CONTROL!$C$42, 31, 31))/1000000</f>
        <v>12.063045499999998</v>
      </c>
      <c r="V415" s="56">
        <f>(1000*CHOOSE(CONTROL!$C$42, 500, 500)*CHOOSE(CONTROL!$C$42, 0.275, 0.275)*CHOOSE(CONTROL!$C$42, 31, 31))/1000000</f>
        <v>4.2625000000000002</v>
      </c>
      <c r="W415" s="56">
        <f>(1000*CHOOSE(CONTROL!$C$42, 0.1146, 0.1146)*CHOOSE(CONTROL!$C$42, 121.5, 121.5)*CHOOSE(CONTROL!$C$42, 31, 31))/1000000</f>
        <v>0.43164089999999994</v>
      </c>
      <c r="X415" s="56">
        <f>(31*0.1790888*245000/1000000)+(31*0.2374*100000/1000000)</f>
        <v>2.0961194359999999</v>
      </c>
      <c r="Y415" s="56"/>
      <c r="Z415" s="14"/>
      <c r="AA415" s="55"/>
      <c r="AB415" s="49">
        <f>(B415*194.205+C415*267.466+D415*133.845+E415*53.484+F415*40+G415*185+H415*0+I415*100+J415*300)/(194.205+267.466+133.845+53.484+0+40+185+100+300)</f>
        <v>20.450819310439563</v>
      </c>
      <c r="AC415" s="45">
        <f>(M415*'RAP TEMPLATE-GAS AVAILABILITY'!O414+N415*'RAP TEMPLATE-GAS AVAILABILITY'!P414+O415*'RAP TEMPLATE-GAS AVAILABILITY'!Q414+P415*'RAP TEMPLATE-GAS AVAILABILITY'!R414)/('RAP TEMPLATE-GAS AVAILABILITY'!O414+'RAP TEMPLATE-GAS AVAILABILITY'!P414+'RAP TEMPLATE-GAS AVAILABILITY'!Q414+'RAP TEMPLATE-GAS AVAILABILITY'!R414)</f>
        <v>20.136230215827339</v>
      </c>
    </row>
    <row r="416" spans="1:29" ht="15.75" x14ac:dyDescent="0.25">
      <c r="A416" s="33">
        <v>53570</v>
      </c>
      <c r="B416" s="14">
        <f>CHOOSE(CONTROL!$C$42, 19.3852, 19.3852) * CHOOSE(CONTROL!$C$21, $C$9, 100%, $E$9)</f>
        <v>19.385200000000001</v>
      </c>
      <c r="C416" s="14">
        <f>CHOOSE(CONTROL!$C$42, 19.3932, 19.3932) * CHOOSE(CONTROL!$C$21, $C$9, 100%, $E$9)</f>
        <v>19.3932</v>
      </c>
      <c r="D416" s="14">
        <f>CHOOSE(CONTROL!$C$42, 19.6523, 19.6523) * CHOOSE(CONTROL!$C$21, $C$9, 100%, $E$9)</f>
        <v>19.6523</v>
      </c>
      <c r="E416" s="14">
        <f>CHOOSE(CONTROL!$C$42, 19.6838, 19.6838) * CHOOSE(CONTROL!$C$21, $C$9, 100%, $E$9)</f>
        <v>19.683800000000002</v>
      </c>
      <c r="F416" s="14">
        <f>CHOOSE(CONTROL!$C$42, 19.4076, 19.4076)*CHOOSE(CONTROL!$C$21, $C$9, 100%, $E$9)</f>
        <v>19.407599999999999</v>
      </c>
      <c r="G416" s="14">
        <f>CHOOSE(CONTROL!$C$42, 19.4248, 19.4248)*CHOOSE(CONTROL!$C$21, $C$9, 100%, $E$9)</f>
        <v>19.424800000000001</v>
      </c>
      <c r="H416" s="14">
        <f>CHOOSE(CONTROL!$C$42, 19.6724, 19.6724) * CHOOSE(CONTROL!$C$21, $C$9, 100%, $E$9)</f>
        <v>19.6724</v>
      </c>
      <c r="I416" s="14">
        <f>CHOOSE(CONTROL!$C$42, 19.467, 19.467)* CHOOSE(CONTROL!$C$21, $C$9, 100%, $E$9)</f>
        <v>19.466999999999999</v>
      </c>
      <c r="J416" s="14">
        <f>CHOOSE(CONTROL!$C$42, 19.4006, 19.4006)* CHOOSE(CONTROL!$C$21, $C$9, 100%, $E$9)</f>
        <v>19.400600000000001</v>
      </c>
      <c r="K416" s="52">
        <f>CHOOSE(CONTROL!$C$42, 19.4631, 19.4631) * CHOOSE(CONTROL!$C$21, $C$9, 100%, $E$9)</f>
        <v>19.463100000000001</v>
      </c>
      <c r="L416" s="14">
        <f>CHOOSE(CONTROL!$C$42, 20.2594, 20.2594) * CHOOSE(CONTROL!$C$21, $C$9, 100%, $E$9)</f>
        <v>20.259399999999999</v>
      </c>
      <c r="M416" s="14">
        <f>CHOOSE(CONTROL!$C$42, 19.0593, 19.0593) * CHOOSE(CONTROL!$C$21, $C$9, 100%, $E$9)</f>
        <v>19.0593</v>
      </c>
      <c r="N416" s="14">
        <f>CHOOSE(CONTROL!$C$42, 19.0762, 19.0762) * CHOOSE(CONTROL!$C$21, $C$9, 100%, $E$9)</f>
        <v>19.0762</v>
      </c>
      <c r="O416" s="14">
        <f>CHOOSE(CONTROL!$C$42, 19.3263, 19.3263) * CHOOSE(CONTROL!$C$21, $C$9, 100%, $E$9)</f>
        <v>19.3263</v>
      </c>
      <c r="P416" s="14">
        <f>CHOOSE(CONTROL!$C$42, 19.1235, 19.1235) * CHOOSE(CONTROL!$C$21, $C$9, 100%, $E$9)</f>
        <v>19.1235</v>
      </c>
      <c r="Q416" s="14">
        <f>CHOOSE(CONTROL!$C$42, 19.921, 19.921) * CHOOSE(CONTROL!$C$21, $C$9, 100%, $E$9)</f>
        <v>19.920999999999999</v>
      </c>
      <c r="R416" s="14">
        <f>CHOOSE(CONTROL!$C$42, 20.5578, 20.5578) * CHOOSE(CONTROL!$C$21, $C$9, 100%, $E$9)</f>
        <v>20.5578</v>
      </c>
      <c r="S416" s="14">
        <f>CHOOSE(CONTROL!$C$42, 18.6166, 18.6166) * CHOOSE(CONTROL!$C$21, $C$9, 100%, $E$9)</f>
        <v>18.616599999999998</v>
      </c>
      <c r="T4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16" s="56">
        <f>(1000*CHOOSE(CONTROL!$C$42, 695, 695)*CHOOSE(CONTROL!$C$42, 0.5599, 0.5599)*CHOOSE(CONTROL!$C$42, 31, 31))/1000000</f>
        <v>12.063045499999998</v>
      </c>
      <c r="V416" s="56">
        <f>(1000*CHOOSE(CONTROL!$C$42, 500, 500)*CHOOSE(CONTROL!$C$42, 0.275, 0.275)*CHOOSE(CONTROL!$C$42, 31, 31))/1000000</f>
        <v>4.2625000000000002</v>
      </c>
      <c r="W416" s="56">
        <f>(1000*CHOOSE(CONTROL!$C$42, 0.1146, 0.1146)*CHOOSE(CONTROL!$C$42, 121.5, 121.5)*CHOOSE(CONTROL!$C$42, 31, 31))/1000000</f>
        <v>0.43164089999999994</v>
      </c>
      <c r="X416" s="56">
        <f>(31*0.1790888*245000/1000000)+(31*0.2374*100000/1000000)</f>
        <v>2.0961194359999999</v>
      </c>
      <c r="Y416" s="56"/>
      <c r="Z416" s="14"/>
      <c r="AA416" s="55"/>
      <c r="AB416" s="49">
        <f>(B416*194.205+C416*267.466+D416*133.845+E416*53.484+F416*40+G416*185+H416*0+I416*100+J416*300)/(194.205+267.466+133.845+53.484+0+40+185+100+300)</f>
        <v>19.44397711923077</v>
      </c>
      <c r="AC416" s="45">
        <f>(M416*'RAP TEMPLATE-GAS AVAILABILITY'!O415+N416*'RAP TEMPLATE-GAS AVAILABILITY'!P415+O416*'RAP TEMPLATE-GAS AVAILABILITY'!Q415+P416*'RAP TEMPLATE-GAS AVAILABILITY'!R415)/('RAP TEMPLATE-GAS AVAILABILITY'!O415+'RAP TEMPLATE-GAS AVAILABILITY'!P415+'RAP TEMPLATE-GAS AVAILABILITY'!Q415+'RAP TEMPLATE-GAS AVAILABILITY'!R415)</f>
        <v>19.147341726618706</v>
      </c>
    </row>
    <row r="417" spans="1:29" ht="15.75" x14ac:dyDescent="0.25">
      <c r="A417" s="33">
        <v>53600</v>
      </c>
      <c r="B417" s="14">
        <f>CHOOSE(CONTROL!$C$42, 18.155, 18.155) * CHOOSE(CONTROL!$C$21, $C$9, 100%, $E$9)</f>
        <v>18.155000000000001</v>
      </c>
      <c r="C417" s="14">
        <f>CHOOSE(CONTROL!$C$42, 18.163, 18.163) * CHOOSE(CONTROL!$C$21, $C$9, 100%, $E$9)</f>
        <v>18.163</v>
      </c>
      <c r="D417" s="14">
        <f>CHOOSE(CONTROL!$C$42, 18.4221, 18.4221) * CHOOSE(CONTROL!$C$21, $C$9, 100%, $E$9)</f>
        <v>18.4221</v>
      </c>
      <c r="E417" s="14">
        <f>CHOOSE(CONTROL!$C$42, 18.4536, 18.4536) * CHOOSE(CONTROL!$C$21, $C$9, 100%, $E$9)</f>
        <v>18.453600000000002</v>
      </c>
      <c r="F417" s="14">
        <f>CHOOSE(CONTROL!$C$42, 18.1775, 18.1775)*CHOOSE(CONTROL!$C$21, $C$9, 100%, $E$9)</f>
        <v>18.177499999999998</v>
      </c>
      <c r="G417" s="14">
        <f>CHOOSE(CONTROL!$C$42, 18.1947, 18.1947)*CHOOSE(CONTROL!$C$21, $C$9, 100%, $E$9)</f>
        <v>18.194700000000001</v>
      </c>
      <c r="H417" s="14">
        <f>CHOOSE(CONTROL!$C$42, 18.4422, 18.4422) * CHOOSE(CONTROL!$C$21, $C$9, 100%, $E$9)</f>
        <v>18.4422</v>
      </c>
      <c r="I417" s="14">
        <f>CHOOSE(CONTROL!$C$42, 18.233, 18.233)* CHOOSE(CONTROL!$C$21, $C$9, 100%, $E$9)</f>
        <v>18.233000000000001</v>
      </c>
      <c r="J417" s="14">
        <f>CHOOSE(CONTROL!$C$42, 18.1705, 18.1705)* CHOOSE(CONTROL!$C$21, $C$9, 100%, $E$9)</f>
        <v>18.170500000000001</v>
      </c>
      <c r="K417" s="52">
        <f>CHOOSE(CONTROL!$C$42, 18.2291, 18.2291) * CHOOSE(CONTROL!$C$21, $C$9, 100%, $E$9)</f>
        <v>18.229099999999999</v>
      </c>
      <c r="L417" s="14">
        <f>CHOOSE(CONTROL!$C$42, 19.0292, 19.0292) * CHOOSE(CONTROL!$C$21, $C$9, 100%, $E$9)</f>
        <v>19.029199999999999</v>
      </c>
      <c r="M417" s="14">
        <f>CHOOSE(CONTROL!$C$42, 17.8513, 17.8513) * CHOOSE(CONTROL!$C$21, $C$9, 100%, $E$9)</f>
        <v>17.851299999999998</v>
      </c>
      <c r="N417" s="14">
        <f>CHOOSE(CONTROL!$C$42, 17.8683, 17.8683) * CHOOSE(CONTROL!$C$21, $C$9, 100%, $E$9)</f>
        <v>17.868300000000001</v>
      </c>
      <c r="O417" s="14">
        <f>CHOOSE(CONTROL!$C$42, 18.1182, 18.1182) * CHOOSE(CONTROL!$C$21, $C$9, 100%, $E$9)</f>
        <v>18.118200000000002</v>
      </c>
      <c r="P417" s="14">
        <f>CHOOSE(CONTROL!$C$42, 17.9118, 17.9118) * CHOOSE(CONTROL!$C$21, $C$9, 100%, $E$9)</f>
        <v>17.911799999999999</v>
      </c>
      <c r="Q417" s="14">
        <f>CHOOSE(CONTROL!$C$42, 18.7129, 18.7129) * CHOOSE(CONTROL!$C$21, $C$9, 100%, $E$9)</f>
        <v>18.712900000000001</v>
      </c>
      <c r="R417" s="14">
        <f>CHOOSE(CONTROL!$C$42, 19.3467, 19.3467) * CHOOSE(CONTROL!$C$21, $C$9, 100%, $E$9)</f>
        <v>19.346699999999998</v>
      </c>
      <c r="S417" s="14">
        <f>CHOOSE(CONTROL!$C$42, 17.4345, 17.4345) * CHOOSE(CONTROL!$C$21, $C$9, 100%, $E$9)</f>
        <v>17.4345</v>
      </c>
      <c r="T4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17" s="56">
        <f>(1000*CHOOSE(CONTROL!$C$42, 695, 695)*CHOOSE(CONTROL!$C$42, 0.5599, 0.5599)*CHOOSE(CONTROL!$C$42, 30, 30))/1000000</f>
        <v>11.673914999999997</v>
      </c>
      <c r="V417" s="56">
        <f>(1000*CHOOSE(CONTROL!$C$42, 500, 500)*CHOOSE(CONTROL!$C$42, 0.275, 0.275)*CHOOSE(CONTROL!$C$42, 30, 30))/1000000</f>
        <v>4.125</v>
      </c>
      <c r="W417" s="56">
        <f>(1000*CHOOSE(CONTROL!$C$42, 0.1146, 0.1146)*CHOOSE(CONTROL!$C$42, 121.5, 121.5)*CHOOSE(CONTROL!$C$42, 30, 30))/1000000</f>
        <v>0.417717</v>
      </c>
      <c r="X417" s="56">
        <f>(30*0.1790888*245000/1000000)+(30*0.2374*100000/1000000)</f>
        <v>2.0285026799999999</v>
      </c>
      <c r="Y417" s="56"/>
      <c r="Z417" s="14"/>
      <c r="AA417" s="55"/>
      <c r="AB417" s="49">
        <f>(B417*194.205+C417*267.466+D417*133.845+E417*53.484+F417*40+G417*185+H417*0+I417*100+J417*300)/(194.205+267.466+133.845+53.484+0+40+185+100+300)</f>
        <v>18.213520054866567</v>
      </c>
      <c r="AC417" s="45">
        <f>(M417*'RAP TEMPLATE-GAS AVAILABILITY'!O416+N417*'RAP TEMPLATE-GAS AVAILABILITY'!P416+O417*'RAP TEMPLATE-GAS AVAILABILITY'!Q416+P417*'RAP TEMPLATE-GAS AVAILABILITY'!R416)/('RAP TEMPLATE-GAS AVAILABILITY'!O416+'RAP TEMPLATE-GAS AVAILABILITY'!P416+'RAP TEMPLATE-GAS AVAILABILITY'!Q416+'RAP TEMPLATE-GAS AVAILABILITY'!R416)</f>
        <v>17.938804316546765</v>
      </c>
    </row>
    <row r="418" spans="1:29" ht="15.75" x14ac:dyDescent="0.25">
      <c r="A418" s="33">
        <v>53631</v>
      </c>
      <c r="B418" s="14">
        <f>CHOOSE(CONTROL!$C$42, 17.7849, 17.7849) * CHOOSE(CONTROL!$C$21, $C$9, 100%, $E$9)</f>
        <v>17.7849</v>
      </c>
      <c r="C418" s="14">
        <f>CHOOSE(CONTROL!$C$42, 17.7902, 17.7902) * CHOOSE(CONTROL!$C$21, $C$9, 100%, $E$9)</f>
        <v>17.790199999999999</v>
      </c>
      <c r="D418" s="14">
        <f>CHOOSE(CONTROL!$C$42, 18.0542, 18.0542) * CHOOSE(CONTROL!$C$21, $C$9, 100%, $E$9)</f>
        <v>18.054200000000002</v>
      </c>
      <c r="E418" s="14">
        <f>CHOOSE(CONTROL!$C$42, 18.0834, 18.0834) * CHOOSE(CONTROL!$C$21, $C$9, 100%, $E$9)</f>
        <v>18.083400000000001</v>
      </c>
      <c r="F418" s="14">
        <f>CHOOSE(CONTROL!$C$42, 17.8095, 17.8095)*CHOOSE(CONTROL!$C$21, $C$9, 100%, $E$9)</f>
        <v>17.8095</v>
      </c>
      <c r="G418" s="14">
        <f>CHOOSE(CONTROL!$C$42, 17.8266, 17.8266)*CHOOSE(CONTROL!$C$21, $C$9, 100%, $E$9)</f>
        <v>17.826599999999999</v>
      </c>
      <c r="H418" s="14">
        <f>CHOOSE(CONTROL!$C$42, 18.0738, 18.0738) * CHOOSE(CONTROL!$C$21, $C$9, 100%, $E$9)</f>
        <v>18.073799999999999</v>
      </c>
      <c r="I418" s="14">
        <f>CHOOSE(CONTROL!$C$42, 17.8634, 17.8634)* CHOOSE(CONTROL!$C$21, $C$9, 100%, $E$9)</f>
        <v>17.863399999999999</v>
      </c>
      <c r="J418" s="14">
        <f>CHOOSE(CONTROL!$C$42, 17.8025, 17.8025)* CHOOSE(CONTROL!$C$21, $C$9, 100%, $E$9)</f>
        <v>17.802499999999998</v>
      </c>
      <c r="K418" s="52">
        <f>CHOOSE(CONTROL!$C$42, 17.8595, 17.8595) * CHOOSE(CONTROL!$C$21, $C$9, 100%, $E$9)</f>
        <v>17.859500000000001</v>
      </c>
      <c r="L418" s="14">
        <f>CHOOSE(CONTROL!$C$42, 18.6608, 18.6608) * CHOOSE(CONTROL!$C$21, $C$9, 100%, $E$9)</f>
        <v>18.660799999999998</v>
      </c>
      <c r="M418" s="14">
        <f>CHOOSE(CONTROL!$C$42, 17.49, 17.49) * CHOOSE(CONTROL!$C$21, $C$9, 100%, $E$9)</f>
        <v>17.489999999999998</v>
      </c>
      <c r="N418" s="14">
        <f>CHOOSE(CONTROL!$C$42, 17.5068, 17.5068) * CHOOSE(CONTROL!$C$21, $C$9, 100%, $E$9)</f>
        <v>17.506799999999998</v>
      </c>
      <c r="O418" s="14">
        <f>CHOOSE(CONTROL!$C$42, 17.7564, 17.7564) * CHOOSE(CONTROL!$C$21, $C$9, 100%, $E$9)</f>
        <v>17.756399999999999</v>
      </c>
      <c r="P418" s="14">
        <f>CHOOSE(CONTROL!$C$42, 17.5489, 17.5489) * CHOOSE(CONTROL!$C$21, $C$9, 100%, $E$9)</f>
        <v>17.5489</v>
      </c>
      <c r="Q418" s="14">
        <f>CHOOSE(CONTROL!$C$42, 18.3511, 18.3511) * CHOOSE(CONTROL!$C$21, $C$9, 100%, $E$9)</f>
        <v>18.351099999999999</v>
      </c>
      <c r="R418" s="14">
        <f>CHOOSE(CONTROL!$C$42, 18.984, 18.984) * CHOOSE(CONTROL!$C$21, $C$9, 100%, $E$9)</f>
        <v>18.984000000000002</v>
      </c>
      <c r="S418" s="14">
        <f>CHOOSE(CONTROL!$C$42, 17.0805, 17.0805) * CHOOSE(CONTROL!$C$21, $C$9, 100%, $E$9)</f>
        <v>17.080500000000001</v>
      </c>
      <c r="T4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18" s="56">
        <f>(1000*CHOOSE(CONTROL!$C$42, 695, 695)*CHOOSE(CONTROL!$C$42, 0.5599, 0.5599)*CHOOSE(CONTROL!$C$42, 31, 31))/1000000</f>
        <v>12.063045499999998</v>
      </c>
      <c r="V418" s="56">
        <f>(1000*CHOOSE(CONTROL!$C$42, 500, 500)*CHOOSE(CONTROL!$C$42, 0.275, 0.275)*CHOOSE(CONTROL!$C$42, 31, 31))/1000000</f>
        <v>4.2625000000000002</v>
      </c>
      <c r="W418" s="56">
        <f>(1000*CHOOSE(CONTROL!$C$42, 0.1146, 0.1146)*CHOOSE(CONTROL!$C$42, 121.5, 121.5)*CHOOSE(CONTROL!$C$42, 31, 31))/1000000</f>
        <v>0.43164089999999994</v>
      </c>
      <c r="X418" s="56">
        <f>(31*0.1790888*245000/1000000)+(31*0.2374*100000/1000000)</f>
        <v>2.0961194359999999</v>
      </c>
      <c r="Y418" s="56"/>
      <c r="Z418" s="14"/>
      <c r="AA418" s="55"/>
      <c r="AB418" s="49">
        <f>(B418*131.881+C418*277.167+D418*79.08+E418*125.872+F418*40+G418*185+H418*0+I418*100+J418*300)/(131.881+277.167+79.08+125.872+0+40+185+100+300)</f>
        <v>17.851216804761901</v>
      </c>
      <c r="AC418" s="45">
        <f>(M418*'RAP TEMPLATE-GAS AVAILABILITY'!O417+N418*'RAP TEMPLATE-GAS AVAILABILITY'!P417+O418*'RAP TEMPLATE-GAS AVAILABILITY'!Q417+P418*'RAP TEMPLATE-GAS AVAILABILITY'!R417)/('RAP TEMPLATE-GAS AVAILABILITY'!O417+'RAP TEMPLATE-GAS AVAILABILITY'!P417+'RAP TEMPLATE-GAS AVAILABILITY'!Q417+'RAP TEMPLATE-GAS AVAILABILITY'!R417)</f>
        <v>17.577087769784171</v>
      </c>
    </row>
    <row r="419" spans="1:29" ht="15.75" x14ac:dyDescent="0.25">
      <c r="A419" s="33">
        <v>53661</v>
      </c>
      <c r="B419" s="14">
        <f>CHOOSE(CONTROL!$C$42, 18.2527, 18.2527) * CHOOSE(CONTROL!$C$21, $C$9, 100%, $E$9)</f>
        <v>18.252700000000001</v>
      </c>
      <c r="C419" s="14">
        <f>CHOOSE(CONTROL!$C$42, 18.2578, 18.2578) * CHOOSE(CONTROL!$C$21, $C$9, 100%, $E$9)</f>
        <v>18.2578</v>
      </c>
      <c r="D419" s="14">
        <f>CHOOSE(CONTROL!$C$42, 18.3409, 18.3409) * CHOOSE(CONTROL!$C$21, $C$9, 100%, $E$9)</f>
        <v>18.340900000000001</v>
      </c>
      <c r="E419" s="14">
        <f>CHOOSE(CONTROL!$C$42, 18.375, 18.375) * CHOOSE(CONTROL!$C$21, $C$9, 100%, $E$9)</f>
        <v>18.375</v>
      </c>
      <c r="F419" s="14">
        <f>CHOOSE(CONTROL!$C$42, 18.2803, 18.2803)*CHOOSE(CONTROL!$C$21, $C$9, 100%, $E$9)</f>
        <v>18.2803</v>
      </c>
      <c r="G419" s="14">
        <f>CHOOSE(CONTROL!$C$42, 18.2977, 18.2977)*CHOOSE(CONTROL!$C$21, $C$9, 100%, $E$9)</f>
        <v>18.297699999999999</v>
      </c>
      <c r="H419" s="14">
        <f>CHOOSE(CONTROL!$C$42, 18.3642, 18.3642) * CHOOSE(CONTROL!$C$21, $C$9, 100%, $E$9)</f>
        <v>18.3642</v>
      </c>
      <c r="I419" s="14">
        <f>CHOOSE(CONTROL!$C$42, 18.3295, 18.3295)* CHOOSE(CONTROL!$C$21, $C$9, 100%, $E$9)</f>
        <v>18.329499999999999</v>
      </c>
      <c r="J419" s="14">
        <f>CHOOSE(CONTROL!$C$42, 18.2733, 18.2733)* CHOOSE(CONTROL!$C$21, $C$9, 100%, $E$9)</f>
        <v>18.273299999999999</v>
      </c>
      <c r="K419" s="52">
        <f>CHOOSE(CONTROL!$C$42, 18.3256, 18.3256) * CHOOSE(CONTROL!$C$21, $C$9, 100%, $E$9)</f>
        <v>18.325600000000001</v>
      </c>
      <c r="L419" s="14">
        <f>CHOOSE(CONTROL!$C$42, 18.9512, 18.9512) * CHOOSE(CONTROL!$C$21, $C$9, 100%, $E$9)</f>
        <v>18.9512</v>
      </c>
      <c r="M419" s="14">
        <f>CHOOSE(CONTROL!$C$42, 17.9524, 17.9524) * CHOOSE(CONTROL!$C$21, $C$9, 100%, $E$9)</f>
        <v>17.952400000000001</v>
      </c>
      <c r="N419" s="14">
        <f>CHOOSE(CONTROL!$C$42, 17.9694, 17.9694) * CHOOSE(CONTROL!$C$21, $C$9, 100%, $E$9)</f>
        <v>17.9694</v>
      </c>
      <c r="O419" s="14">
        <f>CHOOSE(CONTROL!$C$42, 18.0415, 18.0415) * CHOOSE(CONTROL!$C$21, $C$9, 100%, $E$9)</f>
        <v>18.041499999999999</v>
      </c>
      <c r="P419" s="14">
        <f>CHOOSE(CONTROL!$C$42, 18.0066, 18.0066) * CHOOSE(CONTROL!$C$21, $C$9, 100%, $E$9)</f>
        <v>18.006599999999999</v>
      </c>
      <c r="Q419" s="14">
        <f>CHOOSE(CONTROL!$C$42, 18.6362, 18.6362) * CHOOSE(CONTROL!$C$21, $C$9, 100%, $E$9)</f>
        <v>18.636199999999999</v>
      </c>
      <c r="R419" s="14">
        <f>CHOOSE(CONTROL!$C$42, 19.2698, 19.2698) * CHOOSE(CONTROL!$C$21, $C$9, 100%, $E$9)</f>
        <v>19.2698</v>
      </c>
      <c r="S419" s="14">
        <f>CHOOSE(CONTROL!$C$42, 17.5305, 17.5305) * CHOOSE(CONTROL!$C$21, $C$9, 100%, $E$9)</f>
        <v>17.5305</v>
      </c>
      <c r="T4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19" s="56">
        <f>(1000*CHOOSE(CONTROL!$C$42, 695, 695)*CHOOSE(CONTROL!$C$42, 0.5599, 0.5599)*CHOOSE(CONTROL!$C$42, 30, 30))/1000000</f>
        <v>11.673914999999997</v>
      </c>
      <c r="V419" s="56">
        <f>(1000*CHOOSE(CONTROL!$C$42, 500, 500)*CHOOSE(CONTROL!$C$42, 0.275, 0.275)*CHOOSE(CONTROL!$C$42, 30, 30))/1000000</f>
        <v>4.125</v>
      </c>
      <c r="W419" s="56">
        <f>(1000*CHOOSE(CONTROL!$C$42, 0.1146, 0.1146)*CHOOSE(CONTROL!$C$42, 121.5, 121.5)*CHOOSE(CONTROL!$C$42, 30, 30))/1000000</f>
        <v>0.417717</v>
      </c>
      <c r="X419" s="56">
        <f>(30*0.1790888*100000/1000000)+(30*0.2374*100000/1000000)</f>
        <v>1.2494664</v>
      </c>
      <c r="Y419" s="56"/>
      <c r="Z419" s="14"/>
      <c r="AA419" s="55"/>
      <c r="AB419" s="49">
        <f>(B419*122.58+C419*297.941+D419*89.177+E419*40.302+F419*40+G419*160+H419*0+I419*100+J419*300)/(122.58+297.941+89.177+40.302+0+40+160+100+300)</f>
        <v>18.284419865304347</v>
      </c>
      <c r="AC419" s="45">
        <f>(M419*'RAP TEMPLATE-GAS AVAILABILITY'!O418+N419*'RAP TEMPLATE-GAS AVAILABILITY'!P418+O419*'RAP TEMPLATE-GAS AVAILABILITY'!Q418+P419*'RAP TEMPLATE-GAS AVAILABILITY'!R418)/('RAP TEMPLATE-GAS AVAILABILITY'!O418+'RAP TEMPLATE-GAS AVAILABILITY'!P418+'RAP TEMPLATE-GAS AVAILABILITY'!Q418+'RAP TEMPLATE-GAS AVAILABILITY'!R418)</f>
        <v>18.001560431654674</v>
      </c>
    </row>
    <row r="420" spans="1:29" ht="15.75" x14ac:dyDescent="0.25">
      <c r="A420" s="33">
        <v>53692</v>
      </c>
      <c r="B420" s="14">
        <f>CHOOSE(CONTROL!$C$42, 19.4965, 19.4965) * CHOOSE(CONTROL!$C$21, $C$9, 100%, $E$9)</f>
        <v>19.496500000000001</v>
      </c>
      <c r="C420" s="14">
        <f>CHOOSE(CONTROL!$C$42, 19.5016, 19.5016) * CHOOSE(CONTROL!$C$21, $C$9, 100%, $E$9)</f>
        <v>19.5016</v>
      </c>
      <c r="D420" s="14">
        <f>CHOOSE(CONTROL!$C$42, 19.5847, 19.5847) * CHOOSE(CONTROL!$C$21, $C$9, 100%, $E$9)</f>
        <v>19.584700000000002</v>
      </c>
      <c r="E420" s="14">
        <f>CHOOSE(CONTROL!$C$42, 19.6188, 19.6188) * CHOOSE(CONTROL!$C$21, $C$9, 100%, $E$9)</f>
        <v>19.6188</v>
      </c>
      <c r="F420" s="14">
        <f>CHOOSE(CONTROL!$C$42, 19.5266, 19.5266)*CHOOSE(CONTROL!$C$21, $C$9, 100%, $E$9)</f>
        <v>19.526599999999998</v>
      </c>
      <c r="G420" s="14">
        <f>CHOOSE(CONTROL!$C$42, 19.5446, 19.5446)*CHOOSE(CONTROL!$C$21, $C$9, 100%, $E$9)</f>
        <v>19.544599999999999</v>
      </c>
      <c r="H420" s="14">
        <f>CHOOSE(CONTROL!$C$42, 19.608, 19.608) * CHOOSE(CONTROL!$C$21, $C$9, 100%, $E$9)</f>
        <v>19.608000000000001</v>
      </c>
      <c r="I420" s="14">
        <f>CHOOSE(CONTROL!$C$42, 19.5772, 19.5772)* CHOOSE(CONTROL!$C$21, $C$9, 100%, $E$9)</f>
        <v>19.577200000000001</v>
      </c>
      <c r="J420" s="14">
        <f>CHOOSE(CONTROL!$C$42, 19.5196, 19.5196)* CHOOSE(CONTROL!$C$21, $C$9, 100%, $E$9)</f>
        <v>19.519600000000001</v>
      </c>
      <c r="K420" s="52">
        <f>CHOOSE(CONTROL!$C$42, 19.5733, 19.5733) * CHOOSE(CONTROL!$C$21, $C$9, 100%, $E$9)</f>
        <v>19.5733</v>
      </c>
      <c r="L420" s="14">
        <f>CHOOSE(CONTROL!$C$42, 20.195, 20.195) * CHOOSE(CONTROL!$C$21, $C$9, 100%, $E$9)</f>
        <v>20.195</v>
      </c>
      <c r="M420" s="14">
        <f>CHOOSE(CONTROL!$C$42, 19.1762, 19.1762) * CHOOSE(CONTROL!$C$21, $C$9, 100%, $E$9)</f>
        <v>19.176200000000001</v>
      </c>
      <c r="N420" s="14">
        <f>CHOOSE(CONTROL!$C$42, 19.1939, 19.1939) * CHOOSE(CONTROL!$C$21, $C$9, 100%, $E$9)</f>
        <v>19.193899999999999</v>
      </c>
      <c r="O420" s="14">
        <f>CHOOSE(CONTROL!$C$42, 19.263, 19.263) * CHOOSE(CONTROL!$C$21, $C$9, 100%, $E$9)</f>
        <v>19.263000000000002</v>
      </c>
      <c r="P420" s="14">
        <f>CHOOSE(CONTROL!$C$42, 19.2318, 19.2318) * CHOOSE(CONTROL!$C$21, $C$9, 100%, $E$9)</f>
        <v>19.2318</v>
      </c>
      <c r="Q420" s="14">
        <f>CHOOSE(CONTROL!$C$42, 19.8577, 19.8577) * CHOOSE(CONTROL!$C$21, $C$9, 100%, $E$9)</f>
        <v>19.857700000000001</v>
      </c>
      <c r="R420" s="14">
        <f>CHOOSE(CONTROL!$C$42, 20.4943, 20.4943) * CHOOSE(CONTROL!$C$21, $C$9, 100%, $E$9)</f>
        <v>20.494299999999999</v>
      </c>
      <c r="S420" s="14">
        <f>CHOOSE(CONTROL!$C$42, 18.7257, 18.7257) * CHOOSE(CONTROL!$C$21, $C$9, 100%, $E$9)</f>
        <v>18.7257</v>
      </c>
      <c r="T4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20" s="56">
        <f>(1000*CHOOSE(CONTROL!$C$42, 695, 695)*CHOOSE(CONTROL!$C$42, 0.5599, 0.5599)*CHOOSE(CONTROL!$C$42, 31, 31))/1000000</f>
        <v>12.063045499999998</v>
      </c>
      <c r="V420" s="56">
        <f>(1000*CHOOSE(CONTROL!$C$42, 500, 500)*CHOOSE(CONTROL!$C$42, 0.275, 0.275)*CHOOSE(CONTROL!$C$42, 31, 31))/1000000</f>
        <v>4.2625000000000002</v>
      </c>
      <c r="W420" s="56">
        <f>(1000*CHOOSE(CONTROL!$C$42, 0.1146, 0.1146)*CHOOSE(CONTROL!$C$42, 121.5, 121.5)*CHOOSE(CONTROL!$C$42, 31, 31))/1000000</f>
        <v>0.43164089999999994</v>
      </c>
      <c r="X420" s="56">
        <f>(31*0.1790888*100000/1000000)+(31*0.2374*100000/1000000)</f>
        <v>1.2911152800000001</v>
      </c>
      <c r="Y420" s="56"/>
      <c r="Z420" s="14"/>
      <c r="AA420" s="55"/>
      <c r="AB420" s="49">
        <f>(B420*122.58+C420*297.941+D420*89.177+E420*40.302+F420*40+G420*160+H420*0+I420*100+J420*300)/(122.58+297.941+89.177+40.302+0+40+160+100+300)</f>
        <v>19.529729430521744</v>
      </c>
      <c r="AC420" s="45">
        <f>(M420*'RAP TEMPLATE-GAS AVAILABILITY'!O419+N420*'RAP TEMPLATE-GAS AVAILABILITY'!P419+O420*'RAP TEMPLATE-GAS AVAILABILITY'!Q419+P420*'RAP TEMPLATE-GAS AVAILABILITY'!R419)/('RAP TEMPLATE-GAS AVAILABILITY'!O419+'RAP TEMPLATE-GAS AVAILABILITY'!P419+'RAP TEMPLATE-GAS AVAILABILITY'!Q419+'RAP TEMPLATE-GAS AVAILABILITY'!R419)</f>
        <v>19.224559712230217</v>
      </c>
    </row>
    <row r="421" spans="1:29" ht="15.75" x14ac:dyDescent="0.25">
      <c r="A421" s="33">
        <v>53723</v>
      </c>
      <c r="B421" s="14">
        <f>CHOOSE(CONTROL!$C$42, 21.112, 21.112) * CHOOSE(CONTROL!$C$21, $C$9, 100%, $E$9)</f>
        <v>21.111999999999998</v>
      </c>
      <c r="C421" s="14">
        <f>CHOOSE(CONTROL!$C$42, 21.1171, 21.1171) * CHOOSE(CONTROL!$C$21, $C$9, 100%, $E$9)</f>
        <v>21.117100000000001</v>
      </c>
      <c r="D421" s="14">
        <f>CHOOSE(CONTROL!$C$42, 21.2105, 21.2105) * CHOOSE(CONTROL!$C$21, $C$9, 100%, $E$9)</f>
        <v>21.2105</v>
      </c>
      <c r="E421" s="14">
        <f>CHOOSE(CONTROL!$C$42, 21.2447, 21.2447) * CHOOSE(CONTROL!$C$21, $C$9, 100%, $E$9)</f>
        <v>21.244700000000002</v>
      </c>
      <c r="F421" s="14">
        <f>CHOOSE(CONTROL!$C$42, 21.1393, 21.1393)*CHOOSE(CONTROL!$C$21, $C$9, 100%, $E$9)</f>
        <v>21.139299999999999</v>
      </c>
      <c r="G421" s="14">
        <f>CHOOSE(CONTROL!$C$42, 21.1573, 21.1573)*CHOOSE(CONTROL!$C$21, $C$9, 100%, $E$9)</f>
        <v>21.157299999999999</v>
      </c>
      <c r="H421" s="14">
        <f>CHOOSE(CONTROL!$C$42, 21.2338, 21.2338) * CHOOSE(CONTROL!$C$21, $C$9, 100%, $E$9)</f>
        <v>21.233799999999999</v>
      </c>
      <c r="I421" s="14">
        <f>CHOOSE(CONTROL!$C$42, 21.204, 21.204)* CHOOSE(CONTROL!$C$21, $C$9, 100%, $E$9)</f>
        <v>21.204000000000001</v>
      </c>
      <c r="J421" s="14">
        <f>CHOOSE(CONTROL!$C$42, 21.1323, 21.1323)* CHOOSE(CONTROL!$C$21, $C$9, 100%, $E$9)</f>
        <v>21.132300000000001</v>
      </c>
      <c r="K421" s="52">
        <f>CHOOSE(CONTROL!$C$42, 21.2001, 21.2001) * CHOOSE(CONTROL!$C$21, $C$9, 100%, $E$9)</f>
        <v>21.200099999999999</v>
      </c>
      <c r="L421" s="14">
        <f>CHOOSE(CONTROL!$C$42, 21.8208, 21.8208) * CHOOSE(CONTROL!$C$21, $C$9, 100%, $E$9)</f>
        <v>21.820799999999998</v>
      </c>
      <c r="M421" s="14">
        <f>CHOOSE(CONTROL!$C$42, 20.7599, 20.7599) * CHOOSE(CONTROL!$C$21, $C$9, 100%, $E$9)</f>
        <v>20.759899999999998</v>
      </c>
      <c r="N421" s="14">
        <f>CHOOSE(CONTROL!$C$42, 20.7775, 20.7775) * CHOOSE(CONTROL!$C$21, $C$9, 100%, $E$9)</f>
        <v>20.7775</v>
      </c>
      <c r="O421" s="14">
        <f>CHOOSE(CONTROL!$C$42, 20.8596, 20.8596) * CHOOSE(CONTROL!$C$21, $C$9, 100%, $E$9)</f>
        <v>20.8596</v>
      </c>
      <c r="P421" s="14">
        <f>CHOOSE(CONTROL!$C$42, 20.8292, 20.8292) * CHOOSE(CONTROL!$C$21, $C$9, 100%, $E$9)</f>
        <v>20.8292</v>
      </c>
      <c r="Q421" s="14">
        <f>CHOOSE(CONTROL!$C$42, 21.4543, 21.4543) * CHOOSE(CONTROL!$C$21, $C$9, 100%, $E$9)</f>
        <v>21.4543</v>
      </c>
      <c r="R421" s="14">
        <f>CHOOSE(CONTROL!$C$42, 22.0949, 22.0949) * CHOOSE(CONTROL!$C$21, $C$9, 100%, $E$9)</f>
        <v>22.094899999999999</v>
      </c>
      <c r="S421" s="14">
        <f>CHOOSE(CONTROL!$C$42, 20.278, 20.278) * CHOOSE(CONTROL!$C$21, $C$9, 100%, $E$9)</f>
        <v>20.277999999999999</v>
      </c>
      <c r="T4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21" s="56">
        <f>(1000*CHOOSE(CONTROL!$C$42, 695, 695)*CHOOSE(CONTROL!$C$42, 0.5599, 0.5599)*CHOOSE(CONTROL!$C$42, 31, 31))/1000000</f>
        <v>12.063045499999998</v>
      </c>
      <c r="V421" s="56">
        <f>(1000*CHOOSE(CONTROL!$C$42, 500, 500)*CHOOSE(CONTROL!$C$42, 0.275, 0.275)*CHOOSE(CONTROL!$C$42, 31, 31))/1000000</f>
        <v>4.2625000000000002</v>
      </c>
      <c r="W421" s="56">
        <f>(1000*CHOOSE(CONTROL!$C$42, 0.1146, 0.1146)*CHOOSE(CONTROL!$C$42, 121.5, 121.5)*CHOOSE(CONTROL!$C$42, 31, 31))/1000000</f>
        <v>0.43164089999999994</v>
      </c>
      <c r="X421" s="56">
        <f>(31*0.1790888*100000/1000000)+(31*0.2374*100000/1000000)</f>
        <v>1.2911152800000001</v>
      </c>
      <c r="Y421" s="56"/>
      <c r="Z421" s="14"/>
      <c r="AA421" s="55"/>
      <c r="AB421" s="49">
        <f>(B421*122.58+C421*297.941+D421*89.177+E421*40.302+F421*40+G421*160+H421*0+I421*100+J421*300)/(122.58+297.941+89.177+40.302+0+40+160+100+300)</f>
        <v>21.14615783391304</v>
      </c>
      <c r="AC421" s="45">
        <f>(M421*'RAP TEMPLATE-GAS AVAILABILITY'!O420+N421*'RAP TEMPLATE-GAS AVAILABILITY'!P420+O421*'RAP TEMPLATE-GAS AVAILABILITY'!Q420+P421*'RAP TEMPLATE-GAS AVAILABILITY'!R420)/('RAP TEMPLATE-GAS AVAILABILITY'!O420+'RAP TEMPLATE-GAS AVAILABILITY'!P420+'RAP TEMPLATE-GAS AVAILABILITY'!Q420+'RAP TEMPLATE-GAS AVAILABILITY'!R420)</f>
        <v>20.816071942446044</v>
      </c>
    </row>
    <row r="422" spans="1:29" ht="15.75" x14ac:dyDescent="0.25">
      <c r="A422" s="33">
        <v>53751</v>
      </c>
      <c r="B422" s="14">
        <f>CHOOSE(CONTROL!$C$42, 21.4877, 21.4877) * CHOOSE(CONTROL!$C$21, $C$9, 100%, $E$9)</f>
        <v>21.4877</v>
      </c>
      <c r="C422" s="14">
        <f>CHOOSE(CONTROL!$C$42, 21.4927, 21.4927) * CHOOSE(CONTROL!$C$21, $C$9, 100%, $E$9)</f>
        <v>21.492699999999999</v>
      </c>
      <c r="D422" s="14">
        <f>CHOOSE(CONTROL!$C$42, 21.5862, 21.5862) * CHOOSE(CONTROL!$C$21, $C$9, 100%, $E$9)</f>
        <v>21.586200000000002</v>
      </c>
      <c r="E422" s="14">
        <f>CHOOSE(CONTROL!$C$42, 21.6203, 21.6203) * CHOOSE(CONTROL!$C$21, $C$9, 100%, $E$9)</f>
        <v>21.6203</v>
      </c>
      <c r="F422" s="14">
        <f>CHOOSE(CONTROL!$C$42, 21.5146, 21.5146)*CHOOSE(CONTROL!$C$21, $C$9, 100%, $E$9)</f>
        <v>21.514600000000002</v>
      </c>
      <c r="G422" s="14">
        <f>CHOOSE(CONTROL!$C$42, 21.5325, 21.5325)*CHOOSE(CONTROL!$C$21, $C$9, 100%, $E$9)</f>
        <v>21.532499999999999</v>
      </c>
      <c r="H422" s="14">
        <f>CHOOSE(CONTROL!$C$42, 21.6095, 21.6095) * CHOOSE(CONTROL!$C$21, $C$9, 100%, $E$9)</f>
        <v>21.609500000000001</v>
      </c>
      <c r="I422" s="14">
        <f>CHOOSE(CONTROL!$C$42, 21.5809, 21.5809)* CHOOSE(CONTROL!$C$21, $C$9, 100%, $E$9)</f>
        <v>21.5809</v>
      </c>
      <c r="J422" s="14">
        <f>CHOOSE(CONTROL!$C$42, 21.5076, 21.5076)* CHOOSE(CONTROL!$C$21, $C$9, 100%, $E$9)</f>
        <v>21.5076</v>
      </c>
      <c r="K422" s="52">
        <f>CHOOSE(CONTROL!$C$42, 21.577, 21.577) * CHOOSE(CONTROL!$C$21, $C$9, 100%, $E$9)</f>
        <v>21.577000000000002</v>
      </c>
      <c r="L422" s="14">
        <f>CHOOSE(CONTROL!$C$42, 22.1965, 22.1965) * CHOOSE(CONTROL!$C$21, $C$9, 100%, $E$9)</f>
        <v>22.1965</v>
      </c>
      <c r="M422" s="14">
        <f>CHOOSE(CONTROL!$C$42, 21.1284, 21.1284) * CHOOSE(CONTROL!$C$21, $C$9, 100%, $E$9)</f>
        <v>21.128399999999999</v>
      </c>
      <c r="N422" s="14">
        <f>CHOOSE(CONTROL!$C$42, 21.146, 21.146) * CHOOSE(CONTROL!$C$21, $C$9, 100%, $E$9)</f>
        <v>21.146000000000001</v>
      </c>
      <c r="O422" s="14">
        <f>CHOOSE(CONTROL!$C$42, 21.2285, 21.2285) * CHOOSE(CONTROL!$C$21, $C$9, 100%, $E$9)</f>
        <v>21.2285</v>
      </c>
      <c r="P422" s="14">
        <f>CHOOSE(CONTROL!$C$42, 21.1993, 21.1993) * CHOOSE(CONTROL!$C$21, $C$9, 100%, $E$9)</f>
        <v>21.199300000000001</v>
      </c>
      <c r="Q422" s="14">
        <f>CHOOSE(CONTROL!$C$42, 21.8232, 21.8232) * CHOOSE(CONTROL!$C$21, $C$9, 100%, $E$9)</f>
        <v>21.8232</v>
      </c>
      <c r="R422" s="14">
        <f>CHOOSE(CONTROL!$C$42, 22.4648, 22.4648) * CHOOSE(CONTROL!$C$21, $C$9, 100%, $E$9)</f>
        <v>22.4648</v>
      </c>
      <c r="S422" s="14">
        <f>CHOOSE(CONTROL!$C$42, 20.639, 20.639) * CHOOSE(CONTROL!$C$21, $C$9, 100%, $E$9)</f>
        <v>20.638999999999999</v>
      </c>
      <c r="T42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22" s="56">
        <f>(1000*CHOOSE(CONTROL!$C$42, 695, 695)*CHOOSE(CONTROL!$C$42, 0.5599, 0.5599)*CHOOSE(CONTROL!$C$42, 28, 28))/1000000</f>
        <v>10.895653999999999</v>
      </c>
      <c r="V422" s="56">
        <f>(1000*CHOOSE(CONTROL!$C$42, 500, 500)*CHOOSE(CONTROL!$C$42, 0.275, 0.275)*CHOOSE(CONTROL!$C$42, 28, 28))/1000000</f>
        <v>3.85</v>
      </c>
      <c r="W422" s="56">
        <f>(1000*CHOOSE(CONTROL!$C$42, 0.1146, 0.1146)*CHOOSE(CONTROL!$C$42, 121.5, 121.5)*CHOOSE(CONTROL!$C$42, 28, 28))/1000000</f>
        <v>0.38986920000000003</v>
      </c>
      <c r="X422" s="56">
        <f>(28*0.1790888*100000/1000000)+(28*0.2374*100000/1000000)</f>
        <v>1.16616864</v>
      </c>
      <c r="Y422" s="56"/>
      <c r="Z422" s="14"/>
      <c r="AA422" s="55"/>
      <c r="AB422" s="49">
        <f>(B422*122.58+C422*297.941+D422*89.177+E422*40.302+F422*40+G422*160+H422*0+I422*100+J422*300)/(122.58+297.941+89.177+40.302+0+40+160+100+300)</f>
        <v>21.521744943217389</v>
      </c>
      <c r="AC422" s="45">
        <f>(M422*'RAP TEMPLATE-GAS AVAILABILITY'!O421+N422*'RAP TEMPLATE-GAS AVAILABILITY'!P421+O422*'RAP TEMPLATE-GAS AVAILABILITY'!Q421+P422*'RAP TEMPLATE-GAS AVAILABILITY'!R421)/('RAP TEMPLATE-GAS AVAILABILITY'!O421+'RAP TEMPLATE-GAS AVAILABILITY'!P421+'RAP TEMPLATE-GAS AVAILABILITY'!Q421+'RAP TEMPLATE-GAS AVAILABILITY'!R421)</f>
        <v>21.184983453237411</v>
      </c>
    </row>
    <row r="423" spans="1:29" ht="15.75" x14ac:dyDescent="0.25">
      <c r="A423" s="33">
        <v>53782</v>
      </c>
      <c r="B423" s="14">
        <f>CHOOSE(CONTROL!$C$42, 20.8779, 20.8779) * CHOOSE(CONTROL!$C$21, $C$9, 100%, $E$9)</f>
        <v>20.8779</v>
      </c>
      <c r="C423" s="14">
        <f>CHOOSE(CONTROL!$C$42, 20.8829, 20.8829) * CHOOSE(CONTROL!$C$21, $C$9, 100%, $E$9)</f>
        <v>20.882899999999999</v>
      </c>
      <c r="D423" s="14">
        <f>CHOOSE(CONTROL!$C$42, 20.9764, 20.9764) * CHOOSE(CONTROL!$C$21, $C$9, 100%, $E$9)</f>
        <v>20.976400000000002</v>
      </c>
      <c r="E423" s="14">
        <f>CHOOSE(CONTROL!$C$42, 21.0105, 21.0105) * CHOOSE(CONTROL!$C$21, $C$9, 100%, $E$9)</f>
        <v>21.0105</v>
      </c>
      <c r="F423" s="14">
        <f>CHOOSE(CONTROL!$C$42, 20.904, 20.904)*CHOOSE(CONTROL!$C$21, $C$9, 100%, $E$9)</f>
        <v>20.904</v>
      </c>
      <c r="G423" s="14">
        <f>CHOOSE(CONTROL!$C$42, 20.9216, 20.9216)*CHOOSE(CONTROL!$C$21, $C$9, 100%, $E$9)</f>
        <v>20.921600000000002</v>
      </c>
      <c r="H423" s="14">
        <f>CHOOSE(CONTROL!$C$42, 20.9997, 20.9997) * CHOOSE(CONTROL!$C$21, $C$9, 100%, $E$9)</f>
        <v>20.999700000000001</v>
      </c>
      <c r="I423" s="14">
        <f>CHOOSE(CONTROL!$C$42, 20.9692, 20.9692)* CHOOSE(CONTROL!$C$21, $C$9, 100%, $E$9)</f>
        <v>20.969200000000001</v>
      </c>
      <c r="J423" s="14">
        <f>CHOOSE(CONTROL!$C$42, 20.897, 20.897)* CHOOSE(CONTROL!$C$21, $C$9, 100%, $E$9)</f>
        <v>20.896999999999998</v>
      </c>
      <c r="K423" s="52">
        <f>CHOOSE(CONTROL!$C$42, 20.9653, 20.9653) * CHOOSE(CONTROL!$C$21, $C$9, 100%, $E$9)</f>
        <v>20.965299999999999</v>
      </c>
      <c r="L423" s="14">
        <f>CHOOSE(CONTROL!$C$42, 21.5867, 21.5867) * CHOOSE(CONTROL!$C$21, $C$9, 100%, $E$9)</f>
        <v>21.5867</v>
      </c>
      <c r="M423" s="14">
        <f>CHOOSE(CONTROL!$C$42, 20.5288, 20.5288) * CHOOSE(CONTROL!$C$21, $C$9, 100%, $E$9)</f>
        <v>20.5288</v>
      </c>
      <c r="N423" s="14">
        <f>CHOOSE(CONTROL!$C$42, 20.5461, 20.5461) * CHOOSE(CONTROL!$C$21, $C$9, 100%, $E$9)</f>
        <v>20.546099999999999</v>
      </c>
      <c r="O423" s="14">
        <f>CHOOSE(CONTROL!$C$42, 20.6297, 20.6297) * CHOOSE(CONTROL!$C$21, $C$9, 100%, $E$9)</f>
        <v>20.6297</v>
      </c>
      <c r="P423" s="14">
        <f>CHOOSE(CONTROL!$C$42, 20.5986, 20.5986) * CHOOSE(CONTROL!$C$21, $C$9, 100%, $E$9)</f>
        <v>20.598600000000001</v>
      </c>
      <c r="Q423" s="14">
        <f>CHOOSE(CONTROL!$C$42, 21.2244, 21.2244) * CHOOSE(CONTROL!$C$21, $C$9, 100%, $E$9)</f>
        <v>21.224399999999999</v>
      </c>
      <c r="R423" s="14">
        <f>CHOOSE(CONTROL!$C$42, 21.8645, 21.8645) * CHOOSE(CONTROL!$C$21, $C$9, 100%, $E$9)</f>
        <v>21.8645</v>
      </c>
      <c r="S423" s="14">
        <f>CHOOSE(CONTROL!$C$42, 20.053, 20.053) * CHOOSE(CONTROL!$C$21, $C$9, 100%, $E$9)</f>
        <v>20.053000000000001</v>
      </c>
      <c r="T4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23" s="56">
        <f>(1000*CHOOSE(CONTROL!$C$42, 695, 695)*CHOOSE(CONTROL!$C$42, 0.5599, 0.5599)*CHOOSE(CONTROL!$C$42, 31, 31))/1000000</f>
        <v>12.063045499999998</v>
      </c>
      <c r="V423" s="56">
        <f>(1000*CHOOSE(CONTROL!$C$42, 500, 500)*CHOOSE(CONTROL!$C$42, 0.275, 0.275)*CHOOSE(CONTROL!$C$42, 31, 31))/1000000</f>
        <v>4.2625000000000002</v>
      </c>
      <c r="W423" s="56">
        <f>(1000*CHOOSE(CONTROL!$C$42, 0.1146, 0.1146)*CHOOSE(CONTROL!$C$42, 121.5, 121.5)*CHOOSE(CONTROL!$C$42, 31, 31))/1000000</f>
        <v>0.43164089999999994</v>
      </c>
      <c r="X423" s="56">
        <f>(31*0.1790888*100000/1000000)+(31*0.2374*100000/1000000)</f>
        <v>1.2911152800000001</v>
      </c>
      <c r="Y423" s="56"/>
      <c r="Z423" s="14"/>
      <c r="AA423" s="55"/>
      <c r="AB423" s="49">
        <f>(B423*122.58+C423*297.941+D423*89.177+E423*40.302+F423*40+G423*160+H423*0+I423*100+J423*300)/(122.58+297.941+89.177+40.302+0+40+160+100+300)</f>
        <v>20.911390160608693</v>
      </c>
      <c r="AC423" s="45">
        <f>(M423*'RAP TEMPLATE-GAS AVAILABILITY'!O422+N423*'RAP TEMPLATE-GAS AVAILABILITY'!P422+O423*'RAP TEMPLATE-GAS AVAILABILITY'!Q422+P423*'RAP TEMPLATE-GAS AVAILABILITY'!R422)/('RAP TEMPLATE-GAS AVAILABILITY'!O422+'RAP TEMPLATE-GAS AVAILABILITY'!P422+'RAP TEMPLATE-GAS AVAILABILITY'!Q422+'RAP TEMPLATE-GAS AVAILABILITY'!R422)</f>
        <v>20.585570503597122</v>
      </c>
    </row>
    <row r="424" spans="1:29" ht="15.75" x14ac:dyDescent="0.25">
      <c r="A424" s="33">
        <v>53812</v>
      </c>
      <c r="B424" s="14">
        <f>CHOOSE(CONTROL!$C$42, 20.8164, 20.8164) * CHOOSE(CONTROL!$C$21, $C$9, 100%, $E$9)</f>
        <v>20.816400000000002</v>
      </c>
      <c r="C424" s="14">
        <f>CHOOSE(CONTROL!$C$42, 20.8209, 20.8209) * CHOOSE(CONTROL!$C$21, $C$9, 100%, $E$9)</f>
        <v>20.820900000000002</v>
      </c>
      <c r="D424" s="14">
        <f>CHOOSE(CONTROL!$C$42, 21.0831, 21.0831) * CHOOSE(CONTROL!$C$21, $C$9, 100%, $E$9)</f>
        <v>21.083100000000002</v>
      </c>
      <c r="E424" s="14">
        <f>CHOOSE(CONTROL!$C$42, 21.1152, 21.1152) * CHOOSE(CONTROL!$C$21, $C$9, 100%, $E$9)</f>
        <v>21.115200000000002</v>
      </c>
      <c r="F424" s="14">
        <f>CHOOSE(CONTROL!$C$42, 20.8392, 20.8392)*CHOOSE(CONTROL!$C$21, $C$9, 100%, $E$9)</f>
        <v>20.839200000000002</v>
      </c>
      <c r="G424" s="14">
        <f>CHOOSE(CONTROL!$C$42, 20.856, 20.856)*CHOOSE(CONTROL!$C$21, $C$9, 100%, $E$9)</f>
        <v>20.856000000000002</v>
      </c>
      <c r="H424" s="14">
        <f>CHOOSE(CONTROL!$C$42, 21.105, 21.105) * CHOOSE(CONTROL!$C$21, $C$9, 100%, $E$9)</f>
        <v>21.105</v>
      </c>
      <c r="I424" s="14">
        <f>CHOOSE(CONTROL!$C$42, 20.9041, 20.9041)* CHOOSE(CONTROL!$C$21, $C$9, 100%, $E$9)</f>
        <v>20.9041</v>
      </c>
      <c r="J424" s="14">
        <f>CHOOSE(CONTROL!$C$42, 20.8322, 20.8322)* CHOOSE(CONTROL!$C$21, $C$9, 100%, $E$9)</f>
        <v>20.8322</v>
      </c>
      <c r="K424" s="52">
        <f>CHOOSE(CONTROL!$C$42, 20.9002, 20.9002) * CHOOSE(CONTROL!$C$21, $C$9, 100%, $E$9)</f>
        <v>20.900200000000002</v>
      </c>
      <c r="L424" s="14">
        <f>CHOOSE(CONTROL!$C$42, 21.692, 21.692) * CHOOSE(CONTROL!$C$21, $C$9, 100%, $E$9)</f>
        <v>21.692</v>
      </c>
      <c r="M424" s="14">
        <f>CHOOSE(CONTROL!$C$42, 20.4652, 20.4652) * CHOOSE(CONTROL!$C$21, $C$9, 100%, $E$9)</f>
        <v>20.465199999999999</v>
      </c>
      <c r="N424" s="14">
        <f>CHOOSE(CONTROL!$C$42, 20.4816, 20.4816) * CHOOSE(CONTROL!$C$21, $C$9, 100%, $E$9)</f>
        <v>20.4816</v>
      </c>
      <c r="O424" s="14">
        <f>CHOOSE(CONTROL!$C$42, 20.7331, 20.7331) * CHOOSE(CONTROL!$C$21, $C$9, 100%, $E$9)</f>
        <v>20.7331</v>
      </c>
      <c r="P424" s="14">
        <f>CHOOSE(CONTROL!$C$42, 20.5347, 20.5347) * CHOOSE(CONTROL!$C$21, $C$9, 100%, $E$9)</f>
        <v>20.534700000000001</v>
      </c>
      <c r="Q424" s="14">
        <f>CHOOSE(CONTROL!$C$42, 21.3278, 21.3278) * CHOOSE(CONTROL!$C$21, $C$9, 100%, $E$9)</f>
        <v>21.3278</v>
      </c>
      <c r="R424" s="14">
        <f>CHOOSE(CONTROL!$C$42, 21.9681, 21.9681) * CHOOSE(CONTROL!$C$21, $C$9, 100%, $E$9)</f>
        <v>21.9681</v>
      </c>
      <c r="S424" s="14">
        <f>CHOOSE(CONTROL!$C$42, 19.9932, 19.9932) * CHOOSE(CONTROL!$C$21, $C$9, 100%, $E$9)</f>
        <v>19.993200000000002</v>
      </c>
      <c r="T4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24" s="56">
        <f>(1000*CHOOSE(CONTROL!$C$42, 695, 695)*CHOOSE(CONTROL!$C$42, 0.5599, 0.5599)*CHOOSE(CONTROL!$C$42, 30, 30))/1000000</f>
        <v>11.673914999999997</v>
      </c>
      <c r="V424" s="56">
        <f>(1000*CHOOSE(CONTROL!$C$42, 500, 500)*CHOOSE(CONTROL!$C$42, 0.275, 0.275)*CHOOSE(CONTROL!$C$42, 30, 30))/1000000</f>
        <v>4.125</v>
      </c>
      <c r="W424" s="56">
        <f>(1000*CHOOSE(CONTROL!$C$42, 0.1146, 0.1146)*CHOOSE(CONTROL!$C$42, 121.5, 121.5)*CHOOSE(CONTROL!$C$42, 30, 30))/1000000</f>
        <v>0.417717</v>
      </c>
      <c r="X424" s="56">
        <f>(30*0.1790888*245000/1000000)+(30*0.2374*100000/1000000)</f>
        <v>2.0285026799999999</v>
      </c>
      <c r="Y424" s="56"/>
      <c r="Z424" s="14"/>
      <c r="AA424" s="55"/>
      <c r="AB424" s="49">
        <f>(B424*141.293+C424*267.993+D424*115.016+E424*89.698+F424*40+G424*185+H424*0+I424*100+J424*300)/(141.293+267.993+115.016+89.698+0+40+185+100+300)</f>
        <v>20.881315656255044</v>
      </c>
      <c r="AC424" s="45">
        <f>(M424*'RAP TEMPLATE-GAS AVAILABILITY'!O423+N424*'RAP TEMPLATE-GAS AVAILABILITY'!P423+O424*'RAP TEMPLATE-GAS AVAILABILITY'!Q423+P424*'RAP TEMPLATE-GAS AVAILABILITY'!R423)/('RAP TEMPLATE-GAS AVAILABILITY'!O423+'RAP TEMPLATE-GAS AVAILABILITY'!P423+'RAP TEMPLATE-GAS AVAILABILITY'!Q423+'RAP TEMPLATE-GAS AVAILABILITY'!R423)</f>
        <v>20.554141726618703</v>
      </c>
    </row>
    <row r="425" spans="1:29" ht="15.75" x14ac:dyDescent="0.25">
      <c r="A425" s="33">
        <v>53843</v>
      </c>
      <c r="B425" s="14">
        <f>CHOOSE(CONTROL!$C$42, 21.0014, 21.0014) * CHOOSE(CONTROL!$C$21, $C$9, 100%, $E$9)</f>
        <v>21.0014</v>
      </c>
      <c r="C425" s="14">
        <f>CHOOSE(CONTROL!$C$42, 21.0095, 21.0095) * CHOOSE(CONTROL!$C$21, $C$9, 100%, $E$9)</f>
        <v>21.009499999999999</v>
      </c>
      <c r="D425" s="14">
        <f>CHOOSE(CONTROL!$C$42, 21.2686, 21.2686) * CHOOSE(CONTROL!$C$21, $C$9, 100%, $E$9)</f>
        <v>21.268599999999999</v>
      </c>
      <c r="E425" s="14">
        <f>CHOOSE(CONTROL!$C$42, 21.3, 21.3) * CHOOSE(CONTROL!$C$21, $C$9, 100%, $E$9)</f>
        <v>21.3</v>
      </c>
      <c r="F425" s="14">
        <f>CHOOSE(CONTROL!$C$42, 21.023, 21.023)*CHOOSE(CONTROL!$C$21, $C$9, 100%, $E$9)</f>
        <v>21.023</v>
      </c>
      <c r="G425" s="14">
        <f>CHOOSE(CONTROL!$C$42, 21.0399, 21.0399)*CHOOSE(CONTROL!$C$21, $C$9, 100%, $E$9)</f>
        <v>21.039899999999999</v>
      </c>
      <c r="H425" s="14">
        <f>CHOOSE(CONTROL!$C$42, 21.2887, 21.2887) * CHOOSE(CONTROL!$C$21, $C$9, 100%, $E$9)</f>
        <v>21.288699999999999</v>
      </c>
      <c r="I425" s="14">
        <f>CHOOSE(CONTROL!$C$42, 21.0883, 21.0883)* CHOOSE(CONTROL!$C$21, $C$9, 100%, $E$9)</f>
        <v>21.0883</v>
      </c>
      <c r="J425" s="14">
        <f>CHOOSE(CONTROL!$C$42, 21.016, 21.016)* CHOOSE(CONTROL!$C$21, $C$9, 100%, $E$9)</f>
        <v>21.015999999999998</v>
      </c>
      <c r="K425" s="52">
        <f>CHOOSE(CONTROL!$C$42, 21.0844, 21.0844) * CHOOSE(CONTROL!$C$21, $C$9, 100%, $E$9)</f>
        <v>21.084399999999999</v>
      </c>
      <c r="L425" s="14">
        <f>CHOOSE(CONTROL!$C$42, 21.8757, 21.8757) * CHOOSE(CONTROL!$C$21, $C$9, 100%, $E$9)</f>
        <v>21.875699999999998</v>
      </c>
      <c r="M425" s="14">
        <f>CHOOSE(CONTROL!$C$42, 20.6457, 20.6457) * CHOOSE(CONTROL!$C$21, $C$9, 100%, $E$9)</f>
        <v>20.645700000000001</v>
      </c>
      <c r="N425" s="14">
        <f>CHOOSE(CONTROL!$C$42, 20.6623, 20.6623) * CHOOSE(CONTROL!$C$21, $C$9, 100%, $E$9)</f>
        <v>20.662299999999998</v>
      </c>
      <c r="O425" s="14">
        <f>CHOOSE(CONTROL!$C$42, 20.9134, 20.9134) * CHOOSE(CONTROL!$C$21, $C$9, 100%, $E$9)</f>
        <v>20.913399999999999</v>
      </c>
      <c r="P425" s="14">
        <f>CHOOSE(CONTROL!$C$42, 20.7156, 20.7156) * CHOOSE(CONTROL!$C$21, $C$9, 100%, $E$9)</f>
        <v>20.715599999999998</v>
      </c>
      <c r="Q425" s="14">
        <f>CHOOSE(CONTROL!$C$42, 21.5081, 21.5081) * CHOOSE(CONTROL!$C$21, $C$9, 100%, $E$9)</f>
        <v>21.508099999999999</v>
      </c>
      <c r="R425" s="14">
        <f>CHOOSE(CONTROL!$C$42, 22.1489, 22.1489) * CHOOSE(CONTROL!$C$21, $C$9, 100%, $E$9)</f>
        <v>22.148900000000001</v>
      </c>
      <c r="S425" s="14">
        <f>CHOOSE(CONTROL!$C$42, 20.1697, 20.1697) * CHOOSE(CONTROL!$C$21, $C$9, 100%, $E$9)</f>
        <v>20.169699999999999</v>
      </c>
      <c r="T4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25" s="56">
        <f>(1000*CHOOSE(CONTROL!$C$42, 695, 695)*CHOOSE(CONTROL!$C$42, 0.5599, 0.5599)*CHOOSE(CONTROL!$C$42, 31, 31))/1000000</f>
        <v>12.063045499999998</v>
      </c>
      <c r="V425" s="56">
        <f>(1000*CHOOSE(CONTROL!$C$42, 500, 500)*CHOOSE(CONTROL!$C$42, 0.275, 0.275)*CHOOSE(CONTROL!$C$42, 31, 31))/1000000</f>
        <v>4.2625000000000002</v>
      </c>
      <c r="W425" s="56">
        <f>(1000*CHOOSE(CONTROL!$C$42, 0.1146, 0.1146)*CHOOSE(CONTROL!$C$42, 121.5, 121.5)*CHOOSE(CONTROL!$C$42, 31, 31))/1000000</f>
        <v>0.43164089999999994</v>
      </c>
      <c r="X425" s="56">
        <f>(31*0.1790888*245000/1000000)+(31*0.2374*100000/1000000)</f>
        <v>2.0961194359999999</v>
      </c>
      <c r="Y425" s="56"/>
      <c r="Z425" s="14"/>
      <c r="AA425" s="55"/>
      <c r="AB425" s="49">
        <f>(B425*194.205+C425*267.466+D425*133.845+E425*53.484+F425*40+G425*185+H425*0+I425*100+J425*300)/(194.205+267.466+133.845+53.484+0+40+185+100+300)</f>
        <v>21.060235699372058</v>
      </c>
      <c r="AC425" s="45">
        <f>(M425*'RAP TEMPLATE-GAS AVAILABILITY'!O424+N425*'RAP TEMPLATE-GAS AVAILABILITY'!P424+O425*'RAP TEMPLATE-GAS AVAILABILITY'!Q424+P425*'RAP TEMPLATE-GAS AVAILABILITY'!R424)/('RAP TEMPLATE-GAS AVAILABILITY'!O424+'RAP TEMPLATE-GAS AVAILABILITY'!P424+'RAP TEMPLATE-GAS AVAILABILITY'!Q424+'RAP TEMPLATE-GAS AVAILABILITY'!R424)</f>
        <v>20.734689208633093</v>
      </c>
    </row>
    <row r="426" spans="1:29" ht="15.75" x14ac:dyDescent="0.25">
      <c r="A426" s="33">
        <v>53873</v>
      </c>
      <c r="B426" s="14">
        <f>CHOOSE(CONTROL!$C$42, 21.5968, 21.5968) * CHOOSE(CONTROL!$C$21, $C$9, 100%, $E$9)</f>
        <v>21.596800000000002</v>
      </c>
      <c r="C426" s="14">
        <f>CHOOSE(CONTROL!$C$42, 21.6049, 21.6049) * CHOOSE(CONTROL!$C$21, $C$9, 100%, $E$9)</f>
        <v>21.604900000000001</v>
      </c>
      <c r="D426" s="14">
        <f>CHOOSE(CONTROL!$C$42, 21.864, 21.864) * CHOOSE(CONTROL!$C$21, $C$9, 100%, $E$9)</f>
        <v>21.864000000000001</v>
      </c>
      <c r="E426" s="14">
        <f>CHOOSE(CONTROL!$C$42, 21.8954, 21.8954) * CHOOSE(CONTROL!$C$21, $C$9, 100%, $E$9)</f>
        <v>21.895399999999999</v>
      </c>
      <c r="F426" s="14">
        <f>CHOOSE(CONTROL!$C$42, 21.6186, 21.6186)*CHOOSE(CONTROL!$C$21, $C$9, 100%, $E$9)</f>
        <v>21.618600000000001</v>
      </c>
      <c r="G426" s="14">
        <f>CHOOSE(CONTROL!$C$42, 21.6357, 21.6357)*CHOOSE(CONTROL!$C$21, $C$9, 100%, $E$9)</f>
        <v>21.6357</v>
      </c>
      <c r="H426" s="14">
        <f>CHOOSE(CONTROL!$C$42, 21.8841, 21.8841) * CHOOSE(CONTROL!$C$21, $C$9, 100%, $E$9)</f>
        <v>21.8841</v>
      </c>
      <c r="I426" s="14">
        <f>CHOOSE(CONTROL!$C$42, 21.6856, 21.6856)* CHOOSE(CONTROL!$C$21, $C$9, 100%, $E$9)</f>
        <v>21.685600000000001</v>
      </c>
      <c r="J426" s="14">
        <f>CHOOSE(CONTROL!$C$42, 21.6116, 21.6116)* CHOOSE(CONTROL!$C$21, $C$9, 100%, $E$9)</f>
        <v>21.611599999999999</v>
      </c>
      <c r="K426" s="52">
        <f>CHOOSE(CONTROL!$C$42, 21.6817, 21.6817) * CHOOSE(CONTROL!$C$21, $C$9, 100%, $E$9)</f>
        <v>21.681699999999999</v>
      </c>
      <c r="L426" s="14">
        <f>CHOOSE(CONTROL!$C$42, 22.4711, 22.4711) * CHOOSE(CONTROL!$C$21, $C$9, 100%, $E$9)</f>
        <v>22.4711</v>
      </c>
      <c r="M426" s="14">
        <f>CHOOSE(CONTROL!$C$42, 21.2306, 21.2306) * CHOOSE(CONTROL!$C$21, $C$9, 100%, $E$9)</f>
        <v>21.230599999999999</v>
      </c>
      <c r="N426" s="14">
        <f>CHOOSE(CONTROL!$C$42, 21.2473, 21.2473) * CHOOSE(CONTROL!$C$21, $C$9, 100%, $E$9)</f>
        <v>21.247299999999999</v>
      </c>
      <c r="O426" s="14">
        <f>CHOOSE(CONTROL!$C$42, 21.4981, 21.4981) * CHOOSE(CONTROL!$C$21, $C$9, 100%, $E$9)</f>
        <v>21.498100000000001</v>
      </c>
      <c r="P426" s="14">
        <f>CHOOSE(CONTROL!$C$42, 21.3021, 21.3021) * CHOOSE(CONTROL!$C$21, $C$9, 100%, $E$9)</f>
        <v>21.302099999999999</v>
      </c>
      <c r="Q426" s="14">
        <f>CHOOSE(CONTROL!$C$42, 22.0928, 22.0928) * CHOOSE(CONTROL!$C$21, $C$9, 100%, $E$9)</f>
        <v>22.0928</v>
      </c>
      <c r="R426" s="14">
        <f>CHOOSE(CONTROL!$C$42, 22.7351, 22.7351) * CHOOSE(CONTROL!$C$21, $C$9, 100%, $E$9)</f>
        <v>22.735099999999999</v>
      </c>
      <c r="S426" s="14">
        <f>CHOOSE(CONTROL!$C$42, 20.7418, 20.7418) * CHOOSE(CONTROL!$C$21, $C$9, 100%, $E$9)</f>
        <v>20.741800000000001</v>
      </c>
      <c r="T4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26" s="56">
        <f>(1000*CHOOSE(CONTROL!$C$42, 695, 695)*CHOOSE(CONTROL!$C$42, 0.5599, 0.5599)*CHOOSE(CONTROL!$C$42, 30, 30))/1000000</f>
        <v>11.673914999999997</v>
      </c>
      <c r="V426" s="56">
        <f>(1000*CHOOSE(CONTROL!$C$42, 500, 500)*CHOOSE(CONTROL!$C$42, 0.275, 0.275)*CHOOSE(CONTROL!$C$42, 30, 30))/1000000</f>
        <v>4.125</v>
      </c>
      <c r="W426" s="56">
        <f>(1000*CHOOSE(CONTROL!$C$42, 0.1146, 0.1146)*CHOOSE(CONTROL!$C$42, 121.5, 121.5)*CHOOSE(CONTROL!$C$42, 30, 30))/1000000</f>
        <v>0.417717</v>
      </c>
      <c r="X426" s="56">
        <f>(30*0.1790888*245000/1000000)+(30*0.2374*100000/1000000)</f>
        <v>2.0285026799999999</v>
      </c>
      <c r="Y426" s="56"/>
      <c r="Z426" s="14"/>
      <c r="AA426" s="55"/>
      <c r="AB426" s="49">
        <f>(B426*194.205+C426*267.466+D426*133.845+E426*53.484+F426*40+G426*185+H426*0+I426*100+J426*300)/(194.205+267.466+133.845+53.484+0+40+185+100+300)</f>
        <v>21.655896295918371</v>
      </c>
      <c r="AC426" s="45">
        <f>(M426*'RAP TEMPLATE-GAS AVAILABILITY'!O425+N426*'RAP TEMPLATE-GAS AVAILABILITY'!P425+O426*'RAP TEMPLATE-GAS AVAILABILITY'!Q425+P426*'RAP TEMPLATE-GAS AVAILABILITY'!R425)/('RAP TEMPLATE-GAS AVAILABILITY'!O425+'RAP TEMPLATE-GAS AVAILABILITY'!P425+'RAP TEMPLATE-GAS AVAILABILITY'!Q425+'RAP TEMPLATE-GAS AVAILABILITY'!R425)</f>
        <v>21.319786330935251</v>
      </c>
    </row>
    <row r="427" spans="1:29" ht="15.75" x14ac:dyDescent="0.25">
      <c r="A427" s="33">
        <v>53904</v>
      </c>
      <c r="B427" s="14">
        <f>CHOOSE(CONTROL!$C$42, 21.1827, 21.1827) * CHOOSE(CONTROL!$C$21, $C$9, 100%, $E$9)</f>
        <v>21.182700000000001</v>
      </c>
      <c r="C427" s="14">
        <f>CHOOSE(CONTROL!$C$42, 21.1908, 21.1908) * CHOOSE(CONTROL!$C$21, $C$9, 100%, $E$9)</f>
        <v>21.190799999999999</v>
      </c>
      <c r="D427" s="14">
        <f>CHOOSE(CONTROL!$C$42, 21.4499, 21.4499) * CHOOSE(CONTROL!$C$21, $C$9, 100%, $E$9)</f>
        <v>21.4499</v>
      </c>
      <c r="E427" s="14">
        <f>CHOOSE(CONTROL!$C$42, 21.4813, 21.4813) * CHOOSE(CONTROL!$C$21, $C$9, 100%, $E$9)</f>
        <v>21.481300000000001</v>
      </c>
      <c r="F427" s="14">
        <f>CHOOSE(CONTROL!$C$42, 21.2049, 21.2049)*CHOOSE(CONTROL!$C$21, $C$9, 100%, $E$9)</f>
        <v>21.204899999999999</v>
      </c>
      <c r="G427" s="14">
        <f>CHOOSE(CONTROL!$C$42, 21.2221, 21.2221)*CHOOSE(CONTROL!$C$21, $C$9, 100%, $E$9)</f>
        <v>21.222100000000001</v>
      </c>
      <c r="H427" s="14">
        <f>CHOOSE(CONTROL!$C$42, 21.47, 21.47) * CHOOSE(CONTROL!$C$21, $C$9, 100%, $E$9)</f>
        <v>21.47</v>
      </c>
      <c r="I427" s="14">
        <f>CHOOSE(CONTROL!$C$42, 21.2702, 21.2702)* CHOOSE(CONTROL!$C$21, $C$9, 100%, $E$9)</f>
        <v>21.270199999999999</v>
      </c>
      <c r="J427" s="14">
        <f>CHOOSE(CONTROL!$C$42, 21.1979, 21.1979)* CHOOSE(CONTROL!$C$21, $C$9, 100%, $E$9)</f>
        <v>21.197900000000001</v>
      </c>
      <c r="K427" s="52">
        <f>CHOOSE(CONTROL!$C$42, 21.2663, 21.2663) * CHOOSE(CONTROL!$C$21, $C$9, 100%, $E$9)</f>
        <v>21.266300000000001</v>
      </c>
      <c r="L427" s="14">
        <f>CHOOSE(CONTROL!$C$42, 22.057, 22.057) * CHOOSE(CONTROL!$C$21, $C$9, 100%, $E$9)</f>
        <v>22.056999999999999</v>
      </c>
      <c r="M427" s="14">
        <f>CHOOSE(CONTROL!$C$42, 20.8244, 20.8244) * CHOOSE(CONTROL!$C$21, $C$9, 100%, $E$9)</f>
        <v>20.824400000000001</v>
      </c>
      <c r="N427" s="14">
        <f>CHOOSE(CONTROL!$C$42, 20.8412, 20.8412) * CHOOSE(CONTROL!$C$21, $C$9, 100%, $E$9)</f>
        <v>20.841200000000001</v>
      </c>
      <c r="O427" s="14">
        <f>CHOOSE(CONTROL!$C$42, 21.0915, 21.0915) * CHOOSE(CONTROL!$C$21, $C$9, 100%, $E$9)</f>
        <v>21.0915</v>
      </c>
      <c r="P427" s="14">
        <f>CHOOSE(CONTROL!$C$42, 20.8942, 20.8942) * CHOOSE(CONTROL!$C$21, $C$9, 100%, $E$9)</f>
        <v>20.894200000000001</v>
      </c>
      <c r="Q427" s="14">
        <f>CHOOSE(CONTROL!$C$42, 21.6862, 21.6862) * CHOOSE(CONTROL!$C$21, $C$9, 100%, $E$9)</f>
        <v>21.686199999999999</v>
      </c>
      <c r="R427" s="14">
        <f>CHOOSE(CONTROL!$C$42, 22.3274, 22.3274) * CHOOSE(CONTROL!$C$21, $C$9, 100%, $E$9)</f>
        <v>22.327400000000001</v>
      </c>
      <c r="S427" s="14">
        <f>CHOOSE(CONTROL!$C$42, 20.3439, 20.3439) * CHOOSE(CONTROL!$C$21, $C$9, 100%, $E$9)</f>
        <v>20.343900000000001</v>
      </c>
      <c r="T4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27" s="56">
        <f>(1000*CHOOSE(CONTROL!$C$42, 695, 695)*CHOOSE(CONTROL!$C$42, 0.5599, 0.5599)*CHOOSE(CONTROL!$C$42, 31, 31))/1000000</f>
        <v>12.063045499999998</v>
      </c>
      <c r="V427" s="56">
        <f>(1000*CHOOSE(CONTROL!$C$42, 500, 500)*CHOOSE(CONTROL!$C$42, 0.275, 0.275)*CHOOSE(CONTROL!$C$42, 31, 31))/1000000</f>
        <v>4.2625000000000002</v>
      </c>
      <c r="W427" s="56">
        <f>(1000*CHOOSE(CONTROL!$C$42, 0.1146, 0.1146)*CHOOSE(CONTROL!$C$42, 121.5, 121.5)*CHOOSE(CONTROL!$C$42, 31, 31))/1000000</f>
        <v>0.43164089999999994</v>
      </c>
      <c r="X427" s="56">
        <f>(31*0.1790888*245000/1000000)+(31*0.2374*100000/1000000)</f>
        <v>2.0961194359999999</v>
      </c>
      <c r="Y427" s="56"/>
      <c r="Z427" s="14"/>
      <c r="AA427" s="55"/>
      <c r="AB427" s="49">
        <f>(B427*194.205+C427*267.466+D427*133.845+E427*53.484+F427*40+G427*185+H427*0+I427*100+J427*300)/(194.205+267.466+133.845+53.484+0+40+185+100+300)</f>
        <v>21.241873611459969</v>
      </c>
      <c r="AC427" s="45">
        <f>(M427*'RAP TEMPLATE-GAS AVAILABILITY'!O426+N427*'RAP TEMPLATE-GAS AVAILABILITY'!P426+O427*'RAP TEMPLATE-GAS AVAILABILITY'!Q426+P427*'RAP TEMPLATE-GAS AVAILABILITY'!R426)/('RAP TEMPLATE-GAS AVAILABILITY'!O426+'RAP TEMPLATE-GAS AVAILABILITY'!P426+'RAP TEMPLATE-GAS AVAILABILITY'!Q426+'RAP TEMPLATE-GAS AVAILABILITY'!R426)</f>
        <v>20.913252517985612</v>
      </c>
    </row>
    <row r="428" spans="1:29" ht="15.75" x14ac:dyDescent="0.25">
      <c r="A428" s="33">
        <v>53935</v>
      </c>
      <c r="B428" s="14">
        <f>CHOOSE(CONTROL!$C$42, 20.137, 20.137) * CHOOSE(CONTROL!$C$21, $C$9, 100%, $E$9)</f>
        <v>20.137</v>
      </c>
      <c r="C428" s="14">
        <f>CHOOSE(CONTROL!$C$42, 20.145, 20.145) * CHOOSE(CONTROL!$C$21, $C$9, 100%, $E$9)</f>
        <v>20.145</v>
      </c>
      <c r="D428" s="14">
        <f>CHOOSE(CONTROL!$C$42, 20.4041, 20.4041) * CHOOSE(CONTROL!$C$21, $C$9, 100%, $E$9)</f>
        <v>20.4041</v>
      </c>
      <c r="E428" s="14">
        <f>CHOOSE(CONTROL!$C$42, 20.4356, 20.4356) * CHOOSE(CONTROL!$C$21, $C$9, 100%, $E$9)</f>
        <v>20.435600000000001</v>
      </c>
      <c r="F428" s="14">
        <f>CHOOSE(CONTROL!$C$42, 20.1594, 20.1594)*CHOOSE(CONTROL!$C$21, $C$9, 100%, $E$9)</f>
        <v>20.159400000000002</v>
      </c>
      <c r="G428" s="14">
        <f>CHOOSE(CONTROL!$C$42, 20.1766, 20.1766)*CHOOSE(CONTROL!$C$21, $C$9, 100%, $E$9)</f>
        <v>20.176600000000001</v>
      </c>
      <c r="H428" s="14">
        <f>CHOOSE(CONTROL!$C$42, 20.4242, 20.4242) * CHOOSE(CONTROL!$C$21, $C$9, 100%, $E$9)</f>
        <v>20.424199999999999</v>
      </c>
      <c r="I428" s="14">
        <f>CHOOSE(CONTROL!$C$42, 20.2212, 20.2212)* CHOOSE(CONTROL!$C$21, $C$9, 100%, $E$9)</f>
        <v>20.2212</v>
      </c>
      <c r="J428" s="14">
        <f>CHOOSE(CONTROL!$C$42, 20.1524, 20.1524)* CHOOSE(CONTROL!$C$21, $C$9, 100%, $E$9)</f>
        <v>20.1524</v>
      </c>
      <c r="K428" s="52">
        <f>CHOOSE(CONTROL!$C$42, 20.2173, 20.2173) * CHOOSE(CONTROL!$C$21, $C$9, 100%, $E$9)</f>
        <v>20.217300000000002</v>
      </c>
      <c r="L428" s="14">
        <f>CHOOSE(CONTROL!$C$42, 21.0112, 21.0112) * CHOOSE(CONTROL!$C$21, $C$9, 100%, $E$9)</f>
        <v>21.011199999999999</v>
      </c>
      <c r="M428" s="14">
        <f>CHOOSE(CONTROL!$C$42, 19.7976, 19.7976) * CHOOSE(CONTROL!$C$21, $C$9, 100%, $E$9)</f>
        <v>19.797599999999999</v>
      </c>
      <c r="N428" s="14">
        <f>CHOOSE(CONTROL!$C$42, 19.8145, 19.8145) * CHOOSE(CONTROL!$C$21, $C$9, 100%, $E$9)</f>
        <v>19.814499999999999</v>
      </c>
      <c r="O428" s="14">
        <f>CHOOSE(CONTROL!$C$42, 20.0645, 20.0645) * CHOOSE(CONTROL!$C$21, $C$9, 100%, $E$9)</f>
        <v>20.064499999999999</v>
      </c>
      <c r="P428" s="14">
        <f>CHOOSE(CONTROL!$C$42, 19.8641, 19.8641) * CHOOSE(CONTROL!$C$21, $C$9, 100%, $E$9)</f>
        <v>19.864100000000001</v>
      </c>
      <c r="Q428" s="14">
        <f>CHOOSE(CONTROL!$C$42, 20.6592, 20.6592) * CHOOSE(CONTROL!$C$21, $C$9, 100%, $E$9)</f>
        <v>20.659199999999998</v>
      </c>
      <c r="R428" s="14">
        <f>CHOOSE(CONTROL!$C$42, 21.2979, 21.2979) * CHOOSE(CONTROL!$C$21, $C$9, 100%, $E$9)</f>
        <v>21.297899999999998</v>
      </c>
      <c r="S428" s="14">
        <f>CHOOSE(CONTROL!$C$42, 19.339, 19.339) * CHOOSE(CONTROL!$C$21, $C$9, 100%, $E$9)</f>
        <v>19.338999999999999</v>
      </c>
      <c r="T4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28" s="56">
        <f>(1000*CHOOSE(CONTROL!$C$42, 695, 695)*CHOOSE(CONTROL!$C$42, 0.5599, 0.5599)*CHOOSE(CONTROL!$C$42, 31, 31))/1000000</f>
        <v>12.063045499999998</v>
      </c>
      <c r="V428" s="56">
        <f>(1000*CHOOSE(CONTROL!$C$42, 500, 500)*CHOOSE(CONTROL!$C$42, 0.275, 0.275)*CHOOSE(CONTROL!$C$42, 31, 31))/1000000</f>
        <v>4.2625000000000002</v>
      </c>
      <c r="W428" s="56">
        <f>(1000*CHOOSE(CONTROL!$C$42, 0.1146, 0.1146)*CHOOSE(CONTROL!$C$42, 121.5, 121.5)*CHOOSE(CONTROL!$C$42, 31, 31))/1000000</f>
        <v>0.43164089999999994</v>
      </c>
      <c r="X428" s="56">
        <f>(31*0.1790888*245000/1000000)+(31*0.2374*100000/1000000)</f>
        <v>2.0961194359999999</v>
      </c>
      <c r="Y428" s="56"/>
      <c r="Z428" s="14"/>
      <c r="AA428" s="55"/>
      <c r="AB428" s="49">
        <f>(B428*194.205+C428*267.466+D428*133.845+E428*53.484+F428*40+G428*185+H428*0+I428*100+J428*300)/(194.205+267.466+133.845+53.484+0+40+185+100+300)</f>
        <v>20.195965502276298</v>
      </c>
      <c r="AC428" s="45">
        <f>(M428*'RAP TEMPLATE-GAS AVAILABILITY'!O427+N428*'RAP TEMPLATE-GAS AVAILABILITY'!P427+O428*'RAP TEMPLATE-GAS AVAILABILITY'!Q427+P428*'RAP TEMPLATE-GAS AVAILABILITY'!R427)/('RAP TEMPLATE-GAS AVAILABILITY'!O427+'RAP TEMPLATE-GAS AVAILABILITY'!P427+'RAP TEMPLATE-GAS AVAILABILITY'!Q427+'RAP TEMPLATE-GAS AVAILABILITY'!R427)</f>
        <v>19.885944604316546</v>
      </c>
    </row>
    <row r="429" spans="1:29" ht="15.75" x14ac:dyDescent="0.25">
      <c r="A429" s="33">
        <v>53965</v>
      </c>
      <c r="B429" s="14">
        <f>CHOOSE(CONTROL!$C$42, 18.8591, 18.8591) * CHOOSE(CONTROL!$C$21, $C$9, 100%, $E$9)</f>
        <v>18.859100000000002</v>
      </c>
      <c r="C429" s="14">
        <f>CHOOSE(CONTROL!$C$42, 18.8671, 18.8671) * CHOOSE(CONTROL!$C$21, $C$9, 100%, $E$9)</f>
        <v>18.867100000000001</v>
      </c>
      <c r="D429" s="14">
        <f>CHOOSE(CONTROL!$C$42, 19.1262, 19.1262) * CHOOSE(CONTROL!$C$21, $C$9, 100%, $E$9)</f>
        <v>19.126200000000001</v>
      </c>
      <c r="E429" s="14">
        <f>CHOOSE(CONTROL!$C$42, 19.1577, 19.1577) * CHOOSE(CONTROL!$C$21, $C$9, 100%, $E$9)</f>
        <v>19.157699999999998</v>
      </c>
      <c r="F429" s="14">
        <f>CHOOSE(CONTROL!$C$42, 18.8816, 18.8816)*CHOOSE(CONTROL!$C$21, $C$9, 100%, $E$9)</f>
        <v>18.881599999999999</v>
      </c>
      <c r="G429" s="14">
        <f>CHOOSE(CONTROL!$C$42, 18.8988, 18.8988)*CHOOSE(CONTROL!$C$21, $C$9, 100%, $E$9)</f>
        <v>18.898800000000001</v>
      </c>
      <c r="H429" s="14">
        <f>CHOOSE(CONTROL!$C$42, 19.1463, 19.1463) * CHOOSE(CONTROL!$C$21, $C$9, 100%, $E$9)</f>
        <v>19.1463</v>
      </c>
      <c r="I429" s="14">
        <f>CHOOSE(CONTROL!$C$42, 18.9392, 18.9392)* CHOOSE(CONTROL!$C$21, $C$9, 100%, $E$9)</f>
        <v>18.9392</v>
      </c>
      <c r="J429" s="14">
        <f>CHOOSE(CONTROL!$C$42, 18.8746, 18.8746)* CHOOSE(CONTROL!$C$21, $C$9, 100%, $E$9)</f>
        <v>18.874600000000001</v>
      </c>
      <c r="K429" s="52">
        <f>CHOOSE(CONTROL!$C$42, 18.9354, 18.9354) * CHOOSE(CONTROL!$C$21, $C$9, 100%, $E$9)</f>
        <v>18.935400000000001</v>
      </c>
      <c r="L429" s="14">
        <f>CHOOSE(CONTROL!$C$42, 19.7333, 19.7333) * CHOOSE(CONTROL!$C$21, $C$9, 100%, $E$9)</f>
        <v>19.7333</v>
      </c>
      <c r="M429" s="14">
        <f>CHOOSE(CONTROL!$C$42, 18.5428, 18.5428) * CHOOSE(CONTROL!$C$21, $C$9, 100%, $E$9)</f>
        <v>18.5428</v>
      </c>
      <c r="N429" s="14">
        <f>CHOOSE(CONTROL!$C$42, 18.5597, 18.5597) * CHOOSE(CONTROL!$C$21, $C$9, 100%, $E$9)</f>
        <v>18.559699999999999</v>
      </c>
      <c r="O429" s="14">
        <f>CHOOSE(CONTROL!$C$42, 18.8096, 18.8096) * CHOOSE(CONTROL!$C$21, $C$9, 100%, $E$9)</f>
        <v>18.8096</v>
      </c>
      <c r="P429" s="14">
        <f>CHOOSE(CONTROL!$C$42, 18.6053, 18.6053) * CHOOSE(CONTROL!$C$21, $C$9, 100%, $E$9)</f>
        <v>18.6053</v>
      </c>
      <c r="Q429" s="14">
        <f>CHOOSE(CONTROL!$C$42, 19.4043, 19.4043) * CHOOSE(CONTROL!$C$21, $C$9, 100%, $E$9)</f>
        <v>19.404299999999999</v>
      </c>
      <c r="R429" s="14">
        <f>CHOOSE(CONTROL!$C$42, 20.0398, 20.0398) * CHOOSE(CONTROL!$C$21, $C$9, 100%, $E$9)</f>
        <v>20.0398</v>
      </c>
      <c r="S429" s="14">
        <f>CHOOSE(CONTROL!$C$42, 18.1111, 18.1111) * CHOOSE(CONTROL!$C$21, $C$9, 100%, $E$9)</f>
        <v>18.1111</v>
      </c>
      <c r="T4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29" s="56">
        <f>(1000*CHOOSE(CONTROL!$C$42, 695, 695)*CHOOSE(CONTROL!$C$42, 0.5599, 0.5599)*CHOOSE(CONTROL!$C$42, 30, 30))/1000000</f>
        <v>11.673914999999997</v>
      </c>
      <c r="V429" s="56">
        <f>(1000*CHOOSE(CONTROL!$C$42, 500, 500)*CHOOSE(CONTROL!$C$42, 0.275, 0.275)*CHOOSE(CONTROL!$C$42, 30, 30))/1000000</f>
        <v>4.125</v>
      </c>
      <c r="W429" s="56">
        <f>(1000*CHOOSE(CONTROL!$C$42, 0.1146, 0.1146)*CHOOSE(CONTROL!$C$42, 121.5, 121.5)*CHOOSE(CONTROL!$C$42, 30, 30))/1000000</f>
        <v>0.417717</v>
      </c>
      <c r="X429" s="56">
        <f>(30*0.1790888*245000/1000000)+(30*0.2374*100000/1000000)</f>
        <v>2.0285026799999999</v>
      </c>
      <c r="Y429" s="56"/>
      <c r="Z429" s="14"/>
      <c r="AA429" s="55"/>
      <c r="AB429" s="49">
        <f>(B429*194.205+C429*267.466+D429*133.845+E429*53.484+F429*40+G429*185+H429*0+I429*100+J429*300)/(194.205+267.466+133.845+53.484+0+40+185+100+300)</f>
        <v>18.917784890031399</v>
      </c>
      <c r="AC429" s="45">
        <f>(M429*'RAP TEMPLATE-GAS AVAILABILITY'!O428+N429*'RAP TEMPLATE-GAS AVAILABILITY'!P428+O429*'RAP TEMPLATE-GAS AVAILABILITY'!Q428+P429*'RAP TEMPLATE-GAS AVAILABILITY'!R428)/('RAP TEMPLATE-GAS AVAILABILITY'!O428+'RAP TEMPLATE-GAS AVAILABILITY'!P428+'RAP TEMPLATE-GAS AVAILABILITY'!Q428+'RAP TEMPLATE-GAS AVAILABILITY'!R428)</f>
        <v>18.630541007194246</v>
      </c>
    </row>
    <row r="430" spans="1:29" ht="15.75" x14ac:dyDescent="0.25">
      <c r="A430" s="33">
        <v>53996</v>
      </c>
      <c r="B430" s="14">
        <f>CHOOSE(CONTROL!$C$42, 18.4746, 18.4746) * CHOOSE(CONTROL!$C$21, $C$9, 100%, $E$9)</f>
        <v>18.474599999999999</v>
      </c>
      <c r="C430" s="14">
        <f>CHOOSE(CONTROL!$C$42, 18.48, 18.48) * CHOOSE(CONTROL!$C$21, $C$9, 100%, $E$9)</f>
        <v>18.48</v>
      </c>
      <c r="D430" s="14">
        <f>CHOOSE(CONTROL!$C$42, 18.744, 18.744) * CHOOSE(CONTROL!$C$21, $C$9, 100%, $E$9)</f>
        <v>18.744</v>
      </c>
      <c r="E430" s="14">
        <f>CHOOSE(CONTROL!$C$42, 18.7731, 18.7731) * CHOOSE(CONTROL!$C$21, $C$9, 100%, $E$9)</f>
        <v>18.773099999999999</v>
      </c>
      <c r="F430" s="14">
        <f>CHOOSE(CONTROL!$C$42, 18.4993, 18.4993)*CHOOSE(CONTROL!$C$21, $C$9, 100%, $E$9)</f>
        <v>18.499300000000002</v>
      </c>
      <c r="G430" s="14">
        <f>CHOOSE(CONTROL!$C$42, 18.5164, 18.5164)*CHOOSE(CONTROL!$C$21, $C$9, 100%, $E$9)</f>
        <v>18.516400000000001</v>
      </c>
      <c r="H430" s="14">
        <f>CHOOSE(CONTROL!$C$42, 18.7636, 18.7636) * CHOOSE(CONTROL!$C$21, $C$9, 100%, $E$9)</f>
        <v>18.7636</v>
      </c>
      <c r="I430" s="14">
        <f>CHOOSE(CONTROL!$C$42, 18.5554, 18.5554)* CHOOSE(CONTROL!$C$21, $C$9, 100%, $E$9)</f>
        <v>18.555399999999999</v>
      </c>
      <c r="J430" s="14">
        <f>CHOOSE(CONTROL!$C$42, 18.4923, 18.4923)* CHOOSE(CONTROL!$C$21, $C$9, 100%, $E$9)</f>
        <v>18.4923</v>
      </c>
      <c r="K430" s="52">
        <f>CHOOSE(CONTROL!$C$42, 18.5515, 18.5515) * CHOOSE(CONTROL!$C$21, $C$9, 100%, $E$9)</f>
        <v>18.551500000000001</v>
      </c>
      <c r="L430" s="14">
        <f>CHOOSE(CONTROL!$C$42, 19.3506, 19.3506) * CHOOSE(CONTROL!$C$21, $C$9, 100%, $E$9)</f>
        <v>19.3506</v>
      </c>
      <c r="M430" s="14">
        <f>CHOOSE(CONTROL!$C$42, 18.1674, 18.1674) * CHOOSE(CONTROL!$C$21, $C$9, 100%, $E$9)</f>
        <v>18.167400000000001</v>
      </c>
      <c r="N430" s="14">
        <f>CHOOSE(CONTROL!$C$42, 18.1841, 18.1841) * CHOOSE(CONTROL!$C$21, $C$9, 100%, $E$9)</f>
        <v>18.184100000000001</v>
      </c>
      <c r="O430" s="14">
        <f>CHOOSE(CONTROL!$C$42, 18.4338, 18.4338) * CHOOSE(CONTROL!$C$21, $C$9, 100%, $E$9)</f>
        <v>18.433800000000002</v>
      </c>
      <c r="P430" s="14">
        <f>CHOOSE(CONTROL!$C$42, 18.2284, 18.2284) * CHOOSE(CONTROL!$C$21, $C$9, 100%, $E$9)</f>
        <v>18.228400000000001</v>
      </c>
      <c r="Q430" s="14">
        <f>CHOOSE(CONTROL!$C$42, 19.0285, 19.0285) * CHOOSE(CONTROL!$C$21, $C$9, 100%, $E$9)</f>
        <v>19.028500000000001</v>
      </c>
      <c r="R430" s="14">
        <f>CHOOSE(CONTROL!$C$42, 19.6631, 19.6631) * CHOOSE(CONTROL!$C$21, $C$9, 100%, $E$9)</f>
        <v>19.6631</v>
      </c>
      <c r="S430" s="14">
        <f>CHOOSE(CONTROL!$C$42, 17.7433, 17.7433) * CHOOSE(CONTROL!$C$21, $C$9, 100%, $E$9)</f>
        <v>17.743300000000001</v>
      </c>
      <c r="T4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30" s="56">
        <f>(1000*CHOOSE(CONTROL!$C$42, 695, 695)*CHOOSE(CONTROL!$C$42, 0.5599, 0.5599)*CHOOSE(CONTROL!$C$42, 31, 31))/1000000</f>
        <v>12.063045499999998</v>
      </c>
      <c r="V430" s="56">
        <f>(1000*CHOOSE(CONTROL!$C$42, 500, 500)*CHOOSE(CONTROL!$C$42, 0.275, 0.275)*CHOOSE(CONTROL!$C$42, 31, 31))/1000000</f>
        <v>4.2625000000000002</v>
      </c>
      <c r="W430" s="56">
        <f>(1000*CHOOSE(CONTROL!$C$42, 0.1146, 0.1146)*CHOOSE(CONTROL!$C$42, 121.5, 121.5)*CHOOSE(CONTROL!$C$42, 31, 31))/1000000</f>
        <v>0.43164089999999994</v>
      </c>
      <c r="X430" s="56">
        <f>(31*0.1790888*245000/1000000)+(31*0.2374*100000/1000000)</f>
        <v>2.0961194359999999</v>
      </c>
      <c r="Y430" s="56"/>
      <c r="Z430" s="14"/>
      <c r="AA430" s="55"/>
      <c r="AB430" s="49">
        <f>(B430*131.881+C430*277.167+D430*79.08+E430*125.872+F430*40+G430*185+H430*0+I430*100+J430*300)/(131.881+277.167+79.08+125.872+0+40+185+100+300)</f>
        <v>18.54117356400323</v>
      </c>
      <c r="AC430" s="45">
        <f>(M430*'RAP TEMPLATE-GAS AVAILABILITY'!O429+N430*'RAP TEMPLATE-GAS AVAILABILITY'!P429+O430*'RAP TEMPLATE-GAS AVAILABILITY'!Q429+P430*'RAP TEMPLATE-GAS AVAILABILITY'!R429)/('RAP TEMPLATE-GAS AVAILABILITY'!O429+'RAP TEMPLATE-GAS AVAILABILITY'!P429+'RAP TEMPLATE-GAS AVAILABILITY'!Q429+'RAP TEMPLATE-GAS AVAILABILITY'!R429)</f>
        <v>18.254766906474824</v>
      </c>
    </row>
    <row r="431" spans="1:29" ht="15.75" x14ac:dyDescent="0.25">
      <c r="A431" s="33">
        <v>54026</v>
      </c>
      <c r="B431" s="14">
        <f>CHOOSE(CONTROL!$C$42, 18.9607, 18.9607) * CHOOSE(CONTROL!$C$21, $C$9, 100%, $E$9)</f>
        <v>18.960699999999999</v>
      </c>
      <c r="C431" s="14">
        <f>CHOOSE(CONTROL!$C$42, 18.9657, 18.9657) * CHOOSE(CONTROL!$C$21, $C$9, 100%, $E$9)</f>
        <v>18.965699999999998</v>
      </c>
      <c r="D431" s="14">
        <f>CHOOSE(CONTROL!$C$42, 19.0488, 19.0488) * CHOOSE(CONTROL!$C$21, $C$9, 100%, $E$9)</f>
        <v>19.0488</v>
      </c>
      <c r="E431" s="14">
        <f>CHOOSE(CONTROL!$C$42, 19.0829, 19.0829) * CHOOSE(CONTROL!$C$21, $C$9, 100%, $E$9)</f>
        <v>19.082899999999999</v>
      </c>
      <c r="F431" s="14">
        <f>CHOOSE(CONTROL!$C$42, 18.9883, 18.9883)*CHOOSE(CONTROL!$C$21, $C$9, 100%, $E$9)</f>
        <v>18.988299999999999</v>
      </c>
      <c r="G431" s="14">
        <f>CHOOSE(CONTROL!$C$42, 19.0057, 19.0057)*CHOOSE(CONTROL!$C$21, $C$9, 100%, $E$9)</f>
        <v>19.005700000000001</v>
      </c>
      <c r="H431" s="14">
        <f>CHOOSE(CONTROL!$C$42, 19.0721, 19.0721) * CHOOSE(CONTROL!$C$21, $C$9, 100%, $E$9)</f>
        <v>19.072099999999999</v>
      </c>
      <c r="I431" s="14">
        <f>CHOOSE(CONTROL!$C$42, 19.0397, 19.0397)* CHOOSE(CONTROL!$C$21, $C$9, 100%, $E$9)</f>
        <v>19.0397</v>
      </c>
      <c r="J431" s="14">
        <f>CHOOSE(CONTROL!$C$42, 18.9813, 18.9813)* CHOOSE(CONTROL!$C$21, $C$9, 100%, $E$9)</f>
        <v>18.981300000000001</v>
      </c>
      <c r="K431" s="52">
        <f>CHOOSE(CONTROL!$C$42, 19.0358, 19.0358) * CHOOSE(CONTROL!$C$21, $C$9, 100%, $E$9)</f>
        <v>19.035799999999998</v>
      </c>
      <c r="L431" s="14">
        <f>CHOOSE(CONTROL!$C$42, 19.6591, 19.6591) * CHOOSE(CONTROL!$C$21, $C$9, 100%, $E$9)</f>
        <v>19.659099999999999</v>
      </c>
      <c r="M431" s="14">
        <f>CHOOSE(CONTROL!$C$42, 18.6476, 18.6476) * CHOOSE(CONTROL!$C$21, $C$9, 100%, $E$9)</f>
        <v>18.647600000000001</v>
      </c>
      <c r="N431" s="14">
        <f>CHOOSE(CONTROL!$C$42, 18.6646, 18.6646) * CHOOSE(CONTROL!$C$21, $C$9, 100%, $E$9)</f>
        <v>18.6646</v>
      </c>
      <c r="O431" s="14">
        <f>CHOOSE(CONTROL!$C$42, 18.7368, 18.7368) * CHOOSE(CONTROL!$C$21, $C$9, 100%, $E$9)</f>
        <v>18.736799999999999</v>
      </c>
      <c r="P431" s="14">
        <f>CHOOSE(CONTROL!$C$42, 18.7039, 18.7039) * CHOOSE(CONTROL!$C$21, $C$9, 100%, $E$9)</f>
        <v>18.703900000000001</v>
      </c>
      <c r="Q431" s="14">
        <f>CHOOSE(CONTROL!$C$42, 19.3315, 19.3315) * CHOOSE(CONTROL!$C$21, $C$9, 100%, $E$9)</f>
        <v>19.331499999999998</v>
      </c>
      <c r="R431" s="14">
        <f>CHOOSE(CONTROL!$C$42, 19.9668, 19.9668) * CHOOSE(CONTROL!$C$21, $C$9, 100%, $E$9)</f>
        <v>19.966799999999999</v>
      </c>
      <c r="S431" s="14">
        <f>CHOOSE(CONTROL!$C$42, 18.2108, 18.2108) * CHOOSE(CONTROL!$C$21, $C$9, 100%, $E$9)</f>
        <v>18.210799999999999</v>
      </c>
      <c r="T4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31" s="56">
        <f>(1000*CHOOSE(CONTROL!$C$42, 695, 695)*CHOOSE(CONTROL!$C$42, 0.5599, 0.5599)*CHOOSE(CONTROL!$C$42, 30, 30))/1000000</f>
        <v>11.673914999999997</v>
      </c>
      <c r="V431" s="56">
        <f>(1000*CHOOSE(CONTROL!$C$42, 500, 500)*CHOOSE(CONTROL!$C$42, 0.275, 0.275)*CHOOSE(CONTROL!$C$42, 30, 30))/1000000</f>
        <v>4.125</v>
      </c>
      <c r="W431" s="56">
        <f>(1000*CHOOSE(CONTROL!$C$42, 0.1146, 0.1146)*CHOOSE(CONTROL!$C$42, 121.5, 121.5)*CHOOSE(CONTROL!$C$42, 30, 30))/1000000</f>
        <v>0.417717</v>
      </c>
      <c r="X431" s="56">
        <f>(30*0.1790888*100000/1000000)+(30*0.2374*100000/1000000)</f>
        <v>1.2494664</v>
      </c>
      <c r="Y431" s="56"/>
      <c r="Z431" s="14"/>
      <c r="AA431" s="55"/>
      <c r="AB431" s="49">
        <f>(B431*122.58+C431*297.941+D431*89.177+E431*40.302+F431*40+G431*160+H431*0+I431*100+J431*300)/(122.58+297.941+89.177+40.302+0+40+160+100+300)</f>
        <v>18.992574002695651</v>
      </c>
      <c r="AC431" s="45">
        <f>(M431*'RAP TEMPLATE-GAS AVAILABILITY'!O430+N431*'RAP TEMPLATE-GAS AVAILABILITY'!P430+O431*'RAP TEMPLATE-GAS AVAILABILITY'!Q430+P431*'RAP TEMPLATE-GAS AVAILABILITY'!R430)/('RAP TEMPLATE-GAS AVAILABILITY'!O430+'RAP TEMPLATE-GAS AVAILABILITY'!P430+'RAP TEMPLATE-GAS AVAILABILITY'!Q430+'RAP TEMPLATE-GAS AVAILABILITY'!R430)</f>
        <v>18.697107913669061</v>
      </c>
    </row>
    <row r="432" spans="1:29" ht="15.75" x14ac:dyDescent="0.25">
      <c r="A432" s="33">
        <v>54057</v>
      </c>
      <c r="B432" s="14">
        <f>CHOOSE(CONTROL!$C$42, 20.2527, 20.2527) * CHOOSE(CONTROL!$C$21, $C$9, 100%, $E$9)</f>
        <v>20.252700000000001</v>
      </c>
      <c r="C432" s="14">
        <f>CHOOSE(CONTROL!$C$42, 20.2578, 20.2578) * CHOOSE(CONTROL!$C$21, $C$9, 100%, $E$9)</f>
        <v>20.2578</v>
      </c>
      <c r="D432" s="14">
        <f>CHOOSE(CONTROL!$C$42, 20.3409, 20.3409) * CHOOSE(CONTROL!$C$21, $C$9, 100%, $E$9)</f>
        <v>20.340900000000001</v>
      </c>
      <c r="E432" s="14">
        <f>CHOOSE(CONTROL!$C$42, 20.375, 20.375) * CHOOSE(CONTROL!$C$21, $C$9, 100%, $E$9)</f>
        <v>20.375</v>
      </c>
      <c r="F432" s="14">
        <f>CHOOSE(CONTROL!$C$42, 20.2828, 20.2828)*CHOOSE(CONTROL!$C$21, $C$9, 100%, $E$9)</f>
        <v>20.282800000000002</v>
      </c>
      <c r="G432" s="14">
        <f>CHOOSE(CONTROL!$C$42, 20.3008, 20.3008)*CHOOSE(CONTROL!$C$21, $C$9, 100%, $E$9)</f>
        <v>20.300799999999999</v>
      </c>
      <c r="H432" s="14">
        <f>CHOOSE(CONTROL!$C$42, 20.3642, 20.3642) * CHOOSE(CONTROL!$C$21, $C$9, 100%, $E$9)</f>
        <v>20.3642</v>
      </c>
      <c r="I432" s="14">
        <f>CHOOSE(CONTROL!$C$42, 20.3358, 20.3358)* CHOOSE(CONTROL!$C$21, $C$9, 100%, $E$9)</f>
        <v>20.335799999999999</v>
      </c>
      <c r="J432" s="14">
        <f>CHOOSE(CONTROL!$C$42, 20.2758, 20.2758)* CHOOSE(CONTROL!$C$21, $C$9, 100%, $E$9)</f>
        <v>20.2758</v>
      </c>
      <c r="K432" s="52">
        <f>CHOOSE(CONTROL!$C$42, 20.3319, 20.3319) * CHOOSE(CONTROL!$C$21, $C$9, 100%, $E$9)</f>
        <v>20.331900000000001</v>
      </c>
      <c r="L432" s="14">
        <f>CHOOSE(CONTROL!$C$42, 20.9512, 20.9512) * CHOOSE(CONTROL!$C$21, $C$9, 100%, $E$9)</f>
        <v>20.9512</v>
      </c>
      <c r="M432" s="14">
        <f>CHOOSE(CONTROL!$C$42, 19.9188, 19.9188) * CHOOSE(CONTROL!$C$21, $C$9, 100%, $E$9)</f>
        <v>19.918800000000001</v>
      </c>
      <c r="N432" s="14">
        <f>CHOOSE(CONTROL!$C$42, 19.9365, 19.9365) * CHOOSE(CONTROL!$C$21, $C$9, 100%, $E$9)</f>
        <v>19.936499999999999</v>
      </c>
      <c r="O432" s="14">
        <f>CHOOSE(CONTROL!$C$42, 20.0056, 20.0056) * CHOOSE(CONTROL!$C$21, $C$9, 100%, $E$9)</f>
        <v>20.005600000000001</v>
      </c>
      <c r="P432" s="14">
        <f>CHOOSE(CONTROL!$C$42, 19.9767, 19.9767) * CHOOSE(CONTROL!$C$21, $C$9, 100%, $E$9)</f>
        <v>19.976700000000001</v>
      </c>
      <c r="Q432" s="14">
        <f>CHOOSE(CONTROL!$C$42, 20.6003, 20.6003) * CHOOSE(CONTROL!$C$21, $C$9, 100%, $E$9)</f>
        <v>20.600300000000001</v>
      </c>
      <c r="R432" s="14">
        <f>CHOOSE(CONTROL!$C$42, 21.2388, 21.2388) * CHOOSE(CONTROL!$C$21, $C$9, 100%, $E$9)</f>
        <v>21.238800000000001</v>
      </c>
      <c r="S432" s="14">
        <f>CHOOSE(CONTROL!$C$42, 19.4523, 19.4523) * CHOOSE(CONTROL!$C$21, $C$9, 100%, $E$9)</f>
        <v>19.452300000000001</v>
      </c>
      <c r="T4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32" s="56">
        <f>(1000*CHOOSE(CONTROL!$C$42, 695, 695)*CHOOSE(CONTROL!$C$42, 0.5599, 0.5599)*CHOOSE(CONTROL!$C$42, 31, 31))/1000000</f>
        <v>12.063045499999998</v>
      </c>
      <c r="V432" s="56">
        <f>(1000*CHOOSE(CONTROL!$C$42, 500, 500)*CHOOSE(CONTROL!$C$42, 0.275, 0.275)*CHOOSE(CONTROL!$C$42, 31, 31))/1000000</f>
        <v>4.2625000000000002</v>
      </c>
      <c r="W432" s="56">
        <f>(1000*CHOOSE(CONTROL!$C$42, 0.1146, 0.1146)*CHOOSE(CONTROL!$C$42, 121.5, 121.5)*CHOOSE(CONTROL!$C$42, 31, 31))/1000000</f>
        <v>0.43164089999999994</v>
      </c>
      <c r="X432" s="56">
        <f>(31*0.1790888*100000/1000000)+(31*0.2374*100000/1000000)</f>
        <v>1.2911152800000001</v>
      </c>
      <c r="Y432" s="56"/>
      <c r="Z432" s="14"/>
      <c r="AA432" s="55"/>
      <c r="AB432" s="49">
        <f>(B432*122.58+C432*297.941+D432*89.177+E432*40.302+F432*40+G432*160+H432*0+I432*100+J432*300)/(122.58+297.941+89.177+40.302+0+40+160+100+300)</f>
        <v>20.286138126173906</v>
      </c>
      <c r="AC432" s="45">
        <f>(M432*'RAP TEMPLATE-GAS AVAILABILITY'!O431+N432*'RAP TEMPLATE-GAS AVAILABILITY'!P431+O432*'RAP TEMPLATE-GAS AVAILABILITY'!Q431+P432*'RAP TEMPLATE-GAS AVAILABILITY'!R431)/('RAP TEMPLATE-GAS AVAILABILITY'!O431+'RAP TEMPLATE-GAS AVAILABILITY'!P431+'RAP TEMPLATE-GAS AVAILABILITY'!Q431+'RAP TEMPLATE-GAS AVAILABILITY'!R431)</f>
        <v>19.967490647482016</v>
      </c>
    </row>
    <row r="433" spans="1:29" ht="15.75" x14ac:dyDescent="0.25">
      <c r="A433" s="33">
        <v>54088</v>
      </c>
      <c r="B433" s="14">
        <f>CHOOSE(CONTROL!$C$42, 21.9309, 21.9309) * CHOOSE(CONTROL!$C$21, $C$9, 100%, $E$9)</f>
        <v>21.930900000000001</v>
      </c>
      <c r="C433" s="14">
        <f>CHOOSE(CONTROL!$C$42, 21.936, 21.936) * CHOOSE(CONTROL!$C$21, $C$9, 100%, $E$9)</f>
        <v>21.936</v>
      </c>
      <c r="D433" s="14">
        <f>CHOOSE(CONTROL!$C$42, 22.0295, 22.0295) * CHOOSE(CONTROL!$C$21, $C$9, 100%, $E$9)</f>
        <v>22.029499999999999</v>
      </c>
      <c r="E433" s="14">
        <f>CHOOSE(CONTROL!$C$42, 22.0636, 22.0636) * CHOOSE(CONTROL!$C$21, $C$9, 100%, $E$9)</f>
        <v>22.063600000000001</v>
      </c>
      <c r="F433" s="14">
        <f>CHOOSE(CONTROL!$C$42, 21.9582, 21.9582)*CHOOSE(CONTROL!$C$21, $C$9, 100%, $E$9)</f>
        <v>21.958200000000001</v>
      </c>
      <c r="G433" s="14">
        <f>CHOOSE(CONTROL!$C$42, 21.9762, 21.9762)*CHOOSE(CONTROL!$C$21, $C$9, 100%, $E$9)</f>
        <v>21.976199999999999</v>
      </c>
      <c r="H433" s="14">
        <f>CHOOSE(CONTROL!$C$42, 22.0528, 22.0528) * CHOOSE(CONTROL!$C$21, $C$9, 100%, $E$9)</f>
        <v>22.052800000000001</v>
      </c>
      <c r="I433" s="14">
        <f>CHOOSE(CONTROL!$C$42, 22.0255, 22.0255)* CHOOSE(CONTROL!$C$21, $C$9, 100%, $E$9)</f>
        <v>22.025500000000001</v>
      </c>
      <c r="J433" s="14">
        <f>CHOOSE(CONTROL!$C$42, 21.9512, 21.9512)* CHOOSE(CONTROL!$C$21, $C$9, 100%, $E$9)</f>
        <v>21.9512</v>
      </c>
      <c r="K433" s="52">
        <f>CHOOSE(CONTROL!$C$42, 22.0216, 22.0216) * CHOOSE(CONTROL!$C$21, $C$9, 100%, $E$9)</f>
        <v>22.021599999999999</v>
      </c>
      <c r="L433" s="14">
        <f>CHOOSE(CONTROL!$C$42, 22.6398, 22.6398) * CHOOSE(CONTROL!$C$21, $C$9, 100%, $E$9)</f>
        <v>22.639800000000001</v>
      </c>
      <c r="M433" s="14">
        <f>CHOOSE(CONTROL!$C$42, 21.5641, 21.5641) * CHOOSE(CONTROL!$C$21, $C$9, 100%, $E$9)</f>
        <v>21.5641</v>
      </c>
      <c r="N433" s="14">
        <f>CHOOSE(CONTROL!$C$42, 21.5817, 21.5817) * CHOOSE(CONTROL!$C$21, $C$9, 100%, $E$9)</f>
        <v>21.581700000000001</v>
      </c>
      <c r="O433" s="14">
        <f>CHOOSE(CONTROL!$C$42, 21.6638, 21.6638) * CHOOSE(CONTROL!$C$21, $C$9, 100%, $E$9)</f>
        <v>21.663799999999998</v>
      </c>
      <c r="P433" s="14">
        <f>CHOOSE(CONTROL!$C$42, 21.6359, 21.6359) * CHOOSE(CONTROL!$C$21, $C$9, 100%, $E$9)</f>
        <v>21.635899999999999</v>
      </c>
      <c r="Q433" s="14">
        <f>CHOOSE(CONTROL!$C$42, 22.2585, 22.2585) * CHOOSE(CONTROL!$C$21, $C$9, 100%, $E$9)</f>
        <v>22.258500000000002</v>
      </c>
      <c r="R433" s="14">
        <f>CHOOSE(CONTROL!$C$42, 22.9011, 22.9011) * CHOOSE(CONTROL!$C$21, $C$9, 100%, $E$9)</f>
        <v>22.9011</v>
      </c>
      <c r="S433" s="14">
        <f>CHOOSE(CONTROL!$C$42, 21.0649, 21.0649) * CHOOSE(CONTROL!$C$21, $C$9, 100%, $E$9)</f>
        <v>21.064900000000002</v>
      </c>
      <c r="T4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33" s="56">
        <f>(1000*CHOOSE(CONTROL!$C$42, 695, 695)*CHOOSE(CONTROL!$C$42, 0.5599, 0.5599)*CHOOSE(CONTROL!$C$42, 31, 31))/1000000</f>
        <v>12.063045499999998</v>
      </c>
      <c r="V433" s="56">
        <f>(1000*CHOOSE(CONTROL!$C$42, 500, 500)*CHOOSE(CONTROL!$C$42, 0.275, 0.275)*CHOOSE(CONTROL!$C$42, 31, 31))/1000000</f>
        <v>4.2625000000000002</v>
      </c>
      <c r="W433" s="56">
        <f>(1000*CHOOSE(CONTROL!$C$42, 0.1146, 0.1146)*CHOOSE(CONTROL!$C$42, 121.5, 121.5)*CHOOSE(CONTROL!$C$42, 31, 31))/1000000</f>
        <v>0.43164089999999994</v>
      </c>
      <c r="X433" s="56">
        <f>(31*0.1790888*100000/1000000)+(31*0.2374*100000/1000000)</f>
        <v>1.2911152800000001</v>
      </c>
      <c r="Y433" s="56"/>
      <c r="Z433" s="14"/>
      <c r="AA433" s="55"/>
      <c r="AB433" s="49">
        <f>(B433*122.58+C433*297.941+D433*89.177+E433*40.302+F433*40+G433*160+H433*0+I433*100+J433*300)/(122.58+297.941+89.177+40.302+0+40+160+100+300)</f>
        <v>21.965291675391303</v>
      </c>
      <c r="AC433" s="45">
        <f>(M433*'RAP TEMPLATE-GAS AVAILABILITY'!O432+N433*'RAP TEMPLATE-GAS AVAILABILITY'!P432+O433*'RAP TEMPLATE-GAS AVAILABILITY'!Q432+P433*'RAP TEMPLATE-GAS AVAILABILITY'!R432)/('RAP TEMPLATE-GAS AVAILABILITY'!O432+'RAP TEMPLATE-GAS AVAILABILITY'!P432+'RAP TEMPLATE-GAS AVAILABILITY'!Q432+'RAP TEMPLATE-GAS AVAILABILITY'!R432)</f>
        <v>21.620631654676259</v>
      </c>
    </row>
    <row r="434" spans="1:29" ht="15.75" x14ac:dyDescent="0.25">
      <c r="A434" s="33">
        <v>54116</v>
      </c>
      <c r="B434" s="14">
        <f>CHOOSE(CONTROL!$C$42, 22.3212, 22.3212) * CHOOSE(CONTROL!$C$21, $C$9, 100%, $E$9)</f>
        <v>22.321200000000001</v>
      </c>
      <c r="C434" s="14">
        <f>CHOOSE(CONTROL!$C$42, 22.3262, 22.3262) * CHOOSE(CONTROL!$C$21, $C$9, 100%, $E$9)</f>
        <v>22.3262</v>
      </c>
      <c r="D434" s="14">
        <f>CHOOSE(CONTROL!$C$42, 22.4197, 22.4197) * CHOOSE(CONTROL!$C$21, $C$9, 100%, $E$9)</f>
        <v>22.419699999999999</v>
      </c>
      <c r="E434" s="14">
        <f>CHOOSE(CONTROL!$C$42, 22.4538, 22.4538) * CHOOSE(CONTROL!$C$21, $C$9, 100%, $E$9)</f>
        <v>22.453800000000001</v>
      </c>
      <c r="F434" s="14">
        <f>CHOOSE(CONTROL!$C$42, 22.3481, 22.3481)*CHOOSE(CONTROL!$C$21, $C$9, 100%, $E$9)</f>
        <v>22.348099999999999</v>
      </c>
      <c r="G434" s="14">
        <f>CHOOSE(CONTROL!$C$42, 22.366, 22.366)*CHOOSE(CONTROL!$C$21, $C$9, 100%, $E$9)</f>
        <v>22.366</v>
      </c>
      <c r="H434" s="14">
        <f>CHOOSE(CONTROL!$C$42, 22.443, 22.443) * CHOOSE(CONTROL!$C$21, $C$9, 100%, $E$9)</f>
        <v>22.443000000000001</v>
      </c>
      <c r="I434" s="14">
        <f>CHOOSE(CONTROL!$C$42, 22.4169, 22.4169)* CHOOSE(CONTROL!$C$21, $C$9, 100%, $E$9)</f>
        <v>22.416899999999998</v>
      </c>
      <c r="J434" s="14">
        <f>CHOOSE(CONTROL!$C$42, 22.3411, 22.3411)* CHOOSE(CONTROL!$C$21, $C$9, 100%, $E$9)</f>
        <v>22.341100000000001</v>
      </c>
      <c r="K434" s="52">
        <f>CHOOSE(CONTROL!$C$42, 22.4131, 22.4131) * CHOOSE(CONTROL!$C$21, $C$9, 100%, $E$9)</f>
        <v>22.4131</v>
      </c>
      <c r="L434" s="14">
        <f>CHOOSE(CONTROL!$C$42, 23.03, 23.03) * CHOOSE(CONTROL!$C$21, $C$9, 100%, $E$9)</f>
        <v>23.03</v>
      </c>
      <c r="M434" s="14">
        <f>CHOOSE(CONTROL!$C$42, 21.9469, 21.9469) * CHOOSE(CONTROL!$C$21, $C$9, 100%, $E$9)</f>
        <v>21.946899999999999</v>
      </c>
      <c r="N434" s="14">
        <f>CHOOSE(CONTROL!$C$42, 21.9645, 21.9645) * CHOOSE(CONTROL!$C$21, $C$9, 100%, $E$9)</f>
        <v>21.964500000000001</v>
      </c>
      <c r="O434" s="14">
        <f>CHOOSE(CONTROL!$C$42, 22.047, 22.047) * CHOOSE(CONTROL!$C$21, $C$9, 100%, $E$9)</f>
        <v>22.047000000000001</v>
      </c>
      <c r="P434" s="14">
        <f>CHOOSE(CONTROL!$C$42, 22.0203, 22.0203) * CHOOSE(CONTROL!$C$21, $C$9, 100%, $E$9)</f>
        <v>22.020299999999999</v>
      </c>
      <c r="Q434" s="14">
        <f>CHOOSE(CONTROL!$C$42, 22.6417, 22.6417) * CHOOSE(CONTROL!$C$21, $C$9, 100%, $E$9)</f>
        <v>22.6417</v>
      </c>
      <c r="R434" s="14">
        <f>CHOOSE(CONTROL!$C$42, 23.2853, 23.2853) * CHOOSE(CONTROL!$C$21, $C$9, 100%, $E$9)</f>
        <v>23.285299999999999</v>
      </c>
      <c r="S434" s="14">
        <f>CHOOSE(CONTROL!$C$42, 21.4399, 21.4399) * CHOOSE(CONTROL!$C$21, $C$9, 100%, $E$9)</f>
        <v>21.439900000000002</v>
      </c>
      <c r="T43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34" s="56">
        <f>(1000*CHOOSE(CONTROL!$C$42, 695, 695)*CHOOSE(CONTROL!$C$42, 0.5599, 0.5599)*CHOOSE(CONTROL!$C$42, 29, 29))/1000000</f>
        <v>11.284784499999999</v>
      </c>
      <c r="V434" s="56">
        <f>(1000*CHOOSE(CONTROL!$C$42, 500, 500)*CHOOSE(CONTROL!$C$42, 0.275, 0.275)*CHOOSE(CONTROL!$C$42, 29, 29))/1000000</f>
        <v>3.9874999999999998</v>
      </c>
      <c r="W434" s="56">
        <f>(1000*CHOOSE(CONTROL!$C$42, 0.1146, 0.1146)*CHOOSE(CONTROL!$C$42, 121.5, 121.5)*CHOOSE(CONTROL!$C$42, 29, 29))/1000000</f>
        <v>0.40379309999999996</v>
      </c>
      <c r="X434" s="56">
        <f>(29*0.1790888*100000/1000000)+(29*0.2374*100000/1000000)</f>
        <v>1.2078175199999999</v>
      </c>
      <c r="Y434" s="56"/>
      <c r="Z434" s="14"/>
      <c r="AA434" s="55"/>
      <c r="AB434" s="49">
        <f>(B434*122.58+C434*297.941+D434*89.177+E434*40.302+F434*40+G434*160+H434*0+I434*100+J434*300)/(122.58+297.941+89.177+40.302+0+40+160+100+300)</f>
        <v>22.355462334521739</v>
      </c>
      <c r="AC434" s="45">
        <f>(M434*'RAP TEMPLATE-GAS AVAILABILITY'!O433+N434*'RAP TEMPLATE-GAS AVAILABILITY'!P433+O434*'RAP TEMPLATE-GAS AVAILABILITY'!Q433+P434*'RAP TEMPLATE-GAS AVAILABILITY'!R433)/('RAP TEMPLATE-GAS AVAILABILITY'!O433+'RAP TEMPLATE-GAS AVAILABILITY'!P433+'RAP TEMPLATE-GAS AVAILABILITY'!Q433+'RAP TEMPLATE-GAS AVAILABILITY'!R433)</f>
        <v>22.003843165467625</v>
      </c>
    </row>
    <row r="435" spans="1:29" ht="15.75" x14ac:dyDescent="0.25">
      <c r="A435" s="33">
        <v>54148</v>
      </c>
      <c r="B435" s="14">
        <f>CHOOSE(CONTROL!$C$42, 21.6877, 21.6877) * CHOOSE(CONTROL!$C$21, $C$9, 100%, $E$9)</f>
        <v>21.6877</v>
      </c>
      <c r="C435" s="14">
        <f>CHOOSE(CONTROL!$C$42, 21.6928, 21.6928) * CHOOSE(CONTROL!$C$21, $C$9, 100%, $E$9)</f>
        <v>21.692799999999998</v>
      </c>
      <c r="D435" s="14">
        <f>CHOOSE(CONTROL!$C$42, 21.7862, 21.7862) * CHOOSE(CONTROL!$C$21, $C$9, 100%, $E$9)</f>
        <v>21.786200000000001</v>
      </c>
      <c r="E435" s="14">
        <f>CHOOSE(CONTROL!$C$42, 21.8204, 21.8204) * CHOOSE(CONTROL!$C$21, $C$9, 100%, $E$9)</f>
        <v>21.820399999999999</v>
      </c>
      <c r="F435" s="14">
        <f>CHOOSE(CONTROL!$C$42, 21.7138, 21.7138)*CHOOSE(CONTROL!$C$21, $C$9, 100%, $E$9)</f>
        <v>21.713799999999999</v>
      </c>
      <c r="G435" s="14">
        <f>CHOOSE(CONTROL!$C$42, 21.7314, 21.7314)*CHOOSE(CONTROL!$C$21, $C$9, 100%, $E$9)</f>
        <v>21.731400000000001</v>
      </c>
      <c r="H435" s="14">
        <f>CHOOSE(CONTROL!$C$42, 21.8095, 21.8095) * CHOOSE(CONTROL!$C$21, $C$9, 100%, $E$9)</f>
        <v>21.8095</v>
      </c>
      <c r="I435" s="14">
        <f>CHOOSE(CONTROL!$C$42, 21.7815, 21.7815)* CHOOSE(CONTROL!$C$21, $C$9, 100%, $E$9)</f>
        <v>21.781500000000001</v>
      </c>
      <c r="J435" s="14">
        <f>CHOOSE(CONTROL!$C$42, 21.7068, 21.7068)* CHOOSE(CONTROL!$C$21, $C$9, 100%, $E$9)</f>
        <v>21.706800000000001</v>
      </c>
      <c r="K435" s="52">
        <f>CHOOSE(CONTROL!$C$42, 21.7776, 21.7776) * CHOOSE(CONTROL!$C$21, $C$9, 100%, $E$9)</f>
        <v>21.7776</v>
      </c>
      <c r="L435" s="14">
        <f>CHOOSE(CONTROL!$C$42, 22.3965, 22.3965) * CHOOSE(CONTROL!$C$21, $C$9, 100%, $E$9)</f>
        <v>22.3965</v>
      </c>
      <c r="M435" s="14">
        <f>CHOOSE(CONTROL!$C$42, 21.324, 21.324) * CHOOSE(CONTROL!$C$21, $C$9, 100%, $E$9)</f>
        <v>21.324000000000002</v>
      </c>
      <c r="N435" s="14">
        <f>CHOOSE(CONTROL!$C$42, 21.3414, 21.3414) * CHOOSE(CONTROL!$C$21, $C$9, 100%, $E$9)</f>
        <v>21.3414</v>
      </c>
      <c r="O435" s="14">
        <f>CHOOSE(CONTROL!$C$42, 21.425, 21.425) * CHOOSE(CONTROL!$C$21, $C$9, 100%, $E$9)</f>
        <v>21.425000000000001</v>
      </c>
      <c r="P435" s="14">
        <f>CHOOSE(CONTROL!$C$42, 21.3963, 21.3963) * CHOOSE(CONTROL!$C$21, $C$9, 100%, $E$9)</f>
        <v>21.3963</v>
      </c>
      <c r="Q435" s="14">
        <f>CHOOSE(CONTROL!$C$42, 22.0197, 22.0197) * CHOOSE(CONTROL!$C$21, $C$9, 100%, $E$9)</f>
        <v>22.0197</v>
      </c>
      <c r="R435" s="14">
        <f>CHOOSE(CONTROL!$C$42, 22.6617, 22.6617) * CHOOSE(CONTROL!$C$21, $C$9, 100%, $E$9)</f>
        <v>22.6617</v>
      </c>
      <c r="S435" s="14">
        <f>CHOOSE(CONTROL!$C$42, 20.8312, 20.8312) * CHOOSE(CONTROL!$C$21, $C$9, 100%, $E$9)</f>
        <v>20.831199999999999</v>
      </c>
      <c r="T4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35" s="56">
        <f>(1000*CHOOSE(CONTROL!$C$42, 695, 695)*CHOOSE(CONTROL!$C$42, 0.5599, 0.5599)*CHOOSE(CONTROL!$C$42, 31, 31))/1000000</f>
        <v>12.063045499999998</v>
      </c>
      <c r="V435" s="56">
        <f>(1000*CHOOSE(CONTROL!$C$42, 500, 500)*CHOOSE(CONTROL!$C$42, 0.275, 0.275)*CHOOSE(CONTROL!$C$42, 31, 31))/1000000</f>
        <v>4.2625000000000002</v>
      </c>
      <c r="W435" s="56">
        <f>(1000*CHOOSE(CONTROL!$C$42, 0.1146, 0.1146)*CHOOSE(CONTROL!$C$42, 121.5, 121.5)*CHOOSE(CONTROL!$C$42, 31, 31))/1000000</f>
        <v>0.43164089999999994</v>
      </c>
      <c r="X435" s="56">
        <f>(31*0.1790888*100000/1000000)+(31*0.2374*100000/1000000)</f>
        <v>1.2911152800000001</v>
      </c>
      <c r="Y435" s="56"/>
      <c r="Z435" s="14"/>
      <c r="AA435" s="55"/>
      <c r="AB435" s="49">
        <f>(B435*122.58+C435*297.941+D435*89.177+E435*40.302+F435*40+G435*160+H435*0+I435*100+J435*300)/(122.58+297.941+89.177+40.302+0+40+160+100+300)</f>
        <v>21.721436964347827</v>
      </c>
      <c r="AC435" s="45">
        <f>(M435*'RAP TEMPLATE-GAS AVAILABILITY'!O434+N435*'RAP TEMPLATE-GAS AVAILABILITY'!P434+O435*'RAP TEMPLATE-GAS AVAILABILITY'!Q434+P435*'RAP TEMPLATE-GAS AVAILABILITY'!R434)/('RAP TEMPLATE-GAS AVAILABILITY'!O434+'RAP TEMPLATE-GAS AVAILABILITY'!P434+'RAP TEMPLATE-GAS AVAILABILITY'!Q434+'RAP TEMPLATE-GAS AVAILABILITY'!R434)</f>
        <v>21.381181294964033</v>
      </c>
    </row>
    <row r="436" spans="1:29" ht="15.75" x14ac:dyDescent="0.25">
      <c r="A436" s="33">
        <v>54178</v>
      </c>
      <c r="B436" s="14">
        <f>CHOOSE(CONTROL!$C$42, 21.6238, 21.6238) * CHOOSE(CONTROL!$C$21, $C$9, 100%, $E$9)</f>
        <v>21.623799999999999</v>
      </c>
      <c r="C436" s="14">
        <f>CHOOSE(CONTROL!$C$42, 21.6283, 21.6283) * CHOOSE(CONTROL!$C$21, $C$9, 100%, $E$9)</f>
        <v>21.628299999999999</v>
      </c>
      <c r="D436" s="14">
        <f>CHOOSE(CONTROL!$C$42, 21.8905, 21.8905) * CHOOSE(CONTROL!$C$21, $C$9, 100%, $E$9)</f>
        <v>21.890499999999999</v>
      </c>
      <c r="E436" s="14">
        <f>CHOOSE(CONTROL!$C$42, 21.9226, 21.9226) * CHOOSE(CONTROL!$C$21, $C$9, 100%, $E$9)</f>
        <v>21.922599999999999</v>
      </c>
      <c r="F436" s="14">
        <f>CHOOSE(CONTROL!$C$42, 21.6466, 21.6466)*CHOOSE(CONTROL!$C$21, $C$9, 100%, $E$9)</f>
        <v>21.646599999999999</v>
      </c>
      <c r="G436" s="14">
        <f>CHOOSE(CONTROL!$C$42, 21.6634, 21.6634)*CHOOSE(CONTROL!$C$21, $C$9, 100%, $E$9)</f>
        <v>21.663399999999999</v>
      </c>
      <c r="H436" s="14">
        <f>CHOOSE(CONTROL!$C$42, 21.9124, 21.9124) * CHOOSE(CONTROL!$C$21, $C$9, 100%, $E$9)</f>
        <v>21.912400000000002</v>
      </c>
      <c r="I436" s="14">
        <f>CHOOSE(CONTROL!$C$42, 21.714, 21.714)* CHOOSE(CONTROL!$C$21, $C$9, 100%, $E$9)</f>
        <v>21.713999999999999</v>
      </c>
      <c r="J436" s="14">
        <f>CHOOSE(CONTROL!$C$42, 21.6396, 21.6396)* CHOOSE(CONTROL!$C$21, $C$9, 100%, $E$9)</f>
        <v>21.639600000000002</v>
      </c>
      <c r="K436" s="52">
        <f>CHOOSE(CONTROL!$C$42, 21.7101, 21.7101) * CHOOSE(CONTROL!$C$21, $C$9, 100%, $E$9)</f>
        <v>21.710100000000001</v>
      </c>
      <c r="L436" s="14">
        <f>CHOOSE(CONTROL!$C$42, 22.4994, 22.4994) * CHOOSE(CONTROL!$C$21, $C$9, 100%, $E$9)</f>
        <v>22.499400000000001</v>
      </c>
      <c r="M436" s="14">
        <f>CHOOSE(CONTROL!$C$42, 21.2581, 21.2581) * CHOOSE(CONTROL!$C$21, $C$9, 100%, $E$9)</f>
        <v>21.258099999999999</v>
      </c>
      <c r="N436" s="14">
        <f>CHOOSE(CONTROL!$C$42, 21.2745, 21.2745) * CHOOSE(CONTROL!$C$21, $C$9, 100%, $E$9)</f>
        <v>21.2745</v>
      </c>
      <c r="O436" s="14">
        <f>CHOOSE(CONTROL!$C$42, 21.526, 21.526) * CHOOSE(CONTROL!$C$21, $C$9, 100%, $E$9)</f>
        <v>21.526</v>
      </c>
      <c r="P436" s="14">
        <f>CHOOSE(CONTROL!$C$42, 21.33, 21.33) * CHOOSE(CONTROL!$C$21, $C$9, 100%, $E$9)</f>
        <v>21.33</v>
      </c>
      <c r="Q436" s="14">
        <f>CHOOSE(CONTROL!$C$42, 22.1207, 22.1207) * CHOOSE(CONTROL!$C$21, $C$9, 100%, $E$9)</f>
        <v>22.120699999999999</v>
      </c>
      <c r="R436" s="14">
        <f>CHOOSE(CONTROL!$C$42, 22.763, 22.763) * CHOOSE(CONTROL!$C$21, $C$9, 100%, $E$9)</f>
        <v>22.763000000000002</v>
      </c>
      <c r="S436" s="14">
        <f>CHOOSE(CONTROL!$C$42, 20.769, 20.769) * CHOOSE(CONTROL!$C$21, $C$9, 100%, $E$9)</f>
        <v>20.768999999999998</v>
      </c>
      <c r="T4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36" s="56">
        <f>(1000*CHOOSE(CONTROL!$C$42, 695, 695)*CHOOSE(CONTROL!$C$42, 0.5599, 0.5599)*CHOOSE(CONTROL!$C$42, 30, 30))/1000000</f>
        <v>11.673914999999997</v>
      </c>
      <c r="V436" s="56">
        <f>(1000*CHOOSE(CONTROL!$C$42, 500, 500)*CHOOSE(CONTROL!$C$42, 0.275, 0.275)*CHOOSE(CONTROL!$C$42, 30, 30))/1000000</f>
        <v>4.125</v>
      </c>
      <c r="W436" s="56">
        <f>(1000*CHOOSE(CONTROL!$C$42, 0.1146, 0.1146)*CHOOSE(CONTROL!$C$42, 121.5, 121.5)*CHOOSE(CONTROL!$C$42, 30, 30))/1000000</f>
        <v>0.417717</v>
      </c>
      <c r="X436" s="56">
        <f>(30*0.1790888*245000/1000000)+(30*0.2374*100000/1000000)</f>
        <v>2.0285026799999999</v>
      </c>
      <c r="Y436" s="56"/>
      <c r="Z436" s="14"/>
      <c r="AA436" s="55"/>
      <c r="AB436" s="49">
        <f>(B436*141.293+C436*267.993+D436*115.016+E436*89.698+F436*40+G436*185+H436*0+I436*100+J436*300)/(141.293+267.993+115.016+89.698+0+40+185+100+300)</f>
        <v>21.688917431880547</v>
      </c>
      <c r="AC436" s="45">
        <f>(M436*'RAP TEMPLATE-GAS AVAILABILITY'!O435+N436*'RAP TEMPLATE-GAS AVAILABILITY'!P435+O436*'RAP TEMPLATE-GAS AVAILABILITY'!Q435+P436*'RAP TEMPLATE-GAS AVAILABILITY'!R435)/('RAP TEMPLATE-GAS AVAILABILITY'!O435+'RAP TEMPLATE-GAS AVAILABILITY'!P435+'RAP TEMPLATE-GAS AVAILABILITY'!Q435+'RAP TEMPLATE-GAS AVAILABILITY'!R435)</f>
        <v>21.347387050359711</v>
      </c>
    </row>
    <row r="437" spans="1:29" ht="15.75" x14ac:dyDescent="0.25">
      <c r="A437" s="33">
        <v>54209</v>
      </c>
      <c r="B437" s="14">
        <f>CHOOSE(CONTROL!$C$42, 21.816, 21.816) * CHOOSE(CONTROL!$C$21, $C$9, 100%, $E$9)</f>
        <v>21.815999999999999</v>
      </c>
      <c r="C437" s="14">
        <f>CHOOSE(CONTROL!$C$42, 21.824, 21.824) * CHOOSE(CONTROL!$C$21, $C$9, 100%, $E$9)</f>
        <v>21.824000000000002</v>
      </c>
      <c r="D437" s="14">
        <f>CHOOSE(CONTROL!$C$42, 22.0831, 22.0831) * CHOOSE(CONTROL!$C$21, $C$9, 100%, $E$9)</f>
        <v>22.083100000000002</v>
      </c>
      <c r="E437" s="14">
        <f>CHOOSE(CONTROL!$C$42, 22.1145, 22.1145) * CHOOSE(CONTROL!$C$21, $C$9, 100%, $E$9)</f>
        <v>22.1145</v>
      </c>
      <c r="F437" s="14">
        <f>CHOOSE(CONTROL!$C$42, 21.8375, 21.8375)*CHOOSE(CONTROL!$C$21, $C$9, 100%, $E$9)</f>
        <v>21.837499999999999</v>
      </c>
      <c r="G437" s="14">
        <f>CHOOSE(CONTROL!$C$42, 21.8545, 21.8545)*CHOOSE(CONTROL!$C$21, $C$9, 100%, $E$9)</f>
        <v>21.854500000000002</v>
      </c>
      <c r="H437" s="14">
        <f>CHOOSE(CONTROL!$C$42, 22.1032, 22.1032) * CHOOSE(CONTROL!$C$21, $C$9, 100%, $E$9)</f>
        <v>22.103200000000001</v>
      </c>
      <c r="I437" s="14">
        <f>CHOOSE(CONTROL!$C$42, 21.9054, 21.9054)* CHOOSE(CONTROL!$C$21, $C$9, 100%, $E$9)</f>
        <v>21.9054</v>
      </c>
      <c r="J437" s="14">
        <f>CHOOSE(CONTROL!$C$42, 21.8305, 21.8305)* CHOOSE(CONTROL!$C$21, $C$9, 100%, $E$9)</f>
        <v>21.830500000000001</v>
      </c>
      <c r="K437" s="52">
        <f>CHOOSE(CONTROL!$C$42, 21.9015, 21.9015) * CHOOSE(CONTROL!$C$21, $C$9, 100%, $E$9)</f>
        <v>21.901499999999999</v>
      </c>
      <c r="L437" s="14">
        <f>CHOOSE(CONTROL!$C$42, 22.6902, 22.6902) * CHOOSE(CONTROL!$C$21, $C$9, 100%, $E$9)</f>
        <v>22.690200000000001</v>
      </c>
      <c r="M437" s="14">
        <f>CHOOSE(CONTROL!$C$42, 21.4455, 21.4455) * CHOOSE(CONTROL!$C$21, $C$9, 100%, $E$9)</f>
        <v>21.445499999999999</v>
      </c>
      <c r="N437" s="14">
        <f>CHOOSE(CONTROL!$C$42, 21.4622, 21.4622) * CHOOSE(CONTROL!$C$21, $C$9, 100%, $E$9)</f>
        <v>21.462199999999999</v>
      </c>
      <c r="O437" s="14">
        <f>CHOOSE(CONTROL!$C$42, 21.7133, 21.7133) * CHOOSE(CONTROL!$C$21, $C$9, 100%, $E$9)</f>
        <v>21.7133</v>
      </c>
      <c r="P437" s="14">
        <f>CHOOSE(CONTROL!$C$42, 21.5179, 21.5179) * CHOOSE(CONTROL!$C$21, $C$9, 100%, $E$9)</f>
        <v>21.517900000000001</v>
      </c>
      <c r="Q437" s="14">
        <f>CHOOSE(CONTROL!$C$42, 22.308, 22.308) * CHOOSE(CONTROL!$C$21, $C$9, 100%, $E$9)</f>
        <v>22.308</v>
      </c>
      <c r="R437" s="14">
        <f>CHOOSE(CONTROL!$C$42, 22.9508, 22.9508) * CHOOSE(CONTROL!$C$21, $C$9, 100%, $E$9)</f>
        <v>22.950800000000001</v>
      </c>
      <c r="S437" s="14">
        <f>CHOOSE(CONTROL!$C$42, 20.9523, 20.9523) * CHOOSE(CONTROL!$C$21, $C$9, 100%, $E$9)</f>
        <v>20.952300000000001</v>
      </c>
      <c r="T4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37" s="56">
        <f>(1000*CHOOSE(CONTROL!$C$42, 695, 695)*CHOOSE(CONTROL!$C$42, 0.5599, 0.5599)*CHOOSE(CONTROL!$C$42, 31, 31))/1000000</f>
        <v>12.063045499999998</v>
      </c>
      <c r="V437" s="56">
        <f>(1000*CHOOSE(CONTROL!$C$42, 500, 500)*CHOOSE(CONTROL!$C$42, 0.275, 0.275)*CHOOSE(CONTROL!$C$42, 31, 31))/1000000</f>
        <v>4.2625000000000002</v>
      </c>
      <c r="W437" s="56">
        <f>(1000*CHOOSE(CONTROL!$C$42, 0.1146, 0.1146)*CHOOSE(CONTROL!$C$42, 121.5, 121.5)*CHOOSE(CONTROL!$C$42, 31, 31))/1000000</f>
        <v>0.43164089999999994</v>
      </c>
      <c r="X437" s="56">
        <f>(31*0.1790888*245000/1000000)+(31*0.2374*100000/1000000)</f>
        <v>2.0961194359999999</v>
      </c>
      <c r="Y437" s="56"/>
      <c r="Z437" s="14"/>
      <c r="AA437" s="55"/>
      <c r="AB437" s="49">
        <f>(B437*194.205+C437*267.466+D437*133.845+E437*53.484+F437*40+G437*185+H437*0+I437*100+J437*300)/(194.205+267.466+133.845+53.484+0+40+185+100+300)</f>
        <v>21.874969545918368</v>
      </c>
      <c r="AC437" s="45">
        <f>(M437*'RAP TEMPLATE-GAS AVAILABILITY'!O436+N437*'RAP TEMPLATE-GAS AVAILABILITY'!P436+O437*'RAP TEMPLATE-GAS AVAILABILITY'!Q436+P437*'RAP TEMPLATE-GAS AVAILABILITY'!R436)/('RAP TEMPLATE-GAS AVAILABILITY'!O436+'RAP TEMPLATE-GAS AVAILABILITY'!P436+'RAP TEMPLATE-GAS AVAILABILITY'!Q436+'RAP TEMPLATE-GAS AVAILABILITY'!R436)</f>
        <v>21.5349</v>
      </c>
    </row>
    <row r="438" spans="1:29" ht="15.75" x14ac:dyDescent="0.25">
      <c r="A438" s="33">
        <v>54239</v>
      </c>
      <c r="B438" s="14">
        <f>CHOOSE(CONTROL!$C$42, 22.4345, 22.4345) * CHOOSE(CONTROL!$C$21, $C$9, 100%, $E$9)</f>
        <v>22.4345</v>
      </c>
      <c r="C438" s="14">
        <f>CHOOSE(CONTROL!$C$42, 22.4425, 22.4425) * CHOOSE(CONTROL!$C$21, $C$9, 100%, $E$9)</f>
        <v>22.442499999999999</v>
      </c>
      <c r="D438" s="14">
        <f>CHOOSE(CONTROL!$C$42, 22.7016, 22.7016) * CHOOSE(CONTROL!$C$21, $C$9, 100%, $E$9)</f>
        <v>22.701599999999999</v>
      </c>
      <c r="E438" s="14">
        <f>CHOOSE(CONTROL!$C$42, 22.7331, 22.7331) * CHOOSE(CONTROL!$C$21, $C$9, 100%, $E$9)</f>
        <v>22.7331</v>
      </c>
      <c r="F438" s="14">
        <f>CHOOSE(CONTROL!$C$42, 22.4562, 22.4562)*CHOOSE(CONTROL!$C$21, $C$9, 100%, $E$9)</f>
        <v>22.456199999999999</v>
      </c>
      <c r="G438" s="14">
        <f>CHOOSE(CONTROL!$C$42, 22.4733, 22.4733)*CHOOSE(CONTROL!$C$21, $C$9, 100%, $E$9)</f>
        <v>22.473299999999998</v>
      </c>
      <c r="H438" s="14">
        <f>CHOOSE(CONTROL!$C$42, 22.7217, 22.7217) * CHOOSE(CONTROL!$C$21, $C$9, 100%, $E$9)</f>
        <v>22.721699999999998</v>
      </c>
      <c r="I438" s="14">
        <f>CHOOSE(CONTROL!$C$42, 22.5258, 22.5258)* CHOOSE(CONTROL!$C$21, $C$9, 100%, $E$9)</f>
        <v>22.5258</v>
      </c>
      <c r="J438" s="14">
        <f>CHOOSE(CONTROL!$C$42, 22.4492, 22.4492)* CHOOSE(CONTROL!$C$21, $C$9, 100%, $E$9)</f>
        <v>22.449200000000001</v>
      </c>
      <c r="K438" s="52">
        <f>CHOOSE(CONTROL!$C$42, 22.5219, 22.5219) * CHOOSE(CONTROL!$C$21, $C$9, 100%, $E$9)</f>
        <v>22.521899999999999</v>
      </c>
      <c r="L438" s="14">
        <f>CHOOSE(CONTROL!$C$42, 23.3087, 23.3087) * CHOOSE(CONTROL!$C$21, $C$9, 100%, $E$9)</f>
        <v>23.308700000000002</v>
      </c>
      <c r="M438" s="14">
        <f>CHOOSE(CONTROL!$C$42, 22.0532, 22.0532) * CHOOSE(CONTROL!$C$21, $C$9, 100%, $E$9)</f>
        <v>22.0532</v>
      </c>
      <c r="N438" s="14">
        <f>CHOOSE(CONTROL!$C$42, 22.0699, 22.0699) * CHOOSE(CONTROL!$C$21, $C$9, 100%, $E$9)</f>
        <v>22.069900000000001</v>
      </c>
      <c r="O438" s="14">
        <f>CHOOSE(CONTROL!$C$42, 22.3207, 22.3207) * CHOOSE(CONTROL!$C$21, $C$9, 100%, $E$9)</f>
        <v>22.320699999999999</v>
      </c>
      <c r="P438" s="14">
        <f>CHOOSE(CONTROL!$C$42, 22.1272, 22.1272) * CHOOSE(CONTROL!$C$21, $C$9, 100%, $E$9)</f>
        <v>22.127199999999998</v>
      </c>
      <c r="Q438" s="14">
        <f>CHOOSE(CONTROL!$C$42, 22.9154, 22.9154) * CHOOSE(CONTROL!$C$21, $C$9, 100%, $E$9)</f>
        <v>22.915400000000002</v>
      </c>
      <c r="R438" s="14">
        <f>CHOOSE(CONTROL!$C$42, 23.5597, 23.5597) * CHOOSE(CONTROL!$C$21, $C$9, 100%, $E$9)</f>
        <v>23.559699999999999</v>
      </c>
      <c r="S438" s="14">
        <f>CHOOSE(CONTROL!$C$42, 21.5466, 21.5466) * CHOOSE(CONTROL!$C$21, $C$9, 100%, $E$9)</f>
        <v>21.546600000000002</v>
      </c>
      <c r="T4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38" s="56">
        <f>(1000*CHOOSE(CONTROL!$C$42, 695, 695)*CHOOSE(CONTROL!$C$42, 0.5599, 0.5599)*CHOOSE(CONTROL!$C$42, 30, 30))/1000000</f>
        <v>11.673914999999997</v>
      </c>
      <c r="V438" s="56">
        <f>(1000*CHOOSE(CONTROL!$C$42, 500, 500)*CHOOSE(CONTROL!$C$42, 0.275, 0.275)*CHOOSE(CONTROL!$C$42, 30, 30))/1000000</f>
        <v>4.125</v>
      </c>
      <c r="W438" s="56">
        <f>(1000*CHOOSE(CONTROL!$C$42, 0.1146, 0.1146)*CHOOSE(CONTROL!$C$42, 121.5, 121.5)*CHOOSE(CONTROL!$C$42, 30, 30))/1000000</f>
        <v>0.417717</v>
      </c>
      <c r="X438" s="56">
        <f>(30*0.1790888*245000/1000000)+(30*0.2374*100000/1000000)</f>
        <v>2.0285026799999999</v>
      </c>
      <c r="Y438" s="56"/>
      <c r="Z438" s="14"/>
      <c r="AA438" s="55"/>
      <c r="AB438" s="49">
        <f>(B438*194.205+C438*267.466+D438*133.845+E438*53.484+F438*40+G438*185+H438*0+I438*100+J438*300)/(194.205+267.466+133.845+53.484+0+40+185+100+300)</f>
        <v>22.49371981938776</v>
      </c>
      <c r="AC438" s="45">
        <f>(M438*'RAP TEMPLATE-GAS AVAILABILITY'!O437+N438*'RAP TEMPLATE-GAS AVAILABILITY'!P437+O438*'RAP TEMPLATE-GAS AVAILABILITY'!Q437+P438*'RAP TEMPLATE-GAS AVAILABILITY'!R437)/('RAP TEMPLATE-GAS AVAILABILITY'!O437+'RAP TEMPLATE-GAS AVAILABILITY'!P437+'RAP TEMPLATE-GAS AVAILABILITY'!Q437+'RAP TEMPLATE-GAS AVAILABILITY'!R437)</f>
        <v>22.14274604316547</v>
      </c>
    </row>
    <row r="439" spans="1:29" ht="15.75" x14ac:dyDescent="0.25">
      <c r="A439" s="33">
        <v>54270</v>
      </c>
      <c r="B439" s="14">
        <f>CHOOSE(CONTROL!$C$42, 22.0043, 22.0043) * CHOOSE(CONTROL!$C$21, $C$9, 100%, $E$9)</f>
        <v>22.004300000000001</v>
      </c>
      <c r="C439" s="14">
        <f>CHOOSE(CONTROL!$C$42, 22.0123, 22.0123) * CHOOSE(CONTROL!$C$21, $C$9, 100%, $E$9)</f>
        <v>22.0123</v>
      </c>
      <c r="D439" s="14">
        <f>CHOOSE(CONTROL!$C$42, 22.2714, 22.2714) * CHOOSE(CONTROL!$C$21, $C$9, 100%, $E$9)</f>
        <v>22.2714</v>
      </c>
      <c r="E439" s="14">
        <f>CHOOSE(CONTROL!$C$42, 22.3029, 22.3029) * CHOOSE(CONTROL!$C$21, $C$9, 100%, $E$9)</f>
        <v>22.302900000000001</v>
      </c>
      <c r="F439" s="14">
        <f>CHOOSE(CONTROL!$C$42, 22.0265, 22.0265)*CHOOSE(CONTROL!$C$21, $C$9, 100%, $E$9)</f>
        <v>22.026499999999999</v>
      </c>
      <c r="G439" s="14">
        <f>CHOOSE(CONTROL!$C$42, 22.0437, 22.0437)*CHOOSE(CONTROL!$C$21, $C$9, 100%, $E$9)</f>
        <v>22.043700000000001</v>
      </c>
      <c r="H439" s="14">
        <f>CHOOSE(CONTROL!$C$42, 22.2915, 22.2915) * CHOOSE(CONTROL!$C$21, $C$9, 100%, $E$9)</f>
        <v>22.291499999999999</v>
      </c>
      <c r="I439" s="14">
        <f>CHOOSE(CONTROL!$C$42, 22.0943, 22.0943)* CHOOSE(CONTROL!$C$21, $C$9, 100%, $E$9)</f>
        <v>22.0943</v>
      </c>
      <c r="J439" s="14">
        <f>CHOOSE(CONTROL!$C$42, 22.0195, 22.0195)* CHOOSE(CONTROL!$C$21, $C$9, 100%, $E$9)</f>
        <v>22.019500000000001</v>
      </c>
      <c r="K439" s="52">
        <f>CHOOSE(CONTROL!$C$42, 22.0904, 22.0904) * CHOOSE(CONTROL!$C$21, $C$9, 100%, $E$9)</f>
        <v>22.090399999999999</v>
      </c>
      <c r="L439" s="14">
        <f>CHOOSE(CONTROL!$C$42, 22.8785, 22.8785) * CHOOSE(CONTROL!$C$21, $C$9, 100%, $E$9)</f>
        <v>22.878499999999999</v>
      </c>
      <c r="M439" s="14">
        <f>CHOOSE(CONTROL!$C$42, 21.6311, 21.6311) * CHOOSE(CONTROL!$C$21, $C$9, 100%, $E$9)</f>
        <v>21.6311</v>
      </c>
      <c r="N439" s="14">
        <f>CHOOSE(CONTROL!$C$42, 21.648, 21.648) * CHOOSE(CONTROL!$C$21, $C$9, 100%, $E$9)</f>
        <v>21.648</v>
      </c>
      <c r="O439" s="14">
        <f>CHOOSE(CONTROL!$C$42, 21.8983, 21.8983) * CHOOSE(CONTROL!$C$21, $C$9, 100%, $E$9)</f>
        <v>21.898299999999999</v>
      </c>
      <c r="P439" s="14">
        <f>CHOOSE(CONTROL!$C$42, 21.7034, 21.7034) * CHOOSE(CONTROL!$C$21, $C$9, 100%, $E$9)</f>
        <v>21.703399999999998</v>
      </c>
      <c r="Q439" s="14">
        <f>CHOOSE(CONTROL!$C$42, 22.493, 22.493) * CHOOSE(CONTROL!$C$21, $C$9, 100%, $E$9)</f>
        <v>22.492999999999999</v>
      </c>
      <c r="R439" s="14">
        <f>CHOOSE(CONTROL!$C$42, 23.1362, 23.1362) * CHOOSE(CONTROL!$C$21, $C$9, 100%, $E$9)</f>
        <v>23.136199999999999</v>
      </c>
      <c r="S439" s="14">
        <f>CHOOSE(CONTROL!$C$42, 21.1333, 21.1333) * CHOOSE(CONTROL!$C$21, $C$9, 100%, $E$9)</f>
        <v>21.133299999999998</v>
      </c>
      <c r="T4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39" s="56">
        <f>(1000*CHOOSE(CONTROL!$C$42, 695, 695)*CHOOSE(CONTROL!$C$42, 0.5599, 0.5599)*CHOOSE(CONTROL!$C$42, 31, 31))/1000000</f>
        <v>12.063045499999998</v>
      </c>
      <c r="V439" s="56">
        <f>(1000*CHOOSE(CONTROL!$C$42, 500, 500)*CHOOSE(CONTROL!$C$42, 0.275, 0.275)*CHOOSE(CONTROL!$C$42, 31, 31))/1000000</f>
        <v>4.2625000000000002</v>
      </c>
      <c r="W439" s="56">
        <f>(1000*CHOOSE(CONTROL!$C$42, 0.1146, 0.1146)*CHOOSE(CONTROL!$C$42, 121.5, 121.5)*CHOOSE(CONTROL!$C$42, 31, 31))/1000000</f>
        <v>0.43164089999999994</v>
      </c>
      <c r="X439" s="56">
        <f>(31*0.1790888*245000/1000000)+(31*0.2374*100000/1000000)</f>
        <v>2.0961194359999999</v>
      </c>
      <c r="Y439" s="56"/>
      <c r="Z439" s="14"/>
      <c r="AA439" s="55"/>
      <c r="AB439" s="49">
        <f>(B439*194.205+C439*267.466+D439*133.845+E439*53.484+F439*40+G439*185+H439*0+I439*100+J439*300)/(194.205+267.466+133.845+53.484+0+40+185+100+300)</f>
        <v>22.063638343720566</v>
      </c>
      <c r="AC439" s="45">
        <f>(M439*'RAP TEMPLATE-GAS AVAILABILITY'!O438+N439*'RAP TEMPLATE-GAS AVAILABILITY'!P438+O439*'RAP TEMPLATE-GAS AVAILABILITY'!Q438+P439*'RAP TEMPLATE-GAS AVAILABILITY'!R438)/('RAP TEMPLATE-GAS AVAILABILITY'!O438+'RAP TEMPLATE-GAS AVAILABILITY'!P438+'RAP TEMPLATE-GAS AVAILABILITY'!Q438+'RAP TEMPLATE-GAS AVAILABILITY'!R438)</f>
        <v>21.720363309352518</v>
      </c>
    </row>
    <row r="440" spans="1:29" ht="15.75" x14ac:dyDescent="0.25">
      <c r="A440" s="33">
        <v>54301</v>
      </c>
      <c r="B440" s="14">
        <f>CHOOSE(CONTROL!$C$42, 20.918, 20.918) * CHOOSE(CONTROL!$C$21, $C$9, 100%, $E$9)</f>
        <v>20.917999999999999</v>
      </c>
      <c r="C440" s="14">
        <f>CHOOSE(CONTROL!$C$42, 20.926, 20.926) * CHOOSE(CONTROL!$C$21, $C$9, 100%, $E$9)</f>
        <v>20.925999999999998</v>
      </c>
      <c r="D440" s="14">
        <f>CHOOSE(CONTROL!$C$42, 21.1851, 21.1851) * CHOOSE(CONTROL!$C$21, $C$9, 100%, $E$9)</f>
        <v>21.185099999999998</v>
      </c>
      <c r="E440" s="14">
        <f>CHOOSE(CONTROL!$C$42, 21.2166, 21.2166) * CHOOSE(CONTROL!$C$21, $C$9, 100%, $E$9)</f>
        <v>21.2166</v>
      </c>
      <c r="F440" s="14">
        <f>CHOOSE(CONTROL!$C$42, 20.9404, 20.9404)*CHOOSE(CONTROL!$C$21, $C$9, 100%, $E$9)</f>
        <v>20.9404</v>
      </c>
      <c r="G440" s="14">
        <f>CHOOSE(CONTROL!$C$42, 20.9576, 20.9576)*CHOOSE(CONTROL!$C$21, $C$9, 100%, $E$9)</f>
        <v>20.957599999999999</v>
      </c>
      <c r="H440" s="14">
        <f>CHOOSE(CONTROL!$C$42, 21.2052, 21.2052) * CHOOSE(CONTROL!$C$21, $C$9, 100%, $E$9)</f>
        <v>21.205200000000001</v>
      </c>
      <c r="I440" s="14">
        <f>CHOOSE(CONTROL!$C$42, 21.0046, 21.0046)* CHOOSE(CONTROL!$C$21, $C$9, 100%, $E$9)</f>
        <v>21.0046</v>
      </c>
      <c r="J440" s="14">
        <f>CHOOSE(CONTROL!$C$42, 20.9334, 20.9334)* CHOOSE(CONTROL!$C$21, $C$9, 100%, $E$9)</f>
        <v>20.933399999999999</v>
      </c>
      <c r="K440" s="52">
        <f>CHOOSE(CONTROL!$C$42, 21.0007, 21.0007) * CHOOSE(CONTROL!$C$21, $C$9, 100%, $E$9)</f>
        <v>21.000699999999998</v>
      </c>
      <c r="L440" s="14">
        <f>CHOOSE(CONTROL!$C$42, 21.7922, 21.7922) * CHOOSE(CONTROL!$C$21, $C$9, 100%, $E$9)</f>
        <v>21.792200000000001</v>
      </c>
      <c r="M440" s="14">
        <f>CHOOSE(CONTROL!$C$42, 20.5646, 20.5646) * CHOOSE(CONTROL!$C$21, $C$9, 100%, $E$9)</f>
        <v>20.564599999999999</v>
      </c>
      <c r="N440" s="14">
        <f>CHOOSE(CONTROL!$C$42, 20.5815, 20.5815) * CHOOSE(CONTROL!$C$21, $C$9, 100%, $E$9)</f>
        <v>20.581499999999998</v>
      </c>
      <c r="O440" s="14">
        <f>CHOOSE(CONTROL!$C$42, 20.8315, 20.8315) * CHOOSE(CONTROL!$C$21, $C$9, 100%, $E$9)</f>
        <v>20.831499999999998</v>
      </c>
      <c r="P440" s="14">
        <f>CHOOSE(CONTROL!$C$42, 20.6334, 20.6334) * CHOOSE(CONTROL!$C$21, $C$9, 100%, $E$9)</f>
        <v>20.633400000000002</v>
      </c>
      <c r="Q440" s="14">
        <f>CHOOSE(CONTROL!$C$42, 21.4262, 21.4262) * CHOOSE(CONTROL!$C$21, $C$9, 100%, $E$9)</f>
        <v>21.426200000000001</v>
      </c>
      <c r="R440" s="14">
        <f>CHOOSE(CONTROL!$C$42, 22.0667, 22.0667) * CHOOSE(CONTROL!$C$21, $C$9, 100%, $E$9)</f>
        <v>22.066700000000001</v>
      </c>
      <c r="S440" s="14">
        <f>CHOOSE(CONTROL!$C$42, 20.0895, 20.0895) * CHOOSE(CONTROL!$C$21, $C$9, 100%, $E$9)</f>
        <v>20.089500000000001</v>
      </c>
      <c r="T4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40" s="56">
        <f>(1000*CHOOSE(CONTROL!$C$42, 695, 695)*CHOOSE(CONTROL!$C$42, 0.5599, 0.5599)*CHOOSE(CONTROL!$C$42, 31, 31))/1000000</f>
        <v>12.063045499999998</v>
      </c>
      <c r="V440" s="56">
        <f>(1000*CHOOSE(CONTROL!$C$42, 500, 500)*CHOOSE(CONTROL!$C$42, 0.275, 0.275)*CHOOSE(CONTROL!$C$42, 31, 31))/1000000</f>
        <v>4.2625000000000002</v>
      </c>
      <c r="W440" s="56">
        <f>(1000*CHOOSE(CONTROL!$C$42, 0.1146, 0.1146)*CHOOSE(CONTROL!$C$42, 121.5, 121.5)*CHOOSE(CONTROL!$C$42, 31, 31))/1000000</f>
        <v>0.43164089999999994</v>
      </c>
      <c r="X440" s="56">
        <f>(31*0.1790888*245000/1000000)+(31*0.2374*100000/1000000)</f>
        <v>2.0961194359999999</v>
      </c>
      <c r="Y440" s="56"/>
      <c r="Z440" s="14"/>
      <c r="AA440" s="55"/>
      <c r="AB440" s="49">
        <f>(B440*194.205+C440*267.466+D440*133.845+E440*53.484+F440*40+G440*185+H440*0+I440*100+J440*300)/(194.205+267.466+133.845+53.484+0+40+185+100+300)</f>
        <v>20.977153885321822</v>
      </c>
      <c r="AC440" s="45">
        <f>(M440*'RAP TEMPLATE-GAS AVAILABILITY'!O439+N440*'RAP TEMPLATE-GAS AVAILABILITY'!P439+O440*'RAP TEMPLATE-GAS AVAILABILITY'!Q439+P440*'RAP TEMPLATE-GAS AVAILABILITY'!R439)/('RAP TEMPLATE-GAS AVAILABILITY'!O439+'RAP TEMPLATE-GAS AVAILABILITY'!P439+'RAP TEMPLATE-GAS AVAILABILITY'!Q439+'RAP TEMPLATE-GAS AVAILABILITY'!R439)</f>
        <v>20.653275539568344</v>
      </c>
    </row>
    <row r="441" spans="1:29" ht="15.75" x14ac:dyDescent="0.25">
      <c r="A441" s="33">
        <v>54331</v>
      </c>
      <c r="B441" s="14">
        <f>CHOOSE(CONTROL!$C$42, 19.5905, 19.5905) * CHOOSE(CONTROL!$C$21, $C$9, 100%, $E$9)</f>
        <v>19.590499999999999</v>
      </c>
      <c r="C441" s="14">
        <f>CHOOSE(CONTROL!$C$42, 19.5985, 19.5985) * CHOOSE(CONTROL!$C$21, $C$9, 100%, $E$9)</f>
        <v>19.598500000000001</v>
      </c>
      <c r="D441" s="14">
        <f>CHOOSE(CONTROL!$C$42, 19.8576, 19.8576) * CHOOSE(CONTROL!$C$21, $C$9, 100%, $E$9)</f>
        <v>19.857600000000001</v>
      </c>
      <c r="E441" s="14">
        <f>CHOOSE(CONTROL!$C$42, 19.8891, 19.8891) * CHOOSE(CONTROL!$C$21, $C$9, 100%, $E$9)</f>
        <v>19.889099999999999</v>
      </c>
      <c r="F441" s="14">
        <f>CHOOSE(CONTROL!$C$42, 19.613, 19.613)*CHOOSE(CONTROL!$C$21, $C$9, 100%, $E$9)</f>
        <v>19.613</v>
      </c>
      <c r="G441" s="14">
        <f>CHOOSE(CONTROL!$C$42, 19.6302, 19.6302)*CHOOSE(CONTROL!$C$21, $C$9, 100%, $E$9)</f>
        <v>19.630199999999999</v>
      </c>
      <c r="H441" s="14">
        <f>CHOOSE(CONTROL!$C$42, 19.8777, 19.8777) * CHOOSE(CONTROL!$C$21, $C$9, 100%, $E$9)</f>
        <v>19.877700000000001</v>
      </c>
      <c r="I441" s="14">
        <f>CHOOSE(CONTROL!$C$42, 19.6729, 19.6729)* CHOOSE(CONTROL!$C$21, $C$9, 100%, $E$9)</f>
        <v>19.672899999999998</v>
      </c>
      <c r="J441" s="14">
        <f>CHOOSE(CONTROL!$C$42, 19.606, 19.606)* CHOOSE(CONTROL!$C$21, $C$9, 100%, $E$9)</f>
        <v>19.606000000000002</v>
      </c>
      <c r="K441" s="52">
        <f>CHOOSE(CONTROL!$C$42, 19.669, 19.669) * CHOOSE(CONTROL!$C$21, $C$9, 100%, $E$9)</f>
        <v>19.669</v>
      </c>
      <c r="L441" s="14">
        <f>CHOOSE(CONTROL!$C$42, 20.4647, 20.4647) * CHOOSE(CONTROL!$C$21, $C$9, 100%, $E$9)</f>
        <v>20.464700000000001</v>
      </c>
      <c r="M441" s="14">
        <f>CHOOSE(CONTROL!$C$42, 19.261, 19.261) * CHOOSE(CONTROL!$C$21, $C$9, 100%, $E$9)</f>
        <v>19.260999999999999</v>
      </c>
      <c r="N441" s="14">
        <f>CHOOSE(CONTROL!$C$42, 19.2779, 19.2779) * CHOOSE(CONTROL!$C$21, $C$9, 100%, $E$9)</f>
        <v>19.277899999999999</v>
      </c>
      <c r="O441" s="14">
        <f>CHOOSE(CONTROL!$C$42, 19.5278, 19.5278) * CHOOSE(CONTROL!$C$21, $C$9, 100%, $E$9)</f>
        <v>19.527799999999999</v>
      </c>
      <c r="P441" s="14">
        <f>CHOOSE(CONTROL!$C$42, 19.3258, 19.3258) * CHOOSE(CONTROL!$C$21, $C$9, 100%, $E$9)</f>
        <v>19.325800000000001</v>
      </c>
      <c r="Q441" s="14">
        <f>CHOOSE(CONTROL!$C$42, 20.1225, 20.1225) * CHOOSE(CONTROL!$C$21, $C$9, 100%, $E$9)</f>
        <v>20.122499999999999</v>
      </c>
      <c r="R441" s="14">
        <f>CHOOSE(CONTROL!$C$42, 20.7599, 20.7599) * CHOOSE(CONTROL!$C$21, $C$9, 100%, $E$9)</f>
        <v>20.759899999999998</v>
      </c>
      <c r="S441" s="14">
        <f>CHOOSE(CONTROL!$C$42, 18.8139, 18.8139) * CHOOSE(CONTROL!$C$21, $C$9, 100%, $E$9)</f>
        <v>18.8139</v>
      </c>
      <c r="T4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41" s="56">
        <f>(1000*CHOOSE(CONTROL!$C$42, 695, 695)*CHOOSE(CONTROL!$C$42, 0.5599, 0.5599)*CHOOSE(CONTROL!$C$42, 30, 30))/1000000</f>
        <v>11.673914999999997</v>
      </c>
      <c r="V441" s="56">
        <f>(1000*CHOOSE(CONTROL!$C$42, 500, 500)*CHOOSE(CONTROL!$C$42, 0.275, 0.275)*CHOOSE(CONTROL!$C$42, 30, 30))/1000000</f>
        <v>4.125</v>
      </c>
      <c r="W441" s="56">
        <f>(1000*CHOOSE(CONTROL!$C$42, 0.1146, 0.1146)*CHOOSE(CONTROL!$C$42, 121.5, 121.5)*CHOOSE(CONTROL!$C$42, 30, 30))/1000000</f>
        <v>0.417717</v>
      </c>
      <c r="X441" s="56">
        <f>(30*0.1790888*245000/1000000)+(30*0.2374*100000/1000000)</f>
        <v>2.0285026799999999</v>
      </c>
      <c r="Y441" s="56"/>
      <c r="Z441" s="14"/>
      <c r="AA441" s="55"/>
      <c r="AB441" s="49">
        <f>(B441*194.205+C441*267.466+D441*133.845+E441*53.484+F441*40+G441*185+H441*0+I441*100+J441*300)/(194.205+267.466+133.845+53.484+0+40+185+100+300)</f>
        <v>19.649365423783362</v>
      </c>
      <c r="AC441" s="45">
        <f>(M441*'RAP TEMPLATE-GAS AVAILABILITY'!O440+N441*'RAP TEMPLATE-GAS AVAILABILITY'!P440+O441*'RAP TEMPLATE-GAS AVAILABILITY'!Q440+P441*'RAP TEMPLATE-GAS AVAILABILITY'!R440)/('RAP TEMPLATE-GAS AVAILABILITY'!O440+'RAP TEMPLATE-GAS AVAILABILITY'!P440+'RAP TEMPLATE-GAS AVAILABILITY'!Q440+'RAP TEMPLATE-GAS AVAILABILITY'!R440)</f>
        <v>19.349071942446042</v>
      </c>
    </row>
    <row r="442" spans="1:29" ht="15.75" x14ac:dyDescent="0.25">
      <c r="A442" s="33">
        <v>54362</v>
      </c>
      <c r="B442" s="14">
        <f>CHOOSE(CONTROL!$C$42, 19.1912, 19.1912) * CHOOSE(CONTROL!$C$21, $C$9, 100%, $E$9)</f>
        <v>19.191199999999998</v>
      </c>
      <c r="C442" s="14">
        <f>CHOOSE(CONTROL!$C$42, 19.1965, 19.1965) * CHOOSE(CONTROL!$C$21, $C$9, 100%, $E$9)</f>
        <v>19.1965</v>
      </c>
      <c r="D442" s="14">
        <f>CHOOSE(CONTROL!$C$42, 19.4606, 19.4606) * CHOOSE(CONTROL!$C$21, $C$9, 100%, $E$9)</f>
        <v>19.460599999999999</v>
      </c>
      <c r="E442" s="14">
        <f>CHOOSE(CONTROL!$C$42, 19.4897, 19.4897) * CHOOSE(CONTROL!$C$21, $C$9, 100%, $E$9)</f>
        <v>19.489699999999999</v>
      </c>
      <c r="F442" s="14">
        <f>CHOOSE(CONTROL!$C$42, 19.2158, 19.2158)*CHOOSE(CONTROL!$C$21, $C$9, 100%, $E$9)</f>
        <v>19.215800000000002</v>
      </c>
      <c r="G442" s="14">
        <f>CHOOSE(CONTROL!$C$42, 19.2329, 19.2329)*CHOOSE(CONTROL!$C$21, $C$9, 100%, $E$9)</f>
        <v>19.232900000000001</v>
      </c>
      <c r="H442" s="14">
        <f>CHOOSE(CONTROL!$C$42, 19.4802, 19.4802) * CHOOSE(CONTROL!$C$21, $C$9, 100%, $E$9)</f>
        <v>19.4802</v>
      </c>
      <c r="I442" s="14">
        <f>CHOOSE(CONTROL!$C$42, 19.2742, 19.2742)* CHOOSE(CONTROL!$C$21, $C$9, 100%, $E$9)</f>
        <v>19.2742</v>
      </c>
      <c r="J442" s="14">
        <f>CHOOSE(CONTROL!$C$42, 19.2088, 19.2088)* CHOOSE(CONTROL!$C$21, $C$9, 100%, $E$9)</f>
        <v>19.2088</v>
      </c>
      <c r="K442" s="52">
        <f>CHOOSE(CONTROL!$C$42, 19.2703, 19.2703) * CHOOSE(CONTROL!$C$21, $C$9, 100%, $E$9)</f>
        <v>19.270299999999999</v>
      </c>
      <c r="L442" s="14">
        <f>CHOOSE(CONTROL!$C$42, 20.0672, 20.0672) * CHOOSE(CONTROL!$C$21, $C$9, 100%, $E$9)</f>
        <v>20.0672</v>
      </c>
      <c r="M442" s="14">
        <f>CHOOSE(CONTROL!$C$42, 18.871, 18.871) * CHOOSE(CONTROL!$C$21, $C$9, 100%, $E$9)</f>
        <v>18.870999999999999</v>
      </c>
      <c r="N442" s="14">
        <f>CHOOSE(CONTROL!$C$42, 18.8878, 18.8878) * CHOOSE(CONTROL!$C$21, $C$9, 100%, $E$9)</f>
        <v>18.887799999999999</v>
      </c>
      <c r="O442" s="14">
        <f>CHOOSE(CONTROL!$C$42, 19.1375, 19.1375) * CHOOSE(CONTROL!$C$21, $C$9, 100%, $E$9)</f>
        <v>19.137499999999999</v>
      </c>
      <c r="P442" s="14">
        <f>CHOOSE(CONTROL!$C$42, 18.9342, 18.9342) * CHOOSE(CONTROL!$C$21, $C$9, 100%, $E$9)</f>
        <v>18.934200000000001</v>
      </c>
      <c r="Q442" s="14">
        <f>CHOOSE(CONTROL!$C$42, 19.7322, 19.7322) * CHOOSE(CONTROL!$C$21, $C$9, 100%, $E$9)</f>
        <v>19.732199999999999</v>
      </c>
      <c r="R442" s="14">
        <f>CHOOSE(CONTROL!$C$42, 20.3685, 20.3685) * CHOOSE(CONTROL!$C$21, $C$9, 100%, $E$9)</f>
        <v>20.368500000000001</v>
      </c>
      <c r="S442" s="14">
        <f>CHOOSE(CONTROL!$C$42, 18.4319, 18.4319) * CHOOSE(CONTROL!$C$21, $C$9, 100%, $E$9)</f>
        <v>18.431899999999999</v>
      </c>
      <c r="T4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42" s="56">
        <f>(1000*CHOOSE(CONTROL!$C$42, 695, 695)*CHOOSE(CONTROL!$C$42, 0.5599, 0.5599)*CHOOSE(CONTROL!$C$42, 31, 31))/1000000</f>
        <v>12.063045499999998</v>
      </c>
      <c r="V442" s="56">
        <f>(1000*CHOOSE(CONTROL!$C$42, 500, 500)*CHOOSE(CONTROL!$C$42, 0.275, 0.275)*CHOOSE(CONTROL!$C$42, 31, 31))/1000000</f>
        <v>4.2625000000000002</v>
      </c>
      <c r="W442" s="56">
        <f>(1000*CHOOSE(CONTROL!$C$42, 0.1146, 0.1146)*CHOOSE(CONTROL!$C$42, 121.5, 121.5)*CHOOSE(CONTROL!$C$42, 31, 31))/1000000</f>
        <v>0.43164089999999994</v>
      </c>
      <c r="X442" s="56">
        <f>(31*0.1790888*245000/1000000)+(31*0.2374*100000/1000000)</f>
        <v>2.0961194359999999</v>
      </c>
      <c r="Y442" s="56"/>
      <c r="Z442" s="14"/>
      <c r="AA442" s="55"/>
      <c r="AB442" s="49">
        <f>(B442*131.881+C442*277.167+D442*79.08+E442*125.872+F442*40+G442*185+H442*0+I442*100+J442*300)/(131.881+277.167+79.08+125.872+0+40+185+100+300)</f>
        <v>19.257886383454398</v>
      </c>
      <c r="AC442" s="45">
        <f>(M442*'RAP TEMPLATE-GAS AVAILABILITY'!O441+N442*'RAP TEMPLATE-GAS AVAILABILITY'!P441+O442*'RAP TEMPLATE-GAS AVAILABILITY'!Q441+P442*'RAP TEMPLATE-GAS AVAILABILITY'!R441)/('RAP TEMPLATE-GAS AVAILABILITY'!O441+'RAP TEMPLATE-GAS AVAILABILITY'!P441+'RAP TEMPLATE-GAS AVAILABILITY'!Q441+'RAP TEMPLATE-GAS AVAILABILITY'!R441)</f>
        <v>18.958734532374102</v>
      </c>
    </row>
    <row r="443" spans="1:29" ht="15.75" x14ac:dyDescent="0.25">
      <c r="A443" s="33">
        <v>54392</v>
      </c>
      <c r="B443" s="14">
        <f>CHOOSE(CONTROL!$C$42, 19.6961, 19.6961) * CHOOSE(CONTROL!$C$21, $C$9, 100%, $E$9)</f>
        <v>19.696100000000001</v>
      </c>
      <c r="C443" s="14">
        <f>CHOOSE(CONTROL!$C$42, 19.7012, 19.7012) * CHOOSE(CONTROL!$C$21, $C$9, 100%, $E$9)</f>
        <v>19.7012</v>
      </c>
      <c r="D443" s="14">
        <f>CHOOSE(CONTROL!$C$42, 19.7842, 19.7842) * CHOOSE(CONTROL!$C$21, $C$9, 100%, $E$9)</f>
        <v>19.784199999999998</v>
      </c>
      <c r="E443" s="14">
        <f>CHOOSE(CONTROL!$C$42, 19.8183, 19.8183) * CHOOSE(CONTROL!$C$21, $C$9, 100%, $E$9)</f>
        <v>19.818300000000001</v>
      </c>
      <c r="F443" s="14">
        <f>CHOOSE(CONTROL!$C$42, 19.7237, 19.7237)*CHOOSE(CONTROL!$C$21, $C$9, 100%, $E$9)</f>
        <v>19.723700000000001</v>
      </c>
      <c r="G443" s="14">
        <f>CHOOSE(CONTROL!$C$42, 19.7411, 19.7411)*CHOOSE(CONTROL!$C$21, $C$9, 100%, $E$9)</f>
        <v>19.741099999999999</v>
      </c>
      <c r="H443" s="14">
        <f>CHOOSE(CONTROL!$C$42, 19.8075, 19.8075) * CHOOSE(CONTROL!$C$21, $C$9, 100%, $E$9)</f>
        <v>19.807500000000001</v>
      </c>
      <c r="I443" s="14">
        <f>CHOOSE(CONTROL!$C$42, 19.7774, 19.7774)* CHOOSE(CONTROL!$C$21, $C$9, 100%, $E$9)</f>
        <v>19.7774</v>
      </c>
      <c r="J443" s="14">
        <f>CHOOSE(CONTROL!$C$42, 19.7167, 19.7167)* CHOOSE(CONTROL!$C$21, $C$9, 100%, $E$9)</f>
        <v>19.716699999999999</v>
      </c>
      <c r="K443" s="52">
        <f>CHOOSE(CONTROL!$C$42, 19.7735, 19.7735) * CHOOSE(CONTROL!$C$21, $C$9, 100%, $E$9)</f>
        <v>19.773499999999999</v>
      </c>
      <c r="L443" s="14">
        <f>CHOOSE(CONTROL!$C$42, 20.3945, 20.3945) * CHOOSE(CONTROL!$C$21, $C$9, 100%, $E$9)</f>
        <v>20.394500000000001</v>
      </c>
      <c r="M443" s="14">
        <f>CHOOSE(CONTROL!$C$42, 19.3698, 19.3698) * CHOOSE(CONTROL!$C$21, $C$9, 100%, $E$9)</f>
        <v>19.369800000000001</v>
      </c>
      <c r="N443" s="14">
        <f>CHOOSE(CONTROL!$C$42, 19.3868, 19.3868) * CHOOSE(CONTROL!$C$21, $C$9, 100%, $E$9)</f>
        <v>19.386800000000001</v>
      </c>
      <c r="O443" s="14">
        <f>CHOOSE(CONTROL!$C$42, 19.4589, 19.4589) * CHOOSE(CONTROL!$C$21, $C$9, 100%, $E$9)</f>
        <v>19.4589</v>
      </c>
      <c r="P443" s="14">
        <f>CHOOSE(CONTROL!$C$42, 19.4283, 19.4283) * CHOOSE(CONTROL!$C$21, $C$9, 100%, $E$9)</f>
        <v>19.4283</v>
      </c>
      <c r="Q443" s="14">
        <f>CHOOSE(CONTROL!$C$42, 20.0536, 20.0536) * CHOOSE(CONTROL!$C$21, $C$9, 100%, $E$9)</f>
        <v>20.053599999999999</v>
      </c>
      <c r="R443" s="14">
        <f>CHOOSE(CONTROL!$C$42, 20.6908, 20.6908) * CHOOSE(CONTROL!$C$21, $C$9, 100%, $E$9)</f>
        <v>20.690799999999999</v>
      </c>
      <c r="S443" s="14">
        <f>CHOOSE(CONTROL!$C$42, 18.9174, 18.9174) * CHOOSE(CONTROL!$C$21, $C$9, 100%, $E$9)</f>
        <v>18.917400000000001</v>
      </c>
      <c r="T4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43" s="56">
        <f>(1000*CHOOSE(CONTROL!$C$42, 695, 695)*CHOOSE(CONTROL!$C$42, 0.5599, 0.5599)*CHOOSE(CONTROL!$C$42, 30, 30))/1000000</f>
        <v>11.673914999999997</v>
      </c>
      <c r="V443" s="56">
        <f>(1000*CHOOSE(CONTROL!$C$42, 500, 500)*CHOOSE(CONTROL!$C$42, 0.275, 0.275)*CHOOSE(CONTROL!$C$42, 30, 30))/1000000</f>
        <v>4.125</v>
      </c>
      <c r="W443" s="56">
        <f>(1000*CHOOSE(CONTROL!$C$42, 0.1146, 0.1146)*CHOOSE(CONTROL!$C$42, 121.5, 121.5)*CHOOSE(CONTROL!$C$42, 30, 30))/1000000</f>
        <v>0.417717</v>
      </c>
      <c r="X443" s="56">
        <f>(30*0.1790888*100000/1000000)+(30*0.2374*100000/1000000)</f>
        <v>1.2494664</v>
      </c>
      <c r="Y443" s="56"/>
      <c r="Z443" s="14"/>
      <c r="AA443" s="55"/>
      <c r="AB443" s="49">
        <f>(B443*122.58+C443*297.941+D443*89.177+E443*40.302+F443*40+G443*160+H443*0+I443*100+J443*300)/(122.58+297.941+89.177+40.302+0+40+160+100+300)</f>
        <v>19.728199910608698</v>
      </c>
      <c r="AC443" s="45">
        <f>(M443*'RAP TEMPLATE-GAS AVAILABILITY'!O442+N443*'RAP TEMPLATE-GAS AVAILABILITY'!P442+O443*'RAP TEMPLATE-GAS AVAILABILITY'!Q442+P443*'RAP TEMPLATE-GAS AVAILABILITY'!R442)/('RAP TEMPLATE-GAS AVAILABILITY'!O442+'RAP TEMPLATE-GAS AVAILABILITY'!P442+'RAP TEMPLATE-GAS AVAILABILITY'!Q442+'RAP TEMPLATE-GAS AVAILABILITY'!R442)</f>
        <v>19.419579136690647</v>
      </c>
    </row>
    <row r="444" spans="1:29" ht="15.75" x14ac:dyDescent="0.25">
      <c r="A444" s="33">
        <v>54423</v>
      </c>
      <c r="B444" s="14">
        <f>CHOOSE(CONTROL!$C$42, 21.0383, 21.0383) * CHOOSE(CONTROL!$C$21, $C$9, 100%, $E$9)</f>
        <v>21.0383</v>
      </c>
      <c r="C444" s="14">
        <f>CHOOSE(CONTROL!$C$42, 21.0434, 21.0434) * CHOOSE(CONTROL!$C$21, $C$9, 100%, $E$9)</f>
        <v>21.043399999999998</v>
      </c>
      <c r="D444" s="14">
        <f>CHOOSE(CONTROL!$C$42, 21.1264, 21.1264) * CHOOSE(CONTROL!$C$21, $C$9, 100%, $E$9)</f>
        <v>21.1264</v>
      </c>
      <c r="E444" s="14">
        <f>CHOOSE(CONTROL!$C$42, 21.1605, 21.1605) * CHOOSE(CONTROL!$C$21, $C$9, 100%, $E$9)</f>
        <v>21.160499999999999</v>
      </c>
      <c r="F444" s="14">
        <f>CHOOSE(CONTROL!$C$42, 21.0684, 21.0684)*CHOOSE(CONTROL!$C$21, $C$9, 100%, $E$9)</f>
        <v>21.0684</v>
      </c>
      <c r="G444" s="14">
        <f>CHOOSE(CONTROL!$C$42, 21.0864, 21.0864)*CHOOSE(CONTROL!$C$21, $C$9, 100%, $E$9)</f>
        <v>21.086400000000001</v>
      </c>
      <c r="H444" s="14">
        <f>CHOOSE(CONTROL!$C$42, 21.1497, 21.1497) * CHOOSE(CONTROL!$C$21, $C$9, 100%, $E$9)</f>
        <v>21.149699999999999</v>
      </c>
      <c r="I444" s="14">
        <f>CHOOSE(CONTROL!$C$42, 21.1238, 21.1238)* CHOOSE(CONTROL!$C$21, $C$9, 100%, $E$9)</f>
        <v>21.123799999999999</v>
      </c>
      <c r="J444" s="14">
        <f>CHOOSE(CONTROL!$C$42, 21.0614, 21.0614)* CHOOSE(CONTROL!$C$21, $C$9, 100%, $E$9)</f>
        <v>21.061399999999999</v>
      </c>
      <c r="K444" s="52">
        <f>CHOOSE(CONTROL!$C$42, 21.1199, 21.1199) * CHOOSE(CONTROL!$C$21, $C$9, 100%, $E$9)</f>
        <v>21.119900000000001</v>
      </c>
      <c r="L444" s="14">
        <f>CHOOSE(CONTROL!$C$42, 21.7367, 21.7367) * CHOOSE(CONTROL!$C$21, $C$9, 100%, $E$9)</f>
        <v>21.736699999999999</v>
      </c>
      <c r="M444" s="14">
        <f>CHOOSE(CONTROL!$C$42, 20.6902, 20.6902) * CHOOSE(CONTROL!$C$21, $C$9, 100%, $E$9)</f>
        <v>20.690200000000001</v>
      </c>
      <c r="N444" s="14">
        <f>CHOOSE(CONTROL!$C$42, 20.7079, 20.7079) * CHOOSE(CONTROL!$C$21, $C$9, 100%, $E$9)</f>
        <v>20.707899999999999</v>
      </c>
      <c r="O444" s="14">
        <f>CHOOSE(CONTROL!$C$42, 20.777, 20.777) * CHOOSE(CONTROL!$C$21, $C$9, 100%, $E$9)</f>
        <v>20.777000000000001</v>
      </c>
      <c r="P444" s="14">
        <f>CHOOSE(CONTROL!$C$42, 20.7505, 20.7505) * CHOOSE(CONTROL!$C$21, $C$9, 100%, $E$9)</f>
        <v>20.750499999999999</v>
      </c>
      <c r="Q444" s="14">
        <f>CHOOSE(CONTROL!$C$42, 21.3717, 21.3717) * CHOOSE(CONTROL!$C$21, $C$9, 100%, $E$9)</f>
        <v>21.371700000000001</v>
      </c>
      <c r="R444" s="14">
        <f>CHOOSE(CONTROL!$C$42, 22.0122, 22.0122) * CHOOSE(CONTROL!$C$21, $C$9, 100%, $E$9)</f>
        <v>22.0122</v>
      </c>
      <c r="S444" s="14">
        <f>CHOOSE(CONTROL!$C$42, 20.2072, 20.2072) * CHOOSE(CONTROL!$C$21, $C$9, 100%, $E$9)</f>
        <v>20.2072</v>
      </c>
      <c r="T4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44" s="56">
        <f>(1000*CHOOSE(CONTROL!$C$42, 695, 695)*CHOOSE(CONTROL!$C$42, 0.5599, 0.5599)*CHOOSE(CONTROL!$C$42, 31, 31))/1000000</f>
        <v>12.063045499999998</v>
      </c>
      <c r="V444" s="56">
        <f>(1000*CHOOSE(CONTROL!$C$42, 500, 500)*CHOOSE(CONTROL!$C$42, 0.275, 0.275)*CHOOSE(CONTROL!$C$42, 31, 31))/1000000</f>
        <v>4.2625000000000002</v>
      </c>
      <c r="W444" s="56">
        <f>(1000*CHOOSE(CONTROL!$C$42, 0.1146, 0.1146)*CHOOSE(CONTROL!$C$42, 121.5, 121.5)*CHOOSE(CONTROL!$C$42, 31, 31))/1000000</f>
        <v>0.43164089999999994</v>
      </c>
      <c r="X444" s="56">
        <f>(31*0.1790888*100000/1000000)+(31*0.2374*100000/1000000)</f>
        <v>1.2911152800000001</v>
      </c>
      <c r="Y444" s="56"/>
      <c r="Z444" s="14"/>
      <c r="AA444" s="55"/>
      <c r="AB444" s="49">
        <f>(B444*122.58+C444*297.941+D444*89.177+E444*40.302+F444*40+G444*160+H444*0+I444*100+J444*300)/(122.58+297.941+89.177+40.302+0+40+160+100+300)</f>
        <v>21.071935562782606</v>
      </c>
      <c r="AC444" s="45">
        <f>(M444*'RAP TEMPLATE-GAS AVAILABILITY'!O443+N444*'RAP TEMPLATE-GAS AVAILABILITY'!P443+O444*'RAP TEMPLATE-GAS AVAILABILITY'!Q443+P444*'RAP TEMPLATE-GAS AVAILABILITY'!R443)/('RAP TEMPLATE-GAS AVAILABILITY'!O443+'RAP TEMPLATE-GAS AVAILABILITY'!P443+'RAP TEMPLATE-GAS AVAILABILITY'!Q443+'RAP TEMPLATE-GAS AVAILABILITY'!R443)</f>
        <v>20.739235971223021</v>
      </c>
    </row>
    <row r="445" spans="1:29" ht="15.75" x14ac:dyDescent="0.25">
      <c r="A445" s="33">
        <v>54454</v>
      </c>
      <c r="B445" s="14">
        <f>CHOOSE(CONTROL!$C$42, 22.7816, 22.7816) * CHOOSE(CONTROL!$C$21, $C$9, 100%, $E$9)</f>
        <v>22.781600000000001</v>
      </c>
      <c r="C445" s="14">
        <f>CHOOSE(CONTROL!$C$42, 22.7867, 22.7867) * CHOOSE(CONTROL!$C$21, $C$9, 100%, $E$9)</f>
        <v>22.7867</v>
      </c>
      <c r="D445" s="14">
        <f>CHOOSE(CONTROL!$C$42, 22.8801, 22.8801) * CHOOSE(CONTROL!$C$21, $C$9, 100%, $E$9)</f>
        <v>22.880099999999999</v>
      </c>
      <c r="E445" s="14">
        <f>CHOOSE(CONTROL!$C$42, 22.9142, 22.9142) * CHOOSE(CONTROL!$C$21, $C$9, 100%, $E$9)</f>
        <v>22.914200000000001</v>
      </c>
      <c r="F445" s="14">
        <f>CHOOSE(CONTROL!$C$42, 22.8089, 22.8089)*CHOOSE(CONTROL!$C$21, $C$9, 100%, $E$9)</f>
        <v>22.808900000000001</v>
      </c>
      <c r="G445" s="14">
        <f>CHOOSE(CONTROL!$C$42, 22.8269, 22.8269)*CHOOSE(CONTROL!$C$21, $C$9, 100%, $E$9)</f>
        <v>22.826899999999998</v>
      </c>
      <c r="H445" s="14">
        <f>CHOOSE(CONTROL!$C$42, 22.9034, 22.9034) * CHOOSE(CONTROL!$C$21, $C$9, 100%, $E$9)</f>
        <v>22.903400000000001</v>
      </c>
      <c r="I445" s="14">
        <f>CHOOSE(CONTROL!$C$42, 22.8788, 22.8788)* CHOOSE(CONTROL!$C$21, $C$9, 100%, $E$9)</f>
        <v>22.878799999999998</v>
      </c>
      <c r="J445" s="14">
        <f>CHOOSE(CONTROL!$C$42, 22.8019, 22.8019)* CHOOSE(CONTROL!$C$21, $C$9, 100%, $E$9)</f>
        <v>22.8019</v>
      </c>
      <c r="K445" s="52">
        <f>CHOOSE(CONTROL!$C$42, 22.875, 22.875) * CHOOSE(CONTROL!$C$21, $C$9, 100%, $E$9)</f>
        <v>22.875</v>
      </c>
      <c r="L445" s="14">
        <f>CHOOSE(CONTROL!$C$42, 23.4904, 23.4904) * CHOOSE(CONTROL!$C$21, $C$9, 100%, $E$9)</f>
        <v>23.490400000000001</v>
      </c>
      <c r="M445" s="14">
        <f>CHOOSE(CONTROL!$C$42, 22.3995, 22.3995) * CHOOSE(CONTROL!$C$21, $C$9, 100%, $E$9)</f>
        <v>22.3995</v>
      </c>
      <c r="N445" s="14">
        <f>CHOOSE(CONTROL!$C$42, 22.4171, 22.4171) * CHOOSE(CONTROL!$C$21, $C$9, 100%, $E$9)</f>
        <v>22.417100000000001</v>
      </c>
      <c r="O445" s="14">
        <f>CHOOSE(CONTROL!$C$42, 22.4992, 22.4992) * CHOOSE(CONTROL!$C$21, $C$9, 100%, $E$9)</f>
        <v>22.499199999999998</v>
      </c>
      <c r="P445" s="14">
        <f>CHOOSE(CONTROL!$C$42, 22.4738, 22.4738) * CHOOSE(CONTROL!$C$21, $C$9, 100%, $E$9)</f>
        <v>22.473800000000001</v>
      </c>
      <c r="Q445" s="14">
        <f>CHOOSE(CONTROL!$C$42, 23.0939, 23.0939) * CHOOSE(CONTROL!$C$21, $C$9, 100%, $E$9)</f>
        <v>23.093900000000001</v>
      </c>
      <c r="R445" s="14">
        <f>CHOOSE(CONTROL!$C$42, 23.7386, 23.7386) * CHOOSE(CONTROL!$C$21, $C$9, 100%, $E$9)</f>
        <v>23.738600000000002</v>
      </c>
      <c r="S445" s="14">
        <f>CHOOSE(CONTROL!$C$42, 21.8823, 21.8823) * CHOOSE(CONTROL!$C$21, $C$9, 100%, $E$9)</f>
        <v>21.882300000000001</v>
      </c>
      <c r="T4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45" s="56">
        <f>(1000*CHOOSE(CONTROL!$C$42, 695, 695)*CHOOSE(CONTROL!$C$42, 0.5599, 0.5599)*CHOOSE(CONTROL!$C$42, 31, 31))/1000000</f>
        <v>12.063045499999998</v>
      </c>
      <c r="V445" s="56">
        <f>(1000*CHOOSE(CONTROL!$C$42, 500, 500)*CHOOSE(CONTROL!$C$42, 0.275, 0.275)*CHOOSE(CONTROL!$C$42, 31, 31))/1000000</f>
        <v>4.2625000000000002</v>
      </c>
      <c r="W445" s="56">
        <f>(1000*CHOOSE(CONTROL!$C$42, 0.1146, 0.1146)*CHOOSE(CONTROL!$C$42, 121.5, 121.5)*CHOOSE(CONTROL!$C$42, 31, 31))/1000000</f>
        <v>0.43164089999999994</v>
      </c>
      <c r="X445" s="56">
        <f>(31*0.1790888*100000/1000000)+(31*0.2374*100000/1000000)</f>
        <v>1.2911152800000001</v>
      </c>
      <c r="Y445" s="56"/>
      <c r="Z445" s="14"/>
      <c r="AA445" s="55"/>
      <c r="AB445" s="49">
        <f>(B445*122.58+C445*297.941+D445*89.177+E445*40.302+F445*40+G445*160+H445*0+I445*100+J445*300)/(122.58+297.941+89.177+40.302+0+40+160+100+300)</f>
        <v>22.816206503304347</v>
      </c>
      <c r="AC445" s="45">
        <f>(M445*'RAP TEMPLATE-GAS AVAILABILITY'!O444+N445*'RAP TEMPLATE-GAS AVAILABILITY'!P444+O445*'RAP TEMPLATE-GAS AVAILABILITY'!Q444+P445*'RAP TEMPLATE-GAS AVAILABILITY'!R444)/('RAP TEMPLATE-GAS AVAILABILITY'!O444+'RAP TEMPLATE-GAS AVAILABILITY'!P444+'RAP TEMPLATE-GAS AVAILABILITY'!Q444+'RAP TEMPLATE-GAS AVAILABILITY'!R444)</f>
        <v>22.456391366906473</v>
      </c>
    </row>
    <row r="446" spans="1:29" ht="15.75" x14ac:dyDescent="0.25">
      <c r="A446" s="33">
        <v>54482</v>
      </c>
      <c r="B446" s="14">
        <f>CHOOSE(CONTROL!$C$42, 23.187, 23.187) * CHOOSE(CONTROL!$C$21, $C$9, 100%, $E$9)</f>
        <v>23.187000000000001</v>
      </c>
      <c r="C446" s="14">
        <f>CHOOSE(CONTROL!$C$42, 23.192, 23.192) * CHOOSE(CONTROL!$C$21, $C$9, 100%, $E$9)</f>
        <v>23.192</v>
      </c>
      <c r="D446" s="14">
        <f>CHOOSE(CONTROL!$C$42, 23.2855, 23.2855) * CHOOSE(CONTROL!$C$21, $C$9, 100%, $E$9)</f>
        <v>23.285499999999999</v>
      </c>
      <c r="E446" s="14">
        <f>CHOOSE(CONTROL!$C$42, 23.3196, 23.3196) * CHOOSE(CONTROL!$C$21, $C$9, 100%, $E$9)</f>
        <v>23.319600000000001</v>
      </c>
      <c r="F446" s="14">
        <f>CHOOSE(CONTROL!$C$42, 23.2139, 23.2139)*CHOOSE(CONTROL!$C$21, $C$9, 100%, $E$9)</f>
        <v>23.213899999999999</v>
      </c>
      <c r="G446" s="14">
        <f>CHOOSE(CONTROL!$C$42, 23.2318, 23.2318)*CHOOSE(CONTROL!$C$21, $C$9, 100%, $E$9)</f>
        <v>23.2318</v>
      </c>
      <c r="H446" s="14">
        <f>CHOOSE(CONTROL!$C$42, 23.3088, 23.3088) * CHOOSE(CONTROL!$C$21, $C$9, 100%, $E$9)</f>
        <v>23.308800000000002</v>
      </c>
      <c r="I446" s="14">
        <f>CHOOSE(CONTROL!$C$42, 23.2855, 23.2855)* CHOOSE(CONTROL!$C$21, $C$9, 100%, $E$9)</f>
        <v>23.285499999999999</v>
      </c>
      <c r="J446" s="14">
        <f>CHOOSE(CONTROL!$C$42, 23.2069, 23.2069)* CHOOSE(CONTROL!$C$21, $C$9, 100%, $E$9)</f>
        <v>23.206900000000001</v>
      </c>
      <c r="K446" s="52">
        <f>CHOOSE(CONTROL!$C$42, 23.2816, 23.2816) * CHOOSE(CONTROL!$C$21, $C$9, 100%, $E$9)</f>
        <v>23.281600000000001</v>
      </c>
      <c r="L446" s="14">
        <f>CHOOSE(CONTROL!$C$42, 23.8958, 23.8958) * CHOOSE(CONTROL!$C$21, $C$9, 100%, $E$9)</f>
        <v>23.895800000000001</v>
      </c>
      <c r="M446" s="14">
        <f>CHOOSE(CONTROL!$C$42, 22.7972, 22.7972) * CHOOSE(CONTROL!$C$21, $C$9, 100%, $E$9)</f>
        <v>22.7972</v>
      </c>
      <c r="N446" s="14">
        <f>CHOOSE(CONTROL!$C$42, 22.8148, 22.8148) * CHOOSE(CONTROL!$C$21, $C$9, 100%, $E$9)</f>
        <v>22.814800000000002</v>
      </c>
      <c r="O446" s="14">
        <f>CHOOSE(CONTROL!$C$42, 22.8973, 22.8973) * CHOOSE(CONTROL!$C$21, $C$9, 100%, $E$9)</f>
        <v>22.897300000000001</v>
      </c>
      <c r="P446" s="14">
        <f>CHOOSE(CONTROL!$C$42, 22.8731, 22.8731) * CHOOSE(CONTROL!$C$21, $C$9, 100%, $E$9)</f>
        <v>22.873100000000001</v>
      </c>
      <c r="Q446" s="14">
        <f>CHOOSE(CONTROL!$C$42, 23.492, 23.492) * CHOOSE(CONTROL!$C$21, $C$9, 100%, $E$9)</f>
        <v>23.492000000000001</v>
      </c>
      <c r="R446" s="14">
        <f>CHOOSE(CONTROL!$C$42, 24.1377, 24.1377) * CHOOSE(CONTROL!$C$21, $C$9, 100%, $E$9)</f>
        <v>24.137699999999999</v>
      </c>
      <c r="S446" s="14">
        <f>CHOOSE(CONTROL!$C$42, 22.2718, 22.2718) * CHOOSE(CONTROL!$C$21, $C$9, 100%, $E$9)</f>
        <v>22.271799999999999</v>
      </c>
      <c r="T44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46" s="56">
        <f>(1000*CHOOSE(CONTROL!$C$42, 695, 695)*CHOOSE(CONTROL!$C$42, 0.5599, 0.5599)*CHOOSE(CONTROL!$C$42, 28, 28))/1000000</f>
        <v>10.895653999999999</v>
      </c>
      <c r="V446" s="56">
        <f>(1000*CHOOSE(CONTROL!$C$42, 500, 500)*CHOOSE(CONTROL!$C$42, 0.275, 0.275)*CHOOSE(CONTROL!$C$42, 28, 28))/1000000</f>
        <v>3.85</v>
      </c>
      <c r="W446" s="56">
        <f>(1000*CHOOSE(CONTROL!$C$42, 0.1146, 0.1146)*CHOOSE(CONTROL!$C$42, 121.5, 121.5)*CHOOSE(CONTROL!$C$42, 28, 28))/1000000</f>
        <v>0.38986920000000003</v>
      </c>
      <c r="X446" s="56">
        <f>(28*0.1790888*100000/1000000)+(28*0.2374*100000/1000000)</f>
        <v>1.16616864</v>
      </c>
      <c r="Y446" s="56"/>
      <c r="Z446" s="14"/>
      <c r="AA446" s="55"/>
      <c r="AB446" s="49">
        <f>(B446*122.58+C446*297.941+D446*89.177+E446*40.302+F446*40+G446*160+H446*0+I446*100+J446*300)/(122.58+297.941+89.177+40.302+0+40+160+100+300)</f>
        <v>23.22150581278261</v>
      </c>
      <c r="AC446" s="45">
        <f>(M446*'RAP TEMPLATE-GAS AVAILABILITY'!O445+N446*'RAP TEMPLATE-GAS AVAILABILITY'!P445+O446*'RAP TEMPLATE-GAS AVAILABILITY'!Q445+P446*'RAP TEMPLATE-GAS AVAILABILITY'!R445)/('RAP TEMPLATE-GAS AVAILABILITY'!O445+'RAP TEMPLATE-GAS AVAILABILITY'!P445+'RAP TEMPLATE-GAS AVAILABILITY'!Q445+'RAP TEMPLATE-GAS AVAILABILITY'!R445)</f>
        <v>22.854502877697843</v>
      </c>
    </row>
    <row r="447" spans="1:29" ht="15.75" x14ac:dyDescent="0.25">
      <c r="A447" s="33">
        <v>54513</v>
      </c>
      <c r="B447" s="14">
        <f>CHOOSE(CONTROL!$C$42, 22.529, 22.529) * CHOOSE(CONTROL!$C$21, $C$9, 100%, $E$9)</f>
        <v>22.529</v>
      </c>
      <c r="C447" s="14">
        <f>CHOOSE(CONTROL!$C$42, 22.534, 22.534) * CHOOSE(CONTROL!$C$21, $C$9, 100%, $E$9)</f>
        <v>22.533999999999999</v>
      </c>
      <c r="D447" s="14">
        <f>CHOOSE(CONTROL!$C$42, 22.6275, 22.6275) * CHOOSE(CONTROL!$C$21, $C$9, 100%, $E$9)</f>
        <v>22.627500000000001</v>
      </c>
      <c r="E447" s="14">
        <f>CHOOSE(CONTROL!$C$42, 22.6616, 22.6616) * CHOOSE(CONTROL!$C$21, $C$9, 100%, $E$9)</f>
        <v>22.6616</v>
      </c>
      <c r="F447" s="14">
        <f>CHOOSE(CONTROL!$C$42, 22.555, 22.555)*CHOOSE(CONTROL!$C$21, $C$9, 100%, $E$9)</f>
        <v>22.555</v>
      </c>
      <c r="G447" s="14">
        <f>CHOOSE(CONTROL!$C$42, 22.5727, 22.5727)*CHOOSE(CONTROL!$C$21, $C$9, 100%, $E$9)</f>
        <v>22.572700000000001</v>
      </c>
      <c r="H447" s="14">
        <f>CHOOSE(CONTROL!$C$42, 22.6508, 22.6508) * CHOOSE(CONTROL!$C$21, $C$9, 100%, $E$9)</f>
        <v>22.6508</v>
      </c>
      <c r="I447" s="14">
        <f>CHOOSE(CONTROL!$C$42, 22.6254, 22.6254)* CHOOSE(CONTROL!$C$21, $C$9, 100%, $E$9)</f>
        <v>22.625399999999999</v>
      </c>
      <c r="J447" s="14">
        <f>CHOOSE(CONTROL!$C$42, 22.548, 22.548)* CHOOSE(CONTROL!$C$21, $C$9, 100%, $E$9)</f>
        <v>22.547999999999998</v>
      </c>
      <c r="K447" s="52">
        <f>CHOOSE(CONTROL!$C$42, 22.6215, 22.6215) * CHOOSE(CONTROL!$C$21, $C$9, 100%, $E$9)</f>
        <v>22.621500000000001</v>
      </c>
      <c r="L447" s="14">
        <f>CHOOSE(CONTROL!$C$42, 23.2378, 23.2378) * CHOOSE(CONTROL!$C$21, $C$9, 100%, $E$9)</f>
        <v>23.2378</v>
      </c>
      <c r="M447" s="14">
        <f>CHOOSE(CONTROL!$C$42, 22.1502, 22.1502) * CHOOSE(CONTROL!$C$21, $C$9, 100%, $E$9)</f>
        <v>22.150200000000002</v>
      </c>
      <c r="N447" s="14">
        <f>CHOOSE(CONTROL!$C$42, 22.1675, 22.1675) * CHOOSE(CONTROL!$C$21, $C$9, 100%, $E$9)</f>
        <v>22.1675</v>
      </c>
      <c r="O447" s="14">
        <f>CHOOSE(CONTROL!$C$42, 22.2511, 22.2511) * CHOOSE(CONTROL!$C$21, $C$9, 100%, $E$9)</f>
        <v>22.251100000000001</v>
      </c>
      <c r="P447" s="14">
        <f>CHOOSE(CONTROL!$C$42, 22.225, 22.225) * CHOOSE(CONTROL!$C$21, $C$9, 100%, $E$9)</f>
        <v>22.225000000000001</v>
      </c>
      <c r="Q447" s="14">
        <f>CHOOSE(CONTROL!$C$42, 22.8458, 22.8458) * CHOOSE(CONTROL!$C$21, $C$9, 100%, $E$9)</f>
        <v>22.845800000000001</v>
      </c>
      <c r="R447" s="14">
        <f>CHOOSE(CONTROL!$C$42, 23.4899, 23.4899) * CHOOSE(CONTROL!$C$21, $C$9, 100%, $E$9)</f>
        <v>23.489899999999999</v>
      </c>
      <c r="S447" s="14">
        <f>CHOOSE(CONTROL!$C$42, 21.6395, 21.6395) * CHOOSE(CONTROL!$C$21, $C$9, 100%, $E$9)</f>
        <v>21.639500000000002</v>
      </c>
      <c r="T4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47" s="56">
        <f>(1000*CHOOSE(CONTROL!$C$42, 695, 695)*CHOOSE(CONTROL!$C$42, 0.5599, 0.5599)*CHOOSE(CONTROL!$C$42, 31, 31))/1000000</f>
        <v>12.063045499999998</v>
      </c>
      <c r="V447" s="56">
        <f>(1000*CHOOSE(CONTROL!$C$42, 500, 500)*CHOOSE(CONTROL!$C$42, 0.275, 0.275)*CHOOSE(CONTROL!$C$42, 31, 31))/1000000</f>
        <v>4.2625000000000002</v>
      </c>
      <c r="W447" s="56">
        <f>(1000*CHOOSE(CONTROL!$C$42, 0.1146, 0.1146)*CHOOSE(CONTROL!$C$42, 121.5, 121.5)*CHOOSE(CONTROL!$C$42, 31, 31))/1000000</f>
        <v>0.43164089999999994</v>
      </c>
      <c r="X447" s="56">
        <f>(31*0.1790888*100000/1000000)+(31*0.2374*100000/1000000)</f>
        <v>1.2911152800000001</v>
      </c>
      <c r="Y447" s="56"/>
      <c r="Z447" s="14"/>
      <c r="AA447" s="55"/>
      <c r="AB447" s="49">
        <f>(B447*122.58+C447*297.941+D447*89.177+E447*40.302+F447*40+G447*160+H447*0+I447*100+J447*300)/(122.58+297.941+89.177+40.302+0+40+160+100+300)</f>
        <v>22.56290407365217</v>
      </c>
      <c r="AC447" s="45">
        <f>(M447*'RAP TEMPLATE-GAS AVAILABILITY'!O446+N447*'RAP TEMPLATE-GAS AVAILABILITY'!P446+O447*'RAP TEMPLATE-GAS AVAILABILITY'!Q446+P447*'RAP TEMPLATE-GAS AVAILABILITY'!R446)/('RAP TEMPLATE-GAS AVAILABILITY'!O446+'RAP TEMPLATE-GAS AVAILABILITY'!P446+'RAP TEMPLATE-GAS AVAILABILITY'!Q446+'RAP TEMPLATE-GAS AVAILABILITY'!R446)</f>
        <v>22.207689928057555</v>
      </c>
    </row>
    <row r="448" spans="1:29" ht="15.75" x14ac:dyDescent="0.25">
      <c r="A448" s="33">
        <v>54543</v>
      </c>
      <c r="B448" s="14">
        <f>CHOOSE(CONTROL!$C$42, 22.4625, 22.4625) * CHOOSE(CONTROL!$C$21, $C$9, 100%, $E$9)</f>
        <v>22.462499999999999</v>
      </c>
      <c r="C448" s="14">
        <f>CHOOSE(CONTROL!$C$42, 22.467, 22.467) * CHOOSE(CONTROL!$C$21, $C$9, 100%, $E$9)</f>
        <v>22.466999999999999</v>
      </c>
      <c r="D448" s="14">
        <f>CHOOSE(CONTROL!$C$42, 22.7293, 22.7293) * CHOOSE(CONTROL!$C$21, $C$9, 100%, $E$9)</f>
        <v>22.729299999999999</v>
      </c>
      <c r="E448" s="14">
        <f>CHOOSE(CONTROL!$C$42, 22.7614, 22.7614) * CHOOSE(CONTROL!$C$21, $C$9, 100%, $E$9)</f>
        <v>22.761399999999998</v>
      </c>
      <c r="F448" s="14">
        <f>CHOOSE(CONTROL!$C$42, 22.4854, 22.4854)*CHOOSE(CONTROL!$C$21, $C$9, 100%, $E$9)</f>
        <v>22.485399999999998</v>
      </c>
      <c r="G448" s="14">
        <f>CHOOSE(CONTROL!$C$42, 22.5021, 22.5021)*CHOOSE(CONTROL!$C$21, $C$9, 100%, $E$9)</f>
        <v>22.502099999999999</v>
      </c>
      <c r="H448" s="14">
        <f>CHOOSE(CONTROL!$C$42, 22.7512, 22.7512) * CHOOSE(CONTROL!$C$21, $C$9, 100%, $E$9)</f>
        <v>22.751200000000001</v>
      </c>
      <c r="I448" s="14">
        <f>CHOOSE(CONTROL!$C$42, 22.5554, 22.5554)* CHOOSE(CONTROL!$C$21, $C$9, 100%, $E$9)</f>
        <v>22.555399999999999</v>
      </c>
      <c r="J448" s="14">
        <f>CHOOSE(CONTROL!$C$42, 22.4784, 22.4784)* CHOOSE(CONTROL!$C$21, $C$9, 100%, $E$9)</f>
        <v>22.478400000000001</v>
      </c>
      <c r="K448" s="52">
        <f>CHOOSE(CONTROL!$C$42, 22.5515, 22.5515) * CHOOSE(CONTROL!$C$21, $C$9, 100%, $E$9)</f>
        <v>22.551500000000001</v>
      </c>
      <c r="L448" s="14">
        <f>CHOOSE(CONTROL!$C$42, 23.3382, 23.3382) * CHOOSE(CONTROL!$C$21, $C$9, 100%, $E$9)</f>
        <v>23.338200000000001</v>
      </c>
      <c r="M448" s="14">
        <f>CHOOSE(CONTROL!$C$42, 22.0818, 22.0818) * CHOOSE(CONTROL!$C$21, $C$9, 100%, $E$9)</f>
        <v>22.081800000000001</v>
      </c>
      <c r="N448" s="14">
        <f>CHOOSE(CONTROL!$C$42, 22.0982, 22.0982) * CHOOSE(CONTROL!$C$21, $C$9, 100%, $E$9)</f>
        <v>22.098199999999999</v>
      </c>
      <c r="O448" s="14">
        <f>CHOOSE(CONTROL!$C$42, 22.3496, 22.3496) * CHOOSE(CONTROL!$C$21, $C$9, 100%, $E$9)</f>
        <v>22.349599999999999</v>
      </c>
      <c r="P448" s="14">
        <f>CHOOSE(CONTROL!$C$42, 22.1562, 22.1562) * CHOOSE(CONTROL!$C$21, $C$9, 100%, $E$9)</f>
        <v>22.156199999999998</v>
      </c>
      <c r="Q448" s="14">
        <f>CHOOSE(CONTROL!$C$42, 22.9443, 22.9443) * CHOOSE(CONTROL!$C$21, $C$9, 100%, $E$9)</f>
        <v>22.944299999999998</v>
      </c>
      <c r="R448" s="14">
        <f>CHOOSE(CONTROL!$C$42, 23.5887, 23.5887) * CHOOSE(CONTROL!$C$21, $C$9, 100%, $E$9)</f>
        <v>23.588699999999999</v>
      </c>
      <c r="S448" s="14">
        <f>CHOOSE(CONTROL!$C$42, 21.575, 21.575) * CHOOSE(CONTROL!$C$21, $C$9, 100%, $E$9)</f>
        <v>21.574999999999999</v>
      </c>
      <c r="T4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48" s="56">
        <f>(1000*CHOOSE(CONTROL!$C$42, 695, 695)*CHOOSE(CONTROL!$C$42, 0.5599, 0.5599)*CHOOSE(CONTROL!$C$42, 30, 30))/1000000</f>
        <v>11.673914999999997</v>
      </c>
      <c r="V448" s="56">
        <f>(1000*CHOOSE(CONTROL!$C$42, 500, 500)*CHOOSE(CONTROL!$C$42, 0.275, 0.275)*CHOOSE(CONTROL!$C$42, 30, 30))/1000000</f>
        <v>4.125</v>
      </c>
      <c r="W448" s="56">
        <f>(1000*CHOOSE(CONTROL!$C$42, 0.1146, 0.1146)*CHOOSE(CONTROL!$C$42, 121.5, 121.5)*CHOOSE(CONTROL!$C$42, 30, 30))/1000000</f>
        <v>0.417717</v>
      </c>
      <c r="X448" s="56">
        <f>(30*0.1790888*245000/1000000)+(30*0.2374*100000/1000000)</f>
        <v>2.0285026799999999</v>
      </c>
      <c r="Y448" s="56"/>
      <c r="Z448" s="14"/>
      <c r="AA448" s="55"/>
      <c r="AB448" s="49">
        <f>(B448*141.293+C448*267.993+D448*115.016+E448*89.698+F448*40+G448*185+H448*0+I448*100+J448*300)/(141.293+267.993+115.016+89.698+0+40+185+100+300)</f>
        <v>22.527879313559321</v>
      </c>
      <c r="AC448" s="45">
        <f>(M448*'RAP TEMPLATE-GAS AVAILABILITY'!O447+N448*'RAP TEMPLATE-GAS AVAILABILITY'!P447+O448*'RAP TEMPLATE-GAS AVAILABILITY'!Q447+P448*'RAP TEMPLATE-GAS AVAILABILITY'!R447)/('RAP TEMPLATE-GAS AVAILABILITY'!O447+'RAP TEMPLATE-GAS AVAILABILITY'!P447+'RAP TEMPLATE-GAS AVAILABILITY'!Q447+'RAP TEMPLATE-GAS AVAILABILITY'!R447)</f>
        <v>22.171418705035968</v>
      </c>
    </row>
    <row r="449" spans="1:29" ht="15.75" x14ac:dyDescent="0.25">
      <c r="A449" s="33">
        <v>54574</v>
      </c>
      <c r="B449" s="14">
        <f>CHOOSE(CONTROL!$C$42, 22.6621, 22.6621) * CHOOSE(CONTROL!$C$21, $C$9, 100%, $E$9)</f>
        <v>22.662099999999999</v>
      </c>
      <c r="C449" s="14">
        <f>CHOOSE(CONTROL!$C$42, 22.6701, 22.6701) * CHOOSE(CONTROL!$C$21, $C$9, 100%, $E$9)</f>
        <v>22.670100000000001</v>
      </c>
      <c r="D449" s="14">
        <f>CHOOSE(CONTROL!$C$42, 22.9292, 22.9292) * CHOOSE(CONTROL!$C$21, $C$9, 100%, $E$9)</f>
        <v>22.929200000000002</v>
      </c>
      <c r="E449" s="14">
        <f>CHOOSE(CONTROL!$C$42, 22.9607, 22.9607) * CHOOSE(CONTROL!$C$21, $C$9, 100%, $E$9)</f>
        <v>22.960699999999999</v>
      </c>
      <c r="F449" s="14">
        <f>CHOOSE(CONTROL!$C$42, 22.6836, 22.6836)*CHOOSE(CONTROL!$C$21, $C$9, 100%, $E$9)</f>
        <v>22.683599999999998</v>
      </c>
      <c r="G449" s="14">
        <f>CHOOSE(CONTROL!$C$42, 22.7006, 22.7006)*CHOOSE(CONTROL!$C$21, $C$9, 100%, $E$9)</f>
        <v>22.700600000000001</v>
      </c>
      <c r="H449" s="14">
        <f>CHOOSE(CONTROL!$C$42, 22.9493, 22.9493) * CHOOSE(CONTROL!$C$21, $C$9, 100%, $E$9)</f>
        <v>22.949300000000001</v>
      </c>
      <c r="I449" s="14">
        <f>CHOOSE(CONTROL!$C$42, 22.7542, 22.7542)* CHOOSE(CONTROL!$C$21, $C$9, 100%, $E$9)</f>
        <v>22.754200000000001</v>
      </c>
      <c r="J449" s="14">
        <f>CHOOSE(CONTROL!$C$42, 22.6766, 22.6766)* CHOOSE(CONTROL!$C$21, $C$9, 100%, $E$9)</f>
        <v>22.676600000000001</v>
      </c>
      <c r="K449" s="52">
        <f>CHOOSE(CONTROL!$C$42, 22.7503, 22.7503) * CHOOSE(CONTROL!$C$21, $C$9, 100%, $E$9)</f>
        <v>22.750299999999999</v>
      </c>
      <c r="L449" s="14">
        <f>CHOOSE(CONTROL!$C$42, 23.5363, 23.5363) * CHOOSE(CONTROL!$C$21, $C$9, 100%, $E$9)</f>
        <v>23.536300000000001</v>
      </c>
      <c r="M449" s="14">
        <f>CHOOSE(CONTROL!$C$42, 22.2764, 22.2764) * CHOOSE(CONTROL!$C$21, $C$9, 100%, $E$9)</f>
        <v>22.276399999999999</v>
      </c>
      <c r="N449" s="14">
        <f>CHOOSE(CONTROL!$C$42, 22.2931, 22.2931) * CHOOSE(CONTROL!$C$21, $C$9, 100%, $E$9)</f>
        <v>22.293099999999999</v>
      </c>
      <c r="O449" s="14">
        <f>CHOOSE(CONTROL!$C$42, 22.5442, 22.5442) * CHOOSE(CONTROL!$C$21, $C$9, 100%, $E$9)</f>
        <v>22.5442</v>
      </c>
      <c r="P449" s="14">
        <f>CHOOSE(CONTROL!$C$42, 22.3514, 22.3514) * CHOOSE(CONTROL!$C$21, $C$9, 100%, $E$9)</f>
        <v>22.351400000000002</v>
      </c>
      <c r="Q449" s="14">
        <f>CHOOSE(CONTROL!$C$42, 23.1389, 23.1389) * CHOOSE(CONTROL!$C$21, $C$9, 100%, $E$9)</f>
        <v>23.1389</v>
      </c>
      <c r="R449" s="14">
        <f>CHOOSE(CONTROL!$C$42, 23.7838, 23.7838) * CHOOSE(CONTROL!$C$21, $C$9, 100%, $E$9)</f>
        <v>23.783799999999999</v>
      </c>
      <c r="S449" s="14">
        <f>CHOOSE(CONTROL!$C$42, 21.7654, 21.7654) * CHOOSE(CONTROL!$C$21, $C$9, 100%, $E$9)</f>
        <v>21.7654</v>
      </c>
      <c r="T4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49" s="56">
        <f>(1000*CHOOSE(CONTROL!$C$42, 695, 695)*CHOOSE(CONTROL!$C$42, 0.5599, 0.5599)*CHOOSE(CONTROL!$C$42, 31, 31))/1000000</f>
        <v>12.063045499999998</v>
      </c>
      <c r="V449" s="56">
        <f>(1000*CHOOSE(CONTROL!$C$42, 500, 500)*CHOOSE(CONTROL!$C$42, 0.275, 0.275)*CHOOSE(CONTROL!$C$42, 31, 31))/1000000</f>
        <v>4.2625000000000002</v>
      </c>
      <c r="W449" s="56">
        <f>(1000*CHOOSE(CONTROL!$C$42, 0.1146, 0.1146)*CHOOSE(CONTROL!$C$42, 121.5, 121.5)*CHOOSE(CONTROL!$C$42, 31, 31))/1000000</f>
        <v>0.43164089999999994</v>
      </c>
      <c r="X449" s="56">
        <f>(31*0.1790888*245000/1000000)+(31*0.2374*100000/1000000)</f>
        <v>2.0961194359999999</v>
      </c>
      <c r="Y449" s="56"/>
      <c r="Z449" s="14"/>
      <c r="AA449" s="55"/>
      <c r="AB449" s="49">
        <f>(B449*194.205+C449*267.466+D449*133.845+E449*53.484+F449*40+G449*185+H449*0+I449*100+J449*300)/(194.205+267.466+133.845+53.484+0+40+185+100+300)</f>
        <v>22.721285674960754</v>
      </c>
      <c r="AC449" s="45">
        <f>(M449*'RAP TEMPLATE-GAS AVAILABILITY'!O448+N449*'RAP TEMPLATE-GAS AVAILABILITY'!P448+O449*'RAP TEMPLATE-GAS AVAILABILITY'!Q448+P449*'RAP TEMPLATE-GAS AVAILABILITY'!R448)/('RAP TEMPLATE-GAS AVAILABILITY'!O448+'RAP TEMPLATE-GAS AVAILABILITY'!P448+'RAP TEMPLATE-GAS AVAILABILITY'!Q448+'RAP TEMPLATE-GAS AVAILABILITY'!R448)</f>
        <v>22.366174100719423</v>
      </c>
    </row>
    <row r="450" spans="1:29" ht="15.75" x14ac:dyDescent="0.25">
      <c r="A450" s="33">
        <v>54604</v>
      </c>
      <c r="B450" s="14">
        <f>CHOOSE(CONTROL!$C$42, 23.3046, 23.3046) * CHOOSE(CONTROL!$C$21, $C$9, 100%, $E$9)</f>
        <v>23.304600000000001</v>
      </c>
      <c r="C450" s="14">
        <f>CHOOSE(CONTROL!$C$42, 23.3126, 23.3126) * CHOOSE(CONTROL!$C$21, $C$9, 100%, $E$9)</f>
        <v>23.3126</v>
      </c>
      <c r="D450" s="14">
        <f>CHOOSE(CONTROL!$C$42, 23.5717, 23.5717) * CHOOSE(CONTROL!$C$21, $C$9, 100%, $E$9)</f>
        <v>23.5717</v>
      </c>
      <c r="E450" s="14">
        <f>CHOOSE(CONTROL!$C$42, 23.6032, 23.6032) * CHOOSE(CONTROL!$C$21, $C$9, 100%, $E$9)</f>
        <v>23.603200000000001</v>
      </c>
      <c r="F450" s="14">
        <f>CHOOSE(CONTROL!$C$42, 23.3264, 23.3264)*CHOOSE(CONTROL!$C$21, $C$9, 100%, $E$9)</f>
        <v>23.3264</v>
      </c>
      <c r="G450" s="14">
        <f>CHOOSE(CONTROL!$C$42, 23.3434, 23.3434)*CHOOSE(CONTROL!$C$21, $C$9, 100%, $E$9)</f>
        <v>23.343399999999999</v>
      </c>
      <c r="H450" s="14">
        <f>CHOOSE(CONTROL!$C$42, 23.5918, 23.5918) * CHOOSE(CONTROL!$C$21, $C$9, 100%, $E$9)</f>
        <v>23.591799999999999</v>
      </c>
      <c r="I450" s="14">
        <f>CHOOSE(CONTROL!$C$42, 23.3987, 23.3987)* CHOOSE(CONTROL!$C$21, $C$9, 100%, $E$9)</f>
        <v>23.398700000000002</v>
      </c>
      <c r="J450" s="14">
        <f>CHOOSE(CONTROL!$C$42, 23.3194, 23.3194)* CHOOSE(CONTROL!$C$21, $C$9, 100%, $E$9)</f>
        <v>23.319400000000002</v>
      </c>
      <c r="K450" s="52">
        <f>CHOOSE(CONTROL!$C$42, 23.3948, 23.3948) * CHOOSE(CONTROL!$C$21, $C$9, 100%, $E$9)</f>
        <v>23.3948</v>
      </c>
      <c r="L450" s="14">
        <f>CHOOSE(CONTROL!$C$42, 24.1788, 24.1788) * CHOOSE(CONTROL!$C$21, $C$9, 100%, $E$9)</f>
        <v>24.178799999999999</v>
      </c>
      <c r="M450" s="14">
        <f>CHOOSE(CONTROL!$C$42, 22.9076, 22.9076) * CHOOSE(CONTROL!$C$21, $C$9, 100%, $E$9)</f>
        <v>22.907599999999999</v>
      </c>
      <c r="N450" s="14">
        <f>CHOOSE(CONTROL!$C$42, 22.9244, 22.9244) * CHOOSE(CONTROL!$C$21, $C$9, 100%, $E$9)</f>
        <v>22.924399999999999</v>
      </c>
      <c r="O450" s="14">
        <f>CHOOSE(CONTROL!$C$42, 23.1752, 23.1752) * CHOOSE(CONTROL!$C$21, $C$9, 100%, $E$9)</f>
        <v>23.1752</v>
      </c>
      <c r="P450" s="14">
        <f>CHOOSE(CONTROL!$C$42, 22.9843, 22.9843) * CHOOSE(CONTROL!$C$21, $C$9, 100%, $E$9)</f>
        <v>22.984300000000001</v>
      </c>
      <c r="Q450" s="14">
        <f>CHOOSE(CONTROL!$C$42, 23.7699, 23.7699) * CHOOSE(CONTROL!$C$21, $C$9, 100%, $E$9)</f>
        <v>23.7699</v>
      </c>
      <c r="R450" s="14">
        <f>CHOOSE(CONTROL!$C$42, 24.4163, 24.4163) * CHOOSE(CONTROL!$C$21, $C$9, 100%, $E$9)</f>
        <v>24.4163</v>
      </c>
      <c r="S450" s="14">
        <f>CHOOSE(CONTROL!$C$42, 22.3828, 22.3828) * CHOOSE(CONTROL!$C$21, $C$9, 100%, $E$9)</f>
        <v>22.3828</v>
      </c>
      <c r="T4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50" s="56">
        <f>(1000*CHOOSE(CONTROL!$C$42, 695, 695)*CHOOSE(CONTROL!$C$42, 0.5599, 0.5599)*CHOOSE(CONTROL!$C$42, 30, 30))/1000000</f>
        <v>11.673914999999997</v>
      </c>
      <c r="V450" s="56">
        <f>(1000*CHOOSE(CONTROL!$C$42, 500, 500)*CHOOSE(CONTROL!$C$42, 0.275, 0.275)*CHOOSE(CONTROL!$C$42, 30, 30))/1000000</f>
        <v>4.125</v>
      </c>
      <c r="W450" s="56">
        <f>(1000*CHOOSE(CONTROL!$C$42, 0.1146, 0.1146)*CHOOSE(CONTROL!$C$42, 121.5, 121.5)*CHOOSE(CONTROL!$C$42, 30, 30))/1000000</f>
        <v>0.417717</v>
      </c>
      <c r="X450" s="56">
        <f>(30*0.1790888*245000/1000000)+(30*0.2374*100000/1000000)</f>
        <v>2.0285026799999999</v>
      </c>
      <c r="Y450" s="56"/>
      <c r="Z450" s="14"/>
      <c r="AA450" s="55"/>
      <c r="AB450" s="49">
        <f>(B450*194.205+C450*267.466+D450*133.845+E450*53.484+F450*40+G450*185+H450*0+I450*100+J450*300)/(194.205+267.466+133.845+53.484+0+40+185+100+300)</f>
        <v>23.364066287205652</v>
      </c>
      <c r="AC450" s="45">
        <f>(M450*'RAP TEMPLATE-GAS AVAILABILITY'!O449+N450*'RAP TEMPLATE-GAS AVAILABILITY'!P449+O450*'RAP TEMPLATE-GAS AVAILABILITY'!Q449+P450*'RAP TEMPLATE-GAS AVAILABILITY'!R449)/('RAP TEMPLATE-GAS AVAILABILITY'!O449+'RAP TEMPLATE-GAS AVAILABILITY'!P449+'RAP TEMPLATE-GAS AVAILABILITY'!Q449+'RAP TEMPLATE-GAS AVAILABILITY'!R449)</f>
        <v>22.997585611510793</v>
      </c>
    </row>
    <row r="451" spans="1:29" ht="15.75" x14ac:dyDescent="0.25">
      <c r="A451" s="33">
        <v>54635</v>
      </c>
      <c r="B451" s="14">
        <f>CHOOSE(CONTROL!$C$42, 22.8577, 22.8577) * CHOOSE(CONTROL!$C$21, $C$9, 100%, $E$9)</f>
        <v>22.857700000000001</v>
      </c>
      <c r="C451" s="14">
        <f>CHOOSE(CONTROL!$C$42, 22.8658, 22.8658) * CHOOSE(CONTROL!$C$21, $C$9, 100%, $E$9)</f>
        <v>22.8658</v>
      </c>
      <c r="D451" s="14">
        <f>CHOOSE(CONTROL!$C$42, 23.1249, 23.1249) * CHOOSE(CONTROL!$C$21, $C$9, 100%, $E$9)</f>
        <v>23.1249</v>
      </c>
      <c r="E451" s="14">
        <f>CHOOSE(CONTROL!$C$42, 23.1563, 23.1563) * CHOOSE(CONTROL!$C$21, $C$9, 100%, $E$9)</f>
        <v>23.156300000000002</v>
      </c>
      <c r="F451" s="14">
        <f>CHOOSE(CONTROL!$C$42, 22.8799, 22.8799)*CHOOSE(CONTROL!$C$21, $C$9, 100%, $E$9)</f>
        <v>22.879899999999999</v>
      </c>
      <c r="G451" s="14">
        <f>CHOOSE(CONTROL!$C$42, 22.8971, 22.8971)*CHOOSE(CONTROL!$C$21, $C$9, 100%, $E$9)</f>
        <v>22.897099999999998</v>
      </c>
      <c r="H451" s="14">
        <f>CHOOSE(CONTROL!$C$42, 23.145, 23.145) * CHOOSE(CONTROL!$C$21, $C$9, 100%, $E$9)</f>
        <v>23.145</v>
      </c>
      <c r="I451" s="14">
        <f>CHOOSE(CONTROL!$C$42, 22.9504, 22.9504)* CHOOSE(CONTROL!$C$21, $C$9, 100%, $E$9)</f>
        <v>22.950399999999998</v>
      </c>
      <c r="J451" s="14">
        <f>CHOOSE(CONTROL!$C$42, 22.8729, 22.8729)* CHOOSE(CONTROL!$C$21, $C$9, 100%, $E$9)</f>
        <v>22.872900000000001</v>
      </c>
      <c r="K451" s="52">
        <f>CHOOSE(CONTROL!$C$42, 22.9465, 22.9465) * CHOOSE(CONTROL!$C$21, $C$9, 100%, $E$9)</f>
        <v>22.9465</v>
      </c>
      <c r="L451" s="14">
        <f>CHOOSE(CONTROL!$C$42, 23.732, 23.732) * CHOOSE(CONTROL!$C$21, $C$9, 100%, $E$9)</f>
        <v>23.731999999999999</v>
      </c>
      <c r="M451" s="14">
        <f>CHOOSE(CONTROL!$C$42, 22.4692, 22.4692) * CHOOSE(CONTROL!$C$21, $C$9, 100%, $E$9)</f>
        <v>22.469200000000001</v>
      </c>
      <c r="N451" s="14">
        <f>CHOOSE(CONTROL!$C$42, 22.4861, 22.4861) * CHOOSE(CONTROL!$C$21, $C$9, 100%, $E$9)</f>
        <v>22.4861</v>
      </c>
      <c r="O451" s="14">
        <f>CHOOSE(CONTROL!$C$42, 22.7363, 22.7363) * CHOOSE(CONTROL!$C$21, $C$9, 100%, $E$9)</f>
        <v>22.7363</v>
      </c>
      <c r="P451" s="14">
        <f>CHOOSE(CONTROL!$C$42, 22.5441, 22.5441) * CHOOSE(CONTROL!$C$21, $C$9, 100%, $E$9)</f>
        <v>22.5441</v>
      </c>
      <c r="Q451" s="14">
        <f>CHOOSE(CONTROL!$C$42, 23.331, 23.331) * CHOOSE(CONTROL!$C$21, $C$9, 100%, $E$9)</f>
        <v>23.331</v>
      </c>
      <c r="R451" s="14">
        <f>CHOOSE(CONTROL!$C$42, 23.9764, 23.9764) * CHOOSE(CONTROL!$C$21, $C$9, 100%, $E$9)</f>
        <v>23.976400000000002</v>
      </c>
      <c r="S451" s="14">
        <f>CHOOSE(CONTROL!$C$42, 21.9534, 21.9534) * CHOOSE(CONTROL!$C$21, $C$9, 100%, $E$9)</f>
        <v>21.953399999999998</v>
      </c>
      <c r="T4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51" s="56">
        <f>(1000*CHOOSE(CONTROL!$C$42, 695, 695)*CHOOSE(CONTROL!$C$42, 0.5599, 0.5599)*CHOOSE(CONTROL!$C$42, 31, 31))/1000000</f>
        <v>12.063045499999998</v>
      </c>
      <c r="V451" s="56">
        <f>(1000*CHOOSE(CONTROL!$C$42, 500, 500)*CHOOSE(CONTROL!$C$42, 0.275, 0.275)*CHOOSE(CONTROL!$C$42, 31, 31))/1000000</f>
        <v>4.2625000000000002</v>
      </c>
      <c r="W451" s="56">
        <f>(1000*CHOOSE(CONTROL!$C$42, 0.1146, 0.1146)*CHOOSE(CONTROL!$C$42, 121.5, 121.5)*CHOOSE(CONTROL!$C$42, 31, 31))/1000000</f>
        <v>0.43164089999999994</v>
      </c>
      <c r="X451" s="56">
        <f>(31*0.1790888*245000/1000000)+(31*0.2374*100000/1000000)</f>
        <v>2.0961194359999999</v>
      </c>
      <c r="Y451" s="56"/>
      <c r="Z451" s="14"/>
      <c r="AA451" s="55"/>
      <c r="AB451" s="49">
        <f>(B451*194.205+C451*267.466+D451*133.845+E451*53.484+F451*40+G451*185+H451*0+I451*100+J451*300)/(194.205+267.466+133.845+53.484+0+40+185+100+300)</f>
        <v>22.917281774725279</v>
      </c>
      <c r="AC451" s="45">
        <f>(M451*'RAP TEMPLATE-GAS AVAILABILITY'!O450+N451*'RAP TEMPLATE-GAS AVAILABILITY'!P450+O451*'RAP TEMPLATE-GAS AVAILABILITY'!Q450+P451*'RAP TEMPLATE-GAS AVAILABILITY'!R450)/('RAP TEMPLATE-GAS AVAILABILITY'!O450+'RAP TEMPLATE-GAS AVAILABILITY'!P450+'RAP TEMPLATE-GAS AVAILABILITY'!Q450+'RAP TEMPLATE-GAS AVAILABILITY'!R450)</f>
        <v>22.558809352517986</v>
      </c>
    </row>
    <row r="452" spans="1:29" ht="15.75" x14ac:dyDescent="0.25">
      <c r="A452" s="33">
        <v>54666</v>
      </c>
      <c r="B452" s="14">
        <f>CHOOSE(CONTROL!$C$42, 21.7293, 21.7293) * CHOOSE(CONTROL!$C$21, $C$9, 100%, $E$9)</f>
        <v>21.729299999999999</v>
      </c>
      <c r="C452" s="14">
        <f>CHOOSE(CONTROL!$C$42, 21.7373, 21.7373) * CHOOSE(CONTROL!$C$21, $C$9, 100%, $E$9)</f>
        <v>21.737300000000001</v>
      </c>
      <c r="D452" s="14">
        <f>CHOOSE(CONTROL!$C$42, 21.9964, 21.9964) * CHOOSE(CONTROL!$C$21, $C$9, 100%, $E$9)</f>
        <v>21.996400000000001</v>
      </c>
      <c r="E452" s="14">
        <f>CHOOSE(CONTROL!$C$42, 22.0278, 22.0278) * CHOOSE(CONTROL!$C$21, $C$9, 100%, $E$9)</f>
        <v>22.027799999999999</v>
      </c>
      <c r="F452" s="14">
        <f>CHOOSE(CONTROL!$C$42, 21.7517, 21.7517)*CHOOSE(CONTROL!$C$21, $C$9, 100%, $E$9)</f>
        <v>21.7517</v>
      </c>
      <c r="G452" s="14">
        <f>CHOOSE(CONTROL!$C$42, 21.7689, 21.7689)*CHOOSE(CONTROL!$C$21, $C$9, 100%, $E$9)</f>
        <v>21.768899999999999</v>
      </c>
      <c r="H452" s="14">
        <f>CHOOSE(CONTROL!$C$42, 22.0165, 22.0165) * CHOOSE(CONTROL!$C$21, $C$9, 100%, $E$9)</f>
        <v>22.016500000000001</v>
      </c>
      <c r="I452" s="14">
        <f>CHOOSE(CONTROL!$C$42, 21.8184, 21.8184)* CHOOSE(CONTROL!$C$21, $C$9, 100%, $E$9)</f>
        <v>21.8184</v>
      </c>
      <c r="J452" s="14">
        <f>CHOOSE(CONTROL!$C$42, 21.7447, 21.7447)* CHOOSE(CONTROL!$C$21, $C$9, 100%, $E$9)</f>
        <v>21.744700000000002</v>
      </c>
      <c r="K452" s="52">
        <f>CHOOSE(CONTROL!$C$42, 21.8145, 21.8145) * CHOOSE(CONTROL!$C$21, $C$9, 100%, $E$9)</f>
        <v>21.814499999999999</v>
      </c>
      <c r="L452" s="14">
        <f>CHOOSE(CONTROL!$C$42, 22.6035, 22.6035) * CHOOSE(CONTROL!$C$21, $C$9, 100%, $E$9)</f>
        <v>22.6035</v>
      </c>
      <c r="M452" s="14">
        <f>CHOOSE(CONTROL!$C$42, 21.3613, 21.3613) * CHOOSE(CONTROL!$C$21, $C$9, 100%, $E$9)</f>
        <v>21.3613</v>
      </c>
      <c r="N452" s="14">
        <f>CHOOSE(CONTROL!$C$42, 21.3781, 21.3781) * CHOOSE(CONTROL!$C$21, $C$9, 100%, $E$9)</f>
        <v>21.3781</v>
      </c>
      <c r="O452" s="14">
        <f>CHOOSE(CONTROL!$C$42, 21.6282, 21.6282) * CHOOSE(CONTROL!$C$21, $C$9, 100%, $E$9)</f>
        <v>21.6282</v>
      </c>
      <c r="P452" s="14">
        <f>CHOOSE(CONTROL!$C$42, 21.4325, 21.4325) * CHOOSE(CONTROL!$C$21, $C$9, 100%, $E$9)</f>
        <v>21.432500000000001</v>
      </c>
      <c r="Q452" s="14">
        <f>CHOOSE(CONTROL!$C$42, 22.2229, 22.2229) * CHOOSE(CONTROL!$C$21, $C$9, 100%, $E$9)</f>
        <v>22.222899999999999</v>
      </c>
      <c r="R452" s="14">
        <f>CHOOSE(CONTROL!$C$42, 22.8654, 22.8654) * CHOOSE(CONTROL!$C$21, $C$9, 100%, $E$9)</f>
        <v>22.865400000000001</v>
      </c>
      <c r="S452" s="14">
        <f>CHOOSE(CONTROL!$C$42, 20.869, 20.869) * CHOOSE(CONTROL!$C$21, $C$9, 100%, $E$9)</f>
        <v>20.869</v>
      </c>
      <c r="T4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52" s="56">
        <f>(1000*CHOOSE(CONTROL!$C$42, 695, 695)*CHOOSE(CONTROL!$C$42, 0.5599, 0.5599)*CHOOSE(CONTROL!$C$42, 31, 31))/1000000</f>
        <v>12.063045499999998</v>
      </c>
      <c r="V452" s="56">
        <f>(1000*CHOOSE(CONTROL!$C$42, 500, 500)*CHOOSE(CONTROL!$C$42, 0.275, 0.275)*CHOOSE(CONTROL!$C$42, 31, 31))/1000000</f>
        <v>4.2625000000000002</v>
      </c>
      <c r="W452" s="56">
        <f>(1000*CHOOSE(CONTROL!$C$42, 0.1146, 0.1146)*CHOOSE(CONTROL!$C$42, 121.5, 121.5)*CHOOSE(CONTROL!$C$42, 31, 31))/1000000</f>
        <v>0.43164089999999994</v>
      </c>
      <c r="X452" s="56">
        <f>(31*0.1790888*245000/1000000)+(31*0.2374*100000/1000000)</f>
        <v>2.0961194359999999</v>
      </c>
      <c r="Y452" s="56"/>
      <c r="Z452" s="14"/>
      <c r="AA452" s="55"/>
      <c r="AB452" s="49">
        <f>(B452*194.205+C452*267.466+D452*133.845+E452*53.484+F452*40+G452*185+H452*0+I452*100+J452*300)/(194.205+267.466+133.845+53.484+0+40+185+100+300)</f>
        <v>21.788645919544742</v>
      </c>
      <c r="AC452" s="45">
        <f>(M452*'RAP TEMPLATE-GAS AVAILABILITY'!O451+N452*'RAP TEMPLATE-GAS AVAILABILITY'!P451+O452*'RAP TEMPLATE-GAS AVAILABILITY'!Q451+P452*'RAP TEMPLATE-GAS AVAILABILITY'!R451)/('RAP TEMPLATE-GAS AVAILABILITY'!O451+'RAP TEMPLATE-GAS AVAILABILITY'!P451+'RAP TEMPLATE-GAS AVAILABILITY'!Q451+'RAP TEMPLATE-GAS AVAILABILITY'!R451)</f>
        <v>21.450297841726616</v>
      </c>
    </row>
    <row r="453" spans="1:29" ht="15.75" x14ac:dyDescent="0.25">
      <c r="A453" s="33">
        <v>54696</v>
      </c>
      <c r="B453" s="14">
        <f>CHOOSE(CONTROL!$C$42, 20.3503, 20.3503) * CHOOSE(CONTROL!$C$21, $C$9, 100%, $E$9)</f>
        <v>20.350300000000001</v>
      </c>
      <c r="C453" s="14">
        <f>CHOOSE(CONTROL!$C$42, 20.3583, 20.3583) * CHOOSE(CONTROL!$C$21, $C$9, 100%, $E$9)</f>
        <v>20.3583</v>
      </c>
      <c r="D453" s="14">
        <f>CHOOSE(CONTROL!$C$42, 20.6174, 20.6174) * CHOOSE(CONTROL!$C$21, $C$9, 100%, $E$9)</f>
        <v>20.6174</v>
      </c>
      <c r="E453" s="14">
        <f>CHOOSE(CONTROL!$C$42, 20.6488, 20.6488) * CHOOSE(CONTROL!$C$21, $C$9, 100%, $E$9)</f>
        <v>20.648800000000001</v>
      </c>
      <c r="F453" s="14">
        <f>CHOOSE(CONTROL!$C$42, 20.3727, 20.3727)*CHOOSE(CONTROL!$C$21, $C$9, 100%, $E$9)</f>
        <v>20.372699999999998</v>
      </c>
      <c r="G453" s="14">
        <f>CHOOSE(CONTROL!$C$42, 20.39, 20.39)*CHOOSE(CONTROL!$C$21, $C$9, 100%, $E$9)</f>
        <v>20.39</v>
      </c>
      <c r="H453" s="14">
        <f>CHOOSE(CONTROL!$C$42, 20.6375, 20.6375) * CHOOSE(CONTROL!$C$21, $C$9, 100%, $E$9)</f>
        <v>20.637499999999999</v>
      </c>
      <c r="I453" s="14">
        <f>CHOOSE(CONTROL!$C$42, 20.4351, 20.4351)* CHOOSE(CONTROL!$C$21, $C$9, 100%, $E$9)</f>
        <v>20.435099999999998</v>
      </c>
      <c r="J453" s="14">
        <f>CHOOSE(CONTROL!$C$42, 20.3657, 20.3657)* CHOOSE(CONTROL!$C$21, $C$9, 100%, $E$9)</f>
        <v>20.3657</v>
      </c>
      <c r="K453" s="52">
        <f>CHOOSE(CONTROL!$C$42, 20.4312, 20.4312) * CHOOSE(CONTROL!$C$21, $C$9, 100%, $E$9)</f>
        <v>20.4312</v>
      </c>
      <c r="L453" s="14">
        <f>CHOOSE(CONTROL!$C$42, 21.2245, 21.2245) * CHOOSE(CONTROL!$C$21, $C$9, 100%, $E$9)</f>
        <v>21.224499999999999</v>
      </c>
      <c r="M453" s="14">
        <f>CHOOSE(CONTROL!$C$42, 20.0071, 20.0071) * CHOOSE(CONTROL!$C$21, $C$9, 100%, $E$9)</f>
        <v>20.007100000000001</v>
      </c>
      <c r="N453" s="14">
        <f>CHOOSE(CONTROL!$C$42, 20.024, 20.024) * CHOOSE(CONTROL!$C$21, $C$9, 100%, $E$9)</f>
        <v>20.024000000000001</v>
      </c>
      <c r="O453" s="14">
        <f>CHOOSE(CONTROL!$C$42, 20.274, 20.274) * CHOOSE(CONTROL!$C$21, $C$9, 100%, $E$9)</f>
        <v>20.274000000000001</v>
      </c>
      <c r="P453" s="14">
        <f>CHOOSE(CONTROL!$C$42, 20.0742, 20.0742) * CHOOSE(CONTROL!$C$21, $C$9, 100%, $E$9)</f>
        <v>20.074200000000001</v>
      </c>
      <c r="Q453" s="14">
        <f>CHOOSE(CONTROL!$C$42, 20.8687, 20.8687) * CHOOSE(CONTROL!$C$21, $C$9, 100%, $E$9)</f>
        <v>20.8687</v>
      </c>
      <c r="R453" s="14">
        <f>CHOOSE(CONTROL!$C$42, 21.5078, 21.5078) * CHOOSE(CONTROL!$C$21, $C$9, 100%, $E$9)</f>
        <v>21.5078</v>
      </c>
      <c r="S453" s="14">
        <f>CHOOSE(CONTROL!$C$42, 19.5439, 19.5439) * CHOOSE(CONTROL!$C$21, $C$9, 100%, $E$9)</f>
        <v>19.543900000000001</v>
      </c>
      <c r="T4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53" s="56">
        <f>(1000*CHOOSE(CONTROL!$C$42, 695, 695)*CHOOSE(CONTROL!$C$42, 0.5599, 0.5599)*CHOOSE(CONTROL!$C$42, 30, 30))/1000000</f>
        <v>11.673914999999997</v>
      </c>
      <c r="V453" s="56">
        <f>(1000*CHOOSE(CONTROL!$C$42, 500, 500)*CHOOSE(CONTROL!$C$42, 0.275, 0.275)*CHOOSE(CONTROL!$C$42, 30, 30))/1000000</f>
        <v>4.125</v>
      </c>
      <c r="W453" s="56">
        <f>(1000*CHOOSE(CONTROL!$C$42, 0.1146, 0.1146)*CHOOSE(CONTROL!$C$42, 121.5, 121.5)*CHOOSE(CONTROL!$C$42, 30, 30))/1000000</f>
        <v>0.417717</v>
      </c>
      <c r="X453" s="56">
        <f>(30*0.1790888*245000/1000000)+(30*0.2374*100000/1000000)</f>
        <v>2.0285026799999999</v>
      </c>
      <c r="Y453" s="56"/>
      <c r="Z453" s="14"/>
      <c r="AA453" s="55"/>
      <c r="AB453" s="49">
        <f>(B453*194.205+C453*267.466+D453*133.845+E453*53.484+F453*40+G453*185+H453*0+I453*100+J453*300)/(194.205+267.466+133.845+53.484+0+40+185+100+300)</f>
        <v>20.409322921114597</v>
      </c>
      <c r="AC453" s="45">
        <f>(M453*'RAP TEMPLATE-GAS AVAILABILITY'!O452+N453*'RAP TEMPLATE-GAS AVAILABILITY'!P452+O453*'RAP TEMPLATE-GAS AVAILABILITY'!Q452+P453*'RAP TEMPLATE-GAS AVAILABILITY'!R452)/('RAP TEMPLATE-GAS AVAILABILITY'!O452+'RAP TEMPLATE-GAS AVAILABILITY'!P452+'RAP TEMPLATE-GAS AVAILABILITY'!Q452+'RAP TEMPLATE-GAS AVAILABILITY'!R452)</f>
        <v>20.095530935251801</v>
      </c>
    </row>
    <row r="454" spans="1:29" ht="15.75" x14ac:dyDescent="0.25">
      <c r="A454" s="33">
        <v>54727</v>
      </c>
      <c r="B454" s="14">
        <f>CHOOSE(CONTROL!$C$42, 19.9355, 19.9355) * CHOOSE(CONTROL!$C$21, $C$9, 100%, $E$9)</f>
        <v>19.935500000000001</v>
      </c>
      <c r="C454" s="14">
        <f>CHOOSE(CONTROL!$C$42, 19.9409, 19.9409) * CHOOSE(CONTROL!$C$21, $C$9, 100%, $E$9)</f>
        <v>19.940899999999999</v>
      </c>
      <c r="D454" s="14">
        <f>CHOOSE(CONTROL!$C$42, 20.2049, 20.2049) * CHOOSE(CONTROL!$C$21, $C$9, 100%, $E$9)</f>
        <v>20.204899999999999</v>
      </c>
      <c r="E454" s="14">
        <f>CHOOSE(CONTROL!$C$42, 20.234, 20.234) * CHOOSE(CONTROL!$C$21, $C$9, 100%, $E$9)</f>
        <v>20.234000000000002</v>
      </c>
      <c r="F454" s="14">
        <f>CHOOSE(CONTROL!$C$42, 19.9602, 19.9602)*CHOOSE(CONTROL!$C$21, $C$9, 100%, $E$9)</f>
        <v>19.9602</v>
      </c>
      <c r="G454" s="14">
        <f>CHOOSE(CONTROL!$C$42, 19.9773, 19.9773)*CHOOSE(CONTROL!$C$21, $C$9, 100%, $E$9)</f>
        <v>19.9773</v>
      </c>
      <c r="H454" s="14">
        <f>CHOOSE(CONTROL!$C$42, 20.2245, 20.2245) * CHOOSE(CONTROL!$C$21, $C$9, 100%, $E$9)</f>
        <v>20.224499999999999</v>
      </c>
      <c r="I454" s="14">
        <f>CHOOSE(CONTROL!$C$42, 20.0208, 20.0208)* CHOOSE(CONTROL!$C$21, $C$9, 100%, $E$9)</f>
        <v>20.020800000000001</v>
      </c>
      <c r="J454" s="14">
        <f>CHOOSE(CONTROL!$C$42, 19.9532, 19.9532)* CHOOSE(CONTROL!$C$21, $C$9, 100%, $E$9)</f>
        <v>19.953199999999999</v>
      </c>
      <c r="K454" s="52">
        <f>CHOOSE(CONTROL!$C$42, 20.017, 20.017) * CHOOSE(CONTROL!$C$21, $C$9, 100%, $E$9)</f>
        <v>20.016999999999999</v>
      </c>
      <c r="L454" s="14">
        <f>CHOOSE(CONTROL!$C$42, 20.8115, 20.8115) * CHOOSE(CONTROL!$C$21, $C$9, 100%, $E$9)</f>
        <v>20.811499999999999</v>
      </c>
      <c r="M454" s="14">
        <f>CHOOSE(CONTROL!$C$42, 19.602, 19.602) * CHOOSE(CONTROL!$C$21, $C$9, 100%, $E$9)</f>
        <v>19.602</v>
      </c>
      <c r="N454" s="14">
        <f>CHOOSE(CONTROL!$C$42, 19.6188, 19.6188) * CHOOSE(CONTROL!$C$21, $C$9, 100%, $E$9)</f>
        <v>19.6188</v>
      </c>
      <c r="O454" s="14">
        <f>CHOOSE(CONTROL!$C$42, 19.8684, 19.8684) * CHOOSE(CONTROL!$C$21, $C$9, 100%, $E$9)</f>
        <v>19.868400000000001</v>
      </c>
      <c r="P454" s="14">
        <f>CHOOSE(CONTROL!$C$42, 19.6674, 19.6674) * CHOOSE(CONTROL!$C$21, $C$9, 100%, $E$9)</f>
        <v>19.667400000000001</v>
      </c>
      <c r="Q454" s="14">
        <f>CHOOSE(CONTROL!$C$42, 20.4631, 20.4631) * CHOOSE(CONTROL!$C$21, $C$9, 100%, $E$9)</f>
        <v>20.463100000000001</v>
      </c>
      <c r="R454" s="14">
        <f>CHOOSE(CONTROL!$C$42, 21.1013, 21.1013) * CHOOSE(CONTROL!$C$21, $C$9, 100%, $E$9)</f>
        <v>21.101299999999998</v>
      </c>
      <c r="S454" s="14">
        <f>CHOOSE(CONTROL!$C$42, 19.1471, 19.1471) * CHOOSE(CONTROL!$C$21, $C$9, 100%, $E$9)</f>
        <v>19.147099999999998</v>
      </c>
      <c r="T4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54" s="56">
        <f>(1000*CHOOSE(CONTROL!$C$42, 695, 695)*CHOOSE(CONTROL!$C$42, 0.5599, 0.5599)*CHOOSE(CONTROL!$C$42, 31, 31))/1000000</f>
        <v>12.063045499999998</v>
      </c>
      <c r="V454" s="56">
        <f>(1000*CHOOSE(CONTROL!$C$42, 500, 500)*CHOOSE(CONTROL!$C$42, 0.275, 0.275)*CHOOSE(CONTROL!$C$42, 31, 31))/1000000</f>
        <v>4.2625000000000002</v>
      </c>
      <c r="W454" s="56">
        <f>(1000*CHOOSE(CONTROL!$C$42, 0.1146, 0.1146)*CHOOSE(CONTROL!$C$42, 121.5, 121.5)*CHOOSE(CONTROL!$C$42, 31, 31))/1000000</f>
        <v>0.43164089999999994</v>
      </c>
      <c r="X454" s="56">
        <f>(31*0.1790888*245000/1000000)+(31*0.2374*100000/1000000)</f>
        <v>2.0961194359999999</v>
      </c>
      <c r="Y454" s="56"/>
      <c r="Z454" s="14"/>
      <c r="AA454" s="55"/>
      <c r="AB454" s="49">
        <f>(B454*131.881+C454*277.167+D454*79.08+E454*125.872+F454*40+G454*185+H454*0+I454*100+J454*300)/(131.881+277.167+79.08+125.872+0+40+185+100+300)</f>
        <v>20.002436760129136</v>
      </c>
      <c r="AC454" s="45">
        <f>(M454*'RAP TEMPLATE-GAS AVAILABILITY'!O453+N454*'RAP TEMPLATE-GAS AVAILABILITY'!P453+O454*'RAP TEMPLATE-GAS AVAILABILITY'!Q453+P454*'RAP TEMPLATE-GAS AVAILABILITY'!R453)/('RAP TEMPLATE-GAS AVAILABILITY'!O453+'RAP TEMPLATE-GAS AVAILABILITY'!P453+'RAP TEMPLATE-GAS AVAILABILITY'!Q453+'RAP TEMPLATE-GAS AVAILABILITY'!R453)</f>
        <v>19.690023021582736</v>
      </c>
    </row>
    <row r="455" spans="1:29" ht="15.75" x14ac:dyDescent="0.25">
      <c r="A455" s="33">
        <v>54757</v>
      </c>
      <c r="B455" s="14">
        <f>CHOOSE(CONTROL!$C$42, 20.4601, 20.4601) * CHOOSE(CONTROL!$C$21, $C$9, 100%, $E$9)</f>
        <v>20.460100000000001</v>
      </c>
      <c r="C455" s="14">
        <f>CHOOSE(CONTROL!$C$42, 20.4651, 20.4651) * CHOOSE(CONTROL!$C$21, $C$9, 100%, $E$9)</f>
        <v>20.4651</v>
      </c>
      <c r="D455" s="14">
        <f>CHOOSE(CONTROL!$C$42, 20.5482, 20.5482) * CHOOSE(CONTROL!$C$21, $C$9, 100%, $E$9)</f>
        <v>20.548200000000001</v>
      </c>
      <c r="E455" s="14">
        <f>CHOOSE(CONTROL!$C$42, 20.5823, 20.5823) * CHOOSE(CONTROL!$C$21, $C$9, 100%, $E$9)</f>
        <v>20.5823</v>
      </c>
      <c r="F455" s="14">
        <f>CHOOSE(CONTROL!$C$42, 20.4877, 20.4877)*CHOOSE(CONTROL!$C$21, $C$9, 100%, $E$9)</f>
        <v>20.4877</v>
      </c>
      <c r="G455" s="14">
        <f>CHOOSE(CONTROL!$C$42, 20.505, 20.505)*CHOOSE(CONTROL!$C$21, $C$9, 100%, $E$9)</f>
        <v>20.504999999999999</v>
      </c>
      <c r="H455" s="14">
        <f>CHOOSE(CONTROL!$C$42, 20.5715, 20.5715) * CHOOSE(CONTROL!$C$21, $C$9, 100%, $E$9)</f>
        <v>20.5715</v>
      </c>
      <c r="I455" s="14">
        <f>CHOOSE(CONTROL!$C$42, 20.5438, 20.5438)* CHOOSE(CONTROL!$C$21, $C$9, 100%, $E$9)</f>
        <v>20.543800000000001</v>
      </c>
      <c r="J455" s="14">
        <f>CHOOSE(CONTROL!$C$42, 20.4807, 20.4807)* CHOOSE(CONTROL!$C$21, $C$9, 100%, $E$9)</f>
        <v>20.480699999999999</v>
      </c>
      <c r="K455" s="52">
        <f>CHOOSE(CONTROL!$C$42, 20.5399, 20.5399) * CHOOSE(CONTROL!$C$21, $C$9, 100%, $E$9)</f>
        <v>20.539899999999999</v>
      </c>
      <c r="L455" s="14">
        <f>CHOOSE(CONTROL!$C$42, 21.1585, 21.1585) * CHOOSE(CONTROL!$C$21, $C$9, 100%, $E$9)</f>
        <v>21.1585</v>
      </c>
      <c r="M455" s="14">
        <f>CHOOSE(CONTROL!$C$42, 20.12, 20.12) * CHOOSE(CONTROL!$C$21, $C$9, 100%, $E$9)</f>
        <v>20.12</v>
      </c>
      <c r="N455" s="14">
        <f>CHOOSE(CONTROL!$C$42, 20.137, 20.137) * CHOOSE(CONTROL!$C$21, $C$9, 100%, $E$9)</f>
        <v>20.137</v>
      </c>
      <c r="O455" s="14">
        <f>CHOOSE(CONTROL!$C$42, 20.2092, 20.2092) * CHOOSE(CONTROL!$C$21, $C$9, 100%, $E$9)</f>
        <v>20.209199999999999</v>
      </c>
      <c r="P455" s="14">
        <f>CHOOSE(CONTROL!$C$42, 20.1809, 20.1809) * CHOOSE(CONTROL!$C$21, $C$9, 100%, $E$9)</f>
        <v>20.180900000000001</v>
      </c>
      <c r="Q455" s="14">
        <f>CHOOSE(CONTROL!$C$42, 20.8039, 20.8039) * CHOOSE(CONTROL!$C$21, $C$9, 100%, $E$9)</f>
        <v>20.803899999999999</v>
      </c>
      <c r="R455" s="14">
        <f>CHOOSE(CONTROL!$C$42, 21.4429, 21.4429) * CHOOSE(CONTROL!$C$21, $C$9, 100%, $E$9)</f>
        <v>21.442900000000002</v>
      </c>
      <c r="S455" s="14">
        <f>CHOOSE(CONTROL!$C$42, 19.6515, 19.6515) * CHOOSE(CONTROL!$C$21, $C$9, 100%, $E$9)</f>
        <v>19.651499999999999</v>
      </c>
      <c r="T4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55" s="56">
        <f>(1000*CHOOSE(CONTROL!$C$42, 695, 695)*CHOOSE(CONTROL!$C$42, 0.5599, 0.5599)*CHOOSE(CONTROL!$C$42, 30, 30))/1000000</f>
        <v>11.673914999999997</v>
      </c>
      <c r="V455" s="56">
        <f>(1000*CHOOSE(CONTROL!$C$42, 500, 500)*CHOOSE(CONTROL!$C$42, 0.275, 0.275)*CHOOSE(CONTROL!$C$42, 30, 30))/1000000</f>
        <v>4.125</v>
      </c>
      <c r="W455" s="56">
        <f>(1000*CHOOSE(CONTROL!$C$42, 0.1146, 0.1146)*CHOOSE(CONTROL!$C$42, 121.5, 121.5)*CHOOSE(CONTROL!$C$42, 30, 30))/1000000</f>
        <v>0.417717</v>
      </c>
      <c r="X455" s="56">
        <f>(30*0.1790888*100000/1000000)+(30*0.2374*100000/1000000)</f>
        <v>1.2494664</v>
      </c>
      <c r="Y455" s="56"/>
      <c r="Z455" s="14"/>
      <c r="AA455" s="55"/>
      <c r="AB455" s="49">
        <f>(B455*122.58+C455*297.941+D455*89.177+E455*40.302+F455*40+G455*160+H455*0+I455*100+J455*300)/(122.58+297.941+89.177+40.302+0+40+160+100+300)</f>
        <v>20.492368785304347</v>
      </c>
      <c r="AC455" s="45">
        <f>(M455*'RAP TEMPLATE-GAS AVAILABILITY'!O454+N455*'RAP TEMPLATE-GAS AVAILABILITY'!P454+O455*'RAP TEMPLATE-GAS AVAILABILITY'!Q454+P455*'RAP TEMPLATE-GAS AVAILABILITY'!R454)/('RAP TEMPLATE-GAS AVAILABILITY'!O454+'RAP TEMPLATE-GAS AVAILABILITY'!P454+'RAP TEMPLATE-GAS AVAILABILITY'!Q454+'RAP TEMPLATE-GAS AVAILABILITY'!R454)</f>
        <v>20.170169784172661</v>
      </c>
    </row>
    <row r="456" spans="1:29" ht="15.75" x14ac:dyDescent="0.25">
      <c r="A456" s="33">
        <v>54788</v>
      </c>
      <c r="B456" s="14">
        <f>CHOOSE(CONTROL!$C$42, 21.8544, 21.8544) * CHOOSE(CONTROL!$C$21, $C$9, 100%, $E$9)</f>
        <v>21.854399999999998</v>
      </c>
      <c r="C456" s="14">
        <f>CHOOSE(CONTROL!$C$42, 21.8594, 21.8594) * CHOOSE(CONTROL!$C$21, $C$9, 100%, $E$9)</f>
        <v>21.859400000000001</v>
      </c>
      <c r="D456" s="14">
        <f>CHOOSE(CONTROL!$C$42, 21.9425, 21.9425) * CHOOSE(CONTROL!$C$21, $C$9, 100%, $E$9)</f>
        <v>21.942499999999999</v>
      </c>
      <c r="E456" s="14">
        <f>CHOOSE(CONTROL!$C$42, 21.9766, 21.9766) * CHOOSE(CONTROL!$C$21, $C$9, 100%, $E$9)</f>
        <v>21.976600000000001</v>
      </c>
      <c r="F456" s="14">
        <f>CHOOSE(CONTROL!$C$42, 21.8844, 21.8844)*CHOOSE(CONTROL!$C$21, $C$9, 100%, $E$9)</f>
        <v>21.884399999999999</v>
      </c>
      <c r="G456" s="14">
        <f>CHOOSE(CONTROL!$C$42, 21.9024, 21.9024)*CHOOSE(CONTROL!$C$21, $C$9, 100%, $E$9)</f>
        <v>21.9024</v>
      </c>
      <c r="H456" s="14">
        <f>CHOOSE(CONTROL!$C$42, 21.9658, 21.9658) * CHOOSE(CONTROL!$C$21, $C$9, 100%, $E$9)</f>
        <v>21.965800000000002</v>
      </c>
      <c r="I456" s="14">
        <f>CHOOSE(CONTROL!$C$42, 21.9424, 21.9424)* CHOOSE(CONTROL!$C$21, $C$9, 100%, $E$9)</f>
        <v>21.942399999999999</v>
      </c>
      <c r="J456" s="14">
        <f>CHOOSE(CONTROL!$C$42, 21.8774, 21.8774)* CHOOSE(CONTROL!$C$21, $C$9, 100%, $E$9)</f>
        <v>21.877400000000002</v>
      </c>
      <c r="K456" s="52">
        <f>CHOOSE(CONTROL!$C$42, 21.9385, 21.9385) * CHOOSE(CONTROL!$C$21, $C$9, 100%, $E$9)</f>
        <v>21.938500000000001</v>
      </c>
      <c r="L456" s="14">
        <f>CHOOSE(CONTROL!$C$42, 22.5528, 22.5528) * CHOOSE(CONTROL!$C$21, $C$9, 100%, $E$9)</f>
        <v>22.552800000000001</v>
      </c>
      <c r="M456" s="14">
        <f>CHOOSE(CONTROL!$C$42, 21.4916, 21.4916) * CHOOSE(CONTROL!$C$21, $C$9, 100%, $E$9)</f>
        <v>21.491599999999998</v>
      </c>
      <c r="N456" s="14">
        <f>CHOOSE(CONTROL!$C$42, 21.5093, 21.5093) * CHOOSE(CONTROL!$C$21, $C$9, 100%, $E$9)</f>
        <v>21.5093</v>
      </c>
      <c r="O456" s="14">
        <f>CHOOSE(CONTROL!$C$42, 21.5784, 21.5784) * CHOOSE(CONTROL!$C$21, $C$9, 100%, $E$9)</f>
        <v>21.578399999999998</v>
      </c>
      <c r="P456" s="14">
        <f>CHOOSE(CONTROL!$C$42, 21.5543, 21.5543) * CHOOSE(CONTROL!$C$21, $C$9, 100%, $E$9)</f>
        <v>21.554300000000001</v>
      </c>
      <c r="Q456" s="14">
        <f>CHOOSE(CONTROL!$C$42, 22.1731, 22.1731) * CHOOSE(CONTROL!$C$21, $C$9, 100%, $E$9)</f>
        <v>22.173100000000002</v>
      </c>
      <c r="R456" s="14">
        <f>CHOOSE(CONTROL!$C$42, 22.8155, 22.8155) * CHOOSE(CONTROL!$C$21, $C$9, 100%, $E$9)</f>
        <v>22.8155</v>
      </c>
      <c r="S456" s="14">
        <f>CHOOSE(CONTROL!$C$42, 20.9913, 20.9913) * CHOOSE(CONTROL!$C$21, $C$9, 100%, $E$9)</f>
        <v>20.991299999999999</v>
      </c>
      <c r="T4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56" s="56">
        <f>(1000*CHOOSE(CONTROL!$C$42, 695, 695)*CHOOSE(CONTROL!$C$42, 0.5599, 0.5599)*CHOOSE(CONTROL!$C$42, 31, 31))/1000000</f>
        <v>12.063045499999998</v>
      </c>
      <c r="V456" s="56">
        <f>(1000*CHOOSE(CONTROL!$C$42, 500, 500)*CHOOSE(CONTROL!$C$42, 0.275, 0.275)*CHOOSE(CONTROL!$C$42, 31, 31))/1000000</f>
        <v>4.2625000000000002</v>
      </c>
      <c r="W456" s="56">
        <f>(1000*CHOOSE(CONTROL!$C$42, 0.1146, 0.1146)*CHOOSE(CONTROL!$C$42, 121.5, 121.5)*CHOOSE(CONTROL!$C$42, 31, 31))/1000000</f>
        <v>0.43164089999999994</v>
      </c>
      <c r="X456" s="56">
        <f>(31*0.1790888*100000/1000000)+(31*0.2374*100000/1000000)</f>
        <v>1.2911152800000001</v>
      </c>
      <c r="Y456" s="56"/>
      <c r="Z456" s="14"/>
      <c r="AA456" s="55"/>
      <c r="AB456" s="49">
        <f>(B456*122.58+C456*297.941+D456*89.177+E456*40.302+F456*40+G456*160+H456*0+I456*100+J456*300)/(122.58+297.941+89.177+40.302+0+40+160+100+300)</f>
        <v>21.888183567913043</v>
      </c>
      <c r="AC456" s="45">
        <f>(M456*'RAP TEMPLATE-GAS AVAILABILITY'!O455+N456*'RAP TEMPLATE-GAS AVAILABILITY'!P455+O456*'RAP TEMPLATE-GAS AVAILABILITY'!Q455+P456*'RAP TEMPLATE-GAS AVAILABILITY'!R455)/('RAP TEMPLATE-GAS AVAILABILITY'!O455+'RAP TEMPLATE-GAS AVAILABILITY'!P455+'RAP TEMPLATE-GAS AVAILABILITY'!Q455+'RAP TEMPLATE-GAS AVAILABILITY'!R455)</f>
        <v>21.54098129496403</v>
      </c>
    </row>
    <row r="457" spans="1:29" ht="15.75" x14ac:dyDescent="0.25">
      <c r="A457" s="33">
        <v>54819</v>
      </c>
      <c r="B457" s="14">
        <f>CHOOSE(CONTROL!$C$42, 23.6653, 23.6653) * CHOOSE(CONTROL!$C$21, $C$9, 100%, $E$9)</f>
        <v>23.665299999999998</v>
      </c>
      <c r="C457" s="14">
        <f>CHOOSE(CONTROL!$C$42, 23.6704, 23.6704) * CHOOSE(CONTROL!$C$21, $C$9, 100%, $E$9)</f>
        <v>23.670400000000001</v>
      </c>
      <c r="D457" s="14">
        <f>CHOOSE(CONTROL!$C$42, 23.7638, 23.7638) * CHOOSE(CONTROL!$C$21, $C$9, 100%, $E$9)</f>
        <v>23.7638</v>
      </c>
      <c r="E457" s="14">
        <f>CHOOSE(CONTROL!$C$42, 23.798, 23.798) * CHOOSE(CONTROL!$C$21, $C$9, 100%, $E$9)</f>
        <v>23.797999999999998</v>
      </c>
      <c r="F457" s="14">
        <f>CHOOSE(CONTROL!$C$42, 23.6926, 23.6926)*CHOOSE(CONTROL!$C$21, $C$9, 100%, $E$9)</f>
        <v>23.692599999999999</v>
      </c>
      <c r="G457" s="14">
        <f>CHOOSE(CONTROL!$C$42, 23.7106, 23.7106)*CHOOSE(CONTROL!$C$21, $C$9, 100%, $E$9)</f>
        <v>23.710599999999999</v>
      </c>
      <c r="H457" s="14">
        <f>CHOOSE(CONTROL!$C$42, 23.7871, 23.7871) * CHOOSE(CONTROL!$C$21, $C$9, 100%, $E$9)</f>
        <v>23.787099999999999</v>
      </c>
      <c r="I457" s="14">
        <f>CHOOSE(CONTROL!$C$42, 23.7653, 23.7653)* CHOOSE(CONTROL!$C$21, $C$9, 100%, $E$9)</f>
        <v>23.7653</v>
      </c>
      <c r="J457" s="14">
        <f>CHOOSE(CONTROL!$C$42, 23.6856, 23.6856)* CHOOSE(CONTROL!$C$21, $C$9, 100%, $E$9)</f>
        <v>23.685600000000001</v>
      </c>
      <c r="K457" s="52">
        <f>CHOOSE(CONTROL!$C$42, 23.7614, 23.7614) * CHOOSE(CONTROL!$C$21, $C$9, 100%, $E$9)</f>
        <v>23.761399999999998</v>
      </c>
      <c r="L457" s="14">
        <f>CHOOSE(CONTROL!$C$42, 24.3741, 24.3741) * CHOOSE(CONTROL!$C$21, $C$9, 100%, $E$9)</f>
        <v>24.374099999999999</v>
      </c>
      <c r="M457" s="14">
        <f>CHOOSE(CONTROL!$C$42, 23.2673, 23.2673) * CHOOSE(CONTROL!$C$21, $C$9, 100%, $E$9)</f>
        <v>23.267299999999999</v>
      </c>
      <c r="N457" s="14">
        <f>CHOOSE(CONTROL!$C$42, 23.2849, 23.2849) * CHOOSE(CONTROL!$C$21, $C$9, 100%, $E$9)</f>
        <v>23.2849</v>
      </c>
      <c r="O457" s="14">
        <f>CHOOSE(CONTROL!$C$42, 23.367, 23.367) * CHOOSE(CONTROL!$C$21, $C$9, 100%, $E$9)</f>
        <v>23.367000000000001</v>
      </c>
      <c r="P457" s="14">
        <f>CHOOSE(CONTROL!$C$42, 23.3443, 23.3443) * CHOOSE(CONTROL!$C$21, $C$9, 100%, $E$9)</f>
        <v>23.3443</v>
      </c>
      <c r="Q457" s="14">
        <f>CHOOSE(CONTROL!$C$42, 23.9617, 23.9617) * CHOOSE(CONTROL!$C$21, $C$9, 100%, $E$9)</f>
        <v>23.9617</v>
      </c>
      <c r="R457" s="14">
        <f>CHOOSE(CONTROL!$C$42, 24.6086, 24.6086) * CHOOSE(CONTROL!$C$21, $C$9, 100%, $E$9)</f>
        <v>24.608599999999999</v>
      </c>
      <c r="S457" s="14">
        <f>CHOOSE(CONTROL!$C$42, 22.7315, 22.7315) * CHOOSE(CONTROL!$C$21, $C$9, 100%, $E$9)</f>
        <v>22.7315</v>
      </c>
      <c r="T4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57" s="56">
        <f>(1000*CHOOSE(CONTROL!$C$42, 695, 695)*CHOOSE(CONTROL!$C$42, 0.5599, 0.5599)*CHOOSE(CONTROL!$C$42, 31, 31))/1000000</f>
        <v>12.063045499999998</v>
      </c>
      <c r="V457" s="56">
        <f>(1000*CHOOSE(CONTROL!$C$42, 500, 500)*CHOOSE(CONTROL!$C$42, 0.275, 0.275)*CHOOSE(CONTROL!$C$42, 31, 31))/1000000</f>
        <v>4.2625000000000002</v>
      </c>
      <c r="W457" s="56">
        <f>(1000*CHOOSE(CONTROL!$C$42, 0.1146, 0.1146)*CHOOSE(CONTROL!$C$42, 121.5, 121.5)*CHOOSE(CONTROL!$C$42, 31, 31))/1000000</f>
        <v>0.43164089999999994</v>
      </c>
      <c r="X457" s="56">
        <f>(31*0.1790888*100000/1000000)+(31*0.2374*100000/1000000)</f>
        <v>1.2911152800000001</v>
      </c>
      <c r="Y457" s="56"/>
      <c r="Z457" s="14"/>
      <c r="AA457" s="55"/>
      <c r="AB457" s="49">
        <f>(B457*122.58+C457*297.941+D457*89.177+E457*40.302+F457*40+G457*160+H457*0+I457*100+J457*300)/(122.58+297.941+89.177+40.302+0+40+160+100+300)</f>
        <v>23.700153486086954</v>
      </c>
      <c r="AC457" s="45">
        <f>(M457*'RAP TEMPLATE-GAS AVAILABILITY'!O456+N457*'RAP TEMPLATE-GAS AVAILABILITY'!P456+O457*'RAP TEMPLATE-GAS AVAILABILITY'!Q456+P457*'RAP TEMPLATE-GAS AVAILABILITY'!R456)/('RAP TEMPLATE-GAS AVAILABILITY'!O456+'RAP TEMPLATE-GAS AVAILABILITY'!P456+'RAP TEMPLATE-GAS AVAILABILITY'!Q456+'RAP TEMPLATE-GAS AVAILABILITY'!R456)</f>
        <v>23.324579856115108</v>
      </c>
    </row>
    <row r="458" spans="1:29" ht="15.75" x14ac:dyDescent="0.25">
      <c r="A458" s="33">
        <v>54847</v>
      </c>
      <c r="B458" s="14">
        <f>CHOOSE(CONTROL!$C$42, 24.0864, 24.0864) * CHOOSE(CONTROL!$C$21, $C$9, 100%, $E$9)</f>
        <v>24.086400000000001</v>
      </c>
      <c r="C458" s="14">
        <f>CHOOSE(CONTROL!$C$42, 24.0915, 24.0915) * CHOOSE(CONTROL!$C$21, $C$9, 100%, $E$9)</f>
        <v>24.0915</v>
      </c>
      <c r="D458" s="14">
        <f>CHOOSE(CONTROL!$C$42, 24.185, 24.185) * CHOOSE(CONTROL!$C$21, $C$9, 100%, $E$9)</f>
        <v>24.184999999999999</v>
      </c>
      <c r="E458" s="14">
        <f>CHOOSE(CONTROL!$C$42, 24.2191, 24.2191) * CHOOSE(CONTROL!$C$21, $C$9, 100%, $E$9)</f>
        <v>24.219100000000001</v>
      </c>
      <c r="F458" s="14">
        <f>CHOOSE(CONTROL!$C$42, 24.1134, 24.1134)*CHOOSE(CONTROL!$C$21, $C$9, 100%, $E$9)</f>
        <v>24.113399999999999</v>
      </c>
      <c r="G458" s="14">
        <f>CHOOSE(CONTROL!$C$42, 24.1312, 24.1312)*CHOOSE(CONTROL!$C$21, $C$9, 100%, $E$9)</f>
        <v>24.1312</v>
      </c>
      <c r="H458" s="14">
        <f>CHOOSE(CONTROL!$C$42, 24.2083, 24.2083) * CHOOSE(CONTROL!$C$21, $C$9, 100%, $E$9)</f>
        <v>24.208300000000001</v>
      </c>
      <c r="I458" s="14">
        <f>CHOOSE(CONTROL!$C$42, 24.1877, 24.1877)* CHOOSE(CONTROL!$C$21, $C$9, 100%, $E$9)</f>
        <v>24.1877</v>
      </c>
      <c r="J458" s="14">
        <f>CHOOSE(CONTROL!$C$42, 24.1064, 24.1064)* CHOOSE(CONTROL!$C$21, $C$9, 100%, $E$9)</f>
        <v>24.106400000000001</v>
      </c>
      <c r="K458" s="52">
        <f>CHOOSE(CONTROL!$C$42, 24.1839, 24.1839) * CHOOSE(CONTROL!$C$21, $C$9, 100%, $E$9)</f>
        <v>24.183900000000001</v>
      </c>
      <c r="L458" s="14">
        <f>CHOOSE(CONTROL!$C$42, 24.7953, 24.7953) * CHOOSE(CONTROL!$C$21, $C$9, 100%, $E$9)</f>
        <v>24.795300000000001</v>
      </c>
      <c r="M458" s="14">
        <f>CHOOSE(CONTROL!$C$42, 23.6805, 23.6805) * CHOOSE(CONTROL!$C$21, $C$9, 100%, $E$9)</f>
        <v>23.680499999999999</v>
      </c>
      <c r="N458" s="14">
        <f>CHOOSE(CONTROL!$C$42, 23.698, 23.698) * CHOOSE(CONTROL!$C$21, $C$9, 100%, $E$9)</f>
        <v>23.698</v>
      </c>
      <c r="O458" s="14">
        <f>CHOOSE(CONTROL!$C$42, 23.7805, 23.7805) * CHOOSE(CONTROL!$C$21, $C$9, 100%, $E$9)</f>
        <v>23.7805</v>
      </c>
      <c r="P458" s="14">
        <f>CHOOSE(CONTROL!$C$42, 23.7591, 23.7591) * CHOOSE(CONTROL!$C$21, $C$9, 100%, $E$9)</f>
        <v>23.7591</v>
      </c>
      <c r="Q458" s="14">
        <f>CHOOSE(CONTROL!$C$42, 24.3752, 24.3752) * CHOOSE(CONTROL!$C$21, $C$9, 100%, $E$9)</f>
        <v>24.3752</v>
      </c>
      <c r="R458" s="14">
        <f>CHOOSE(CONTROL!$C$42, 25.0232, 25.0232) * CHOOSE(CONTROL!$C$21, $C$9, 100%, $E$9)</f>
        <v>25.023199999999999</v>
      </c>
      <c r="S458" s="14">
        <f>CHOOSE(CONTROL!$C$42, 23.1361, 23.1361) * CHOOSE(CONTROL!$C$21, $C$9, 100%, $E$9)</f>
        <v>23.136099999999999</v>
      </c>
      <c r="T45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58" s="56">
        <f>(1000*CHOOSE(CONTROL!$C$42, 695, 695)*CHOOSE(CONTROL!$C$42, 0.5599, 0.5599)*CHOOSE(CONTROL!$C$42, 28, 28))/1000000</f>
        <v>10.895653999999999</v>
      </c>
      <c r="V458" s="56">
        <f>(1000*CHOOSE(CONTROL!$C$42, 500, 500)*CHOOSE(CONTROL!$C$42, 0.275, 0.275)*CHOOSE(CONTROL!$C$42, 28, 28))/1000000</f>
        <v>3.85</v>
      </c>
      <c r="W458" s="56">
        <f>(1000*CHOOSE(CONTROL!$C$42, 0.1146, 0.1146)*CHOOSE(CONTROL!$C$42, 121.5, 121.5)*CHOOSE(CONTROL!$C$42, 28, 28))/1000000</f>
        <v>0.38986920000000003</v>
      </c>
      <c r="X458" s="56">
        <f>(28*0.1790888*100000/1000000)+(28*0.2374*100000/1000000)</f>
        <v>1.16616864</v>
      </c>
      <c r="Y458" s="56"/>
      <c r="Z458" s="14"/>
      <c r="AA458" s="55"/>
      <c r="AB458" s="49">
        <f>(B458*122.58+C458*297.941+D458*89.177+E458*40.302+F458*40+G458*160+H458*0+I458*100+J458*300)/(122.58+297.941+89.177+40.302+0+40+160+100+300)</f>
        <v>24.121216023217389</v>
      </c>
      <c r="AC458" s="45">
        <f>(M458*'RAP TEMPLATE-GAS AVAILABILITY'!O457+N458*'RAP TEMPLATE-GAS AVAILABILITY'!P457+O458*'RAP TEMPLATE-GAS AVAILABILITY'!Q457+P458*'RAP TEMPLATE-GAS AVAILABILITY'!R457)/('RAP TEMPLATE-GAS AVAILABILITY'!O457+'RAP TEMPLATE-GAS AVAILABILITY'!P457+'RAP TEMPLATE-GAS AVAILABILITY'!Q457+'RAP TEMPLATE-GAS AVAILABILITY'!R457)</f>
        <v>23.738140287769784</v>
      </c>
    </row>
    <row r="459" spans="1:29" ht="15.75" x14ac:dyDescent="0.25">
      <c r="A459" s="33">
        <v>54878</v>
      </c>
      <c r="B459" s="14">
        <f>CHOOSE(CONTROL!$C$42, 23.4029, 23.4029) * CHOOSE(CONTROL!$C$21, $C$9, 100%, $E$9)</f>
        <v>23.402899999999999</v>
      </c>
      <c r="C459" s="14">
        <f>CHOOSE(CONTROL!$C$42, 23.4079, 23.4079) * CHOOSE(CONTROL!$C$21, $C$9, 100%, $E$9)</f>
        <v>23.407900000000001</v>
      </c>
      <c r="D459" s="14">
        <f>CHOOSE(CONTROL!$C$42, 23.5014, 23.5014) * CHOOSE(CONTROL!$C$21, $C$9, 100%, $E$9)</f>
        <v>23.5014</v>
      </c>
      <c r="E459" s="14">
        <f>CHOOSE(CONTROL!$C$42, 23.5355, 23.5355) * CHOOSE(CONTROL!$C$21, $C$9, 100%, $E$9)</f>
        <v>23.535499999999999</v>
      </c>
      <c r="F459" s="14">
        <f>CHOOSE(CONTROL!$C$42, 23.4289, 23.4289)*CHOOSE(CONTROL!$C$21, $C$9, 100%, $E$9)</f>
        <v>23.428899999999999</v>
      </c>
      <c r="G459" s="14">
        <f>CHOOSE(CONTROL!$C$42, 23.4466, 23.4466)*CHOOSE(CONTROL!$C$21, $C$9, 100%, $E$9)</f>
        <v>23.4466</v>
      </c>
      <c r="H459" s="14">
        <f>CHOOSE(CONTROL!$C$42, 23.5247, 23.5247) * CHOOSE(CONTROL!$C$21, $C$9, 100%, $E$9)</f>
        <v>23.524699999999999</v>
      </c>
      <c r="I459" s="14">
        <f>CHOOSE(CONTROL!$C$42, 23.502, 23.502)* CHOOSE(CONTROL!$C$21, $C$9, 100%, $E$9)</f>
        <v>23.501999999999999</v>
      </c>
      <c r="J459" s="14">
        <f>CHOOSE(CONTROL!$C$42, 23.4219, 23.4219)* CHOOSE(CONTROL!$C$21, $C$9, 100%, $E$9)</f>
        <v>23.421900000000001</v>
      </c>
      <c r="K459" s="52">
        <f>CHOOSE(CONTROL!$C$42, 23.4982, 23.4982) * CHOOSE(CONTROL!$C$21, $C$9, 100%, $E$9)</f>
        <v>23.498200000000001</v>
      </c>
      <c r="L459" s="14">
        <f>CHOOSE(CONTROL!$C$42, 24.1117, 24.1117) * CHOOSE(CONTROL!$C$21, $C$9, 100%, $E$9)</f>
        <v>24.111699999999999</v>
      </c>
      <c r="M459" s="14">
        <f>CHOOSE(CONTROL!$C$42, 23.0083, 23.0083) * CHOOSE(CONTROL!$C$21, $C$9, 100%, $E$9)</f>
        <v>23.008299999999998</v>
      </c>
      <c r="N459" s="14">
        <f>CHOOSE(CONTROL!$C$42, 23.0257, 23.0257) * CHOOSE(CONTROL!$C$21, $C$9, 100%, $E$9)</f>
        <v>23.025700000000001</v>
      </c>
      <c r="O459" s="14">
        <f>CHOOSE(CONTROL!$C$42, 23.1093, 23.1093) * CHOOSE(CONTROL!$C$21, $C$9, 100%, $E$9)</f>
        <v>23.109300000000001</v>
      </c>
      <c r="P459" s="14">
        <f>CHOOSE(CONTROL!$C$42, 23.0858, 23.0858) * CHOOSE(CONTROL!$C$21, $C$9, 100%, $E$9)</f>
        <v>23.085799999999999</v>
      </c>
      <c r="Q459" s="14">
        <f>CHOOSE(CONTROL!$C$42, 23.704, 23.704) * CHOOSE(CONTROL!$C$21, $C$9, 100%, $E$9)</f>
        <v>23.704000000000001</v>
      </c>
      <c r="R459" s="14">
        <f>CHOOSE(CONTROL!$C$42, 24.3502, 24.3502) * CHOOSE(CONTROL!$C$21, $C$9, 100%, $E$9)</f>
        <v>24.350200000000001</v>
      </c>
      <c r="S459" s="14">
        <f>CHOOSE(CONTROL!$C$42, 22.4793, 22.4793) * CHOOSE(CONTROL!$C$21, $C$9, 100%, $E$9)</f>
        <v>22.479299999999999</v>
      </c>
      <c r="T4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59" s="56">
        <f>(1000*CHOOSE(CONTROL!$C$42, 695, 695)*CHOOSE(CONTROL!$C$42, 0.5599, 0.5599)*CHOOSE(CONTROL!$C$42, 31, 31))/1000000</f>
        <v>12.063045499999998</v>
      </c>
      <c r="V459" s="56">
        <f>(1000*CHOOSE(CONTROL!$C$42, 500, 500)*CHOOSE(CONTROL!$C$42, 0.275, 0.275)*CHOOSE(CONTROL!$C$42, 31, 31))/1000000</f>
        <v>4.2625000000000002</v>
      </c>
      <c r="W459" s="56">
        <f>(1000*CHOOSE(CONTROL!$C$42, 0.1146, 0.1146)*CHOOSE(CONTROL!$C$42, 121.5, 121.5)*CHOOSE(CONTROL!$C$42, 31, 31))/1000000</f>
        <v>0.43164089999999994</v>
      </c>
      <c r="X459" s="56">
        <f>(31*0.1790888*100000/1000000)+(31*0.2374*100000/1000000)</f>
        <v>1.2911152800000001</v>
      </c>
      <c r="Y459" s="56"/>
      <c r="Z459" s="14"/>
      <c r="AA459" s="55"/>
      <c r="AB459" s="49">
        <f>(B459*122.58+C459*297.941+D459*89.177+E459*40.302+F459*40+G459*160+H459*0+I459*100+J459*300)/(122.58+297.941+89.177+40.302+0+40+160+100+300)</f>
        <v>23.437038856260866</v>
      </c>
      <c r="AC459" s="45">
        <f>(M459*'RAP TEMPLATE-GAS AVAILABILITY'!O458+N459*'RAP TEMPLATE-GAS AVAILABILITY'!P458+O459*'RAP TEMPLATE-GAS AVAILABILITY'!Q458+P459*'RAP TEMPLATE-GAS AVAILABILITY'!R458)/('RAP TEMPLATE-GAS AVAILABILITY'!O458+'RAP TEMPLATE-GAS AVAILABILITY'!P458+'RAP TEMPLATE-GAS AVAILABILITY'!Q458+'RAP TEMPLATE-GAS AVAILABILITY'!R458)</f>
        <v>23.066229496402876</v>
      </c>
    </row>
    <row r="460" spans="1:29" ht="15.75" x14ac:dyDescent="0.25">
      <c r="A460" s="33">
        <v>54908</v>
      </c>
      <c r="B460" s="14">
        <f>CHOOSE(CONTROL!$C$42, 23.3338, 23.3338) * CHOOSE(CONTROL!$C$21, $C$9, 100%, $E$9)</f>
        <v>23.3338</v>
      </c>
      <c r="C460" s="14">
        <f>CHOOSE(CONTROL!$C$42, 23.3383, 23.3383) * CHOOSE(CONTROL!$C$21, $C$9, 100%, $E$9)</f>
        <v>23.3383</v>
      </c>
      <c r="D460" s="14">
        <f>CHOOSE(CONTROL!$C$42, 23.6005, 23.6005) * CHOOSE(CONTROL!$C$21, $C$9, 100%, $E$9)</f>
        <v>23.6005</v>
      </c>
      <c r="E460" s="14">
        <f>CHOOSE(CONTROL!$C$42, 23.6326, 23.6326) * CHOOSE(CONTROL!$C$21, $C$9, 100%, $E$9)</f>
        <v>23.6326</v>
      </c>
      <c r="F460" s="14">
        <f>CHOOSE(CONTROL!$C$42, 23.3566, 23.3566)*CHOOSE(CONTROL!$C$21, $C$9, 100%, $E$9)</f>
        <v>23.3566</v>
      </c>
      <c r="G460" s="14">
        <f>CHOOSE(CONTROL!$C$42, 23.3734, 23.3734)*CHOOSE(CONTROL!$C$21, $C$9, 100%, $E$9)</f>
        <v>23.3734</v>
      </c>
      <c r="H460" s="14">
        <f>CHOOSE(CONTROL!$C$42, 23.6224, 23.6224) * CHOOSE(CONTROL!$C$21, $C$9, 100%, $E$9)</f>
        <v>23.622399999999999</v>
      </c>
      <c r="I460" s="14">
        <f>CHOOSE(CONTROL!$C$42, 23.4294, 23.4294)* CHOOSE(CONTROL!$C$21, $C$9, 100%, $E$9)</f>
        <v>23.429400000000001</v>
      </c>
      <c r="J460" s="14">
        <f>CHOOSE(CONTROL!$C$42, 23.3496, 23.3496)* CHOOSE(CONTROL!$C$21, $C$9, 100%, $E$9)</f>
        <v>23.349599999999999</v>
      </c>
      <c r="K460" s="52">
        <f>CHOOSE(CONTROL!$C$42, 23.4255, 23.4255) * CHOOSE(CONTROL!$C$21, $C$9, 100%, $E$9)</f>
        <v>23.4255</v>
      </c>
      <c r="L460" s="14">
        <f>CHOOSE(CONTROL!$C$42, 24.2094, 24.2094) * CHOOSE(CONTROL!$C$21, $C$9, 100%, $E$9)</f>
        <v>24.209399999999999</v>
      </c>
      <c r="M460" s="14">
        <f>CHOOSE(CONTROL!$C$42, 22.9374, 22.9374) * CHOOSE(CONTROL!$C$21, $C$9, 100%, $E$9)</f>
        <v>22.9374</v>
      </c>
      <c r="N460" s="14">
        <f>CHOOSE(CONTROL!$C$42, 22.9538, 22.9538) * CHOOSE(CONTROL!$C$21, $C$9, 100%, $E$9)</f>
        <v>22.953800000000001</v>
      </c>
      <c r="O460" s="14">
        <f>CHOOSE(CONTROL!$C$42, 23.2052, 23.2052) * CHOOSE(CONTROL!$C$21, $C$9, 100%, $E$9)</f>
        <v>23.205200000000001</v>
      </c>
      <c r="P460" s="14">
        <f>CHOOSE(CONTROL!$C$42, 23.0144, 23.0144) * CHOOSE(CONTROL!$C$21, $C$9, 100%, $E$9)</f>
        <v>23.014399999999998</v>
      </c>
      <c r="Q460" s="14">
        <f>CHOOSE(CONTROL!$C$42, 23.7999, 23.7999) * CHOOSE(CONTROL!$C$21, $C$9, 100%, $E$9)</f>
        <v>23.799900000000001</v>
      </c>
      <c r="R460" s="14">
        <f>CHOOSE(CONTROL!$C$42, 24.4464, 24.4464) * CHOOSE(CONTROL!$C$21, $C$9, 100%, $E$9)</f>
        <v>24.446400000000001</v>
      </c>
      <c r="S460" s="14">
        <f>CHOOSE(CONTROL!$C$42, 22.4122, 22.4122) * CHOOSE(CONTROL!$C$21, $C$9, 100%, $E$9)</f>
        <v>22.412199999999999</v>
      </c>
      <c r="T4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60" s="56">
        <f>(1000*CHOOSE(CONTROL!$C$42, 695, 695)*CHOOSE(CONTROL!$C$42, 0.5599, 0.5599)*CHOOSE(CONTROL!$C$42, 30, 30))/1000000</f>
        <v>11.673914999999997</v>
      </c>
      <c r="V460" s="56">
        <f>(1000*CHOOSE(CONTROL!$C$42, 500, 500)*CHOOSE(CONTROL!$C$42, 0.275, 0.275)*CHOOSE(CONTROL!$C$42, 30, 30))/1000000</f>
        <v>4.125</v>
      </c>
      <c r="W460" s="56">
        <f>(1000*CHOOSE(CONTROL!$C$42, 0.1146, 0.1146)*CHOOSE(CONTROL!$C$42, 121.5, 121.5)*CHOOSE(CONTROL!$C$42, 30, 30))/1000000</f>
        <v>0.417717</v>
      </c>
      <c r="X460" s="56">
        <f>(30*0.1790888*245000/1000000)+(30*0.2374*100000/1000000)</f>
        <v>2.0285026799999999</v>
      </c>
      <c r="Y460" s="56"/>
      <c r="Z460" s="14"/>
      <c r="AA460" s="55"/>
      <c r="AB460" s="49">
        <f>(B460*141.293+C460*267.993+D460*115.016+E460*89.698+F460*40+G460*185+H460*0+I460*100+J460*300)/(141.293+267.993+115.016+89.698+0+40+185+100+300)</f>
        <v>23.399353267231639</v>
      </c>
      <c r="AC460" s="45">
        <f>(M460*'RAP TEMPLATE-GAS AVAILABILITY'!O459+N460*'RAP TEMPLATE-GAS AVAILABILITY'!P459+O460*'RAP TEMPLATE-GAS AVAILABILITY'!Q459+P460*'RAP TEMPLATE-GAS AVAILABILITY'!R459)/('RAP TEMPLATE-GAS AVAILABILITY'!O459+'RAP TEMPLATE-GAS AVAILABILITY'!P459+'RAP TEMPLATE-GAS AVAILABILITY'!Q459+'RAP TEMPLATE-GAS AVAILABILITY'!R459)</f>
        <v>23.027392805755394</v>
      </c>
    </row>
    <row r="461" spans="1:29" ht="15.75" x14ac:dyDescent="0.25">
      <c r="A461" s="33">
        <v>54939</v>
      </c>
      <c r="B461" s="14">
        <f>CHOOSE(CONTROL!$C$42, 23.5411, 23.5411) * CHOOSE(CONTROL!$C$21, $C$9, 100%, $E$9)</f>
        <v>23.5411</v>
      </c>
      <c r="C461" s="14">
        <f>CHOOSE(CONTROL!$C$42, 23.5491, 23.5491) * CHOOSE(CONTROL!$C$21, $C$9, 100%, $E$9)</f>
        <v>23.549099999999999</v>
      </c>
      <c r="D461" s="14">
        <f>CHOOSE(CONTROL!$C$42, 23.8082, 23.8082) * CHOOSE(CONTROL!$C$21, $C$9, 100%, $E$9)</f>
        <v>23.808199999999999</v>
      </c>
      <c r="E461" s="14">
        <f>CHOOSE(CONTROL!$C$42, 23.8397, 23.8397) * CHOOSE(CONTROL!$C$21, $C$9, 100%, $E$9)</f>
        <v>23.839700000000001</v>
      </c>
      <c r="F461" s="14">
        <f>CHOOSE(CONTROL!$C$42, 23.5626, 23.5626)*CHOOSE(CONTROL!$C$21, $C$9, 100%, $E$9)</f>
        <v>23.5626</v>
      </c>
      <c r="G461" s="14">
        <f>CHOOSE(CONTROL!$C$42, 23.5796, 23.5796)*CHOOSE(CONTROL!$C$21, $C$9, 100%, $E$9)</f>
        <v>23.579599999999999</v>
      </c>
      <c r="H461" s="14">
        <f>CHOOSE(CONTROL!$C$42, 23.8283, 23.8283) * CHOOSE(CONTROL!$C$21, $C$9, 100%, $E$9)</f>
        <v>23.828299999999999</v>
      </c>
      <c r="I461" s="14">
        <f>CHOOSE(CONTROL!$C$42, 23.6359, 23.6359)* CHOOSE(CONTROL!$C$21, $C$9, 100%, $E$9)</f>
        <v>23.635899999999999</v>
      </c>
      <c r="J461" s="14">
        <f>CHOOSE(CONTROL!$C$42, 23.5556, 23.5556)* CHOOSE(CONTROL!$C$21, $C$9, 100%, $E$9)</f>
        <v>23.555599999999998</v>
      </c>
      <c r="K461" s="52">
        <f>CHOOSE(CONTROL!$C$42, 23.632, 23.632) * CHOOSE(CONTROL!$C$21, $C$9, 100%, $E$9)</f>
        <v>23.632000000000001</v>
      </c>
      <c r="L461" s="14">
        <f>CHOOSE(CONTROL!$C$42, 24.4153, 24.4153) * CHOOSE(CONTROL!$C$21, $C$9, 100%, $E$9)</f>
        <v>24.415299999999998</v>
      </c>
      <c r="M461" s="14">
        <f>CHOOSE(CONTROL!$C$42, 23.1396, 23.1396) * CHOOSE(CONTROL!$C$21, $C$9, 100%, $E$9)</f>
        <v>23.139600000000002</v>
      </c>
      <c r="N461" s="14">
        <f>CHOOSE(CONTROL!$C$42, 23.1563, 23.1563) * CHOOSE(CONTROL!$C$21, $C$9, 100%, $E$9)</f>
        <v>23.156300000000002</v>
      </c>
      <c r="O461" s="14">
        <f>CHOOSE(CONTROL!$C$42, 23.4074, 23.4074) * CHOOSE(CONTROL!$C$21, $C$9, 100%, $E$9)</f>
        <v>23.407399999999999</v>
      </c>
      <c r="P461" s="14">
        <f>CHOOSE(CONTROL!$C$42, 23.2172, 23.2172) * CHOOSE(CONTROL!$C$21, $C$9, 100%, $E$9)</f>
        <v>23.217199999999998</v>
      </c>
      <c r="Q461" s="14">
        <f>CHOOSE(CONTROL!$C$42, 24.0021, 24.0021) * CHOOSE(CONTROL!$C$21, $C$9, 100%, $E$9)</f>
        <v>24.002099999999999</v>
      </c>
      <c r="R461" s="14">
        <f>CHOOSE(CONTROL!$C$42, 24.6491, 24.6491) * CHOOSE(CONTROL!$C$21, $C$9, 100%, $E$9)</f>
        <v>24.649100000000001</v>
      </c>
      <c r="S461" s="14">
        <f>CHOOSE(CONTROL!$C$42, 22.61, 22.61) * CHOOSE(CONTROL!$C$21, $C$9, 100%, $E$9)</f>
        <v>22.61</v>
      </c>
      <c r="T4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61" s="56">
        <f>(1000*CHOOSE(CONTROL!$C$42, 695, 695)*CHOOSE(CONTROL!$C$42, 0.5599, 0.5599)*CHOOSE(CONTROL!$C$42, 31, 31))/1000000</f>
        <v>12.063045499999998</v>
      </c>
      <c r="V461" s="56">
        <f>(1000*CHOOSE(CONTROL!$C$42, 500, 500)*CHOOSE(CONTROL!$C$42, 0.275, 0.275)*CHOOSE(CONTROL!$C$42, 31, 31))/1000000</f>
        <v>4.2625000000000002</v>
      </c>
      <c r="W461" s="56">
        <f>(1000*CHOOSE(CONTROL!$C$42, 0.1146, 0.1146)*CHOOSE(CONTROL!$C$42, 121.5, 121.5)*CHOOSE(CONTROL!$C$42, 31, 31))/1000000</f>
        <v>0.43164089999999994</v>
      </c>
      <c r="X461" s="56">
        <f>(31*0.1790888*245000/1000000)+(31*0.2374*100000/1000000)</f>
        <v>2.0961194359999999</v>
      </c>
      <c r="Y461" s="56"/>
      <c r="Z461" s="14"/>
      <c r="AA461" s="55"/>
      <c r="AB461" s="49">
        <f>(B461*194.205+C461*267.466+D461*133.845+E461*53.484+F461*40+G461*185+H461*0+I461*100+J461*300)/(194.205+267.466+133.845+53.484+0+40+185+100+300)</f>
        <v>23.600497605886972</v>
      </c>
      <c r="AC461" s="45">
        <f>(M461*'RAP TEMPLATE-GAS AVAILABILITY'!O460+N461*'RAP TEMPLATE-GAS AVAILABILITY'!P460+O461*'RAP TEMPLATE-GAS AVAILABILITY'!Q460+P461*'RAP TEMPLATE-GAS AVAILABILITY'!R460)/('RAP TEMPLATE-GAS AVAILABILITY'!O460+'RAP TEMPLATE-GAS AVAILABILITY'!P460+'RAP TEMPLATE-GAS AVAILABILITY'!Q460+'RAP TEMPLATE-GAS AVAILABILITY'!R460)</f>
        <v>23.229748201438852</v>
      </c>
    </row>
    <row r="462" spans="1:29" ht="15.75" x14ac:dyDescent="0.25">
      <c r="A462" s="33">
        <v>54969</v>
      </c>
      <c r="B462" s="14">
        <f>CHOOSE(CONTROL!$C$42, 24.2085, 24.2085) * CHOOSE(CONTROL!$C$21, $C$9, 100%, $E$9)</f>
        <v>24.208500000000001</v>
      </c>
      <c r="C462" s="14">
        <f>CHOOSE(CONTROL!$C$42, 24.2165, 24.2165) * CHOOSE(CONTROL!$C$21, $C$9, 100%, $E$9)</f>
        <v>24.2165</v>
      </c>
      <c r="D462" s="14">
        <f>CHOOSE(CONTROL!$C$42, 24.4756, 24.4756) * CHOOSE(CONTROL!$C$21, $C$9, 100%, $E$9)</f>
        <v>24.4756</v>
      </c>
      <c r="E462" s="14">
        <f>CHOOSE(CONTROL!$C$42, 24.5071, 24.5071) * CHOOSE(CONTROL!$C$21, $C$9, 100%, $E$9)</f>
        <v>24.507100000000001</v>
      </c>
      <c r="F462" s="14">
        <f>CHOOSE(CONTROL!$C$42, 24.2303, 24.2303)*CHOOSE(CONTROL!$C$21, $C$9, 100%, $E$9)</f>
        <v>24.2303</v>
      </c>
      <c r="G462" s="14">
        <f>CHOOSE(CONTROL!$C$42, 24.2473, 24.2473)*CHOOSE(CONTROL!$C$21, $C$9, 100%, $E$9)</f>
        <v>24.247299999999999</v>
      </c>
      <c r="H462" s="14">
        <f>CHOOSE(CONTROL!$C$42, 24.4957, 24.4957) * CHOOSE(CONTROL!$C$21, $C$9, 100%, $E$9)</f>
        <v>24.495699999999999</v>
      </c>
      <c r="I462" s="14">
        <f>CHOOSE(CONTROL!$C$42, 24.3054, 24.3054)* CHOOSE(CONTROL!$C$21, $C$9, 100%, $E$9)</f>
        <v>24.305399999999999</v>
      </c>
      <c r="J462" s="14">
        <f>CHOOSE(CONTROL!$C$42, 24.2233, 24.2233)* CHOOSE(CONTROL!$C$21, $C$9, 100%, $E$9)</f>
        <v>24.223299999999998</v>
      </c>
      <c r="K462" s="52">
        <f>CHOOSE(CONTROL!$C$42, 24.3015, 24.3015) * CHOOSE(CONTROL!$C$21, $C$9, 100%, $E$9)</f>
        <v>24.301500000000001</v>
      </c>
      <c r="L462" s="14">
        <f>CHOOSE(CONTROL!$C$42, 25.0827, 25.0827) * CHOOSE(CONTROL!$C$21, $C$9, 100%, $E$9)</f>
        <v>25.082699999999999</v>
      </c>
      <c r="M462" s="14">
        <f>CHOOSE(CONTROL!$C$42, 23.7953, 23.7953) * CHOOSE(CONTROL!$C$21, $C$9, 100%, $E$9)</f>
        <v>23.795300000000001</v>
      </c>
      <c r="N462" s="14">
        <f>CHOOSE(CONTROL!$C$42, 23.812, 23.812) * CHOOSE(CONTROL!$C$21, $C$9, 100%, $E$9)</f>
        <v>23.812000000000001</v>
      </c>
      <c r="O462" s="14">
        <f>CHOOSE(CONTROL!$C$42, 24.0628, 24.0628) * CHOOSE(CONTROL!$C$21, $C$9, 100%, $E$9)</f>
        <v>24.062799999999999</v>
      </c>
      <c r="P462" s="14">
        <f>CHOOSE(CONTROL!$C$42, 23.8747, 23.8747) * CHOOSE(CONTROL!$C$21, $C$9, 100%, $E$9)</f>
        <v>23.874700000000001</v>
      </c>
      <c r="Q462" s="14">
        <f>CHOOSE(CONTROL!$C$42, 24.6575, 24.6575) * CHOOSE(CONTROL!$C$21, $C$9, 100%, $E$9)</f>
        <v>24.657499999999999</v>
      </c>
      <c r="R462" s="14">
        <f>CHOOSE(CONTROL!$C$42, 25.3062, 25.3062) * CHOOSE(CONTROL!$C$21, $C$9, 100%, $E$9)</f>
        <v>25.3062</v>
      </c>
      <c r="S462" s="14">
        <f>CHOOSE(CONTROL!$C$42, 23.2513, 23.2513) * CHOOSE(CONTROL!$C$21, $C$9, 100%, $E$9)</f>
        <v>23.251300000000001</v>
      </c>
      <c r="T4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62" s="56">
        <f>(1000*CHOOSE(CONTROL!$C$42, 695, 695)*CHOOSE(CONTROL!$C$42, 0.5599, 0.5599)*CHOOSE(CONTROL!$C$42, 30, 30))/1000000</f>
        <v>11.673914999999997</v>
      </c>
      <c r="V462" s="56">
        <f>(1000*CHOOSE(CONTROL!$C$42, 500, 500)*CHOOSE(CONTROL!$C$42, 0.275, 0.275)*CHOOSE(CONTROL!$C$42, 30, 30))/1000000</f>
        <v>4.125</v>
      </c>
      <c r="W462" s="56">
        <f>(1000*CHOOSE(CONTROL!$C$42, 0.1146, 0.1146)*CHOOSE(CONTROL!$C$42, 121.5, 121.5)*CHOOSE(CONTROL!$C$42, 30, 30))/1000000</f>
        <v>0.417717</v>
      </c>
      <c r="X462" s="56">
        <f>(30*0.1790888*245000/1000000)+(30*0.2374*100000/1000000)</f>
        <v>2.0285026799999999</v>
      </c>
      <c r="Y462" s="56"/>
      <c r="Z462" s="14"/>
      <c r="AA462" s="55"/>
      <c r="AB462" s="49">
        <f>(B462*194.205+C462*267.466+D462*133.845+E462*53.484+F462*40+G462*185+H462*0+I462*100+J462*300)/(194.205+267.466+133.845+53.484+0+40+185+100+300)</f>
        <v>24.268186067425436</v>
      </c>
      <c r="AC462" s="45">
        <f>(M462*'RAP TEMPLATE-GAS AVAILABILITY'!O461+N462*'RAP TEMPLATE-GAS AVAILABILITY'!P461+O462*'RAP TEMPLATE-GAS AVAILABILITY'!Q461+P462*'RAP TEMPLATE-GAS AVAILABILITY'!R461)/('RAP TEMPLATE-GAS AVAILABILITY'!O461+'RAP TEMPLATE-GAS AVAILABILITY'!P461+'RAP TEMPLATE-GAS AVAILABILITY'!Q461+'RAP TEMPLATE-GAS AVAILABILITY'!R461)</f>
        <v>23.885623021582735</v>
      </c>
    </row>
    <row r="463" spans="1:29" ht="15.75" x14ac:dyDescent="0.25">
      <c r="A463" s="33">
        <v>55000</v>
      </c>
      <c r="B463" s="14">
        <f>CHOOSE(CONTROL!$C$42, 23.7443, 23.7443) * CHOOSE(CONTROL!$C$21, $C$9, 100%, $E$9)</f>
        <v>23.744299999999999</v>
      </c>
      <c r="C463" s="14">
        <f>CHOOSE(CONTROL!$C$42, 23.7523, 23.7523) * CHOOSE(CONTROL!$C$21, $C$9, 100%, $E$9)</f>
        <v>23.752300000000002</v>
      </c>
      <c r="D463" s="14">
        <f>CHOOSE(CONTROL!$C$42, 24.0114, 24.0114) * CHOOSE(CONTROL!$C$21, $C$9, 100%, $E$9)</f>
        <v>24.011399999999998</v>
      </c>
      <c r="E463" s="14">
        <f>CHOOSE(CONTROL!$C$42, 24.0429, 24.0429) * CHOOSE(CONTROL!$C$21, $C$9, 100%, $E$9)</f>
        <v>24.042899999999999</v>
      </c>
      <c r="F463" s="14">
        <f>CHOOSE(CONTROL!$C$42, 23.7665, 23.7665)*CHOOSE(CONTROL!$C$21, $C$9, 100%, $E$9)</f>
        <v>23.766500000000001</v>
      </c>
      <c r="G463" s="14">
        <f>CHOOSE(CONTROL!$C$42, 23.7837, 23.7837)*CHOOSE(CONTROL!$C$21, $C$9, 100%, $E$9)</f>
        <v>23.7837</v>
      </c>
      <c r="H463" s="14">
        <f>CHOOSE(CONTROL!$C$42, 24.0315, 24.0315) * CHOOSE(CONTROL!$C$21, $C$9, 100%, $E$9)</f>
        <v>24.031500000000001</v>
      </c>
      <c r="I463" s="14">
        <f>CHOOSE(CONTROL!$C$42, 23.8398, 23.8398)* CHOOSE(CONTROL!$C$21, $C$9, 100%, $E$9)</f>
        <v>23.8398</v>
      </c>
      <c r="J463" s="14">
        <f>CHOOSE(CONTROL!$C$42, 23.7595, 23.7595)* CHOOSE(CONTROL!$C$21, $C$9, 100%, $E$9)</f>
        <v>23.759499999999999</v>
      </c>
      <c r="K463" s="52">
        <f>CHOOSE(CONTROL!$C$42, 23.8359, 23.8359) * CHOOSE(CONTROL!$C$21, $C$9, 100%, $E$9)</f>
        <v>23.835899999999999</v>
      </c>
      <c r="L463" s="14">
        <f>CHOOSE(CONTROL!$C$42, 24.6185, 24.6185) * CHOOSE(CONTROL!$C$21, $C$9, 100%, $E$9)</f>
        <v>24.618500000000001</v>
      </c>
      <c r="M463" s="14">
        <f>CHOOSE(CONTROL!$C$42, 23.3398, 23.3398) * CHOOSE(CONTROL!$C$21, $C$9, 100%, $E$9)</f>
        <v>23.3398</v>
      </c>
      <c r="N463" s="14">
        <f>CHOOSE(CONTROL!$C$42, 23.3567, 23.3567) * CHOOSE(CONTROL!$C$21, $C$9, 100%, $E$9)</f>
        <v>23.3567</v>
      </c>
      <c r="O463" s="14">
        <f>CHOOSE(CONTROL!$C$42, 23.607, 23.607) * CHOOSE(CONTROL!$C$21, $C$9, 100%, $E$9)</f>
        <v>23.606999999999999</v>
      </c>
      <c r="P463" s="14">
        <f>CHOOSE(CONTROL!$C$42, 23.4174, 23.4174) * CHOOSE(CONTROL!$C$21, $C$9, 100%, $E$9)</f>
        <v>23.417400000000001</v>
      </c>
      <c r="Q463" s="14">
        <f>CHOOSE(CONTROL!$C$42, 24.2017, 24.2017) * CHOOSE(CONTROL!$C$21, $C$9, 100%, $E$9)</f>
        <v>24.201699999999999</v>
      </c>
      <c r="R463" s="14">
        <f>CHOOSE(CONTROL!$C$42, 24.8492, 24.8492) * CHOOSE(CONTROL!$C$21, $C$9, 100%, $E$9)</f>
        <v>24.8492</v>
      </c>
      <c r="S463" s="14">
        <f>CHOOSE(CONTROL!$C$42, 22.8053, 22.8053) * CHOOSE(CONTROL!$C$21, $C$9, 100%, $E$9)</f>
        <v>22.805299999999999</v>
      </c>
      <c r="T4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63" s="56">
        <f>(1000*CHOOSE(CONTROL!$C$42, 695, 695)*CHOOSE(CONTROL!$C$42, 0.5599, 0.5599)*CHOOSE(CONTROL!$C$42, 31, 31))/1000000</f>
        <v>12.063045499999998</v>
      </c>
      <c r="V463" s="56">
        <f>(1000*CHOOSE(CONTROL!$C$42, 500, 500)*CHOOSE(CONTROL!$C$42, 0.275, 0.275)*CHOOSE(CONTROL!$C$42, 31, 31))/1000000</f>
        <v>4.2625000000000002</v>
      </c>
      <c r="W463" s="56">
        <f>(1000*CHOOSE(CONTROL!$C$42, 0.1146, 0.1146)*CHOOSE(CONTROL!$C$42, 121.5, 121.5)*CHOOSE(CONTROL!$C$42, 31, 31))/1000000</f>
        <v>0.43164089999999994</v>
      </c>
      <c r="X463" s="56">
        <f>(31*0.1790888*245000/1000000)+(31*0.2374*100000/1000000)</f>
        <v>2.0961194359999999</v>
      </c>
      <c r="Y463" s="56"/>
      <c r="Z463" s="14"/>
      <c r="AA463" s="55"/>
      <c r="AB463" s="49">
        <f>(B463*194.205+C463*267.466+D463*133.845+E463*53.484+F463*40+G463*185+H463*0+I463*100+J463*300)/(194.205+267.466+133.845+53.484+0+40+185+100+300)</f>
        <v>23.80407005486656</v>
      </c>
      <c r="AC463" s="45">
        <f>(M463*'RAP TEMPLATE-GAS AVAILABILITY'!O462+N463*'RAP TEMPLATE-GAS AVAILABILITY'!P462+O463*'RAP TEMPLATE-GAS AVAILABILITY'!Q462+P463*'RAP TEMPLATE-GAS AVAILABILITY'!R462)/('RAP TEMPLATE-GAS AVAILABILITY'!O462+'RAP TEMPLATE-GAS AVAILABILITY'!P462+'RAP TEMPLATE-GAS AVAILABILITY'!Q462+'RAP TEMPLATE-GAS AVAILABILITY'!R462)</f>
        <v>23.429825899280576</v>
      </c>
    </row>
    <row r="464" spans="1:29" ht="15.75" x14ac:dyDescent="0.25">
      <c r="A464" s="33">
        <v>55031</v>
      </c>
      <c r="B464" s="14">
        <f>CHOOSE(CONTROL!$C$42, 22.572, 22.572) * CHOOSE(CONTROL!$C$21, $C$9, 100%, $E$9)</f>
        <v>22.571999999999999</v>
      </c>
      <c r="C464" s="14">
        <f>CHOOSE(CONTROL!$C$42, 22.5801, 22.5801) * CHOOSE(CONTROL!$C$21, $C$9, 100%, $E$9)</f>
        <v>22.580100000000002</v>
      </c>
      <c r="D464" s="14">
        <f>CHOOSE(CONTROL!$C$42, 22.8392, 22.8392) * CHOOSE(CONTROL!$C$21, $C$9, 100%, $E$9)</f>
        <v>22.839200000000002</v>
      </c>
      <c r="E464" s="14">
        <f>CHOOSE(CONTROL!$C$42, 22.8706, 22.8706) * CHOOSE(CONTROL!$C$21, $C$9, 100%, $E$9)</f>
        <v>22.8706</v>
      </c>
      <c r="F464" s="14">
        <f>CHOOSE(CONTROL!$C$42, 22.5944, 22.5944)*CHOOSE(CONTROL!$C$21, $C$9, 100%, $E$9)</f>
        <v>22.5944</v>
      </c>
      <c r="G464" s="14">
        <f>CHOOSE(CONTROL!$C$42, 22.6116, 22.6116)*CHOOSE(CONTROL!$C$21, $C$9, 100%, $E$9)</f>
        <v>22.611599999999999</v>
      </c>
      <c r="H464" s="14">
        <f>CHOOSE(CONTROL!$C$42, 22.8593, 22.8593) * CHOOSE(CONTROL!$C$21, $C$9, 100%, $E$9)</f>
        <v>22.859300000000001</v>
      </c>
      <c r="I464" s="14">
        <f>CHOOSE(CONTROL!$C$42, 22.6638, 22.6638)* CHOOSE(CONTROL!$C$21, $C$9, 100%, $E$9)</f>
        <v>22.663799999999998</v>
      </c>
      <c r="J464" s="14">
        <f>CHOOSE(CONTROL!$C$42, 22.5874, 22.5874)* CHOOSE(CONTROL!$C$21, $C$9, 100%, $E$9)</f>
        <v>22.587399999999999</v>
      </c>
      <c r="K464" s="52">
        <f>CHOOSE(CONTROL!$C$42, 22.6599, 22.6599) * CHOOSE(CONTROL!$C$21, $C$9, 100%, $E$9)</f>
        <v>22.6599</v>
      </c>
      <c r="L464" s="14">
        <f>CHOOSE(CONTROL!$C$42, 23.4463, 23.4463) * CHOOSE(CONTROL!$C$21, $C$9, 100%, $E$9)</f>
        <v>23.446300000000001</v>
      </c>
      <c r="M464" s="14">
        <f>CHOOSE(CONTROL!$C$42, 22.1889, 22.1889) * CHOOSE(CONTROL!$C$21, $C$9, 100%, $E$9)</f>
        <v>22.1889</v>
      </c>
      <c r="N464" s="14">
        <f>CHOOSE(CONTROL!$C$42, 22.2058, 22.2058) * CHOOSE(CONTROL!$C$21, $C$9, 100%, $E$9)</f>
        <v>22.2058</v>
      </c>
      <c r="O464" s="14">
        <f>CHOOSE(CONTROL!$C$42, 22.4558, 22.4558) * CHOOSE(CONTROL!$C$21, $C$9, 100%, $E$9)</f>
        <v>22.4558</v>
      </c>
      <c r="P464" s="14">
        <f>CHOOSE(CONTROL!$C$42, 22.2627, 22.2627) * CHOOSE(CONTROL!$C$21, $C$9, 100%, $E$9)</f>
        <v>22.262699999999999</v>
      </c>
      <c r="Q464" s="14">
        <f>CHOOSE(CONTROL!$C$42, 23.0505, 23.0505) * CHOOSE(CONTROL!$C$21, $C$9, 100%, $E$9)</f>
        <v>23.0505</v>
      </c>
      <c r="R464" s="14">
        <f>CHOOSE(CONTROL!$C$42, 23.6951, 23.6951) * CHOOSE(CONTROL!$C$21, $C$9, 100%, $E$9)</f>
        <v>23.6951</v>
      </c>
      <c r="S464" s="14">
        <f>CHOOSE(CONTROL!$C$42, 21.6788, 21.6788) * CHOOSE(CONTROL!$C$21, $C$9, 100%, $E$9)</f>
        <v>21.678799999999999</v>
      </c>
      <c r="T4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64" s="56">
        <f>(1000*CHOOSE(CONTROL!$C$42, 695, 695)*CHOOSE(CONTROL!$C$42, 0.5599, 0.5599)*CHOOSE(CONTROL!$C$42, 31, 31))/1000000</f>
        <v>12.063045499999998</v>
      </c>
      <c r="V464" s="56">
        <f>(1000*CHOOSE(CONTROL!$C$42, 500, 500)*CHOOSE(CONTROL!$C$42, 0.275, 0.275)*CHOOSE(CONTROL!$C$42, 31, 31))/1000000</f>
        <v>4.2625000000000002</v>
      </c>
      <c r="W464" s="56">
        <f>(1000*CHOOSE(CONTROL!$C$42, 0.1146, 0.1146)*CHOOSE(CONTROL!$C$42, 121.5, 121.5)*CHOOSE(CONTROL!$C$42, 31, 31))/1000000</f>
        <v>0.43164089999999994</v>
      </c>
      <c r="X464" s="56">
        <f>(31*0.1790888*245000/1000000)+(31*0.2374*100000/1000000)</f>
        <v>2.0961194359999999</v>
      </c>
      <c r="Y464" s="56"/>
      <c r="Z464" s="14"/>
      <c r="AA464" s="55"/>
      <c r="AB464" s="49">
        <f>(B464*194.205+C464*267.466+D464*133.845+E464*53.484+F464*40+G464*185+H464*0+I464*100+J464*300)/(194.205+267.466+133.845+53.484+0+40+185+100+300)</f>
        <v>22.631593548665617</v>
      </c>
      <c r="AC464" s="45">
        <f>(M464*'RAP TEMPLATE-GAS AVAILABILITY'!O463+N464*'RAP TEMPLATE-GAS AVAILABILITY'!P463+O464*'RAP TEMPLATE-GAS AVAILABILITY'!Q463+P464*'RAP TEMPLATE-GAS AVAILABILITY'!R463)/('RAP TEMPLATE-GAS AVAILABILITY'!O463+'RAP TEMPLATE-GAS AVAILABILITY'!P463+'RAP TEMPLATE-GAS AVAILABILITY'!Q463+'RAP TEMPLATE-GAS AVAILABILITY'!R463)</f>
        <v>22.278294964028778</v>
      </c>
    </row>
    <row r="465" spans="1:29" ht="15.75" x14ac:dyDescent="0.25">
      <c r="A465" s="33">
        <v>55061</v>
      </c>
      <c r="B465" s="14">
        <f>CHOOSE(CONTROL!$C$42, 21.1395, 21.1395) * CHOOSE(CONTROL!$C$21, $C$9, 100%, $E$9)</f>
        <v>21.139500000000002</v>
      </c>
      <c r="C465" s="14">
        <f>CHOOSE(CONTROL!$C$42, 21.1475, 21.1475) * CHOOSE(CONTROL!$C$21, $C$9, 100%, $E$9)</f>
        <v>21.147500000000001</v>
      </c>
      <c r="D465" s="14">
        <f>CHOOSE(CONTROL!$C$42, 21.4066, 21.4066) * CHOOSE(CONTROL!$C$21, $C$9, 100%, $E$9)</f>
        <v>21.406600000000001</v>
      </c>
      <c r="E465" s="14">
        <f>CHOOSE(CONTROL!$C$42, 21.4381, 21.4381) * CHOOSE(CONTROL!$C$21, $C$9, 100%, $E$9)</f>
        <v>21.438099999999999</v>
      </c>
      <c r="F465" s="14">
        <f>CHOOSE(CONTROL!$C$42, 21.162, 21.162)*CHOOSE(CONTROL!$C$21, $C$9, 100%, $E$9)</f>
        <v>21.161999999999999</v>
      </c>
      <c r="G465" s="14">
        <f>CHOOSE(CONTROL!$C$42, 21.1792, 21.1792)*CHOOSE(CONTROL!$C$21, $C$9, 100%, $E$9)</f>
        <v>21.179200000000002</v>
      </c>
      <c r="H465" s="14">
        <f>CHOOSE(CONTROL!$C$42, 21.4267, 21.4267) * CHOOSE(CONTROL!$C$21, $C$9, 100%, $E$9)</f>
        <v>21.4267</v>
      </c>
      <c r="I465" s="14">
        <f>CHOOSE(CONTROL!$C$42, 21.2268, 21.2268)* CHOOSE(CONTROL!$C$21, $C$9, 100%, $E$9)</f>
        <v>21.226800000000001</v>
      </c>
      <c r="J465" s="14">
        <f>CHOOSE(CONTROL!$C$42, 21.155, 21.155)* CHOOSE(CONTROL!$C$21, $C$9, 100%, $E$9)</f>
        <v>21.155000000000001</v>
      </c>
      <c r="K465" s="52">
        <f>CHOOSE(CONTROL!$C$42, 21.2229, 21.2229) * CHOOSE(CONTROL!$C$21, $C$9, 100%, $E$9)</f>
        <v>21.222899999999999</v>
      </c>
      <c r="L465" s="14">
        <f>CHOOSE(CONTROL!$C$42, 22.0137, 22.0137) * CHOOSE(CONTROL!$C$21, $C$9, 100%, $E$9)</f>
        <v>22.0137</v>
      </c>
      <c r="M465" s="14">
        <f>CHOOSE(CONTROL!$C$42, 20.7822, 20.7822) * CHOOSE(CONTROL!$C$21, $C$9, 100%, $E$9)</f>
        <v>20.7822</v>
      </c>
      <c r="N465" s="14">
        <f>CHOOSE(CONTROL!$C$42, 20.7991, 20.7991) * CHOOSE(CONTROL!$C$21, $C$9, 100%, $E$9)</f>
        <v>20.799099999999999</v>
      </c>
      <c r="O465" s="14">
        <f>CHOOSE(CONTROL!$C$42, 21.049, 21.049) * CHOOSE(CONTROL!$C$21, $C$9, 100%, $E$9)</f>
        <v>21.048999999999999</v>
      </c>
      <c r="P465" s="14">
        <f>CHOOSE(CONTROL!$C$42, 20.8516, 20.8516) * CHOOSE(CONTROL!$C$21, $C$9, 100%, $E$9)</f>
        <v>20.851600000000001</v>
      </c>
      <c r="Q465" s="14">
        <f>CHOOSE(CONTROL!$C$42, 21.6437, 21.6437) * CHOOSE(CONTROL!$C$21, $C$9, 100%, $E$9)</f>
        <v>21.643699999999999</v>
      </c>
      <c r="R465" s="14">
        <f>CHOOSE(CONTROL!$C$42, 22.2848, 22.2848) * CHOOSE(CONTROL!$C$21, $C$9, 100%, $E$9)</f>
        <v>22.284800000000001</v>
      </c>
      <c r="S465" s="14">
        <f>CHOOSE(CONTROL!$C$42, 20.3023, 20.3023) * CHOOSE(CONTROL!$C$21, $C$9, 100%, $E$9)</f>
        <v>20.302299999999999</v>
      </c>
      <c r="T4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65" s="56">
        <f>(1000*CHOOSE(CONTROL!$C$42, 695, 695)*CHOOSE(CONTROL!$C$42, 0.5599, 0.5599)*CHOOSE(CONTROL!$C$42, 30, 30))/1000000</f>
        <v>11.673914999999997</v>
      </c>
      <c r="V465" s="56">
        <f>(1000*CHOOSE(CONTROL!$C$42, 500, 500)*CHOOSE(CONTROL!$C$42, 0.275, 0.275)*CHOOSE(CONTROL!$C$42, 30, 30))/1000000</f>
        <v>4.125</v>
      </c>
      <c r="W465" s="56">
        <f>(1000*CHOOSE(CONTROL!$C$42, 0.1146, 0.1146)*CHOOSE(CONTROL!$C$42, 121.5, 121.5)*CHOOSE(CONTROL!$C$42, 30, 30))/1000000</f>
        <v>0.417717</v>
      </c>
      <c r="X465" s="56">
        <f>(30*0.1790888*245000/1000000)+(30*0.2374*100000/1000000)</f>
        <v>2.0285026799999999</v>
      </c>
      <c r="Y465" s="56"/>
      <c r="Z465" s="14"/>
      <c r="AA465" s="55"/>
      <c r="AB465" s="49">
        <f>(B465*194.205+C465*267.466+D465*133.845+E465*53.484+F465*40+G465*185+H465*0+I465*100+J465*300)/(194.205+267.466+133.845+53.484+0+40+185+100+300)</f>
        <v>21.198750039167976</v>
      </c>
      <c r="AC465" s="45">
        <f>(M465*'RAP TEMPLATE-GAS AVAILABILITY'!O464+N465*'RAP TEMPLATE-GAS AVAILABILITY'!P464+O465*'RAP TEMPLATE-GAS AVAILABILITY'!Q464+P465*'RAP TEMPLATE-GAS AVAILABILITY'!R464)/('RAP TEMPLATE-GAS AVAILABILITY'!O464+'RAP TEMPLATE-GAS AVAILABILITY'!P464+'RAP TEMPLATE-GAS AVAILABILITY'!Q464+'RAP TEMPLATE-GAS AVAILABILITY'!R464)</f>
        <v>20.870933812949637</v>
      </c>
    </row>
    <row r="466" spans="1:29" ht="15.75" x14ac:dyDescent="0.25">
      <c r="A466" s="33">
        <v>55092</v>
      </c>
      <c r="B466" s="14">
        <f>CHOOSE(CONTROL!$C$42, 20.7088, 20.7088) * CHOOSE(CONTROL!$C$21, $C$9, 100%, $E$9)</f>
        <v>20.7088</v>
      </c>
      <c r="C466" s="14">
        <f>CHOOSE(CONTROL!$C$42, 20.7141, 20.7141) * CHOOSE(CONTROL!$C$21, $C$9, 100%, $E$9)</f>
        <v>20.714099999999998</v>
      </c>
      <c r="D466" s="14">
        <f>CHOOSE(CONTROL!$C$42, 20.9782, 20.9782) * CHOOSE(CONTROL!$C$21, $C$9, 100%, $E$9)</f>
        <v>20.978200000000001</v>
      </c>
      <c r="E466" s="14">
        <f>CHOOSE(CONTROL!$C$42, 21.0073, 21.0073) * CHOOSE(CONTROL!$C$21, $C$9, 100%, $E$9)</f>
        <v>21.007300000000001</v>
      </c>
      <c r="F466" s="14">
        <f>CHOOSE(CONTROL!$C$42, 20.7334, 20.7334)*CHOOSE(CONTROL!$C$21, $C$9, 100%, $E$9)</f>
        <v>20.7334</v>
      </c>
      <c r="G466" s="14">
        <f>CHOOSE(CONTROL!$C$42, 20.7505, 20.7505)*CHOOSE(CONTROL!$C$21, $C$9, 100%, $E$9)</f>
        <v>20.750499999999999</v>
      </c>
      <c r="H466" s="14">
        <f>CHOOSE(CONTROL!$C$42, 20.9978, 20.9978) * CHOOSE(CONTROL!$C$21, $C$9, 100%, $E$9)</f>
        <v>20.997800000000002</v>
      </c>
      <c r="I466" s="14">
        <f>CHOOSE(CONTROL!$C$42, 20.7965, 20.7965)* CHOOSE(CONTROL!$C$21, $C$9, 100%, $E$9)</f>
        <v>20.796500000000002</v>
      </c>
      <c r="J466" s="14">
        <f>CHOOSE(CONTROL!$C$42, 20.7264, 20.7264)* CHOOSE(CONTROL!$C$21, $C$9, 100%, $E$9)</f>
        <v>20.726400000000002</v>
      </c>
      <c r="K466" s="52">
        <f>CHOOSE(CONTROL!$C$42, 20.7926, 20.7926) * CHOOSE(CONTROL!$C$21, $C$9, 100%, $E$9)</f>
        <v>20.7926</v>
      </c>
      <c r="L466" s="14">
        <f>CHOOSE(CONTROL!$C$42, 21.5848, 21.5848) * CHOOSE(CONTROL!$C$21, $C$9, 100%, $E$9)</f>
        <v>21.584800000000001</v>
      </c>
      <c r="M466" s="14">
        <f>CHOOSE(CONTROL!$C$42, 20.3613, 20.3613) * CHOOSE(CONTROL!$C$21, $C$9, 100%, $E$9)</f>
        <v>20.3613</v>
      </c>
      <c r="N466" s="14">
        <f>CHOOSE(CONTROL!$C$42, 20.3781, 20.3781) * CHOOSE(CONTROL!$C$21, $C$9, 100%, $E$9)</f>
        <v>20.3781</v>
      </c>
      <c r="O466" s="14">
        <f>CHOOSE(CONTROL!$C$42, 20.6278, 20.6278) * CHOOSE(CONTROL!$C$21, $C$9, 100%, $E$9)</f>
        <v>20.627800000000001</v>
      </c>
      <c r="P466" s="14">
        <f>CHOOSE(CONTROL!$C$42, 20.4291, 20.4291) * CHOOSE(CONTROL!$C$21, $C$9, 100%, $E$9)</f>
        <v>20.429099999999998</v>
      </c>
      <c r="Q466" s="14">
        <f>CHOOSE(CONTROL!$C$42, 21.2225, 21.2225) * CHOOSE(CONTROL!$C$21, $C$9, 100%, $E$9)</f>
        <v>21.2225</v>
      </c>
      <c r="R466" s="14">
        <f>CHOOSE(CONTROL!$C$42, 21.8625, 21.8625) * CHOOSE(CONTROL!$C$21, $C$9, 100%, $E$9)</f>
        <v>21.862500000000001</v>
      </c>
      <c r="S466" s="14">
        <f>CHOOSE(CONTROL!$C$42, 19.8901, 19.8901) * CHOOSE(CONTROL!$C$21, $C$9, 100%, $E$9)</f>
        <v>19.8901</v>
      </c>
      <c r="T4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6" s="56">
        <f>(1000*CHOOSE(CONTROL!$C$42, 695, 695)*CHOOSE(CONTROL!$C$42, 0.5599, 0.5599)*CHOOSE(CONTROL!$C$42, 31, 31))/1000000</f>
        <v>12.063045499999998</v>
      </c>
      <c r="V466" s="56">
        <f>(1000*CHOOSE(CONTROL!$C$42, 500, 500)*CHOOSE(CONTROL!$C$42, 0.275, 0.275)*CHOOSE(CONTROL!$C$42, 31, 31))/1000000</f>
        <v>4.2625000000000002</v>
      </c>
      <c r="W466" s="56">
        <f>(1000*CHOOSE(CONTROL!$C$42, 0.1146, 0.1146)*CHOOSE(CONTROL!$C$42, 121.5, 121.5)*CHOOSE(CONTROL!$C$42, 31, 31))/1000000</f>
        <v>0.43164089999999994</v>
      </c>
      <c r="X466" s="56">
        <f>(31*0.1790888*245000/1000000)+(31*0.2374*100000/1000000)</f>
        <v>2.0961194359999999</v>
      </c>
      <c r="Y466" s="56"/>
      <c r="Z466" s="14"/>
      <c r="AA466" s="55"/>
      <c r="AB466" s="49">
        <f>(B466*131.881+C466*277.167+D466*79.08+E466*125.872+F466*40+G466*185+H466*0+I466*100+J466*300)/(131.881+277.167+79.08+125.872+0+40+185+100+300)</f>
        <v>20.77586572163035</v>
      </c>
      <c r="AC466" s="45">
        <f>(M466*'RAP TEMPLATE-GAS AVAILABILITY'!O465+N466*'RAP TEMPLATE-GAS AVAILABILITY'!P465+O466*'RAP TEMPLATE-GAS AVAILABILITY'!Q465+P466*'RAP TEMPLATE-GAS AVAILABILITY'!R465)/('RAP TEMPLATE-GAS AVAILABILITY'!O465+'RAP TEMPLATE-GAS AVAILABILITY'!P465+'RAP TEMPLATE-GAS AVAILABILITY'!Q465+'RAP TEMPLATE-GAS AVAILABILITY'!R465)</f>
        <v>20.449696402877699</v>
      </c>
    </row>
    <row r="467" spans="1:29" ht="15.75" x14ac:dyDescent="0.25">
      <c r="A467" s="33">
        <v>55122</v>
      </c>
      <c r="B467" s="14">
        <f>CHOOSE(CONTROL!$C$42, 21.2537, 21.2537) * CHOOSE(CONTROL!$C$21, $C$9, 100%, $E$9)</f>
        <v>21.253699999999998</v>
      </c>
      <c r="C467" s="14">
        <f>CHOOSE(CONTROL!$C$42, 21.2587, 21.2587) * CHOOSE(CONTROL!$C$21, $C$9, 100%, $E$9)</f>
        <v>21.258700000000001</v>
      </c>
      <c r="D467" s="14">
        <f>CHOOSE(CONTROL!$C$42, 21.3418, 21.3418) * CHOOSE(CONTROL!$C$21, $C$9, 100%, $E$9)</f>
        <v>21.341799999999999</v>
      </c>
      <c r="E467" s="14">
        <f>CHOOSE(CONTROL!$C$42, 21.3759, 21.3759) * CHOOSE(CONTROL!$C$21, $C$9, 100%, $E$9)</f>
        <v>21.375900000000001</v>
      </c>
      <c r="F467" s="14">
        <f>CHOOSE(CONTROL!$C$42, 21.2813, 21.2813)*CHOOSE(CONTROL!$C$21, $C$9, 100%, $E$9)</f>
        <v>21.281300000000002</v>
      </c>
      <c r="G467" s="14">
        <f>CHOOSE(CONTROL!$C$42, 21.2987, 21.2987)*CHOOSE(CONTROL!$C$21, $C$9, 100%, $E$9)</f>
        <v>21.2987</v>
      </c>
      <c r="H467" s="14">
        <f>CHOOSE(CONTROL!$C$42, 21.3651, 21.3651) * CHOOSE(CONTROL!$C$21, $C$9, 100%, $E$9)</f>
        <v>21.365100000000002</v>
      </c>
      <c r="I467" s="14">
        <f>CHOOSE(CONTROL!$C$42, 21.3399, 21.3399)* CHOOSE(CONTROL!$C$21, $C$9, 100%, $E$9)</f>
        <v>21.3399</v>
      </c>
      <c r="J467" s="14">
        <f>CHOOSE(CONTROL!$C$42, 21.2743, 21.2743)* CHOOSE(CONTROL!$C$21, $C$9, 100%, $E$9)</f>
        <v>21.2743</v>
      </c>
      <c r="K467" s="52">
        <f>CHOOSE(CONTROL!$C$42, 21.336, 21.336) * CHOOSE(CONTROL!$C$21, $C$9, 100%, $E$9)</f>
        <v>21.335999999999999</v>
      </c>
      <c r="L467" s="14">
        <f>CHOOSE(CONTROL!$C$42, 21.9521, 21.9521) * CHOOSE(CONTROL!$C$21, $C$9, 100%, $E$9)</f>
        <v>21.952100000000002</v>
      </c>
      <c r="M467" s="14">
        <f>CHOOSE(CONTROL!$C$42, 20.8993, 20.8993) * CHOOSE(CONTROL!$C$21, $C$9, 100%, $E$9)</f>
        <v>20.8993</v>
      </c>
      <c r="N467" s="14">
        <f>CHOOSE(CONTROL!$C$42, 20.9164, 20.9164) * CHOOSE(CONTROL!$C$21, $C$9, 100%, $E$9)</f>
        <v>20.916399999999999</v>
      </c>
      <c r="O467" s="14">
        <f>CHOOSE(CONTROL!$C$42, 20.9885, 20.9885) * CHOOSE(CONTROL!$C$21, $C$9, 100%, $E$9)</f>
        <v>20.988499999999998</v>
      </c>
      <c r="P467" s="14">
        <f>CHOOSE(CONTROL!$C$42, 20.9626, 20.9626) * CHOOSE(CONTROL!$C$21, $C$9, 100%, $E$9)</f>
        <v>20.962599999999998</v>
      </c>
      <c r="Q467" s="14">
        <f>CHOOSE(CONTROL!$C$42, 21.5832, 21.5832) * CHOOSE(CONTROL!$C$21, $C$9, 100%, $E$9)</f>
        <v>21.583200000000001</v>
      </c>
      <c r="R467" s="14">
        <f>CHOOSE(CONTROL!$C$42, 22.2242, 22.2242) * CHOOSE(CONTROL!$C$21, $C$9, 100%, $E$9)</f>
        <v>22.2242</v>
      </c>
      <c r="S467" s="14">
        <f>CHOOSE(CONTROL!$C$42, 20.4141, 20.4141) * CHOOSE(CONTROL!$C$21, $C$9, 100%, $E$9)</f>
        <v>20.414100000000001</v>
      </c>
      <c r="T4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67" s="56">
        <f>(1000*CHOOSE(CONTROL!$C$42, 695, 695)*CHOOSE(CONTROL!$C$42, 0.5599, 0.5599)*CHOOSE(CONTROL!$C$42, 30, 30))/1000000</f>
        <v>11.673914999999997</v>
      </c>
      <c r="V467" s="56">
        <f>(1000*CHOOSE(CONTROL!$C$42, 500, 500)*CHOOSE(CONTROL!$C$42, 0.275, 0.275)*CHOOSE(CONTROL!$C$42, 30, 30))/1000000</f>
        <v>4.125</v>
      </c>
      <c r="W467" s="56">
        <f>(1000*CHOOSE(CONTROL!$C$42, 0.1146, 0.1146)*CHOOSE(CONTROL!$C$42, 121.5, 121.5)*CHOOSE(CONTROL!$C$42, 30, 30))/1000000</f>
        <v>0.417717</v>
      </c>
      <c r="X467" s="56">
        <f>(30*0.1790888*100000/1000000)+(30*0.2374*100000/1000000)</f>
        <v>1.2494664</v>
      </c>
      <c r="Y467" s="56"/>
      <c r="Z467" s="14"/>
      <c r="AA467" s="55"/>
      <c r="AB467" s="49">
        <f>(B467*122.58+C467*297.941+D467*89.177+E467*40.302+F467*40+G467*160+H467*0+I467*100+J467*300)/(122.58+297.941+89.177+40.302+0+40+160+100+300)</f>
        <v>21.286200089652176</v>
      </c>
      <c r="AC467" s="45">
        <f>(M467*'RAP TEMPLATE-GAS AVAILABILITY'!O466+N467*'RAP TEMPLATE-GAS AVAILABILITY'!P466+O467*'RAP TEMPLATE-GAS AVAILABILITY'!Q466+P467*'RAP TEMPLATE-GAS AVAILABILITY'!R466)/('RAP TEMPLATE-GAS AVAILABILITY'!O466+'RAP TEMPLATE-GAS AVAILABILITY'!P466+'RAP TEMPLATE-GAS AVAILABILITY'!Q466+'RAP TEMPLATE-GAS AVAILABILITY'!R466)</f>
        <v>20.949820863309352</v>
      </c>
    </row>
    <row r="468" spans="1:29" ht="15.75" x14ac:dyDescent="0.25">
      <c r="A468" s="33">
        <v>55153</v>
      </c>
      <c r="B468" s="14">
        <f>CHOOSE(CONTROL!$C$42, 22.7021, 22.7021) * CHOOSE(CONTROL!$C$21, $C$9, 100%, $E$9)</f>
        <v>22.702100000000002</v>
      </c>
      <c r="C468" s="14">
        <f>CHOOSE(CONTROL!$C$42, 22.7071, 22.7071) * CHOOSE(CONTROL!$C$21, $C$9, 100%, $E$9)</f>
        <v>22.707100000000001</v>
      </c>
      <c r="D468" s="14">
        <f>CHOOSE(CONTROL!$C$42, 22.7902, 22.7902) * CHOOSE(CONTROL!$C$21, $C$9, 100%, $E$9)</f>
        <v>22.790199999999999</v>
      </c>
      <c r="E468" s="14">
        <f>CHOOSE(CONTROL!$C$42, 22.8243, 22.8243) * CHOOSE(CONTROL!$C$21, $C$9, 100%, $E$9)</f>
        <v>22.824300000000001</v>
      </c>
      <c r="F468" s="14">
        <f>CHOOSE(CONTROL!$C$42, 22.7321, 22.7321)*CHOOSE(CONTROL!$C$21, $C$9, 100%, $E$9)</f>
        <v>22.732099999999999</v>
      </c>
      <c r="G468" s="14">
        <f>CHOOSE(CONTROL!$C$42, 22.7501, 22.7501)*CHOOSE(CONTROL!$C$21, $C$9, 100%, $E$9)</f>
        <v>22.7501</v>
      </c>
      <c r="H468" s="14">
        <f>CHOOSE(CONTROL!$C$42, 22.8135, 22.8135) * CHOOSE(CONTROL!$C$21, $C$9, 100%, $E$9)</f>
        <v>22.813500000000001</v>
      </c>
      <c r="I468" s="14">
        <f>CHOOSE(CONTROL!$C$42, 22.7928, 22.7928)* CHOOSE(CONTROL!$C$21, $C$9, 100%, $E$9)</f>
        <v>22.7928</v>
      </c>
      <c r="J468" s="14">
        <f>CHOOSE(CONTROL!$C$42, 22.7251, 22.7251)* CHOOSE(CONTROL!$C$21, $C$9, 100%, $E$9)</f>
        <v>22.725100000000001</v>
      </c>
      <c r="K468" s="52">
        <f>CHOOSE(CONTROL!$C$42, 22.7889, 22.7889) * CHOOSE(CONTROL!$C$21, $C$9, 100%, $E$9)</f>
        <v>22.788900000000002</v>
      </c>
      <c r="L468" s="14">
        <f>CHOOSE(CONTROL!$C$42, 23.4005, 23.4005) * CHOOSE(CONTROL!$C$21, $C$9, 100%, $E$9)</f>
        <v>23.400500000000001</v>
      </c>
      <c r="M468" s="14">
        <f>CHOOSE(CONTROL!$C$42, 22.3241, 22.3241) * CHOOSE(CONTROL!$C$21, $C$9, 100%, $E$9)</f>
        <v>22.324100000000001</v>
      </c>
      <c r="N468" s="14">
        <f>CHOOSE(CONTROL!$C$42, 22.3418, 22.3418) * CHOOSE(CONTROL!$C$21, $C$9, 100%, $E$9)</f>
        <v>22.341799999999999</v>
      </c>
      <c r="O468" s="14">
        <f>CHOOSE(CONTROL!$C$42, 22.4109, 22.4109) * CHOOSE(CONTROL!$C$21, $C$9, 100%, $E$9)</f>
        <v>22.410900000000002</v>
      </c>
      <c r="P468" s="14">
        <f>CHOOSE(CONTROL!$C$42, 22.3893, 22.3893) * CHOOSE(CONTROL!$C$21, $C$9, 100%, $E$9)</f>
        <v>22.389299999999999</v>
      </c>
      <c r="Q468" s="14">
        <f>CHOOSE(CONTROL!$C$42, 23.0056, 23.0056) * CHOOSE(CONTROL!$C$21, $C$9, 100%, $E$9)</f>
        <v>23.005600000000001</v>
      </c>
      <c r="R468" s="14">
        <f>CHOOSE(CONTROL!$C$42, 23.6501, 23.6501) * CHOOSE(CONTROL!$C$21, $C$9, 100%, $E$9)</f>
        <v>23.650099999999998</v>
      </c>
      <c r="S468" s="14">
        <f>CHOOSE(CONTROL!$C$42, 21.8059, 21.8059) * CHOOSE(CONTROL!$C$21, $C$9, 100%, $E$9)</f>
        <v>21.805900000000001</v>
      </c>
      <c r="T4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68" s="56">
        <f>(1000*CHOOSE(CONTROL!$C$42, 695, 695)*CHOOSE(CONTROL!$C$42, 0.5599, 0.5599)*CHOOSE(CONTROL!$C$42, 31, 31))/1000000</f>
        <v>12.063045499999998</v>
      </c>
      <c r="V468" s="56">
        <f>(1000*CHOOSE(CONTROL!$C$42, 500, 500)*CHOOSE(CONTROL!$C$42, 0.275, 0.275)*CHOOSE(CONTROL!$C$42, 31, 31))/1000000</f>
        <v>4.2625000000000002</v>
      </c>
      <c r="W468" s="56">
        <f>(1000*CHOOSE(CONTROL!$C$42, 0.1146, 0.1146)*CHOOSE(CONTROL!$C$42, 121.5, 121.5)*CHOOSE(CONTROL!$C$42, 31, 31))/1000000</f>
        <v>0.43164089999999994</v>
      </c>
      <c r="X468" s="56">
        <f>(31*0.1790888*100000/1000000)+(31*0.2374*100000/1000000)</f>
        <v>1.2911152800000001</v>
      </c>
      <c r="Y468" s="56"/>
      <c r="Z468" s="14"/>
      <c r="AA468" s="55"/>
      <c r="AB468" s="49">
        <f>(B468*122.58+C468*297.941+D468*89.177+E468*40.302+F468*40+G468*160+H468*0+I468*100+J468*300)/(122.58+297.941+89.177+40.302+0+40+160+100+300)</f>
        <v>22.736118350521739</v>
      </c>
      <c r="AC468" s="45">
        <f>(M468*'RAP TEMPLATE-GAS AVAILABILITY'!O467+N468*'RAP TEMPLATE-GAS AVAILABILITY'!P467+O468*'RAP TEMPLATE-GAS AVAILABILITY'!Q467+P468*'RAP TEMPLATE-GAS AVAILABILITY'!R467)/('RAP TEMPLATE-GAS AVAILABILITY'!O467+'RAP TEMPLATE-GAS AVAILABILITY'!P467+'RAP TEMPLATE-GAS AVAILABILITY'!Q467+'RAP TEMPLATE-GAS AVAILABILITY'!R467)</f>
        <v>22.373841007194248</v>
      </c>
    </row>
    <row r="469" spans="1:29" ht="15.75" x14ac:dyDescent="0.25">
      <c r="A469" s="33">
        <v>55184</v>
      </c>
      <c r="B469" s="14">
        <f>CHOOSE(CONTROL!$C$42, 24.5833, 24.5833) * CHOOSE(CONTROL!$C$21, $C$9, 100%, $E$9)</f>
        <v>24.583300000000001</v>
      </c>
      <c r="C469" s="14">
        <f>CHOOSE(CONTROL!$C$42, 24.5884, 24.5884) * CHOOSE(CONTROL!$C$21, $C$9, 100%, $E$9)</f>
        <v>24.5884</v>
      </c>
      <c r="D469" s="14">
        <f>CHOOSE(CONTROL!$C$42, 24.6818, 24.6818) * CHOOSE(CONTROL!$C$21, $C$9, 100%, $E$9)</f>
        <v>24.681799999999999</v>
      </c>
      <c r="E469" s="14">
        <f>CHOOSE(CONTROL!$C$42, 24.7159, 24.7159) * CHOOSE(CONTROL!$C$21, $C$9, 100%, $E$9)</f>
        <v>24.715900000000001</v>
      </c>
      <c r="F469" s="14">
        <f>CHOOSE(CONTROL!$C$42, 24.6106, 24.6106)*CHOOSE(CONTROL!$C$21, $C$9, 100%, $E$9)</f>
        <v>24.610600000000002</v>
      </c>
      <c r="G469" s="14">
        <f>CHOOSE(CONTROL!$C$42, 24.6286, 24.6286)*CHOOSE(CONTROL!$C$21, $C$9, 100%, $E$9)</f>
        <v>24.628599999999999</v>
      </c>
      <c r="H469" s="14">
        <f>CHOOSE(CONTROL!$C$42, 24.7051, 24.7051) * CHOOSE(CONTROL!$C$21, $C$9, 100%, $E$9)</f>
        <v>24.705100000000002</v>
      </c>
      <c r="I469" s="14">
        <f>CHOOSE(CONTROL!$C$42, 24.6862, 24.6862)* CHOOSE(CONTROL!$C$21, $C$9, 100%, $E$9)</f>
        <v>24.686199999999999</v>
      </c>
      <c r="J469" s="14">
        <f>CHOOSE(CONTROL!$C$42, 24.6036, 24.6036)* CHOOSE(CONTROL!$C$21, $C$9, 100%, $E$9)</f>
        <v>24.6036</v>
      </c>
      <c r="K469" s="52">
        <f>CHOOSE(CONTROL!$C$42, 24.6823, 24.6823) * CHOOSE(CONTROL!$C$21, $C$9, 100%, $E$9)</f>
        <v>24.682300000000001</v>
      </c>
      <c r="L469" s="14">
        <f>CHOOSE(CONTROL!$C$42, 25.2921, 25.2921) * CHOOSE(CONTROL!$C$21, $C$9, 100%, $E$9)</f>
        <v>25.292100000000001</v>
      </c>
      <c r="M469" s="14">
        <f>CHOOSE(CONTROL!$C$42, 24.1688, 24.1688) * CHOOSE(CONTROL!$C$21, $C$9, 100%, $E$9)</f>
        <v>24.168800000000001</v>
      </c>
      <c r="N469" s="14">
        <f>CHOOSE(CONTROL!$C$42, 24.1864, 24.1864) * CHOOSE(CONTROL!$C$21, $C$9, 100%, $E$9)</f>
        <v>24.186399999999999</v>
      </c>
      <c r="O469" s="14">
        <f>CHOOSE(CONTROL!$C$42, 24.2685, 24.2685) * CHOOSE(CONTROL!$C$21, $C$9, 100%, $E$9)</f>
        <v>24.2685</v>
      </c>
      <c r="P469" s="14">
        <f>CHOOSE(CONTROL!$C$42, 24.2486, 24.2486) * CHOOSE(CONTROL!$C$21, $C$9, 100%, $E$9)</f>
        <v>24.2486</v>
      </c>
      <c r="Q469" s="14">
        <f>CHOOSE(CONTROL!$C$42, 24.8632, 24.8632) * CHOOSE(CONTROL!$C$21, $C$9, 100%, $E$9)</f>
        <v>24.863199999999999</v>
      </c>
      <c r="R469" s="14">
        <f>CHOOSE(CONTROL!$C$42, 25.5123, 25.5123) * CHOOSE(CONTROL!$C$21, $C$9, 100%, $E$9)</f>
        <v>25.5123</v>
      </c>
      <c r="S469" s="14">
        <f>CHOOSE(CONTROL!$C$42, 23.6136, 23.6136) * CHOOSE(CONTROL!$C$21, $C$9, 100%, $E$9)</f>
        <v>23.613600000000002</v>
      </c>
      <c r="T46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69" s="56">
        <f>(1000*CHOOSE(CONTROL!$C$42, 695, 695)*CHOOSE(CONTROL!$C$42, 0.5599, 0.5599)*CHOOSE(CONTROL!$C$42, 31, 31))/1000000</f>
        <v>12.063045499999998</v>
      </c>
      <c r="V469" s="56">
        <f>(1000*CHOOSE(CONTROL!$C$42, 500, 500)*CHOOSE(CONTROL!$C$42, 0.275, 0.275)*CHOOSE(CONTROL!$C$42, 31, 31))/1000000</f>
        <v>4.2625000000000002</v>
      </c>
      <c r="W469" s="56">
        <f>(1000*CHOOSE(CONTROL!$C$42, 0.1146, 0.1146)*CHOOSE(CONTROL!$C$42, 121.5, 121.5)*CHOOSE(CONTROL!$C$42, 31, 31))/1000000</f>
        <v>0.43164089999999994</v>
      </c>
      <c r="X469" s="56">
        <f>(31*0.1790888*100000/1000000)+(31*0.2374*100000/1000000)</f>
        <v>1.2911152800000001</v>
      </c>
      <c r="Y469" s="56"/>
      <c r="Z469" s="14"/>
      <c r="AA469" s="55"/>
      <c r="AB469" s="49">
        <f>(B469*122.58+C469*297.941+D469*89.177+E469*40.302+F469*40+G469*160+H469*0+I469*100+J469*300)/(122.58+297.941+89.177+40.302+0+40+160+100+300)</f>
        <v>24.618402155478257</v>
      </c>
      <c r="AC469" s="45">
        <f>(M469*'RAP TEMPLATE-GAS AVAILABILITY'!O468+N469*'RAP TEMPLATE-GAS AVAILABILITY'!P468+O469*'RAP TEMPLATE-GAS AVAILABILITY'!Q468+P469*'RAP TEMPLATE-GAS AVAILABILITY'!R468)/('RAP TEMPLATE-GAS AVAILABILITY'!O468+'RAP TEMPLATE-GAS AVAILABILITY'!P468+'RAP TEMPLATE-GAS AVAILABILITY'!Q468+'RAP TEMPLATE-GAS AVAILABILITY'!R468)</f>
        <v>24.226482733812951</v>
      </c>
    </row>
    <row r="470" spans="1:29" ht="15.75" x14ac:dyDescent="0.25">
      <c r="A470" s="33">
        <v>55212</v>
      </c>
      <c r="B470" s="14">
        <f>CHOOSE(CONTROL!$C$42, 25.0208, 25.0208) * CHOOSE(CONTROL!$C$21, $C$9, 100%, $E$9)</f>
        <v>25.020800000000001</v>
      </c>
      <c r="C470" s="14">
        <f>CHOOSE(CONTROL!$C$42, 25.0258, 25.0258) * CHOOSE(CONTROL!$C$21, $C$9, 100%, $E$9)</f>
        <v>25.0258</v>
      </c>
      <c r="D470" s="14">
        <f>CHOOSE(CONTROL!$C$42, 25.1193, 25.1193) * CHOOSE(CONTROL!$C$21, $C$9, 100%, $E$9)</f>
        <v>25.119299999999999</v>
      </c>
      <c r="E470" s="14">
        <f>CHOOSE(CONTROL!$C$42, 25.1534, 25.1534) * CHOOSE(CONTROL!$C$21, $C$9, 100%, $E$9)</f>
        <v>25.153400000000001</v>
      </c>
      <c r="F470" s="14">
        <f>CHOOSE(CONTROL!$C$42, 25.0477, 25.0477)*CHOOSE(CONTROL!$C$21, $C$9, 100%, $E$9)</f>
        <v>25.047699999999999</v>
      </c>
      <c r="G470" s="14">
        <f>CHOOSE(CONTROL!$C$42, 25.0656, 25.0656)*CHOOSE(CONTROL!$C$21, $C$9, 100%, $E$9)</f>
        <v>25.0656</v>
      </c>
      <c r="H470" s="14">
        <f>CHOOSE(CONTROL!$C$42, 25.1426, 25.1426) * CHOOSE(CONTROL!$C$21, $C$9, 100%, $E$9)</f>
        <v>25.142600000000002</v>
      </c>
      <c r="I470" s="14">
        <f>CHOOSE(CONTROL!$C$42, 25.125, 25.125)* CHOOSE(CONTROL!$C$21, $C$9, 100%, $E$9)</f>
        <v>25.125</v>
      </c>
      <c r="J470" s="14">
        <f>CHOOSE(CONTROL!$C$42, 25.0407, 25.0407)* CHOOSE(CONTROL!$C$21, $C$9, 100%, $E$9)</f>
        <v>25.040700000000001</v>
      </c>
      <c r="K470" s="52">
        <f>CHOOSE(CONTROL!$C$42, 25.1211, 25.1211) * CHOOSE(CONTROL!$C$21, $C$9, 100%, $E$9)</f>
        <v>25.121099999999998</v>
      </c>
      <c r="L470" s="14">
        <f>CHOOSE(CONTROL!$C$42, 25.7296, 25.7296) * CHOOSE(CONTROL!$C$21, $C$9, 100%, $E$9)</f>
        <v>25.729600000000001</v>
      </c>
      <c r="M470" s="14">
        <f>CHOOSE(CONTROL!$C$42, 24.598, 24.598) * CHOOSE(CONTROL!$C$21, $C$9, 100%, $E$9)</f>
        <v>24.597999999999999</v>
      </c>
      <c r="N470" s="14">
        <f>CHOOSE(CONTROL!$C$42, 24.6155, 24.6155) * CHOOSE(CONTROL!$C$21, $C$9, 100%, $E$9)</f>
        <v>24.615500000000001</v>
      </c>
      <c r="O470" s="14">
        <f>CHOOSE(CONTROL!$C$42, 24.698, 24.698) * CHOOSE(CONTROL!$C$21, $C$9, 100%, $E$9)</f>
        <v>24.698</v>
      </c>
      <c r="P470" s="14">
        <f>CHOOSE(CONTROL!$C$42, 24.6795, 24.6795) * CHOOSE(CONTROL!$C$21, $C$9, 100%, $E$9)</f>
        <v>24.679500000000001</v>
      </c>
      <c r="Q470" s="14">
        <f>CHOOSE(CONTROL!$C$42, 25.2927, 25.2927) * CHOOSE(CONTROL!$C$21, $C$9, 100%, $E$9)</f>
        <v>25.2927</v>
      </c>
      <c r="R470" s="14">
        <f>CHOOSE(CONTROL!$C$42, 25.943, 25.943) * CHOOSE(CONTROL!$C$21, $C$9, 100%, $E$9)</f>
        <v>25.943000000000001</v>
      </c>
      <c r="S470" s="14">
        <f>CHOOSE(CONTROL!$C$42, 24.0339, 24.0339) * CHOOSE(CONTROL!$C$21, $C$9, 100%, $E$9)</f>
        <v>24.033899999999999</v>
      </c>
      <c r="T47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70" s="56">
        <f>(1000*CHOOSE(CONTROL!$C$42, 695, 695)*CHOOSE(CONTROL!$C$42, 0.5599, 0.5599)*CHOOSE(CONTROL!$C$42, 28, 28))/1000000</f>
        <v>10.895653999999999</v>
      </c>
      <c r="V470" s="56">
        <f>(1000*CHOOSE(CONTROL!$C$42, 500, 500)*CHOOSE(CONTROL!$C$42, 0.275, 0.275)*CHOOSE(CONTROL!$C$42, 28, 28))/1000000</f>
        <v>3.85</v>
      </c>
      <c r="W470" s="56">
        <f>(1000*CHOOSE(CONTROL!$C$42, 0.1146, 0.1146)*CHOOSE(CONTROL!$C$42, 121.5, 121.5)*CHOOSE(CONTROL!$C$42, 28, 28))/1000000</f>
        <v>0.38986920000000003</v>
      </c>
      <c r="X470" s="56">
        <f>(28*0.1790888*100000/1000000)+(28*0.2374*100000/1000000)</f>
        <v>1.16616864</v>
      </c>
      <c r="Y470" s="56"/>
      <c r="Z470" s="14"/>
      <c r="AA470" s="55"/>
      <c r="AB470" s="49">
        <f>(B470*122.58+C470*297.941+D470*89.177+E470*40.302+F470*40+G470*160+H470*0+I470*100+J470*300)/(122.58+297.941+89.177+40.302+0+40+160+100+300)</f>
        <v>25.05580146495652</v>
      </c>
      <c r="AC470" s="45">
        <f>(M470*'RAP TEMPLATE-GAS AVAILABILITY'!O469+N470*'RAP TEMPLATE-GAS AVAILABILITY'!P469+O470*'RAP TEMPLATE-GAS AVAILABILITY'!Q469+P470*'RAP TEMPLATE-GAS AVAILABILITY'!R469)/('RAP TEMPLATE-GAS AVAILABILITY'!O469+'RAP TEMPLATE-GAS AVAILABILITY'!P469+'RAP TEMPLATE-GAS AVAILABILITY'!Q469+'RAP TEMPLATE-GAS AVAILABILITY'!R469)</f>
        <v>24.656057553956835</v>
      </c>
    </row>
    <row r="471" spans="1:29" ht="15.75" x14ac:dyDescent="0.25">
      <c r="A471" s="33">
        <v>55243</v>
      </c>
      <c r="B471" s="14">
        <f>CHOOSE(CONTROL!$C$42, 24.3107, 24.3107) * CHOOSE(CONTROL!$C$21, $C$9, 100%, $E$9)</f>
        <v>24.310700000000001</v>
      </c>
      <c r="C471" s="14">
        <f>CHOOSE(CONTROL!$C$42, 24.3157, 24.3157) * CHOOSE(CONTROL!$C$21, $C$9, 100%, $E$9)</f>
        <v>24.3157</v>
      </c>
      <c r="D471" s="14">
        <f>CHOOSE(CONTROL!$C$42, 24.4092, 24.4092) * CHOOSE(CONTROL!$C$21, $C$9, 100%, $E$9)</f>
        <v>24.409199999999998</v>
      </c>
      <c r="E471" s="14">
        <f>CHOOSE(CONTROL!$C$42, 24.4433, 24.4433) * CHOOSE(CONTROL!$C$21, $C$9, 100%, $E$9)</f>
        <v>24.443300000000001</v>
      </c>
      <c r="F471" s="14">
        <f>CHOOSE(CONTROL!$C$42, 24.3367, 24.3367)*CHOOSE(CONTROL!$C$21, $C$9, 100%, $E$9)</f>
        <v>24.3367</v>
      </c>
      <c r="G471" s="14">
        <f>CHOOSE(CONTROL!$C$42, 24.3544, 24.3544)*CHOOSE(CONTROL!$C$21, $C$9, 100%, $E$9)</f>
        <v>24.354399999999998</v>
      </c>
      <c r="H471" s="14">
        <f>CHOOSE(CONTROL!$C$42, 24.4325, 24.4325) * CHOOSE(CONTROL!$C$21, $C$9, 100%, $E$9)</f>
        <v>24.432500000000001</v>
      </c>
      <c r="I471" s="14">
        <f>CHOOSE(CONTROL!$C$42, 24.4127, 24.4127)* CHOOSE(CONTROL!$C$21, $C$9, 100%, $E$9)</f>
        <v>24.412700000000001</v>
      </c>
      <c r="J471" s="14">
        <f>CHOOSE(CONTROL!$C$42, 24.3297, 24.3297)* CHOOSE(CONTROL!$C$21, $C$9, 100%, $E$9)</f>
        <v>24.329699999999999</v>
      </c>
      <c r="K471" s="52">
        <f>CHOOSE(CONTROL!$C$42, 24.4088, 24.4088) * CHOOSE(CONTROL!$C$21, $C$9, 100%, $E$9)</f>
        <v>24.408799999999999</v>
      </c>
      <c r="L471" s="14">
        <f>CHOOSE(CONTROL!$C$42, 25.0195, 25.0195) * CHOOSE(CONTROL!$C$21, $C$9, 100%, $E$9)</f>
        <v>25.019500000000001</v>
      </c>
      <c r="M471" s="14">
        <f>CHOOSE(CONTROL!$C$42, 23.8998, 23.8998) * CHOOSE(CONTROL!$C$21, $C$9, 100%, $E$9)</f>
        <v>23.899799999999999</v>
      </c>
      <c r="N471" s="14">
        <f>CHOOSE(CONTROL!$C$42, 23.9171, 23.9171) * CHOOSE(CONTROL!$C$21, $C$9, 100%, $E$9)</f>
        <v>23.917100000000001</v>
      </c>
      <c r="O471" s="14">
        <f>CHOOSE(CONTROL!$C$42, 24.0007, 24.0007) * CHOOSE(CONTROL!$C$21, $C$9, 100%, $E$9)</f>
        <v>24.000699999999998</v>
      </c>
      <c r="P471" s="14">
        <f>CHOOSE(CONTROL!$C$42, 23.98, 23.98) * CHOOSE(CONTROL!$C$21, $C$9, 100%, $E$9)</f>
        <v>23.98</v>
      </c>
      <c r="Q471" s="14">
        <f>CHOOSE(CONTROL!$C$42, 24.5954, 24.5954) * CHOOSE(CONTROL!$C$21, $C$9, 100%, $E$9)</f>
        <v>24.595400000000001</v>
      </c>
      <c r="R471" s="14">
        <f>CHOOSE(CONTROL!$C$42, 25.2439, 25.2439) * CHOOSE(CONTROL!$C$21, $C$9, 100%, $E$9)</f>
        <v>25.2439</v>
      </c>
      <c r="S471" s="14">
        <f>CHOOSE(CONTROL!$C$42, 23.3516, 23.3516) * CHOOSE(CONTROL!$C$21, $C$9, 100%, $E$9)</f>
        <v>23.351600000000001</v>
      </c>
      <c r="T47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71" s="56">
        <f>(1000*CHOOSE(CONTROL!$C$42, 695, 695)*CHOOSE(CONTROL!$C$42, 0.5599, 0.5599)*CHOOSE(CONTROL!$C$42, 31, 31))/1000000</f>
        <v>12.063045499999998</v>
      </c>
      <c r="V471" s="56">
        <f>(1000*CHOOSE(CONTROL!$C$42, 500, 500)*CHOOSE(CONTROL!$C$42, 0.275, 0.275)*CHOOSE(CONTROL!$C$42, 31, 31))/1000000</f>
        <v>4.2625000000000002</v>
      </c>
      <c r="W471" s="56">
        <f>(1000*CHOOSE(CONTROL!$C$42, 0.1146, 0.1146)*CHOOSE(CONTROL!$C$42, 121.5, 121.5)*CHOOSE(CONTROL!$C$42, 31, 31))/1000000</f>
        <v>0.43164089999999994</v>
      </c>
      <c r="X471" s="56">
        <f>(31*0.1790888*100000/1000000)+(31*0.2374*100000/1000000)</f>
        <v>1.2911152800000001</v>
      </c>
      <c r="Y471" s="56"/>
      <c r="Z471" s="14"/>
      <c r="AA471" s="55"/>
      <c r="AB471" s="49">
        <f>(B471*122.58+C471*297.941+D471*89.177+E471*40.302+F471*40+G471*160+H471*0+I471*100+J471*300)/(122.58+297.941+89.177+40.302+0+40+160+100+300)</f>
        <v>24.345091030173911</v>
      </c>
      <c r="AC471" s="45">
        <f>(M471*'RAP TEMPLATE-GAS AVAILABILITY'!O470+N471*'RAP TEMPLATE-GAS AVAILABILITY'!P470+O471*'RAP TEMPLATE-GAS AVAILABILITY'!Q470+P471*'RAP TEMPLATE-GAS AVAILABILITY'!R470)/('RAP TEMPLATE-GAS AVAILABILITY'!O470+'RAP TEMPLATE-GAS AVAILABILITY'!P470+'RAP TEMPLATE-GAS AVAILABILITY'!Q470+'RAP TEMPLATE-GAS AVAILABILITY'!R470)</f>
        <v>23.958066906474816</v>
      </c>
    </row>
    <row r="472" spans="1:29" ht="15.75" x14ac:dyDescent="0.25">
      <c r="A472" s="33">
        <v>55273</v>
      </c>
      <c r="B472" s="14">
        <f>CHOOSE(CONTROL!$C$42, 24.2389, 24.2389) * CHOOSE(CONTROL!$C$21, $C$9, 100%, $E$9)</f>
        <v>24.238900000000001</v>
      </c>
      <c r="C472" s="14">
        <f>CHOOSE(CONTROL!$C$42, 24.2434, 24.2434) * CHOOSE(CONTROL!$C$21, $C$9, 100%, $E$9)</f>
        <v>24.243400000000001</v>
      </c>
      <c r="D472" s="14">
        <f>CHOOSE(CONTROL!$C$42, 24.5056, 24.5056) * CHOOSE(CONTROL!$C$21, $C$9, 100%, $E$9)</f>
        <v>24.505600000000001</v>
      </c>
      <c r="E472" s="14">
        <f>CHOOSE(CONTROL!$C$42, 24.5377, 24.5377) * CHOOSE(CONTROL!$C$21, $C$9, 100%, $E$9)</f>
        <v>24.537700000000001</v>
      </c>
      <c r="F472" s="14">
        <f>CHOOSE(CONTROL!$C$42, 24.2617, 24.2617)*CHOOSE(CONTROL!$C$21, $C$9, 100%, $E$9)</f>
        <v>24.261700000000001</v>
      </c>
      <c r="G472" s="14">
        <f>CHOOSE(CONTROL!$C$42, 24.2785, 24.2785)*CHOOSE(CONTROL!$C$21, $C$9, 100%, $E$9)</f>
        <v>24.278500000000001</v>
      </c>
      <c r="H472" s="14">
        <f>CHOOSE(CONTROL!$C$42, 24.5275, 24.5275) * CHOOSE(CONTROL!$C$21, $C$9, 100%, $E$9)</f>
        <v>24.5275</v>
      </c>
      <c r="I472" s="14">
        <f>CHOOSE(CONTROL!$C$42, 24.3373, 24.3373)* CHOOSE(CONTROL!$C$21, $C$9, 100%, $E$9)</f>
        <v>24.337299999999999</v>
      </c>
      <c r="J472" s="14">
        <f>CHOOSE(CONTROL!$C$42, 24.2547, 24.2547)* CHOOSE(CONTROL!$C$21, $C$9, 100%, $E$9)</f>
        <v>24.2547</v>
      </c>
      <c r="K472" s="52">
        <f>CHOOSE(CONTROL!$C$42, 24.3334, 24.3334) * CHOOSE(CONTROL!$C$21, $C$9, 100%, $E$9)</f>
        <v>24.333400000000001</v>
      </c>
      <c r="L472" s="14">
        <f>CHOOSE(CONTROL!$C$42, 25.1145, 25.1145) * CHOOSE(CONTROL!$C$21, $C$9, 100%, $E$9)</f>
        <v>25.1145</v>
      </c>
      <c r="M472" s="14">
        <f>CHOOSE(CONTROL!$C$42, 23.8262, 23.8262) * CHOOSE(CONTROL!$C$21, $C$9, 100%, $E$9)</f>
        <v>23.8262</v>
      </c>
      <c r="N472" s="14">
        <f>CHOOSE(CONTROL!$C$42, 23.8426, 23.8426) * CHOOSE(CONTROL!$C$21, $C$9, 100%, $E$9)</f>
        <v>23.842600000000001</v>
      </c>
      <c r="O472" s="14">
        <f>CHOOSE(CONTROL!$C$42, 24.094, 24.094) * CHOOSE(CONTROL!$C$21, $C$9, 100%, $E$9)</f>
        <v>24.094000000000001</v>
      </c>
      <c r="P472" s="14">
        <f>CHOOSE(CONTROL!$C$42, 23.906, 23.906) * CHOOSE(CONTROL!$C$21, $C$9, 100%, $E$9)</f>
        <v>23.905999999999999</v>
      </c>
      <c r="Q472" s="14">
        <f>CHOOSE(CONTROL!$C$42, 24.6887, 24.6887) * CHOOSE(CONTROL!$C$21, $C$9, 100%, $E$9)</f>
        <v>24.688700000000001</v>
      </c>
      <c r="R472" s="14">
        <f>CHOOSE(CONTROL!$C$42, 25.3375, 25.3375) * CHOOSE(CONTROL!$C$21, $C$9, 100%, $E$9)</f>
        <v>25.337499999999999</v>
      </c>
      <c r="S472" s="14">
        <f>CHOOSE(CONTROL!$C$42, 23.2819, 23.2819) * CHOOSE(CONTROL!$C$21, $C$9, 100%, $E$9)</f>
        <v>23.2819</v>
      </c>
      <c r="T47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72" s="56">
        <f>(1000*CHOOSE(CONTROL!$C$42, 695, 695)*CHOOSE(CONTROL!$C$42, 0.5599, 0.5599)*CHOOSE(CONTROL!$C$42, 30, 30))/1000000</f>
        <v>11.673914999999997</v>
      </c>
      <c r="V472" s="56">
        <f>(1000*CHOOSE(CONTROL!$C$42, 500, 500)*CHOOSE(CONTROL!$C$42, 0.275, 0.275)*CHOOSE(CONTROL!$C$42, 30, 30))/1000000</f>
        <v>4.125</v>
      </c>
      <c r="W472" s="56">
        <f>(1000*CHOOSE(CONTROL!$C$42, 0.1146, 0.1146)*CHOOSE(CONTROL!$C$42, 121.5, 121.5)*CHOOSE(CONTROL!$C$42, 30, 30))/1000000</f>
        <v>0.417717</v>
      </c>
      <c r="X472" s="56">
        <f>(30*0.1790888*245000/1000000)+(30*0.2374*100000/1000000)</f>
        <v>2.0285026799999999</v>
      </c>
      <c r="Y472" s="56"/>
      <c r="Z472" s="14"/>
      <c r="AA472" s="55"/>
      <c r="AB472" s="49">
        <f>(B472*141.293+C472*267.993+D472*115.016+E472*89.698+F472*40+G472*185+H472*0+I472*100+J472*300)/(141.293+267.993+115.016+89.698+0+40+185+100+300)</f>
        <v>24.304679255932204</v>
      </c>
      <c r="AC472" s="45">
        <f>(M472*'RAP TEMPLATE-GAS AVAILABILITY'!O471+N472*'RAP TEMPLATE-GAS AVAILABILITY'!P471+O472*'RAP TEMPLATE-GAS AVAILABILITY'!Q471+P472*'RAP TEMPLATE-GAS AVAILABILITY'!R471)/('RAP TEMPLATE-GAS AVAILABILITY'!O471+'RAP TEMPLATE-GAS AVAILABILITY'!P471+'RAP TEMPLATE-GAS AVAILABILITY'!Q471+'RAP TEMPLATE-GAS AVAILABILITY'!R471)</f>
        <v>23.916595683453238</v>
      </c>
    </row>
    <row r="473" spans="1:29" ht="15.75" x14ac:dyDescent="0.25">
      <c r="A473" s="33">
        <v>55304</v>
      </c>
      <c r="B473" s="14">
        <f>CHOOSE(CONTROL!$C$42, 24.4542, 24.4542) * CHOOSE(CONTROL!$C$21, $C$9, 100%, $E$9)</f>
        <v>24.4542</v>
      </c>
      <c r="C473" s="14">
        <f>CHOOSE(CONTROL!$C$42, 24.4622, 24.4622) * CHOOSE(CONTROL!$C$21, $C$9, 100%, $E$9)</f>
        <v>24.462199999999999</v>
      </c>
      <c r="D473" s="14">
        <f>CHOOSE(CONTROL!$C$42, 24.7213, 24.7213) * CHOOSE(CONTROL!$C$21, $C$9, 100%, $E$9)</f>
        <v>24.721299999999999</v>
      </c>
      <c r="E473" s="14">
        <f>CHOOSE(CONTROL!$C$42, 24.7527, 24.7527) * CHOOSE(CONTROL!$C$21, $C$9, 100%, $E$9)</f>
        <v>24.752700000000001</v>
      </c>
      <c r="F473" s="14">
        <f>CHOOSE(CONTROL!$C$42, 24.4757, 24.4757)*CHOOSE(CONTROL!$C$21, $C$9, 100%, $E$9)</f>
        <v>24.4757</v>
      </c>
      <c r="G473" s="14">
        <f>CHOOSE(CONTROL!$C$42, 24.4926, 24.4926)*CHOOSE(CONTROL!$C$21, $C$9, 100%, $E$9)</f>
        <v>24.492599999999999</v>
      </c>
      <c r="H473" s="14">
        <f>CHOOSE(CONTROL!$C$42, 24.7414, 24.7414) * CHOOSE(CONTROL!$C$21, $C$9, 100%, $E$9)</f>
        <v>24.741399999999999</v>
      </c>
      <c r="I473" s="14">
        <f>CHOOSE(CONTROL!$C$42, 24.5518, 24.5518)* CHOOSE(CONTROL!$C$21, $C$9, 100%, $E$9)</f>
        <v>24.5518</v>
      </c>
      <c r="J473" s="14">
        <f>CHOOSE(CONTROL!$C$42, 24.4687, 24.4687)* CHOOSE(CONTROL!$C$21, $C$9, 100%, $E$9)</f>
        <v>24.468699999999998</v>
      </c>
      <c r="K473" s="52">
        <f>CHOOSE(CONTROL!$C$42, 24.5479, 24.5479) * CHOOSE(CONTROL!$C$21, $C$9, 100%, $E$9)</f>
        <v>24.547899999999998</v>
      </c>
      <c r="L473" s="14">
        <f>CHOOSE(CONTROL!$C$42, 25.3284, 25.3284) * CHOOSE(CONTROL!$C$21, $C$9, 100%, $E$9)</f>
        <v>25.328399999999998</v>
      </c>
      <c r="M473" s="14">
        <f>CHOOSE(CONTROL!$C$42, 24.0363, 24.0363) * CHOOSE(CONTROL!$C$21, $C$9, 100%, $E$9)</f>
        <v>24.036300000000001</v>
      </c>
      <c r="N473" s="14">
        <f>CHOOSE(CONTROL!$C$42, 24.0529, 24.0529) * CHOOSE(CONTROL!$C$21, $C$9, 100%, $E$9)</f>
        <v>24.052900000000001</v>
      </c>
      <c r="O473" s="14">
        <f>CHOOSE(CONTROL!$C$42, 24.304, 24.304) * CHOOSE(CONTROL!$C$21, $C$9, 100%, $E$9)</f>
        <v>24.303999999999998</v>
      </c>
      <c r="P473" s="14">
        <f>CHOOSE(CONTROL!$C$42, 24.1166, 24.1166) * CHOOSE(CONTROL!$C$21, $C$9, 100%, $E$9)</f>
        <v>24.116599999999998</v>
      </c>
      <c r="Q473" s="14">
        <f>CHOOSE(CONTROL!$C$42, 24.8987, 24.8987) * CHOOSE(CONTROL!$C$21, $C$9, 100%, $E$9)</f>
        <v>24.898700000000002</v>
      </c>
      <c r="R473" s="14">
        <f>CHOOSE(CONTROL!$C$42, 25.548, 25.548) * CHOOSE(CONTROL!$C$21, $C$9, 100%, $E$9)</f>
        <v>25.547999999999998</v>
      </c>
      <c r="S473" s="14">
        <f>CHOOSE(CONTROL!$C$42, 23.4874, 23.4874) * CHOOSE(CONTROL!$C$21, $C$9, 100%, $E$9)</f>
        <v>23.487400000000001</v>
      </c>
      <c r="T47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73" s="56">
        <f>(1000*CHOOSE(CONTROL!$C$42, 695, 695)*CHOOSE(CONTROL!$C$42, 0.5599, 0.5599)*CHOOSE(CONTROL!$C$42, 31, 31))/1000000</f>
        <v>12.063045499999998</v>
      </c>
      <c r="V473" s="56">
        <f>(1000*CHOOSE(CONTROL!$C$42, 500, 500)*CHOOSE(CONTROL!$C$42, 0.275, 0.275)*CHOOSE(CONTROL!$C$42, 31, 31))/1000000</f>
        <v>4.2625000000000002</v>
      </c>
      <c r="W473" s="56">
        <f>(1000*CHOOSE(CONTROL!$C$42, 0.1146, 0.1146)*CHOOSE(CONTROL!$C$42, 121.5, 121.5)*CHOOSE(CONTROL!$C$42, 31, 31))/1000000</f>
        <v>0.43164089999999994</v>
      </c>
      <c r="X473" s="56">
        <f>(31*0.1790888*245000/1000000)+(31*0.2374*100000/1000000)</f>
        <v>2.0961194359999999</v>
      </c>
      <c r="Y473" s="56"/>
      <c r="Z473" s="14"/>
      <c r="AA473" s="55"/>
      <c r="AB473" s="49">
        <f>(B473*194.205+C473*267.466+D473*133.845+E473*53.484+F473*40+G473*185+H473*0+I473*100+J473*300)/(194.205+267.466+133.845+53.484+0+40+185+100+300)</f>
        <v>24.513798666797491</v>
      </c>
      <c r="AC473" s="45">
        <f>(M473*'RAP TEMPLATE-GAS AVAILABILITY'!O472+N473*'RAP TEMPLATE-GAS AVAILABILITY'!P472+O473*'RAP TEMPLATE-GAS AVAILABILITY'!Q472+P473*'RAP TEMPLATE-GAS AVAILABILITY'!R472)/('RAP TEMPLATE-GAS AVAILABILITY'!O472+'RAP TEMPLATE-GAS AVAILABILITY'!P472+'RAP TEMPLATE-GAS AVAILABILITY'!Q472+'RAP TEMPLATE-GAS AVAILABILITY'!R472)</f>
        <v>24.12678561151079</v>
      </c>
    </row>
    <row r="474" spans="1:29" ht="15.75" x14ac:dyDescent="0.25">
      <c r="A474" s="33">
        <v>55334</v>
      </c>
      <c r="B474" s="14">
        <f>CHOOSE(CONTROL!$C$42, 25.1475, 25.1475) * CHOOSE(CONTROL!$C$21, $C$9, 100%, $E$9)</f>
        <v>25.147500000000001</v>
      </c>
      <c r="C474" s="14">
        <f>CHOOSE(CONTROL!$C$42, 25.1555, 25.1555) * CHOOSE(CONTROL!$C$21, $C$9, 100%, $E$9)</f>
        <v>25.1555</v>
      </c>
      <c r="D474" s="14">
        <f>CHOOSE(CONTROL!$C$42, 25.4146, 25.4146) * CHOOSE(CONTROL!$C$21, $C$9, 100%, $E$9)</f>
        <v>25.4146</v>
      </c>
      <c r="E474" s="14">
        <f>CHOOSE(CONTROL!$C$42, 25.4461, 25.4461) * CHOOSE(CONTROL!$C$21, $C$9, 100%, $E$9)</f>
        <v>25.446100000000001</v>
      </c>
      <c r="F474" s="14">
        <f>CHOOSE(CONTROL!$C$42, 25.1693, 25.1693)*CHOOSE(CONTROL!$C$21, $C$9, 100%, $E$9)</f>
        <v>25.1693</v>
      </c>
      <c r="G474" s="14">
        <f>CHOOSE(CONTROL!$C$42, 25.1863, 25.1863)*CHOOSE(CONTROL!$C$21, $C$9, 100%, $E$9)</f>
        <v>25.186299999999999</v>
      </c>
      <c r="H474" s="14">
        <f>CHOOSE(CONTROL!$C$42, 25.4347, 25.4347) * CHOOSE(CONTROL!$C$21, $C$9, 100%, $E$9)</f>
        <v>25.434699999999999</v>
      </c>
      <c r="I474" s="14">
        <f>CHOOSE(CONTROL!$C$42, 25.2473, 25.2473)* CHOOSE(CONTROL!$C$21, $C$9, 100%, $E$9)</f>
        <v>25.247299999999999</v>
      </c>
      <c r="J474" s="14">
        <f>CHOOSE(CONTROL!$C$42, 25.1623, 25.1623)* CHOOSE(CONTROL!$C$21, $C$9, 100%, $E$9)</f>
        <v>25.162299999999998</v>
      </c>
      <c r="K474" s="52">
        <f>CHOOSE(CONTROL!$C$42, 25.2435, 25.2435) * CHOOSE(CONTROL!$C$21, $C$9, 100%, $E$9)</f>
        <v>25.243500000000001</v>
      </c>
      <c r="L474" s="14">
        <f>CHOOSE(CONTROL!$C$42, 26.0217, 26.0217) * CHOOSE(CONTROL!$C$21, $C$9, 100%, $E$9)</f>
        <v>26.021699999999999</v>
      </c>
      <c r="M474" s="14">
        <f>CHOOSE(CONTROL!$C$42, 24.7174, 24.7174) * CHOOSE(CONTROL!$C$21, $C$9, 100%, $E$9)</f>
        <v>24.717400000000001</v>
      </c>
      <c r="N474" s="14">
        <f>CHOOSE(CONTROL!$C$42, 24.7341, 24.7341) * CHOOSE(CONTROL!$C$21, $C$9, 100%, $E$9)</f>
        <v>24.734100000000002</v>
      </c>
      <c r="O474" s="14">
        <f>CHOOSE(CONTROL!$C$42, 24.9849, 24.9849) * CHOOSE(CONTROL!$C$21, $C$9, 100%, $E$9)</f>
        <v>24.9849</v>
      </c>
      <c r="P474" s="14">
        <f>CHOOSE(CONTROL!$C$42, 24.7996, 24.7996) * CHOOSE(CONTROL!$C$21, $C$9, 100%, $E$9)</f>
        <v>24.799600000000002</v>
      </c>
      <c r="Q474" s="14">
        <f>CHOOSE(CONTROL!$C$42, 25.5796, 25.5796) * CHOOSE(CONTROL!$C$21, $C$9, 100%, $E$9)</f>
        <v>25.579599999999999</v>
      </c>
      <c r="R474" s="14">
        <f>CHOOSE(CONTROL!$C$42, 26.2306, 26.2306) * CHOOSE(CONTROL!$C$21, $C$9, 100%, $E$9)</f>
        <v>26.230599999999999</v>
      </c>
      <c r="S474" s="14">
        <f>CHOOSE(CONTROL!$C$42, 24.1536, 24.1536) * CHOOSE(CONTROL!$C$21, $C$9, 100%, $E$9)</f>
        <v>24.153600000000001</v>
      </c>
      <c r="T47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74" s="56">
        <f>(1000*CHOOSE(CONTROL!$C$42, 695, 695)*CHOOSE(CONTROL!$C$42, 0.5599, 0.5599)*CHOOSE(CONTROL!$C$42, 30, 30))/1000000</f>
        <v>11.673914999999997</v>
      </c>
      <c r="V474" s="56">
        <f>(1000*CHOOSE(CONTROL!$C$42, 500, 500)*CHOOSE(CONTROL!$C$42, 0.275, 0.275)*CHOOSE(CONTROL!$C$42, 30, 30))/1000000</f>
        <v>4.125</v>
      </c>
      <c r="W474" s="56">
        <f>(1000*CHOOSE(CONTROL!$C$42, 0.1146, 0.1146)*CHOOSE(CONTROL!$C$42, 121.5, 121.5)*CHOOSE(CONTROL!$C$42, 30, 30))/1000000</f>
        <v>0.417717</v>
      </c>
      <c r="X474" s="56">
        <f>(30*0.1790888*245000/1000000)+(30*0.2374*100000/1000000)</f>
        <v>2.0285026799999999</v>
      </c>
      <c r="Y474" s="56"/>
      <c r="Z474" s="14"/>
      <c r="AA474" s="55"/>
      <c r="AB474" s="49">
        <f>(B474*194.205+C474*267.466+D474*133.845+E474*53.484+F474*40+G474*185+H474*0+I474*100+J474*300)/(194.205+267.466+133.845+53.484+0+40+185+100+300)</f>
        <v>25.207413696938779</v>
      </c>
      <c r="AC474" s="45">
        <f>(M474*'RAP TEMPLATE-GAS AVAILABILITY'!O473+N474*'RAP TEMPLATE-GAS AVAILABILITY'!P473+O474*'RAP TEMPLATE-GAS AVAILABILITY'!Q473+P474*'RAP TEMPLATE-GAS AVAILABILITY'!R473)/('RAP TEMPLATE-GAS AVAILABILITY'!O473+'RAP TEMPLATE-GAS AVAILABILITY'!P473+'RAP TEMPLATE-GAS AVAILABILITY'!Q473+'RAP TEMPLATE-GAS AVAILABILITY'!R473)</f>
        <v>24.808125899280576</v>
      </c>
    </row>
    <row r="475" spans="1:29" ht="15.75" x14ac:dyDescent="0.25">
      <c r="A475" s="33">
        <v>55365</v>
      </c>
      <c r="B475" s="14">
        <f>CHOOSE(CONTROL!$C$42, 24.6653, 24.6653) * CHOOSE(CONTROL!$C$21, $C$9, 100%, $E$9)</f>
        <v>24.665299999999998</v>
      </c>
      <c r="C475" s="14">
        <f>CHOOSE(CONTROL!$C$42, 24.6733, 24.6733) * CHOOSE(CONTROL!$C$21, $C$9, 100%, $E$9)</f>
        <v>24.673300000000001</v>
      </c>
      <c r="D475" s="14">
        <f>CHOOSE(CONTROL!$C$42, 24.9324, 24.9324) * CHOOSE(CONTROL!$C$21, $C$9, 100%, $E$9)</f>
        <v>24.932400000000001</v>
      </c>
      <c r="E475" s="14">
        <f>CHOOSE(CONTROL!$C$42, 24.9639, 24.9639) * CHOOSE(CONTROL!$C$21, $C$9, 100%, $E$9)</f>
        <v>24.963899999999999</v>
      </c>
      <c r="F475" s="14">
        <f>CHOOSE(CONTROL!$C$42, 24.6875, 24.6875)*CHOOSE(CONTROL!$C$21, $C$9, 100%, $E$9)</f>
        <v>24.6875</v>
      </c>
      <c r="G475" s="14">
        <f>CHOOSE(CONTROL!$C$42, 24.7046, 24.7046)*CHOOSE(CONTROL!$C$21, $C$9, 100%, $E$9)</f>
        <v>24.704599999999999</v>
      </c>
      <c r="H475" s="14">
        <f>CHOOSE(CONTROL!$C$42, 24.9525, 24.9525) * CHOOSE(CONTROL!$C$21, $C$9, 100%, $E$9)</f>
        <v>24.952500000000001</v>
      </c>
      <c r="I475" s="14">
        <f>CHOOSE(CONTROL!$C$42, 24.7636, 24.7636)* CHOOSE(CONTROL!$C$21, $C$9, 100%, $E$9)</f>
        <v>24.7636</v>
      </c>
      <c r="J475" s="14">
        <f>CHOOSE(CONTROL!$C$42, 24.6805, 24.6805)* CHOOSE(CONTROL!$C$21, $C$9, 100%, $E$9)</f>
        <v>24.680499999999999</v>
      </c>
      <c r="K475" s="52">
        <f>CHOOSE(CONTROL!$C$42, 24.7597, 24.7597) * CHOOSE(CONTROL!$C$21, $C$9, 100%, $E$9)</f>
        <v>24.759699999999999</v>
      </c>
      <c r="L475" s="14">
        <f>CHOOSE(CONTROL!$C$42, 25.5395, 25.5395) * CHOOSE(CONTROL!$C$21, $C$9, 100%, $E$9)</f>
        <v>25.5395</v>
      </c>
      <c r="M475" s="14">
        <f>CHOOSE(CONTROL!$C$42, 24.2442, 24.2442) * CHOOSE(CONTROL!$C$21, $C$9, 100%, $E$9)</f>
        <v>24.244199999999999</v>
      </c>
      <c r="N475" s="14">
        <f>CHOOSE(CONTROL!$C$42, 24.2611, 24.2611) * CHOOSE(CONTROL!$C$21, $C$9, 100%, $E$9)</f>
        <v>24.261099999999999</v>
      </c>
      <c r="O475" s="14">
        <f>CHOOSE(CONTROL!$C$42, 24.5114, 24.5114) * CHOOSE(CONTROL!$C$21, $C$9, 100%, $E$9)</f>
        <v>24.511399999999998</v>
      </c>
      <c r="P475" s="14">
        <f>CHOOSE(CONTROL!$C$42, 24.3246, 24.3246) * CHOOSE(CONTROL!$C$21, $C$9, 100%, $E$9)</f>
        <v>24.3246</v>
      </c>
      <c r="Q475" s="14">
        <f>CHOOSE(CONTROL!$C$42, 25.1061, 25.1061) * CHOOSE(CONTROL!$C$21, $C$9, 100%, $E$9)</f>
        <v>25.106100000000001</v>
      </c>
      <c r="R475" s="14">
        <f>CHOOSE(CONTROL!$C$42, 25.7558, 25.7558) * CHOOSE(CONTROL!$C$21, $C$9, 100%, $E$9)</f>
        <v>25.755800000000001</v>
      </c>
      <c r="S475" s="14">
        <f>CHOOSE(CONTROL!$C$42, 23.6902, 23.6902) * CHOOSE(CONTROL!$C$21, $C$9, 100%, $E$9)</f>
        <v>23.690200000000001</v>
      </c>
      <c r="T47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75" s="56">
        <f>(1000*CHOOSE(CONTROL!$C$42, 695, 695)*CHOOSE(CONTROL!$C$42, 0.5599, 0.5599)*CHOOSE(CONTROL!$C$42, 31, 31))/1000000</f>
        <v>12.063045499999998</v>
      </c>
      <c r="V475" s="56">
        <f>(1000*CHOOSE(CONTROL!$C$42, 500, 500)*CHOOSE(CONTROL!$C$42, 0.275, 0.275)*CHOOSE(CONTROL!$C$42, 31, 31))/1000000</f>
        <v>4.2625000000000002</v>
      </c>
      <c r="W475" s="56">
        <f>(1000*CHOOSE(CONTROL!$C$42, 0.1146, 0.1146)*CHOOSE(CONTROL!$C$42, 121.5, 121.5)*CHOOSE(CONTROL!$C$42, 31, 31))/1000000</f>
        <v>0.43164089999999994</v>
      </c>
      <c r="X475" s="56">
        <f>(31*0.1790888*245000/1000000)+(31*0.2374*100000/1000000)</f>
        <v>2.0961194359999999</v>
      </c>
      <c r="Y475" s="56"/>
      <c r="Z475" s="14"/>
      <c r="AA475" s="55"/>
      <c r="AB475" s="49">
        <f>(B475*194.205+C475*267.466+D475*133.845+E475*53.484+F475*40+G475*185+H475*0+I475*100+J475*300)/(194.205+267.466+133.845+53.484+0+40+185+100+300)</f>
        <v>24.725275313893249</v>
      </c>
      <c r="AC475" s="45">
        <f>(M475*'RAP TEMPLATE-GAS AVAILABILITY'!O474+N475*'RAP TEMPLATE-GAS AVAILABILITY'!P474+O475*'RAP TEMPLATE-GAS AVAILABILITY'!Q474+P475*'RAP TEMPLATE-GAS AVAILABILITY'!R474)/('RAP TEMPLATE-GAS AVAILABILITY'!O474+'RAP TEMPLATE-GAS AVAILABILITY'!P474+'RAP TEMPLATE-GAS AVAILABILITY'!Q474+'RAP TEMPLATE-GAS AVAILABILITY'!R474)</f>
        <v>24.334628776978416</v>
      </c>
    </row>
    <row r="476" spans="1:29" ht="15.75" x14ac:dyDescent="0.25">
      <c r="A476" s="33">
        <v>55396</v>
      </c>
      <c r="B476" s="14">
        <f>CHOOSE(CONTROL!$C$42, 23.4475, 23.4475) * CHOOSE(CONTROL!$C$21, $C$9, 100%, $E$9)</f>
        <v>23.447500000000002</v>
      </c>
      <c r="C476" s="14">
        <f>CHOOSE(CONTROL!$C$42, 23.4555, 23.4555) * CHOOSE(CONTROL!$C$21, $C$9, 100%, $E$9)</f>
        <v>23.455500000000001</v>
      </c>
      <c r="D476" s="14">
        <f>CHOOSE(CONTROL!$C$42, 23.7146, 23.7146) * CHOOSE(CONTROL!$C$21, $C$9, 100%, $E$9)</f>
        <v>23.714600000000001</v>
      </c>
      <c r="E476" s="14">
        <f>CHOOSE(CONTROL!$C$42, 23.7461, 23.7461) * CHOOSE(CONTROL!$C$21, $C$9, 100%, $E$9)</f>
        <v>23.746099999999998</v>
      </c>
      <c r="F476" s="14">
        <f>CHOOSE(CONTROL!$C$42, 23.4699, 23.4699)*CHOOSE(CONTROL!$C$21, $C$9, 100%, $E$9)</f>
        <v>23.469899999999999</v>
      </c>
      <c r="G476" s="14">
        <f>CHOOSE(CONTROL!$C$42, 23.4871, 23.4871)*CHOOSE(CONTROL!$C$21, $C$9, 100%, $E$9)</f>
        <v>23.487100000000002</v>
      </c>
      <c r="H476" s="14">
        <f>CHOOSE(CONTROL!$C$42, 23.7347, 23.7347) * CHOOSE(CONTROL!$C$21, $C$9, 100%, $E$9)</f>
        <v>23.7347</v>
      </c>
      <c r="I476" s="14">
        <f>CHOOSE(CONTROL!$C$42, 23.542, 23.542)* CHOOSE(CONTROL!$C$21, $C$9, 100%, $E$9)</f>
        <v>23.542000000000002</v>
      </c>
      <c r="J476" s="14">
        <f>CHOOSE(CONTROL!$C$42, 23.4629, 23.4629)* CHOOSE(CONTROL!$C$21, $C$9, 100%, $E$9)</f>
        <v>23.462900000000001</v>
      </c>
      <c r="K476" s="52">
        <f>CHOOSE(CONTROL!$C$42, 23.5382, 23.5382) * CHOOSE(CONTROL!$C$21, $C$9, 100%, $E$9)</f>
        <v>23.5382</v>
      </c>
      <c r="L476" s="14">
        <f>CHOOSE(CONTROL!$C$42, 24.3217, 24.3217) * CHOOSE(CONTROL!$C$21, $C$9, 100%, $E$9)</f>
        <v>24.3217</v>
      </c>
      <c r="M476" s="14">
        <f>CHOOSE(CONTROL!$C$42, 23.0486, 23.0486) * CHOOSE(CONTROL!$C$21, $C$9, 100%, $E$9)</f>
        <v>23.0486</v>
      </c>
      <c r="N476" s="14">
        <f>CHOOSE(CONTROL!$C$42, 23.0655, 23.0655) * CHOOSE(CONTROL!$C$21, $C$9, 100%, $E$9)</f>
        <v>23.0655</v>
      </c>
      <c r="O476" s="14">
        <f>CHOOSE(CONTROL!$C$42, 23.3155, 23.3155) * CHOOSE(CONTROL!$C$21, $C$9, 100%, $E$9)</f>
        <v>23.3155</v>
      </c>
      <c r="P476" s="14">
        <f>CHOOSE(CONTROL!$C$42, 23.1251, 23.1251) * CHOOSE(CONTROL!$C$21, $C$9, 100%, $E$9)</f>
        <v>23.1251</v>
      </c>
      <c r="Q476" s="14">
        <f>CHOOSE(CONTROL!$C$42, 23.9102, 23.9102) * CHOOSE(CONTROL!$C$21, $C$9, 100%, $E$9)</f>
        <v>23.9102</v>
      </c>
      <c r="R476" s="14">
        <f>CHOOSE(CONTROL!$C$42, 24.557, 24.557) * CHOOSE(CONTROL!$C$21, $C$9, 100%, $E$9)</f>
        <v>24.556999999999999</v>
      </c>
      <c r="S476" s="14">
        <f>CHOOSE(CONTROL!$C$42, 22.5201, 22.5201) * CHOOSE(CONTROL!$C$21, $C$9, 100%, $E$9)</f>
        <v>22.520099999999999</v>
      </c>
      <c r="T47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76" s="56">
        <f>(1000*CHOOSE(CONTROL!$C$42, 695, 695)*CHOOSE(CONTROL!$C$42, 0.5599, 0.5599)*CHOOSE(CONTROL!$C$42, 31, 31))/1000000</f>
        <v>12.063045499999998</v>
      </c>
      <c r="V476" s="56">
        <f>(1000*CHOOSE(CONTROL!$C$42, 500, 500)*CHOOSE(CONTROL!$C$42, 0.275, 0.275)*CHOOSE(CONTROL!$C$42, 31, 31))/1000000</f>
        <v>4.2625000000000002</v>
      </c>
      <c r="W476" s="56">
        <f>(1000*CHOOSE(CONTROL!$C$42, 0.1146, 0.1146)*CHOOSE(CONTROL!$C$42, 121.5, 121.5)*CHOOSE(CONTROL!$C$42, 31, 31))/1000000</f>
        <v>0.43164089999999994</v>
      </c>
      <c r="X476" s="56">
        <f>(31*0.1790888*245000/1000000)+(31*0.2374*100000/1000000)</f>
        <v>2.0961194359999999</v>
      </c>
      <c r="Y476" s="56"/>
      <c r="Z476" s="14"/>
      <c r="AA476" s="55"/>
      <c r="AB476" s="49">
        <f>(B476*194.205+C476*267.466+D476*133.845+E476*53.484+F476*40+G476*185+H476*0+I476*100+J476*300)/(194.205+267.466+133.845+53.484+0+40+185+100+300)</f>
        <v>23.507273979513347</v>
      </c>
      <c r="AC476" s="45">
        <f>(M476*'RAP TEMPLATE-GAS AVAILABILITY'!O475+N476*'RAP TEMPLATE-GAS AVAILABILITY'!P475+O476*'RAP TEMPLATE-GAS AVAILABILITY'!Q475+P476*'RAP TEMPLATE-GAS AVAILABILITY'!R475)/('RAP TEMPLATE-GAS AVAILABILITY'!O475+'RAP TEMPLATE-GAS AVAILABILITY'!P475+'RAP TEMPLATE-GAS AVAILABILITY'!Q475+'RAP TEMPLATE-GAS AVAILABILITY'!R475)</f>
        <v>23.13838345323741</v>
      </c>
    </row>
    <row r="477" spans="1:29" ht="15.75" x14ac:dyDescent="0.25">
      <c r="A477" s="33">
        <v>55426</v>
      </c>
      <c r="B477" s="14">
        <f>CHOOSE(CONTROL!$C$42, 21.9594, 21.9594) * CHOOSE(CONTROL!$C$21, $C$9, 100%, $E$9)</f>
        <v>21.959399999999999</v>
      </c>
      <c r="C477" s="14">
        <f>CHOOSE(CONTROL!$C$42, 21.9674, 21.9674) * CHOOSE(CONTROL!$C$21, $C$9, 100%, $E$9)</f>
        <v>21.967400000000001</v>
      </c>
      <c r="D477" s="14">
        <f>CHOOSE(CONTROL!$C$42, 22.2265, 22.2265) * CHOOSE(CONTROL!$C$21, $C$9, 100%, $E$9)</f>
        <v>22.226500000000001</v>
      </c>
      <c r="E477" s="14">
        <f>CHOOSE(CONTROL!$C$42, 22.258, 22.258) * CHOOSE(CONTROL!$C$21, $C$9, 100%, $E$9)</f>
        <v>22.257999999999999</v>
      </c>
      <c r="F477" s="14">
        <f>CHOOSE(CONTROL!$C$42, 21.9819, 21.9819)*CHOOSE(CONTROL!$C$21, $C$9, 100%, $E$9)</f>
        <v>21.9819</v>
      </c>
      <c r="G477" s="14">
        <f>CHOOSE(CONTROL!$C$42, 21.9991, 21.9991)*CHOOSE(CONTROL!$C$21, $C$9, 100%, $E$9)</f>
        <v>21.999099999999999</v>
      </c>
      <c r="H477" s="14">
        <f>CHOOSE(CONTROL!$C$42, 22.2466, 22.2466) * CHOOSE(CONTROL!$C$21, $C$9, 100%, $E$9)</f>
        <v>22.246600000000001</v>
      </c>
      <c r="I477" s="14">
        <f>CHOOSE(CONTROL!$C$42, 22.0493, 22.0493)* CHOOSE(CONTROL!$C$21, $C$9, 100%, $E$9)</f>
        <v>22.049299999999999</v>
      </c>
      <c r="J477" s="14">
        <f>CHOOSE(CONTROL!$C$42, 21.9749, 21.9749)* CHOOSE(CONTROL!$C$21, $C$9, 100%, $E$9)</f>
        <v>21.974900000000002</v>
      </c>
      <c r="K477" s="52">
        <f>CHOOSE(CONTROL!$C$42, 22.0454, 22.0454) * CHOOSE(CONTROL!$C$21, $C$9, 100%, $E$9)</f>
        <v>22.045400000000001</v>
      </c>
      <c r="L477" s="14">
        <f>CHOOSE(CONTROL!$C$42, 22.8336, 22.8336) * CHOOSE(CONTROL!$C$21, $C$9, 100%, $E$9)</f>
        <v>22.833600000000001</v>
      </c>
      <c r="M477" s="14">
        <f>CHOOSE(CONTROL!$C$42, 21.5873, 21.5873) * CHOOSE(CONTROL!$C$21, $C$9, 100%, $E$9)</f>
        <v>21.587299999999999</v>
      </c>
      <c r="N477" s="14">
        <f>CHOOSE(CONTROL!$C$42, 21.6042, 21.6042) * CHOOSE(CONTROL!$C$21, $C$9, 100%, $E$9)</f>
        <v>21.604199999999999</v>
      </c>
      <c r="O477" s="14">
        <f>CHOOSE(CONTROL!$C$42, 21.8542, 21.8542) * CHOOSE(CONTROL!$C$21, $C$9, 100%, $E$9)</f>
        <v>21.854199999999999</v>
      </c>
      <c r="P477" s="14">
        <f>CHOOSE(CONTROL!$C$42, 21.6592, 21.6592) * CHOOSE(CONTROL!$C$21, $C$9, 100%, $E$9)</f>
        <v>21.659199999999998</v>
      </c>
      <c r="Q477" s="14">
        <f>CHOOSE(CONTROL!$C$42, 22.4489, 22.4489) * CHOOSE(CONTROL!$C$21, $C$9, 100%, $E$9)</f>
        <v>22.448899999999998</v>
      </c>
      <c r="R477" s="14">
        <f>CHOOSE(CONTROL!$C$42, 23.092, 23.092) * CHOOSE(CONTROL!$C$21, $C$9, 100%, $E$9)</f>
        <v>23.091999999999999</v>
      </c>
      <c r="S477" s="14">
        <f>CHOOSE(CONTROL!$C$42, 21.0902, 21.0902) * CHOOSE(CONTROL!$C$21, $C$9, 100%, $E$9)</f>
        <v>21.090199999999999</v>
      </c>
      <c r="T47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77" s="56">
        <f>(1000*CHOOSE(CONTROL!$C$42, 695, 695)*CHOOSE(CONTROL!$C$42, 0.5599, 0.5599)*CHOOSE(CONTROL!$C$42, 30, 30))/1000000</f>
        <v>11.673914999999997</v>
      </c>
      <c r="V477" s="56">
        <f>(1000*CHOOSE(CONTROL!$C$42, 500, 500)*CHOOSE(CONTROL!$C$42, 0.275, 0.275)*CHOOSE(CONTROL!$C$42, 30, 30))/1000000</f>
        <v>4.125</v>
      </c>
      <c r="W477" s="56">
        <f>(1000*CHOOSE(CONTROL!$C$42, 0.1146, 0.1146)*CHOOSE(CONTROL!$C$42, 121.5, 121.5)*CHOOSE(CONTROL!$C$42, 30, 30))/1000000</f>
        <v>0.417717</v>
      </c>
      <c r="X477" s="56">
        <f>(30*0.1790888*245000/1000000)+(30*0.2374*100000/1000000)</f>
        <v>2.0285026799999999</v>
      </c>
      <c r="Y477" s="56"/>
      <c r="Z477" s="14"/>
      <c r="AA477" s="55"/>
      <c r="AB477" s="49">
        <f>(B477*194.205+C477*267.466+D477*133.845+E477*53.484+F477*40+G477*185+H477*0+I477*100+J477*300)/(194.205+267.466+133.845+53.484+0+40+185+100+300)</f>
        <v>22.018854120800629</v>
      </c>
      <c r="AC477" s="45">
        <f>(M477*'RAP TEMPLATE-GAS AVAILABILITY'!O476+N477*'RAP TEMPLATE-GAS AVAILABILITY'!P476+O477*'RAP TEMPLATE-GAS AVAILABILITY'!Q476+P477*'RAP TEMPLATE-GAS AVAILABILITY'!R476)/('RAP TEMPLATE-GAS AVAILABILITY'!O476+'RAP TEMPLATE-GAS AVAILABILITY'!P476+'RAP TEMPLATE-GAS AVAILABILITY'!Q476+'RAP TEMPLATE-GAS AVAILABILITY'!R476)</f>
        <v>21.676421582733813</v>
      </c>
    </row>
    <row r="478" spans="1:29" ht="15.75" x14ac:dyDescent="0.25">
      <c r="A478" s="33">
        <v>55457</v>
      </c>
      <c r="B478" s="14">
        <f>CHOOSE(CONTROL!$C$42, 21.512, 21.512) * CHOOSE(CONTROL!$C$21, $C$9, 100%, $E$9)</f>
        <v>21.512</v>
      </c>
      <c r="C478" s="14">
        <f>CHOOSE(CONTROL!$C$42, 21.5173, 21.5173) * CHOOSE(CONTROL!$C$21, $C$9, 100%, $E$9)</f>
        <v>21.517299999999999</v>
      </c>
      <c r="D478" s="14">
        <f>CHOOSE(CONTROL!$C$42, 21.7814, 21.7814) * CHOOSE(CONTROL!$C$21, $C$9, 100%, $E$9)</f>
        <v>21.781400000000001</v>
      </c>
      <c r="E478" s="14">
        <f>CHOOSE(CONTROL!$C$42, 21.8105, 21.8105) * CHOOSE(CONTROL!$C$21, $C$9, 100%, $E$9)</f>
        <v>21.810500000000001</v>
      </c>
      <c r="F478" s="14">
        <f>CHOOSE(CONTROL!$C$42, 21.5367, 21.5367)*CHOOSE(CONTROL!$C$21, $C$9, 100%, $E$9)</f>
        <v>21.5367</v>
      </c>
      <c r="G478" s="14">
        <f>CHOOSE(CONTROL!$C$42, 21.5538, 21.5538)*CHOOSE(CONTROL!$C$21, $C$9, 100%, $E$9)</f>
        <v>21.553799999999999</v>
      </c>
      <c r="H478" s="14">
        <f>CHOOSE(CONTROL!$C$42, 21.801, 21.801) * CHOOSE(CONTROL!$C$21, $C$9, 100%, $E$9)</f>
        <v>21.800999999999998</v>
      </c>
      <c r="I478" s="14">
        <f>CHOOSE(CONTROL!$C$42, 21.6023, 21.6023)* CHOOSE(CONTROL!$C$21, $C$9, 100%, $E$9)</f>
        <v>21.6023</v>
      </c>
      <c r="J478" s="14">
        <f>CHOOSE(CONTROL!$C$42, 21.5297, 21.5297)* CHOOSE(CONTROL!$C$21, $C$9, 100%, $E$9)</f>
        <v>21.529699999999998</v>
      </c>
      <c r="K478" s="52">
        <f>CHOOSE(CONTROL!$C$42, 21.5984, 21.5984) * CHOOSE(CONTROL!$C$21, $C$9, 100%, $E$9)</f>
        <v>21.598400000000002</v>
      </c>
      <c r="L478" s="14">
        <f>CHOOSE(CONTROL!$C$42, 22.388, 22.388) * CHOOSE(CONTROL!$C$21, $C$9, 100%, $E$9)</f>
        <v>22.388000000000002</v>
      </c>
      <c r="M478" s="14">
        <f>CHOOSE(CONTROL!$C$42, 21.1501, 21.1501) * CHOOSE(CONTROL!$C$21, $C$9, 100%, $E$9)</f>
        <v>21.150099999999998</v>
      </c>
      <c r="N478" s="14">
        <f>CHOOSE(CONTROL!$C$42, 21.1669, 21.1669) * CHOOSE(CONTROL!$C$21, $C$9, 100%, $E$9)</f>
        <v>21.166899999999998</v>
      </c>
      <c r="O478" s="14">
        <f>CHOOSE(CONTROL!$C$42, 21.4166, 21.4166) * CHOOSE(CONTROL!$C$21, $C$9, 100%, $E$9)</f>
        <v>21.416599999999999</v>
      </c>
      <c r="P478" s="14">
        <f>CHOOSE(CONTROL!$C$42, 21.2203, 21.2203) * CHOOSE(CONTROL!$C$21, $C$9, 100%, $E$9)</f>
        <v>21.220300000000002</v>
      </c>
      <c r="Q478" s="14">
        <f>CHOOSE(CONTROL!$C$42, 22.0113, 22.0113) * CHOOSE(CONTROL!$C$21, $C$9, 100%, $E$9)</f>
        <v>22.011299999999999</v>
      </c>
      <c r="R478" s="14">
        <f>CHOOSE(CONTROL!$C$42, 22.6533, 22.6533) * CHOOSE(CONTROL!$C$21, $C$9, 100%, $E$9)</f>
        <v>22.653300000000002</v>
      </c>
      <c r="S478" s="14">
        <f>CHOOSE(CONTROL!$C$42, 20.662, 20.662) * CHOOSE(CONTROL!$C$21, $C$9, 100%, $E$9)</f>
        <v>20.661999999999999</v>
      </c>
      <c r="T47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78" s="56">
        <f>(1000*CHOOSE(CONTROL!$C$42, 695, 695)*CHOOSE(CONTROL!$C$42, 0.5599, 0.5599)*CHOOSE(CONTROL!$C$42, 31, 31))/1000000</f>
        <v>12.063045499999998</v>
      </c>
      <c r="V478" s="56">
        <f>(1000*CHOOSE(CONTROL!$C$42, 500, 500)*CHOOSE(CONTROL!$C$42, 0.275, 0.275)*CHOOSE(CONTROL!$C$42, 31, 31))/1000000</f>
        <v>4.2625000000000002</v>
      </c>
      <c r="W478" s="56">
        <f>(1000*CHOOSE(CONTROL!$C$42, 0.1146, 0.1146)*CHOOSE(CONTROL!$C$42, 121.5, 121.5)*CHOOSE(CONTROL!$C$42, 31, 31))/1000000</f>
        <v>0.43164089999999994</v>
      </c>
      <c r="X478" s="56">
        <f>(31*0.1790888*245000/1000000)+(31*0.2374*100000/1000000)</f>
        <v>2.0961194359999999</v>
      </c>
      <c r="Y478" s="56"/>
      <c r="Z478" s="14"/>
      <c r="AA478" s="55"/>
      <c r="AB478" s="49">
        <f>(B478*131.881+C478*277.167+D478*79.08+E478*125.872+F478*40+G478*185+H478*0+I478*100+J478*300)/(131.881+277.167+79.08+125.872+0+40+185+100+300)</f>
        <v>21.579317941162227</v>
      </c>
      <c r="AC478" s="45">
        <f>(M478*'RAP TEMPLATE-GAS AVAILABILITY'!O477+N478*'RAP TEMPLATE-GAS AVAILABILITY'!P477+O478*'RAP TEMPLATE-GAS AVAILABILITY'!Q477+P478*'RAP TEMPLATE-GAS AVAILABILITY'!R477)/('RAP TEMPLATE-GAS AVAILABILITY'!O477+'RAP TEMPLATE-GAS AVAILABILITY'!P477+'RAP TEMPLATE-GAS AVAILABILITY'!Q477+'RAP TEMPLATE-GAS AVAILABILITY'!R477)</f>
        <v>21.238841726618706</v>
      </c>
    </row>
    <row r="479" spans="1:29" ht="15.75" x14ac:dyDescent="0.25">
      <c r="A479" s="33">
        <v>55487</v>
      </c>
      <c r="B479" s="14">
        <f>CHOOSE(CONTROL!$C$42, 22.0781, 22.0781) * CHOOSE(CONTROL!$C$21, $C$9, 100%, $E$9)</f>
        <v>22.078099999999999</v>
      </c>
      <c r="C479" s="14">
        <f>CHOOSE(CONTROL!$C$42, 22.0831, 22.0831) * CHOOSE(CONTROL!$C$21, $C$9, 100%, $E$9)</f>
        <v>22.083100000000002</v>
      </c>
      <c r="D479" s="14">
        <f>CHOOSE(CONTROL!$C$42, 22.1662, 22.1662) * CHOOSE(CONTROL!$C$21, $C$9, 100%, $E$9)</f>
        <v>22.1662</v>
      </c>
      <c r="E479" s="14">
        <f>CHOOSE(CONTROL!$C$42, 22.2003, 22.2003) * CHOOSE(CONTROL!$C$21, $C$9, 100%, $E$9)</f>
        <v>22.200299999999999</v>
      </c>
      <c r="F479" s="14">
        <f>CHOOSE(CONTROL!$C$42, 22.1057, 22.1057)*CHOOSE(CONTROL!$C$21, $C$9, 100%, $E$9)</f>
        <v>22.105699999999999</v>
      </c>
      <c r="G479" s="14">
        <f>CHOOSE(CONTROL!$C$42, 22.1231, 22.1231)*CHOOSE(CONTROL!$C$21, $C$9, 100%, $E$9)</f>
        <v>22.123100000000001</v>
      </c>
      <c r="H479" s="14">
        <f>CHOOSE(CONTROL!$C$42, 22.1895, 22.1895) * CHOOSE(CONTROL!$C$21, $C$9, 100%, $E$9)</f>
        <v>22.189499999999999</v>
      </c>
      <c r="I479" s="14">
        <f>CHOOSE(CONTROL!$C$42, 22.1668, 22.1668)* CHOOSE(CONTROL!$C$21, $C$9, 100%, $E$9)</f>
        <v>22.166799999999999</v>
      </c>
      <c r="J479" s="14">
        <f>CHOOSE(CONTROL!$C$42, 22.0987, 22.0987)* CHOOSE(CONTROL!$C$21, $C$9, 100%, $E$9)</f>
        <v>22.098700000000001</v>
      </c>
      <c r="K479" s="52">
        <f>CHOOSE(CONTROL!$C$42, 22.163, 22.163) * CHOOSE(CONTROL!$C$21, $C$9, 100%, $E$9)</f>
        <v>22.163</v>
      </c>
      <c r="L479" s="14">
        <f>CHOOSE(CONTROL!$C$42, 22.7765, 22.7765) * CHOOSE(CONTROL!$C$21, $C$9, 100%, $E$9)</f>
        <v>22.776499999999999</v>
      </c>
      <c r="M479" s="14">
        <f>CHOOSE(CONTROL!$C$42, 21.7089, 21.7089) * CHOOSE(CONTROL!$C$21, $C$9, 100%, $E$9)</f>
        <v>21.7089</v>
      </c>
      <c r="N479" s="14">
        <f>CHOOSE(CONTROL!$C$42, 21.726, 21.726) * CHOOSE(CONTROL!$C$21, $C$9, 100%, $E$9)</f>
        <v>21.725999999999999</v>
      </c>
      <c r="O479" s="14">
        <f>CHOOSE(CONTROL!$C$42, 21.7981, 21.7981) * CHOOSE(CONTROL!$C$21, $C$9, 100%, $E$9)</f>
        <v>21.798100000000002</v>
      </c>
      <c r="P479" s="14">
        <f>CHOOSE(CONTROL!$C$42, 21.7747, 21.7747) * CHOOSE(CONTROL!$C$21, $C$9, 100%, $E$9)</f>
        <v>21.774699999999999</v>
      </c>
      <c r="Q479" s="14">
        <f>CHOOSE(CONTROL!$C$42, 22.3928, 22.3928) * CHOOSE(CONTROL!$C$21, $C$9, 100%, $E$9)</f>
        <v>22.392800000000001</v>
      </c>
      <c r="R479" s="14">
        <f>CHOOSE(CONTROL!$C$42, 23.0358, 23.0358) * CHOOSE(CONTROL!$C$21, $C$9, 100%, $E$9)</f>
        <v>23.035799999999998</v>
      </c>
      <c r="S479" s="14">
        <f>CHOOSE(CONTROL!$C$42, 21.2063, 21.2063) * CHOOSE(CONTROL!$C$21, $C$9, 100%, $E$9)</f>
        <v>21.206299999999999</v>
      </c>
      <c r="T47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9" s="56">
        <f>(1000*CHOOSE(CONTROL!$C$42, 695, 695)*CHOOSE(CONTROL!$C$42, 0.5599, 0.5599)*CHOOSE(CONTROL!$C$42, 30, 30))/1000000</f>
        <v>11.673914999999997</v>
      </c>
      <c r="V479" s="56">
        <f>(1000*CHOOSE(CONTROL!$C$42, 500, 500)*CHOOSE(CONTROL!$C$42, 0.275, 0.275)*CHOOSE(CONTROL!$C$42, 30, 30))/1000000</f>
        <v>4.125</v>
      </c>
      <c r="W479" s="56">
        <f>(1000*CHOOSE(CONTROL!$C$42, 0.1146, 0.1146)*CHOOSE(CONTROL!$C$42, 121.5, 121.5)*CHOOSE(CONTROL!$C$42, 30, 30))/1000000</f>
        <v>0.417717</v>
      </c>
      <c r="X479" s="56">
        <f>(30*0.1790888*100000/1000000)+(30*0.2374*100000/1000000)</f>
        <v>1.2494664</v>
      </c>
      <c r="Y479" s="56"/>
      <c r="Z479" s="14"/>
      <c r="AA479" s="55"/>
      <c r="AB479" s="49">
        <f>(B479*122.58+C479*297.941+D479*89.177+E479*40.302+F479*40+G479*160+H479*0+I479*100+J479*300)/(122.58+297.941+89.177+40.302+0+40+160+100+300)</f>
        <v>22.110817480956523</v>
      </c>
      <c r="AC479" s="45">
        <f>(M479*'RAP TEMPLATE-GAS AVAILABILITY'!O478+N479*'RAP TEMPLATE-GAS AVAILABILITY'!P478+O479*'RAP TEMPLATE-GAS AVAILABILITY'!Q478+P479*'RAP TEMPLATE-GAS AVAILABILITY'!R478)/('RAP TEMPLATE-GAS AVAILABILITY'!O478+'RAP TEMPLATE-GAS AVAILABILITY'!P478+'RAP TEMPLATE-GAS AVAILABILITY'!Q478+'RAP TEMPLATE-GAS AVAILABILITY'!R478)</f>
        <v>21.759780575539569</v>
      </c>
    </row>
    <row r="480" spans="1:29" ht="15.75" x14ac:dyDescent="0.25">
      <c r="A480" s="33">
        <v>55518</v>
      </c>
      <c r="B480" s="14">
        <f>CHOOSE(CONTROL!$C$42, 23.5827, 23.5827) * CHOOSE(CONTROL!$C$21, $C$9, 100%, $E$9)</f>
        <v>23.582699999999999</v>
      </c>
      <c r="C480" s="14">
        <f>CHOOSE(CONTROL!$C$42, 23.5878, 23.5878) * CHOOSE(CONTROL!$C$21, $C$9, 100%, $E$9)</f>
        <v>23.587800000000001</v>
      </c>
      <c r="D480" s="14">
        <f>CHOOSE(CONTROL!$C$42, 23.6708, 23.6708) * CHOOSE(CONTROL!$C$21, $C$9, 100%, $E$9)</f>
        <v>23.6708</v>
      </c>
      <c r="E480" s="14">
        <f>CHOOSE(CONTROL!$C$42, 23.7049, 23.7049) * CHOOSE(CONTROL!$C$21, $C$9, 100%, $E$9)</f>
        <v>23.704899999999999</v>
      </c>
      <c r="F480" s="14">
        <f>CHOOSE(CONTROL!$C$42, 23.6128, 23.6128)*CHOOSE(CONTROL!$C$21, $C$9, 100%, $E$9)</f>
        <v>23.6128</v>
      </c>
      <c r="G480" s="14">
        <f>CHOOSE(CONTROL!$C$42, 23.6308, 23.6308)*CHOOSE(CONTROL!$C$21, $C$9, 100%, $E$9)</f>
        <v>23.630800000000001</v>
      </c>
      <c r="H480" s="14">
        <f>CHOOSE(CONTROL!$C$42, 23.6941, 23.6941) * CHOOSE(CONTROL!$C$21, $C$9, 100%, $E$9)</f>
        <v>23.694099999999999</v>
      </c>
      <c r="I480" s="14">
        <f>CHOOSE(CONTROL!$C$42, 23.6762, 23.6762)* CHOOSE(CONTROL!$C$21, $C$9, 100%, $E$9)</f>
        <v>23.676200000000001</v>
      </c>
      <c r="J480" s="14">
        <f>CHOOSE(CONTROL!$C$42, 23.6058, 23.6058)* CHOOSE(CONTROL!$C$21, $C$9, 100%, $E$9)</f>
        <v>23.605799999999999</v>
      </c>
      <c r="K480" s="52">
        <f>CHOOSE(CONTROL!$C$42, 23.6723, 23.6723) * CHOOSE(CONTROL!$C$21, $C$9, 100%, $E$9)</f>
        <v>23.6723</v>
      </c>
      <c r="L480" s="14">
        <f>CHOOSE(CONTROL!$C$42, 24.2811, 24.2811) * CHOOSE(CONTROL!$C$21, $C$9, 100%, $E$9)</f>
        <v>24.281099999999999</v>
      </c>
      <c r="M480" s="14">
        <f>CHOOSE(CONTROL!$C$42, 23.1889, 23.1889) * CHOOSE(CONTROL!$C$21, $C$9, 100%, $E$9)</f>
        <v>23.1889</v>
      </c>
      <c r="N480" s="14">
        <f>CHOOSE(CONTROL!$C$42, 23.2065, 23.2065) * CHOOSE(CONTROL!$C$21, $C$9, 100%, $E$9)</f>
        <v>23.206499999999998</v>
      </c>
      <c r="O480" s="14">
        <f>CHOOSE(CONTROL!$C$42, 23.2756, 23.2756) * CHOOSE(CONTROL!$C$21, $C$9, 100%, $E$9)</f>
        <v>23.275600000000001</v>
      </c>
      <c r="P480" s="14">
        <f>CHOOSE(CONTROL!$C$42, 23.2568, 23.2568) * CHOOSE(CONTROL!$C$21, $C$9, 100%, $E$9)</f>
        <v>23.256799999999998</v>
      </c>
      <c r="Q480" s="14">
        <f>CHOOSE(CONTROL!$C$42, 23.8703, 23.8703) * CHOOSE(CONTROL!$C$21, $C$9, 100%, $E$9)</f>
        <v>23.8703</v>
      </c>
      <c r="R480" s="14">
        <f>CHOOSE(CONTROL!$C$42, 24.517, 24.517) * CHOOSE(CONTROL!$C$21, $C$9, 100%, $E$9)</f>
        <v>24.516999999999999</v>
      </c>
      <c r="S480" s="14">
        <f>CHOOSE(CONTROL!$C$42, 22.6521, 22.6521) * CHOOSE(CONTROL!$C$21, $C$9, 100%, $E$9)</f>
        <v>22.652100000000001</v>
      </c>
      <c r="T48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0" s="56">
        <f>(1000*CHOOSE(CONTROL!$C$42, 695, 695)*CHOOSE(CONTROL!$C$42, 0.5599, 0.5599)*CHOOSE(CONTROL!$C$42, 31, 31))/1000000</f>
        <v>12.063045499999998</v>
      </c>
      <c r="V480" s="56">
        <f>(1000*CHOOSE(CONTROL!$C$42, 500, 500)*CHOOSE(CONTROL!$C$42, 0.275, 0.275)*CHOOSE(CONTROL!$C$42, 31, 31))/1000000</f>
        <v>4.2625000000000002</v>
      </c>
      <c r="W480" s="56">
        <f>(1000*CHOOSE(CONTROL!$C$42, 0.1146, 0.1146)*CHOOSE(CONTROL!$C$42, 121.5, 121.5)*CHOOSE(CONTROL!$C$42, 31, 31))/1000000</f>
        <v>0.43164089999999994</v>
      </c>
      <c r="X480" s="56">
        <f>(31*0.1790888*100000/1000000)+(31*0.2374*100000/1000000)</f>
        <v>1.2911152800000001</v>
      </c>
      <c r="Y480" s="56"/>
      <c r="Z480" s="14"/>
      <c r="AA480" s="55"/>
      <c r="AB480" s="49">
        <f>(B480*122.58+C480*297.941+D480*89.177+E480*40.302+F480*40+G480*160+H480*0+I480*100+J480*300)/(122.58+297.941+89.177+40.302+0+40+160+100+300)</f>
        <v>23.617031214956519</v>
      </c>
      <c r="AC480" s="45">
        <f>(M480*'RAP TEMPLATE-GAS AVAILABILITY'!O479+N480*'RAP TEMPLATE-GAS AVAILABILITY'!P479+O480*'RAP TEMPLATE-GAS AVAILABILITY'!Q479+P480*'RAP TEMPLATE-GAS AVAILABILITY'!R479)/('RAP TEMPLATE-GAS AVAILABILITY'!O479+'RAP TEMPLATE-GAS AVAILABILITY'!P479+'RAP TEMPLATE-GAS AVAILABILITY'!Q479+'RAP TEMPLATE-GAS AVAILABILITY'!R479)</f>
        <v>23.238978417266186</v>
      </c>
    </row>
    <row r="481" spans="1:29" ht="15.75" x14ac:dyDescent="0.25">
      <c r="A481" s="33">
        <v>55549</v>
      </c>
      <c r="B481" s="14">
        <f>CHOOSE(CONTROL!$C$42, 25.5369, 25.5369) * CHOOSE(CONTROL!$C$21, $C$9, 100%, $E$9)</f>
        <v>25.536899999999999</v>
      </c>
      <c r="C481" s="14">
        <f>CHOOSE(CONTROL!$C$42, 25.542, 25.542) * CHOOSE(CONTROL!$C$21, $C$9, 100%, $E$9)</f>
        <v>25.542000000000002</v>
      </c>
      <c r="D481" s="14">
        <f>CHOOSE(CONTROL!$C$42, 25.6355, 25.6355) * CHOOSE(CONTROL!$C$21, $C$9, 100%, $E$9)</f>
        <v>25.6355</v>
      </c>
      <c r="E481" s="14">
        <f>CHOOSE(CONTROL!$C$42, 25.6696, 25.6696) * CHOOSE(CONTROL!$C$21, $C$9, 100%, $E$9)</f>
        <v>25.669599999999999</v>
      </c>
      <c r="F481" s="14">
        <f>CHOOSE(CONTROL!$C$42, 25.5642, 25.5642)*CHOOSE(CONTROL!$C$21, $C$9, 100%, $E$9)</f>
        <v>25.5642</v>
      </c>
      <c r="G481" s="14">
        <f>CHOOSE(CONTROL!$C$42, 25.5822, 25.5822)*CHOOSE(CONTROL!$C$21, $C$9, 100%, $E$9)</f>
        <v>25.5822</v>
      </c>
      <c r="H481" s="14">
        <f>CHOOSE(CONTROL!$C$42, 25.6588, 25.6588) * CHOOSE(CONTROL!$C$21, $C$9, 100%, $E$9)</f>
        <v>25.658799999999999</v>
      </c>
      <c r="I481" s="14">
        <f>CHOOSE(CONTROL!$C$42, 25.6428, 25.6428)* CHOOSE(CONTROL!$C$21, $C$9, 100%, $E$9)</f>
        <v>25.642800000000001</v>
      </c>
      <c r="J481" s="14">
        <f>CHOOSE(CONTROL!$C$42, 25.5572, 25.5572)* CHOOSE(CONTROL!$C$21, $C$9, 100%, $E$9)</f>
        <v>25.557200000000002</v>
      </c>
      <c r="K481" s="52">
        <f>CHOOSE(CONTROL!$C$42, 25.6389, 25.6389) * CHOOSE(CONTROL!$C$21, $C$9, 100%, $E$9)</f>
        <v>25.6389</v>
      </c>
      <c r="L481" s="14">
        <f>CHOOSE(CONTROL!$C$42, 26.2458, 26.2458) * CHOOSE(CONTROL!$C$21, $C$9, 100%, $E$9)</f>
        <v>26.245799999999999</v>
      </c>
      <c r="M481" s="14">
        <f>CHOOSE(CONTROL!$C$42, 25.1052, 25.1052) * CHOOSE(CONTROL!$C$21, $C$9, 100%, $E$9)</f>
        <v>25.1052</v>
      </c>
      <c r="N481" s="14">
        <f>CHOOSE(CONTROL!$C$42, 25.1229, 25.1229) * CHOOSE(CONTROL!$C$21, $C$9, 100%, $E$9)</f>
        <v>25.122900000000001</v>
      </c>
      <c r="O481" s="14">
        <f>CHOOSE(CONTROL!$C$42, 25.2049, 25.2049) * CHOOSE(CONTROL!$C$21, $C$9, 100%, $E$9)</f>
        <v>25.204899999999999</v>
      </c>
      <c r="P481" s="14">
        <f>CHOOSE(CONTROL!$C$42, 25.1879, 25.1879) * CHOOSE(CONTROL!$C$21, $C$9, 100%, $E$9)</f>
        <v>25.187899999999999</v>
      </c>
      <c r="Q481" s="14">
        <f>CHOOSE(CONTROL!$C$42, 25.7996, 25.7996) * CHOOSE(CONTROL!$C$21, $C$9, 100%, $E$9)</f>
        <v>25.799600000000002</v>
      </c>
      <c r="R481" s="14">
        <f>CHOOSE(CONTROL!$C$42, 26.4511, 26.4511) * CHOOSE(CONTROL!$C$21, $C$9, 100%, $E$9)</f>
        <v>26.4511</v>
      </c>
      <c r="S481" s="14">
        <f>CHOOSE(CONTROL!$C$42, 24.5299, 24.5299) * CHOOSE(CONTROL!$C$21, $C$9, 100%, $E$9)</f>
        <v>24.529900000000001</v>
      </c>
      <c r="T48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81" s="56">
        <f>(1000*CHOOSE(CONTROL!$C$42, 695, 695)*CHOOSE(CONTROL!$C$42, 0.5599, 0.5599)*CHOOSE(CONTROL!$C$42, 31, 31))/1000000</f>
        <v>12.063045499999998</v>
      </c>
      <c r="V481" s="56">
        <f>(1000*CHOOSE(CONTROL!$C$42, 500, 500)*CHOOSE(CONTROL!$C$42, 0.275, 0.275)*CHOOSE(CONTROL!$C$42, 31, 31))/1000000</f>
        <v>4.2625000000000002</v>
      </c>
      <c r="W481" s="56">
        <f>(1000*CHOOSE(CONTROL!$C$42, 0.1146, 0.1146)*CHOOSE(CONTROL!$C$42, 121.5, 121.5)*CHOOSE(CONTROL!$C$42, 31, 31))/1000000</f>
        <v>0.43164089999999994</v>
      </c>
      <c r="X481" s="56">
        <f>(31*0.1790888*100000/1000000)+(31*0.2374*100000/1000000)</f>
        <v>1.2911152800000001</v>
      </c>
      <c r="Y481" s="56"/>
      <c r="Z481" s="14"/>
      <c r="AA481" s="55"/>
      <c r="AB481" s="49">
        <f>(B481*122.58+C481*297.941+D481*89.177+E481*40.302+F481*40+G481*160+H481*0+I481*100+J481*300)/(122.58+297.941+89.177+40.302+0+40+160+100+300)</f>
        <v>25.572274284086955</v>
      </c>
      <c r="AC481" s="45">
        <f>(M481*'RAP TEMPLATE-GAS AVAILABILITY'!O480+N481*'RAP TEMPLATE-GAS AVAILABILITY'!P480+O481*'RAP TEMPLATE-GAS AVAILABILITY'!Q480+P481*'RAP TEMPLATE-GAS AVAILABILITY'!R480)/('RAP TEMPLATE-GAS AVAILABILITY'!O480+'RAP TEMPLATE-GAS AVAILABILITY'!P480+'RAP TEMPLATE-GAS AVAILABILITY'!Q480+'RAP TEMPLATE-GAS AVAILABILITY'!R480)</f>
        <v>25.163305755395687</v>
      </c>
    </row>
    <row r="482" spans="1:29" ht="15.75" x14ac:dyDescent="0.25">
      <c r="A482" s="33">
        <v>55577</v>
      </c>
      <c r="B482" s="14">
        <f>CHOOSE(CONTROL!$C$42, 25.9913, 25.9913) * CHOOSE(CONTROL!$C$21, $C$9, 100%, $E$9)</f>
        <v>25.991299999999999</v>
      </c>
      <c r="C482" s="14">
        <f>CHOOSE(CONTROL!$C$42, 25.9964, 25.9964) * CHOOSE(CONTROL!$C$21, $C$9, 100%, $E$9)</f>
        <v>25.996400000000001</v>
      </c>
      <c r="D482" s="14">
        <f>CHOOSE(CONTROL!$C$42, 26.0899, 26.0899) * CHOOSE(CONTROL!$C$21, $C$9, 100%, $E$9)</f>
        <v>26.0899</v>
      </c>
      <c r="E482" s="14">
        <f>CHOOSE(CONTROL!$C$42, 26.124, 26.124) * CHOOSE(CONTROL!$C$21, $C$9, 100%, $E$9)</f>
        <v>26.123999999999999</v>
      </c>
      <c r="F482" s="14">
        <f>CHOOSE(CONTROL!$C$42, 26.0183, 26.0183)*CHOOSE(CONTROL!$C$21, $C$9, 100%, $E$9)</f>
        <v>26.0183</v>
      </c>
      <c r="G482" s="14">
        <f>CHOOSE(CONTROL!$C$42, 26.0362, 26.0362)*CHOOSE(CONTROL!$C$21, $C$9, 100%, $E$9)</f>
        <v>26.036200000000001</v>
      </c>
      <c r="H482" s="14">
        <f>CHOOSE(CONTROL!$C$42, 26.1132, 26.1132) * CHOOSE(CONTROL!$C$21, $C$9, 100%, $E$9)</f>
        <v>26.113199999999999</v>
      </c>
      <c r="I482" s="14">
        <f>CHOOSE(CONTROL!$C$42, 26.0986, 26.0986)* CHOOSE(CONTROL!$C$21, $C$9, 100%, $E$9)</f>
        <v>26.098600000000001</v>
      </c>
      <c r="J482" s="14">
        <f>CHOOSE(CONTROL!$C$42, 26.0113, 26.0113)* CHOOSE(CONTROL!$C$21, $C$9, 100%, $E$9)</f>
        <v>26.011299999999999</v>
      </c>
      <c r="K482" s="52">
        <f>CHOOSE(CONTROL!$C$42, 26.0947, 26.0947) * CHOOSE(CONTROL!$C$21, $C$9, 100%, $E$9)</f>
        <v>26.0947</v>
      </c>
      <c r="L482" s="14">
        <f>CHOOSE(CONTROL!$C$42, 26.7002, 26.7002) * CHOOSE(CONTROL!$C$21, $C$9, 100%, $E$9)</f>
        <v>26.700199999999999</v>
      </c>
      <c r="M482" s="14">
        <f>CHOOSE(CONTROL!$C$42, 25.5511, 25.5511) * CHOOSE(CONTROL!$C$21, $C$9, 100%, $E$9)</f>
        <v>25.551100000000002</v>
      </c>
      <c r="N482" s="14">
        <f>CHOOSE(CONTROL!$C$42, 25.5687, 25.5687) * CHOOSE(CONTROL!$C$21, $C$9, 100%, $E$9)</f>
        <v>25.5687</v>
      </c>
      <c r="O482" s="14">
        <f>CHOOSE(CONTROL!$C$42, 25.6512, 25.6512) * CHOOSE(CONTROL!$C$21, $C$9, 100%, $E$9)</f>
        <v>25.651199999999999</v>
      </c>
      <c r="P482" s="14">
        <f>CHOOSE(CONTROL!$C$42, 25.6355, 25.6355) * CHOOSE(CONTROL!$C$21, $C$9, 100%, $E$9)</f>
        <v>25.6355</v>
      </c>
      <c r="Q482" s="14">
        <f>CHOOSE(CONTROL!$C$42, 26.2459, 26.2459) * CHOOSE(CONTROL!$C$21, $C$9, 100%, $E$9)</f>
        <v>26.245899999999999</v>
      </c>
      <c r="R482" s="14">
        <f>CHOOSE(CONTROL!$C$42, 26.8985, 26.8985) * CHOOSE(CONTROL!$C$21, $C$9, 100%, $E$9)</f>
        <v>26.898499999999999</v>
      </c>
      <c r="S482" s="14">
        <f>CHOOSE(CONTROL!$C$42, 24.9665, 24.9665) * CHOOSE(CONTROL!$C$21, $C$9, 100%, $E$9)</f>
        <v>24.9665</v>
      </c>
      <c r="T48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82" s="56">
        <f>(1000*CHOOSE(CONTROL!$C$42, 695, 695)*CHOOSE(CONTROL!$C$42, 0.5599, 0.5599)*CHOOSE(CONTROL!$C$42, 29, 29))/1000000</f>
        <v>11.284784499999999</v>
      </c>
      <c r="V482" s="56">
        <f>(1000*CHOOSE(CONTROL!$C$42, 500, 500)*CHOOSE(CONTROL!$C$42, 0.275, 0.275)*CHOOSE(CONTROL!$C$42, 29, 29))/1000000</f>
        <v>3.9874999999999998</v>
      </c>
      <c r="W482" s="56">
        <f>(1000*CHOOSE(CONTROL!$C$42, 0.1146, 0.1146)*CHOOSE(CONTROL!$C$42, 121.5, 121.5)*CHOOSE(CONTROL!$C$42, 29, 29))/1000000</f>
        <v>0.40379309999999996</v>
      </c>
      <c r="X482" s="56">
        <f>(29*0.1790888*100000/1000000)+(29*0.2374*100000/1000000)</f>
        <v>1.2078175199999999</v>
      </c>
      <c r="Y482" s="56"/>
      <c r="Z482" s="14"/>
      <c r="AA482" s="55"/>
      <c r="AB482" s="49">
        <f>(B482*122.58+C482*297.941+D482*89.177+E482*40.302+F482*40+G482*160+H482*0+I482*100+J482*300)/(122.58+297.941+89.177+40.302+0+40+160+100+300)</f>
        <v>26.026651675391307</v>
      </c>
      <c r="AC482" s="45">
        <f>(M482*'RAP TEMPLATE-GAS AVAILABILITY'!O481+N482*'RAP TEMPLATE-GAS AVAILABILITY'!P481+O482*'RAP TEMPLATE-GAS AVAILABILITY'!Q481+P482*'RAP TEMPLATE-GAS AVAILABILITY'!R481)/('RAP TEMPLATE-GAS AVAILABILITY'!O481+'RAP TEMPLATE-GAS AVAILABILITY'!P481+'RAP TEMPLATE-GAS AVAILABILITY'!Q481+'RAP TEMPLATE-GAS AVAILABILITY'!R481)</f>
        <v>25.609625899280573</v>
      </c>
    </row>
    <row r="483" spans="1:29" ht="15.75" x14ac:dyDescent="0.25">
      <c r="A483" s="33">
        <v>55609</v>
      </c>
      <c r="B483" s="14">
        <f>CHOOSE(CONTROL!$C$42, 25.2537, 25.2537) * CHOOSE(CONTROL!$C$21, $C$9, 100%, $E$9)</f>
        <v>25.253699999999998</v>
      </c>
      <c r="C483" s="14">
        <f>CHOOSE(CONTROL!$C$42, 25.2588, 25.2588) * CHOOSE(CONTROL!$C$21, $C$9, 100%, $E$9)</f>
        <v>25.258800000000001</v>
      </c>
      <c r="D483" s="14">
        <f>CHOOSE(CONTROL!$C$42, 25.3522, 25.3522) * CHOOSE(CONTROL!$C$21, $C$9, 100%, $E$9)</f>
        <v>25.3522</v>
      </c>
      <c r="E483" s="14">
        <f>CHOOSE(CONTROL!$C$42, 25.3863, 25.3863) * CHOOSE(CONTROL!$C$21, $C$9, 100%, $E$9)</f>
        <v>25.386299999999999</v>
      </c>
      <c r="F483" s="14">
        <f>CHOOSE(CONTROL!$C$42, 25.2798, 25.2798)*CHOOSE(CONTROL!$C$21, $C$9, 100%, $E$9)</f>
        <v>25.279800000000002</v>
      </c>
      <c r="G483" s="14">
        <f>CHOOSE(CONTROL!$C$42, 25.2974, 25.2974)*CHOOSE(CONTROL!$C$21, $C$9, 100%, $E$9)</f>
        <v>25.2974</v>
      </c>
      <c r="H483" s="14">
        <f>CHOOSE(CONTROL!$C$42, 25.3755, 25.3755) * CHOOSE(CONTROL!$C$21, $C$9, 100%, $E$9)</f>
        <v>25.375499999999999</v>
      </c>
      <c r="I483" s="14">
        <f>CHOOSE(CONTROL!$C$42, 25.3587, 25.3587)* CHOOSE(CONTROL!$C$21, $C$9, 100%, $E$9)</f>
        <v>25.358699999999999</v>
      </c>
      <c r="J483" s="14">
        <f>CHOOSE(CONTROL!$C$42, 25.2728, 25.2728)* CHOOSE(CONTROL!$C$21, $C$9, 100%, $E$9)</f>
        <v>25.2728</v>
      </c>
      <c r="K483" s="52">
        <f>CHOOSE(CONTROL!$C$42, 25.3548, 25.3548) * CHOOSE(CONTROL!$C$21, $C$9, 100%, $E$9)</f>
        <v>25.354800000000001</v>
      </c>
      <c r="L483" s="14">
        <f>CHOOSE(CONTROL!$C$42, 25.9625, 25.9625) * CHOOSE(CONTROL!$C$21, $C$9, 100%, $E$9)</f>
        <v>25.962499999999999</v>
      </c>
      <c r="M483" s="14">
        <f>CHOOSE(CONTROL!$C$42, 24.8259, 24.8259) * CHOOSE(CONTROL!$C$21, $C$9, 100%, $E$9)</f>
        <v>24.825900000000001</v>
      </c>
      <c r="N483" s="14">
        <f>CHOOSE(CONTROL!$C$42, 24.8432, 24.8432) * CHOOSE(CONTROL!$C$21, $C$9, 100%, $E$9)</f>
        <v>24.8432</v>
      </c>
      <c r="O483" s="14">
        <f>CHOOSE(CONTROL!$C$42, 24.9268, 24.9268) * CHOOSE(CONTROL!$C$21, $C$9, 100%, $E$9)</f>
        <v>24.9268</v>
      </c>
      <c r="P483" s="14">
        <f>CHOOSE(CONTROL!$C$42, 24.9089, 24.9089) * CHOOSE(CONTROL!$C$21, $C$9, 100%, $E$9)</f>
        <v>24.908899999999999</v>
      </c>
      <c r="Q483" s="14">
        <f>CHOOSE(CONTROL!$C$42, 25.5215, 25.5215) * CHOOSE(CONTROL!$C$21, $C$9, 100%, $E$9)</f>
        <v>25.5215</v>
      </c>
      <c r="R483" s="14">
        <f>CHOOSE(CONTROL!$C$42, 26.1723, 26.1723) * CHOOSE(CONTROL!$C$21, $C$9, 100%, $E$9)</f>
        <v>26.1723</v>
      </c>
      <c r="S483" s="14">
        <f>CHOOSE(CONTROL!$C$42, 24.2577, 24.2577) * CHOOSE(CONTROL!$C$21, $C$9, 100%, $E$9)</f>
        <v>24.2577</v>
      </c>
      <c r="T48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83" s="56">
        <f>(1000*CHOOSE(CONTROL!$C$42, 695, 695)*CHOOSE(CONTROL!$C$42, 0.5599, 0.5599)*CHOOSE(CONTROL!$C$42, 31, 31))/1000000</f>
        <v>12.063045499999998</v>
      </c>
      <c r="V483" s="56">
        <f>(1000*CHOOSE(CONTROL!$C$42, 500, 500)*CHOOSE(CONTROL!$C$42, 0.275, 0.275)*CHOOSE(CONTROL!$C$42, 31, 31))/1000000</f>
        <v>4.2625000000000002</v>
      </c>
      <c r="W483" s="56">
        <f>(1000*CHOOSE(CONTROL!$C$42, 0.1146, 0.1146)*CHOOSE(CONTROL!$C$42, 121.5, 121.5)*CHOOSE(CONTROL!$C$42, 31, 31))/1000000</f>
        <v>0.43164089999999994</v>
      </c>
      <c r="X483" s="56">
        <f>(31*0.1790888*100000/1000000)+(31*0.2374*100000/1000000)</f>
        <v>1.2911152800000001</v>
      </c>
      <c r="Y483" s="56"/>
      <c r="Z483" s="14"/>
      <c r="AA483" s="55"/>
      <c r="AB483" s="49">
        <f>(B483*122.58+C483*297.941+D483*89.177+E483*40.302+F483*40+G483*160+H483*0+I483*100+J483*300)/(122.58+297.941+89.177+40.302+0+40+160+100+300)</f>
        <v>25.288407372869564</v>
      </c>
      <c r="AC483" s="45">
        <f>(M483*'RAP TEMPLATE-GAS AVAILABILITY'!O482+N483*'RAP TEMPLATE-GAS AVAILABILITY'!P482+O483*'RAP TEMPLATE-GAS AVAILABILITY'!Q482+P483*'RAP TEMPLATE-GAS AVAILABILITY'!R482)/('RAP TEMPLATE-GAS AVAILABILITY'!O482+'RAP TEMPLATE-GAS AVAILABILITY'!P482+'RAP TEMPLATE-GAS AVAILABILITY'!Q482+'RAP TEMPLATE-GAS AVAILABILITY'!R482)</f>
        <v>24.884569784172665</v>
      </c>
    </row>
    <row r="484" spans="1:29" ht="15.75" x14ac:dyDescent="0.25">
      <c r="A484" s="33">
        <v>55639</v>
      </c>
      <c r="B484" s="14">
        <f>CHOOSE(CONTROL!$C$42, 25.1791, 25.1791) * CHOOSE(CONTROL!$C$21, $C$9, 100%, $E$9)</f>
        <v>25.179099999999998</v>
      </c>
      <c r="C484" s="14">
        <f>CHOOSE(CONTROL!$C$42, 25.1836, 25.1836) * CHOOSE(CONTROL!$C$21, $C$9, 100%, $E$9)</f>
        <v>25.183599999999998</v>
      </c>
      <c r="D484" s="14">
        <f>CHOOSE(CONTROL!$C$42, 25.4458, 25.4458) * CHOOSE(CONTROL!$C$21, $C$9, 100%, $E$9)</f>
        <v>25.445799999999998</v>
      </c>
      <c r="E484" s="14">
        <f>CHOOSE(CONTROL!$C$42, 25.478, 25.478) * CHOOSE(CONTROL!$C$21, $C$9, 100%, $E$9)</f>
        <v>25.478000000000002</v>
      </c>
      <c r="F484" s="14">
        <f>CHOOSE(CONTROL!$C$42, 25.202, 25.202)*CHOOSE(CONTROL!$C$21, $C$9, 100%, $E$9)</f>
        <v>25.202000000000002</v>
      </c>
      <c r="G484" s="14">
        <f>CHOOSE(CONTROL!$C$42, 25.2187, 25.2187)*CHOOSE(CONTROL!$C$21, $C$9, 100%, $E$9)</f>
        <v>25.218699999999998</v>
      </c>
      <c r="H484" s="14">
        <f>CHOOSE(CONTROL!$C$42, 25.4677, 25.4677) * CHOOSE(CONTROL!$C$21, $C$9, 100%, $E$9)</f>
        <v>25.467700000000001</v>
      </c>
      <c r="I484" s="14">
        <f>CHOOSE(CONTROL!$C$42, 25.2805, 25.2805)* CHOOSE(CONTROL!$C$21, $C$9, 100%, $E$9)</f>
        <v>25.2805</v>
      </c>
      <c r="J484" s="14">
        <f>CHOOSE(CONTROL!$C$42, 25.195, 25.195)* CHOOSE(CONTROL!$C$21, $C$9, 100%, $E$9)</f>
        <v>25.195</v>
      </c>
      <c r="K484" s="52">
        <f>CHOOSE(CONTROL!$C$42, 25.2766, 25.2766) * CHOOSE(CONTROL!$C$21, $C$9, 100%, $E$9)</f>
        <v>25.276599999999998</v>
      </c>
      <c r="L484" s="14">
        <f>CHOOSE(CONTROL!$C$42, 26.0547, 26.0547) * CHOOSE(CONTROL!$C$21, $C$9, 100%, $E$9)</f>
        <v>26.0547</v>
      </c>
      <c r="M484" s="14">
        <f>CHOOSE(CONTROL!$C$42, 24.7495, 24.7495) * CHOOSE(CONTROL!$C$21, $C$9, 100%, $E$9)</f>
        <v>24.749500000000001</v>
      </c>
      <c r="N484" s="14">
        <f>CHOOSE(CONTROL!$C$42, 24.7659, 24.7659) * CHOOSE(CONTROL!$C$21, $C$9, 100%, $E$9)</f>
        <v>24.765899999999998</v>
      </c>
      <c r="O484" s="14">
        <f>CHOOSE(CONTROL!$C$42, 25.0173, 25.0173) * CHOOSE(CONTROL!$C$21, $C$9, 100%, $E$9)</f>
        <v>25.017299999999999</v>
      </c>
      <c r="P484" s="14">
        <f>CHOOSE(CONTROL!$C$42, 24.8321, 24.8321) * CHOOSE(CONTROL!$C$21, $C$9, 100%, $E$9)</f>
        <v>24.832100000000001</v>
      </c>
      <c r="Q484" s="14">
        <f>CHOOSE(CONTROL!$C$42, 25.612, 25.612) * CHOOSE(CONTROL!$C$21, $C$9, 100%, $E$9)</f>
        <v>25.611999999999998</v>
      </c>
      <c r="R484" s="14">
        <f>CHOOSE(CONTROL!$C$42, 26.2631, 26.2631) * CHOOSE(CONTROL!$C$21, $C$9, 100%, $E$9)</f>
        <v>26.263100000000001</v>
      </c>
      <c r="S484" s="14">
        <f>CHOOSE(CONTROL!$C$42, 24.1853, 24.1853) * CHOOSE(CONTROL!$C$21, $C$9, 100%, $E$9)</f>
        <v>24.185300000000002</v>
      </c>
      <c r="T48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84" s="56">
        <f>(1000*CHOOSE(CONTROL!$C$42, 695, 695)*CHOOSE(CONTROL!$C$42, 0.5599, 0.5599)*CHOOSE(CONTROL!$C$42, 30, 30))/1000000</f>
        <v>11.673914999999997</v>
      </c>
      <c r="V484" s="56">
        <f>(1000*CHOOSE(CONTROL!$C$42, 500, 500)*CHOOSE(CONTROL!$C$42, 0.275, 0.275)*CHOOSE(CONTROL!$C$42, 30, 30))/1000000</f>
        <v>4.125</v>
      </c>
      <c r="W484" s="56">
        <f>(1000*CHOOSE(CONTROL!$C$42, 0.1146, 0.1146)*CHOOSE(CONTROL!$C$42, 121.5, 121.5)*CHOOSE(CONTROL!$C$42, 30, 30))/1000000</f>
        <v>0.417717</v>
      </c>
      <c r="X484" s="56">
        <f>(30*0.1790888*245000/1000000)+(30*0.2374*100000/1000000)</f>
        <v>2.0285026799999999</v>
      </c>
      <c r="Y484" s="56"/>
      <c r="Z484" s="14"/>
      <c r="AA484" s="55"/>
      <c r="AB484" s="49">
        <f>(B484*141.293+C484*267.993+D484*115.016+E484*89.698+F484*40+G484*185+H484*0+I484*100+J484*300)/(141.293+267.993+115.016+89.698+0+40+185+100+300)</f>
        <v>25.2451560677159</v>
      </c>
      <c r="AC484" s="45">
        <f>(M484*'RAP TEMPLATE-GAS AVAILABILITY'!O483+N484*'RAP TEMPLATE-GAS AVAILABILITY'!P483+O484*'RAP TEMPLATE-GAS AVAILABILITY'!Q483+P484*'RAP TEMPLATE-GAS AVAILABILITY'!R483)/('RAP TEMPLATE-GAS AVAILABILITY'!O483+'RAP TEMPLATE-GAS AVAILABILITY'!P483+'RAP TEMPLATE-GAS AVAILABILITY'!Q483+'RAP TEMPLATE-GAS AVAILABILITY'!R483)</f>
        <v>24.84029856115108</v>
      </c>
    </row>
    <row r="485" spans="1:29" ht="15.75" x14ac:dyDescent="0.25">
      <c r="A485" s="33">
        <v>55670</v>
      </c>
      <c r="B485" s="14">
        <f>CHOOSE(CONTROL!$C$42, 25.4027, 25.4027) * CHOOSE(CONTROL!$C$21, $C$9, 100%, $E$9)</f>
        <v>25.402699999999999</v>
      </c>
      <c r="C485" s="14">
        <f>CHOOSE(CONTROL!$C$42, 25.4107, 25.4107) * CHOOSE(CONTROL!$C$21, $C$9, 100%, $E$9)</f>
        <v>25.410699999999999</v>
      </c>
      <c r="D485" s="14">
        <f>CHOOSE(CONTROL!$C$42, 25.6698, 25.6698) * CHOOSE(CONTROL!$C$21, $C$9, 100%, $E$9)</f>
        <v>25.669799999999999</v>
      </c>
      <c r="E485" s="14">
        <f>CHOOSE(CONTROL!$C$42, 25.7012, 25.7012) * CHOOSE(CONTROL!$C$21, $C$9, 100%, $E$9)</f>
        <v>25.7012</v>
      </c>
      <c r="F485" s="14">
        <f>CHOOSE(CONTROL!$C$42, 25.4242, 25.4242)*CHOOSE(CONTROL!$C$21, $C$9, 100%, $E$9)</f>
        <v>25.424199999999999</v>
      </c>
      <c r="G485" s="14">
        <f>CHOOSE(CONTROL!$C$42, 25.4412, 25.4412)*CHOOSE(CONTROL!$C$21, $C$9, 100%, $E$9)</f>
        <v>25.441199999999998</v>
      </c>
      <c r="H485" s="14">
        <f>CHOOSE(CONTROL!$C$42, 25.6899, 25.6899) * CHOOSE(CONTROL!$C$21, $C$9, 100%, $E$9)</f>
        <v>25.689900000000002</v>
      </c>
      <c r="I485" s="14">
        <f>CHOOSE(CONTROL!$C$42, 25.5033, 25.5033)* CHOOSE(CONTROL!$C$21, $C$9, 100%, $E$9)</f>
        <v>25.503299999999999</v>
      </c>
      <c r="J485" s="14">
        <f>CHOOSE(CONTROL!$C$42, 25.4172, 25.4172)* CHOOSE(CONTROL!$C$21, $C$9, 100%, $E$9)</f>
        <v>25.417200000000001</v>
      </c>
      <c r="K485" s="52">
        <f>CHOOSE(CONTROL!$C$42, 25.4994, 25.4994) * CHOOSE(CONTROL!$C$21, $C$9, 100%, $E$9)</f>
        <v>25.499400000000001</v>
      </c>
      <c r="L485" s="14">
        <f>CHOOSE(CONTROL!$C$42, 26.2769, 26.2769) * CHOOSE(CONTROL!$C$21, $C$9, 100%, $E$9)</f>
        <v>26.276900000000001</v>
      </c>
      <c r="M485" s="14">
        <f>CHOOSE(CONTROL!$C$42, 24.9677, 24.9677) * CHOOSE(CONTROL!$C$21, $C$9, 100%, $E$9)</f>
        <v>24.967700000000001</v>
      </c>
      <c r="N485" s="14">
        <f>CHOOSE(CONTROL!$C$42, 24.9844, 24.9844) * CHOOSE(CONTROL!$C$21, $C$9, 100%, $E$9)</f>
        <v>24.984400000000001</v>
      </c>
      <c r="O485" s="14">
        <f>CHOOSE(CONTROL!$C$42, 25.2355, 25.2355) * CHOOSE(CONTROL!$C$21, $C$9, 100%, $E$9)</f>
        <v>25.235499999999998</v>
      </c>
      <c r="P485" s="14">
        <f>CHOOSE(CONTROL!$C$42, 25.051, 25.051) * CHOOSE(CONTROL!$C$21, $C$9, 100%, $E$9)</f>
        <v>25.050999999999998</v>
      </c>
      <c r="Q485" s="14">
        <f>CHOOSE(CONTROL!$C$42, 25.8302, 25.8302) * CHOOSE(CONTROL!$C$21, $C$9, 100%, $E$9)</f>
        <v>25.830200000000001</v>
      </c>
      <c r="R485" s="14">
        <f>CHOOSE(CONTROL!$C$42, 26.4818, 26.4818) * CHOOSE(CONTROL!$C$21, $C$9, 100%, $E$9)</f>
        <v>26.4818</v>
      </c>
      <c r="S485" s="14">
        <f>CHOOSE(CONTROL!$C$42, 24.3988, 24.3988) * CHOOSE(CONTROL!$C$21, $C$9, 100%, $E$9)</f>
        <v>24.398800000000001</v>
      </c>
      <c r="T48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85" s="56">
        <f>(1000*CHOOSE(CONTROL!$C$42, 695, 695)*CHOOSE(CONTROL!$C$42, 0.5599, 0.5599)*CHOOSE(CONTROL!$C$42, 31, 31))/1000000</f>
        <v>12.063045499999998</v>
      </c>
      <c r="V485" s="56">
        <f>(1000*CHOOSE(CONTROL!$C$42, 500, 500)*CHOOSE(CONTROL!$C$42, 0.275, 0.275)*CHOOSE(CONTROL!$C$42, 31, 31))/1000000</f>
        <v>4.2625000000000002</v>
      </c>
      <c r="W485" s="56">
        <f>(1000*CHOOSE(CONTROL!$C$42, 0.1146, 0.1146)*CHOOSE(CONTROL!$C$42, 121.5, 121.5)*CHOOSE(CONTROL!$C$42, 31, 31))/1000000</f>
        <v>0.43164089999999994</v>
      </c>
      <c r="X485" s="56">
        <f>(31*0.1790888*245000/1000000)+(31*0.2374*100000/1000000)</f>
        <v>2.0961194359999999</v>
      </c>
      <c r="Y485" s="56"/>
      <c r="Z485" s="14"/>
      <c r="AA485" s="55"/>
      <c r="AB485" s="49">
        <f>(B485*194.205+C485*267.466+D485*133.845+E485*53.484+F485*40+G485*185+H485*0+I485*100+J485*300)/(194.205+267.466+133.845+53.484+0+40+185+100+300)</f>
        <v>25.462548666797485</v>
      </c>
      <c r="AC485" s="45">
        <f>(M485*'RAP TEMPLATE-GAS AVAILABILITY'!O484+N485*'RAP TEMPLATE-GAS AVAILABILITY'!P484+O485*'RAP TEMPLATE-GAS AVAILABILITY'!Q484+P485*'RAP TEMPLATE-GAS AVAILABILITY'!R484)/('RAP TEMPLATE-GAS AVAILABILITY'!O484+'RAP TEMPLATE-GAS AVAILABILITY'!P484+'RAP TEMPLATE-GAS AVAILABILITY'!Q484+'RAP TEMPLATE-GAS AVAILABILITY'!R484)</f>
        <v>25.058668345323742</v>
      </c>
    </row>
    <row r="486" spans="1:29" ht="15.75" x14ac:dyDescent="0.25">
      <c r="A486" s="33">
        <v>55700</v>
      </c>
      <c r="B486" s="14">
        <f>CHOOSE(CONTROL!$C$42, 26.1229, 26.1229) * CHOOSE(CONTROL!$C$21, $C$9, 100%, $E$9)</f>
        <v>26.122900000000001</v>
      </c>
      <c r="C486" s="14">
        <f>CHOOSE(CONTROL!$C$42, 26.1309, 26.1309) * CHOOSE(CONTROL!$C$21, $C$9, 100%, $E$9)</f>
        <v>26.1309</v>
      </c>
      <c r="D486" s="14">
        <f>CHOOSE(CONTROL!$C$42, 26.39, 26.39) * CHOOSE(CONTROL!$C$21, $C$9, 100%, $E$9)</f>
        <v>26.39</v>
      </c>
      <c r="E486" s="14">
        <f>CHOOSE(CONTROL!$C$42, 26.4215, 26.4215) * CHOOSE(CONTROL!$C$21, $C$9, 100%, $E$9)</f>
        <v>26.421500000000002</v>
      </c>
      <c r="F486" s="14">
        <f>CHOOSE(CONTROL!$C$42, 26.1447, 26.1447)*CHOOSE(CONTROL!$C$21, $C$9, 100%, $E$9)</f>
        <v>26.1447</v>
      </c>
      <c r="G486" s="14">
        <f>CHOOSE(CONTROL!$C$42, 26.1617, 26.1617)*CHOOSE(CONTROL!$C$21, $C$9, 100%, $E$9)</f>
        <v>26.1617</v>
      </c>
      <c r="H486" s="14">
        <f>CHOOSE(CONTROL!$C$42, 26.4101, 26.4101) * CHOOSE(CONTROL!$C$21, $C$9, 100%, $E$9)</f>
        <v>26.4101</v>
      </c>
      <c r="I486" s="14">
        <f>CHOOSE(CONTROL!$C$42, 26.2258, 26.2258)* CHOOSE(CONTROL!$C$21, $C$9, 100%, $E$9)</f>
        <v>26.2258</v>
      </c>
      <c r="J486" s="14">
        <f>CHOOSE(CONTROL!$C$42, 26.1377, 26.1377)* CHOOSE(CONTROL!$C$21, $C$9, 100%, $E$9)</f>
        <v>26.137699999999999</v>
      </c>
      <c r="K486" s="52">
        <f>CHOOSE(CONTROL!$C$42, 26.2219, 26.2219) * CHOOSE(CONTROL!$C$21, $C$9, 100%, $E$9)</f>
        <v>26.221900000000002</v>
      </c>
      <c r="L486" s="14">
        <f>CHOOSE(CONTROL!$C$42, 26.9971, 26.9971) * CHOOSE(CONTROL!$C$21, $C$9, 100%, $E$9)</f>
        <v>26.9971</v>
      </c>
      <c r="M486" s="14">
        <f>CHOOSE(CONTROL!$C$42, 25.6753, 25.6753) * CHOOSE(CONTROL!$C$21, $C$9, 100%, $E$9)</f>
        <v>25.6753</v>
      </c>
      <c r="N486" s="14">
        <f>CHOOSE(CONTROL!$C$42, 25.692, 25.692) * CHOOSE(CONTROL!$C$21, $C$9, 100%, $E$9)</f>
        <v>25.692</v>
      </c>
      <c r="O486" s="14">
        <f>CHOOSE(CONTROL!$C$42, 25.9428, 25.9428) * CHOOSE(CONTROL!$C$21, $C$9, 100%, $E$9)</f>
        <v>25.942799999999998</v>
      </c>
      <c r="P486" s="14">
        <f>CHOOSE(CONTROL!$C$42, 25.7604, 25.7604) * CHOOSE(CONTROL!$C$21, $C$9, 100%, $E$9)</f>
        <v>25.760400000000001</v>
      </c>
      <c r="Q486" s="14">
        <f>CHOOSE(CONTROL!$C$42, 26.5375, 26.5375) * CHOOSE(CONTROL!$C$21, $C$9, 100%, $E$9)</f>
        <v>26.537500000000001</v>
      </c>
      <c r="R486" s="14">
        <f>CHOOSE(CONTROL!$C$42, 27.1908, 27.1908) * CHOOSE(CONTROL!$C$21, $C$9, 100%, $E$9)</f>
        <v>27.190799999999999</v>
      </c>
      <c r="S486" s="14">
        <f>CHOOSE(CONTROL!$C$42, 25.0909, 25.0909) * CHOOSE(CONTROL!$C$21, $C$9, 100%, $E$9)</f>
        <v>25.090900000000001</v>
      </c>
      <c r="T48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86" s="56">
        <f>(1000*CHOOSE(CONTROL!$C$42, 695, 695)*CHOOSE(CONTROL!$C$42, 0.5599, 0.5599)*CHOOSE(CONTROL!$C$42, 30, 30))/1000000</f>
        <v>11.673914999999997</v>
      </c>
      <c r="V486" s="56">
        <f>(1000*CHOOSE(CONTROL!$C$42, 500, 500)*CHOOSE(CONTROL!$C$42, 0.275, 0.275)*CHOOSE(CONTROL!$C$42, 30, 30))/1000000</f>
        <v>4.125</v>
      </c>
      <c r="W486" s="56">
        <f>(1000*CHOOSE(CONTROL!$C$42, 0.1146, 0.1146)*CHOOSE(CONTROL!$C$42, 121.5, 121.5)*CHOOSE(CONTROL!$C$42, 30, 30))/1000000</f>
        <v>0.417717</v>
      </c>
      <c r="X486" s="56">
        <f>(30*0.1790888*245000/1000000)+(30*0.2374*100000/1000000)</f>
        <v>2.0285026799999999</v>
      </c>
      <c r="Y486" s="56"/>
      <c r="Z486" s="14"/>
      <c r="AA486" s="55"/>
      <c r="AB486" s="49">
        <f>(B486*194.205+C486*267.466+D486*133.845+E486*53.484+F486*40+G486*185+H486*0+I486*100+J486*300)/(194.205+267.466+133.845+53.484+0+40+185+100+300)</f>
        <v>26.183057025039247</v>
      </c>
      <c r="AC486" s="45">
        <f>(M486*'RAP TEMPLATE-GAS AVAILABILITY'!O485+N486*'RAP TEMPLATE-GAS AVAILABILITY'!P485+O486*'RAP TEMPLATE-GAS AVAILABILITY'!Q485+P486*'RAP TEMPLATE-GAS AVAILABILITY'!R485)/('RAP TEMPLATE-GAS AVAILABILITY'!O485+'RAP TEMPLATE-GAS AVAILABILITY'!P485+'RAP TEMPLATE-GAS AVAILABILITY'!Q485+'RAP TEMPLATE-GAS AVAILABILITY'!R485)</f>
        <v>25.766443165467624</v>
      </c>
    </row>
    <row r="487" spans="1:29" ht="15.75" x14ac:dyDescent="0.25">
      <c r="A487" s="33">
        <v>55731</v>
      </c>
      <c r="B487" s="14">
        <f>CHOOSE(CONTROL!$C$42, 25.622, 25.622) * CHOOSE(CONTROL!$C$21, $C$9, 100%, $E$9)</f>
        <v>25.622</v>
      </c>
      <c r="C487" s="14">
        <f>CHOOSE(CONTROL!$C$42, 25.63, 25.63) * CHOOSE(CONTROL!$C$21, $C$9, 100%, $E$9)</f>
        <v>25.63</v>
      </c>
      <c r="D487" s="14">
        <f>CHOOSE(CONTROL!$C$42, 25.8891, 25.8891) * CHOOSE(CONTROL!$C$21, $C$9, 100%, $E$9)</f>
        <v>25.889099999999999</v>
      </c>
      <c r="E487" s="14">
        <f>CHOOSE(CONTROL!$C$42, 25.9206, 25.9206) * CHOOSE(CONTROL!$C$21, $C$9, 100%, $E$9)</f>
        <v>25.9206</v>
      </c>
      <c r="F487" s="14">
        <f>CHOOSE(CONTROL!$C$42, 25.6442, 25.6442)*CHOOSE(CONTROL!$C$21, $C$9, 100%, $E$9)</f>
        <v>25.644200000000001</v>
      </c>
      <c r="G487" s="14">
        <f>CHOOSE(CONTROL!$C$42, 25.6613, 25.6613)*CHOOSE(CONTROL!$C$21, $C$9, 100%, $E$9)</f>
        <v>25.661300000000001</v>
      </c>
      <c r="H487" s="14">
        <f>CHOOSE(CONTROL!$C$42, 25.9092, 25.9092) * CHOOSE(CONTROL!$C$21, $C$9, 100%, $E$9)</f>
        <v>25.909199999999998</v>
      </c>
      <c r="I487" s="14">
        <f>CHOOSE(CONTROL!$C$42, 25.7233, 25.7233)* CHOOSE(CONTROL!$C$21, $C$9, 100%, $E$9)</f>
        <v>25.723299999999998</v>
      </c>
      <c r="J487" s="14">
        <f>CHOOSE(CONTROL!$C$42, 25.6372, 25.6372)* CHOOSE(CONTROL!$C$21, $C$9, 100%, $E$9)</f>
        <v>25.6372</v>
      </c>
      <c r="K487" s="52">
        <f>CHOOSE(CONTROL!$C$42, 25.7194, 25.7194) * CHOOSE(CONTROL!$C$21, $C$9, 100%, $E$9)</f>
        <v>25.7194</v>
      </c>
      <c r="L487" s="14">
        <f>CHOOSE(CONTROL!$C$42, 26.4962, 26.4962) * CHOOSE(CONTROL!$C$21, $C$9, 100%, $E$9)</f>
        <v>26.496200000000002</v>
      </c>
      <c r="M487" s="14">
        <f>CHOOSE(CONTROL!$C$42, 25.1837, 25.1837) * CHOOSE(CONTROL!$C$21, $C$9, 100%, $E$9)</f>
        <v>25.183700000000002</v>
      </c>
      <c r="N487" s="14">
        <f>CHOOSE(CONTROL!$C$42, 25.2006, 25.2006) * CHOOSE(CONTROL!$C$21, $C$9, 100%, $E$9)</f>
        <v>25.200600000000001</v>
      </c>
      <c r="O487" s="14">
        <f>CHOOSE(CONTROL!$C$42, 25.4509, 25.4509) * CHOOSE(CONTROL!$C$21, $C$9, 100%, $E$9)</f>
        <v>25.450900000000001</v>
      </c>
      <c r="P487" s="14">
        <f>CHOOSE(CONTROL!$C$42, 25.267, 25.267) * CHOOSE(CONTROL!$C$21, $C$9, 100%, $E$9)</f>
        <v>25.266999999999999</v>
      </c>
      <c r="Q487" s="14">
        <f>CHOOSE(CONTROL!$C$42, 26.0456, 26.0456) * CHOOSE(CONTROL!$C$21, $C$9, 100%, $E$9)</f>
        <v>26.0456</v>
      </c>
      <c r="R487" s="14">
        <f>CHOOSE(CONTROL!$C$42, 26.6977, 26.6977) * CHOOSE(CONTROL!$C$21, $C$9, 100%, $E$9)</f>
        <v>26.697700000000001</v>
      </c>
      <c r="S487" s="14">
        <f>CHOOSE(CONTROL!$C$42, 24.6095, 24.6095) * CHOOSE(CONTROL!$C$21, $C$9, 100%, $E$9)</f>
        <v>24.609500000000001</v>
      </c>
      <c r="T48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87" s="56">
        <f>(1000*CHOOSE(CONTROL!$C$42, 695, 695)*CHOOSE(CONTROL!$C$42, 0.5599, 0.5599)*CHOOSE(CONTROL!$C$42, 31, 31))/1000000</f>
        <v>12.063045499999998</v>
      </c>
      <c r="V487" s="56">
        <f>(1000*CHOOSE(CONTROL!$C$42, 500, 500)*CHOOSE(CONTROL!$C$42, 0.275, 0.275)*CHOOSE(CONTROL!$C$42, 31, 31))/1000000</f>
        <v>4.2625000000000002</v>
      </c>
      <c r="W487" s="56">
        <f>(1000*CHOOSE(CONTROL!$C$42, 0.1146, 0.1146)*CHOOSE(CONTROL!$C$42, 121.5, 121.5)*CHOOSE(CONTROL!$C$42, 31, 31))/1000000</f>
        <v>0.43164089999999994</v>
      </c>
      <c r="X487" s="56">
        <f>(31*0.1790888*245000/1000000)+(31*0.2374*100000/1000000)</f>
        <v>2.0961194359999999</v>
      </c>
      <c r="Y487" s="56"/>
      <c r="Z487" s="14"/>
      <c r="AA487" s="55"/>
      <c r="AB487" s="49">
        <f>(B487*194.205+C487*267.466+D487*133.845+E487*53.484+F487*40+G487*185+H487*0+I487*100+J487*300)/(194.205+267.466+133.845+53.484+0+40+185+100+300)</f>
        <v>25.682210792700157</v>
      </c>
      <c r="AC487" s="45">
        <f>(M487*'RAP TEMPLATE-GAS AVAILABILITY'!O486+N487*'RAP TEMPLATE-GAS AVAILABILITY'!P486+O487*'RAP TEMPLATE-GAS AVAILABILITY'!Q486+P487*'RAP TEMPLATE-GAS AVAILABILITY'!R486)/('RAP TEMPLATE-GAS AVAILABILITY'!O486+'RAP TEMPLATE-GAS AVAILABILITY'!P486+'RAP TEMPLATE-GAS AVAILABILITY'!Q486+'RAP TEMPLATE-GAS AVAILABILITY'!R486)</f>
        <v>25.274546043165472</v>
      </c>
    </row>
    <row r="488" spans="1:29" ht="15.75" x14ac:dyDescent="0.25">
      <c r="A488" s="33">
        <v>55762</v>
      </c>
      <c r="B488" s="14">
        <f>CHOOSE(CONTROL!$C$42, 24.357, 24.357) * CHOOSE(CONTROL!$C$21, $C$9, 100%, $E$9)</f>
        <v>24.356999999999999</v>
      </c>
      <c r="C488" s="14">
        <f>CHOOSE(CONTROL!$C$42, 24.365, 24.365) * CHOOSE(CONTROL!$C$21, $C$9, 100%, $E$9)</f>
        <v>24.364999999999998</v>
      </c>
      <c r="D488" s="14">
        <f>CHOOSE(CONTROL!$C$42, 24.6241, 24.6241) * CHOOSE(CONTROL!$C$21, $C$9, 100%, $E$9)</f>
        <v>24.624099999999999</v>
      </c>
      <c r="E488" s="14">
        <f>CHOOSE(CONTROL!$C$42, 24.6555, 24.6555) * CHOOSE(CONTROL!$C$21, $C$9, 100%, $E$9)</f>
        <v>24.6555</v>
      </c>
      <c r="F488" s="14">
        <f>CHOOSE(CONTROL!$C$42, 24.3794, 24.3794)*CHOOSE(CONTROL!$C$21, $C$9, 100%, $E$9)</f>
        <v>24.3794</v>
      </c>
      <c r="G488" s="14">
        <f>CHOOSE(CONTROL!$C$42, 24.3966, 24.3966)*CHOOSE(CONTROL!$C$21, $C$9, 100%, $E$9)</f>
        <v>24.396599999999999</v>
      </c>
      <c r="H488" s="14">
        <f>CHOOSE(CONTROL!$C$42, 24.6442, 24.6442) * CHOOSE(CONTROL!$C$21, $C$9, 100%, $E$9)</f>
        <v>24.644200000000001</v>
      </c>
      <c r="I488" s="14">
        <f>CHOOSE(CONTROL!$C$42, 24.4543, 24.4543)* CHOOSE(CONTROL!$C$21, $C$9, 100%, $E$9)</f>
        <v>24.4543</v>
      </c>
      <c r="J488" s="14">
        <f>CHOOSE(CONTROL!$C$42, 24.3724, 24.3724)* CHOOSE(CONTROL!$C$21, $C$9, 100%, $E$9)</f>
        <v>24.372399999999999</v>
      </c>
      <c r="K488" s="52">
        <f>CHOOSE(CONTROL!$C$42, 24.4505, 24.4505) * CHOOSE(CONTROL!$C$21, $C$9, 100%, $E$9)</f>
        <v>24.450500000000002</v>
      </c>
      <c r="L488" s="14">
        <f>CHOOSE(CONTROL!$C$42, 25.2312, 25.2312) * CHOOSE(CONTROL!$C$21, $C$9, 100%, $E$9)</f>
        <v>25.231200000000001</v>
      </c>
      <c r="M488" s="14">
        <f>CHOOSE(CONTROL!$C$42, 23.9417, 23.9417) * CHOOSE(CONTROL!$C$21, $C$9, 100%, $E$9)</f>
        <v>23.941700000000001</v>
      </c>
      <c r="N488" s="14">
        <f>CHOOSE(CONTROL!$C$42, 23.9586, 23.9586) * CHOOSE(CONTROL!$C$21, $C$9, 100%, $E$9)</f>
        <v>23.958600000000001</v>
      </c>
      <c r="O488" s="14">
        <f>CHOOSE(CONTROL!$C$42, 24.2086, 24.2086) * CHOOSE(CONTROL!$C$21, $C$9, 100%, $E$9)</f>
        <v>24.208600000000001</v>
      </c>
      <c r="P488" s="14">
        <f>CHOOSE(CONTROL!$C$42, 24.0209, 24.0209) * CHOOSE(CONTROL!$C$21, $C$9, 100%, $E$9)</f>
        <v>24.020900000000001</v>
      </c>
      <c r="Q488" s="14">
        <f>CHOOSE(CONTROL!$C$42, 24.8033, 24.8033) * CHOOSE(CONTROL!$C$21, $C$9, 100%, $E$9)</f>
        <v>24.8033</v>
      </c>
      <c r="R488" s="14">
        <f>CHOOSE(CONTROL!$C$42, 25.4523, 25.4523) * CHOOSE(CONTROL!$C$21, $C$9, 100%, $E$9)</f>
        <v>25.452300000000001</v>
      </c>
      <c r="S488" s="14">
        <f>CHOOSE(CONTROL!$C$42, 23.394, 23.394) * CHOOSE(CONTROL!$C$21, $C$9, 100%, $E$9)</f>
        <v>23.393999999999998</v>
      </c>
      <c r="T48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88" s="56">
        <f>(1000*CHOOSE(CONTROL!$C$42, 695, 695)*CHOOSE(CONTROL!$C$42, 0.5599, 0.5599)*CHOOSE(CONTROL!$C$42, 31, 31))/1000000</f>
        <v>12.063045499999998</v>
      </c>
      <c r="V488" s="56">
        <f>(1000*CHOOSE(CONTROL!$C$42, 500, 500)*CHOOSE(CONTROL!$C$42, 0.275, 0.275)*CHOOSE(CONTROL!$C$42, 31, 31))/1000000</f>
        <v>4.2625000000000002</v>
      </c>
      <c r="W488" s="56">
        <f>(1000*CHOOSE(CONTROL!$C$42, 0.1146, 0.1146)*CHOOSE(CONTROL!$C$42, 121.5, 121.5)*CHOOSE(CONTROL!$C$42, 31, 31))/1000000</f>
        <v>0.43164089999999994</v>
      </c>
      <c r="X488" s="56">
        <f>(31*0.1790888*245000/1000000)+(31*0.2374*100000/1000000)</f>
        <v>2.0961194359999999</v>
      </c>
      <c r="Y488" s="56"/>
      <c r="Z488" s="14"/>
      <c r="AA488" s="55"/>
      <c r="AB488" s="49">
        <f>(B488*194.205+C488*267.466+D488*133.845+E488*53.484+F488*40+G488*185+H488*0+I488*100+J488*300)/(194.205+267.466+133.845+53.484+0+40+185+100+300)</f>
        <v>24.416989561616955</v>
      </c>
      <c r="AC488" s="45">
        <f>(M488*'RAP TEMPLATE-GAS AVAILABILITY'!O487+N488*'RAP TEMPLATE-GAS AVAILABILITY'!P487+O488*'RAP TEMPLATE-GAS AVAILABILITY'!Q487+P488*'RAP TEMPLATE-GAS AVAILABILITY'!R487)/('RAP TEMPLATE-GAS AVAILABILITY'!O487+'RAP TEMPLATE-GAS AVAILABILITY'!P487+'RAP TEMPLATE-GAS AVAILABILITY'!Q487+'RAP TEMPLATE-GAS AVAILABILITY'!R487)</f>
        <v>24.031871942446042</v>
      </c>
    </row>
    <row r="489" spans="1:29" ht="15.75" x14ac:dyDescent="0.25">
      <c r="A489" s="33">
        <v>55792</v>
      </c>
      <c r="B489" s="14">
        <f>CHOOSE(CONTROL!$C$42, 22.8111, 22.8111) * CHOOSE(CONTROL!$C$21, $C$9, 100%, $E$9)</f>
        <v>22.8111</v>
      </c>
      <c r="C489" s="14">
        <f>CHOOSE(CONTROL!$C$42, 22.8191, 22.8191) * CHOOSE(CONTROL!$C$21, $C$9, 100%, $E$9)</f>
        <v>22.819099999999999</v>
      </c>
      <c r="D489" s="14">
        <f>CHOOSE(CONTROL!$C$42, 23.0782, 23.0782) * CHOOSE(CONTROL!$C$21, $C$9, 100%, $E$9)</f>
        <v>23.078199999999999</v>
      </c>
      <c r="E489" s="14">
        <f>CHOOSE(CONTROL!$C$42, 23.1097, 23.1097) * CHOOSE(CONTROL!$C$21, $C$9, 100%, $E$9)</f>
        <v>23.1097</v>
      </c>
      <c r="F489" s="14">
        <f>CHOOSE(CONTROL!$C$42, 22.8336, 22.8336)*CHOOSE(CONTROL!$C$21, $C$9, 100%, $E$9)</f>
        <v>22.833600000000001</v>
      </c>
      <c r="G489" s="14">
        <f>CHOOSE(CONTROL!$C$42, 22.8508, 22.8508)*CHOOSE(CONTROL!$C$21, $C$9, 100%, $E$9)</f>
        <v>22.8508</v>
      </c>
      <c r="H489" s="14">
        <f>CHOOSE(CONTROL!$C$42, 23.0983, 23.0983) * CHOOSE(CONTROL!$C$21, $C$9, 100%, $E$9)</f>
        <v>23.098299999999998</v>
      </c>
      <c r="I489" s="14">
        <f>CHOOSE(CONTROL!$C$42, 22.9037, 22.9037)* CHOOSE(CONTROL!$C$21, $C$9, 100%, $E$9)</f>
        <v>22.903700000000001</v>
      </c>
      <c r="J489" s="14">
        <f>CHOOSE(CONTROL!$C$42, 22.8266, 22.8266)* CHOOSE(CONTROL!$C$21, $C$9, 100%, $E$9)</f>
        <v>22.826599999999999</v>
      </c>
      <c r="K489" s="52">
        <f>CHOOSE(CONTROL!$C$42, 22.8998, 22.8998) * CHOOSE(CONTROL!$C$21, $C$9, 100%, $E$9)</f>
        <v>22.899799999999999</v>
      </c>
      <c r="L489" s="14">
        <f>CHOOSE(CONTROL!$C$42, 23.6853, 23.6853) * CHOOSE(CONTROL!$C$21, $C$9, 100%, $E$9)</f>
        <v>23.685300000000002</v>
      </c>
      <c r="M489" s="14">
        <f>CHOOSE(CONTROL!$C$42, 22.4237, 22.4237) * CHOOSE(CONTROL!$C$21, $C$9, 100%, $E$9)</f>
        <v>22.4237</v>
      </c>
      <c r="N489" s="14">
        <f>CHOOSE(CONTROL!$C$42, 22.4406, 22.4406) * CHOOSE(CONTROL!$C$21, $C$9, 100%, $E$9)</f>
        <v>22.4406</v>
      </c>
      <c r="O489" s="14">
        <f>CHOOSE(CONTROL!$C$42, 22.6906, 22.6906) * CHOOSE(CONTROL!$C$21, $C$9, 100%, $E$9)</f>
        <v>22.6906</v>
      </c>
      <c r="P489" s="14">
        <f>CHOOSE(CONTROL!$C$42, 22.4982, 22.4982) * CHOOSE(CONTROL!$C$21, $C$9, 100%, $E$9)</f>
        <v>22.498200000000001</v>
      </c>
      <c r="Q489" s="14">
        <f>CHOOSE(CONTROL!$C$42, 23.2853, 23.2853) * CHOOSE(CONTROL!$C$21, $C$9, 100%, $E$9)</f>
        <v>23.285299999999999</v>
      </c>
      <c r="R489" s="14">
        <f>CHOOSE(CONTROL!$C$42, 23.9305, 23.9305) * CHOOSE(CONTROL!$C$21, $C$9, 100%, $E$9)</f>
        <v>23.930499999999999</v>
      </c>
      <c r="S489" s="14">
        <f>CHOOSE(CONTROL!$C$42, 21.9086, 21.9086) * CHOOSE(CONTROL!$C$21, $C$9, 100%, $E$9)</f>
        <v>21.9086</v>
      </c>
      <c r="T48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89" s="56">
        <f>(1000*CHOOSE(CONTROL!$C$42, 695, 695)*CHOOSE(CONTROL!$C$42, 0.5599, 0.5599)*CHOOSE(CONTROL!$C$42, 30, 30))/1000000</f>
        <v>11.673914999999997</v>
      </c>
      <c r="V489" s="56">
        <f>(1000*CHOOSE(CONTROL!$C$42, 500, 500)*CHOOSE(CONTROL!$C$42, 0.275, 0.275)*CHOOSE(CONTROL!$C$42, 30, 30))/1000000</f>
        <v>4.125</v>
      </c>
      <c r="W489" s="56">
        <f>(1000*CHOOSE(CONTROL!$C$42, 0.1146, 0.1146)*CHOOSE(CONTROL!$C$42, 121.5, 121.5)*CHOOSE(CONTROL!$C$42, 30, 30))/1000000</f>
        <v>0.417717</v>
      </c>
      <c r="X489" s="56">
        <f>(30*0.1790888*245000/1000000)+(30*0.2374*100000/1000000)</f>
        <v>2.0285026799999999</v>
      </c>
      <c r="Y489" s="56"/>
      <c r="Z489" s="14"/>
      <c r="AA489" s="55"/>
      <c r="AB489" s="49">
        <f>(B489*194.205+C489*267.466+D489*133.845+E489*53.484+F489*40+G489*185+H489*0+I489*100+J489*300)/(194.205+267.466+133.845+53.484+0+40+185+100+300)</f>
        <v>22.870766051726847</v>
      </c>
      <c r="AC489" s="45">
        <f>(M489*'RAP TEMPLATE-GAS AVAILABILITY'!O488+N489*'RAP TEMPLATE-GAS AVAILABILITY'!P488+O489*'RAP TEMPLATE-GAS AVAILABILITY'!Q488+P489*'RAP TEMPLATE-GAS AVAILABILITY'!R488)/('RAP TEMPLATE-GAS AVAILABILITY'!O488+'RAP TEMPLATE-GAS AVAILABILITY'!P488+'RAP TEMPLATE-GAS AVAILABILITY'!Q488+'RAP TEMPLATE-GAS AVAILABILITY'!R488)</f>
        <v>22.51319568345324</v>
      </c>
    </row>
    <row r="490" spans="1:29" ht="15.75" x14ac:dyDescent="0.25">
      <c r="A490" s="33">
        <v>55823</v>
      </c>
      <c r="B490" s="14">
        <f>CHOOSE(CONTROL!$C$42, 22.3464, 22.3464) * CHOOSE(CONTROL!$C$21, $C$9, 100%, $E$9)</f>
        <v>22.346399999999999</v>
      </c>
      <c r="C490" s="14">
        <f>CHOOSE(CONTROL!$C$42, 22.3518, 22.3518) * CHOOSE(CONTROL!$C$21, $C$9, 100%, $E$9)</f>
        <v>22.351800000000001</v>
      </c>
      <c r="D490" s="14">
        <f>CHOOSE(CONTROL!$C$42, 22.6158, 22.6158) * CHOOSE(CONTROL!$C$21, $C$9, 100%, $E$9)</f>
        <v>22.6158</v>
      </c>
      <c r="E490" s="14">
        <f>CHOOSE(CONTROL!$C$42, 22.6449, 22.6449) * CHOOSE(CONTROL!$C$21, $C$9, 100%, $E$9)</f>
        <v>22.6449</v>
      </c>
      <c r="F490" s="14">
        <f>CHOOSE(CONTROL!$C$42, 22.3711, 22.3711)*CHOOSE(CONTROL!$C$21, $C$9, 100%, $E$9)</f>
        <v>22.371099999999998</v>
      </c>
      <c r="G490" s="14">
        <f>CHOOSE(CONTROL!$C$42, 22.3882, 22.3882)*CHOOSE(CONTROL!$C$21, $C$9, 100%, $E$9)</f>
        <v>22.388200000000001</v>
      </c>
      <c r="H490" s="14">
        <f>CHOOSE(CONTROL!$C$42, 22.6354, 22.6354) * CHOOSE(CONTROL!$C$21, $C$9, 100%, $E$9)</f>
        <v>22.635400000000001</v>
      </c>
      <c r="I490" s="14">
        <f>CHOOSE(CONTROL!$C$42, 22.4393, 22.4393)* CHOOSE(CONTROL!$C$21, $C$9, 100%, $E$9)</f>
        <v>22.439299999999999</v>
      </c>
      <c r="J490" s="14">
        <f>CHOOSE(CONTROL!$C$42, 22.3641, 22.3641)* CHOOSE(CONTROL!$C$21, $C$9, 100%, $E$9)</f>
        <v>22.364100000000001</v>
      </c>
      <c r="K490" s="52">
        <f>CHOOSE(CONTROL!$C$42, 22.4354, 22.4354) * CHOOSE(CONTROL!$C$21, $C$9, 100%, $E$9)</f>
        <v>22.435400000000001</v>
      </c>
      <c r="L490" s="14">
        <f>CHOOSE(CONTROL!$C$42, 23.2224, 23.2224) * CHOOSE(CONTROL!$C$21, $C$9, 100%, $E$9)</f>
        <v>23.2224</v>
      </c>
      <c r="M490" s="14">
        <f>CHOOSE(CONTROL!$C$42, 21.9695, 21.9695) * CHOOSE(CONTROL!$C$21, $C$9, 100%, $E$9)</f>
        <v>21.9695</v>
      </c>
      <c r="N490" s="14">
        <f>CHOOSE(CONTROL!$C$42, 21.9863, 21.9863) * CHOOSE(CONTROL!$C$21, $C$9, 100%, $E$9)</f>
        <v>21.9863</v>
      </c>
      <c r="O490" s="14">
        <f>CHOOSE(CONTROL!$C$42, 22.236, 22.236) * CHOOSE(CONTROL!$C$21, $C$9, 100%, $E$9)</f>
        <v>22.236000000000001</v>
      </c>
      <c r="P490" s="14">
        <f>CHOOSE(CONTROL!$C$42, 22.0422, 22.0422) * CHOOSE(CONTROL!$C$21, $C$9, 100%, $E$9)</f>
        <v>22.042200000000001</v>
      </c>
      <c r="Q490" s="14">
        <f>CHOOSE(CONTROL!$C$42, 22.8307, 22.8307) * CHOOSE(CONTROL!$C$21, $C$9, 100%, $E$9)</f>
        <v>22.8307</v>
      </c>
      <c r="R490" s="14">
        <f>CHOOSE(CONTROL!$C$42, 23.4747, 23.4747) * CHOOSE(CONTROL!$C$21, $C$9, 100%, $E$9)</f>
        <v>23.474699999999999</v>
      </c>
      <c r="S490" s="14">
        <f>CHOOSE(CONTROL!$C$42, 21.4638, 21.4638) * CHOOSE(CONTROL!$C$21, $C$9, 100%, $E$9)</f>
        <v>21.463799999999999</v>
      </c>
      <c r="T49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90" s="56">
        <f>(1000*CHOOSE(CONTROL!$C$42, 695, 695)*CHOOSE(CONTROL!$C$42, 0.5599, 0.5599)*CHOOSE(CONTROL!$C$42, 31, 31))/1000000</f>
        <v>12.063045499999998</v>
      </c>
      <c r="V490" s="56">
        <f>(1000*CHOOSE(CONTROL!$C$42, 500, 500)*CHOOSE(CONTROL!$C$42, 0.275, 0.275)*CHOOSE(CONTROL!$C$42, 31, 31))/1000000</f>
        <v>4.2625000000000002</v>
      </c>
      <c r="W490" s="56">
        <f>(1000*CHOOSE(CONTROL!$C$42, 0.1146, 0.1146)*CHOOSE(CONTROL!$C$42, 121.5, 121.5)*CHOOSE(CONTROL!$C$42, 31, 31))/1000000</f>
        <v>0.43164089999999994</v>
      </c>
      <c r="X490" s="56">
        <f>(31*0.1790888*245000/1000000)+(31*0.2374*100000/1000000)</f>
        <v>2.0961194359999999</v>
      </c>
      <c r="Y490" s="56"/>
      <c r="Z490" s="14"/>
      <c r="AA490" s="55"/>
      <c r="AB490" s="49">
        <f>(B490*131.881+C490*277.167+D490*79.08+E490*125.872+F490*40+G490*185+H490*0+I490*100+J490*300)/(131.881+277.167+79.08+125.872+0+40+185+100+300)</f>
        <v>22.413950158030669</v>
      </c>
      <c r="AC490" s="45">
        <f>(M490*'RAP TEMPLATE-GAS AVAILABILITY'!O489+N490*'RAP TEMPLATE-GAS AVAILABILITY'!P489+O490*'RAP TEMPLATE-GAS AVAILABILITY'!Q489+P490*'RAP TEMPLATE-GAS AVAILABILITY'!R489)/('RAP TEMPLATE-GAS AVAILABILITY'!O489+'RAP TEMPLATE-GAS AVAILABILITY'!P489+'RAP TEMPLATE-GAS AVAILABILITY'!Q489+'RAP TEMPLATE-GAS AVAILABILITY'!R489)</f>
        <v>22.058601438848925</v>
      </c>
    </row>
    <row r="491" spans="1:29" ht="15.75" x14ac:dyDescent="0.25">
      <c r="A491" s="33">
        <v>55853</v>
      </c>
      <c r="B491" s="14">
        <f>CHOOSE(CONTROL!$C$42, 22.9345, 22.9345) * CHOOSE(CONTROL!$C$21, $C$9, 100%, $E$9)</f>
        <v>22.9345</v>
      </c>
      <c r="C491" s="14">
        <f>CHOOSE(CONTROL!$C$42, 22.9395, 22.9395) * CHOOSE(CONTROL!$C$21, $C$9, 100%, $E$9)</f>
        <v>22.939499999999999</v>
      </c>
      <c r="D491" s="14">
        <f>CHOOSE(CONTROL!$C$42, 23.0226, 23.0226) * CHOOSE(CONTROL!$C$21, $C$9, 100%, $E$9)</f>
        <v>23.022600000000001</v>
      </c>
      <c r="E491" s="14">
        <f>CHOOSE(CONTROL!$C$42, 23.0567, 23.0567) * CHOOSE(CONTROL!$C$21, $C$9, 100%, $E$9)</f>
        <v>23.056699999999999</v>
      </c>
      <c r="F491" s="14">
        <f>CHOOSE(CONTROL!$C$42, 22.9621, 22.9621)*CHOOSE(CONTROL!$C$21, $C$9, 100%, $E$9)</f>
        <v>22.9621</v>
      </c>
      <c r="G491" s="14">
        <f>CHOOSE(CONTROL!$C$42, 22.9795, 22.9795)*CHOOSE(CONTROL!$C$21, $C$9, 100%, $E$9)</f>
        <v>22.979500000000002</v>
      </c>
      <c r="H491" s="14">
        <f>CHOOSE(CONTROL!$C$42, 23.0459, 23.0459) * CHOOSE(CONTROL!$C$21, $C$9, 100%, $E$9)</f>
        <v>23.0459</v>
      </c>
      <c r="I491" s="14">
        <f>CHOOSE(CONTROL!$C$42, 23.0259, 23.0259)* CHOOSE(CONTROL!$C$21, $C$9, 100%, $E$9)</f>
        <v>23.0259</v>
      </c>
      <c r="J491" s="14">
        <f>CHOOSE(CONTROL!$C$42, 22.9551, 22.9551)* CHOOSE(CONTROL!$C$21, $C$9, 100%, $E$9)</f>
        <v>22.955100000000002</v>
      </c>
      <c r="K491" s="52">
        <f>CHOOSE(CONTROL!$C$42, 23.022, 23.022) * CHOOSE(CONTROL!$C$21, $C$9, 100%, $E$9)</f>
        <v>23.021999999999998</v>
      </c>
      <c r="L491" s="14">
        <f>CHOOSE(CONTROL!$C$42, 23.6329, 23.6329) * CHOOSE(CONTROL!$C$21, $C$9, 100%, $E$9)</f>
        <v>23.632899999999999</v>
      </c>
      <c r="M491" s="14">
        <f>CHOOSE(CONTROL!$C$42, 22.5499, 22.5499) * CHOOSE(CONTROL!$C$21, $C$9, 100%, $E$9)</f>
        <v>22.549900000000001</v>
      </c>
      <c r="N491" s="14">
        <f>CHOOSE(CONTROL!$C$42, 22.567, 22.567) * CHOOSE(CONTROL!$C$21, $C$9, 100%, $E$9)</f>
        <v>22.567</v>
      </c>
      <c r="O491" s="14">
        <f>CHOOSE(CONTROL!$C$42, 22.6391, 22.6391) * CHOOSE(CONTROL!$C$21, $C$9, 100%, $E$9)</f>
        <v>22.639099999999999</v>
      </c>
      <c r="P491" s="14">
        <f>CHOOSE(CONTROL!$C$42, 22.6183, 22.6183) * CHOOSE(CONTROL!$C$21, $C$9, 100%, $E$9)</f>
        <v>22.618300000000001</v>
      </c>
      <c r="Q491" s="14">
        <f>CHOOSE(CONTROL!$C$42, 23.2338, 23.2338) * CHOOSE(CONTROL!$C$21, $C$9, 100%, $E$9)</f>
        <v>23.233799999999999</v>
      </c>
      <c r="R491" s="14">
        <f>CHOOSE(CONTROL!$C$42, 23.8789, 23.8789) * CHOOSE(CONTROL!$C$21, $C$9, 100%, $E$9)</f>
        <v>23.878900000000002</v>
      </c>
      <c r="S491" s="14">
        <f>CHOOSE(CONTROL!$C$42, 22.0292, 22.0292) * CHOOSE(CONTROL!$C$21, $C$9, 100%, $E$9)</f>
        <v>22.029199999999999</v>
      </c>
      <c r="T49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91" s="56">
        <f>(1000*CHOOSE(CONTROL!$C$42, 695, 695)*CHOOSE(CONTROL!$C$42, 0.5599, 0.5599)*CHOOSE(CONTROL!$C$42, 30, 30))/1000000</f>
        <v>11.673914999999997</v>
      </c>
      <c r="V491" s="56">
        <f>(1000*CHOOSE(CONTROL!$C$42, 500, 500)*CHOOSE(CONTROL!$C$42, 0.275, 0.275)*CHOOSE(CONTROL!$C$42, 30, 30))/1000000</f>
        <v>4.125</v>
      </c>
      <c r="W491" s="56">
        <f>(1000*CHOOSE(CONTROL!$C$42, 0.1146, 0.1146)*CHOOSE(CONTROL!$C$42, 121.5, 121.5)*CHOOSE(CONTROL!$C$42, 30, 30))/1000000</f>
        <v>0.417717</v>
      </c>
      <c r="X491" s="56">
        <f>(30*0.1790888*100000/1000000)+(30*0.2374*100000/1000000)</f>
        <v>1.2494664</v>
      </c>
      <c r="Y491" s="56"/>
      <c r="Z491" s="14"/>
      <c r="AA491" s="55"/>
      <c r="AB491" s="49">
        <f>(B491*122.58+C491*297.941+D491*89.177+E491*40.302+F491*40+G491*160+H491*0+I491*100+J491*300)/(122.58+297.941+89.177+40.302+0+40+160+100+300)</f>
        <v>22.967452263565217</v>
      </c>
      <c r="AC491" s="45">
        <f>(M491*'RAP TEMPLATE-GAS AVAILABILITY'!O490+N491*'RAP TEMPLATE-GAS AVAILABILITY'!P490+O491*'RAP TEMPLATE-GAS AVAILABILITY'!Q490+P491*'RAP TEMPLATE-GAS AVAILABILITY'!R490)/('RAP TEMPLATE-GAS AVAILABILITY'!O490+'RAP TEMPLATE-GAS AVAILABILITY'!P490+'RAP TEMPLATE-GAS AVAILABILITY'!Q490+'RAP TEMPLATE-GAS AVAILABILITY'!R490)</f>
        <v>22.601154676258993</v>
      </c>
    </row>
    <row r="492" spans="1:29" ht="15.75" x14ac:dyDescent="0.25">
      <c r="A492" s="33">
        <v>55884</v>
      </c>
      <c r="B492" s="14">
        <f>CHOOSE(CONTROL!$C$42, 24.4975, 24.4975) * CHOOSE(CONTROL!$C$21, $C$9, 100%, $E$9)</f>
        <v>24.497499999999999</v>
      </c>
      <c r="C492" s="14">
        <f>CHOOSE(CONTROL!$C$42, 24.5025, 24.5025) * CHOOSE(CONTROL!$C$21, $C$9, 100%, $E$9)</f>
        <v>24.502500000000001</v>
      </c>
      <c r="D492" s="14">
        <f>CHOOSE(CONTROL!$C$42, 24.5856, 24.5856) * CHOOSE(CONTROL!$C$21, $C$9, 100%, $E$9)</f>
        <v>24.585599999999999</v>
      </c>
      <c r="E492" s="14">
        <f>CHOOSE(CONTROL!$C$42, 24.6197, 24.6197) * CHOOSE(CONTROL!$C$21, $C$9, 100%, $E$9)</f>
        <v>24.619700000000002</v>
      </c>
      <c r="F492" s="14">
        <f>CHOOSE(CONTROL!$C$42, 24.5275, 24.5275)*CHOOSE(CONTROL!$C$21, $C$9, 100%, $E$9)</f>
        <v>24.5275</v>
      </c>
      <c r="G492" s="14">
        <f>CHOOSE(CONTROL!$C$42, 24.5456, 24.5456)*CHOOSE(CONTROL!$C$21, $C$9, 100%, $E$9)</f>
        <v>24.5456</v>
      </c>
      <c r="H492" s="14">
        <f>CHOOSE(CONTROL!$C$42, 24.6089, 24.6089) * CHOOSE(CONTROL!$C$21, $C$9, 100%, $E$9)</f>
        <v>24.608899999999998</v>
      </c>
      <c r="I492" s="14">
        <f>CHOOSE(CONTROL!$C$42, 24.5938, 24.5938)* CHOOSE(CONTROL!$C$21, $C$9, 100%, $E$9)</f>
        <v>24.593800000000002</v>
      </c>
      <c r="J492" s="14">
        <f>CHOOSE(CONTROL!$C$42, 24.5205, 24.5205)* CHOOSE(CONTROL!$C$21, $C$9, 100%, $E$9)</f>
        <v>24.520499999999998</v>
      </c>
      <c r="K492" s="52">
        <f>CHOOSE(CONTROL!$C$42, 24.5899, 24.5899) * CHOOSE(CONTROL!$C$21, $C$9, 100%, $E$9)</f>
        <v>24.5899</v>
      </c>
      <c r="L492" s="14">
        <f>CHOOSE(CONTROL!$C$42, 25.1959, 25.1959) * CHOOSE(CONTROL!$C$21, $C$9, 100%, $E$9)</f>
        <v>25.195900000000002</v>
      </c>
      <c r="M492" s="14">
        <f>CHOOSE(CONTROL!$C$42, 24.0872, 24.0872) * CHOOSE(CONTROL!$C$21, $C$9, 100%, $E$9)</f>
        <v>24.087199999999999</v>
      </c>
      <c r="N492" s="14">
        <f>CHOOSE(CONTROL!$C$42, 24.1049, 24.1049) * CHOOSE(CONTROL!$C$21, $C$9, 100%, $E$9)</f>
        <v>24.104900000000001</v>
      </c>
      <c r="O492" s="14">
        <f>CHOOSE(CONTROL!$C$42, 24.174, 24.174) * CHOOSE(CONTROL!$C$21, $C$9, 100%, $E$9)</f>
        <v>24.173999999999999</v>
      </c>
      <c r="P492" s="14">
        <f>CHOOSE(CONTROL!$C$42, 24.1579, 24.1579) * CHOOSE(CONTROL!$C$21, $C$9, 100%, $E$9)</f>
        <v>24.157900000000001</v>
      </c>
      <c r="Q492" s="14">
        <f>CHOOSE(CONTROL!$C$42, 24.7687, 24.7687) * CHOOSE(CONTROL!$C$21, $C$9, 100%, $E$9)</f>
        <v>24.768699999999999</v>
      </c>
      <c r="R492" s="14">
        <f>CHOOSE(CONTROL!$C$42, 25.4176, 25.4176) * CHOOSE(CONTROL!$C$21, $C$9, 100%, $E$9)</f>
        <v>25.4176</v>
      </c>
      <c r="S492" s="14">
        <f>CHOOSE(CONTROL!$C$42, 23.5311, 23.5311) * CHOOSE(CONTROL!$C$21, $C$9, 100%, $E$9)</f>
        <v>23.531099999999999</v>
      </c>
      <c r="T49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92" s="56">
        <f>(1000*CHOOSE(CONTROL!$C$42, 695, 695)*CHOOSE(CONTROL!$C$42, 0.5599, 0.5599)*CHOOSE(CONTROL!$C$42, 31, 31))/1000000</f>
        <v>12.063045499999998</v>
      </c>
      <c r="V492" s="56">
        <f>(1000*CHOOSE(CONTROL!$C$42, 500, 500)*CHOOSE(CONTROL!$C$42, 0.275, 0.275)*CHOOSE(CONTROL!$C$42, 31, 31))/1000000</f>
        <v>4.2625000000000002</v>
      </c>
      <c r="W492" s="56">
        <f>(1000*CHOOSE(CONTROL!$C$42, 0.1146, 0.1146)*CHOOSE(CONTROL!$C$42, 121.5, 121.5)*CHOOSE(CONTROL!$C$42, 31, 31))/1000000</f>
        <v>0.43164089999999994</v>
      </c>
      <c r="X492" s="56">
        <f>(31*0.1790888*100000/1000000)+(31*0.2374*100000/1000000)</f>
        <v>1.2911152800000001</v>
      </c>
      <c r="Y492" s="56"/>
      <c r="Z492" s="14"/>
      <c r="AA492" s="55"/>
      <c r="AB492" s="49">
        <f>(B492*122.58+C492*297.941+D492*89.177+E492*40.302+F492*40+G492*160+H492*0+I492*100+J492*300)/(122.58+297.941+89.177+40.302+0+40+160+100+300)</f>
        <v>24.532019220086955</v>
      </c>
      <c r="AC492" s="45">
        <f>(M492*'RAP TEMPLATE-GAS AVAILABILITY'!O491+N492*'RAP TEMPLATE-GAS AVAILABILITY'!P491+O492*'RAP TEMPLATE-GAS AVAILABILITY'!Q491+P492*'RAP TEMPLATE-GAS AVAILABILITY'!R491)/('RAP TEMPLATE-GAS AVAILABILITY'!O491+'RAP TEMPLATE-GAS AVAILABILITY'!P491+'RAP TEMPLATE-GAS AVAILABILITY'!Q491+'RAP TEMPLATE-GAS AVAILABILITY'!R491)</f>
        <v>24.137732374100718</v>
      </c>
    </row>
    <row r="493" spans="1:29" ht="15.75" x14ac:dyDescent="0.25">
      <c r="A493" s="33">
        <v>55915</v>
      </c>
      <c r="B493" s="14">
        <f>CHOOSE(CONTROL!$C$42, 26.5275, 26.5275) * CHOOSE(CONTROL!$C$21, $C$9, 100%, $E$9)</f>
        <v>26.5275</v>
      </c>
      <c r="C493" s="14">
        <f>CHOOSE(CONTROL!$C$42, 26.5326, 26.5326) * CHOOSE(CONTROL!$C$21, $C$9, 100%, $E$9)</f>
        <v>26.532599999999999</v>
      </c>
      <c r="D493" s="14">
        <f>CHOOSE(CONTROL!$C$42, 26.6261, 26.6261) * CHOOSE(CONTROL!$C$21, $C$9, 100%, $E$9)</f>
        <v>26.626100000000001</v>
      </c>
      <c r="E493" s="14">
        <f>CHOOSE(CONTROL!$C$42, 26.6602, 26.6602) * CHOOSE(CONTROL!$C$21, $C$9, 100%, $E$9)</f>
        <v>26.6602</v>
      </c>
      <c r="F493" s="14">
        <f>CHOOSE(CONTROL!$C$42, 26.5549, 26.5549)*CHOOSE(CONTROL!$C$21, $C$9, 100%, $E$9)</f>
        <v>26.5549</v>
      </c>
      <c r="G493" s="14">
        <f>CHOOSE(CONTROL!$C$42, 26.5728, 26.5728)*CHOOSE(CONTROL!$C$21, $C$9, 100%, $E$9)</f>
        <v>26.572800000000001</v>
      </c>
      <c r="H493" s="14">
        <f>CHOOSE(CONTROL!$C$42, 26.6494, 26.6494) * CHOOSE(CONTROL!$C$21, $C$9, 100%, $E$9)</f>
        <v>26.6494</v>
      </c>
      <c r="I493" s="14">
        <f>CHOOSE(CONTROL!$C$42, 26.6365, 26.6365)* CHOOSE(CONTROL!$C$21, $C$9, 100%, $E$9)</f>
        <v>26.636500000000002</v>
      </c>
      <c r="J493" s="14">
        <f>CHOOSE(CONTROL!$C$42, 26.5479, 26.5479)* CHOOSE(CONTROL!$C$21, $C$9, 100%, $E$9)</f>
        <v>26.547899999999998</v>
      </c>
      <c r="K493" s="52">
        <f>CHOOSE(CONTROL!$C$42, 26.6326, 26.6326) * CHOOSE(CONTROL!$C$21, $C$9, 100%, $E$9)</f>
        <v>26.6326</v>
      </c>
      <c r="L493" s="14">
        <f>CHOOSE(CONTROL!$C$42, 27.2364, 27.2364) * CHOOSE(CONTROL!$C$21, $C$9, 100%, $E$9)</f>
        <v>27.2364</v>
      </c>
      <c r="M493" s="14">
        <f>CHOOSE(CONTROL!$C$42, 26.078, 26.078) * CHOOSE(CONTROL!$C$21, $C$9, 100%, $E$9)</f>
        <v>26.077999999999999</v>
      </c>
      <c r="N493" s="14">
        <f>CHOOSE(CONTROL!$C$42, 26.0957, 26.0957) * CHOOSE(CONTROL!$C$21, $C$9, 100%, $E$9)</f>
        <v>26.095700000000001</v>
      </c>
      <c r="O493" s="14">
        <f>CHOOSE(CONTROL!$C$42, 26.1777, 26.1777) * CHOOSE(CONTROL!$C$21, $C$9, 100%, $E$9)</f>
        <v>26.177700000000002</v>
      </c>
      <c r="P493" s="14">
        <f>CHOOSE(CONTROL!$C$42, 26.1637, 26.1637) * CHOOSE(CONTROL!$C$21, $C$9, 100%, $E$9)</f>
        <v>26.163699999999999</v>
      </c>
      <c r="Q493" s="14">
        <f>CHOOSE(CONTROL!$C$42, 26.7724, 26.7724) * CHOOSE(CONTROL!$C$21, $C$9, 100%, $E$9)</f>
        <v>26.772400000000001</v>
      </c>
      <c r="R493" s="14">
        <f>CHOOSE(CONTROL!$C$42, 27.4264, 27.4264) * CHOOSE(CONTROL!$C$21, $C$9, 100%, $E$9)</f>
        <v>27.426400000000001</v>
      </c>
      <c r="S493" s="14">
        <f>CHOOSE(CONTROL!$C$42, 25.4818, 25.4818) * CHOOSE(CONTROL!$C$21, $C$9, 100%, $E$9)</f>
        <v>25.4818</v>
      </c>
      <c r="T49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3" s="56">
        <f>(1000*CHOOSE(CONTROL!$C$42, 695, 695)*CHOOSE(CONTROL!$C$42, 0.5599, 0.5599)*CHOOSE(CONTROL!$C$42, 31, 31))/1000000</f>
        <v>12.063045499999998</v>
      </c>
      <c r="V493" s="56">
        <f>(1000*CHOOSE(CONTROL!$C$42, 500, 500)*CHOOSE(CONTROL!$C$42, 0.275, 0.275)*CHOOSE(CONTROL!$C$42, 31, 31))/1000000</f>
        <v>4.2625000000000002</v>
      </c>
      <c r="W493" s="56">
        <f>(1000*CHOOSE(CONTROL!$C$42, 0.1146, 0.1146)*CHOOSE(CONTROL!$C$42, 121.5, 121.5)*CHOOSE(CONTROL!$C$42, 31, 31))/1000000</f>
        <v>0.43164089999999994</v>
      </c>
      <c r="X493" s="56">
        <f>(31*0.1790888*100000/1000000)+(31*0.2374*100000/1000000)</f>
        <v>1.2911152800000001</v>
      </c>
      <c r="Y493" s="56"/>
      <c r="Z493" s="14"/>
      <c r="AA493" s="55"/>
      <c r="AB493" s="49">
        <f>(B493*122.58+C493*297.941+D493*89.177+E493*40.302+F493*40+G493*160+H493*0+I493*100+J493*300)/(122.58+297.941+89.177+40.302+0+40+160+100+300)</f>
        <v>26.563173414521739</v>
      </c>
      <c r="AC493" s="45">
        <f>(M493*'RAP TEMPLATE-GAS AVAILABILITY'!O492+N493*'RAP TEMPLATE-GAS AVAILABILITY'!P492+O493*'RAP TEMPLATE-GAS AVAILABILITY'!Q492+P493*'RAP TEMPLATE-GAS AVAILABILITY'!R492)/('RAP TEMPLATE-GAS AVAILABILITY'!O492+'RAP TEMPLATE-GAS AVAILABILITY'!P492+'RAP TEMPLATE-GAS AVAILABILITY'!Q492+'RAP TEMPLATE-GAS AVAILABILITY'!R492)</f>
        <v>26.136537410071945</v>
      </c>
    </row>
    <row r="494" spans="1:29" ht="15.75" x14ac:dyDescent="0.25">
      <c r="A494" s="33">
        <v>55943</v>
      </c>
      <c r="B494" s="14">
        <f>CHOOSE(CONTROL!$C$42, 26.9996, 26.9996) * CHOOSE(CONTROL!$C$21, $C$9, 100%, $E$9)</f>
        <v>26.999600000000001</v>
      </c>
      <c r="C494" s="14">
        <f>CHOOSE(CONTROL!$C$42, 27.0047, 27.0047) * CHOOSE(CONTROL!$C$21, $C$9, 100%, $E$9)</f>
        <v>27.0047</v>
      </c>
      <c r="D494" s="14">
        <f>CHOOSE(CONTROL!$C$42, 27.0981, 27.0981) * CHOOSE(CONTROL!$C$21, $C$9, 100%, $E$9)</f>
        <v>27.098099999999999</v>
      </c>
      <c r="E494" s="14">
        <f>CHOOSE(CONTROL!$C$42, 27.1322, 27.1322) * CHOOSE(CONTROL!$C$21, $C$9, 100%, $E$9)</f>
        <v>27.132200000000001</v>
      </c>
      <c r="F494" s="14">
        <f>CHOOSE(CONTROL!$C$42, 27.0265, 27.0265)*CHOOSE(CONTROL!$C$21, $C$9, 100%, $E$9)</f>
        <v>27.026499999999999</v>
      </c>
      <c r="G494" s="14">
        <f>CHOOSE(CONTROL!$C$42, 27.0444, 27.0444)*CHOOSE(CONTROL!$C$21, $C$9, 100%, $E$9)</f>
        <v>27.0444</v>
      </c>
      <c r="H494" s="14">
        <f>CHOOSE(CONTROL!$C$42, 27.1214, 27.1214) * CHOOSE(CONTROL!$C$21, $C$9, 100%, $E$9)</f>
        <v>27.121400000000001</v>
      </c>
      <c r="I494" s="14">
        <f>CHOOSE(CONTROL!$C$42, 27.1101, 27.1101)* CHOOSE(CONTROL!$C$21, $C$9, 100%, $E$9)</f>
        <v>27.110099999999999</v>
      </c>
      <c r="J494" s="14">
        <f>CHOOSE(CONTROL!$C$42, 27.0195, 27.0195)* CHOOSE(CONTROL!$C$21, $C$9, 100%, $E$9)</f>
        <v>27.019500000000001</v>
      </c>
      <c r="K494" s="52">
        <f>CHOOSE(CONTROL!$C$42, 27.1062, 27.1062) * CHOOSE(CONTROL!$C$21, $C$9, 100%, $E$9)</f>
        <v>27.106200000000001</v>
      </c>
      <c r="L494" s="14">
        <f>CHOOSE(CONTROL!$C$42, 27.7084, 27.7084) * CHOOSE(CONTROL!$C$21, $C$9, 100%, $E$9)</f>
        <v>27.708400000000001</v>
      </c>
      <c r="M494" s="14">
        <f>CHOOSE(CONTROL!$C$42, 26.5412, 26.5412) * CHOOSE(CONTROL!$C$21, $C$9, 100%, $E$9)</f>
        <v>26.5412</v>
      </c>
      <c r="N494" s="14">
        <f>CHOOSE(CONTROL!$C$42, 26.5588, 26.5588) * CHOOSE(CONTROL!$C$21, $C$9, 100%, $E$9)</f>
        <v>26.558800000000002</v>
      </c>
      <c r="O494" s="14">
        <f>CHOOSE(CONTROL!$C$42, 26.6413, 26.6413) * CHOOSE(CONTROL!$C$21, $C$9, 100%, $E$9)</f>
        <v>26.641300000000001</v>
      </c>
      <c r="P494" s="14">
        <f>CHOOSE(CONTROL!$C$42, 26.6287, 26.6287) * CHOOSE(CONTROL!$C$21, $C$9, 100%, $E$9)</f>
        <v>26.628699999999998</v>
      </c>
      <c r="Q494" s="14">
        <f>CHOOSE(CONTROL!$C$42, 27.236, 27.236) * CHOOSE(CONTROL!$C$21, $C$9, 100%, $E$9)</f>
        <v>27.236000000000001</v>
      </c>
      <c r="R494" s="14">
        <f>CHOOSE(CONTROL!$C$42, 27.8911, 27.8911) * CHOOSE(CONTROL!$C$21, $C$9, 100%, $E$9)</f>
        <v>27.891100000000002</v>
      </c>
      <c r="S494" s="14">
        <f>CHOOSE(CONTROL!$C$42, 25.9354, 25.9354) * CHOOSE(CONTROL!$C$21, $C$9, 100%, $E$9)</f>
        <v>25.935400000000001</v>
      </c>
      <c r="T49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94" s="56">
        <f>(1000*CHOOSE(CONTROL!$C$42, 695, 695)*CHOOSE(CONTROL!$C$42, 0.5599, 0.5599)*CHOOSE(CONTROL!$C$42, 28, 28))/1000000</f>
        <v>10.895653999999999</v>
      </c>
      <c r="V494" s="56">
        <f>(1000*CHOOSE(CONTROL!$C$42, 500, 500)*CHOOSE(CONTROL!$C$42, 0.275, 0.275)*CHOOSE(CONTROL!$C$42, 28, 28))/1000000</f>
        <v>3.85</v>
      </c>
      <c r="W494" s="56">
        <f>(1000*CHOOSE(CONTROL!$C$42, 0.1146, 0.1146)*CHOOSE(CONTROL!$C$42, 121.5, 121.5)*CHOOSE(CONTROL!$C$42, 28, 28))/1000000</f>
        <v>0.38986920000000003</v>
      </c>
      <c r="X494" s="56">
        <f>(28*0.1790888*100000/1000000)+(28*0.2374*100000/1000000)</f>
        <v>1.16616864</v>
      </c>
      <c r="Y494" s="56"/>
      <c r="Z494" s="14"/>
      <c r="AA494" s="55"/>
      <c r="AB494" s="49">
        <f>(B494*122.58+C494*297.941+D494*89.177+E494*40.302+F494*40+G494*160+H494*0+I494*100+J494*300)/(122.58+297.941+89.177+40.302+0+40+160+100+300)</f>
        <v>27.035175198956523</v>
      </c>
      <c r="AC494" s="45">
        <f>(M494*'RAP TEMPLATE-GAS AVAILABILITY'!O493+N494*'RAP TEMPLATE-GAS AVAILABILITY'!P493+O494*'RAP TEMPLATE-GAS AVAILABILITY'!Q493+P494*'RAP TEMPLATE-GAS AVAILABILITY'!R493)/('RAP TEMPLATE-GAS AVAILABILITY'!O493+'RAP TEMPLATE-GAS AVAILABILITY'!P493+'RAP TEMPLATE-GAS AVAILABILITY'!Q493+'RAP TEMPLATE-GAS AVAILABILITY'!R493)</f>
        <v>26.600171942446043</v>
      </c>
    </row>
    <row r="495" spans="1:29" ht="15.75" x14ac:dyDescent="0.25">
      <c r="A495" s="33">
        <v>55974</v>
      </c>
      <c r="B495" s="14">
        <f>CHOOSE(CONTROL!$C$42, 26.2333, 26.2333) * CHOOSE(CONTROL!$C$21, $C$9, 100%, $E$9)</f>
        <v>26.2333</v>
      </c>
      <c r="C495" s="14">
        <f>CHOOSE(CONTROL!$C$42, 26.2384, 26.2384) * CHOOSE(CONTROL!$C$21, $C$9, 100%, $E$9)</f>
        <v>26.238399999999999</v>
      </c>
      <c r="D495" s="14">
        <f>CHOOSE(CONTROL!$C$42, 26.3319, 26.3319) * CHOOSE(CONTROL!$C$21, $C$9, 100%, $E$9)</f>
        <v>26.331900000000001</v>
      </c>
      <c r="E495" s="14">
        <f>CHOOSE(CONTROL!$C$42, 26.366, 26.366) * CHOOSE(CONTROL!$C$21, $C$9, 100%, $E$9)</f>
        <v>26.366</v>
      </c>
      <c r="F495" s="14">
        <f>CHOOSE(CONTROL!$C$42, 26.2594, 26.2594)*CHOOSE(CONTROL!$C$21, $C$9, 100%, $E$9)</f>
        <v>26.259399999999999</v>
      </c>
      <c r="G495" s="14">
        <f>CHOOSE(CONTROL!$C$42, 26.2771, 26.2771)*CHOOSE(CONTROL!$C$21, $C$9, 100%, $E$9)</f>
        <v>26.277100000000001</v>
      </c>
      <c r="H495" s="14">
        <f>CHOOSE(CONTROL!$C$42, 26.3552, 26.3552) * CHOOSE(CONTROL!$C$21, $C$9, 100%, $E$9)</f>
        <v>26.3552</v>
      </c>
      <c r="I495" s="14">
        <f>CHOOSE(CONTROL!$C$42, 26.3414, 26.3414)* CHOOSE(CONTROL!$C$21, $C$9, 100%, $E$9)</f>
        <v>26.3414</v>
      </c>
      <c r="J495" s="14">
        <f>CHOOSE(CONTROL!$C$42, 26.2524, 26.2524)* CHOOSE(CONTROL!$C$21, $C$9, 100%, $E$9)</f>
        <v>26.252400000000002</v>
      </c>
      <c r="K495" s="52">
        <f>CHOOSE(CONTROL!$C$42, 26.3375, 26.3375) * CHOOSE(CONTROL!$C$21, $C$9, 100%, $E$9)</f>
        <v>26.337499999999999</v>
      </c>
      <c r="L495" s="14">
        <f>CHOOSE(CONTROL!$C$42, 26.9422, 26.9422) * CHOOSE(CONTROL!$C$21, $C$9, 100%, $E$9)</f>
        <v>26.9422</v>
      </c>
      <c r="M495" s="14">
        <f>CHOOSE(CONTROL!$C$42, 25.7879, 25.7879) * CHOOSE(CONTROL!$C$21, $C$9, 100%, $E$9)</f>
        <v>25.7879</v>
      </c>
      <c r="N495" s="14">
        <f>CHOOSE(CONTROL!$C$42, 25.8052, 25.8052) * CHOOSE(CONTROL!$C$21, $C$9, 100%, $E$9)</f>
        <v>25.805199999999999</v>
      </c>
      <c r="O495" s="14">
        <f>CHOOSE(CONTROL!$C$42, 25.8888, 25.8888) * CHOOSE(CONTROL!$C$21, $C$9, 100%, $E$9)</f>
        <v>25.8888</v>
      </c>
      <c r="P495" s="14">
        <f>CHOOSE(CONTROL!$C$42, 25.8739, 25.8739) * CHOOSE(CONTROL!$C$21, $C$9, 100%, $E$9)</f>
        <v>25.873899999999999</v>
      </c>
      <c r="Q495" s="14">
        <f>CHOOSE(CONTROL!$C$42, 26.4835, 26.4835) * CHOOSE(CONTROL!$C$21, $C$9, 100%, $E$9)</f>
        <v>26.483499999999999</v>
      </c>
      <c r="R495" s="14">
        <f>CHOOSE(CONTROL!$C$42, 27.1367, 27.1367) * CHOOSE(CONTROL!$C$21, $C$9, 100%, $E$9)</f>
        <v>27.136700000000001</v>
      </c>
      <c r="S495" s="14">
        <f>CHOOSE(CONTROL!$C$42, 25.1991, 25.1991) * CHOOSE(CONTROL!$C$21, $C$9, 100%, $E$9)</f>
        <v>25.199100000000001</v>
      </c>
      <c r="T49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95" s="56">
        <f>(1000*CHOOSE(CONTROL!$C$42, 695, 695)*CHOOSE(CONTROL!$C$42, 0.5599, 0.5599)*CHOOSE(CONTROL!$C$42, 31, 31))/1000000</f>
        <v>12.063045499999998</v>
      </c>
      <c r="V495" s="56">
        <f>(1000*CHOOSE(CONTROL!$C$42, 500, 500)*CHOOSE(CONTROL!$C$42, 0.275, 0.275)*CHOOSE(CONTROL!$C$42, 31, 31))/1000000</f>
        <v>4.2625000000000002</v>
      </c>
      <c r="W495" s="56">
        <f>(1000*CHOOSE(CONTROL!$C$42, 0.1146, 0.1146)*CHOOSE(CONTROL!$C$42, 121.5, 121.5)*CHOOSE(CONTROL!$C$42, 31, 31))/1000000</f>
        <v>0.43164089999999994</v>
      </c>
      <c r="X495" s="56">
        <f>(31*0.1790888*100000/1000000)+(31*0.2374*100000/1000000)</f>
        <v>1.2911152800000001</v>
      </c>
      <c r="Y495" s="56"/>
      <c r="Z495" s="14"/>
      <c r="AA495" s="55"/>
      <c r="AB495" s="49">
        <f>(B495*122.58+C495*297.941+D495*89.177+E495*40.302+F495*40+G495*160+H495*0+I495*100+J495*300)/(122.58+297.941+89.177+40.302+0+40+160+100+300)</f>
        <v>26.268302110173913</v>
      </c>
      <c r="AC495" s="45">
        <f>(M495*'RAP TEMPLATE-GAS AVAILABILITY'!O494+N495*'RAP TEMPLATE-GAS AVAILABILITY'!P494+O495*'RAP TEMPLATE-GAS AVAILABILITY'!Q494+P495*'RAP TEMPLATE-GAS AVAILABILITY'!R494)/('RAP TEMPLATE-GAS AVAILABILITY'!O494+'RAP TEMPLATE-GAS AVAILABILITY'!P494+'RAP TEMPLATE-GAS AVAILABILITY'!Q494+'RAP TEMPLATE-GAS AVAILABILITY'!R494)</f>
        <v>25.847001438848924</v>
      </c>
    </row>
    <row r="496" spans="1:29" ht="15.75" x14ac:dyDescent="0.25">
      <c r="A496" s="33">
        <v>56004</v>
      </c>
      <c r="B496" s="14">
        <f>CHOOSE(CONTROL!$C$42, 26.1558, 26.1558) * CHOOSE(CONTROL!$C$21, $C$9, 100%, $E$9)</f>
        <v>26.155799999999999</v>
      </c>
      <c r="C496" s="14">
        <f>CHOOSE(CONTROL!$C$42, 26.1603, 26.1603) * CHOOSE(CONTROL!$C$21, $C$9, 100%, $E$9)</f>
        <v>26.160299999999999</v>
      </c>
      <c r="D496" s="14">
        <f>CHOOSE(CONTROL!$C$42, 26.4225, 26.4225) * CHOOSE(CONTROL!$C$21, $C$9, 100%, $E$9)</f>
        <v>26.422499999999999</v>
      </c>
      <c r="E496" s="14">
        <f>CHOOSE(CONTROL!$C$42, 26.4547, 26.4547) * CHOOSE(CONTROL!$C$21, $C$9, 100%, $E$9)</f>
        <v>26.454699999999999</v>
      </c>
      <c r="F496" s="14">
        <f>CHOOSE(CONTROL!$C$42, 26.1787, 26.1787)*CHOOSE(CONTROL!$C$21, $C$9, 100%, $E$9)</f>
        <v>26.178699999999999</v>
      </c>
      <c r="G496" s="14">
        <f>CHOOSE(CONTROL!$C$42, 26.1954, 26.1954)*CHOOSE(CONTROL!$C$21, $C$9, 100%, $E$9)</f>
        <v>26.195399999999999</v>
      </c>
      <c r="H496" s="14">
        <f>CHOOSE(CONTROL!$C$42, 26.4444, 26.4444) * CHOOSE(CONTROL!$C$21, $C$9, 100%, $E$9)</f>
        <v>26.444400000000002</v>
      </c>
      <c r="I496" s="14">
        <f>CHOOSE(CONTROL!$C$42, 26.2602, 26.2602)* CHOOSE(CONTROL!$C$21, $C$9, 100%, $E$9)</f>
        <v>26.260200000000001</v>
      </c>
      <c r="J496" s="14">
        <f>CHOOSE(CONTROL!$C$42, 26.1717, 26.1717)* CHOOSE(CONTROL!$C$21, $C$9, 100%, $E$9)</f>
        <v>26.171700000000001</v>
      </c>
      <c r="K496" s="52">
        <f>CHOOSE(CONTROL!$C$42, 26.2564, 26.2564) * CHOOSE(CONTROL!$C$21, $C$9, 100%, $E$9)</f>
        <v>26.256399999999999</v>
      </c>
      <c r="L496" s="14">
        <f>CHOOSE(CONTROL!$C$42, 27.0314, 27.0314) * CHOOSE(CONTROL!$C$21, $C$9, 100%, $E$9)</f>
        <v>27.031400000000001</v>
      </c>
      <c r="M496" s="14">
        <f>CHOOSE(CONTROL!$C$42, 25.7086, 25.7086) * CHOOSE(CONTROL!$C$21, $C$9, 100%, $E$9)</f>
        <v>25.708600000000001</v>
      </c>
      <c r="N496" s="14">
        <f>CHOOSE(CONTROL!$C$42, 25.725, 25.725) * CHOOSE(CONTROL!$C$21, $C$9, 100%, $E$9)</f>
        <v>25.725000000000001</v>
      </c>
      <c r="O496" s="14">
        <f>CHOOSE(CONTROL!$C$42, 25.9765, 25.9765) * CHOOSE(CONTROL!$C$21, $C$9, 100%, $E$9)</f>
        <v>25.976500000000001</v>
      </c>
      <c r="P496" s="14">
        <f>CHOOSE(CONTROL!$C$42, 25.7942, 25.7942) * CHOOSE(CONTROL!$C$21, $C$9, 100%, $E$9)</f>
        <v>25.7942</v>
      </c>
      <c r="Q496" s="14">
        <f>CHOOSE(CONTROL!$C$42, 26.5712, 26.5712) * CHOOSE(CONTROL!$C$21, $C$9, 100%, $E$9)</f>
        <v>26.571200000000001</v>
      </c>
      <c r="R496" s="14">
        <f>CHOOSE(CONTROL!$C$42, 27.2246, 27.2246) * CHOOSE(CONTROL!$C$21, $C$9, 100%, $E$9)</f>
        <v>27.224599999999999</v>
      </c>
      <c r="S496" s="14">
        <f>CHOOSE(CONTROL!$C$42, 25.1238, 25.1238) * CHOOSE(CONTROL!$C$21, $C$9, 100%, $E$9)</f>
        <v>25.123799999999999</v>
      </c>
      <c r="T49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96" s="56">
        <f>(1000*CHOOSE(CONTROL!$C$42, 695, 695)*CHOOSE(CONTROL!$C$42, 0.5599, 0.5599)*CHOOSE(CONTROL!$C$42, 30, 30))/1000000</f>
        <v>11.673914999999997</v>
      </c>
      <c r="V496" s="56">
        <f>(1000*CHOOSE(CONTROL!$C$42, 500, 500)*CHOOSE(CONTROL!$C$42, 0.275, 0.275)*CHOOSE(CONTROL!$C$42, 30, 30))/1000000</f>
        <v>4.125</v>
      </c>
      <c r="W496" s="56">
        <f>(1000*CHOOSE(CONTROL!$C$42, 0.1146, 0.1146)*CHOOSE(CONTROL!$C$42, 121.5, 121.5)*CHOOSE(CONTROL!$C$42, 30, 30))/1000000</f>
        <v>0.417717</v>
      </c>
      <c r="X496" s="56">
        <f>(30*0.1790888*245000/1000000)+(30*0.2374*100000/1000000)</f>
        <v>2.0285026799999999</v>
      </c>
      <c r="Y496" s="56"/>
      <c r="Z496" s="14"/>
      <c r="AA496" s="55"/>
      <c r="AB496" s="49">
        <f>(B496*141.293+C496*267.993+D496*115.016+E496*89.698+F496*40+G496*185+H496*0+I496*100+J496*300)/(141.293+267.993+115.016+89.698+0+40+185+100+300)</f>
        <v>26.222098198466501</v>
      </c>
      <c r="AC496" s="45">
        <f>(M496*'RAP TEMPLATE-GAS AVAILABILITY'!O495+N496*'RAP TEMPLATE-GAS AVAILABILITY'!P495+O496*'RAP TEMPLATE-GAS AVAILABILITY'!Q495+P496*'RAP TEMPLATE-GAS AVAILABILITY'!R495)/('RAP TEMPLATE-GAS AVAILABILITY'!O495+'RAP TEMPLATE-GAS AVAILABILITY'!P495+'RAP TEMPLATE-GAS AVAILABILITY'!Q495+'RAP TEMPLATE-GAS AVAILABILITY'!R495)</f>
        <v>25.799858273381293</v>
      </c>
    </row>
    <row r="497" spans="1:29" ht="15.75" x14ac:dyDescent="0.25">
      <c r="A497" s="33">
        <v>56035</v>
      </c>
      <c r="B497" s="14">
        <f>CHOOSE(CONTROL!$C$42, 26.388, 26.388) * CHOOSE(CONTROL!$C$21, $C$9, 100%, $E$9)</f>
        <v>26.388000000000002</v>
      </c>
      <c r="C497" s="14">
        <f>CHOOSE(CONTROL!$C$42, 26.396, 26.396) * CHOOSE(CONTROL!$C$21, $C$9, 100%, $E$9)</f>
        <v>26.396000000000001</v>
      </c>
      <c r="D497" s="14">
        <f>CHOOSE(CONTROL!$C$42, 26.6551, 26.6551) * CHOOSE(CONTROL!$C$21, $C$9, 100%, $E$9)</f>
        <v>26.655100000000001</v>
      </c>
      <c r="E497" s="14">
        <f>CHOOSE(CONTROL!$C$42, 26.6866, 26.6866) * CHOOSE(CONTROL!$C$21, $C$9, 100%, $E$9)</f>
        <v>26.686599999999999</v>
      </c>
      <c r="F497" s="14">
        <f>CHOOSE(CONTROL!$C$42, 26.4095, 26.4095)*CHOOSE(CONTROL!$C$21, $C$9, 100%, $E$9)</f>
        <v>26.409500000000001</v>
      </c>
      <c r="G497" s="14">
        <f>CHOOSE(CONTROL!$C$42, 26.4265, 26.4265)*CHOOSE(CONTROL!$C$21, $C$9, 100%, $E$9)</f>
        <v>26.426500000000001</v>
      </c>
      <c r="H497" s="14">
        <f>CHOOSE(CONTROL!$C$42, 26.6752, 26.6752) * CHOOSE(CONTROL!$C$21, $C$9, 100%, $E$9)</f>
        <v>26.6752</v>
      </c>
      <c r="I497" s="14">
        <f>CHOOSE(CONTROL!$C$42, 26.4917, 26.4917)* CHOOSE(CONTROL!$C$21, $C$9, 100%, $E$9)</f>
        <v>26.491700000000002</v>
      </c>
      <c r="J497" s="14">
        <f>CHOOSE(CONTROL!$C$42, 26.4025, 26.4025)* CHOOSE(CONTROL!$C$21, $C$9, 100%, $E$9)</f>
        <v>26.4025</v>
      </c>
      <c r="K497" s="52">
        <f>CHOOSE(CONTROL!$C$42, 26.4878, 26.4878) * CHOOSE(CONTROL!$C$21, $C$9, 100%, $E$9)</f>
        <v>26.4878</v>
      </c>
      <c r="L497" s="14">
        <f>CHOOSE(CONTROL!$C$42, 27.2622, 27.2622) * CHOOSE(CONTROL!$C$21, $C$9, 100%, $E$9)</f>
        <v>27.2622</v>
      </c>
      <c r="M497" s="14">
        <f>CHOOSE(CONTROL!$C$42, 25.9353, 25.9353) * CHOOSE(CONTROL!$C$21, $C$9, 100%, $E$9)</f>
        <v>25.935300000000002</v>
      </c>
      <c r="N497" s="14">
        <f>CHOOSE(CONTROL!$C$42, 25.952, 25.952) * CHOOSE(CONTROL!$C$21, $C$9, 100%, $E$9)</f>
        <v>25.952000000000002</v>
      </c>
      <c r="O497" s="14">
        <f>CHOOSE(CONTROL!$C$42, 26.2031, 26.2031) * CHOOSE(CONTROL!$C$21, $C$9, 100%, $E$9)</f>
        <v>26.203099999999999</v>
      </c>
      <c r="P497" s="14">
        <f>CHOOSE(CONTROL!$C$42, 26.0215, 26.0215) * CHOOSE(CONTROL!$C$21, $C$9, 100%, $E$9)</f>
        <v>26.0215</v>
      </c>
      <c r="Q497" s="14">
        <f>CHOOSE(CONTROL!$C$42, 26.7978, 26.7978) * CHOOSE(CONTROL!$C$21, $C$9, 100%, $E$9)</f>
        <v>26.797799999999999</v>
      </c>
      <c r="R497" s="14">
        <f>CHOOSE(CONTROL!$C$42, 27.4518, 27.4518) * CHOOSE(CONTROL!$C$21, $C$9, 100%, $E$9)</f>
        <v>27.451799999999999</v>
      </c>
      <c r="S497" s="14">
        <f>CHOOSE(CONTROL!$C$42, 25.3456, 25.3456) * CHOOSE(CONTROL!$C$21, $C$9, 100%, $E$9)</f>
        <v>25.345600000000001</v>
      </c>
      <c r="T49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97" s="56">
        <f>(1000*CHOOSE(CONTROL!$C$42, 695, 695)*CHOOSE(CONTROL!$C$42, 0.5599, 0.5599)*CHOOSE(CONTROL!$C$42, 31, 31))/1000000</f>
        <v>12.063045499999998</v>
      </c>
      <c r="V497" s="56">
        <f>(1000*CHOOSE(CONTROL!$C$42, 500, 500)*CHOOSE(CONTROL!$C$42, 0.275, 0.275)*CHOOSE(CONTROL!$C$42, 31, 31))/1000000</f>
        <v>4.2625000000000002</v>
      </c>
      <c r="W497" s="56">
        <f>(1000*CHOOSE(CONTROL!$C$42, 0.1146, 0.1146)*CHOOSE(CONTROL!$C$42, 121.5, 121.5)*CHOOSE(CONTROL!$C$42, 31, 31))/1000000</f>
        <v>0.43164089999999994</v>
      </c>
      <c r="X497" s="56">
        <f>(31*0.1790888*245000/1000000)+(31*0.2374*100000/1000000)</f>
        <v>2.0961194359999999</v>
      </c>
      <c r="Y497" s="56"/>
      <c r="Z497" s="14"/>
      <c r="AA497" s="55"/>
      <c r="AB497" s="49">
        <f>(B497*194.205+C497*267.466+D497*133.845+E497*53.484+F497*40+G497*185+H497*0+I497*100+J497*300)/(194.205+267.466+133.845+53.484+0+40+185+100+300)</f>
        <v>26.448096193014127</v>
      </c>
      <c r="AC497" s="45">
        <f>(M497*'RAP TEMPLATE-GAS AVAILABILITY'!O496+N497*'RAP TEMPLATE-GAS AVAILABILITY'!P496+O497*'RAP TEMPLATE-GAS AVAILABILITY'!Q496+P497*'RAP TEMPLATE-GAS AVAILABILITY'!R496)/('RAP TEMPLATE-GAS AVAILABILITY'!O496+'RAP TEMPLATE-GAS AVAILABILITY'!P496+'RAP TEMPLATE-GAS AVAILABILITY'!Q496+'RAP TEMPLATE-GAS AVAILABILITY'!R496)</f>
        <v>26.026685611510793</v>
      </c>
    </row>
    <row r="498" spans="1:29" ht="15.75" x14ac:dyDescent="0.25">
      <c r="A498" s="33">
        <v>56065</v>
      </c>
      <c r="B498" s="14">
        <f>CHOOSE(CONTROL!$C$42, 27.1362, 27.1362) * CHOOSE(CONTROL!$C$21, $C$9, 100%, $E$9)</f>
        <v>27.136199999999999</v>
      </c>
      <c r="C498" s="14">
        <f>CHOOSE(CONTROL!$C$42, 27.1442, 27.1442) * CHOOSE(CONTROL!$C$21, $C$9, 100%, $E$9)</f>
        <v>27.144200000000001</v>
      </c>
      <c r="D498" s="14">
        <f>CHOOSE(CONTROL!$C$42, 27.4033, 27.4033) * CHOOSE(CONTROL!$C$21, $C$9, 100%, $E$9)</f>
        <v>27.403300000000002</v>
      </c>
      <c r="E498" s="14">
        <f>CHOOSE(CONTROL!$C$42, 27.4348, 27.4348) * CHOOSE(CONTROL!$C$21, $C$9, 100%, $E$9)</f>
        <v>27.434799999999999</v>
      </c>
      <c r="F498" s="14">
        <f>CHOOSE(CONTROL!$C$42, 27.158, 27.158)*CHOOSE(CONTROL!$C$21, $C$9, 100%, $E$9)</f>
        <v>27.158000000000001</v>
      </c>
      <c r="G498" s="14">
        <f>CHOOSE(CONTROL!$C$42, 27.175, 27.175)*CHOOSE(CONTROL!$C$21, $C$9, 100%, $E$9)</f>
        <v>27.175000000000001</v>
      </c>
      <c r="H498" s="14">
        <f>CHOOSE(CONTROL!$C$42, 27.4234, 27.4234) * CHOOSE(CONTROL!$C$21, $C$9, 100%, $E$9)</f>
        <v>27.423400000000001</v>
      </c>
      <c r="I498" s="14">
        <f>CHOOSE(CONTROL!$C$42, 27.2423, 27.2423)* CHOOSE(CONTROL!$C$21, $C$9, 100%, $E$9)</f>
        <v>27.2423</v>
      </c>
      <c r="J498" s="14">
        <f>CHOOSE(CONTROL!$C$42, 27.151, 27.151)* CHOOSE(CONTROL!$C$21, $C$9, 100%, $E$9)</f>
        <v>27.151</v>
      </c>
      <c r="K498" s="52">
        <f>CHOOSE(CONTROL!$C$42, 27.2384, 27.2384) * CHOOSE(CONTROL!$C$21, $C$9, 100%, $E$9)</f>
        <v>27.238399999999999</v>
      </c>
      <c r="L498" s="14">
        <f>CHOOSE(CONTROL!$C$42, 28.0104, 28.0104) * CHOOSE(CONTROL!$C$21, $C$9, 100%, $E$9)</f>
        <v>28.010400000000001</v>
      </c>
      <c r="M498" s="14">
        <f>CHOOSE(CONTROL!$C$42, 26.6703, 26.6703) * CHOOSE(CONTROL!$C$21, $C$9, 100%, $E$9)</f>
        <v>26.670300000000001</v>
      </c>
      <c r="N498" s="14">
        <f>CHOOSE(CONTROL!$C$42, 26.687, 26.687) * CHOOSE(CONTROL!$C$21, $C$9, 100%, $E$9)</f>
        <v>26.687000000000001</v>
      </c>
      <c r="O498" s="14">
        <f>CHOOSE(CONTROL!$C$42, 26.9378, 26.9378) * CHOOSE(CONTROL!$C$21, $C$9, 100%, $E$9)</f>
        <v>26.937799999999999</v>
      </c>
      <c r="P498" s="14">
        <f>CHOOSE(CONTROL!$C$42, 26.7585, 26.7585) * CHOOSE(CONTROL!$C$21, $C$9, 100%, $E$9)</f>
        <v>26.758500000000002</v>
      </c>
      <c r="Q498" s="14">
        <f>CHOOSE(CONTROL!$C$42, 27.5325, 27.5325) * CHOOSE(CONTROL!$C$21, $C$9, 100%, $E$9)</f>
        <v>27.532499999999999</v>
      </c>
      <c r="R498" s="14">
        <f>CHOOSE(CONTROL!$C$42, 28.1884, 28.1884) * CHOOSE(CONTROL!$C$21, $C$9, 100%, $E$9)</f>
        <v>28.188400000000001</v>
      </c>
      <c r="S498" s="14">
        <f>CHOOSE(CONTROL!$C$42, 26.0645, 26.0645) * CHOOSE(CONTROL!$C$21, $C$9, 100%, $E$9)</f>
        <v>26.064499999999999</v>
      </c>
      <c r="T49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98" s="56">
        <f>(1000*CHOOSE(CONTROL!$C$42, 695, 695)*CHOOSE(CONTROL!$C$42, 0.5599, 0.5599)*CHOOSE(CONTROL!$C$42, 30, 30))/1000000</f>
        <v>11.673914999999997</v>
      </c>
      <c r="V498" s="56">
        <f>(1000*CHOOSE(CONTROL!$C$42, 500, 500)*CHOOSE(CONTROL!$C$42, 0.275, 0.275)*CHOOSE(CONTROL!$C$42, 30, 30))/1000000</f>
        <v>4.125</v>
      </c>
      <c r="W498" s="56">
        <f>(1000*CHOOSE(CONTROL!$C$42, 0.1146, 0.1146)*CHOOSE(CONTROL!$C$42, 121.5, 121.5)*CHOOSE(CONTROL!$C$42, 30, 30))/1000000</f>
        <v>0.417717</v>
      </c>
      <c r="X498" s="56">
        <f>(30*0.1790888*245000/1000000)+(30*0.2374*100000/1000000)</f>
        <v>2.0285026799999999</v>
      </c>
      <c r="Y498" s="56"/>
      <c r="Z498" s="14"/>
      <c r="AA498" s="55"/>
      <c r="AB498" s="49">
        <f>(B498*194.205+C498*267.466+D498*133.845+E498*53.484+F498*40+G498*185+H498*0+I498*100+J498*300)/(194.205+267.466+133.845+53.484+0+40+185+100+300)</f>
        <v>27.196608202433278</v>
      </c>
      <c r="AC498" s="45">
        <f>(M498*'RAP TEMPLATE-GAS AVAILABILITY'!O497+N498*'RAP TEMPLATE-GAS AVAILABILITY'!P497+O498*'RAP TEMPLATE-GAS AVAILABILITY'!Q497+P498*'RAP TEMPLATE-GAS AVAILABILITY'!R497)/('RAP TEMPLATE-GAS AVAILABILITY'!O497+'RAP TEMPLATE-GAS AVAILABILITY'!P497+'RAP TEMPLATE-GAS AVAILABILITY'!Q497+'RAP TEMPLATE-GAS AVAILABILITY'!R497)</f>
        <v>26.761889208633093</v>
      </c>
    </row>
    <row r="499" spans="1:29" ht="15.75" x14ac:dyDescent="0.25">
      <c r="A499" s="33">
        <v>56096</v>
      </c>
      <c r="B499" s="14">
        <f>CHOOSE(CONTROL!$C$42, 26.6158, 26.6158) * CHOOSE(CONTROL!$C$21, $C$9, 100%, $E$9)</f>
        <v>26.6158</v>
      </c>
      <c r="C499" s="14">
        <f>CHOOSE(CONTROL!$C$42, 26.6238, 26.6238) * CHOOSE(CONTROL!$C$21, $C$9, 100%, $E$9)</f>
        <v>26.623799999999999</v>
      </c>
      <c r="D499" s="14">
        <f>CHOOSE(CONTROL!$C$42, 26.8829, 26.8829) * CHOOSE(CONTROL!$C$21, $C$9, 100%, $E$9)</f>
        <v>26.882899999999999</v>
      </c>
      <c r="E499" s="14">
        <f>CHOOSE(CONTROL!$C$42, 26.9144, 26.9144) * CHOOSE(CONTROL!$C$21, $C$9, 100%, $E$9)</f>
        <v>26.914400000000001</v>
      </c>
      <c r="F499" s="14">
        <f>CHOOSE(CONTROL!$C$42, 26.638, 26.638)*CHOOSE(CONTROL!$C$21, $C$9, 100%, $E$9)</f>
        <v>26.638000000000002</v>
      </c>
      <c r="G499" s="14">
        <f>CHOOSE(CONTROL!$C$42, 26.6552, 26.6552)*CHOOSE(CONTROL!$C$21, $C$9, 100%, $E$9)</f>
        <v>26.655200000000001</v>
      </c>
      <c r="H499" s="14">
        <f>CHOOSE(CONTROL!$C$42, 26.903, 26.903) * CHOOSE(CONTROL!$C$21, $C$9, 100%, $E$9)</f>
        <v>26.902999999999999</v>
      </c>
      <c r="I499" s="14">
        <f>CHOOSE(CONTROL!$C$42, 26.7203, 26.7203)* CHOOSE(CONTROL!$C$21, $C$9, 100%, $E$9)</f>
        <v>26.720300000000002</v>
      </c>
      <c r="J499" s="14">
        <f>CHOOSE(CONTROL!$C$42, 26.631, 26.631)* CHOOSE(CONTROL!$C$21, $C$9, 100%, $E$9)</f>
        <v>26.631</v>
      </c>
      <c r="K499" s="52">
        <f>CHOOSE(CONTROL!$C$42, 26.7164, 26.7164) * CHOOSE(CONTROL!$C$21, $C$9, 100%, $E$9)</f>
        <v>26.7164</v>
      </c>
      <c r="L499" s="14">
        <f>CHOOSE(CONTROL!$C$42, 27.49, 27.49) * CHOOSE(CONTROL!$C$21, $C$9, 100%, $E$9)</f>
        <v>27.49</v>
      </c>
      <c r="M499" s="14">
        <f>CHOOSE(CONTROL!$C$42, 26.1597, 26.1597) * CHOOSE(CONTROL!$C$21, $C$9, 100%, $E$9)</f>
        <v>26.159700000000001</v>
      </c>
      <c r="N499" s="14">
        <f>CHOOSE(CONTROL!$C$42, 26.1765, 26.1765) * CHOOSE(CONTROL!$C$21, $C$9, 100%, $E$9)</f>
        <v>26.176500000000001</v>
      </c>
      <c r="O499" s="14">
        <f>CHOOSE(CONTROL!$C$42, 26.4268, 26.4268) * CHOOSE(CONTROL!$C$21, $C$9, 100%, $E$9)</f>
        <v>26.4268</v>
      </c>
      <c r="P499" s="14">
        <f>CHOOSE(CONTROL!$C$42, 26.2459, 26.2459) * CHOOSE(CONTROL!$C$21, $C$9, 100%, $E$9)</f>
        <v>26.245899999999999</v>
      </c>
      <c r="Q499" s="14">
        <f>CHOOSE(CONTROL!$C$42, 27.0215, 27.0215) * CHOOSE(CONTROL!$C$21, $C$9, 100%, $E$9)</f>
        <v>27.0215</v>
      </c>
      <c r="R499" s="14">
        <f>CHOOSE(CONTROL!$C$42, 27.6761, 27.6761) * CHOOSE(CONTROL!$C$21, $C$9, 100%, $E$9)</f>
        <v>27.676100000000002</v>
      </c>
      <c r="S499" s="14">
        <f>CHOOSE(CONTROL!$C$42, 25.5645, 25.5645) * CHOOSE(CONTROL!$C$21, $C$9, 100%, $E$9)</f>
        <v>25.564499999999999</v>
      </c>
      <c r="T49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99" s="56">
        <f>(1000*CHOOSE(CONTROL!$C$42, 695, 695)*CHOOSE(CONTROL!$C$42, 0.5599, 0.5599)*CHOOSE(CONTROL!$C$42, 31, 31))/1000000</f>
        <v>12.063045499999998</v>
      </c>
      <c r="V499" s="56">
        <f>(1000*CHOOSE(CONTROL!$C$42, 500, 500)*CHOOSE(CONTROL!$C$42, 0.275, 0.275)*CHOOSE(CONTROL!$C$42, 31, 31))/1000000</f>
        <v>4.2625000000000002</v>
      </c>
      <c r="W499" s="56">
        <f>(1000*CHOOSE(CONTROL!$C$42, 0.1146, 0.1146)*CHOOSE(CONTROL!$C$42, 121.5, 121.5)*CHOOSE(CONTROL!$C$42, 31, 31))/1000000</f>
        <v>0.43164089999999994</v>
      </c>
      <c r="X499" s="56">
        <f>(31*0.1790888*245000/1000000)+(31*0.2374*100000/1000000)</f>
        <v>2.0961194359999999</v>
      </c>
      <c r="Y499" s="56"/>
      <c r="Z499" s="14"/>
      <c r="AA499" s="55"/>
      <c r="AB499" s="49">
        <f>(B499*194.205+C499*267.466+D499*133.845+E499*53.484+F499*40+G499*185+H499*0+I499*100+J499*300)/(194.205+267.466+133.845+53.484+0+40+185+100+300)</f>
        <v>26.676276491287283</v>
      </c>
      <c r="AC499" s="45">
        <f>(M499*'RAP TEMPLATE-GAS AVAILABILITY'!O498+N499*'RAP TEMPLATE-GAS AVAILABILITY'!P498+O499*'RAP TEMPLATE-GAS AVAILABILITY'!Q498+P499*'RAP TEMPLATE-GAS AVAILABILITY'!R498)/('RAP TEMPLATE-GAS AVAILABILITY'!O498+'RAP TEMPLATE-GAS AVAILABILITY'!P498+'RAP TEMPLATE-GAS AVAILABILITY'!Q498+'RAP TEMPLATE-GAS AVAILABILITY'!R498)</f>
        <v>26.250912230215825</v>
      </c>
    </row>
    <row r="500" spans="1:29" ht="15.75" x14ac:dyDescent="0.25">
      <c r="A500" s="33">
        <v>56127</v>
      </c>
      <c r="B500" s="14">
        <f>CHOOSE(CONTROL!$C$42, 25.3017, 25.3017) * CHOOSE(CONTROL!$C$21, $C$9, 100%, $E$9)</f>
        <v>25.3017</v>
      </c>
      <c r="C500" s="14">
        <f>CHOOSE(CONTROL!$C$42, 25.3097, 25.3097) * CHOOSE(CONTROL!$C$21, $C$9, 100%, $E$9)</f>
        <v>25.309699999999999</v>
      </c>
      <c r="D500" s="14">
        <f>CHOOSE(CONTROL!$C$42, 25.5688, 25.5688) * CHOOSE(CONTROL!$C$21, $C$9, 100%, $E$9)</f>
        <v>25.5688</v>
      </c>
      <c r="E500" s="14">
        <f>CHOOSE(CONTROL!$C$42, 25.6003, 25.6003) * CHOOSE(CONTROL!$C$21, $C$9, 100%, $E$9)</f>
        <v>25.600300000000001</v>
      </c>
      <c r="F500" s="14">
        <f>CHOOSE(CONTROL!$C$42, 25.3241, 25.3241)*CHOOSE(CONTROL!$C$21, $C$9, 100%, $E$9)</f>
        <v>25.324100000000001</v>
      </c>
      <c r="G500" s="14">
        <f>CHOOSE(CONTROL!$C$42, 25.3413, 25.3413)*CHOOSE(CONTROL!$C$21, $C$9, 100%, $E$9)</f>
        <v>25.3413</v>
      </c>
      <c r="H500" s="14">
        <f>CHOOSE(CONTROL!$C$42, 25.5889, 25.5889) * CHOOSE(CONTROL!$C$21, $C$9, 100%, $E$9)</f>
        <v>25.588899999999999</v>
      </c>
      <c r="I500" s="14">
        <f>CHOOSE(CONTROL!$C$42, 25.402, 25.402)* CHOOSE(CONTROL!$C$21, $C$9, 100%, $E$9)</f>
        <v>25.402000000000001</v>
      </c>
      <c r="J500" s="14">
        <f>CHOOSE(CONTROL!$C$42, 25.3171, 25.3171)* CHOOSE(CONTROL!$C$21, $C$9, 100%, $E$9)</f>
        <v>25.3171</v>
      </c>
      <c r="K500" s="52">
        <f>CHOOSE(CONTROL!$C$42, 25.3982, 25.3982) * CHOOSE(CONTROL!$C$21, $C$9, 100%, $E$9)</f>
        <v>25.398199999999999</v>
      </c>
      <c r="L500" s="14">
        <f>CHOOSE(CONTROL!$C$42, 26.1759, 26.1759) * CHOOSE(CONTROL!$C$21, $C$9, 100%, $E$9)</f>
        <v>26.175899999999999</v>
      </c>
      <c r="M500" s="14">
        <f>CHOOSE(CONTROL!$C$42, 24.8694, 24.8694) * CHOOSE(CONTROL!$C$21, $C$9, 100%, $E$9)</f>
        <v>24.869399999999999</v>
      </c>
      <c r="N500" s="14">
        <f>CHOOSE(CONTROL!$C$42, 24.8863, 24.8863) * CHOOSE(CONTROL!$C$21, $C$9, 100%, $E$9)</f>
        <v>24.886299999999999</v>
      </c>
      <c r="O500" s="14">
        <f>CHOOSE(CONTROL!$C$42, 25.1363, 25.1363) * CHOOSE(CONTROL!$C$21, $C$9, 100%, $E$9)</f>
        <v>25.136299999999999</v>
      </c>
      <c r="P500" s="14">
        <f>CHOOSE(CONTROL!$C$42, 24.9515, 24.9515) * CHOOSE(CONTROL!$C$21, $C$9, 100%, $E$9)</f>
        <v>24.951499999999999</v>
      </c>
      <c r="Q500" s="14">
        <f>CHOOSE(CONTROL!$C$42, 25.731, 25.731) * CHOOSE(CONTROL!$C$21, $C$9, 100%, $E$9)</f>
        <v>25.731000000000002</v>
      </c>
      <c r="R500" s="14">
        <f>CHOOSE(CONTROL!$C$42, 26.3824, 26.3824) * CHOOSE(CONTROL!$C$21, $C$9, 100%, $E$9)</f>
        <v>26.382400000000001</v>
      </c>
      <c r="S500" s="14">
        <f>CHOOSE(CONTROL!$C$42, 24.3018, 24.3018) * CHOOSE(CONTROL!$C$21, $C$9, 100%, $E$9)</f>
        <v>24.3018</v>
      </c>
      <c r="T50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00" s="56">
        <f>(1000*CHOOSE(CONTROL!$C$42, 695, 695)*CHOOSE(CONTROL!$C$42, 0.5599, 0.5599)*CHOOSE(CONTROL!$C$42, 31, 31))/1000000</f>
        <v>12.063045499999998</v>
      </c>
      <c r="V500" s="56">
        <f>(1000*CHOOSE(CONTROL!$C$42, 500, 500)*CHOOSE(CONTROL!$C$42, 0.275, 0.275)*CHOOSE(CONTROL!$C$42, 31, 31))/1000000</f>
        <v>4.2625000000000002</v>
      </c>
      <c r="W500" s="56">
        <f>(1000*CHOOSE(CONTROL!$C$42, 0.1146, 0.1146)*CHOOSE(CONTROL!$C$42, 121.5, 121.5)*CHOOSE(CONTROL!$C$42, 31, 31))/1000000</f>
        <v>0.43164089999999994</v>
      </c>
      <c r="X500" s="56">
        <f>(31*0.1790888*245000/1000000)+(31*0.2374*100000/1000000)</f>
        <v>2.0961194359999999</v>
      </c>
      <c r="Y500" s="56"/>
      <c r="Z500" s="14"/>
      <c r="AA500" s="55"/>
      <c r="AB500" s="49">
        <f>(B500*194.205+C500*267.466+D500*133.845+E500*53.484+F500*40+G500*185+H500*0+I500*100+J500*300)/(194.205+267.466+133.845+53.484+0+40+185+100+300)</f>
        <v>25.361929238540036</v>
      </c>
      <c r="AC500" s="45">
        <f>(M500*'RAP TEMPLATE-GAS AVAILABILITY'!O499+N500*'RAP TEMPLATE-GAS AVAILABILITY'!P499+O500*'RAP TEMPLATE-GAS AVAILABILITY'!Q499+P500*'RAP TEMPLATE-GAS AVAILABILITY'!R499)/('RAP TEMPLATE-GAS AVAILABILITY'!O499+'RAP TEMPLATE-GAS AVAILABILITY'!P499+'RAP TEMPLATE-GAS AVAILABILITY'!Q499+'RAP TEMPLATE-GAS AVAILABILITY'!R499)</f>
        <v>24.959989208633093</v>
      </c>
    </row>
    <row r="501" spans="1:29" ht="15.75" x14ac:dyDescent="0.25">
      <c r="A501" s="33">
        <v>56157</v>
      </c>
      <c r="B501" s="14">
        <f>CHOOSE(CONTROL!$C$42, 23.6959, 23.6959) * CHOOSE(CONTROL!$C$21, $C$9, 100%, $E$9)</f>
        <v>23.695900000000002</v>
      </c>
      <c r="C501" s="14">
        <f>CHOOSE(CONTROL!$C$42, 23.7039, 23.7039) * CHOOSE(CONTROL!$C$21, $C$9, 100%, $E$9)</f>
        <v>23.703900000000001</v>
      </c>
      <c r="D501" s="14">
        <f>CHOOSE(CONTROL!$C$42, 23.963, 23.963) * CHOOSE(CONTROL!$C$21, $C$9, 100%, $E$9)</f>
        <v>23.963000000000001</v>
      </c>
      <c r="E501" s="14">
        <f>CHOOSE(CONTROL!$C$42, 23.9945, 23.9945) * CHOOSE(CONTROL!$C$21, $C$9, 100%, $E$9)</f>
        <v>23.994499999999999</v>
      </c>
      <c r="F501" s="14">
        <f>CHOOSE(CONTROL!$C$42, 23.7184, 23.7184)*CHOOSE(CONTROL!$C$21, $C$9, 100%, $E$9)</f>
        <v>23.718399999999999</v>
      </c>
      <c r="G501" s="14">
        <f>CHOOSE(CONTROL!$C$42, 23.7356, 23.7356)*CHOOSE(CONTROL!$C$21, $C$9, 100%, $E$9)</f>
        <v>23.735600000000002</v>
      </c>
      <c r="H501" s="14">
        <f>CHOOSE(CONTROL!$C$42, 23.9831, 23.9831) * CHOOSE(CONTROL!$C$21, $C$9, 100%, $E$9)</f>
        <v>23.9831</v>
      </c>
      <c r="I501" s="14">
        <f>CHOOSE(CONTROL!$C$42, 23.7912, 23.7912)* CHOOSE(CONTROL!$C$21, $C$9, 100%, $E$9)</f>
        <v>23.7912</v>
      </c>
      <c r="J501" s="14">
        <f>CHOOSE(CONTROL!$C$42, 23.7114, 23.7114)* CHOOSE(CONTROL!$C$21, $C$9, 100%, $E$9)</f>
        <v>23.711400000000001</v>
      </c>
      <c r="K501" s="52">
        <f>CHOOSE(CONTROL!$C$42, 23.7873, 23.7873) * CHOOSE(CONTROL!$C$21, $C$9, 100%, $E$9)</f>
        <v>23.787299999999998</v>
      </c>
      <c r="L501" s="14">
        <f>CHOOSE(CONTROL!$C$42, 24.5701, 24.5701) * CHOOSE(CONTROL!$C$21, $C$9, 100%, $E$9)</f>
        <v>24.5701</v>
      </c>
      <c r="M501" s="14">
        <f>CHOOSE(CONTROL!$C$42, 23.2926, 23.2926) * CHOOSE(CONTROL!$C$21, $C$9, 100%, $E$9)</f>
        <v>23.2926</v>
      </c>
      <c r="N501" s="14">
        <f>CHOOSE(CONTROL!$C$42, 23.3095, 23.3095) * CHOOSE(CONTROL!$C$21, $C$9, 100%, $E$9)</f>
        <v>23.3095</v>
      </c>
      <c r="O501" s="14">
        <f>CHOOSE(CONTROL!$C$42, 23.5594, 23.5594) * CHOOSE(CONTROL!$C$21, $C$9, 100%, $E$9)</f>
        <v>23.5594</v>
      </c>
      <c r="P501" s="14">
        <f>CHOOSE(CONTROL!$C$42, 23.3697, 23.3697) * CHOOSE(CONTROL!$C$21, $C$9, 100%, $E$9)</f>
        <v>23.369700000000002</v>
      </c>
      <c r="Q501" s="14">
        <f>CHOOSE(CONTROL!$C$42, 24.1541, 24.1541) * CHOOSE(CONTROL!$C$21, $C$9, 100%, $E$9)</f>
        <v>24.1541</v>
      </c>
      <c r="R501" s="14">
        <f>CHOOSE(CONTROL!$C$42, 24.8015, 24.8015) * CHOOSE(CONTROL!$C$21, $C$9, 100%, $E$9)</f>
        <v>24.801500000000001</v>
      </c>
      <c r="S501" s="14">
        <f>CHOOSE(CONTROL!$C$42, 22.7587, 22.7587) * CHOOSE(CONTROL!$C$21, $C$9, 100%, $E$9)</f>
        <v>22.758700000000001</v>
      </c>
      <c r="T50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01" s="56">
        <f>(1000*CHOOSE(CONTROL!$C$42, 695, 695)*CHOOSE(CONTROL!$C$42, 0.5599, 0.5599)*CHOOSE(CONTROL!$C$42, 30, 30))/1000000</f>
        <v>11.673914999999997</v>
      </c>
      <c r="V501" s="56">
        <f>(1000*CHOOSE(CONTROL!$C$42, 500, 500)*CHOOSE(CONTROL!$C$42, 0.275, 0.275)*CHOOSE(CONTROL!$C$42, 30, 30))/1000000</f>
        <v>4.125</v>
      </c>
      <c r="W501" s="56">
        <f>(1000*CHOOSE(CONTROL!$C$42, 0.1146, 0.1146)*CHOOSE(CONTROL!$C$42, 121.5, 121.5)*CHOOSE(CONTROL!$C$42, 30, 30))/1000000</f>
        <v>0.417717</v>
      </c>
      <c r="X501" s="56">
        <f>(30*0.1790888*245000/1000000)+(30*0.2374*100000/1000000)</f>
        <v>2.0285026799999999</v>
      </c>
      <c r="Y501" s="56"/>
      <c r="Z501" s="14"/>
      <c r="AA501" s="55"/>
      <c r="AB501" s="49">
        <f>(B501*194.205+C501*267.466+D501*133.845+E501*53.484+F501*40+G501*185+H501*0+I501*100+J501*300)/(194.205+267.466+133.845+53.484+0+40+185+100+300)</f>
        <v>23.755777982653065</v>
      </c>
      <c r="AC501" s="45">
        <f>(M501*'RAP TEMPLATE-GAS AVAILABILITY'!O500+N501*'RAP TEMPLATE-GAS AVAILABILITY'!P500+O501*'RAP TEMPLATE-GAS AVAILABILITY'!Q500+P501*'RAP TEMPLATE-GAS AVAILABILITY'!R500)/('RAP TEMPLATE-GAS AVAILABILITY'!O500+'RAP TEMPLATE-GAS AVAILABILITY'!P500+'RAP TEMPLATE-GAS AVAILABILITY'!Q500+'RAP TEMPLATE-GAS AVAILABILITY'!R500)</f>
        <v>23.382441726618708</v>
      </c>
    </row>
    <row r="502" spans="1:29" ht="15.75" x14ac:dyDescent="0.25">
      <c r="A502" s="33">
        <v>56188</v>
      </c>
      <c r="B502" s="14">
        <f>CHOOSE(CONTROL!$C$42, 23.2132, 23.2132) * CHOOSE(CONTROL!$C$21, $C$9, 100%, $E$9)</f>
        <v>23.213200000000001</v>
      </c>
      <c r="C502" s="14">
        <f>CHOOSE(CONTROL!$C$42, 23.2186, 23.2186) * CHOOSE(CONTROL!$C$21, $C$9, 100%, $E$9)</f>
        <v>23.218599999999999</v>
      </c>
      <c r="D502" s="14">
        <f>CHOOSE(CONTROL!$C$42, 23.4826, 23.4826) * CHOOSE(CONTROL!$C$21, $C$9, 100%, $E$9)</f>
        <v>23.482600000000001</v>
      </c>
      <c r="E502" s="14">
        <f>CHOOSE(CONTROL!$C$42, 23.5117, 23.5117) * CHOOSE(CONTROL!$C$21, $C$9, 100%, $E$9)</f>
        <v>23.511700000000001</v>
      </c>
      <c r="F502" s="14">
        <f>CHOOSE(CONTROL!$C$42, 23.2379, 23.2379)*CHOOSE(CONTROL!$C$21, $C$9, 100%, $E$9)</f>
        <v>23.2379</v>
      </c>
      <c r="G502" s="14">
        <f>CHOOSE(CONTROL!$C$42, 23.255, 23.255)*CHOOSE(CONTROL!$C$21, $C$9, 100%, $E$9)</f>
        <v>23.254999999999999</v>
      </c>
      <c r="H502" s="14">
        <f>CHOOSE(CONTROL!$C$42, 23.5022, 23.5022) * CHOOSE(CONTROL!$C$21, $C$9, 100%, $E$9)</f>
        <v>23.502199999999998</v>
      </c>
      <c r="I502" s="14">
        <f>CHOOSE(CONTROL!$C$42, 23.3088, 23.3088)* CHOOSE(CONTROL!$C$21, $C$9, 100%, $E$9)</f>
        <v>23.308800000000002</v>
      </c>
      <c r="J502" s="14">
        <f>CHOOSE(CONTROL!$C$42, 23.2309, 23.2309)* CHOOSE(CONTROL!$C$21, $C$9, 100%, $E$9)</f>
        <v>23.230899999999998</v>
      </c>
      <c r="K502" s="52">
        <f>CHOOSE(CONTROL!$C$42, 23.3049, 23.3049) * CHOOSE(CONTROL!$C$21, $C$9, 100%, $E$9)</f>
        <v>23.3049</v>
      </c>
      <c r="L502" s="14">
        <f>CHOOSE(CONTROL!$C$42, 24.0892, 24.0892) * CHOOSE(CONTROL!$C$21, $C$9, 100%, $E$9)</f>
        <v>24.089200000000002</v>
      </c>
      <c r="M502" s="14">
        <f>CHOOSE(CONTROL!$C$42, 22.8207, 22.8207) * CHOOSE(CONTROL!$C$21, $C$9, 100%, $E$9)</f>
        <v>22.820699999999999</v>
      </c>
      <c r="N502" s="14">
        <f>CHOOSE(CONTROL!$C$42, 22.8375, 22.8375) * CHOOSE(CONTROL!$C$21, $C$9, 100%, $E$9)</f>
        <v>22.837499999999999</v>
      </c>
      <c r="O502" s="14">
        <f>CHOOSE(CONTROL!$C$42, 23.0872, 23.0872) * CHOOSE(CONTROL!$C$21, $C$9, 100%, $E$9)</f>
        <v>23.087199999999999</v>
      </c>
      <c r="P502" s="14">
        <f>CHOOSE(CONTROL!$C$42, 22.896, 22.896) * CHOOSE(CONTROL!$C$21, $C$9, 100%, $E$9)</f>
        <v>22.896000000000001</v>
      </c>
      <c r="Q502" s="14">
        <f>CHOOSE(CONTROL!$C$42, 23.6819, 23.6819) * CHOOSE(CONTROL!$C$21, $C$9, 100%, $E$9)</f>
        <v>23.681899999999999</v>
      </c>
      <c r="R502" s="14">
        <f>CHOOSE(CONTROL!$C$42, 24.3281, 24.3281) * CHOOSE(CONTROL!$C$21, $C$9, 100%, $E$9)</f>
        <v>24.328099999999999</v>
      </c>
      <c r="S502" s="14">
        <f>CHOOSE(CONTROL!$C$42, 22.2967, 22.2967) * CHOOSE(CONTROL!$C$21, $C$9, 100%, $E$9)</f>
        <v>22.296700000000001</v>
      </c>
      <c r="T50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02" s="56">
        <f>(1000*CHOOSE(CONTROL!$C$42, 695, 695)*CHOOSE(CONTROL!$C$42, 0.5599, 0.5599)*CHOOSE(CONTROL!$C$42, 31, 31))/1000000</f>
        <v>12.063045499999998</v>
      </c>
      <c r="V502" s="56">
        <f>(1000*CHOOSE(CONTROL!$C$42, 500, 500)*CHOOSE(CONTROL!$C$42, 0.275, 0.275)*CHOOSE(CONTROL!$C$42, 31, 31))/1000000</f>
        <v>4.2625000000000002</v>
      </c>
      <c r="W502" s="56">
        <f>(1000*CHOOSE(CONTROL!$C$42, 0.1146, 0.1146)*CHOOSE(CONTROL!$C$42, 121.5, 121.5)*CHOOSE(CONTROL!$C$42, 31, 31))/1000000</f>
        <v>0.43164089999999994</v>
      </c>
      <c r="X502" s="56">
        <f>(31*0.1790888*245000/1000000)+(31*0.2374*100000/1000000)</f>
        <v>2.0961194359999999</v>
      </c>
      <c r="Y502" s="56"/>
      <c r="Z502" s="14"/>
      <c r="AA502" s="55"/>
      <c r="AB502" s="49">
        <f>(B502*131.881+C502*277.167+D502*79.08+E502*125.872+F502*40+G502*185+H502*0+I502*100+J502*300)/(131.881+277.167+79.08+125.872+0+40+185+100+300)</f>
        <v>23.280968075706213</v>
      </c>
      <c r="AC502" s="45">
        <f>(M502*'RAP TEMPLATE-GAS AVAILABILITY'!O501+N502*'RAP TEMPLATE-GAS AVAILABILITY'!P501+O502*'RAP TEMPLATE-GAS AVAILABILITY'!Q501+P502*'RAP TEMPLATE-GAS AVAILABILITY'!R501)/('RAP TEMPLATE-GAS AVAILABILITY'!O501+'RAP TEMPLATE-GAS AVAILABILITY'!P501+'RAP TEMPLATE-GAS AVAILABILITY'!Q501+'RAP TEMPLATE-GAS AVAILABILITY'!R501)</f>
        <v>22.91017553956835</v>
      </c>
    </row>
    <row r="503" spans="1:29" ht="15.75" x14ac:dyDescent="0.25">
      <c r="A503" s="33">
        <v>56218</v>
      </c>
      <c r="B503" s="14">
        <f>CHOOSE(CONTROL!$C$42, 23.8241, 23.8241) * CHOOSE(CONTROL!$C$21, $C$9, 100%, $E$9)</f>
        <v>23.824100000000001</v>
      </c>
      <c r="C503" s="14">
        <f>CHOOSE(CONTROL!$C$42, 23.8292, 23.8292) * CHOOSE(CONTROL!$C$21, $C$9, 100%, $E$9)</f>
        <v>23.8292</v>
      </c>
      <c r="D503" s="14">
        <f>CHOOSE(CONTROL!$C$42, 23.9122, 23.9122) * CHOOSE(CONTROL!$C$21, $C$9, 100%, $E$9)</f>
        <v>23.912199999999999</v>
      </c>
      <c r="E503" s="14">
        <f>CHOOSE(CONTROL!$C$42, 23.9463, 23.9463) * CHOOSE(CONTROL!$C$21, $C$9, 100%, $E$9)</f>
        <v>23.946300000000001</v>
      </c>
      <c r="F503" s="14">
        <f>CHOOSE(CONTROL!$C$42, 23.8517, 23.8517)*CHOOSE(CONTROL!$C$21, $C$9, 100%, $E$9)</f>
        <v>23.851700000000001</v>
      </c>
      <c r="G503" s="14">
        <f>CHOOSE(CONTROL!$C$42, 23.8691, 23.8691)*CHOOSE(CONTROL!$C$21, $C$9, 100%, $E$9)</f>
        <v>23.8691</v>
      </c>
      <c r="H503" s="14">
        <f>CHOOSE(CONTROL!$C$42, 23.9355, 23.9355) * CHOOSE(CONTROL!$C$21, $C$9, 100%, $E$9)</f>
        <v>23.935500000000001</v>
      </c>
      <c r="I503" s="14">
        <f>CHOOSE(CONTROL!$C$42, 23.9184, 23.9184)* CHOOSE(CONTROL!$C$21, $C$9, 100%, $E$9)</f>
        <v>23.918399999999998</v>
      </c>
      <c r="J503" s="14">
        <f>CHOOSE(CONTROL!$C$42, 23.8447, 23.8447)* CHOOSE(CONTROL!$C$21, $C$9, 100%, $E$9)</f>
        <v>23.8447</v>
      </c>
      <c r="K503" s="52">
        <f>CHOOSE(CONTROL!$C$42, 23.9145, 23.9145) * CHOOSE(CONTROL!$C$21, $C$9, 100%, $E$9)</f>
        <v>23.9145</v>
      </c>
      <c r="L503" s="14">
        <f>CHOOSE(CONTROL!$C$42, 24.5225, 24.5225) * CHOOSE(CONTROL!$C$21, $C$9, 100%, $E$9)</f>
        <v>24.522500000000001</v>
      </c>
      <c r="M503" s="14">
        <f>CHOOSE(CONTROL!$C$42, 23.4235, 23.4235) * CHOOSE(CONTROL!$C$21, $C$9, 100%, $E$9)</f>
        <v>23.423500000000001</v>
      </c>
      <c r="N503" s="14">
        <f>CHOOSE(CONTROL!$C$42, 23.4406, 23.4406) * CHOOSE(CONTROL!$C$21, $C$9, 100%, $E$9)</f>
        <v>23.4406</v>
      </c>
      <c r="O503" s="14">
        <f>CHOOSE(CONTROL!$C$42, 23.5127, 23.5127) * CHOOSE(CONTROL!$C$21, $C$9, 100%, $E$9)</f>
        <v>23.512699999999999</v>
      </c>
      <c r="P503" s="14">
        <f>CHOOSE(CONTROL!$C$42, 23.4946, 23.4946) * CHOOSE(CONTROL!$C$21, $C$9, 100%, $E$9)</f>
        <v>23.494599999999998</v>
      </c>
      <c r="Q503" s="14">
        <f>CHOOSE(CONTROL!$C$42, 24.1074, 24.1074) * CHOOSE(CONTROL!$C$21, $C$9, 100%, $E$9)</f>
        <v>24.107399999999998</v>
      </c>
      <c r="R503" s="14">
        <f>CHOOSE(CONTROL!$C$42, 24.7547, 24.7547) * CHOOSE(CONTROL!$C$21, $C$9, 100%, $E$9)</f>
        <v>24.7547</v>
      </c>
      <c r="S503" s="14">
        <f>CHOOSE(CONTROL!$C$42, 22.884, 22.884) * CHOOSE(CONTROL!$C$21, $C$9, 100%, $E$9)</f>
        <v>22.884</v>
      </c>
      <c r="T50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03" s="56">
        <f>(1000*CHOOSE(CONTROL!$C$42, 695, 695)*CHOOSE(CONTROL!$C$42, 0.5599, 0.5599)*CHOOSE(CONTROL!$C$42, 30, 30))/1000000</f>
        <v>11.673914999999997</v>
      </c>
      <c r="V503" s="56">
        <f>(1000*CHOOSE(CONTROL!$C$42, 500, 500)*CHOOSE(CONTROL!$C$42, 0.275, 0.275)*CHOOSE(CONTROL!$C$42, 30, 30))/1000000</f>
        <v>4.125</v>
      </c>
      <c r="W503" s="56">
        <f>(1000*CHOOSE(CONTROL!$C$42, 0.1146, 0.1146)*CHOOSE(CONTROL!$C$42, 121.5, 121.5)*CHOOSE(CONTROL!$C$42, 30, 30))/1000000</f>
        <v>0.417717</v>
      </c>
      <c r="X503" s="56">
        <f>(30*0.1790888*100000/1000000)+(30*0.2374*100000/1000000)</f>
        <v>1.2494664</v>
      </c>
      <c r="Y503" s="56"/>
      <c r="Z503" s="14"/>
      <c r="AA503" s="55"/>
      <c r="AB503" s="49">
        <f>(B503*122.58+C503*297.941+D503*89.177+E503*40.302+F503*40+G503*160+H503*0+I503*100+J503*300)/(122.58+297.941+89.177+40.302+0+40+160+100+300)</f>
        <v>23.857330345391304</v>
      </c>
      <c r="AC503" s="45">
        <f>(M503*'RAP TEMPLATE-GAS AVAILABILITY'!O502+N503*'RAP TEMPLATE-GAS AVAILABILITY'!P502+O503*'RAP TEMPLATE-GAS AVAILABILITY'!Q502+P503*'RAP TEMPLATE-GAS AVAILABILITY'!R502)/('RAP TEMPLATE-GAS AVAILABILITY'!O502+'RAP TEMPLATE-GAS AVAILABILITY'!P502+'RAP TEMPLATE-GAS AVAILABILITY'!Q502+'RAP TEMPLATE-GAS AVAILABILITY'!R502)</f>
        <v>23.475143165467625</v>
      </c>
    </row>
    <row r="504" spans="1:29" ht="15.75" x14ac:dyDescent="0.25">
      <c r="A504" s="33">
        <v>56249</v>
      </c>
      <c r="B504" s="14">
        <f>CHOOSE(CONTROL!$C$42, 25.4478, 25.4478) * CHOOSE(CONTROL!$C$21, $C$9, 100%, $E$9)</f>
        <v>25.447800000000001</v>
      </c>
      <c r="C504" s="14">
        <f>CHOOSE(CONTROL!$C$42, 25.4528, 25.4528) * CHOOSE(CONTROL!$C$21, $C$9, 100%, $E$9)</f>
        <v>25.4528</v>
      </c>
      <c r="D504" s="14">
        <f>CHOOSE(CONTROL!$C$42, 25.5359, 25.5359) * CHOOSE(CONTROL!$C$21, $C$9, 100%, $E$9)</f>
        <v>25.535900000000002</v>
      </c>
      <c r="E504" s="14">
        <f>CHOOSE(CONTROL!$C$42, 25.57, 25.57) * CHOOSE(CONTROL!$C$21, $C$9, 100%, $E$9)</f>
        <v>25.57</v>
      </c>
      <c r="F504" s="14">
        <f>CHOOSE(CONTROL!$C$42, 25.4778, 25.4778)*CHOOSE(CONTROL!$C$21, $C$9, 100%, $E$9)</f>
        <v>25.477799999999998</v>
      </c>
      <c r="G504" s="14">
        <f>CHOOSE(CONTROL!$C$42, 25.4958, 25.4958)*CHOOSE(CONTROL!$C$21, $C$9, 100%, $E$9)</f>
        <v>25.495799999999999</v>
      </c>
      <c r="H504" s="14">
        <f>CHOOSE(CONTROL!$C$42, 25.5592, 25.5592) * CHOOSE(CONTROL!$C$21, $C$9, 100%, $E$9)</f>
        <v>25.559200000000001</v>
      </c>
      <c r="I504" s="14">
        <f>CHOOSE(CONTROL!$C$42, 25.5471, 25.5471)* CHOOSE(CONTROL!$C$21, $C$9, 100%, $E$9)</f>
        <v>25.5471</v>
      </c>
      <c r="J504" s="14">
        <f>CHOOSE(CONTROL!$C$42, 25.4708, 25.4708)* CHOOSE(CONTROL!$C$21, $C$9, 100%, $E$9)</f>
        <v>25.470800000000001</v>
      </c>
      <c r="K504" s="52">
        <f>CHOOSE(CONTROL!$C$42, 25.5432, 25.5432) * CHOOSE(CONTROL!$C$21, $C$9, 100%, $E$9)</f>
        <v>25.543199999999999</v>
      </c>
      <c r="L504" s="14">
        <f>CHOOSE(CONTROL!$C$42, 26.1462, 26.1462) * CHOOSE(CONTROL!$C$21, $C$9, 100%, $E$9)</f>
        <v>26.1462</v>
      </c>
      <c r="M504" s="14">
        <f>CHOOSE(CONTROL!$C$42, 25.0204, 25.0204) * CHOOSE(CONTROL!$C$21, $C$9, 100%, $E$9)</f>
        <v>25.020399999999999</v>
      </c>
      <c r="N504" s="14">
        <f>CHOOSE(CONTROL!$C$42, 25.0381, 25.0381) * CHOOSE(CONTROL!$C$21, $C$9, 100%, $E$9)</f>
        <v>25.0381</v>
      </c>
      <c r="O504" s="14">
        <f>CHOOSE(CONTROL!$C$42, 25.1072, 25.1072) * CHOOSE(CONTROL!$C$21, $C$9, 100%, $E$9)</f>
        <v>25.107199999999999</v>
      </c>
      <c r="P504" s="14">
        <f>CHOOSE(CONTROL!$C$42, 25.0939, 25.0939) * CHOOSE(CONTROL!$C$21, $C$9, 100%, $E$9)</f>
        <v>25.093900000000001</v>
      </c>
      <c r="Q504" s="14">
        <f>CHOOSE(CONTROL!$C$42, 25.7019, 25.7019) * CHOOSE(CONTROL!$C$21, $C$9, 100%, $E$9)</f>
        <v>25.701899999999998</v>
      </c>
      <c r="R504" s="14">
        <f>CHOOSE(CONTROL!$C$42, 26.3531, 26.3531) * CHOOSE(CONTROL!$C$21, $C$9, 100%, $E$9)</f>
        <v>26.353100000000001</v>
      </c>
      <c r="S504" s="14">
        <f>CHOOSE(CONTROL!$C$42, 24.4442, 24.4442) * CHOOSE(CONTROL!$C$21, $C$9, 100%, $E$9)</f>
        <v>24.444199999999999</v>
      </c>
      <c r="T50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04" s="56">
        <f>(1000*CHOOSE(CONTROL!$C$42, 695, 695)*CHOOSE(CONTROL!$C$42, 0.5599, 0.5599)*CHOOSE(CONTROL!$C$42, 31, 31))/1000000</f>
        <v>12.063045499999998</v>
      </c>
      <c r="V504" s="56">
        <f>(1000*CHOOSE(CONTROL!$C$42, 500, 500)*CHOOSE(CONTROL!$C$42, 0.275, 0.275)*CHOOSE(CONTROL!$C$42, 31, 31))/1000000</f>
        <v>4.2625000000000002</v>
      </c>
      <c r="W504" s="56">
        <f>(1000*CHOOSE(CONTROL!$C$42, 0.1146, 0.1146)*CHOOSE(CONTROL!$C$42, 121.5, 121.5)*CHOOSE(CONTROL!$C$42, 31, 31))/1000000</f>
        <v>0.43164089999999994</v>
      </c>
      <c r="X504" s="56">
        <f>(31*0.1790888*100000/1000000)+(31*0.2374*100000/1000000)</f>
        <v>1.2911152800000001</v>
      </c>
      <c r="Y504" s="56"/>
      <c r="Z504" s="14"/>
      <c r="AA504" s="55"/>
      <c r="AB504" s="49">
        <f>(B504*122.58+C504*297.941+D504*89.177+E504*40.302+F504*40+G504*160+H504*0+I504*100+J504*300)/(122.58+297.941+89.177+40.302+0+40+160+100+300)</f>
        <v>25.482566176608696</v>
      </c>
      <c r="AC504" s="45">
        <f>(M504*'RAP TEMPLATE-GAS AVAILABILITY'!O503+N504*'RAP TEMPLATE-GAS AVAILABILITY'!P503+O504*'RAP TEMPLATE-GAS AVAILABILITY'!Q503+P504*'RAP TEMPLATE-GAS AVAILABILITY'!R503)/('RAP TEMPLATE-GAS AVAILABILITY'!O503+'RAP TEMPLATE-GAS AVAILABILITY'!P503+'RAP TEMPLATE-GAS AVAILABILITY'!Q503+'RAP TEMPLATE-GAS AVAILABILITY'!R503)</f>
        <v>25.071335251798562</v>
      </c>
    </row>
    <row r="505" spans="1:29" ht="15.75" x14ac:dyDescent="0.25">
      <c r="A505" s="33">
        <v>56280</v>
      </c>
      <c r="B505" s="14">
        <f>CHOOSE(CONTROL!$C$42, 27.5566, 27.5566) * CHOOSE(CONTROL!$C$21, $C$9, 100%, $E$9)</f>
        <v>27.5566</v>
      </c>
      <c r="C505" s="14">
        <f>CHOOSE(CONTROL!$C$42, 27.5617, 27.5617) * CHOOSE(CONTROL!$C$21, $C$9, 100%, $E$9)</f>
        <v>27.561699999999998</v>
      </c>
      <c r="D505" s="14">
        <f>CHOOSE(CONTROL!$C$42, 27.6552, 27.6552) * CHOOSE(CONTROL!$C$21, $C$9, 100%, $E$9)</f>
        <v>27.655200000000001</v>
      </c>
      <c r="E505" s="14">
        <f>CHOOSE(CONTROL!$C$42, 27.6893, 27.6893) * CHOOSE(CONTROL!$C$21, $C$9, 100%, $E$9)</f>
        <v>27.689299999999999</v>
      </c>
      <c r="F505" s="14">
        <f>CHOOSE(CONTROL!$C$42, 27.5839, 27.5839)*CHOOSE(CONTROL!$C$21, $C$9, 100%, $E$9)</f>
        <v>27.5839</v>
      </c>
      <c r="G505" s="14">
        <f>CHOOSE(CONTROL!$C$42, 27.6019, 27.6019)*CHOOSE(CONTROL!$C$21, $C$9, 100%, $E$9)</f>
        <v>27.601900000000001</v>
      </c>
      <c r="H505" s="14">
        <f>CHOOSE(CONTROL!$C$42, 27.6785, 27.6785) * CHOOSE(CONTROL!$C$21, $C$9, 100%, $E$9)</f>
        <v>27.6785</v>
      </c>
      <c r="I505" s="14">
        <f>CHOOSE(CONTROL!$C$42, 27.6688, 27.6688)* CHOOSE(CONTROL!$C$21, $C$9, 100%, $E$9)</f>
        <v>27.668800000000001</v>
      </c>
      <c r="J505" s="14">
        <f>CHOOSE(CONTROL!$C$42, 27.5769, 27.5769)* CHOOSE(CONTROL!$C$21, $C$9, 100%, $E$9)</f>
        <v>27.576899999999998</v>
      </c>
      <c r="K505" s="52">
        <f>CHOOSE(CONTROL!$C$42, 27.6649, 27.6649) * CHOOSE(CONTROL!$C$21, $C$9, 100%, $E$9)</f>
        <v>27.664899999999999</v>
      </c>
      <c r="L505" s="14">
        <f>CHOOSE(CONTROL!$C$42, 28.2655, 28.2655) * CHOOSE(CONTROL!$C$21, $C$9, 100%, $E$9)</f>
        <v>28.265499999999999</v>
      </c>
      <c r="M505" s="14">
        <f>CHOOSE(CONTROL!$C$42, 27.0886, 27.0886) * CHOOSE(CONTROL!$C$21, $C$9, 100%, $E$9)</f>
        <v>27.0886</v>
      </c>
      <c r="N505" s="14">
        <f>CHOOSE(CONTROL!$C$42, 27.1062, 27.1062) * CHOOSE(CONTROL!$C$21, $C$9, 100%, $E$9)</f>
        <v>27.106200000000001</v>
      </c>
      <c r="O505" s="14">
        <f>CHOOSE(CONTROL!$C$42, 27.1883, 27.1883) * CHOOSE(CONTROL!$C$21, $C$9, 100%, $E$9)</f>
        <v>27.188300000000002</v>
      </c>
      <c r="P505" s="14">
        <f>CHOOSE(CONTROL!$C$42, 27.1774, 27.1774) * CHOOSE(CONTROL!$C$21, $C$9, 100%, $E$9)</f>
        <v>27.177399999999999</v>
      </c>
      <c r="Q505" s="14">
        <f>CHOOSE(CONTROL!$C$42, 27.783, 27.783) * CHOOSE(CONTROL!$C$21, $C$9, 100%, $E$9)</f>
        <v>27.783000000000001</v>
      </c>
      <c r="R505" s="14">
        <f>CHOOSE(CONTROL!$C$42, 28.4395, 28.4395) * CHOOSE(CONTROL!$C$21, $C$9, 100%, $E$9)</f>
        <v>28.439499999999999</v>
      </c>
      <c r="S505" s="14">
        <f>CHOOSE(CONTROL!$C$42, 26.4706, 26.4706) * CHOOSE(CONTROL!$C$21, $C$9, 100%, $E$9)</f>
        <v>26.470600000000001</v>
      </c>
      <c r="T50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05" s="56">
        <f>(1000*CHOOSE(CONTROL!$C$42, 695, 695)*CHOOSE(CONTROL!$C$42, 0.5599, 0.5599)*CHOOSE(CONTROL!$C$42, 31, 31))/1000000</f>
        <v>12.063045499999998</v>
      </c>
      <c r="V505" s="56">
        <f>(1000*CHOOSE(CONTROL!$C$42, 500, 500)*CHOOSE(CONTROL!$C$42, 0.275, 0.275)*CHOOSE(CONTROL!$C$42, 31, 31))/1000000</f>
        <v>4.2625000000000002</v>
      </c>
      <c r="W505" s="56">
        <f>(1000*CHOOSE(CONTROL!$C$42, 0.1146, 0.1146)*CHOOSE(CONTROL!$C$42, 121.5, 121.5)*CHOOSE(CONTROL!$C$42, 31, 31))/1000000</f>
        <v>0.43164089999999994</v>
      </c>
      <c r="X505" s="56">
        <f>(31*0.1790888*100000/1000000)+(31*0.2374*100000/1000000)</f>
        <v>1.2911152800000001</v>
      </c>
      <c r="Y505" s="56"/>
      <c r="Z505" s="14"/>
      <c r="AA505" s="55"/>
      <c r="AB505" s="49">
        <f>(B505*122.58+C505*297.941+D505*89.177+E505*40.302+F505*40+G505*160+H505*0+I505*100+J505*300)/(122.58+297.941+89.177+40.302+0+40+160+100+300)</f>
        <v>27.592522110173913</v>
      </c>
      <c r="AC505" s="45">
        <f>(M505*'RAP TEMPLATE-GAS AVAILABILITY'!O504+N505*'RAP TEMPLATE-GAS AVAILABILITY'!P504+O505*'RAP TEMPLATE-GAS AVAILABILITY'!Q504+P505*'RAP TEMPLATE-GAS AVAILABILITY'!R504)/('RAP TEMPLATE-GAS AVAILABILITY'!O504+'RAP TEMPLATE-GAS AVAILABILITY'!P504+'RAP TEMPLATE-GAS AVAILABILITY'!Q504+'RAP TEMPLATE-GAS AVAILABILITY'!R504)</f>
        <v>27.147577697841729</v>
      </c>
    </row>
    <row r="506" spans="1:29" ht="15.75" x14ac:dyDescent="0.25">
      <c r="A506" s="33">
        <v>56308</v>
      </c>
      <c r="B506" s="14">
        <f>CHOOSE(CONTROL!$C$42, 28.047, 28.047) * CHOOSE(CONTROL!$C$21, $C$9, 100%, $E$9)</f>
        <v>28.047000000000001</v>
      </c>
      <c r="C506" s="14">
        <f>CHOOSE(CONTROL!$C$42, 28.0521, 28.0521) * CHOOSE(CONTROL!$C$21, $C$9, 100%, $E$9)</f>
        <v>28.052099999999999</v>
      </c>
      <c r="D506" s="14">
        <f>CHOOSE(CONTROL!$C$42, 28.1455, 28.1455) * CHOOSE(CONTROL!$C$21, $C$9, 100%, $E$9)</f>
        <v>28.145499999999998</v>
      </c>
      <c r="E506" s="14">
        <f>CHOOSE(CONTROL!$C$42, 28.1796, 28.1796) * CHOOSE(CONTROL!$C$21, $C$9, 100%, $E$9)</f>
        <v>28.179600000000001</v>
      </c>
      <c r="F506" s="14">
        <f>CHOOSE(CONTROL!$C$42, 28.0739, 28.0739)*CHOOSE(CONTROL!$C$21, $C$9, 100%, $E$9)</f>
        <v>28.073899999999998</v>
      </c>
      <c r="G506" s="14">
        <f>CHOOSE(CONTROL!$C$42, 28.0918, 28.0918)*CHOOSE(CONTROL!$C$21, $C$9, 100%, $E$9)</f>
        <v>28.091799999999999</v>
      </c>
      <c r="H506" s="14">
        <f>CHOOSE(CONTROL!$C$42, 28.1688, 28.1688) * CHOOSE(CONTROL!$C$21, $C$9, 100%, $E$9)</f>
        <v>28.168800000000001</v>
      </c>
      <c r="I506" s="14">
        <f>CHOOSE(CONTROL!$C$42, 28.1607, 28.1607)* CHOOSE(CONTROL!$C$21, $C$9, 100%, $E$9)</f>
        <v>28.160699999999999</v>
      </c>
      <c r="J506" s="14">
        <f>CHOOSE(CONTROL!$C$42, 28.0669, 28.0669)* CHOOSE(CONTROL!$C$21, $C$9, 100%, $E$9)</f>
        <v>28.0669</v>
      </c>
      <c r="K506" s="52">
        <f>CHOOSE(CONTROL!$C$42, 28.1568, 28.1568) * CHOOSE(CONTROL!$C$21, $C$9, 100%, $E$9)</f>
        <v>28.1568</v>
      </c>
      <c r="L506" s="14">
        <f>CHOOSE(CONTROL!$C$42, 28.7558, 28.7558) * CHOOSE(CONTROL!$C$21, $C$9, 100%, $E$9)</f>
        <v>28.755800000000001</v>
      </c>
      <c r="M506" s="14">
        <f>CHOOSE(CONTROL!$C$42, 27.5698, 27.5698) * CHOOSE(CONTROL!$C$21, $C$9, 100%, $E$9)</f>
        <v>27.569800000000001</v>
      </c>
      <c r="N506" s="14">
        <f>CHOOSE(CONTROL!$C$42, 27.5873, 27.5873) * CHOOSE(CONTROL!$C$21, $C$9, 100%, $E$9)</f>
        <v>27.587299999999999</v>
      </c>
      <c r="O506" s="14">
        <f>CHOOSE(CONTROL!$C$42, 27.6699, 27.6699) * CHOOSE(CONTROL!$C$21, $C$9, 100%, $E$9)</f>
        <v>27.669899999999998</v>
      </c>
      <c r="P506" s="14">
        <f>CHOOSE(CONTROL!$C$42, 27.6604, 27.6604) * CHOOSE(CONTROL!$C$21, $C$9, 100%, $E$9)</f>
        <v>27.660399999999999</v>
      </c>
      <c r="Q506" s="14">
        <f>CHOOSE(CONTROL!$C$42, 28.2646, 28.2646) * CHOOSE(CONTROL!$C$21, $C$9, 100%, $E$9)</f>
        <v>28.264600000000002</v>
      </c>
      <c r="R506" s="14">
        <f>CHOOSE(CONTROL!$C$42, 28.9222, 28.9222) * CHOOSE(CONTROL!$C$21, $C$9, 100%, $E$9)</f>
        <v>28.9222</v>
      </c>
      <c r="S506" s="14">
        <f>CHOOSE(CONTROL!$C$42, 26.9418, 26.9418) * CHOOSE(CONTROL!$C$21, $C$9, 100%, $E$9)</f>
        <v>26.941800000000001</v>
      </c>
      <c r="T50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06" s="56">
        <f>(1000*CHOOSE(CONTROL!$C$42, 695, 695)*CHOOSE(CONTROL!$C$42, 0.5599, 0.5599)*CHOOSE(CONTROL!$C$42, 28, 28))/1000000</f>
        <v>10.895653999999999</v>
      </c>
      <c r="V506" s="56">
        <f>(1000*CHOOSE(CONTROL!$C$42, 500, 500)*CHOOSE(CONTROL!$C$42, 0.275, 0.275)*CHOOSE(CONTROL!$C$42, 28, 28))/1000000</f>
        <v>3.85</v>
      </c>
      <c r="W506" s="56">
        <f>(1000*CHOOSE(CONTROL!$C$42, 0.1146, 0.1146)*CHOOSE(CONTROL!$C$42, 121.5, 121.5)*CHOOSE(CONTROL!$C$42, 28, 28))/1000000</f>
        <v>0.38986920000000003</v>
      </c>
      <c r="X506" s="56">
        <f>(28*0.1790888*100000/1000000)+(28*0.2374*100000/1000000)</f>
        <v>1.16616864</v>
      </c>
      <c r="Y506" s="56"/>
      <c r="Z506" s="14"/>
      <c r="AA506" s="55"/>
      <c r="AB506" s="49">
        <f>(B506*122.58+C506*297.941+D506*89.177+E506*40.302+F506*40+G506*160+H506*0+I506*100+J506*300)/(122.58+297.941+89.177+40.302+0+40+160+100+300)</f>
        <v>28.082853459826083</v>
      </c>
      <c r="AC506" s="45">
        <f>(M506*'RAP TEMPLATE-GAS AVAILABILITY'!O505+N506*'RAP TEMPLATE-GAS AVAILABILITY'!P505+O506*'RAP TEMPLATE-GAS AVAILABILITY'!Q505+P506*'RAP TEMPLATE-GAS AVAILABILITY'!R505)/('RAP TEMPLATE-GAS AVAILABILITY'!O505+'RAP TEMPLATE-GAS AVAILABILITY'!P505+'RAP TEMPLATE-GAS AVAILABILITY'!Q505+'RAP TEMPLATE-GAS AVAILABILITY'!R505)</f>
        <v>27.629212230215831</v>
      </c>
    </row>
    <row r="507" spans="1:29" ht="15.75" x14ac:dyDescent="0.25">
      <c r="A507" s="33">
        <v>56339</v>
      </c>
      <c r="B507" s="14">
        <f>CHOOSE(CONTROL!$C$42, 27.251, 27.251) * CHOOSE(CONTROL!$C$21, $C$9, 100%, $E$9)</f>
        <v>27.251000000000001</v>
      </c>
      <c r="C507" s="14">
        <f>CHOOSE(CONTROL!$C$42, 27.2561, 27.2561) * CHOOSE(CONTROL!$C$21, $C$9, 100%, $E$9)</f>
        <v>27.2561</v>
      </c>
      <c r="D507" s="14">
        <f>CHOOSE(CONTROL!$C$42, 27.3495, 27.3495) * CHOOSE(CONTROL!$C$21, $C$9, 100%, $E$9)</f>
        <v>27.349499999999999</v>
      </c>
      <c r="E507" s="14">
        <f>CHOOSE(CONTROL!$C$42, 27.3836, 27.3836) * CHOOSE(CONTROL!$C$21, $C$9, 100%, $E$9)</f>
        <v>27.383600000000001</v>
      </c>
      <c r="F507" s="14">
        <f>CHOOSE(CONTROL!$C$42, 27.2771, 27.2771)*CHOOSE(CONTROL!$C$21, $C$9, 100%, $E$9)</f>
        <v>27.277100000000001</v>
      </c>
      <c r="G507" s="14">
        <f>CHOOSE(CONTROL!$C$42, 27.2947, 27.2947)*CHOOSE(CONTROL!$C$21, $C$9, 100%, $E$9)</f>
        <v>27.294699999999999</v>
      </c>
      <c r="H507" s="14">
        <f>CHOOSE(CONTROL!$C$42, 27.3728, 27.3728) * CHOOSE(CONTROL!$C$21, $C$9, 100%, $E$9)</f>
        <v>27.372800000000002</v>
      </c>
      <c r="I507" s="14">
        <f>CHOOSE(CONTROL!$C$42, 27.3622, 27.3622)* CHOOSE(CONTROL!$C$21, $C$9, 100%, $E$9)</f>
        <v>27.362200000000001</v>
      </c>
      <c r="J507" s="14">
        <f>CHOOSE(CONTROL!$C$42, 27.2701, 27.2701)* CHOOSE(CONTROL!$C$21, $C$9, 100%, $E$9)</f>
        <v>27.270099999999999</v>
      </c>
      <c r="K507" s="52">
        <f>CHOOSE(CONTROL!$C$42, 27.3583, 27.3583) * CHOOSE(CONTROL!$C$21, $C$9, 100%, $E$9)</f>
        <v>27.3583</v>
      </c>
      <c r="L507" s="14">
        <f>CHOOSE(CONTROL!$C$42, 27.9598, 27.9598) * CHOOSE(CONTROL!$C$21, $C$9, 100%, $E$9)</f>
        <v>27.959800000000001</v>
      </c>
      <c r="M507" s="14">
        <f>CHOOSE(CONTROL!$C$42, 26.7873, 26.7873) * CHOOSE(CONTROL!$C$21, $C$9, 100%, $E$9)</f>
        <v>26.787299999999998</v>
      </c>
      <c r="N507" s="14">
        <f>CHOOSE(CONTROL!$C$42, 26.8046, 26.8046) * CHOOSE(CONTROL!$C$21, $C$9, 100%, $E$9)</f>
        <v>26.804600000000001</v>
      </c>
      <c r="O507" s="14">
        <f>CHOOSE(CONTROL!$C$42, 26.8882, 26.8882) * CHOOSE(CONTROL!$C$21, $C$9, 100%, $E$9)</f>
        <v>26.888200000000001</v>
      </c>
      <c r="P507" s="14">
        <f>CHOOSE(CONTROL!$C$42, 26.8763, 26.8763) * CHOOSE(CONTROL!$C$21, $C$9, 100%, $E$9)</f>
        <v>26.876300000000001</v>
      </c>
      <c r="Q507" s="14">
        <f>CHOOSE(CONTROL!$C$42, 27.4829, 27.4829) * CHOOSE(CONTROL!$C$21, $C$9, 100%, $E$9)</f>
        <v>27.482900000000001</v>
      </c>
      <c r="R507" s="14">
        <f>CHOOSE(CONTROL!$C$42, 28.1386, 28.1386) * CHOOSE(CONTROL!$C$21, $C$9, 100%, $E$9)</f>
        <v>28.1386</v>
      </c>
      <c r="S507" s="14">
        <f>CHOOSE(CONTROL!$C$42, 26.1769, 26.1769) * CHOOSE(CONTROL!$C$21, $C$9, 100%, $E$9)</f>
        <v>26.1769</v>
      </c>
      <c r="T50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07" s="56">
        <f>(1000*CHOOSE(CONTROL!$C$42, 695, 695)*CHOOSE(CONTROL!$C$42, 0.5599, 0.5599)*CHOOSE(CONTROL!$C$42, 31, 31))/1000000</f>
        <v>12.063045499999998</v>
      </c>
      <c r="V507" s="56">
        <f>(1000*CHOOSE(CONTROL!$C$42, 500, 500)*CHOOSE(CONTROL!$C$42, 0.275, 0.275)*CHOOSE(CONTROL!$C$42, 31, 31))/1000000</f>
        <v>4.2625000000000002</v>
      </c>
      <c r="W507" s="56">
        <f>(1000*CHOOSE(CONTROL!$C$42, 0.1146, 0.1146)*CHOOSE(CONTROL!$C$42, 121.5, 121.5)*CHOOSE(CONTROL!$C$42, 31, 31))/1000000</f>
        <v>0.43164089999999994</v>
      </c>
      <c r="X507" s="56">
        <f>(31*0.1790888*100000/1000000)+(31*0.2374*100000/1000000)</f>
        <v>1.2911152800000001</v>
      </c>
      <c r="Y507" s="56"/>
      <c r="Z507" s="14"/>
      <c r="AA507" s="55"/>
      <c r="AB507" s="49">
        <f>(B507*122.58+C507*297.941+D507*89.177+E507*40.302+F507*40+G507*160+H507*0+I507*100+J507*300)/(122.58+297.941+89.177+40.302+0+40+160+100+300)</f>
        <v>27.286246503304348</v>
      </c>
      <c r="AC507" s="45">
        <f>(M507*'RAP TEMPLATE-GAS AVAILABILITY'!O506+N507*'RAP TEMPLATE-GAS AVAILABILITY'!P506+O507*'RAP TEMPLATE-GAS AVAILABILITY'!Q506+P507*'RAP TEMPLATE-GAS AVAILABILITY'!R506)/('RAP TEMPLATE-GAS AVAILABILITY'!O506+'RAP TEMPLATE-GAS AVAILABILITY'!P506+'RAP TEMPLATE-GAS AVAILABILITY'!Q506+'RAP TEMPLATE-GAS AVAILABILITY'!R506)</f>
        <v>26.846833093525184</v>
      </c>
    </row>
    <row r="508" spans="1:29" ht="15.75" x14ac:dyDescent="0.25">
      <c r="A508" s="33">
        <v>56369</v>
      </c>
      <c r="B508" s="14">
        <f>CHOOSE(CONTROL!$C$42, 27.1704, 27.1704) * CHOOSE(CONTROL!$C$21, $C$9, 100%, $E$9)</f>
        <v>27.170400000000001</v>
      </c>
      <c r="C508" s="14">
        <f>CHOOSE(CONTROL!$C$42, 27.1749, 27.1749) * CHOOSE(CONTROL!$C$21, $C$9, 100%, $E$9)</f>
        <v>27.174900000000001</v>
      </c>
      <c r="D508" s="14">
        <f>CHOOSE(CONTROL!$C$42, 27.4372, 27.4372) * CHOOSE(CONTROL!$C$21, $C$9, 100%, $E$9)</f>
        <v>27.437200000000001</v>
      </c>
      <c r="E508" s="14">
        <f>CHOOSE(CONTROL!$C$42, 27.4693, 27.4693) * CHOOSE(CONTROL!$C$21, $C$9, 100%, $E$9)</f>
        <v>27.4693</v>
      </c>
      <c r="F508" s="14">
        <f>CHOOSE(CONTROL!$C$42, 27.1933, 27.1933)*CHOOSE(CONTROL!$C$21, $C$9, 100%, $E$9)</f>
        <v>27.193300000000001</v>
      </c>
      <c r="G508" s="14">
        <f>CHOOSE(CONTROL!$C$42, 27.21, 27.21)*CHOOSE(CONTROL!$C$21, $C$9, 100%, $E$9)</f>
        <v>27.21</v>
      </c>
      <c r="H508" s="14">
        <f>CHOOSE(CONTROL!$C$42, 27.459, 27.459) * CHOOSE(CONTROL!$C$21, $C$9, 100%, $E$9)</f>
        <v>27.459</v>
      </c>
      <c r="I508" s="14">
        <f>CHOOSE(CONTROL!$C$42, 27.278, 27.278)* CHOOSE(CONTROL!$C$21, $C$9, 100%, $E$9)</f>
        <v>27.277999999999999</v>
      </c>
      <c r="J508" s="14">
        <f>CHOOSE(CONTROL!$C$42, 27.1863, 27.1863)* CHOOSE(CONTROL!$C$21, $C$9, 100%, $E$9)</f>
        <v>27.186299999999999</v>
      </c>
      <c r="K508" s="52">
        <f>CHOOSE(CONTROL!$C$42, 27.2741, 27.2741) * CHOOSE(CONTROL!$C$21, $C$9, 100%, $E$9)</f>
        <v>27.274100000000001</v>
      </c>
      <c r="L508" s="14">
        <f>CHOOSE(CONTROL!$C$42, 28.046, 28.046) * CHOOSE(CONTROL!$C$21, $C$9, 100%, $E$9)</f>
        <v>28.045999999999999</v>
      </c>
      <c r="M508" s="14">
        <f>CHOOSE(CONTROL!$C$42, 26.705, 26.705) * CHOOSE(CONTROL!$C$21, $C$9, 100%, $E$9)</f>
        <v>26.704999999999998</v>
      </c>
      <c r="N508" s="14">
        <f>CHOOSE(CONTROL!$C$42, 26.7214, 26.7214) * CHOOSE(CONTROL!$C$21, $C$9, 100%, $E$9)</f>
        <v>26.721399999999999</v>
      </c>
      <c r="O508" s="14">
        <f>CHOOSE(CONTROL!$C$42, 26.9728, 26.9728) * CHOOSE(CONTROL!$C$21, $C$9, 100%, $E$9)</f>
        <v>26.972799999999999</v>
      </c>
      <c r="P508" s="14">
        <f>CHOOSE(CONTROL!$C$42, 26.7936, 26.7936) * CHOOSE(CONTROL!$C$21, $C$9, 100%, $E$9)</f>
        <v>26.793600000000001</v>
      </c>
      <c r="Q508" s="14">
        <f>CHOOSE(CONTROL!$C$42, 27.5675, 27.5675) * CHOOSE(CONTROL!$C$21, $C$9, 100%, $E$9)</f>
        <v>27.567499999999999</v>
      </c>
      <c r="R508" s="14">
        <f>CHOOSE(CONTROL!$C$42, 28.2235, 28.2235) * CHOOSE(CONTROL!$C$21, $C$9, 100%, $E$9)</f>
        <v>28.223500000000001</v>
      </c>
      <c r="S508" s="14">
        <f>CHOOSE(CONTROL!$C$42, 26.0988, 26.0988) * CHOOSE(CONTROL!$C$21, $C$9, 100%, $E$9)</f>
        <v>26.098800000000001</v>
      </c>
      <c r="T50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08" s="56">
        <f>(1000*CHOOSE(CONTROL!$C$42, 695, 695)*CHOOSE(CONTROL!$C$42, 0.5599, 0.5599)*CHOOSE(CONTROL!$C$42, 30, 30))/1000000</f>
        <v>11.673914999999997</v>
      </c>
      <c r="V508" s="56">
        <f>(1000*CHOOSE(CONTROL!$C$42, 500, 500)*CHOOSE(CONTROL!$C$42, 0.275, 0.275)*CHOOSE(CONTROL!$C$42, 30, 30))/1000000</f>
        <v>4.125</v>
      </c>
      <c r="W508" s="56">
        <f>(1000*CHOOSE(CONTROL!$C$42, 0.1146, 0.1146)*CHOOSE(CONTROL!$C$42, 121.5, 121.5)*CHOOSE(CONTROL!$C$42, 30, 30))/1000000</f>
        <v>0.417717</v>
      </c>
      <c r="X508" s="56">
        <f>(30*0.1790888*245000/1000000)+(30*0.2374*100000/1000000)</f>
        <v>2.0285026799999999</v>
      </c>
      <c r="Y508" s="56"/>
      <c r="Z508" s="14"/>
      <c r="AA508" s="55"/>
      <c r="AB508" s="49">
        <f>(B508*141.293+C508*267.993+D508*115.016+E508*89.698+F508*40+G508*185+H508*0+I508*100+J508*300)/(141.293+267.993+115.016+89.698+0+40+185+100+300)</f>
        <v>27.236965754237293</v>
      </c>
      <c r="AC508" s="45">
        <f>(M508*'RAP TEMPLATE-GAS AVAILABILITY'!O507+N508*'RAP TEMPLATE-GAS AVAILABILITY'!P507+O508*'RAP TEMPLATE-GAS AVAILABILITY'!Q507+P508*'RAP TEMPLATE-GAS AVAILABILITY'!R507)/('RAP TEMPLATE-GAS AVAILABILITY'!O507+'RAP TEMPLATE-GAS AVAILABILITY'!P507+'RAP TEMPLATE-GAS AVAILABILITY'!Q507+'RAP TEMPLATE-GAS AVAILABILITY'!R507)</f>
        <v>26.796661870503598</v>
      </c>
    </row>
    <row r="509" spans="1:29" ht="15.75" x14ac:dyDescent="0.25">
      <c r="A509" s="33">
        <v>56400</v>
      </c>
      <c r="B509" s="14">
        <f>CHOOSE(CONTROL!$C$42, 27.4115, 27.4115) * CHOOSE(CONTROL!$C$21, $C$9, 100%, $E$9)</f>
        <v>27.4115</v>
      </c>
      <c r="C509" s="14">
        <f>CHOOSE(CONTROL!$C$42, 27.4196, 27.4196) * CHOOSE(CONTROL!$C$21, $C$9, 100%, $E$9)</f>
        <v>27.419599999999999</v>
      </c>
      <c r="D509" s="14">
        <f>CHOOSE(CONTROL!$C$42, 27.6787, 27.6787) * CHOOSE(CONTROL!$C$21, $C$9, 100%, $E$9)</f>
        <v>27.678699999999999</v>
      </c>
      <c r="E509" s="14">
        <f>CHOOSE(CONTROL!$C$42, 27.7101, 27.7101) * CHOOSE(CONTROL!$C$21, $C$9, 100%, $E$9)</f>
        <v>27.710100000000001</v>
      </c>
      <c r="F509" s="14">
        <f>CHOOSE(CONTROL!$C$42, 27.4331, 27.4331)*CHOOSE(CONTROL!$C$21, $C$9, 100%, $E$9)</f>
        <v>27.4331</v>
      </c>
      <c r="G509" s="14">
        <f>CHOOSE(CONTROL!$C$42, 27.45, 27.45)*CHOOSE(CONTROL!$C$21, $C$9, 100%, $E$9)</f>
        <v>27.45</v>
      </c>
      <c r="H509" s="14">
        <f>CHOOSE(CONTROL!$C$42, 27.6988, 27.6988) * CHOOSE(CONTROL!$C$21, $C$9, 100%, $E$9)</f>
        <v>27.698799999999999</v>
      </c>
      <c r="I509" s="14">
        <f>CHOOSE(CONTROL!$C$42, 27.5185, 27.5185)* CHOOSE(CONTROL!$C$21, $C$9, 100%, $E$9)</f>
        <v>27.5185</v>
      </c>
      <c r="J509" s="14">
        <f>CHOOSE(CONTROL!$C$42, 27.4261, 27.4261)* CHOOSE(CONTROL!$C$21, $C$9, 100%, $E$9)</f>
        <v>27.426100000000002</v>
      </c>
      <c r="K509" s="52">
        <f>CHOOSE(CONTROL!$C$42, 27.5146, 27.5146) * CHOOSE(CONTROL!$C$21, $C$9, 100%, $E$9)</f>
        <v>27.514600000000002</v>
      </c>
      <c r="L509" s="14">
        <f>CHOOSE(CONTROL!$C$42, 28.2858, 28.2858) * CHOOSE(CONTROL!$C$21, $C$9, 100%, $E$9)</f>
        <v>28.285799999999998</v>
      </c>
      <c r="M509" s="14">
        <f>CHOOSE(CONTROL!$C$42, 26.9405, 26.9405) * CHOOSE(CONTROL!$C$21, $C$9, 100%, $E$9)</f>
        <v>26.9405</v>
      </c>
      <c r="N509" s="14">
        <f>CHOOSE(CONTROL!$C$42, 26.9571, 26.9571) * CHOOSE(CONTROL!$C$21, $C$9, 100%, $E$9)</f>
        <v>26.957100000000001</v>
      </c>
      <c r="O509" s="14">
        <f>CHOOSE(CONTROL!$C$42, 27.2082, 27.2082) * CHOOSE(CONTROL!$C$21, $C$9, 100%, $E$9)</f>
        <v>27.208200000000001</v>
      </c>
      <c r="P509" s="14">
        <f>CHOOSE(CONTROL!$C$42, 27.0298, 27.0298) * CHOOSE(CONTROL!$C$21, $C$9, 100%, $E$9)</f>
        <v>27.029800000000002</v>
      </c>
      <c r="Q509" s="14">
        <f>CHOOSE(CONTROL!$C$42, 27.8029, 27.8029) * CHOOSE(CONTROL!$C$21, $C$9, 100%, $E$9)</f>
        <v>27.802900000000001</v>
      </c>
      <c r="R509" s="14">
        <f>CHOOSE(CONTROL!$C$42, 28.4595, 28.4595) * CHOOSE(CONTROL!$C$21, $C$9, 100%, $E$9)</f>
        <v>28.459499999999998</v>
      </c>
      <c r="S509" s="14">
        <f>CHOOSE(CONTROL!$C$42, 26.3291, 26.3291) * CHOOSE(CONTROL!$C$21, $C$9, 100%, $E$9)</f>
        <v>26.3291</v>
      </c>
      <c r="T50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09" s="56">
        <f>(1000*CHOOSE(CONTROL!$C$42, 695, 695)*CHOOSE(CONTROL!$C$42, 0.5599, 0.5599)*CHOOSE(CONTROL!$C$42, 31, 31))/1000000</f>
        <v>12.063045499999998</v>
      </c>
      <c r="V509" s="56">
        <f>(1000*CHOOSE(CONTROL!$C$42, 500, 500)*CHOOSE(CONTROL!$C$42, 0.275, 0.275)*CHOOSE(CONTROL!$C$42, 31, 31))/1000000</f>
        <v>4.2625000000000002</v>
      </c>
      <c r="W509" s="56">
        <f>(1000*CHOOSE(CONTROL!$C$42, 0.1146, 0.1146)*CHOOSE(CONTROL!$C$42, 121.5, 121.5)*CHOOSE(CONTROL!$C$42, 31, 31))/1000000</f>
        <v>0.43164089999999994</v>
      </c>
      <c r="X509" s="56">
        <f>(31*0.1790888*245000/1000000)+(31*0.2374*100000/1000000)</f>
        <v>2.0961194359999999</v>
      </c>
      <c r="Y509" s="56"/>
      <c r="Z509" s="14"/>
      <c r="AA509" s="55"/>
      <c r="AB509" s="49">
        <f>(B509*194.205+C509*267.466+D509*133.845+E509*53.484+F509*40+G509*185+H509*0+I509*100+J509*300)/(194.205+267.466+133.845+53.484+0+40+185+100+300)</f>
        <v>27.471913407378338</v>
      </c>
      <c r="AC509" s="45">
        <f>(M509*'RAP TEMPLATE-GAS AVAILABILITY'!O508+N509*'RAP TEMPLATE-GAS AVAILABILITY'!P508+O509*'RAP TEMPLATE-GAS AVAILABILITY'!Q508+P509*'RAP TEMPLATE-GAS AVAILABILITY'!R508)/('RAP TEMPLATE-GAS AVAILABILITY'!O508+'RAP TEMPLATE-GAS AVAILABILITY'!P508+'RAP TEMPLATE-GAS AVAILABILITY'!Q508+'RAP TEMPLATE-GAS AVAILABILITY'!R508)</f>
        <v>27.03228057553957</v>
      </c>
    </row>
    <row r="510" spans="1:29" ht="15.75" x14ac:dyDescent="0.25">
      <c r="A510" s="33">
        <v>56430</v>
      </c>
      <c r="B510" s="14">
        <f>CHOOSE(CONTROL!$C$42, 28.1888, 28.1888) * CHOOSE(CONTROL!$C$21, $C$9, 100%, $E$9)</f>
        <v>28.188800000000001</v>
      </c>
      <c r="C510" s="14">
        <f>CHOOSE(CONTROL!$C$42, 28.1968, 28.1968) * CHOOSE(CONTROL!$C$21, $C$9, 100%, $E$9)</f>
        <v>28.1968</v>
      </c>
      <c r="D510" s="14">
        <f>CHOOSE(CONTROL!$C$42, 28.4559, 28.4559) * CHOOSE(CONTROL!$C$21, $C$9, 100%, $E$9)</f>
        <v>28.4559</v>
      </c>
      <c r="E510" s="14">
        <f>CHOOSE(CONTROL!$C$42, 28.4874, 28.4874) * CHOOSE(CONTROL!$C$21, $C$9, 100%, $E$9)</f>
        <v>28.487400000000001</v>
      </c>
      <c r="F510" s="14">
        <f>CHOOSE(CONTROL!$C$42, 28.2106, 28.2106)*CHOOSE(CONTROL!$C$21, $C$9, 100%, $E$9)</f>
        <v>28.210599999999999</v>
      </c>
      <c r="G510" s="14">
        <f>CHOOSE(CONTROL!$C$42, 28.2276, 28.2276)*CHOOSE(CONTROL!$C$21, $C$9, 100%, $E$9)</f>
        <v>28.227599999999999</v>
      </c>
      <c r="H510" s="14">
        <f>CHOOSE(CONTROL!$C$42, 28.476, 28.476) * CHOOSE(CONTROL!$C$21, $C$9, 100%, $E$9)</f>
        <v>28.475999999999999</v>
      </c>
      <c r="I510" s="14">
        <f>CHOOSE(CONTROL!$C$42, 28.2982, 28.2982)* CHOOSE(CONTROL!$C$21, $C$9, 100%, $E$9)</f>
        <v>28.298200000000001</v>
      </c>
      <c r="J510" s="14">
        <f>CHOOSE(CONTROL!$C$42, 28.2036, 28.2036)* CHOOSE(CONTROL!$C$21, $C$9, 100%, $E$9)</f>
        <v>28.203600000000002</v>
      </c>
      <c r="K510" s="52">
        <f>CHOOSE(CONTROL!$C$42, 28.2943, 28.2943) * CHOOSE(CONTROL!$C$21, $C$9, 100%, $E$9)</f>
        <v>28.2943</v>
      </c>
      <c r="L510" s="14">
        <f>CHOOSE(CONTROL!$C$42, 29.063, 29.063) * CHOOSE(CONTROL!$C$21, $C$9, 100%, $E$9)</f>
        <v>29.062999999999999</v>
      </c>
      <c r="M510" s="14">
        <f>CHOOSE(CONTROL!$C$42, 27.704, 27.704) * CHOOSE(CONTROL!$C$21, $C$9, 100%, $E$9)</f>
        <v>27.704000000000001</v>
      </c>
      <c r="N510" s="14">
        <f>CHOOSE(CONTROL!$C$42, 27.7207, 27.7207) * CHOOSE(CONTROL!$C$21, $C$9, 100%, $E$9)</f>
        <v>27.720700000000001</v>
      </c>
      <c r="O510" s="14">
        <f>CHOOSE(CONTROL!$C$42, 27.9715, 27.9715) * CHOOSE(CONTROL!$C$21, $C$9, 100%, $E$9)</f>
        <v>27.971499999999999</v>
      </c>
      <c r="P510" s="14">
        <f>CHOOSE(CONTROL!$C$42, 27.7954, 27.7954) * CHOOSE(CONTROL!$C$21, $C$9, 100%, $E$9)</f>
        <v>27.795400000000001</v>
      </c>
      <c r="Q510" s="14">
        <f>CHOOSE(CONTROL!$C$42, 28.5662, 28.5662) * CHOOSE(CONTROL!$C$21, $C$9, 100%, $E$9)</f>
        <v>28.566199999999998</v>
      </c>
      <c r="R510" s="14">
        <f>CHOOSE(CONTROL!$C$42, 29.2246, 29.2246) * CHOOSE(CONTROL!$C$21, $C$9, 100%, $E$9)</f>
        <v>29.224599999999999</v>
      </c>
      <c r="S510" s="14">
        <f>CHOOSE(CONTROL!$C$42, 27.076, 27.076) * CHOOSE(CONTROL!$C$21, $C$9, 100%, $E$9)</f>
        <v>27.076000000000001</v>
      </c>
      <c r="T51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10" s="56">
        <f>(1000*CHOOSE(CONTROL!$C$42, 695, 695)*CHOOSE(CONTROL!$C$42, 0.5599, 0.5599)*CHOOSE(CONTROL!$C$42, 30, 30))/1000000</f>
        <v>11.673914999999997</v>
      </c>
      <c r="V510" s="56">
        <f>(1000*CHOOSE(CONTROL!$C$42, 500, 500)*CHOOSE(CONTROL!$C$42, 0.275, 0.275)*CHOOSE(CONTROL!$C$42, 30, 30))/1000000</f>
        <v>4.125</v>
      </c>
      <c r="W510" s="56">
        <f>(1000*CHOOSE(CONTROL!$C$42, 0.1146, 0.1146)*CHOOSE(CONTROL!$C$42, 121.5, 121.5)*CHOOSE(CONTROL!$C$42, 30, 30))/1000000</f>
        <v>0.417717</v>
      </c>
      <c r="X510" s="56">
        <f>(30*0.1790888*245000/1000000)+(30*0.2374*100000/1000000)</f>
        <v>2.0285026799999999</v>
      </c>
      <c r="Y510" s="56"/>
      <c r="Z510" s="14"/>
      <c r="AA510" s="55"/>
      <c r="AB510" s="49">
        <f>(B510*194.205+C510*267.466+D510*133.845+E510*53.484+F510*40+G510*185+H510*0+I510*100+J510*300)/(194.205+267.466+133.845+53.484+0+40+185+100+300)</f>
        <v>28.249467229120878</v>
      </c>
      <c r="AC510" s="45">
        <f>(M510*'RAP TEMPLATE-GAS AVAILABILITY'!O509+N510*'RAP TEMPLATE-GAS AVAILABILITY'!P509+O510*'RAP TEMPLATE-GAS AVAILABILITY'!Q509+P510*'RAP TEMPLATE-GAS AVAILABILITY'!R509)/('RAP TEMPLATE-GAS AVAILABILITY'!O509+'RAP TEMPLATE-GAS AVAILABILITY'!P509+'RAP TEMPLATE-GAS AVAILABILITY'!Q509+'RAP TEMPLATE-GAS AVAILABILITY'!R509)</f>
        <v>27.796049640287773</v>
      </c>
    </row>
    <row r="511" spans="1:29" ht="15.75" x14ac:dyDescent="0.25">
      <c r="A511" s="33">
        <v>56461</v>
      </c>
      <c r="B511" s="14">
        <f>CHOOSE(CONTROL!$C$42, 27.6482, 27.6482) * CHOOSE(CONTROL!$C$21, $C$9, 100%, $E$9)</f>
        <v>27.648199999999999</v>
      </c>
      <c r="C511" s="14">
        <f>CHOOSE(CONTROL!$C$42, 27.6562, 27.6562) * CHOOSE(CONTROL!$C$21, $C$9, 100%, $E$9)</f>
        <v>27.656199999999998</v>
      </c>
      <c r="D511" s="14">
        <f>CHOOSE(CONTROL!$C$42, 27.9153, 27.9153) * CHOOSE(CONTROL!$C$21, $C$9, 100%, $E$9)</f>
        <v>27.915299999999998</v>
      </c>
      <c r="E511" s="14">
        <f>CHOOSE(CONTROL!$C$42, 27.9468, 27.9468) * CHOOSE(CONTROL!$C$21, $C$9, 100%, $E$9)</f>
        <v>27.9468</v>
      </c>
      <c r="F511" s="14">
        <f>CHOOSE(CONTROL!$C$42, 27.6704, 27.6704)*CHOOSE(CONTROL!$C$21, $C$9, 100%, $E$9)</f>
        <v>27.670400000000001</v>
      </c>
      <c r="G511" s="14">
        <f>CHOOSE(CONTROL!$C$42, 27.6876, 27.6876)*CHOOSE(CONTROL!$C$21, $C$9, 100%, $E$9)</f>
        <v>27.6876</v>
      </c>
      <c r="H511" s="14">
        <f>CHOOSE(CONTROL!$C$42, 27.9354, 27.9354) * CHOOSE(CONTROL!$C$21, $C$9, 100%, $E$9)</f>
        <v>27.935400000000001</v>
      </c>
      <c r="I511" s="14">
        <f>CHOOSE(CONTROL!$C$42, 27.7559, 27.7559)* CHOOSE(CONTROL!$C$21, $C$9, 100%, $E$9)</f>
        <v>27.7559</v>
      </c>
      <c r="J511" s="14">
        <f>CHOOSE(CONTROL!$C$42, 27.6634, 27.6634)* CHOOSE(CONTROL!$C$21, $C$9, 100%, $E$9)</f>
        <v>27.663399999999999</v>
      </c>
      <c r="K511" s="52">
        <f>CHOOSE(CONTROL!$C$42, 27.752, 27.752) * CHOOSE(CONTROL!$C$21, $C$9, 100%, $E$9)</f>
        <v>27.751999999999999</v>
      </c>
      <c r="L511" s="14">
        <f>CHOOSE(CONTROL!$C$42, 28.5224, 28.5224) * CHOOSE(CONTROL!$C$21, $C$9, 100%, $E$9)</f>
        <v>28.522400000000001</v>
      </c>
      <c r="M511" s="14">
        <f>CHOOSE(CONTROL!$C$42, 27.1735, 27.1735) * CHOOSE(CONTROL!$C$21, $C$9, 100%, $E$9)</f>
        <v>27.173500000000001</v>
      </c>
      <c r="N511" s="14">
        <f>CHOOSE(CONTROL!$C$42, 27.1904, 27.1904) * CHOOSE(CONTROL!$C$21, $C$9, 100%, $E$9)</f>
        <v>27.1904</v>
      </c>
      <c r="O511" s="14">
        <f>CHOOSE(CONTROL!$C$42, 27.4406, 27.4406) * CHOOSE(CONTROL!$C$21, $C$9, 100%, $E$9)</f>
        <v>27.4406</v>
      </c>
      <c r="P511" s="14">
        <f>CHOOSE(CONTROL!$C$42, 27.2629, 27.2629) * CHOOSE(CONTROL!$C$21, $C$9, 100%, $E$9)</f>
        <v>27.262899999999998</v>
      </c>
      <c r="Q511" s="14">
        <f>CHOOSE(CONTROL!$C$42, 28.0353, 28.0353) * CHOOSE(CONTROL!$C$21, $C$9, 100%, $E$9)</f>
        <v>28.035299999999999</v>
      </c>
      <c r="R511" s="14">
        <f>CHOOSE(CONTROL!$C$42, 28.6924, 28.6924) * CHOOSE(CONTROL!$C$21, $C$9, 100%, $E$9)</f>
        <v>28.692399999999999</v>
      </c>
      <c r="S511" s="14">
        <f>CHOOSE(CONTROL!$C$42, 26.5565, 26.5565) * CHOOSE(CONTROL!$C$21, $C$9, 100%, $E$9)</f>
        <v>26.5565</v>
      </c>
      <c r="T51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11" s="56">
        <f>(1000*CHOOSE(CONTROL!$C$42, 695, 695)*CHOOSE(CONTROL!$C$42, 0.5599, 0.5599)*CHOOSE(CONTROL!$C$42, 31, 31))/1000000</f>
        <v>12.063045499999998</v>
      </c>
      <c r="V511" s="56">
        <f>(1000*CHOOSE(CONTROL!$C$42, 500, 500)*CHOOSE(CONTROL!$C$42, 0.275, 0.275)*CHOOSE(CONTROL!$C$42, 31, 31))/1000000</f>
        <v>4.2625000000000002</v>
      </c>
      <c r="W511" s="56">
        <f>(1000*CHOOSE(CONTROL!$C$42, 0.1146, 0.1146)*CHOOSE(CONTROL!$C$42, 121.5, 121.5)*CHOOSE(CONTROL!$C$42, 31, 31))/1000000</f>
        <v>0.43164089999999994</v>
      </c>
      <c r="X511" s="56">
        <f>(31*0.1790888*245000/1000000)+(31*0.2374*100000/1000000)</f>
        <v>2.0961194359999999</v>
      </c>
      <c r="Y511" s="56"/>
      <c r="Z511" s="14"/>
      <c r="AA511" s="55"/>
      <c r="AB511" s="49">
        <f>(B511*194.205+C511*267.466+D511*133.845+E511*53.484+F511*40+G511*185+H511*0+I511*100+J511*300)/(194.205+267.466+133.845+53.484+0+40+185+100+300)</f>
        <v>27.708927668681316</v>
      </c>
      <c r="AC511" s="45">
        <f>(M511*'RAP TEMPLATE-GAS AVAILABILITY'!O510+N511*'RAP TEMPLATE-GAS AVAILABILITY'!P510+O511*'RAP TEMPLATE-GAS AVAILABILITY'!Q510+P511*'RAP TEMPLATE-GAS AVAILABILITY'!R510)/('RAP TEMPLATE-GAS AVAILABILITY'!O510+'RAP TEMPLATE-GAS AVAILABILITY'!P510+'RAP TEMPLATE-GAS AVAILABILITY'!Q510+'RAP TEMPLATE-GAS AVAILABILITY'!R510)</f>
        <v>27.265195683453239</v>
      </c>
    </row>
    <row r="512" spans="1:29" ht="15.75" x14ac:dyDescent="0.25">
      <c r="A512" s="33">
        <v>56492</v>
      </c>
      <c r="B512" s="14">
        <f>CHOOSE(CONTROL!$C$42, 26.2831, 26.2831) * CHOOSE(CONTROL!$C$21, $C$9, 100%, $E$9)</f>
        <v>26.283100000000001</v>
      </c>
      <c r="C512" s="14">
        <f>CHOOSE(CONTROL!$C$42, 26.2911, 26.2911) * CHOOSE(CONTROL!$C$21, $C$9, 100%, $E$9)</f>
        <v>26.2911</v>
      </c>
      <c r="D512" s="14">
        <f>CHOOSE(CONTROL!$C$42, 26.5502, 26.5502) * CHOOSE(CONTROL!$C$21, $C$9, 100%, $E$9)</f>
        <v>26.5502</v>
      </c>
      <c r="E512" s="14">
        <f>CHOOSE(CONTROL!$C$42, 26.5817, 26.5817) * CHOOSE(CONTROL!$C$21, $C$9, 100%, $E$9)</f>
        <v>26.581700000000001</v>
      </c>
      <c r="F512" s="14">
        <f>CHOOSE(CONTROL!$C$42, 26.3055, 26.3055)*CHOOSE(CONTROL!$C$21, $C$9, 100%, $E$9)</f>
        <v>26.305499999999999</v>
      </c>
      <c r="G512" s="14">
        <f>CHOOSE(CONTROL!$C$42, 26.3227, 26.3227)*CHOOSE(CONTROL!$C$21, $C$9, 100%, $E$9)</f>
        <v>26.322700000000001</v>
      </c>
      <c r="H512" s="14">
        <f>CHOOSE(CONTROL!$C$42, 26.5703, 26.5703) * CHOOSE(CONTROL!$C$21, $C$9, 100%, $E$9)</f>
        <v>26.5703</v>
      </c>
      <c r="I512" s="14">
        <f>CHOOSE(CONTROL!$C$42, 26.3865, 26.3865)* CHOOSE(CONTROL!$C$21, $C$9, 100%, $E$9)</f>
        <v>26.386500000000002</v>
      </c>
      <c r="J512" s="14">
        <f>CHOOSE(CONTROL!$C$42, 26.2985, 26.2985)* CHOOSE(CONTROL!$C$21, $C$9, 100%, $E$9)</f>
        <v>26.298500000000001</v>
      </c>
      <c r="K512" s="52">
        <f>CHOOSE(CONTROL!$C$42, 26.3826, 26.3826) * CHOOSE(CONTROL!$C$21, $C$9, 100%, $E$9)</f>
        <v>26.3826</v>
      </c>
      <c r="L512" s="14">
        <f>CHOOSE(CONTROL!$C$42, 27.1573, 27.1573) * CHOOSE(CONTROL!$C$21, $C$9, 100%, $E$9)</f>
        <v>27.157299999999999</v>
      </c>
      <c r="M512" s="14">
        <f>CHOOSE(CONTROL!$C$42, 25.8332, 25.8332) * CHOOSE(CONTROL!$C$21, $C$9, 100%, $E$9)</f>
        <v>25.833200000000001</v>
      </c>
      <c r="N512" s="14">
        <f>CHOOSE(CONTROL!$C$42, 25.8501, 25.8501) * CHOOSE(CONTROL!$C$21, $C$9, 100%, $E$9)</f>
        <v>25.850100000000001</v>
      </c>
      <c r="O512" s="14">
        <f>CHOOSE(CONTROL!$C$42, 26.1001, 26.1001) * CHOOSE(CONTROL!$C$21, $C$9, 100%, $E$9)</f>
        <v>26.100100000000001</v>
      </c>
      <c r="P512" s="14">
        <f>CHOOSE(CONTROL!$C$42, 25.9182, 25.9182) * CHOOSE(CONTROL!$C$21, $C$9, 100%, $E$9)</f>
        <v>25.918199999999999</v>
      </c>
      <c r="Q512" s="14">
        <f>CHOOSE(CONTROL!$C$42, 26.6948, 26.6948) * CHOOSE(CONTROL!$C$21, $C$9, 100%, $E$9)</f>
        <v>26.694800000000001</v>
      </c>
      <c r="R512" s="14">
        <f>CHOOSE(CONTROL!$C$42, 27.3485, 27.3485) * CHOOSE(CONTROL!$C$21, $C$9, 100%, $E$9)</f>
        <v>27.348500000000001</v>
      </c>
      <c r="S512" s="14">
        <f>CHOOSE(CONTROL!$C$42, 25.2448, 25.2448) * CHOOSE(CONTROL!$C$21, $C$9, 100%, $E$9)</f>
        <v>25.244800000000001</v>
      </c>
      <c r="T51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12" s="56">
        <f>(1000*CHOOSE(CONTROL!$C$42, 695, 695)*CHOOSE(CONTROL!$C$42, 0.5599, 0.5599)*CHOOSE(CONTROL!$C$42, 31, 31))/1000000</f>
        <v>12.063045499999998</v>
      </c>
      <c r="V512" s="56">
        <f>(1000*CHOOSE(CONTROL!$C$42, 500, 500)*CHOOSE(CONTROL!$C$42, 0.275, 0.275)*CHOOSE(CONTROL!$C$42, 31, 31))/1000000</f>
        <v>4.2625000000000002</v>
      </c>
      <c r="W512" s="56">
        <f>(1000*CHOOSE(CONTROL!$C$42, 0.1146, 0.1146)*CHOOSE(CONTROL!$C$42, 121.5, 121.5)*CHOOSE(CONTROL!$C$42, 31, 31))/1000000</f>
        <v>0.43164089999999994</v>
      </c>
      <c r="X512" s="56">
        <f>(31*0.1790888*245000/1000000)+(31*0.2374*100000/1000000)</f>
        <v>2.0961194359999999</v>
      </c>
      <c r="Y512" s="56"/>
      <c r="Z512" s="14"/>
      <c r="AA512" s="55"/>
      <c r="AB512" s="49">
        <f>(B512*194.205+C512*267.466+D512*133.845+E512*53.484+F512*40+G512*185+H512*0+I512*100+J512*300)/(194.205+267.466+133.845+53.484+0+40+185+100+300)</f>
        <v>26.343572566640511</v>
      </c>
      <c r="AC512" s="45">
        <f>(M512*'RAP TEMPLATE-GAS AVAILABILITY'!O511+N512*'RAP TEMPLATE-GAS AVAILABILITY'!P511+O512*'RAP TEMPLATE-GAS AVAILABILITY'!Q511+P512*'RAP TEMPLATE-GAS AVAILABILITY'!R511)/('RAP TEMPLATE-GAS AVAILABILITY'!O511+'RAP TEMPLATE-GAS AVAILABILITY'!P511+'RAP TEMPLATE-GAS AVAILABILITY'!Q511+'RAP TEMPLATE-GAS AVAILABILITY'!R511)</f>
        <v>25.924206474820142</v>
      </c>
    </row>
    <row r="513" spans="1:29" ht="15.75" x14ac:dyDescent="0.25">
      <c r="A513" s="33">
        <v>56522</v>
      </c>
      <c r="B513" s="14">
        <f>CHOOSE(CONTROL!$C$42, 24.615, 24.615) * CHOOSE(CONTROL!$C$21, $C$9, 100%, $E$9)</f>
        <v>24.614999999999998</v>
      </c>
      <c r="C513" s="14">
        <f>CHOOSE(CONTROL!$C$42, 24.623, 24.623) * CHOOSE(CONTROL!$C$21, $C$9, 100%, $E$9)</f>
        <v>24.623000000000001</v>
      </c>
      <c r="D513" s="14">
        <f>CHOOSE(CONTROL!$C$42, 24.8821, 24.8821) * CHOOSE(CONTROL!$C$21, $C$9, 100%, $E$9)</f>
        <v>24.882100000000001</v>
      </c>
      <c r="E513" s="14">
        <f>CHOOSE(CONTROL!$C$42, 24.9136, 24.9136) * CHOOSE(CONTROL!$C$21, $C$9, 100%, $E$9)</f>
        <v>24.913599999999999</v>
      </c>
      <c r="F513" s="14">
        <f>CHOOSE(CONTROL!$C$42, 24.6375, 24.6375)*CHOOSE(CONTROL!$C$21, $C$9, 100%, $E$9)</f>
        <v>24.637499999999999</v>
      </c>
      <c r="G513" s="14">
        <f>CHOOSE(CONTROL!$C$42, 24.6547, 24.6547)*CHOOSE(CONTROL!$C$21, $C$9, 100%, $E$9)</f>
        <v>24.654699999999998</v>
      </c>
      <c r="H513" s="14">
        <f>CHOOSE(CONTROL!$C$42, 24.9022, 24.9022) * CHOOSE(CONTROL!$C$21, $C$9, 100%, $E$9)</f>
        <v>24.902200000000001</v>
      </c>
      <c r="I513" s="14">
        <f>CHOOSE(CONTROL!$C$42, 24.7132, 24.7132)* CHOOSE(CONTROL!$C$21, $C$9, 100%, $E$9)</f>
        <v>24.713200000000001</v>
      </c>
      <c r="J513" s="14">
        <f>CHOOSE(CONTROL!$C$42, 24.6305, 24.6305)* CHOOSE(CONTROL!$C$21, $C$9, 100%, $E$9)</f>
        <v>24.630500000000001</v>
      </c>
      <c r="K513" s="52">
        <f>CHOOSE(CONTROL!$C$42, 24.7093, 24.7093) * CHOOSE(CONTROL!$C$21, $C$9, 100%, $E$9)</f>
        <v>24.709299999999999</v>
      </c>
      <c r="L513" s="14">
        <f>CHOOSE(CONTROL!$C$42, 25.4892, 25.4892) * CHOOSE(CONTROL!$C$21, $C$9, 100%, $E$9)</f>
        <v>25.4892</v>
      </c>
      <c r="M513" s="14">
        <f>CHOOSE(CONTROL!$C$42, 24.1951, 24.1951) * CHOOSE(CONTROL!$C$21, $C$9, 100%, $E$9)</f>
        <v>24.1951</v>
      </c>
      <c r="N513" s="14">
        <f>CHOOSE(CONTROL!$C$42, 24.212, 24.212) * CHOOSE(CONTROL!$C$21, $C$9, 100%, $E$9)</f>
        <v>24.212</v>
      </c>
      <c r="O513" s="14">
        <f>CHOOSE(CONTROL!$C$42, 24.462, 24.462) * CHOOSE(CONTROL!$C$21, $C$9, 100%, $E$9)</f>
        <v>24.462</v>
      </c>
      <c r="P513" s="14">
        <f>CHOOSE(CONTROL!$C$42, 24.2751, 24.2751) * CHOOSE(CONTROL!$C$21, $C$9, 100%, $E$9)</f>
        <v>24.275099999999998</v>
      </c>
      <c r="Q513" s="14">
        <f>CHOOSE(CONTROL!$C$42, 25.0567, 25.0567) * CHOOSE(CONTROL!$C$21, $C$9, 100%, $E$9)</f>
        <v>25.056699999999999</v>
      </c>
      <c r="R513" s="14">
        <f>CHOOSE(CONTROL!$C$42, 25.7063, 25.7063) * CHOOSE(CONTROL!$C$21, $C$9, 100%, $E$9)</f>
        <v>25.706299999999999</v>
      </c>
      <c r="S513" s="14">
        <f>CHOOSE(CONTROL!$C$42, 23.6419, 23.6419) * CHOOSE(CONTROL!$C$21, $C$9, 100%, $E$9)</f>
        <v>23.6419</v>
      </c>
      <c r="T51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13" s="56">
        <f>(1000*CHOOSE(CONTROL!$C$42, 695, 695)*CHOOSE(CONTROL!$C$42, 0.5599, 0.5599)*CHOOSE(CONTROL!$C$42, 30, 30))/1000000</f>
        <v>11.673914999999997</v>
      </c>
      <c r="V513" s="56">
        <f>(1000*CHOOSE(CONTROL!$C$42, 500, 500)*CHOOSE(CONTROL!$C$42, 0.275, 0.275)*CHOOSE(CONTROL!$C$42, 30, 30))/1000000</f>
        <v>4.125</v>
      </c>
      <c r="W513" s="56">
        <f>(1000*CHOOSE(CONTROL!$C$42, 0.1146, 0.1146)*CHOOSE(CONTROL!$C$42, 121.5, 121.5)*CHOOSE(CONTROL!$C$42, 30, 30))/1000000</f>
        <v>0.417717</v>
      </c>
      <c r="X513" s="56">
        <f>(30*0.1790888*245000/1000000)+(30*0.2374*100000/1000000)</f>
        <v>2.0285026799999999</v>
      </c>
      <c r="Y513" s="56"/>
      <c r="Z513" s="14"/>
      <c r="AA513" s="55"/>
      <c r="AB513" s="49">
        <f>(B513*194.205+C513*267.466+D513*133.845+E513*53.484+F513*40+G513*185+H513*0+I513*100+J513*300)/(194.205+267.466+133.845+53.484+0+40+185+100+300)</f>
        <v>24.675105612166409</v>
      </c>
      <c r="AC513" s="45">
        <f>(M513*'RAP TEMPLATE-GAS AVAILABILITY'!O512+N513*'RAP TEMPLATE-GAS AVAILABILITY'!P512+O513*'RAP TEMPLATE-GAS AVAILABILITY'!Q512+P513*'RAP TEMPLATE-GAS AVAILABILITY'!R512)/('RAP TEMPLATE-GAS AVAILABILITY'!O512+'RAP TEMPLATE-GAS AVAILABILITY'!P512+'RAP TEMPLATE-GAS AVAILABILITY'!Q512+'RAP TEMPLATE-GAS AVAILABILITY'!R512)</f>
        <v>24.285387050359709</v>
      </c>
    </row>
    <row r="514" spans="1:29" ht="15.75" x14ac:dyDescent="0.25">
      <c r="A514" s="33">
        <v>56553</v>
      </c>
      <c r="B514" s="14">
        <f>CHOOSE(CONTROL!$C$42, 24.1137, 24.1137) * CHOOSE(CONTROL!$C$21, $C$9, 100%, $E$9)</f>
        <v>24.113700000000001</v>
      </c>
      <c r="C514" s="14">
        <f>CHOOSE(CONTROL!$C$42, 24.119, 24.119) * CHOOSE(CONTROL!$C$21, $C$9, 100%, $E$9)</f>
        <v>24.119</v>
      </c>
      <c r="D514" s="14">
        <f>CHOOSE(CONTROL!$C$42, 24.3831, 24.3831) * CHOOSE(CONTROL!$C$21, $C$9, 100%, $E$9)</f>
        <v>24.383099999999999</v>
      </c>
      <c r="E514" s="14">
        <f>CHOOSE(CONTROL!$C$42, 24.4122, 24.4122) * CHOOSE(CONTROL!$C$21, $C$9, 100%, $E$9)</f>
        <v>24.412199999999999</v>
      </c>
      <c r="F514" s="14">
        <f>CHOOSE(CONTROL!$C$42, 24.1383, 24.1383)*CHOOSE(CONTROL!$C$21, $C$9, 100%, $E$9)</f>
        <v>24.138300000000001</v>
      </c>
      <c r="G514" s="14">
        <f>CHOOSE(CONTROL!$C$42, 24.1554, 24.1554)*CHOOSE(CONTROL!$C$21, $C$9, 100%, $E$9)</f>
        <v>24.1554</v>
      </c>
      <c r="H514" s="14">
        <f>CHOOSE(CONTROL!$C$42, 24.4026, 24.4026) * CHOOSE(CONTROL!$C$21, $C$9, 100%, $E$9)</f>
        <v>24.4026</v>
      </c>
      <c r="I514" s="14">
        <f>CHOOSE(CONTROL!$C$42, 24.2121, 24.2121)* CHOOSE(CONTROL!$C$21, $C$9, 100%, $E$9)</f>
        <v>24.2121</v>
      </c>
      <c r="J514" s="14">
        <f>CHOOSE(CONTROL!$C$42, 24.1313, 24.1313)* CHOOSE(CONTROL!$C$21, $C$9, 100%, $E$9)</f>
        <v>24.1313</v>
      </c>
      <c r="K514" s="52">
        <f>CHOOSE(CONTROL!$C$42, 24.2082, 24.2082) * CHOOSE(CONTROL!$C$21, $C$9, 100%, $E$9)</f>
        <v>24.208200000000001</v>
      </c>
      <c r="L514" s="14">
        <f>CHOOSE(CONTROL!$C$42, 24.9896, 24.9896) * CHOOSE(CONTROL!$C$21, $C$9, 100%, $E$9)</f>
        <v>24.989599999999999</v>
      </c>
      <c r="M514" s="14">
        <f>CHOOSE(CONTROL!$C$42, 23.705, 23.705) * CHOOSE(CONTROL!$C$21, $C$9, 100%, $E$9)</f>
        <v>23.704999999999998</v>
      </c>
      <c r="N514" s="14">
        <f>CHOOSE(CONTROL!$C$42, 23.7218, 23.7218) * CHOOSE(CONTROL!$C$21, $C$9, 100%, $E$9)</f>
        <v>23.721800000000002</v>
      </c>
      <c r="O514" s="14">
        <f>CHOOSE(CONTROL!$C$42, 23.9714, 23.9714) * CHOOSE(CONTROL!$C$21, $C$9, 100%, $E$9)</f>
        <v>23.971399999999999</v>
      </c>
      <c r="P514" s="14">
        <f>CHOOSE(CONTROL!$C$42, 23.783, 23.783) * CHOOSE(CONTROL!$C$21, $C$9, 100%, $E$9)</f>
        <v>23.783000000000001</v>
      </c>
      <c r="Q514" s="14">
        <f>CHOOSE(CONTROL!$C$42, 24.5661, 24.5661) * CHOOSE(CONTROL!$C$21, $C$9, 100%, $E$9)</f>
        <v>24.566099999999999</v>
      </c>
      <c r="R514" s="14">
        <f>CHOOSE(CONTROL!$C$42, 25.2145, 25.2145) * CHOOSE(CONTROL!$C$21, $C$9, 100%, $E$9)</f>
        <v>25.214500000000001</v>
      </c>
      <c r="S514" s="14">
        <f>CHOOSE(CONTROL!$C$42, 23.1619, 23.1619) * CHOOSE(CONTROL!$C$21, $C$9, 100%, $E$9)</f>
        <v>23.161899999999999</v>
      </c>
      <c r="T51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14" s="56">
        <f>(1000*CHOOSE(CONTROL!$C$42, 695, 695)*CHOOSE(CONTROL!$C$42, 0.5599, 0.5599)*CHOOSE(CONTROL!$C$42, 31, 31))/1000000</f>
        <v>12.063045499999998</v>
      </c>
      <c r="V514" s="56">
        <f>(1000*CHOOSE(CONTROL!$C$42, 500, 500)*CHOOSE(CONTROL!$C$42, 0.275, 0.275)*CHOOSE(CONTROL!$C$42, 31, 31))/1000000</f>
        <v>4.2625000000000002</v>
      </c>
      <c r="W514" s="56">
        <f>(1000*CHOOSE(CONTROL!$C$42, 0.1146, 0.1146)*CHOOSE(CONTROL!$C$42, 121.5, 121.5)*CHOOSE(CONTROL!$C$42, 31, 31))/1000000</f>
        <v>0.43164089999999994</v>
      </c>
      <c r="X514" s="56">
        <f>(31*0.1790888*245000/1000000)+(31*0.2374*100000/1000000)</f>
        <v>2.0961194359999999</v>
      </c>
      <c r="Y514" s="56"/>
      <c r="Z514" s="14"/>
      <c r="AA514" s="55"/>
      <c r="AB514" s="49">
        <f>(B514*131.881+C514*277.167+D514*79.08+E514*125.872+F514*40+G514*185+H514*0+I514*100+J514*300)/(131.881+277.167+79.08+125.872+0+40+185+100+300)</f>
        <v>24.181629321307504</v>
      </c>
      <c r="AC514" s="45">
        <f>(M514*'RAP TEMPLATE-GAS AVAILABILITY'!O513+N514*'RAP TEMPLATE-GAS AVAILABILITY'!P513+O514*'RAP TEMPLATE-GAS AVAILABILITY'!Q513+P514*'RAP TEMPLATE-GAS AVAILABILITY'!R513)/('RAP TEMPLATE-GAS AVAILABILITY'!O513+'RAP TEMPLATE-GAS AVAILABILITY'!P513+'RAP TEMPLATE-GAS AVAILABILITY'!Q513+'RAP TEMPLATE-GAS AVAILABILITY'!R513)</f>
        <v>23.794835971223023</v>
      </c>
    </row>
    <row r="515" spans="1:29" ht="15.75" x14ac:dyDescent="0.25">
      <c r="A515" s="33">
        <v>56583</v>
      </c>
      <c r="B515" s="14">
        <f>CHOOSE(CONTROL!$C$42, 24.7483, 24.7483) * CHOOSE(CONTROL!$C$21, $C$9, 100%, $E$9)</f>
        <v>24.7483</v>
      </c>
      <c r="C515" s="14">
        <f>CHOOSE(CONTROL!$C$42, 24.7533, 24.7533) * CHOOSE(CONTROL!$C$21, $C$9, 100%, $E$9)</f>
        <v>24.753299999999999</v>
      </c>
      <c r="D515" s="14">
        <f>CHOOSE(CONTROL!$C$42, 24.8364, 24.8364) * CHOOSE(CONTROL!$C$21, $C$9, 100%, $E$9)</f>
        <v>24.836400000000001</v>
      </c>
      <c r="E515" s="14">
        <f>CHOOSE(CONTROL!$C$42, 24.8705, 24.8705) * CHOOSE(CONTROL!$C$21, $C$9, 100%, $E$9)</f>
        <v>24.8705</v>
      </c>
      <c r="F515" s="14">
        <f>CHOOSE(CONTROL!$C$42, 24.7759, 24.7759)*CHOOSE(CONTROL!$C$21, $C$9, 100%, $E$9)</f>
        <v>24.7759</v>
      </c>
      <c r="G515" s="14">
        <f>CHOOSE(CONTROL!$C$42, 24.7933, 24.7933)*CHOOSE(CONTROL!$C$21, $C$9, 100%, $E$9)</f>
        <v>24.793299999999999</v>
      </c>
      <c r="H515" s="14">
        <f>CHOOSE(CONTROL!$C$42, 24.8597, 24.8597) * CHOOSE(CONTROL!$C$21, $C$9, 100%, $E$9)</f>
        <v>24.8597</v>
      </c>
      <c r="I515" s="14">
        <f>CHOOSE(CONTROL!$C$42, 24.8454, 24.8454)* CHOOSE(CONTROL!$C$21, $C$9, 100%, $E$9)</f>
        <v>24.845400000000001</v>
      </c>
      <c r="J515" s="14">
        <f>CHOOSE(CONTROL!$C$42, 24.7689, 24.7689)* CHOOSE(CONTROL!$C$21, $C$9, 100%, $E$9)</f>
        <v>24.768899999999999</v>
      </c>
      <c r="K515" s="52">
        <f>CHOOSE(CONTROL!$C$42, 24.8415, 24.8415) * CHOOSE(CONTROL!$C$21, $C$9, 100%, $E$9)</f>
        <v>24.8415</v>
      </c>
      <c r="L515" s="14">
        <f>CHOOSE(CONTROL!$C$42, 25.4467, 25.4467) * CHOOSE(CONTROL!$C$21, $C$9, 100%, $E$9)</f>
        <v>25.4467</v>
      </c>
      <c r="M515" s="14">
        <f>CHOOSE(CONTROL!$C$42, 24.3311, 24.3311) * CHOOSE(CONTROL!$C$21, $C$9, 100%, $E$9)</f>
        <v>24.331099999999999</v>
      </c>
      <c r="N515" s="14">
        <f>CHOOSE(CONTROL!$C$42, 24.3481, 24.3481) * CHOOSE(CONTROL!$C$21, $C$9, 100%, $E$9)</f>
        <v>24.348099999999999</v>
      </c>
      <c r="O515" s="14">
        <f>CHOOSE(CONTROL!$C$42, 24.4202, 24.4202) * CHOOSE(CONTROL!$C$21, $C$9, 100%, $E$9)</f>
        <v>24.420200000000001</v>
      </c>
      <c r="P515" s="14">
        <f>CHOOSE(CONTROL!$C$42, 24.4049, 24.4049) * CHOOSE(CONTROL!$C$21, $C$9, 100%, $E$9)</f>
        <v>24.404900000000001</v>
      </c>
      <c r="Q515" s="14">
        <f>CHOOSE(CONTROL!$C$42, 25.0149, 25.0149) * CHOOSE(CONTROL!$C$21, $C$9, 100%, $E$9)</f>
        <v>25.014900000000001</v>
      </c>
      <c r="R515" s="14">
        <f>CHOOSE(CONTROL!$C$42, 25.6645, 25.6645) * CHOOSE(CONTROL!$C$21, $C$9, 100%, $E$9)</f>
        <v>25.6645</v>
      </c>
      <c r="S515" s="14">
        <f>CHOOSE(CONTROL!$C$42, 23.7721, 23.7721) * CHOOSE(CONTROL!$C$21, $C$9, 100%, $E$9)</f>
        <v>23.772099999999998</v>
      </c>
      <c r="T51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15" s="56">
        <f>(1000*CHOOSE(CONTROL!$C$42, 695, 695)*CHOOSE(CONTROL!$C$42, 0.5599, 0.5599)*CHOOSE(CONTROL!$C$42, 30, 30))/1000000</f>
        <v>11.673914999999997</v>
      </c>
      <c r="V515" s="56">
        <f>(1000*CHOOSE(CONTROL!$C$42, 500, 500)*CHOOSE(CONTROL!$C$42, 0.275, 0.275)*CHOOSE(CONTROL!$C$42, 30, 30))/1000000</f>
        <v>4.125</v>
      </c>
      <c r="W515" s="56">
        <f>(1000*CHOOSE(CONTROL!$C$42, 0.1146, 0.1146)*CHOOSE(CONTROL!$C$42, 121.5, 121.5)*CHOOSE(CONTROL!$C$42, 30, 30))/1000000</f>
        <v>0.417717</v>
      </c>
      <c r="X515" s="56">
        <f>(30*0.1790888*100000/1000000)+(30*0.2374*100000/1000000)</f>
        <v>1.2494664</v>
      </c>
      <c r="Y515" s="56"/>
      <c r="Z515" s="14"/>
      <c r="AA515" s="55"/>
      <c r="AB515" s="49">
        <f>(B515*122.58+C515*297.941+D515*89.177+E515*40.302+F515*40+G515*160+H515*0+I515*100+J515*300)/(122.58+297.941+89.177+40.302+0+40+160+100+300)</f>
        <v>24.781747915739132</v>
      </c>
      <c r="AC515" s="45">
        <f>(M515*'RAP TEMPLATE-GAS AVAILABILITY'!O514+N515*'RAP TEMPLATE-GAS AVAILABILITY'!P514+O515*'RAP TEMPLATE-GAS AVAILABILITY'!Q514+P515*'RAP TEMPLATE-GAS AVAILABILITY'!R514)/('RAP TEMPLATE-GAS AVAILABILITY'!O514+'RAP TEMPLATE-GAS AVAILABILITY'!P514+'RAP TEMPLATE-GAS AVAILABILITY'!Q514+'RAP TEMPLATE-GAS AVAILABILITY'!R514)</f>
        <v>24.383080575539569</v>
      </c>
    </row>
    <row r="516" spans="1:29" ht="15.75" x14ac:dyDescent="0.25">
      <c r="A516" s="33">
        <v>56614</v>
      </c>
      <c r="B516" s="14">
        <f>CHOOSE(CONTROL!$C$42, 26.4349, 26.4349) * CHOOSE(CONTROL!$C$21, $C$9, 100%, $E$9)</f>
        <v>26.434899999999999</v>
      </c>
      <c r="C516" s="14">
        <f>CHOOSE(CONTROL!$C$42, 26.44, 26.44) * CHOOSE(CONTROL!$C$21, $C$9, 100%, $E$9)</f>
        <v>26.44</v>
      </c>
      <c r="D516" s="14">
        <f>CHOOSE(CONTROL!$C$42, 26.5231, 26.5231) * CHOOSE(CONTROL!$C$21, $C$9, 100%, $E$9)</f>
        <v>26.523099999999999</v>
      </c>
      <c r="E516" s="14">
        <f>CHOOSE(CONTROL!$C$42, 26.5572, 26.5572) * CHOOSE(CONTROL!$C$21, $C$9, 100%, $E$9)</f>
        <v>26.557200000000002</v>
      </c>
      <c r="F516" s="14">
        <f>CHOOSE(CONTROL!$C$42, 26.465, 26.465)*CHOOSE(CONTROL!$C$21, $C$9, 100%, $E$9)</f>
        <v>26.465</v>
      </c>
      <c r="G516" s="14">
        <f>CHOOSE(CONTROL!$C$42, 26.483, 26.483)*CHOOSE(CONTROL!$C$21, $C$9, 100%, $E$9)</f>
        <v>26.483000000000001</v>
      </c>
      <c r="H516" s="14">
        <f>CHOOSE(CONTROL!$C$42, 26.5464, 26.5464) * CHOOSE(CONTROL!$C$21, $C$9, 100%, $E$9)</f>
        <v>26.546399999999998</v>
      </c>
      <c r="I516" s="14">
        <f>CHOOSE(CONTROL!$C$42, 26.5374, 26.5374)* CHOOSE(CONTROL!$C$21, $C$9, 100%, $E$9)</f>
        <v>26.537400000000002</v>
      </c>
      <c r="J516" s="14">
        <f>CHOOSE(CONTROL!$C$42, 26.458, 26.458)* CHOOSE(CONTROL!$C$21, $C$9, 100%, $E$9)</f>
        <v>26.457999999999998</v>
      </c>
      <c r="K516" s="52">
        <f>CHOOSE(CONTROL!$C$42, 26.5335, 26.5335) * CHOOSE(CONTROL!$C$21, $C$9, 100%, $E$9)</f>
        <v>26.5335</v>
      </c>
      <c r="L516" s="14">
        <f>CHOOSE(CONTROL!$C$42, 27.1334, 27.1334) * CHOOSE(CONTROL!$C$21, $C$9, 100%, $E$9)</f>
        <v>27.133400000000002</v>
      </c>
      <c r="M516" s="14">
        <f>CHOOSE(CONTROL!$C$42, 25.9898, 25.9898) * CHOOSE(CONTROL!$C$21, $C$9, 100%, $E$9)</f>
        <v>25.989799999999999</v>
      </c>
      <c r="N516" s="14">
        <f>CHOOSE(CONTROL!$C$42, 26.0075, 26.0075) * CHOOSE(CONTROL!$C$21, $C$9, 100%, $E$9)</f>
        <v>26.0075</v>
      </c>
      <c r="O516" s="14">
        <f>CHOOSE(CONTROL!$C$42, 26.0766, 26.0766) * CHOOSE(CONTROL!$C$21, $C$9, 100%, $E$9)</f>
        <v>26.076599999999999</v>
      </c>
      <c r="P516" s="14">
        <f>CHOOSE(CONTROL!$C$42, 26.0663, 26.0663) * CHOOSE(CONTROL!$C$21, $C$9, 100%, $E$9)</f>
        <v>26.066299999999998</v>
      </c>
      <c r="Q516" s="14">
        <f>CHOOSE(CONTROL!$C$42, 26.6713, 26.6713) * CHOOSE(CONTROL!$C$21, $C$9, 100%, $E$9)</f>
        <v>26.671299999999999</v>
      </c>
      <c r="R516" s="14">
        <f>CHOOSE(CONTROL!$C$42, 27.325, 27.325) * CHOOSE(CONTROL!$C$21, $C$9, 100%, $E$9)</f>
        <v>27.324999999999999</v>
      </c>
      <c r="S516" s="14">
        <f>CHOOSE(CONTROL!$C$42, 25.3928, 25.3928) * CHOOSE(CONTROL!$C$21, $C$9, 100%, $E$9)</f>
        <v>25.392800000000001</v>
      </c>
      <c r="T51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16" s="56">
        <f>(1000*CHOOSE(CONTROL!$C$42, 695, 695)*CHOOSE(CONTROL!$C$42, 0.5599, 0.5599)*CHOOSE(CONTROL!$C$42, 31, 31))/1000000</f>
        <v>12.063045499999998</v>
      </c>
      <c r="V516" s="56">
        <f>(1000*CHOOSE(CONTROL!$C$42, 500, 500)*CHOOSE(CONTROL!$C$42, 0.275, 0.275)*CHOOSE(CONTROL!$C$42, 31, 31))/1000000</f>
        <v>4.2625000000000002</v>
      </c>
      <c r="W516" s="56">
        <f>(1000*CHOOSE(CONTROL!$C$42, 0.1146, 0.1146)*CHOOSE(CONTROL!$C$42, 121.5, 121.5)*CHOOSE(CONTROL!$C$42, 31, 31))/1000000</f>
        <v>0.43164089999999994</v>
      </c>
      <c r="X516" s="56">
        <f>(31*0.1790888*100000/1000000)+(31*0.2374*100000/1000000)</f>
        <v>1.2911152800000001</v>
      </c>
      <c r="Y516" s="56"/>
      <c r="Z516" s="14"/>
      <c r="AA516" s="55"/>
      <c r="AB516" s="49">
        <f>(B516*122.58+C516*297.941+D516*89.177+E516*40.302+F516*40+G516*160+H516*0+I516*100+J516*300)/(122.58+297.941+89.177+40.302+0+40+160+100+300)</f>
        <v>26.470025082695653</v>
      </c>
      <c r="AC516" s="45">
        <f>(M516*'RAP TEMPLATE-GAS AVAILABILITY'!O515+N516*'RAP TEMPLATE-GAS AVAILABILITY'!P515+O516*'RAP TEMPLATE-GAS AVAILABILITY'!Q515+P516*'RAP TEMPLATE-GAS AVAILABILITY'!R515)/('RAP TEMPLATE-GAS AVAILABILITY'!O515+'RAP TEMPLATE-GAS AVAILABILITY'!P515+'RAP TEMPLATE-GAS AVAILABILITY'!Q515+'RAP TEMPLATE-GAS AVAILABILITY'!R515)</f>
        <v>26.041166906474821</v>
      </c>
    </row>
    <row r="517" spans="1:29" ht="15.75" x14ac:dyDescent="0.25">
      <c r="A517" s="32">
        <v>56645</v>
      </c>
      <c r="B517" s="14">
        <f>CHOOSE(CONTROL!$C$42, 28.6256, 28.6256) * CHOOSE(CONTROL!$C$21, $C$9, 100%, $E$9)</f>
        <v>28.625599999999999</v>
      </c>
      <c r="C517" s="14">
        <f>CHOOSE(CONTROL!$C$42, 28.6307, 28.6307) * CHOOSE(CONTROL!$C$21, $C$9, 100%, $E$9)</f>
        <v>28.630700000000001</v>
      </c>
      <c r="D517" s="14">
        <f>CHOOSE(CONTROL!$C$42, 28.7242, 28.7242) * CHOOSE(CONTROL!$C$21, $C$9, 100%, $E$9)</f>
        <v>28.7242</v>
      </c>
      <c r="E517" s="14">
        <f>CHOOSE(CONTROL!$C$42, 28.7583, 28.7583) * CHOOSE(CONTROL!$C$21, $C$9, 100%, $E$9)</f>
        <v>28.758299999999998</v>
      </c>
      <c r="F517" s="14">
        <f>CHOOSE(CONTROL!$C$42, 28.6529, 28.6529)*CHOOSE(CONTROL!$C$21, $C$9, 100%, $E$9)</f>
        <v>28.652899999999999</v>
      </c>
      <c r="G517" s="14">
        <f>CHOOSE(CONTROL!$C$42, 28.6709, 28.6709)*CHOOSE(CONTROL!$C$21, $C$9, 100%, $E$9)</f>
        <v>28.6709</v>
      </c>
      <c r="H517" s="14">
        <f>CHOOSE(CONTROL!$C$42, 28.7475, 28.7475) * CHOOSE(CONTROL!$C$21, $C$9, 100%, $E$9)</f>
        <v>28.747499999999999</v>
      </c>
      <c r="I517" s="14">
        <f>CHOOSE(CONTROL!$C$42, 28.7412, 28.7412)* CHOOSE(CONTROL!$C$21, $C$9, 100%, $E$9)</f>
        <v>28.741199999999999</v>
      </c>
      <c r="J517" s="14">
        <f>CHOOSE(CONTROL!$C$42, 28.6459, 28.6459)* CHOOSE(CONTROL!$C$21, $C$9, 100%, $E$9)</f>
        <v>28.645900000000001</v>
      </c>
      <c r="K517" s="52">
        <f>CHOOSE(CONTROL!$C$42, 28.7373, 28.7373) * CHOOSE(CONTROL!$C$21, $C$9, 100%, $E$9)</f>
        <v>28.737300000000001</v>
      </c>
      <c r="L517" s="14">
        <f>CHOOSE(CONTROL!$C$42, 29.3345, 29.3345) * CHOOSE(CONTROL!$C$21, $C$9, 100%, $E$9)</f>
        <v>29.334499999999998</v>
      </c>
      <c r="M517" s="14">
        <f>CHOOSE(CONTROL!$C$42, 28.1384, 28.1384) * CHOOSE(CONTROL!$C$21, $C$9, 100%, $E$9)</f>
        <v>28.138400000000001</v>
      </c>
      <c r="N517" s="14">
        <f>CHOOSE(CONTROL!$C$42, 28.156, 28.156) * CHOOSE(CONTROL!$C$21, $C$9, 100%, $E$9)</f>
        <v>28.155999999999999</v>
      </c>
      <c r="O517" s="14">
        <f>CHOOSE(CONTROL!$C$42, 28.2381, 28.2381) * CHOOSE(CONTROL!$C$21, $C$9, 100%, $E$9)</f>
        <v>28.238099999999999</v>
      </c>
      <c r="P517" s="14">
        <f>CHOOSE(CONTROL!$C$42, 28.2304, 28.2304) * CHOOSE(CONTROL!$C$21, $C$9, 100%, $E$9)</f>
        <v>28.230399999999999</v>
      </c>
      <c r="Q517" s="14">
        <f>CHOOSE(CONTROL!$C$42, 28.8328, 28.8328) * CHOOSE(CONTROL!$C$21, $C$9, 100%, $E$9)</f>
        <v>28.832799999999999</v>
      </c>
      <c r="R517" s="14">
        <f>CHOOSE(CONTROL!$C$42, 29.4919, 29.4919) * CHOOSE(CONTROL!$C$21, $C$9, 100%, $E$9)</f>
        <v>29.491900000000001</v>
      </c>
      <c r="S517" s="14">
        <f>CHOOSE(CONTROL!$C$42, 27.4978, 27.4978) * CHOOSE(CONTROL!$C$21, $C$9, 100%, $E$9)</f>
        <v>27.497800000000002</v>
      </c>
      <c r="T51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17" s="56">
        <f>(1000*CHOOSE(CONTROL!$C$42, 695, 695)*CHOOSE(CONTROL!$C$42, 0.5599, 0.5599)*CHOOSE(CONTROL!$C$42, 31, 31))/1000000</f>
        <v>12.063045499999998</v>
      </c>
      <c r="V517" s="56">
        <f>(1000*CHOOSE(CONTROL!$C$42, 500, 500)*CHOOSE(CONTROL!$C$42, 0.275, 0.275)*CHOOSE(CONTROL!$C$42, 31, 31))/1000000</f>
        <v>4.2625000000000002</v>
      </c>
      <c r="W517" s="56">
        <f>(1000*CHOOSE(CONTROL!$C$42, 0.1146, 0.1146)*CHOOSE(CONTROL!$C$42, 121.5, 121.5)*CHOOSE(CONTROL!$C$42, 31, 31))/1000000</f>
        <v>0.43164089999999994</v>
      </c>
      <c r="X517" s="56">
        <f>(31*0.1790888*100000/1000000)+(31*0.2374*100000/1000000)</f>
        <v>1.2911152800000001</v>
      </c>
      <c r="Y517" s="56"/>
      <c r="Z517" s="14"/>
      <c r="AA517" s="55"/>
      <c r="AB517" s="49">
        <f>(B517*122.58+C517*297.941+D517*89.177+E517*40.302+F517*40+G517*160+H517*0+I517*100+J517*300)/(122.58+297.941+89.177+40.302+0+40+160+100+300)</f>
        <v>28.661817762347827</v>
      </c>
      <c r="AC517" s="45">
        <f>(M517*'RAP TEMPLATE-GAS AVAILABILITY'!O516+N517*'RAP TEMPLATE-GAS AVAILABILITY'!P516+O517*'RAP TEMPLATE-GAS AVAILABILITY'!Q516+P517*'RAP TEMPLATE-GAS AVAILABILITY'!R516)/('RAP TEMPLATE-GAS AVAILABILITY'!O516+'RAP TEMPLATE-GAS AVAILABILITY'!P516+'RAP TEMPLATE-GAS AVAILABILITY'!Q516+'RAP TEMPLATE-GAS AVAILABILITY'!R516)</f>
        <v>28.197838129496404</v>
      </c>
    </row>
    <row r="518" spans="1:29" ht="15.75" x14ac:dyDescent="0.25">
      <c r="A518" s="32">
        <v>56673</v>
      </c>
      <c r="B518" s="14">
        <f>CHOOSE(CONTROL!$C$42, 29.135, 29.135) * CHOOSE(CONTROL!$C$21, $C$9, 100%, $E$9)</f>
        <v>29.135000000000002</v>
      </c>
      <c r="C518" s="14">
        <f>CHOOSE(CONTROL!$C$42, 29.1401, 29.1401) * CHOOSE(CONTROL!$C$21, $C$9, 100%, $E$9)</f>
        <v>29.1401</v>
      </c>
      <c r="D518" s="14">
        <f>CHOOSE(CONTROL!$C$42, 29.2336, 29.2336) * CHOOSE(CONTROL!$C$21, $C$9, 100%, $E$9)</f>
        <v>29.233599999999999</v>
      </c>
      <c r="E518" s="14">
        <f>CHOOSE(CONTROL!$C$42, 29.2677, 29.2677) * CHOOSE(CONTROL!$C$21, $C$9, 100%, $E$9)</f>
        <v>29.267700000000001</v>
      </c>
      <c r="F518" s="14">
        <f>CHOOSE(CONTROL!$C$42, 29.162, 29.162)*CHOOSE(CONTROL!$C$21, $C$9, 100%, $E$9)</f>
        <v>29.161999999999999</v>
      </c>
      <c r="G518" s="14">
        <f>CHOOSE(CONTROL!$C$42, 29.1798, 29.1798)*CHOOSE(CONTROL!$C$21, $C$9, 100%, $E$9)</f>
        <v>29.1798</v>
      </c>
      <c r="H518" s="14">
        <f>CHOOSE(CONTROL!$C$42, 29.2569, 29.2569) * CHOOSE(CONTROL!$C$21, $C$9, 100%, $E$9)</f>
        <v>29.256900000000002</v>
      </c>
      <c r="I518" s="14">
        <f>CHOOSE(CONTROL!$C$42, 29.2522, 29.2522)* CHOOSE(CONTROL!$C$21, $C$9, 100%, $E$9)</f>
        <v>29.252199999999998</v>
      </c>
      <c r="J518" s="14">
        <f>CHOOSE(CONTROL!$C$42, 29.155, 29.155)* CHOOSE(CONTROL!$C$21, $C$9, 100%, $E$9)</f>
        <v>29.155000000000001</v>
      </c>
      <c r="K518" s="52">
        <f>CHOOSE(CONTROL!$C$42, 29.2483, 29.2483) * CHOOSE(CONTROL!$C$21, $C$9, 100%, $E$9)</f>
        <v>29.2483</v>
      </c>
      <c r="L518" s="14">
        <f>CHOOSE(CONTROL!$C$42, 29.8439, 29.8439) * CHOOSE(CONTROL!$C$21, $C$9, 100%, $E$9)</f>
        <v>29.843900000000001</v>
      </c>
      <c r="M518" s="14">
        <f>CHOOSE(CONTROL!$C$42, 28.6383, 28.6383) * CHOOSE(CONTROL!$C$21, $C$9, 100%, $E$9)</f>
        <v>28.638300000000001</v>
      </c>
      <c r="N518" s="14">
        <f>CHOOSE(CONTROL!$C$42, 28.6558, 28.6558) * CHOOSE(CONTROL!$C$21, $C$9, 100%, $E$9)</f>
        <v>28.655799999999999</v>
      </c>
      <c r="O518" s="14">
        <f>CHOOSE(CONTROL!$C$42, 28.7383, 28.7383) * CHOOSE(CONTROL!$C$21, $C$9, 100%, $E$9)</f>
        <v>28.738299999999999</v>
      </c>
      <c r="P518" s="14">
        <f>CHOOSE(CONTROL!$C$42, 28.7322, 28.7322) * CHOOSE(CONTROL!$C$21, $C$9, 100%, $E$9)</f>
        <v>28.732199999999999</v>
      </c>
      <c r="Q518" s="14">
        <f>CHOOSE(CONTROL!$C$42, 29.333, 29.333) * CHOOSE(CONTROL!$C$21, $C$9, 100%, $E$9)</f>
        <v>29.332999999999998</v>
      </c>
      <c r="R518" s="14">
        <f>CHOOSE(CONTROL!$C$42, 29.9934, 29.9934) * CHOOSE(CONTROL!$C$21, $C$9, 100%, $E$9)</f>
        <v>29.993400000000001</v>
      </c>
      <c r="S518" s="14">
        <f>CHOOSE(CONTROL!$C$42, 27.9873, 27.9873) * CHOOSE(CONTROL!$C$21, $C$9, 100%, $E$9)</f>
        <v>27.987300000000001</v>
      </c>
      <c r="T51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18" s="56">
        <f>(1000*CHOOSE(CONTROL!$C$42, 695, 695)*CHOOSE(CONTROL!$C$42, 0.5599, 0.5599)*CHOOSE(CONTROL!$C$42, 28, 28))/1000000</f>
        <v>10.895653999999999</v>
      </c>
      <c r="V518" s="56">
        <f>(1000*CHOOSE(CONTROL!$C$42, 500, 500)*CHOOSE(CONTROL!$C$42, 0.275, 0.275)*CHOOSE(CONTROL!$C$42, 28, 28))/1000000</f>
        <v>3.85</v>
      </c>
      <c r="W518" s="56">
        <f>(1000*CHOOSE(CONTROL!$C$42, 0.1146, 0.1146)*CHOOSE(CONTROL!$C$42, 121.5, 121.5)*CHOOSE(CONTROL!$C$42, 28, 28))/1000000</f>
        <v>0.38986920000000003</v>
      </c>
      <c r="X518" s="56">
        <f>(28*0.1790888*100000/1000000)+(28*0.2374*100000/1000000)</f>
        <v>1.16616864</v>
      </c>
      <c r="Y518" s="56"/>
      <c r="Z518" s="14"/>
      <c r="AA518" s="55"/>
      <c r="AB518" s="49">
        <f>(B518*122.58+C518*297.941+D518*89.177+E518*40.302+F518*40+G518*160+H518*0+I518*100+J518*300)/(122.58+297.941+89.177+40.302+0+40+160+100+300)</f>
        <v>29.171198631913043</v>
      </c>
      <c r="AC518" s="45">
        <f>(M518*'RAP TEMPLATE-GAS AVAILABILITY'!O517+N518*'RAP TEMPLATE-GAS AVAILABILITY'!P517+O518*'RAP TEMPLATE-GAS AVAILABILITY'!Q517+P518*'RAP TEMPLATE-GAS AVAILABILITY'!R517)/('RAP TEMPLATE-GAS AVAILABILITY'!O517+'RAP TEMPLATE-GAS AVAILABILITY'!P517+'RAP TEMPLATE-GAS AVAILABILITY'!Q517+'RAP TEMPLATE-GAS AVAILABILITY'!R517)</f>
        <v>28.698141726618704</v>
      </c>
    </row>
    <row r="519" spans="1:29" ht="15.75" x14ac:dyDescent="0.25">
      <c r="A519" s="32">
        <v>56704</v>
      </c>
      <c r="B519" s="14">
        <f>CHOOSE(CONTROL!$C$42, 28.3081, 28.3081) * CHOOSE(CONTROL!$C$21, $C$9, 100%, $E$9)</f>
        <v>28.3081</v>
      </c>
      <c r="C519" s="14">
        <f>CHOOSE(CONTROL!$C$42, 28.3132, 28.3132) * CHOOSE(CONTROL!$C$21, $C$9, 100%, $E$9)</f>
        <v>28.313199999999998</v>
      </c>
      <c r="D519" s="14">
        <f>CHOOSE(CONTROL!$C$42, 28.4067, 28.4067) * CHOOSE(CONTROL!$C$21, $C$9, 100%, $E$9)</f>
        <v>28.406700000000001</v>
      </c>
      <c r="E519" s="14">
        <f>CHOOSE(CONTROL!$C$42, 28.4408, 28.4408) * CHOOSE(CONTROL!$C$21, $C$9, 100%, $E$9)</f>
        <v>28.440799999999999</v>
      </c>
      <c r="F519" s="14">
        <f>CHOOSE(CONTROL!$C$42, 28.3342, 28.3342)*CHOOSE(CONTROL!$C$21, $C$9, 100%, $E$9)</f>
        <v>28.334199999999999</v>
      </c>
      <c r="G519" s="14">
        <f>CHOOSE(CONTROL!$C$42, 28.3518, 28.3518)*CHOOSE(CONTROL!$C$21, $C$9, 100%, $E$9)</f>
        <v>28.351800000000001</v>
      </c>
      <c r="H519" s="14">
        <f>CHOOSE(CONTROL!$C$42, 28.43, 28.43) * CHOOSE(CONTROL!$C$21, $C$9, 100%, $E$9)</f>
        <v>28.43</v>
      </c>
      <c r="I519" s="14">
        <f>CHOOSE(CONTROL!$C$42, 28.4227, 28.4227)* CHOOSE(CONTROL!$C$21, $C$9, 100%, $E$9)</f>
        <v>28.422699999999999</v>
      </c>
      <c r="J519" s="14">
        <f>CHOOSE(CONTROL!$C$42, 28.3272, 28.3272)* CHOOSE(CONTROL!$C$21, $C$9, 100%, $E$9)</f>
        <v>28.327200000000001</v>
      </c>
      <c r="K519" s="52">
        <f>CHOOSE(CONTROL!$C$42, 28.4188, 28.4188) * CHOOSE(CONTROL!$C$21, $C$9, 100%, $E$9)</f>
        <v>28.418800000000001</v>
      </c>
      <c r="L519" s="14">
        <f>CHOOSE(CONTROL!$C$42, 29.017, 29.017) * CHOOSE(CONTROL!$C$21, $C$9, 100%, $E$9)</f>
        <v>29.016999999999999</v>
      </c>
      <c r="M519" s="14">
        <f>CHOOSE(CONTROL!$C$42, 27.8254, 27.8254) * CHOOSE(CONTROL!$C$21, $C$9, 100%, $E$9)</f>
        <v>27.825399999999998</v>
      </c>
      <c r="N519" s="14">
        <f>CHOOSE(CONTROL!$C$42, 27.8427, 27.8427) * CHOOSE(CONTROL!$C$21, $C$9, 100%, $E$9)</f>
        <v>27.842700000000001</v>
      </c>
      <c r="O519" s="14">
        <f>CHOOSE(CONTROL!$C$42, 27.9263, 27.9263) * CHOOSE(CONTROL!$C$21, $C$9, 100%, $E$9)</f>
        <v>27.926300000000001</v>
      </c>
      <c r="P519" s="14">
        <f>CHOOSE(CONTROL!$C$42, 27.9176, 27.9176) * CHOOSE(CONTROL!$C$21, $C$9, 100%, $E$9)</f>
        <v>27.9176</v>
      </c>
      <c r="Q519" s="14">
        <f>CHOOSE(CONTROL!$C$42, 28.521, 28.521) * CHOOSE(CONTROL!$C$21, $C$9, 100%, $E$9)</f>
        <v>28.521000000000001</v>
      </c>
      <c r="R519" s="14">
        <f>CHOOSE(CONTROL!$C$42, 29.1793, 29.1793) * CHOOSE(CONTROL!$C$21, $C$9, 100%, $E$9)</f>
        <v>29.179300000000001</v>
      </c>
      <c r="S519" s="14">
        <f>CHOOSE(CONTROL!$C$42, 27.1927, 27.1927) * CHOOSE(CONTROL!$C$21, $C$9, 100%, $E$9)</f>
        <v>27.192699999999999</v>
      </c>
      <c r="T51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9" s="56">
        <f>(1000*CHOOSE(CONTROL!$C$42, 695, 695)*CHOOSE(CONTROL!$C$42, 0.5599, 0.5599)*CHOOSE(CONTROL!$C$42, 31, 31))/1000000</f>
        <v>12.063045499999998</v>
      </c>
      <c r="V519" s="56">
        <f>(1000*CHOOSE(CONTROL!$C$42, 500, 500)*CHOOSE(CONTROL!$C$42, 0.275, 0.275)*CHOOSE(CONTROL!$C$42, 31, 31))/1000000</f>
        <v>4.2625000000000002</v>
      </c>
      <c r="W519" s="56">
        <f>(1000*CHOOSE(CONTROL!$C$42, 0.1146, 0.1146)*CHOOSE(CONTROL!$C$42, 121.5, 121.5)*CHOOSE(CONTROL!$C$42, 31, 31))/1000000</f>
        <v>0.43164089999999994</v>
      </c>
      <c r="X519" s="56">
        <f>(31*0.1790888*100000/1000000)+(31*0.2374*100000/1000000)</f>
        <v>1.2911152800000001</v>
      </c>
      <c r="Y519" s="56"/>
      <c r="Z519" s="14"/>
      <c r="AA519" s="55"/>
      <c r="AB519" s="49">
        <f>(B519*122.58+C519*297.941+D519*89.177+E519*40.302+F519*40+G519*160+H519*0+I519*100+J519*300)/(122.58+297.941+89.177+40.302+0+40+160+100+300)</f>
        <v>28.343653414521736</v>
      </c>
      <c r="AC519" s="45">
        <f>(M519*'RAP TEMPLATE-GAS AVAILABILITY'!O518+N519*'RAP TEMPLATE-GAS AVAILABILITY'!P518+O519*'RAP TEMPLATE-GAS AVAILABILITY'!Q518+P519*'RAP TEMPLATE-GAS AVAILABILITY'!R518)/('RAP TEMPLATE-GAS AVAILABILITY'!O518+'RAP TEMPLATE-GAS AVAILABILITY'!P518+'RAP TEMPLATE-GAS AVAILABILITY'!Q518+'RAP TEMPLATE-GAS AVAILABILITY'!R518)</f>
        <v>27.885393525179857</v>
      </c>
    </row>
    <row r="520" spans="1:29" ht="15.75" x14ac:dyDescent="0.25">
      <c r="A520" s="32">
        <v>56734</v>
      </c>
      <c r="B520" s="14">
        <f>CHOOSE(CONTROL!$C$42, 28.2244, 28.2244) * CHOOSE(CONTROL!$C$21, $C$9, 100%, $E$9)</f>
        <v>28.224399999999999</v>
      </c>
      <c r="C520" s="14">
        <f>CHOOSE(CONTROL!$C$42, 28.2289, 28.2289) * CHOOSE(CONTROL!$C$21, $C$9, 100%, $E$9)</f>
        <v>28.228899999999999</v>
      </c>
      <c r="D520" s="14">
        <f>CHOOSE(CONTROL!$C$42, 28.4911, 28.4911) * CHOOSE(CONTROL!$C$21, $C$9, 100%, $E$9)</f>
        <v>28.491099999999999</v>
      </c>
      <c r="E520" s="14">
        <f>CHOOSE(CONTROL!$C$42, 28.5232, 28.5232) * CHOOSE(CONTROL!$C$21, $C$9, 100%, $E$9)</f>
        <v>28.523199999999999</v>
      </c>
      <c r="F520" s="14">
        <f>CHOOSE(CONTROL!$C$42, 28.2472, 28.2472)*CHOOSE(CONTROL!$C$21, $C$9, 100%, $E$9)</f>
        <v>28.247199999999999</v>
      </c>
      <c r="G520" s="14">
        <f>CHOOSE(CONTROL!$C$42, 28.264, 28.264)*CHOOSE(CONTROL!$C$21, $C$9, 100%, $E$9)</f>
        <v>28.263999999999999</v>
      </c>
      <c r="H520" s="14">
        <f>CHOOSE(CONTROL!$C$42, 28.513, 28.513) * CHOOSE(CONTROL!$C$21, $C$9, 100%, $E$9)</f>
        <v>28.513000000000002</v>
      </c>
      <c r="I520" s="14">
        <f>CHOOSE(CONTROL!$C$42, 28.3353, 28.3353)* CHOOSE(CONTROL!$C$21, $C$9, 100%, $E$9)</f>
        <v>28.3353</v>
      </c>
      <c r="J520" s="14">
        <f>CHOOSE(CONTROL!$C$42, 28.2402, 28.2402)* CHOOSE(CONTROL!$C$21, $C$9, 100%, $E$9)</f>
        <v>28.240200000000002</v>
      </c>
      <c r="K520" s="52">
        <f>CHOOSE(CONTROL!$C$42, 28.3314, 28.3314) * CHOOSE(CONTROL!$C$21, $C$9, 100%, $E$9)</f>
        <v>28.331399999999999</v>
      </c>
      <c r="L520" s="14">
        <f>CHOOSE(CONTROL!$C$42, 29.1, 29.1) * CHOOSE(CONTROL!$C$21, $C$9, 100%, $E$9)</f>
        <v>29.1</v>
      </c>
      <c r="M520" s="14">
        <f>CHOOSE(CONTROL!$C$42, 27.74, 27.74) * CHOOSE(CONTROL!$C$21, $C$9, 100%, $E$9)</f>
        <v>27.74</v>
      </c>
      <c r="N520" s="14">
        <f>CHOOSE(CONTROL!$C$42, 27.7564, 27.7564) * CHOOSE(CONTROL!$C$21, $C$9, 100%, $E$9)</f>
        <v>27.756399999999999</v>
      </c>
      <c r="O520" s="14">
        <f>CHOOSE(CONTROL!$C$42, 28.0079, 28.0079) * CHOOSE(CONTROL!$C$21, $C$9, 100%, $E$9)</f>
        <v>28.007899999999999</v>
      </c>
      <c r="P520" s="14">
        <f>CHOOSE(CONTROL!$C$42, 27.8318, 27.8318) * CHOOSE(CONTROL!$C$21, $C$9, 100%, $E$9)</f>
        <v>27.831800000000001</v>
      </c>
      <c r="Q520" s="14">
        <f>CHOOSE(CONTROL!$C$42, 28.6026, 28.6026) * CHOOSE(CONTROL!$C$21, $C$9, 100%, $E$9)</f>
        <v>28.602599999999999</v>
      </c>
      <c r="R520" s="14">
        <f>CHOOSE(CONTROL!$C$42, 29.2611, 29.2611) * CHOOSE(CONTROL!$C$21, $C$9, 100%, $E$9)</f>
        <v>29.261099999999999</v>
      </c>
      <c r="S520" s="14">
        <f>CHOOSE(CONTROL!$C$42, 27.1115, 27.1115) * CHOOSE(CONTROL!$C$21, $C$9, 100%, $E$9)</f>
        <v>27.111499999999999</v>
      </c>
      <c r="T52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0" s="56">
        <f>(1000*CHOOSE(CONTROL!$C$42, 695, 695)*CHOOSE(CONTROL!$C$42, 0.5599, 0.5599)*CHOOSE(CONTROL!$C$42, 30, 30))/1000000</f>
        <v>11.673914999999997</v>
      </c>
      <c r="V520" s="56">
        <f>(1000*CHOOSE(CONTROL!$C$42, 500, 500)*CHOOSE(CONTROL!$C$42, 0.275, 0.275)*CHOOSE(CONTROL!$C$42, 30, 30))/1000000</f>
        <v>4.125</v>
      </c>
      <c r="W520" s="56">
        <f>(1000*CHOOSE(CONTROL!$C$42, 0.1146, 0.1146)*CHOOSE(CONTROL!$C$42, 121.5, 121.5)*CHOOSE(CONTROL!$C$42, 30, 30))/1000000</f>
        <v>0.417717</v>
      </c>
      <c r="X520" s="56">
        <f>(30*0.1790888*245000/1000000)+(30*0.2374*100000/1000000)</f>
        <v>2.0285026799999999</v>
      </c>
      <c r="Y520" s="56"/>
      <c r="Z520" s="14"/>
      <c r="AA520" s="55"/>
      <c r="AB520" s="49">
        <f>(B520*141.293+C520*267.993+D520*115.016+E520*89.698+F520*40+G520*185+H520*0+I520*100+J520*300)/(141.293+267.993+115.016+89.698+0+40+185+100+300)</f>
        <v>28.291188134059723</v>
      </c>
      <c r="AC520" s="45">
        <f>(M520*'RAP TEMPLATE-GAS AVAILABILITY'!O519+N520*'RAP TEMPLATE-GAS AVAILABILITY'!P519+O520*'RAP TEMPLATE-GAS AVAILABILITY'!Q519+P520*'RAP TEMPLATE-GAS AVAILABILITY'!R519)/('RAP TEMPLATE-GAS AVAILABILITY'!O519+'RAP TEMPLATE-GAS AVAILABILITY'!P519+'RAP TEMPLATE-GAS AVAILABILITY'!Q519+'RAP TEMPLATE-GAS AVAILABILITY'!R519)</f>
        <v>27.83215035971223</v>
      </c>
    </row>
    <row r="521" spans="1:29" ht="15.75" x14ac:dyDescent="0.25">
      <c r="A521" s="32">
        <v>56765</v>
      </c>
      <c r="B521" s="14">
        <f>CHOOSE(CONTROL!$C$42, 28.4748, 28.4748) * CHOOSE(CONTROL!$C$21, $C$9, 100%, $E$9)</f>
        <v>28.474799999999998</v>
      </c>
      <c r="C521" s="14">
        <f>CHOOSE(CONTROL!$C$42, 28.4829, 28.4829) * CHOOSE(CONTROL!$C$21, $C$9, 100%, $E$9)</f>
        <v>28.482900000000001</v>
      </c>
      <c r="D521" s="14">
        <f>CHOOSE(CONTROL!$C$42, 28.7419, 28.7419) * CHOOSE(CONTROL!$C$21, $C$9, 100%, $E$9)</f>
        <v>28.741900000000001</v>
      </c>
      <c r="E521" s="14">
        <f>CHOOSE(CONTROL!$C$42, 28.7734, 28.7734) * CHOOSE(CONTROL!$C$21, $C$9, 100%, $E$9)</f>
        <v>28.773399999999999</v>
      </c>
      <c r="F521" s="14">
        <f>CHOOSE(CONTROL!$C$42, 28.4964, 28.4964)*CHOOSE(CONTROL!$C$21, $C$9, 100%, $E$9)</f>
        <v>28.496400000000001</v>
      </c>
      <c r="G521" s="14">
        <f>CHOOSE(CONTROL!$C$42, 28.5133, 28.5133)*CHOOSE(CONTROL!$C$21, $C$9, 100%, $E$9)</f>
        <v>28.513300000000001</v>
      </c>
      <c r="H521" s="14">
        <f>CHOOSE(CONTROL!$C$42, 28.762, 28.762) * CHOOSE(CONTROL!$C$21, $C$9, 100%, $E$9)</f>
        <v>28.762</v>
      </c>
      <c r="I521" s="14">
        <f>CHOOSE(CONTROL!$C$42, 28.5851, 28.5851)* CHOOSE(CONTROL!$C$21, $C$9, 100%, $E$9)</f>
        <v>28.585100000000001</v>
      </c>
      <c r="J521" s="14">
        <f>CHOOSE(CONTROL!$C$42, 28.4894, 28.4894)* CHOOSE(CONTROL!$C$21, $C$9, 100%, $E$9)</f>
        <v>28.4894</v>
      </c>
      <c r="K521" s="52">
        <f>CHOOSE(CONTROL!$C$42, 28.5812, 28.5812) * CHOOSE(CONTROL!$C$21, $C$9, 100%, $E$9)</f>
        <v>28.581199999999999</v>
      </c>
      <c r="L521" s="14">
        <f>CHOOSE(CONTROL!$C$42, 29.349, 29.349) * CHOOSE(CONTROL!$C$21, $C$9, 100%, $E$9)</f>
        <v>29.349</v>
      </c>
      <c r="M521" s="14">
        <f>CHOOSE(CONTROL!$C$42, 27.9846, 27.9846) * CHOOSE(CONTROL!$C$21, $C$9, 100%, $E$9)</f>
        <v>27.9846</v>
      </c>
      <c r="N521" s="14">
        <f>CHOOSE(CONTROL!$C$42, 28.0013, 28.0013) * CHOOSE(CONTROL!$C$21, $C$9, 100%, $E$9)</f>
        <v>28.001300000000001</v>
      </c>
      <c r="O521" s="14">
        <f>CHOOSE(CONTROL!$C$42, 28.2524, 28.2524) * CHOOSE(CONTROL!$C$21, $C$9, 100%, $E$9)</f>
        <v>28.252400000000002</v>
      </c>
      <c r="P521" s="14">
        <f>CHOOSE(CONTROL!$C$42, 28.0771, 28.0771) * CHOOSE(CONTROL!$C$21, $C$9, 100%, $E$9)</f>
        <v>28.077100000000002</v>
      </c>
      <c r="Q521" s="14">
        <f>CHOOSE(CONTROL!$C$42, 28.8471, 28.8471) * CHOOSE(CONTROL!$C$21, $C$9, 100%, $E$9)</f>
        <v>28.847100000000001</v>
      </c>
      <c r="R521" s="14">
        <f>CHOOSE(CONTROL!$C$42, 29.5062, 29.5062) * CHOOSE(CONTROL!$C$21, $C$9, 100%, $E$9)</f>
        <v>29.5062</v>
      </c>
      <c r="S521" s="14">
        <f>CHOOSE(CONTROL!$C$42, 27.3508, 27.3508) * CHOOSE(CONTROL!$C$21, $C$9, 100%, $E$9)</f>
        <v>27.3508</v>
      </c>
      <c r="T52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21" s="56">
        <f>(1000*CHOOSE(CONTROL!$C$42, 695, 695)*CHOOSE(CONTROL!$C$42, 0.5599, 0.5599)*CHOOSE(CONTROL!$C$42, 31, 31))/1000000</f>
        <v>12.063045499999998</v>
      </c>
      <c r="V521" s="56">
        <f>(1000*CHOOSE(CONTROL!$C$42, 500, 500)*CHOOSE(CONTROL!$C$42, 0.275, 0.275)*CHOOSE(CONTROL!$C$42, 31, 31))/1000000</f>
        <v>4.2625000000000002</v>
      </c>
      <c r="W521" s="56">
        <f>(1000*CHOOSE(CONTROL!$C$42, 0.1146, 0.1146)*CHOOSE(CONTROL!$C$42, 121.5, 121.5)*CHOOSE(CONTROL!$C$42, 31, 31))/1000000</f>
        <v>0.43164089999999994</v>
      </c>
      <c r="X521" s="56">
        <f>(31*0.1790888*245000/1000000)+(31*0.2374*100000/1000000)</f>
        <v>2.0961194359999999</v>
      </c>
      <c r="Y521" s="56"/>
      <c r="Z521" s="14"/>
      <c r="AA521" s="55"/>
      <c r="AB521" s="49">
        <f>(B521*194.205+C521*267.466+D521*133.845+E521*53.484+F521*40+G521*185+H521*0+I521*100+J521*300)/(194.205+267.466+133.845+53.484+0+40+185+100+300)</f>
        <v>28.535461928178968</v>
      </c>
      <c r="AC521" s="45">
        <f>(M521*'RAP TEMPLATE-GAS AVAILABILITY'!O520+N521*'RAP TEMPLATE-GAS AVAILABILITY'!P520+O521*'RAP TEMPLATE-GAS AVAILABILITY'!Q520+P521*'RAP TEMPLATE-GAS AVAILABILITY'!R520)/('RAP TEMPLATE-GAS AVAILABILITY'!O520+'RAP TEMPLATE-GAS AVAILABILITY'!P520+'RAP TEMPLATE-GAS AVAILABILITY'!Q520+'RAP TEMPLATE-GAS AVAILABILITY'!R520)</f>
        <v>28.076892086330933</v>
      </c>
    </row>
    <row r="522" spans="1:29" ht="15.75" x14ac:dyDescent="0.25">
      <c r="A522" s="32">
        <v>56795</v>
      </c>
      <c r="B522" s="14">
        <f>CHOOSE(CONTROL!$C$42, 29.2822, 29.2822) * CHOOSE(CONTROL!$C$21, $C$9, 100%, $E$9)</f>
        <v>29.2822</v>
      </c>
      <c r="C522" s="14">
        <f>CHOOSE(CONTROL!$C$42, 29.2902, 29.2902) * CHOOSE(CONTROL!$C$21, $C$9, 100%, $E$9)</f>
        <v>29.290199999999999</v>
      </c>
      <c r="D522" s="14">
        <f>CHOOSE(CONTROL!$C$42, 29.5493, 29.5493) * CHOOSE(CONTROL!$C$21, $C$9, 100%, $E$9)</f>
        <v>29.549299999999999</v>
      </c>
      <c r="E522" s="14">
        <f>CHOOSE(CONTROL!$C$42, 29.5808, 29.5808) * CHOOSE(CONTROL!$C$21, $C$9, 100%, $E$9)</f>
        <v>29.5808</v>
      </c>
      <c r="F522" s="14">
        <f>CHOOSE(CONTROL!$C$42, 29.304, 29.304)*CHOOSE(CONTROL!$C$21, $C$9, 100%, $E$9)</f>
        <v>29.303999999999998</v>
      </c>
      <c r="G522" s="14">
        <f>CHOOSE(CONTROL!$C$42, 29.321, 29.321)*CHOOSE(CONTROL!$C$21, $C$9, 100%, $E$9)</f>
        <v>29.321000000000002</v>
      </c>
      <c r="H522" s="14">
        <f>CHOOSE(CONTROL!$C$42, 29.5694, 29.5694) * CHOOSE(CONTROL!$C$21, $C$9, 100%, $E$9)</f>
        <v>29.569400000000002</v>
      </c>
      <c r="I522" s="14">
        <f>CHOOSE(CONTROL!$C$42, 29.395, 29.395)* CHOOSE(CONTROL!$C$21, $C$9, 100%, $E$9)</f>
        <v>29.395</v>
      </c>
      <c r="J522" s="14">
        <f>CHOOSE(CONTROL!$C$42, 29.297, 29.297)* CHOOSE(CONTROL!$C$21, $C$9, 100%, $E$9)</f>
        <v>29.297000000000001</v>
      </c>
      <c r="K522" s="52">
        <f>CHOOSE(CONTROL!$C$42, 29.3911, 29.3911) * CHOOSE(CONTROL!$C$21, $C$9, 100%, $E$9)</f>
        <v>29.391100000000002</v>
      </c>
      <c r="L522" s="14">
        <f>CHOOSE(CONTROL!$C$42, 30.1564, 30.1564) * CHOOSE(CONTROL!$C$21, $C$9, 100%, $E$9)</f>
        <v>30.156400000000001</v>
      </c>
      <c r="M522" s="14">
        <f>CHOOSE(CONTROL!$C$42, 28.7777, 28.7777) * CHOOSE(CONTROL!$C$21, $C$9, 100%, $E$9)</f>
        <v>28.777699999999999</v>
      </c>
      <c r="N522" s="14">
        <f>CHOOSE(CONTROL!$C$42, 28.7945, 28.7945) * CHOOSE(CONTROL!$C$21, $C$9, 100%, $E$9)</f>
        <v>28.794499999999999</v>
      </c>
      <c r="O522" s="14">
        <f>CHOOSE(CONTROL!$C$42, 29.0453, 29.0453) * CHOOSE(CONTROL!$C$21, $C$9, 100%, $E$9)</f>
        <v>29.045300000000001</v>
      </c>
      <c r="P522" s="14">
        <f>CHOOSE(CONTROL!$C$42, 28.8724, 28.8724) * CHOOSE(CONTROL!$C$21, $C$9, 100%, $E$9)</f>
        <v>28.872399999999999</v>
      </c>
      <c r="Q522" s="14">
        <f>CHOOSE(CONTROL!$C$42, 29.64, 29.64) * CHOOSE(CONTROL!$C$21, $C$9, 100%, $E$9)</f>
        <v>29.64</v>
      </c>
      <c r="R522" s="14">
        <f>CHOOSE(CONTROL!$C$42, 30.3011, 30.3011) * CHOOSE(CONTROL!$C$21, $C$9, 100%, $E$9)</f>
        <v>30.301100000000002</v>
      </c>
      <c r="S522" s="14">
        <f>CHOOSE(CONTROL!$C$42, 28.1266, 28.1266) * CHOOSE(CONTROL!$C$21, $C$9, 100%, $E$9)</f>
        <v>28.1266</v>
      </c>
      <c r="T52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22" s="56">
        <f>(1000*CHOOSE(CONTROL!$C$42, 695, 695)*CHOOSE(CONTROL!$C$42, 0.5599, 0.5599)*CHOOSE(CONTROL!$C$42, 30, 30))/1000000</f>
        <v>11.673914999999997</v>
      </c>
      <c r="V522" s="56">
        <f>(1000*CHOOSE(CONTROL!$C$42, 500, 500)*CHOOSE(CONTROL!$C$42, 0.275, 0.275)*CHOOSE(CONTROL!$C$42, 30, 30))/1000000</f>
        <v>4.125</v>
      </c>
      <c r="W522" s="56">
        <f>(1000*CHOOSE(CONTROL!$C$42, 0.1146, 0.1146)*CHOOSE(CONTROL!$C$42, 121.5, 121.5)*CHOOSE(CONTROL!$C$42, 30, 30))/1000000</f>
        <v>0.417717</v>
      </c>
      <c r="X522" s="56">
        <f>(30*0.1790888*245000/1000000)+(30*0.2374*100000/1000000)</f>
        <v>2.0285026799999999</v>
      </c>
      <c r="Y522" s="56"/>
      <c r="Z522" s="14"/>
      <c r="AA522" s="55"/>
      <c r="AB522" s="49">
        <f>(B522*194.205+C522*267.466+D522*133.845+E522*53.484+F522*40+G522*185+H522*0+I522*100+J522*300)/(194.205+267.466+133.845+53.484+0+40+185+100+300)</f>
        <v>29.343134105102038</v>
      </c>
      <c r="AC522" s="45">
        <f>(M522*'RAP TEMPLATE-GAS AVAILABILITY'!O521+N522*'RAP TEMPLATE-GAS AVAILABILITY'!P521+O522*'RAP TEMPLATE-GAS AVAILABILITY'!Q521+P522*'RAP TEMPLATE-GAS AVAILABILITY'!R521)/('RAP TEMPLATE-GAS AVAILABILITY'!O521+'RAP TEMPLATE-GAS AVAILABILITY'!P521+'RAP TEMPLATE-GAS AVAILABILITY'!Q521+'RAP TEMPLATE-GAS AVAILABILITY'!R521)</f>
        <v>28.87027553956835</v>
      </c>
    </row>
    <row r="523" spans="1:29" ht="15.75" x14ac:dyDescent="0.25">
      <c r="A523" s="32">
        <v>56826</v>
      </c>
      <c r="B523" s="14">
        <f>CHOOSE(CONTROL!$C$42, 28.7207, 28.7207) * CHOOSE(CONTROL!$C$21, $C$9, 100%, $E$9)</f>
        <v>28.720700000000001</v>
      </c>
      <c r="C523" s="14">
        <f>CHOOSE(CONTROL!$C$42, 28.7287, 28.7287) * CHOOSE(CONTROL!$C$21, $C$9, 100%, $E$9)</f>
        <v>28.7287</v>
      </c>
      <c r="D523" s="14">
        <f>CHOOSE(CONTROL!$C$42, 28.9878, 28.9878) * CHOOSE(CONTROL!$C$21, $C$9, 100%, $E$9)</f>
        <v>28.9878</v>
      </c>
      <c r="E523" s="14">
        <f>CHOOSE(CONTROL!$C$42, 29.0193, 29.0193) * CHOOSE(CONTROL!$C$21, $C$9, 100%, $E$9)</f>
        <v>29.019300000000001</v>
      </c>
      <c r="F523" s="14">
        <f>CHOOSE(CONTROL!$C$42, 28.7429, 28.7429)*CHOOSE(CONTROL!$C$21, $C$9, 100%, $E$9)</f>
        <v>28.742899999999999</v>
      </c>
      <c r="G523" s="14">
        <f>CHOOSE(CONTROL!$C$42, 28.76, 28.76)*CHOOSE(CONTROL!$C$21, $C$9, 100%, $E$9)</f>
        <v>28.76</v>
      </c>
      <c r="H523" s="14">
        <f>CHOOSE(CONTROL!$C$42, 29.0079, 29.0079) * CHOOSE(CONTROL!$C$21, $C$9, 100%, $E$9)</f>
        <v>29.007899999999999</v>
      </c>
      <c r="I523" s="14">
        <f>CHOOSE(CONTROL!$C$42, 28.8317, 28.8317)* CHOOSE(CONTROL!$C$21, $C$9, 100%, $E$9)</f>
        <v>28.831700000000001</v>
      </c>
      <c r="J523" s="14">
        <f>CHOOSE(CONTROL!$C$42, 28.7359, 28.7359)* CHOOSE(CONTROL!$C$21, $C$9, 100%, $E$9)</f>
        <v>28.735900000000001</v>
      </c>
      <c r="K523" s="52">
        <f>CHOOSE(CONTROL!$C$42, 28.8278, 28.8278) * CHOOSE(CONTROL!$C$21, $C$9, 100%, $E$9)</f>
        <v>28.8278</v>
      </c>
      <c r="L523" s="14">
        <f>CHOOSE(CONTROL!$C$42, 29.5949, 29.5949) * CHOOSE(CONTROL!$C$21, $C$9, 100%, $E$9)</f>
        <v>29.594899999999999</v>
      </c>
      <c r="M523" s="14">
        <f>CHOOSE(CONTROL!$C$42, 28.2267, 28.2267) * CHOOSE(CONTROL!$C$21, $C$9, 100%, $E$9)</f>
        <v>28.226700000000001</v>
      </c>
      <c r="N523" s="14">
        <f>CHOOSE(CONTROL!$C$42, 28.2435, 28.2435) * CHOOSE(CONTROL!$C$21, $C$9, 100%, $E$9)</f>
        <v>28.243500000000001</v>
      </c>
      <c r="O523" s="14">
        <f>CHOOSE(CONTROL!$C$42, 28.4938, 28.4938) * CHOOSE(CONTROL!$C$21, $C$9, 100%, $E$9)</f>
        <v>28.4938</v>
      </c>
      <c r="P523" s="14">
        <f>CHOOSE(CONTROL!$C$42, 28.3193, 28.3193) * CHOOSE(CONTROL!$C$21, $C$9, 100%, $E$9)</f>
        <v>28.319299999999998</v>
      </c>
      <c r="Q523" s="14">
        <f>CHOOSE(CONTROL!$C$42, 29.0885, 29.0885) * CHOOSE(CONTROL!$C$21, $C$9, 100%, $E$9)</f>
        <v>29.0885</v>
      </c>
      <c r="R523" s="14">
        <f>CHOOSE(CONTROL!$C$42, 29.7482, 29.7482) * CHOOSE(CONTROL!$C$21, $C$9, 100%, $E$9)</f>
        <v>29.748200000000001</v>
      </c>
      <c r="S523" s="14">
        <f>CHOOSE(CONTROL!$C$42, 27.5871, 27.5871) * CHOOSE(CONTROL!$C$21, $C$9, 100%, $E$9)</f>
        <v>27.5871</v>
      </c>
      <c r="T52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23" s="56">
        <f>(1000*CHOOSE(CONTROL!$C$42, 695, 695)*CHOOSE(CONTROL!$C$42, 0.5599, 0.5599)*CHOOSE(CONTROL!$C$42, 31, 31))/1000000</f>
        <v>12.063045499999998</v>
      </c>
      <c r="V523" s="56">
        <f>(1000*CHOOSE(CONTROL!$C$42, 500, 500)*CHOOSE(CONTROL!$C$42, 0.275, 0.275)*CHOOSE(CONTROL!$C$42, 31, 31))/1000000</f>
        <v>4.2625000000000002</v>
      </c>
      <c r="W523" s="56">
        <f>(1000*CHOOSE(CONTROL!$C$42, 0.1146, 0.1146)*CHOOSE(CONTROL!$C$42, 121.5, 121.5)*CHOOSE(CONTROL!$C$42, 31, 31))/1000000</f>
        <v>0.43164089999999994</v>
      </c>
      <c r="X523" s="56">
        <f>(31*0.1790888*245000/1000000)+(31*0.2374*100000/1000000)</f>
        <v>2.0961194359999999</v>
      </c>
      <c r="Y523" s="56"/>
      <c r="Z523" s="14"/>
      <c r="AA523" s="55"/>
      <c r="AB523" s="49">
        <f>(B523*194.205+C523*267.466+D523*133.845+E523*53.484+F523*40+G523*185+H523*0+I523*100+J523*300)/(194.205+267.466+133.845+53.484+0+40+185+100+300)</f>
        <v>28.781672174175817</v>
      </c>
      <c r="AC523" s="45">
        <f>(M523*'RAP TEMPLATE-GAS AVAILABILITY'!O522+N523*'RAP TEMPLATE-GAS AVAILABILITY'!P522+O523*'RAP TEMPLATE-GAS AVAILABILITY'!Q522+P523*'RAP TEMPLATE-GAS AVAILABILITY'!R522)/('RAP TEMPLATE-GAS AVAILABILITY'!O522+'RAP TEMPLATE-GAS AVAILABILITY'!P522+'RAP TEMPLATE-GAS AVAILABILITY'!Q522+'RAP TEMPLATE-GAS AVAILABILITY'!R522)</f>
        <v>28.318833093525178</v>
      </c>
    </row>
    <row r="524" spans="1:29" ht="15.75" x14ac:dyDescent="0.25">
      <c r="A524" s="32">
        <v>56857</v>
      </c>
      <c r="B524" s="14">
        <f>CHOOSE(CONTROL!$C$42, 27.3026, 27.3026) * CHOOSE(CONTROL!$C$21, $C$9, 100%, $E$9)</f>
        <v>27.302600000000002</v>
      </c>
      <c r="C524" s="14">
        <f>CHOOSE(CONTROL!$C$42, 27.3106, 27.3106) * CHOOSE(CONTROL!$C$21, $C$9, 100%, $E$9)</f>
        <v>27.310600000000001</v>
      </c>
      <c r="D524" s="14">
        <f>CHOOSE(CONTROL!$C$42, 27.5697, 27.5697) * CHOOSE(CONTROL!$C$21, $C$9, 100%, $E$9)</f>
        <v>27.569700000000001</v>
      </c>
      <c r="E524" s="14">
        <f>CHOOSE(CONTROL!$C$42, 27.6012, 27.6012) * CHOOSE(CONTROL!$C$21, $C$9, 100%, $E$9)</f>
        <v>27.601199999999999</v>
      </c>
      <c r="F524" s="14">
        <f>CHOOSE(CONTROL!$C$42, 27.325, 27.325)*CHOOSE(CONTROL!$C$21, $C$9, 100%, $E$9)</f>
        <v>27.324999999999999</v>
      </c>
      <c r="G524" s="14">
        <f>CHOOSE(CONTROL!$C$42, 27.3422, 27.3422)*CHOOSE(CONTROL!$C$21, $C$9, 100%, $E$9)</f>
        <v>27.342199999999998</v>
      </c>
      <c r="H524" s="14">
        <f>CHOOSE(CONTROL!$C$42, 27.5898, 27.5898) * CHOOSE(CONTROL!$C$21, $C$9, 100%, $E$9)</f>
        <v>27.5898</v>
      </c>
      <c r="I524" s="14">
        <f>CHOOSE(CONTROL!$C$42, 27.4092, 27.4092)* CHOOSE(CONTROL!$C$21, $C$9, 100%, $E$9)</f>
        <v>27.409199999999998</v>
      </c>
      <c r="J524" s="14">
        <f>CHOOSE(CONTROL!$C$42, 27.318, 27.318)* CHOOSE(CONTROL!$C$21, $C$9, 100%, $E$9)</f>
        <v>27.318000000000001</v>
      </c>
      <c r="K524" s="52">
        <f>CHOOSE(CONTROL!$C$42, 27.4053, 27.4053) * CHOOSE(CONTROL!$C$21, $C$9, 100%, $E$9)</f>
        <v>27.4053</v>
      </c>
      <c r="L524" s="14">
        <f>CHOOSE(CONTROL!$C$42, 28.1768, 28.1768) * CHOOSE(CONTROL!$C$21, $C$9, 100%, $E$9)</f>
        <v>28.1768</v>
      </c>
      <c r="M524" s="14">
        <f>CHOOSE(CONTROL!$C$42, 26.8343, 26.8343) * CHOOSE(CONTROL!$C$21, $C$9, 100%, $E$9)</f>
        <v>26.834299999999999</v>
      </c>
      <c r="N524" s="14">
        <f>CHOOSE(CONTROL!$C$42, 26.8512, 26.8512) * CHOOSE(CONTROL!$C$21, $C$9, 100%, $E$9)</f>
        <v>26.851199999999999</v>
      </c>
      <c r="O524" s="14">
        <f>CHOOSE(CONTROL!$C$42, 27.1013, 27.1013) * CHOOSE(CONTROL!$C$21, $C$9, 100%, $E$9)</f>
        <v>27.101299999999998</v>
      </c>
      <c r="P524" s="14">
        <f>CHOOSE(CONTROL!$C$42, 26.9224, 26.9224) * CHOOSE(CONTROL!$C$21, $C$9, 100%, $E$9)</f>
        <v>26.9224</v>
      </c>
      <c r="Q524" s="14">
        <f>CHOOSE(CONTROL!$C$42, 27.696, 27.696) * CHOOSE(CONTROL!$C$21, $C$9, 100%, $E$9)</f>
        <v>27.696000000000002</v>
      </c>
      <c r="R524" s="14">
        <f>CHOOSE(CONTROL!$C$42, 28.3522, 28.3522) * CHOOSE(CONTROL!$C$21, $C$9, 100%, $E$9)</f>
        <v>28.3522</v>
      </c>
      <c r="S524" s="14">
        <f>CHOOSE(CONTROL!$C$42, 26.2244, 26.2244) * CHOOSE(CONTROL!$C$21, $C$9, 100%, $E$9)</f>
        <v>26.224399999999999</v>
      </c>
      <c r="T52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24" s="56">
        <f>(1000*CHOOSE(CONTROL!$C$42, 695, 695)*CHOOSE(CONTROL!$C$42, 0.5599, 0.5599)*CHOOSE(CONTROL!$C$42, 31, 31))/1000000</f>
        <v>12.063045499999998</v>
      </c>
      <c r="V524" s="56">
        <f>(1000*CHOOSE(CONTROL!$C$42, 500, 500)*CHOOSE(CONTROL!$C$42, 0.275, 0.275)*CHOOSE(CONTROL!$C$42, 31, 31))/1000000</f>
        <v>4.2625000000000002</v>
      </c>
      <c r="W524" s="56">
        <f>(1000*CHOOSE(CONTROL!$C$42, 0.1146, 0.1146)*CHOOSE(CONTROL!$C$42, 121.5, 121.5)*CHOOSE(CONTROL!$C$42, 31, 31))/1000000</f>
        <v>0.43164089999999994</v>
      </c>
      <c r="X524" s="56">
        <f>(31*0.1790888*245000/1000000)+(31*0.2374*100000/1000000)</f>
        <v>2.0961194359999999</v>
      </c>
      <c r="Y524" s="56"/>
      <c r="Z524" s="14"/>
      <c r="AA524" s="55"/>
      <c r="AB524" s="49">
        <f>(B524*194.205+C524*267.466+D524*133.845+E524*53.484+F524*40+G524*185+H524*0+I524*100+J524*300)/(194.205+267.466+133.845+53.484+0+40+185+100+300)</f>
        <v>27.363323744034538</v>
      </c>
      <c r="AC524" s="45">
        <f>(M524*'RAP TEMPLATE-GAS AVAILABILITY'!O523+N524*'RAP TEMPLATE-GAS AVAILABILITY'!P523+O524*'RAP TEMPLATE-GAS AVAILABILITY'!Q523+P524*'RAP TEMPLATE-GAS AVAILABILITY'!R523)/('RAP TEMPLATE-GAS AVAILABILITY'!O523+'RAP TEMPLATE-GAS AVAILABILITY'!P523+'RAP TEMPLATE-GAS AVAILABILITY'!Q523+'RAP TEMPLATE-GAS AVAILABILITY'!R523)</f>
        <v>26.925780575539562</v>
      </c>
    </row>
    <row r="525" spans="1:29" ht="15.75" x14ac:dyDescent="0.25">
      <c r="A525" s="32">
        <v>56887</v>
      </c>
      <c r="B525" s="14">
        <f>CHOOSE(CONTROL!$C$42, 25.5697, 25.5697) * CHOOSE(CONTROL!$C$21, $C$9, 100%, $E$9)</f>
        <v>25.569700000000001</v>
      </c>
      <c r="C525" s="14">
        <f>CHOOSE(CONTROL!$C$42, 25.5778, 25.5778) * CHOOSE(CONTROL!$C$21, $C$9, 100%, $E$9)</f>
        <v>25.5778</v>
      </c>
      <c r="D525" s="14">
        <f>CHOOSE(CONTROL!$C$42, 25.8369, 25.8369) * CHOOSE(CONTROL!$C$21, $C$9, 100%, $E$9)</f>
        <v>25.8369</v>
      </c>
      <c r="E525" s="14">
        <f>CHOOSE(CONTROL!$C$42, 25.8683, 25.8683) * CHOOSE(CONTROL!$C$21, $C$9, 100%, $E$9)</f>
        <v>25.868300000000001</v>
      </c>
      <c r="F525" s="14">
        <f>CHOOSE(CONTROL!$C$42, 25.5922, 25.5922)*CHOOSE(CONTROL!$C$21, $C$9, 100%, $E$9)</f>
        <v>25.592199999999998</v>
      </c>
      <c r="G525" s="14">
        <f>CHOOSE(CONTROL!$C$42, 25.6094, 25.6094)*CHOOSE(CONTROL!$C$21, $C$9, 100%, $E$9)</f>
        <v>25.609400000000001</v>
      </c>
      <c r="H525" s="14">
        <f>CHOOSE(CONTROL!$C$42, 25.857, 25.857) * CHOOSE(CONTROL!$C$21, $C$9, 100%, $E$9)</f>
        <v>25.856999999999999</v>
      </c>
      <c r="I525" s="14">
        <f>CHOOSE(CONTROL!$C$42, 25.6709, 25.6709)* CHOOSE(CONTROL!$C$21, $C$9, 100%, $E$9)</f>
        <v>25.6709</v>
      </c>
      <c r="J525" s="14">
        <f>CHOOSE(CONTROL!$C$42, 25.5852, 25.5852)* CHOOSE(CONTROL!$C$21, $C$9, 100%, $E$9)</f>
        <v>25.5852</v>
      </c>
      <c r="K525" s="52">
        <f>CHOOSE(CONTROL!$C$42, 25.667, 25.667) * CHOOSE(CONTROL!$C$21, $C$9, 100%, $E$9)</f>
        <v>25.667000000000002</v>
      </c>
      <c r="L525" s="14">
        <f>CHOOSE(CONTROL!$C$42, 26.444, 26.444) * CHOOSE(CONTROL!$C$21, $C$9, 100%, $E$9)</f>
        <v>26.443999999999999</v>
      </c>
      <c r="M525" s="14">
        <f>CHOOSE(CONTROL!$C$42, 25.1327, 25.1327) * CHOOSE(CONTROL!$C$21, $C$9, 100%, $E$9)</f>
        <v>25.1327</v>
      </c>
      <c r="N525" s="14">
        <f>CHOOSE(CONTROL!$C$42, 25.1496, 25.1496) * CHOOSE(CONTROL!$C$21, $C$9, 100%, $E$9)</f>
        <v>25.1496</v>
      </c>
      <c r="O525" s="14">
        <f>CHOOSE(CONTROL!$C$42, 25.3996, 25.3996) * CHOOSE(CONTROL!$C$21, $C$9, 100%, $E$9)</f>
        <v>25.3996</v>
      </c>
      <c r="P525" s="14">
        <f>CHOOSE(CONTROL!$C$42, 25.2155, 25.2155) * CHOOSE(CONTROL!$C$21, $C$9, 100%, $E$9)</f>
        <v>25.215499999999999</v>
      </c>
      <c r="Q525" s="14">
        <f>CHOOSE(CONTROL!$C$42, 25.9943, 25.9943) * CHOOSE(CONTROL!$C$21, $C$9, 100%, $E$9)</f>
        <v>25.994299999999999</v>
      </c>
      <c r="R525" s="14">
        <f>CHOOSE(CONTROL!$C$42, 26.6463, 26.6463) * CHOOSE(CONTROL!$C$21, $C$9, 100%, $E$9)</f>
        <v>26.6463</v>
      </c>
      <c r="S525" s="14">
        <f>CHOOSE(CONTROL!$C$42, 24.5593, 24.5593) * CHOOSE(CONTROL!$C$21, $C$9, 100%, $E$9)</f>
        <v>24.5593</v>
      </c>
      <c r="T52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25" s="56">
        <f>(1000*CHOOSE(CONTROL!$C$42, 695, 695)*CHOOSE(CONTROL!$C$42, 0.5599, 0.5599)*CHOOSE(CONTROL!$C$42, 30, 30))/1000000</f>
        <v>11.673914999999997</v>
      </c>
      <c r="V525" s="56">
        <f>(1000*CHOOSE(CONTROL!$C$42, 500, 500)*CHOOSE(CONTROL!$C$42, 0.275, 0.275)*CHOOSE(CONTROL!$C$42, 30, 30))/1000000</f>
        <v>4.125</v>
      </c>
      <c r="W525" s="56">
        <f>(1000*CHOOSE(CONTROL!$C$42, 0.1146, 0.1146)*CHOOSE(CONTROL!$C$42, 121.5, 121.5)*CHOOSE(CONTROL!$C$42, 30, 30))/1000000</f>
        <v>0.417717</v>
      </c>
      <c r="X525" s="56">
        <f>(30*0.1790888*245000/1000000)+(30*0.2374*100000/1000000)</f>
        <v>2.0285026799999999</v>
      </c>
      <c r="Y525" s="56"/>
      <c r="Z525" s="14"/>
      <c r="AA525" s="55"/>
      <c r="AB525" s="49">
        <f>(B525*194.205+C525*267.466+D525*133.845+E525*53.484+F525*40+G525*185+H525*0+I525*100+J525*300)/(194.205+267.466+133.845+53.484+0+40+185+100+300)</f>
        <v>25.630072591051807</v>
      </c>
      <c r="AC525" s="45">
        <f>(M525*'RAP TEMPLATE-GAS AVAILABILITY'!O524+N525*'RAP TEMPLATE-GAS AVAILABILITY'!P524+O525*'RAP TEMPLATE-GAS AVAILABILITY'!Q524+P525*'RAP TEMPLATE-GAS AVAILABILITY'!R524)/('RAP TEMPLATE-GAS AVAILABILITY'!O524+'RAP TEMPLATE-GAS AVAILABILITY'!P524+'RAP TEMPLATE-GAS AVAILABILITY'!Q524+'RAP TEMPLATE-GAS AVAILABILITY'!R524)</f>
        <v>25.22338992805755</v>
      </c>
    </row>
    <row r="526" spans="1:29" ht="15.75" x14ac:dyDescent="0.25">
      <c r="A526" s="32">
        <v>56918</v>
      </c>
      <c r="B526" s="14">
        <f>CHOOSE(CONTROL!$C$42, 25.0491, 25.0491) * CHOOSE(CONTROL!$C$21, $C$9, 100%, $E$9)</f>
        <v>25.049099999999999</v>
      </c>
      <c r="C526" s="14">
        <f>CHOOSE(CONTROL!$C$42, 25.0544, 25.0544) * CHOOSE(CONTROL!$C$21, $C$9, 100%, $E$9)</f>
        <v>25.054400000000001</v>
      </c>
      <c r="D526" s="14">
        <f>CHOOSE(CONTROL!$C$42, 25.3184, 25.3184) * CHOOSE(CONTROL!$C$21, $C$9, 100%, $E$9)</f>
        <v>25.3184</v>
      </c>
      <c r="E526" s="14">
        <f>CHOOSE(CONTROL!$C$42, 25.3476, 25.3476) * CHOOSE(CONTROL!$C$21, $C$9, 100%, $E$9)</f>
        <v>25.3476</v>
      </c>
      <c r="F526" s="14">
        <f>CHOOSE(CONTROL!$C$42, 25.0737, 25.0737)*CHOOSE(CONTROL!$C$21, $C$9, 100%, $E$9)</f>
        <v>25.073699999999999</v>
      </c>
      <c r="G526" s="14">
        <f>CHOOSE(CONTROL!$C$42, 25.0908, 25.0908)*CHOOSE(CONTROL!$C$21, $C$9, 100%, $E$9)</f>
        <v>25.090800000000002</v>
      </c>
      <c r="H526" s="14">
        <f>CHOOSE(CONTROL!$C$42, 25.338, 25.338) * CHOOSE(CONTROL!$C$21, $C$9, 100%, $E$9)</f>
        <v>25.338000000000001</v>
      </c>
      <c r="I526" s="14">
        <f>CHOOSE(CONTROL!$C$42, 25.1504, 25.1504)* CHOOSE(CONTROL!$C$21, $C$9, 100%, $E$9)</f>
        <v>25.150400000000001</v>
      </c>
      <c r="J526" s="14">
        <f>CHOOSE(CONTROL!$C$42, 25.0667, 25.0667)* CHOOSE(CONTROL!$C$21, $C$9, 100%, $E$9)</f>
        <v>25.066700000000001</v>
      </c>
      <c r="K526" s="52">
        <f>CHOOSE(CONTROL!$C$42, 25.1465, 25.1465) * CHOOSE(CONTROL!$C$21, $C$9, 100%, $E$9)</f>
        <v>25.1465</v>
      </c>
      <c r="L526" s="14">
        <f>CHOOSE(CONTROL!$C$42, 25.925, 25.925) * CHOOSE(CONTROL!$C$21, $C$9, 100%, $E$9)</f>
        <v>25.925000000000001</v>
      </c>
      <c r="M526" s="14">
        <f>CHOOSE(CONTROL!$C$42, 24.6235, 24.6235) * CHOOSE(CONTROL!$C$21, $C$9, 100%, $E$9)</f>
        <v>24.6235</v>
      </c>
      <c r="N526" s="14">
        <f>CHOOSE(CONTROL!$C$42, 24.6403, 24.6403) * CHOOSE(CONTROL!$C$21, $C$9, 100%, $E$9)</f>
        <v>24.6403</v>
      </c>
      <c r="O526" s="14">
        <f>CHOOSE(CONTROL!$C$42, 24.89, 24.89) * CHOOSE(CONTROL!$C$21, $C$9, 100%, $E$9)</f>
        <v>24.89</v>
      </c>
      <c r="P526" s="14">
        <f>CHOOSE(CONTROL!$C$42, 24.7044, 24.7044) * CHOOSE(CONTROL!$C$21, $C$9, 100%, $E$9)</f>
        <v>24.7044</v>
      </c>
      <c r="Q526" s="14">
        <f>CHOOSE(CONTROL!$C$42, 25.4847, 25.4847) * CHOOSE(CONTROL!$C$21, $C$9, 100%, $E$9)</f>
        <v>25.4847</v>
      </c>
      <c r="R526" s="14">
        <f>CHOOSE(CONTROL!$C$42, 26.1354, 26.1354) * CHOOSE(CONTROL!$C$21, $C$9, 100%, $E$9)</f>
        <v>26.135400000000001</v>
      </c>
      <c r="S526" s="14">
        <f>CHOOSE(CONTROL!$C$42, 24.0607, 24.0607) * CHOOSE(CONTROL!$C$21, $C$9, 100%, $E$9)</f>
        <v>24.060700000000001</v>
      </c>
      <c r="T52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26" s="56">
        <f>(1000*CHOOSE(CONTROL!$C$42, 695, 695)*CHOOSE(CONTROL!$C$42, 0.5599, 0.5599)*CHOOSE(CONTROL!$C$42, 31, 31))/1000000</f>
        <v>12.063045499999998</v>
      </c>
      <c r="V526" s="56">
        <f>(1000*CHOOSE(CONTROL!$C$42, 500, 500)*CHOOSE(CONTROL!$C$42, 0.275, 0.275)*CHOOSE(CONTROL!$C$42, 31, 31))/1000000</f>
        <v>4.2625000000000002</v>
      </c>
      <c r="W526" s="56">
        <f>(1000*CHOOSE(CONTROL!$C$42, 0.1146, 0.1146)*CHOOSE(CONTROL!$C$42, 121.5, 121.5)*CHOOSE(CONTROL!$C$42, 31, 31))/1000000</f>
        <v>0.43164089999999994</v>
      </c>
      <c r="X526" s="56">
        <f>(31*0.1790888*245000/1000000)+(31*0.2374*100000/1000000)</f>
        <v>2.0961194359999999</v>
      </c>
      <c r="Y526" s="56"/>
      <c r="Z526" s="14"/>
      <c r="AA526" s="55"/>
      <c r="AB526" s="49">
        <f>(B526*131.881+C526*277.167+D526*79.08+E526*125.872+F526*40+G526*185+H526*0+I526*100+J526*300)/(131.881+277.167+79.08+125.872+0+40+185+100+300)</f>
        <v>25.117256998466505</v>
      </c>
      <c r="AC526" s="45">
        <f>(M526*'RAP TEMPLATE-GAS AVAILABILITY'!O525+N526*'RAP TEMPLATE-GAS AVAILABILITY'!P525+O526*'RAP TEMPLATE-GAS AVAILABILITY'!Q525+P526*'RAP TEMPLATE-GAS AVAILABILITY'!R525)/('RAP TEMPLATE-GAS AVAILABILITY'!O525+'RAP TEMPLATE-GAS AVAILABILITY'!P525+'RAP TEMPLATE-GAS AVAILABILITY'!Q525+'RAP TEMPLATE-GAS AVAILABILITY'!R525)</f>
        <v>24.713781294964026</v>
      </c>
    </row>
    <row r="527" spans="1:29" ht="15.75" x14ac:dyDescent="0.25">
      <c r="A527" s="32">
        <v>56948</v>
      </c>
      <c r="B527" s="14">
        <f>CHOOSE(CONTROL!$C$42, 25.7083, 25.7083) * CHOOSE(CONTROL!$C$21, $C$9, 100%, $E$9)</f>
        <v>25.708300000000001</v>
      </c>
      <c r="C527" s="14">
        <f>CHOOSE(CONTROL!$C$42, 25.7133, 25.7133) * CHOOSE(CONTROL!$C$21, $C$9, 100%, $E$9)</f>
        <v>25.7133</v>
      </c>
      <c r="D527" s="14">
        <f>CHOOSE(CONTROL!$C$42, 25.7964, 25.7964) * CHOOSE(CONTROL!$C$21, $C$9, 100%, $E$9)</f>
        <v>25.796399999999998</v>
      </c>
      <c r="E527" s="14">
        <f>CHOOSE(CONTROL!$C$42, 25.8305, 25.8305) * CHOOSE(CONTROL!$C$21, $C$9, 100%, $E$9)</f>
        <v>25.830500000000001</v>
      </c>
      <c r="F527" s="14">
        <f>CHOOSE(CONTROL!$C$42, 25.7359, 25.7359)*CHOOSE(CONTROL!$C$21, $C$9, 100%, $E$9)</f>
        <v>25.735900000000001</v>
      </c>
      <c r="G527" s="14">
        <f>CHOOSE(CONTROL!$C$42, 25.7533, 25.7533)*CHOOSE(CONTROL!$C$21, $C$9, 100%, $E$9)</f>
        <v>25.753299999999999</v>
      </c>
      <c r="H527" s="14">
        <f>CHOOSE(CONTROL!$C$42, 25.8197, 25.8197) * CHOOSE(CONTROL!$C$21, $C$9, 100%, $E$9)</f>
        <v>25.819700000000001</v>
      </c>
      <c r="I527" s="14">
        <f>CHOOSE(CONTROL!$C$42, 25.8084, 25.8084)* CHOOSE(CONTROL!$C$21, $C$9, 100%, $E$9)</f>
        <v>25.808399999999999</v>
      </c>
      <c r="J527" s="14">
        <f>CHOOSE(CONTROL!$C$42, 25.7289, 25.7289)* CHOOSE(CONTROL!$C$21, $C$9, 100%, $E$9)</f>
        <v>25.728899999999999</v>
      </c>
      <c r="K527" s="52">
        <f>CHOOSE(CONTROL!$C$42, 25.8045, 25.8045) * CHOOSE(CONTROL!$C$21, $C$9, 100%, $E$9)</f>
        <v>25.804500000000001</v>
      </c>
      <c r="L527" s="14">
        <f>CHOOSE(CONTROL!$C$42, 26.4067, 26.4067) * CHOOSE(CONTROL!$C$21, $C$9, 100%, $E$9)</f>
        <v>26.406700000000001</v>
      </c>
      <c r="M527" s="14">
        <f>CHOOSE(CONTROL!$C$42, 25.2738, 25.2738) * CHOOSE(CONTROL!$C$21, $C$9, 100%, $E$9)</f>
        <v>25.273800000000001</v>
      </c>
      <c r="N527" s="14">
        <f>CHOOSE(CONTROL!$C$42, 25.2909, 25.2909) * CHOOSE(CONTROL!$C$21, $C$9, 100%, $E$9)</f>
        <v>25.290900000000001</v>
      </c>
      <c r="O527" s="14">
        <f>CHOOSE(CONTROL!$C$42, 25.363, 25.363) * CHOOSE(CONTROL!$C$21, $C$9, 100%, $E$9)</f>
        <v>25.363</v>
      </c>
      <c r="P527" s="14">
        <f>CHOOSE(CONTROL!$C$42, 25.3506, 25.3506) * CHOOSE(CONTROL!$C$21, $C$9, 100%, $E$9)</f>
        <v>25.3506</v>
      </c>
      <c r="Q527" s="14">
        <f>CHOOSE(CONTROL!$C$42, 25.9577, 25.9577) * CHOOSE(CONTROL!$C$21, $C$9, 100%, $E$9)</f>
        <v>25.957699999999999</v>
      </c>
      <c r="R527" s="14">
        <f>CHOOSE(CONTROL!$C$42, 26.6096, 26.6096) * CHOOSE(CONTROL!$C$21, $C$9, 100%, $E$9)</f>
        <v>26.6096</v>
      </c>
      <c r="S527" s="14">
        <f>CHOOSE(CONTROL!$C$42, 24.6946, 24.6946) * CHOOSE(CONTROL!$C$21, $C$9, 100%, $E$9)</f>
        <v>24.694600000000001</v>
      </c>
      <c r="T52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27" s="56">
        <f>(1000*CHOOSE(CONTROL!$C$42, 695, 695)*CHOOSE(CONTROL!$C$42, 0.5599, 0.5599)*CHOOSE(CONTROL!$C$42, 30, 30))/1000000</f>
        <v>11.673914999999997</v>
      </c>
      <c r="V527" s="56">
        <f>(1000*CHOOSE(CONTROL!$C$42, 500, 500)*CHOOSE(CONTROL!$C$42, 0.275, 0.275)*CHOOSE(CONTROL!$C$42, 30, 30))/1000000</f>
        <v>4.125</v>
      </c>
      <c r="W527" s="56">
        <f>(1000*CHOOSE(CONTROL!$C$42, 0.1146, 0.1146)*CHOOSE(CONTROL!$C$42, 121.5, 121.5)*CHOOSE(CONTROL!$C$42, 30, 30))/1000000</f>
        <v>0.417717</v>
      </c>
      <c r="X527" s="56">
        <f>(30*0.1790888*100000/1000000)+(30*0.2374*100000/1000000)</f>
        <v>1.2494664</v>
      </c>
      <c r="Y527" s="56"/>
      <c r="Z527" s="14"/>
      <c r="AA527" s="55"/>
      <c r="AB527" s="49">
        <f>(B527*122.58+C527*297.941+D527*89.177+E527*40.302+F527*40+G527*160+H527*0+I527*100+J527*300)/(122.58+297.941+89.177+40.302+0+40+160+100+300)</f>
        <v>25.742008785304346</v>
      </c>
      <c r="AC527" s="45">
        <f>(M527*'RAP TEMPLATE-GAS AVAILABILITY'!O526+N527*'RAP TEMPLATE-GAS AVAILABILITY'!P526+O527*'RAP TEMPLATE-GAS AVAILABILITY'!Q526+P527*'RAP TEMPLATE-GAS AVAILABILITY'!R526)/('RAP TEMPLATE-GAS AVAILABILITY'!O526+'RAP TEMPLATE-GAS AVAILABILITY'!P526+'RAP TEMPLATE-GAS AVAILABILITY'!Q526+'RAP TEMPLATE-GAS AVAILABILITY'!R526)</f>
        <v>25.32626330935252</v>
      </c>
    </row>
    <row r="528" spans="1:29" ht="15.75" x14ac:dyDescent="0.25">
      <c r="A528" s="32">
        <v>56979</v>
      </c>
      <c r="B528" s="14">
        <f>CHOOSE(CONTROL!$C$42, 27.4604, 27.4604) * CHOOSE(CONTROL!$C$21, $C$9, 100%, $E$9)</f>
        <v>27.4604</v>
      </c>
      <c r="C528" s="14">
        <f>CHOOSE(CONTROL!$C$42, 27.4655, 27.4655) * CHOOSE(CONTROL!$C$21, $C$9, 100%, $E$9)</f>
        <v>27.465499999999999</v>
      </c>
      <c r="D528" s="14">
        <f>CHOOSE(CONTROL!$C$42, 27.5485, 27.5485) * CHOOSE(CONTROL!$C$21, $C$9, 100%, $E$9)</f>
        <v>27.548500000000001</v>
      </c>
      <c r="E528" s="14">
        <f>CHOOSE(CONTROL!$C$42, 27.5826, 27.5826) * CHOOSE(CONTROL!$C$21, $C$9, 100%, $E$9)</f>
        <v>27.582599999999999</v>
      </c>
      <c r="F528" s="14">
        <f>CHOOSE(CONTROL!$C$42, 27.4905, 27.4905)*CHOOSE(CONTROL!$C$21, $C$9, 100%, $E$9)</f>
        <v>27.490500000000001</v>
      </c>
      <c r="G528" s="14">
        <f>CHOOSE(CONTROL!$C$42, 27.5085, 27.5085)*CHOOSE(CONTROL!$C$21, $C$9, 100%, $E$9)</f>
        <v>27.508500000000002</v>
      </c>
      <c r="H528" s="14">
        <f>CHOOSE(CONTROL!$C$42, 27.5718, 27.5718) * CHOOSE(CONTROL!$C$21, $C$9, 100%, $E$9)</f>
        <v>27.5718</v>
      </c>
      <c r="I528" s="14">
        <f>CHOOSE(CONTROL!$C$42, 27.566, 27.566)* CHOOSE(CONTROL!$C$21, $C$9, 100%, $E$9)</f>
        <v>27.565999999999999</v>
      </c>
      <c r="J528" s="14">
        <f>CHOOSE(CONTROL!$C$42, 27.4835, 27.4835)* CHOOSE(CONTROL!$C$21, $C$9, 100%, $E$9)</f>
        <v>27.483499999999999</v>
      </c>
      <c r="K528" s="52">
        <f>CHOOSE(CONTROL!$C$42, 27.5622, 27.5622) * CHOOSE(CONTROL!$C$21, $C$9, 100%, $E$9)</f>
        <v>27.562200000000001</v>
      </c>
      <c r="L528" s="14">
        <f>CHOOSE(CONTROL!$C$42, 28.1588, 28.1588) * CHOOSE(CONTROL!$C$21, $C$9, 100%, $E$9)</f>
        <v>28.158799999999999</v>
      </c>
      <c r="M528" s="14">
        <f>CHOOSE(CONTROL!$C$42, 26.9968, 26.9968) * CHOOSE(CONTROL!$C$21, $C$9, 100%, $E$9)</f>
        <v>26.9968</v>
      </c>
      <c r="N528" s="14">
        <f>CHOOSE(CONTROL!$C$42, 27.0145, 27.0145) * CHOOSE(CONTROL!$C$21, $C$9, 100%, $E$9)</f>
        <v>27.014500000000002</v>
      </c>
      <c r="O528" s="14">
        <f>CHOOSE(CONTROL!$C$42, 27.0836, 27.0836) * CHOOSE(CONTROL!$C$21, $C$9, 100%, $E$9)</f>
        <v>27.083600000000001</v>
      </c>
      <c r="P528" s="14">
        <f>CHOOSE(CONTROL!$C$42, 27.0765, 27.0765) * CHOOSE(CONTROL!$C$21, $C$9, 100%, $E$9)</f>
        <v>27.076499999999999</v>
      </c>
      <c r="Q528" s="14">
        <f>CHOOSE(CONTROL!$C$42, 27.6783, 27.6783) * CHOOSE(CONTROL!$C$21, $C$9, 100%, $E$9)</f>
        <v>27.6783</v>
      </c>
      <c r="R528" s="14">
        <f>CHOOSE(CONTROL!$C$42, 28.3345, 28.3345) * CHOOSE(CONTROL!$C$21, $C$9, 100%, $E$9)</f>
        <v>28.334499999999998</v>
      </c>
      <c r="S528" s="14">
        <f>CHOOSE(CONTROL!$C$42, 26.3782, 26.3782) * CHOOSE(CONTROL!$C$21, $C$9, 100%, $E$9)</f>
        <v>26.3782</v>
      </c>
      <c r="T52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28" s="56">
        <f>(1000*CHOOSE(CONTROL!$C$42, 695, 695)*CHOOSE(CONTROL!$C$42, 0.5599, 0.5599)*CHOOSE(CONTROL!$C$42, 31, 31))/1000000</f>
        <v>12.063045499999998</v>
      </c>
      <c r="V528" s="56">
        <f>(1000*CHOOSE(CONTROL!$C$42, 500, 500)*CHOOSE(CONTROL!$C$42, 0.275, 0.275)*CHOOSE(CONTROL!$C$42, 31, 31))/1000000</f>
        <v>4.2625000000000002</v>
      </c>
      <c r="W528" s="56">
        <f>(1000*CHOOSE(CONTROL!$C$42, 0.1146, 0.1146)*CHOOSE(CONTROL!$C$42, 121.5, 121.5)*CHOOSE(CONTROL!$C$42, 31, 31))/1000000</f>
        <v>0.43164089999999994</v>
      </c>
      <c r="X528" s="56">
        <f>(31*0.1790888*100000/1000000)+(31*0.2374*100000/1000000)</f>
        <v>1.2911152800000001</v>
      </c>
      <c r="Y528" s="56"/>
      <c r="Z528" s="14"/>
      <c r="AA528" s="55"/>
      <c r="AB528" s="49">
        <f>(B528*122.58+C528*297.941+D528*89.177+E528*40.302+F528*40+G528*160+H528*0+I528*100+J528*300)/(122.58+297.941+89.177+40.302+0+40+160+100+300)</f>
        <v>27.495783388869562</v>
      </c>
      <c r="AC528" s="45">
        <f>(M528*'RAP TEMPLATE-GAS AVAILABILITY'!O527+N528*'RAP TEMPLATE-GAS AVAILABILITY'!P527+O528*'RAP TEMPLATE-GAS AVAILABILITY'!Q527+P528*'RAP TEMPLATE-GAS AVAILABILITY'!R527)/('RAP TEMPLATE-GAS AVAILABILITY'!O527+'RAP TEMPLATE-GAS AVAILABILITY'!P527+'RAP TEMPLATE-GAS AVAILABILITY'!Q527+'RAP TEMPLATE-GAS AVAILABILITY'!R527)</f>
        <v>27.048627338129499</v>
      </c>
    </row>
    <row r="529" spans="1:29" ht="15.75" x14ac:dyDescent="0.25">
      <c r="A529" s="32">
        <v>57010</v>
      </c>
      <c r="B529" s="14">
        <f>CHOOSE(CONTROL!$C$42, 29.7361, 29.7361) * CHOOSE(CONTROL!$C$21, $C$9, 100%, $E$9)</f>
        <v>29.7361</v>
      </c>
      <c r="C529" s="14">
        <f>CHOOSE(CONTROL!$C$42, 29.7412, 29.7412) * CHOOSE(CONTROL!$C$21, $C$9, 100%, $E$9)</f>
        <v>29.741199999999999</v>
      </c>
      <c r="D529" s="14">
        <f>CHOOSE(CONTROL!$C$42, 29.8346, 29.8346) * CHOOSE(CONTROL!$C$21, $C$9, 100%, $E$9)</f>
        <v>29.834599999999998</v>
      </c>
      <c r="E529" s="14">
        <f>CHOOSE(CONTROL!$C$42, 29.8687, 29.8687) * CHOOSE(CONTROL!$C$21, $C$9, 100%, $E$9)</f>
        <v>29.8687</v>
      </c>
      <c r="F529" s="14">
        <f>CHOOSE(CONTROL!$C$42, 29.7634, 29.7634)*CHOOSE(CONTROL!$C$21, $C$9, 100%, $E$9)</f>
        <v>29.763400000000001</v>
      </c>
      <c r="G529" s="14">
        <f>CHOOSE(CONTROL!$C$42, 29.7814, 29.7814)*CHOOSE(CONTROL!$C$21, $C$9, 100%, $E$9)</f>
        <v>29.781400000000001</v>
      </c>
      <c r="H529" s="14">
        <f>CHOOSE(CONTROL!$C$42, 29.8579, 29.8579) * CHOOSE(CONTROL!$C$21, $C$9, 100%, $E$9)</f>
        <v>29.857900000000001</v>
      </c>
      <c r="I529" s="14">
        <f>CHOOSE(CONTROL!$C$42, 29.8551, 29.8551)* CHOOSE(CONTROL!$C$21, $C$9, 100%, $E$9)</f>
        <v>29.8551</v>
      </c>
      <c r="J529" s="14">
        <f>CHOOSE(CONTROL!$C$42, 29.7564, 29.7564)* CHOOSE(CONTROL!$C$21, $C$9, 100%, $E$9)</f>
        <v>29.756399999999999</v>
      </c>
      <c r="K529" s="52">
        <f>CHOOSE(CONTROL!$C$42, 29.8512, 29.8512) * CHOOSE(CONTROL!$C$21, $C$9, 100%, $E$9)</f>
        <v>29.851199999999999</v>
      </c>
      <c r="L529" s="14">
        <f>CHOOSE(CONTROL!$C$42, 30.4449, 30.4449) * CHOOSE(CONTROL!$C$21, $C$9, 100%, $E$9)</f>
        <v>30.444900000000001</v>
      </c>
      <c r="M529" s="14">
        <f>CHOOSE(CONTROL!$C$42, 29.2289, 29.2289) * CHOOSE(CONTROL!$C$21, $C$9, 100%, $E$9)</f>
        <v>29.228899999999999</v>
      </c>
      <c r="N529" s="14">
        <f>CHOOSE(CONTROL!$C$42, 29.2465, 29.2465) * CHOOSE(CONTROL!$C$21, $C$9, 100%, $E$9)</f>
        <v>29.246500000000001</v>
      </c>
      <c r="O529" s="14">
        <f>CHOOSE(CONTROL!$C$42, 29.3286, 29.3286) * CHOOSE(CONTROL!$C$21, $C$9, 100%, $E$9)</f>
        <v>29.328600000000002</v>
      </c>
      <c r="P529" s="14">
        <f>CHOOSE(CONTROL!$C$42, 29.3242, 29.3242) * CHOOSE(CONTROL!$C$21, $C$9, 100%, $E$9)</f>
        <v>29.324200000000001</v>
      </c>
      <c r="Q529" s="14">
        <f>CHOOSE(CONTROL!$C$42, 29.9233, 29.9233) * CHOOSE(CONTROL!$C$21, $C$9, 100%, $E$9)</f>
        <v>29.923300000000001</v>
      </c>
      <c r="R529" s="14">
        <f>CHOOSE(CONTROL!$C$42, 30.5851, 30.5851) * CHOOSE(CONTROL!$C$21, $C$9, 100%, $E$9)</f>
        <v>30.585100000000001</v>
      </c>
      <c r="S529" s="14">
        <f>CHOOSE(CONTROL!$C$42, 28.5649, 28.5649) * CHOOSE(CONTROL!$C$21, $C$9, 100%, $E$9)</f>
        <v>28.564900000000002</v>
      </c>
      <c r="T52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29" s="56">
        <f>(1000*CHOOSE(CONTROL!$C$42, 695, 695)*CHOOSE(CONTROL!$C$42, 0.5599, 0.5599)*CHOOSE(CONTROL!$C$42, 31, 31))/1000000</f>
        <v>12.063045499999998</v>
      </c>
      <c r="V529" s="56">
        <f>(1000*CHOOSE(CONTROL!$C$42, 500, 500)*CHOOSE(CONTROL!$C$42, 0.275, 0.275)*CHOOSE(CONTROL!$C$42, 31, 31))/1000000</f>
        <v>4.2625000000000002</v>
      </c>
      <c r="W529" s="56">
        <f>(1000*CHOOSE(CONTROL!$C$42, 0.1146, 0.1146)*CHOOSE(CONTROL!$C$42, 121.5, 121.5)*CHOOSE(CONTROL!$C$42, 31, 31))/1000000</f>
        <v>0.43164089999999994</v>
      </c>
      <c r="X529" s="56">
        <f>(31*0.1790888*100000/1000000)+(31*0.2374*100000/1000000)</f>
        <v>1.2911152800000001</v>
      </c>
      <c r="Y529" s="56"/>
      <c r="Z529" s="14"/>
      <c r="AA529" s="55"/>
      <c r="AB529" s="49">
        <f>(B529*122.58+C529*297.941+D529*89.177+E529*40.302+F529*40+G529*160+H529*0+I529*100+J529*300)/(122.58+297.941+89.177+40.302+0+40+160+100+300)</f>
        <v>29.77260215547826</v>
      </c>
      <c r="AC529" s="45">
        <f>(M529*'RAP TEMPLATE-GAS AVAILABILITY'!O528+N529*'RAP TEMPLATE-GAS AVAILABILITY'!P528+O529*'RAP TEMPLATE-GAS AVAILABILITY'!Q528+P529*'RAP TEMPLATE-GAS AVAILABILITY'!R528)/('RAP TEMPLATE-GAS AVAILABILITY'!O528+'RAP TEMPLATE-GAS AVAILABILITY'!P528+'RAP TEMPLATE-GAS AVAILABILITY'!Q528+'RAP TEMPLATE-GAS AVAILABILITY'!R528)</f>
        <v>29.288812949640285</v>
      </c>
    </row>
    <row r="530" spans="1:29" ht="15.75" x14ac:dyDescent="0.25">
      <c r="A530" s="32">
        <v>57038</v>
      </c>
      <c r="B530" s="14">
        <f>CHOOSE(CONTROL!$C$42, 30.2653, 30.2653) * CHOOSE(CONTROL!$C$21, $C$9, 100%, $E$9)</f>
        <v>30.2653</v>
      </c>
      <c r="C530" s="14">
        <f>CHOOSE(CONTROL!$C$42, 30.2703, 30.2703) * CHOOSE(CONTROL!$C$21, $C$9, 100%, $E$9)</f>
        <v>30.270299999999999</v>
      </c>
      <c r="D530" s="14">
        <f>CHOOSE(CONTROL!$C$42, 30.3638, 30.3638) * CHOOSE(CONTROL!$C$21, $C$9, 100%, $E$9)</f>
        <v>30.363800000000001</v>
      </c>
      <c r="E530" s="14">
        <f>CHOOSE(CONTROL!$C$42, 30.3979, 30.3979) * CHOOSE(CONTROL!$C$21, $C$9, 100%, $E$9)</f>
        <v>30.3979</v>
      </c>
      <c r="F530" s="14">
        <f>CHOOSE(CONTROL!$C$42, 30.2922, 30.2922)*CHOOSE(CONTROL!$C$21, $C$9, 100%, $E$9)</f>
        <v>30.292200000000001</v>
      </c>
      <c r="G530" s="14">
        <f>CHOOSE(CONTROL!$C$42, 30.3101, 30.3101)*CHOOSE(CONTROL!$C$21, $C$9, 100%, $E$9)</f>
        <v>30.310099999999998</v>
      </c>
      <c r="H530" s="14">
        <f>CHOOSE(CONTROL!$C$42, 30.3871, 30.3871) * CHOOSE(CONTROL!$C$21, $C$9, 100%, $E$9)</f>
        <v>30.3871</v>
      </c>
      <c r="I530" s="14">
        <f>CHOOSE(CONTROL!$C$42, 30.386, 30.386)* CHOOSE(CONTROL!$C$21, $C$9, 100%, $E$9)</f>
        <v>30.385999999999999</v>
      </c>
      <c r="J530" s="14">
        <f>CHOOSE(CONTROL!$C$42, 30.2852, 30.2852)* CHOOSE(CONTROL!$C$21, $C$9, 100%, $E$9)</f>
        <v>30.2852</v>
      </c>
      <c r="K530" s="52">
        <f>CHOOSE(CONTROL!$C$42, 30.3821, 30.3821) * CHOOSE(CONTROL!$C$21, $C$9, 100%, $E$9)</f>
        <v>30.382100000000001</v>
      </c>
      <c r="L530" s="14">
        <f>CHOOSE(CONTROL!$C$42, 30.9741, 30.9741) * CHOOSE(CONTROL!$C$21, $C$9, 100%, $E$9)</f>
        <v>30.9741</v>
      </c>
      <c r="M530" s="14">
        <f>CHOOSE(CONTROL!$C$42, 29.7482, 29.7482) * CHOOSE(CONTROL!$C$21, $C$9, 100%, $E$9)</f>
        <v>29.748200000000001</v>
      </c>
      <c r="N530" s="14">
        <f>CHOOSE(CONTROL!$C$42, 29.7657, 29.7657) * CHOOSE(CONTROL!$C$21, $C$9, 100%, $E$9)</f>
        <v>29.765699999999999</v>
      </c>
      <c r="O530" s="14">
        <f>CHOOSE(CONTROL!$C$42, 29.8482, 29.8482) * CHOOSE(CONTROL!$C$21, $C$9, 100%, $E$9)</f>
        <v>29.848199999999999</v>
      </c>
      <c r="P530" s="14">
        <f>CHOOSE(CONTROL!$C$42, 29.8455, 29.8455) * CHOOSE(CONTROL!$C$21, $C$9, 100%, $E$9)</f>
        <v>29.845500000000001</v>
      </c>
      <c r="Q530" s="14">
        <f>CHOOSE(CONTROL!$C$42, 30.4429, 30.4429) * CHOOSE(CONTROL!$C$21, $C$9, 100%, $E$9)</f>
        <v>30.442900000000002</v>
      </c>
      <c r="R530" s="14">
        <f>CHOOSE(CONTROL!$C$42, 31.1061, 31.1061) * CHOOSE(CONTROL!$C$21, $C$9, 100%, $E$9)</f>
        <v>31.106100000000001</v>
      </c>
      <c r="S530" s="14">
        <f>CHOOSE(CONTROL!$C$42, 29.0734, 29.0734) * CHOOSE(CONTROL!$C$21, $C$9, 100%, $E$9)</f>
        <v>29.073399999999999</v>
      </c>
      <c r="T53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30" s="56">
        <f>(1000*CHOOSE(CONTROL!$C$42, 695, 695)*CHOOSE(CONTROL!$C$42, 0.5599, 0.5599)*CHOOSE(CONTROL!$C$42, 29, 29))/1000000</f>
        <v>11.284784499999999</v>
      </c>
      <c r="V530" s="56">
        <f>(1000*CHOOSE(CONTROL!$C$42, 500, 500)*CHOOSE(CONTROL!$C$42, 0.275, 0.275)*CHOOSE(CONTROL!$C$42, 29, 29))/1000000</f>
        <v>3.9874999999999998</v>
      </c>
      <c r="W530" s="56">
        <f>(1000*CHOOSE(CONTROL!$C$42, 0.1146, 0.1146)*CHOOSE(CONTROL!$C$42, 121.5, 121.5)*CHOOSE(CONTROL!$C$42, 29, 29))/1000000</f>
        <v>0.40379309999999996</v>
      </c>
      <c r="X530" s="56">
        <f>(29*0.1790888*100000/1000000)+(29*0.2374*100000/1000000)</f>
        <v>1.2078175199999999</v>
      </c>
      <c r="Y530" s="56"/>
      <c r="Z530" s="14"/>
      <c r="AA530" s="55"/>
      <c r="AB530" s="49">
        <f>(B530*122.58+C530*297.941+D530*89.177+E530*40.302+F530*40+G530*160+H530*0+I530*100+J530*300)/(122.58+297.941+89.177+40.302+0+40+160+100+300)</f>
        <v>30.301736247565213</v>
      </c>
      <c r="AC530" s="45">
        <f>(M530*'RAP TEMPLATE-GAS AVAILABILITY'!O529+N530*'RAP TEMPLATE-GAS AVAILABILITY'!P529+O530*'RAP TEMPLATE-GAS AVAILABILITY'!Q529+P530*'RAP TEMPLATE-GAS AVAILABILITY'!R529)/('RAP TEMPLATE-GAS AVAILABILITY'!O529+'RAP TEMPLATE-GAS AVAILABILITY'!P529+'RAP TEMPLATE-GAS AVAILABILITY'!Q529+'RAP TEMPLATE-GAS AVAILABILITY'!R529)</f>
        <v>29.808530935251799</v>
      </c>
    </row>
    <row r="531" spans="1:29" ht="15.75" x14ac:dyDescent="0.25">
      <c r="A531" s="32">
        <v>57070</v>
      </c>
      <c r="B531" s="14">
        <f>CHOOSE(CONTROL!$C$42, 29.4063, 29.4063) * CHOOSE(CONTROL!$C$21, $C$9, 100%, $E$9)</f>
        <v>29.406300000000002</v>
      </c>
      <c r="C531" s="14">
        <f>CHOOSE(CONTROL!$C$42, 29.4114, 29.4114) * CHOOSE(CONTROL!$C$21, $C$9, 100%, $E$9)</f>
        <v>29.4114</v>
      </c>
      <c r="D531" s="14">
        <f>CHOOSE(CONTROL!$C$42, 29.5048, 29.5048) * CHOOSE(CONTROL!$C$21, $C$9, 100%, $E$9)</f>
        <v>29.504799999999999</v>
      </c>
      <c r="E531" s="14">
        <f>CHOOSE(CONTROL!$C$42, 29.5389, 29.5389) * CHOOSE(CONTROL!$C$21, $C$9, 100%, $E$9)</f>
        <v>29.538900000000002</v>
      </c>
      <c r="F531" s="14">
        <f>CHOOSE(CONTROL!$C$42, 29.4324, 29.4324)*CHOOSE(CONTROL!$C$21, $C$9, 100%, $E$9)</f>
        <v>29.432400000000001</v>
      </c>
      <c r="G531" s="14">
        <f>CHOOSE(CONTROL!$C$42, 29.45, 29.45)*CHOOSE(CONTROL!$C$21, $C$9, 100%, $E$9)</f>
        <v>29.45</v>
      </c>
      <c r="H531" s="14">
        <f>CHOOSE(CONTROL!$C$42, 29.5281, 29.5281) * CHOOSE(CONTROL!$C$21, $C$9, 100%, $E$9)</f>
        <v>29.528099999999998</v>
      </c>
      <c r="I531" s="14">
        <f>CHOOSE(CONTROL!$C$42, 29.5243, 29.5243)* CHOOSE(CONTROL!$C$21, $C$9, 100%, $E$9)</f>
        <v>29.5243</v>
      </c>
      <c r="J531" s="14">
        <f>CHOOSE(CONTROL!$C$42, 29.4254, 29.4254)* CHOOSE(CONTROL!$C$21, $C$9, 100%, $E$9)</f>
        <v>29.4254</v>
      </c>
      <c r="K531" s="52">
        <f>CHOOSE(CONTROL!$C$42, 29.5204, 29.5204) * CHOOSE(CONTROL!$C$21, $C$9, 100%, $E$9)</f>
        <v>29.520399999999999</v>
      </c>
      <c r="L531" s="14">
        <f>CHOOSE(CONTROL!$C$42, 30.1151, 30.1151) * CHOOSE(CONTROL!$C$21, $C$9, 100%, $E$9)</f>
        <v>30.115100000000002</v>
      </c>
      <c r="M531" s="14">
        <f>CHOOSE(CONTROL!$C$42, 28.9038, 28.9038) * CHOOSE(CONTROL!$C$21, $C$9, 100%, $E$9)</f>
        <v>28.9038</v>
      </c>
      <c r="N531" s="14">
        <f>CHOOSE(CONTROL!$C$42, 28.9211, 28.9211) * CHOOSE(CONTROL!$C$21, $C$9, 100%, $E$9)</f>
        <v>28.921099999999999</v>
      </c>
      <c r="O531" s="14">
        <f>CHOOSE(CONTROL!$C$42, 29.0047, 29.0047) * CHOOSE(CONTROL!$C$21, $C$9, 100%, $E$9)</f>
        <v>29.0047</v>
      </c>
      <c r="P531" s="14">
        <f>CHOOSE(CONTROL!$C$42, 28.9994, 28.9994) * CHOOSE(CONTROL!$C$21, $C$9, 100%, $E$9)</f>
        <v>28.999400000000001</v>
      </c>
      <c r="Q531" s="14">
        <f>CHOOSE(CONTROL!$C$42, 29.5994, 29.5994) * CHOOSE(CONTROL!$C$21, $C$9, 100%, $E$9)</f>
        <v>29.599399999999999</v>
      </c>
      <c r="R531" s="14">
        <f>CHOOSE(CONTROL!$C$42, 30.2604, 30.2604) * CHOOSE(CONTROL!$C$21, $C$9, 100%, $E$9)</f>
        <v>30.260400000000001</v>
      </c>
      <c r="S531" s="14">
        <f>CHOOSE(CONTROL!$C$42, 28.248, 28.248) * CHOOSE(CONTROL!$C$21, $C$9, 100%, $E$9)</f>
        <v>28.248000000000001</v>
      </c>
      <c r="T53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31" s="56">
        <f>(1000*CHOOSE(CONTROL!$C$42, 695, 695)*CHOOSE(CONTROL!$C$42, 0.5599, 0.5599)*CHOOSE(CONTROL!$C$42, 31, 31))/1000000</f>
        <v>12.063045499999998</v>
      </c>
      <c r="V531" s="56">
        <f>(1000*CHOOSE(CONTROL!$C$42, 500, 500)*CHOOSE(CONTROL!$C$42, 0.275, 0.275)*CHOOSE(CONTROL!$C$42, 31, 31))/1000000</f>
        <v>4.2625000000000002</v>
      </c>
      <c r="W531" s="56">
        <f>(1000*CHOOSE(CONTROL!$C$42, 0.1146, 0.1146)*CHOOSE(CONTROL!$C$42, 121.5, 121.5)*CHOOSE(CONTROL!$C$42, 31, 31))/1000000</f>
        <v>0.43164089999999994</v>
      </c>
      <c r="X531" s="56">
        <f>(31*0.1790888*100000/1000000)+(31*0.2374*100000/1000000)</f>
        <v>1.2911152800000001</v>
      </c>
      <c r="Y531" s="56"/>
      <c r="Z531" s="14"/>
      <c r="AA531" s="55"/>
      <c r="AB531" s="49">
        <f>(B531*122.58+C531*297.941+D531*89.177+E531*40.302+F531*40+G531*160+H531*0+I531*100+J531*300)/(122.58+297.941+89.177+40.302+0+40+160+100+300)</f>
        <v>29.442137807652173</v>
      </c>
      <c r="AC531" s="45">
        <f>(M531*'RAP TEMPLATE-GAS AVAILABILITY'!O530+N531*'RAP TEMPLATE-GAS AVAILABILITY'!P530+O531*'RAP TEMPLATE-GAS AVAILABILITY'!Q530+P531*'RAP TEMPLATE-GAS AVAILABILITY'!R530)/('RAP TEMPLATE-GAS AVAILABILITY'!O530+'RAP TEMPLATE-GAS AVAILABILITY'!P530+'RAP TEMPLATE-GAS AVAILABILITY'!Q530+'RAP TEMPLATE-GAS AVAILABILITY'!R530)</f>
        <v>28.964282733812947</v>
      </c>
    </row>
    <row r="532" spans="1:29" ht="15.75" x14ac:dyDescent="0.25">
      <c r="A532" s="32">
        <v>57100</v>
      </c>
      <c r="B532" s="14">
        <f>CHOOSE(CONTROL!$C$42, 29.3193, 29.3193) * CHOOSE(CONTROL!$C$21, $C$9, 100%, $E$9)</f>
        <v>29.319299999999998</v>
      </c>
      <c r="C532" s="14">
        <f>CHOOSE(CONTROL!$C$42, 29.3238, 29.3238) * CHOOSE(CONTROL!$C$21, $C$9, 100%, $E$9)</f>
        <v>29.323799999999999</v>
      </c>
      <c r="D532" s="14">
        <f>CHOOSE(CONTROL!$C$42, 29.586, 29.586) * CHOOSE(CONTROL!$C$21, $C$9, 100%, $E$9)</f>
        <v>29.585999999999999</v>
      </c>
      <c r="E532" s="14">
        <f>CHOOSE(CONTROL!$C$42, 29.6181, 29.6181) * CHOOSE(CONTROL!$C$21, $C$9, 100%, $E$9)</f>
        <v>29.618099999999998</v>
      </c>
      <c r="F532" s="14">
        <f>CHOOSE(CONTROL!$C$42, 29.3421, 29.3421)*CHOOSE(CONTROL!$C$21, $C$9, 100%, $E$9)</f>
        <v>29.342099999999999</v>
      </c>
      <c r="G532" s="14">
        <f>CHOOSE(CONTROL!$C$42, 29.3588, 29.3588)*CHOOSE(CONTROL!$C$21, $C$9, 100%, $E$9)</f>
        <v>29.358799999999999</v>
      </c>
      <c r="H532" s="14">
        <f>CHOOSE(CONTROL!$C$42, 29.6079, 29.6079) * CHOOSE(CONTROL!$C$21, $C$9, 100%, $E$9)</f>
        <v>29.607900000000001</v>
      </c>
      <c r="I532" s="14">
        <f>CHOOSE(CONTROL!$C$42, 29.4336, 29.4336)* CHOOSE(CONTROL!$C$21, $C$9, 100%, $E$9)</f>
        <v>29.433599999999998</v>
      </c>
      <c r="J532" s="14">
        <f>CHOOSE(CONTROL!$C$42, 29.3351, 29.3351)* CHOOSE(CONTROL!$C$21, $C$9, 100%, $E$9)</f>
        <v>29.335100000000001</v>
      </c>
      <c r="K532" s="52">
        <f>CHOOSE(CONTROL!$C$42, 29.4297, 29.4297) * CHOOSE(CONTROL!$C$21, $C$9, 100%, $E$9)</f>
        <v>29.4297</v>
      </c>
      <c r="L532" s="14">
        <f>CHOOSE(CONTROL!$C$42, 30.1949, 30.1949) * CHOOSE(CONTROL!$C$21, $C$9, 100%, $E$9)</f>
        <v>30.194900000000001</v>
      </c>
      <c r="M532" s="14">
        <f>CHOOSE(CONTROL!$C$42, 28.8152, 28.8152) * CHOOSE(CONTROL!$C$21, $C$9, 100%, $E$9)</f>
        <v>28.815200000000001</v>
      </c>
      <c r="N532" s="14">
        <f>CHOOSE(CONTROL!$C$42, 28.8316, 28.8316) * CHOOSE(CONTROL!$C$21, $C$9, 100%, $E$9)</f>
        <v>28.831600000000002</v>
      </c>
      <c r="O532" s="14">
        <f>CHOOSE(CONTROL!$C$42, 29.083, 29.083) * CHOOSE(CONTROL!$C$21, $C$9, 100%, $E$9)</f>
        <v>29.082999999999998</v>
      </c>
      <c r="P532" s="14">
        <f>CHOOSE(CONTROL!$C$42, 28.9103, 28.9103) * CHOOSE(CONTROL!$C$21, $C$9, 100%, $E$9)</f>
        <v>28.910299999999999</v>
      </c>
      <c r="Q532" s="14">
        <f>CHOOSE(CONTROL!$C$42, 29.6777, 29.6777) * CHOOSE(CONTROL!$C$21, $C$9, 100%, $E$9)</f>
        <v>29.677700000000002</v>
      </c>
      <c r="R532" s="14">
        <f>CHOOSE(CONTROL!$C$42, 30.3389, 30.3389) * CHOOSE(CONTROL!$C$21, $C$9, 100%, $E$9)</f>
        <v>30.338899999999999</v>
      </c>
      <c r="S532" s="14">
        <f>CHOOSE(CONTROL!$C$42, 28.1636, 28.1636) * CHOOSE(CONTROL!$C$21, $C$9, 100%, $E$9)</f>
        <v>28.163599999999999</v>
      </c>
      <c r="T53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32" s="56">
        <f>(1000*CHOOSE(CONTROL!$C$42, 695, 695)*CHOOSE(CONTROL!$C$42, 0.5599, 0.5599)*CHOOSE(CONTROL!$C$42, 30, 30))/1000000</f>
        <v>11.673914999999997</v>
      </c>
      <c r="V532" s="56">
        <f>(1000*CHOOSE(CONTROL!$C$42, 500, 500)*CHOOSE(CONTROL!$C$42, 0.275, 0.275)*CHOOSE(CONTROL!$C$42, 30, 30))/1000000</f>
        <v>4.125</v>
      </c>
      <c r="W532" s="56">
        <f>(1000*CHOOSE(CONTROL!$C$42, 0.1146, 0.1146)*CHOOSE(CONTROL!$C$42, 121.5, 121.5)*CHOOSE(CONTROL!$C$42, 30, 30))/1000000</f>
        <v>0.417717</v>
      </c>
      <c r="X532" s="56">
        <f>(30*0.1790888*245000/1000000)+(30*0.2374*100000/1000000)</f>
        <v>2.0285026799999999</v>
      </c>
      <c r="Y532" s="56"/>
      <c r="Z532" s="14"/>
      <c r="AA532" s="55"/>
      <c r="AB532" s="49">
        <f>(B532*141.293+C532*267.993+D532*115.016+E532*89.698+F532*40+G532*185+H532*0+I532*100+J532*300)/(141.293+267.993+115.016+89.698+0+40+185+100+300)</f>
        <v>29.386347617514129</v>
      </c>
      <c r="AC532" s="45">
        <f>(M532*'RAP TEMPLATE-GAS AVAILABILITY'!O531+N532*'RAP TEMPLATE-GAS AVAILABILITY'!P531+O532*'RAP TEMPLATE-GAS AVAILABILITY'!Q531+P532*'RAP TEMPLATE-GAS AVAILABILITY'!R531)/('RAP TEMPLATE-GAS AVAILABILITY'!O531+'RAP TEMPLATE-GAS AVAILABILITY'!P531+'RAP TEMPLATE-GAS AVAILABILITY'!Q531+'RAP TEMPLATE-GAS AVAILABILITY'!R531)</f>
        <v>28.90779712230216</v>
      </c>
    </row>
    <row r="533" spans="1:29" ht="15.75" x14ac:dyDescent="0.25">
      <c r="A533" s="32">
        <v>57131</v>
      </c>
      <c r="B533" s="14">
        <f>CHOOSE(CONTROL!$C$42, 29.5794, 29.5794) * CHOOSE(CONTROL!$C$21, $C$9, 100%, $E$9)</f>
        <v>29.5794</v>
      </c>
      <c r="C533" s="14">
        <f>CHOOSE(CONTROL!$C$42, 29.5874, 29.5874) * CHOOSE(CONTROL!$C$21, $C$9, 100%, $E$9)</f>
        <v>29.587399999999999</v>
      </c>
      <c r="D533" s="14">
        <f>CHOOSE(CONTROL!$C$42, 29.8465, 29.8465) * CHOOSE(CONTROL!$C$21, $C$9, 100%, $E$9)</f>
        <v>29.846499999999999</v>
      </c>
      <c r="E533" s="14">
        <f>CHOOSE(CONTROL!$C$42, 29.8779, 29.8779) * CHOOSE(CONTROL!$C$21, $C$9, 100%, $E$9)</f>
        <v>29.8779</v>
      </c>
      <c r="F533" s="14">
        <f>CHOOSE(CONTROL!$C$42, 29.6009, 29.6009)*CHOOSE(CONTROL!$C$21, $C$9, 100%, $E$9)</f>
        <v>29.600899999999999</v>
      </c>
      <c r="G533" s="14">
        <f>CHOOSE(CONTROL!$C$42, 29.6179, 29.6179)*CHOOSE(CONTROL!$C$21, $C$9, 100%, $E$9)</f>
        <v>29.617899999999999</v>
      </c>
      <c r="H533" s="14">
        <f>CHOOSE(CONTROL!$C$42, 29.8666, 29.8666) * CHOOSE(CONTROL!$C$21, $C$9, 100%, $E$9)</f>
        <v>29.866599999999998</v>
      </c>
      <c r="I533" s="14">
        <f>CHOOSE(CONTROL!$C$42, 29.6931, 29.6931)* CHOOSE(CONTROL!$C$21, $C$9, 100%, $E$9)</f>
        <v>29.693100000000001</v>
      </c>
      <c r="J533" s="14">
        <f>CHOOSE(CONTROL!$C$42, 29.5939, 29.5939)* CHOOSE(CONTROL!$C$21, $C$9, 100%, $E$9)</f>
        <v>29.593900000000001</v>
      </c>
      <c r="K533" s="52">
        <f>CHOOSE(CONTROL!$C$42, 29.6892, 29.6892) * CHOOSE(CONTROL!$C$21, $C$9, 100%, $E$9)</f>
        <v>29.6892</v>
      </c>
      <c r="L533" s="14">
        <f>CHOOSE(CONTROL!$C$42, 30.4536, 30.4536) * CHOOSE(CONTROL!$C$21, $C$9, 100%, $E$9)</f>
        <v>30.453600000000002</v>
      </c>
      <c r="M533" s="14">
        <f>CHOOSE(CONTROL!$C$42, 29.0693, 29.0693) * CHOOSE(CONTROL!$C$21, $C$9, 100%, $E$9)</f>
        <v>29.069299999999998</v>
      </c>
      <c r="N533" s="14">
        <f>CHOOSE(CONTROL!$C$42, 29.086, 29.086) * CHOOSE(CONTROL!$C$21, $C$9, 100%, $E$9)</f>
        <v>29.085999999999999</v>
      </c>
      <c r="O533" s="14">
        <f>CHOOSE(CONTROL!$C$42, 29.3371, 29.3371) * CHOOSE(CONTROL!$C$21, $C$9, 100%, $E$9)</f>
        <v>29.3371</v>
      </c>
      <c r="P533" s="14">
        <f>CHOOSE(CONTROL!$C$42, 29.1651, 29.1651) * CHOOSE(CONTROL!$C$21, $C$9, 100%, $E$9)</f>
        <v>29.165099999999999</v>
      </c>
      <c r="Q533" s="14">
        <f>CHOOSE(CONTROL!$C$42, 29.9318, 29.9318) * CHOOSE(CONTROL!$C$21, $C$9, 100%, $E$9)</f>
        <v>29.931799999999999</v>
      </c>
      <c r="R533" s="14">
        <f>CHOOSE(CONTROL!$C$42, 30.5936, 30.5936) * CHOOSE(CONTROL!$C$21, $C$9, 100%, $E$9)</f>
        <v>30.593599999999999</v>
      </c>
      <c r="S533" s="14">
        <f>CHOOSE(CONTROL!$C$42, 28.4122, 28.4122) * CHOOSE(CONTROL!$C$21, $C$9, 100%, $E$9)</f>
        <v>28.412199999999999</v>
      </c>
      <c r="T53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33" s="56">
        <f>(1000*CHOOSE(CONTROL!$C$42, 695, 695)*CHOOSE(CONTROL!$C$42, 0.5599, 0.5599)*CHOOSE(CONTROL!$C$42, 31, 31))/1000000</f>
        <v>12.063045499999998</v>
      </c>
      <c r="V533" s="56">
        <f>(1000*CHOOSE(CONTROL!$C$42, 500, 500)*CHOOSE(CONTROL!$C$42, 0.275, 0.275)*CHOOSE(CONTROL!$C$42, 31, 31))/1000000</f>
        <v>4.2625000000000002</v>
      </c>
      <c r="W533" s="56">
        <f>(1000*CHOOSE(CONTROL!$C$42, 0.1146, 0.1146)*CHOOSE(CONTROL!$C$42, 121.5, 121.5)*CHOOSE(CONTROL!$C$42, 31, 31))/1000000</f>
        <v>0.43164089999999994</v>
      </c>
      <c r="X533" s="56">
        <f>(31*0.1790888*245000/1000000)+(31*0.2374*100000/1000000)</f>
        <v>2.0961194359999999</v>
      </c>
      <c r="Y533" s="56"/>
      <c r="Z533" s="14"/>
      <c r="AA533" s="55"/>
      <c r="AB533" s="49">
        <f>(B533*194.205+C533*267.466+D533*133.845+E533*53.484+F533*40+G533*185+H533*0+I533*100+J533*300)/(194.205+267.466+133.845+53.484+0+40+185+100+300)</f>
        <v>29.640276924254316</v>
      </c>
      <c r="AC533" s="45">
        <f>(M533*'RAP TEMPLATE-GAS AVAILABILITY'!O532+N533*'RAP TEMPLATE-GAS AVAILABILITY'!P532+O533*'RAP TEMPLATE-GAS AVAILABILITY'!Q532+P533*'RAP TEMPLATE-GAS AVAILABILITY'!R532)/('RAP TEMPLATE-GAS AVAILABILITY'!O532+'RAP TEMPLATE-GAS AVAILABILITY'!P532+'RAP TEMPLATE-GAS AVAILABILITY'!Q532+'RAP TEMPLATE-GAS AVAILABILITY'!R532)</f>
        <v>29.162066906474816</v>
      </c>
    </row>
    <row r="534" spans="1:29" ht="15.75" x14ac:dyDescent="0.25">
      <c r="A534" s="32">
        <v>57161</v>
      </c>
      <c r="B534" s="14">
        <f>CHOOSE(CONTROL!$C$42, 30.4181, 30.4181) * CHOOSE(CONTROL!$C$21, $C$9, 100%, $E$9)</f>
        <v>30.418099999999999</v>
      </c>
      <c r="C534" s="14">
        <f>CHOOSE(CONTROL!$C$42, 30.4261, 30.4261) * CHOOSE(CONTROL!$C$21, $C$9, 100%, $E$9)</f>
        <v>30.426100000000002</v>
      </c>
      <c r="D534" s="14">
        <f>CHOOSE(CONTROL!$C$42, 30.6852, 30.6852) * CHOOSE(CONTROL!$C$21, $C$9, 100%, $E$9)</f>
        <v>30.685199999999998</v>
      </c>
      <c r="E534" s="14">
        <f>CHOOSE(CONTROL!$C$42, 30.7167, 30.7167) * CHOOSE(CONTROL!$C$21, $C$9, 100%, $E$9)</f>
        <v>30.716699999999999</v>
      </c>
      <c r="F534" s="14">
        <f>CHOOSE(CONTROL!$C$42, 30.4399, 30.4399)*CHOOSE(CONTROL!$C$21, $C$9, 100%, $E$9)</f>
        <v>30.439900000000002</v>
      </c>
      <c r="G534" s="14">
        <f>CHOOSE(CONTROL!$C$42, 30.4569, 30.4569)*CHOOSE(CONTROL!$C$21, $C$9, 100%, $E$9)</f>
        <v>30.456900000000001</v>
      </c>
      <c r="H534" s="14">
        <f>CHOOSE(CONTROL!$C$42, 30.7053, 30.7053) * CHOOSE(CONTROL!$C$21, $C$9, 100%, $E$9)</f>
        <v>30.705300000000001</v>
      </c>
      <c r="I534" s="14">
        <f>CHOOSE(CONTROL!$C$42, 30.5345, 30.5345)* CHOOSE(CONTROL!$C$21, $C$9, 100%, $E$9)</f>
        <v>30.534500000000001</v>
      </c>
      <c r="J534" s="14">
        <f>CHOOSE(CONTROL!$C$42, 30.4329, 30.4329)* CHOOSE(CONTROL!$C$21, $C$9, 100%, $E$9)</f>
        <v>30.4329</v>
      </c>
      <c r="K534" s="52">
        <f>CHOOSE(CONTROL!$C$42, 30.5306, 30.5306) * CHOOSE(CONTROL!$C$21, $C$9, 100%, $E$9)</f>
        <v>30.5306</v>
      </c>
      <c r="L534" s="14">
        <f>CHOOSE(CONTROL!$C$42, 31.2923, 31.2923) * CHOOSE(CONTROL!$C$21, $C$9, 100%, $E$9)</f>
        <v>31.292300000000001</v>
      </c>
      <c r="M534" s="14">
        <f>CHOOSE(CONTROL!$C$42, 29.8932, 29.8932) * CHOOSE(CONTROL!$C$21, $C$9, 100%, $E$9)</f>
        <v>29.8932</v>
      </c>
      <c r="N534" s="14">
        <f>CHOOSE(CONTROL!$C$42, 29.9099, 29.9099) * CHOOSE(CONTROL!$C$21, $C$9, 100%, $E$9)</f>
        <v>29.9099</v>
      </c>
      <c r="O534" s="14">
        <f>CHOOSE(CONTROL!$C$42, 30.1607, 30.1607) * CHOOSE(CONTROL!$C$21, $C$9, 100%, $E$9)</f>
        <v>30.160699999999999</v>
      </c>
      <c r="P534" s="14">
        <f>CHOOSE(CONTROL!$C$42, 29.9913, 29.9913) * CHOOSE(CONTROL!$C$21, $C$9, 100%, $E$9)</f>
        <v>29.991299999999999</v>
      </c>
      <c r="Q534" s="14">
        <f>CHOOSE(CONTROL!$C$42, 30.7554, 30.7554) * CHOOSE(CONTROL!$C$21, $C$9, 100%, $E$9)</f>
        <v>30.755400000000002</v>
      </c>
      <c r="R534" s="14">
        <f>CHOOSE(CONTROL!$C$42, 31.4193, 31.4193) * CHOOSE(CONTROL!$C$21, $C$9, 100%, $E$9)</f>
        <v>31.4193</v>
      </c>
      <c r="S534" s="14">
        <f>CHOOSE(CONTROL!$C$42, 29.2181, 29.2181) * CHOOSE(CONTROL!$C$21, $C$9, 100%, $E$9)</f>
        <v>29.2181</v>
      </c>
      <c r="T53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34" s="56">
        <f>(1000*CHOOSE(CONTROL!$C$42, 695, 695)*CHOOSE(CONTROL!$C$42, 0.5599, 0.5599)*CHOOSE(CONTROL!$C$42, 30, 30))/1000000</f>
        <v>11.673914999999997</v>
      </c>
      <c r="V534" s="56">
        <f>(1000*CHOOSE(CONTROL!$C$42, 500, 500)*CHOOSE(CONTROL!$C$42, 0.275, 0.275)*CHOOSE(CONTROL!$C$42, 30, 30))/1000000</f>
        <v>4.125</v>
      </c>
      <c r="W534" s="56">
        <f>(1000*CHOOSE(CONTROL!$C$42, 0.1146, 0.1146)*CHOOSE(CONTROL!$C$42, 121.5, 121.5)*CHOOSE(CONTROL!$C$42, 30, 30))/1000000</f>
        <v>0.417717</v>
      </c>
      <c r="X534" s="56">
        <f>(30*0.1790888*245000/1000000)+(30*0.2374*100000/1000000)</f>
        <v>2.0285026799999999</v>
      </c>
      <c r="Y534" s="56"/>
      <c r="Z534" s="14"/>
      <c r="AA534" s="55"/>
      <c r="AB534" s="49">
        <f>(B534*194.205+C534*267.466+D534*133.845+E534*53.484+F534*40+G534*185+H534*0+I534*100+J534*300)/(194.205+267.466+133.845+53.484+0+40+185+100+300)</f>
        <v>30.479316679670333</v>
      </c>
      <c r="AC534" s="45">
        <f>(M534*'RAP TEMPLATE-GAS AVAILABILITY'!O533+N534*'RAP TEMPLATE-GAS AVAILABILITY'!P533+O534*'RAP TEMPLATE-GAS AVAILABILITY'!Q533+P534*'RAP TEMPLATE-GAS AVAILABILITY'!R533)/('RAP TEMPLATE-GAS AVAILABILITY'!O533+'RAP TEMPLATE-GAS AVAILABILITY'!P533+'RAP TEMPLATE-GAS AVAILABILITY'!Q533+'RAP TEMPLATE-GAS AVAILABILITY'!R533)</f>
        <v>29.986213669064753</v>
      </c>
    </row>
    <row r="535" spans="1:29" ht="15.75" x14ac:dyDescent="0.25">
      <c r="A535" s="32">
        <v>57192</v>
      </c>
      <c r="B535" s="14">
        <f>CHOOSE(CONTROL!$C$42, 29.8348, 29.8348) * CHOOSE(CONTROL!$C$21, $C$9, 100%, $E$9)</f>
        <v>29.834800000000001</v>
      </c>
      <c r="C535" s="14">
        <f>CHOOSE(CONTROL!$C$42, 29.8428, 29.8428) * CHOOSE(CONTROL!$C$21, $C$9, 100%, $E$9)</f>
        <v>29.8428</v>
      </c>
      <c r="D535" s="14">
        <f>CHOOSE(CONTROL!$C$42, 30.1019, 30.1019) * CHOOSE(CONTROL!$C$21, $C$9, 100%, $E$9)</f>
        <v>30.101900000000001</v>
      </c>
      <c r="E535" s="14">
        <f>CHOOSE(CONTROL!$C$42, 30.1333, 30.1333) * CHOOSE(CONTROL!$C$21, $C$9, 100%, $E$9)</f>
        <v>30.133299999999998</v>
      </c>
      <c r="F535" s="14">
        <f>CHOOSE(CONTROL!$C$42, 29.857, 29.857)*CHOOSE(CONTROL!$C$21, $C$9, 100%, $E$9)</f>
        <v>29.856999999999999</v>
      </c>
      <c r="G535" s="14">
        <f>CHOOSE(CONTROL!$C$42, 29.8741, 29.8741)*CHOOSE(CONTROL!$C$21, $C$9, 100%, $E$9)</f>
        <v>29.874099999999999</v>
      </c>
      <c r="H535" s="14">
        <f>CHOOSE(CONTROL!$C$42, 30.122, 30.122) * CHOOSE(CONTROL!$C$21, $C$9, 100%, $E$9)</f>
        <v>30.122</v>
      </c>
      <c r="I535" s="14">
        <f>CHOOSE(CONTROL!$C$42, 29.9493, 29.9493)* CHOOSE(CONTROL!$C$21, $C$9, 100%, $E$9)</f>
        <v>29.949300000000001</v>
      </c>
      <c r="J535" s="14">
        <f>CHOOSE(CONTROL!$C$42, 29.85, 29.85)* CHOOSE(CONTROL!$C$21, $C$9, 100%, $E$9)</f>
        <v>29.85</v>
      </c>
      <c r="K535" s="52">
        <f>CHOOSE(CONTROL!$C$42, 29.9454, 29.9454) * CHOOSE(CONTROL!$C$21, $C$9, 100%, $E$9)</f>
        <v>29.945399999999999</v>
      </c>
      <c r="L535" s="14">
        <f>CHOOSE(CONTROL!$C$42, 30.709, 30.709) * CHOOSE(CONTROL!$C$21, $C$9, 100%, $E$9)</f>
        <v>30.709</v>
      </c>
      <c r="M535" s="14">
        <f>CHOOSE(CONTROL!$C$42, 29.3208, 29.3208) * CHOOSE(CONTROL!$C$21, $C$9, 100%, $E$9)</f>
        <v>29.320799999999998</v>
      </c>
      <c r="N535" s="14">
        <f>CHOOSE(CONTROL!$C$42, 29.3376, 29.3376) * CHOOSE(CONTROL!$C$21, $C$9, 100%, $E$9)</f>
        <v>29.337599999999998</v>
      </c>
      <c r="O535" s="14">
        <f>CHOOSE(CONTROL!$C$42, 29.5879, 29.5879) * CHOOSE(CONTROL!$C$21, $C$9, 100%, $E$9)</f>
        <v>29.587900000000001</v>
      </c>
      <c r="P535" s="14">
        <f>CHOOSE(CONTROL!$C$42, 29.4167, 29.4167) * CHOOSE(CONTROL!$C$21, $C$9, 100%, $E$9)</f>
        <v>29.416699999999999</v>
      </c>
      <c r="Q535" s="14">
        <f>CHOOSE(CONTROL!$C$42, 30.1826, 30.1826) * CHOOSE(CONTROL!$C$21, $C$9, 100%, $E$9)</f>
        <v>30.182600000000001</v>
      </c>
      <c r="R535" s="14">
        <f>CHOOSE(CONTROL!$C$42, 30.845, 30.845) * CHOOSE(CONTROL!$C$21, $C$9, 100%, $E$9)</f>
        <v>30.844999999999999</v>
      </c>
      <c r="S535" s="14">
        <f>CHOOSE(CONTROL!$C$42, 28.6576, 28.6576) * CHOOSE(CONTROL!$C$21, $C$9, 100%, $E$9)</f>
        <v>28.657599999999999</v>
      </c>
      <c r="T53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35" s="56">
        <f>(1000*CHOOSE(CONTROL!$C$42, 695, 695)*CHOOSE(CONTROL!$C$42, 0.5599, 0.5599)*CHOOSE(CONTROL!$C$42, 31, 31))/1000000</f>
        <v>12.063045499999998</v>
      </c>
      <c r="V535" s="56">
        <f>(1000*CHOOSE(CONTROL!$C$42, 500, 500)*CHOOSE(CONTROL!$C$42, 0.275, 0.275)*CHOOSE(CONTROL!$C$42, 31, 31))/1000000</f>
        <v>4.2625000000000002</v>
      </c>
      <c r="W535" s="56">
        <f>(1000*CHOOSE(CONTROL!$C$42, 0.1146, 0.1146)*CHOOSE(CONTROL!$C$42, 121.5, 121.5)*CHOOSE(CONTROL!$C$42, 31, 31))/1000000</f>
        <v>0.43164089999999994</v>
      </c>
      <c r="X535" s="56">
        <f>(31*0.1790888*245000/1000000)+(31*0.2374*100000/1000000)</f>
        <v>2.0961194359999999</v>
      </c>
      <c r="Y535" s="56"/>
      <c r="Z535" s="14"/>
      <c r="AA535" s="55"/>
      <c r="AB535" s="49">
        <f>(B535*194.205+C535*267.466+D535*133.845+E535*53.484+F535*40+G535*185+H535*0+I535*100+J535*300)/(194.205+267.466+133.845+53.484+0+40+185+100+300)</f>
        <v>29.89604270133438</v>
      </c>
      <c r="AC535" s="45">
        <f>(M535*'RAP TEMPLATE-GAS AVAILABILITY'!O534+N535*'RAP TEMPLATE-GAS AVAILABILITY'!P534+O535*'RAP TEMPLATE-GAS AVAILABILITY'!Q534+P535*'RAP TEMPLATE-GAS AVAILABILITY'!R534)/('RAP TEMPLATE-GAS AVAILABILITY'!O534+'RAP TEMPLATE-GAS AVAILABILITY'!P534+'RAP TEMPLATE-GAS AVAILABILITY'!Q534+'RAP TEMPLATE-GAS AVAILABILITY'!R534)</f>
        <v>29.413407913669065</v>
      </c>
    </row>
    <row r="536" spans="1:29" ht="15.75" x14ac:dyDescent="0.25">
      <c r="A536" s="32">
        <v>57223</v>
      </c>
      <c r="B536" s="14">
        <f>CHOOSE(CONTROL!$C$42, 28.3616, 28.3616) * CHOOSE(CONTROL!$C$21, $C$9, 100%, $E$9)</f>
        <v>28.361599999999999</v>
      </c>
      <c r="C536" s="14">
        <f>CHOOSE(CONTROL!$C$42, 28.3697, 28.3697) * CHOOSE(CONTROL!$C$21, $C$9, 100%, $E$9)</f>
        <v>28.369700000000002</v>
      </c>
      <c r="D536" s="14">
        <f>CHOOSE(CONTROL!$C$42, 28.6288, 28.6288) * CHOOSE(CONTROL!$C$21, $C$9, 100%, $E$9)</f>
        <v>28.628799999999998</v>
      </c>
      <c r="E536" s="14">
        <f>CHOOSE(CONTROL!$C$42, 28.6602, 28.6602) * CHOOSE(CONTROL!$C$21, $C$9, 100%, $E$9)</f>
        <v>28.6602</v>
      </c>
      <c r="F536" s="14">
        <f>CHOOSE(CONTROL!$C$42, 28.3841, 28.3841)*CHOOSE(CONTROL!$C$21, $C$9, 100%, $E$9)</f>
        <v>28.3841</v>
      </c>
      <c r="G536" s="14">
        <f>CHOOSE(CONTROL!$C$42, 28.4013, 28.4013)*CHOOSE(CONTROL!$C$21, $C$9, 100%, $E$9)</f>
        <v>28.401299999999999</v>
      </c>
      <c r="H536" s="14">
        <f>CHOOSE(CONTROL!$C$42, 28.6489, 28.6489) * CHOOSE(CONTROL!$C$21, $C$9, 100%, $E$9)</f>
        <v>28.648900000000001</v>
      </c>
      <c r="I536" s="14">
        <f>CHOOSE(CONTROL!$C$42, 28.4716, 28.4716)* CHOOSE(CONTROL!$C$21, $C$9, 100%, $E$9)</f>
        <v>28.471599999999999</v>
      </c>
      <c r="J536" s="14">
        <f>CHOOSE(CONTROL!$C$42, 28.3771, 28.3771)* CHOOSE(CONTROL!$C$21, $C$9, 100%, $E$9)</f>
        <v>28.377099999999999</v>
      </c>
      <c r="K536" s="52">
        <f>CHOOSE(CONTROL!$C$42, 28.4677, 28.4677) * CHOOSE(CONTROL!$C$21, $C$9, 100%, $E$9)</f>
        <v>28.467700000000001</v>
      </c>
      <c r="L536" s="14">
        <f>CHOOSE(CONTROL!$C$42, 29.2359, 29.2359) * CHOOSE(CONTROL!$C$21, $C$9, 100%, $E$9)</f>
        <v>29.235900000000001</v>
      </c>
      <c r="M536" s="14">
        <f>CHOOSE(CONTROL!$C$42, 27.8743, 27.8743) * CHOOSE(CONTROL!$C$21, $C$9, 100%, $E$9)</f>
        <v>27.874300000000002</v>
      </c>
      <c r="N536" s="14">
        <f>CHOOSE(CONTROL!$C$42, 27.8912, 27.8912) * CHOOSE(CONTROL!$C$21, $C$9, 100%, $E$9)</f>
        <v>27.891200000000001</v>
      </c>
      <c r="O536" s="14">
        <f>CHOOSE(CONTROL!$C$42, 28.1413, 28.1413) * CHOOSE(CONTROL!$C$21, $C$9, 100%, $E$9)</f>
        <v>28.141300000000001</v>
      </c>
      <c r="P536" s="14">
        <f>CHOOSE(CONTROL!$C$42, 27.9656, 27.9656) * CHOOSE(CONTROL!$C$21, $C$9, 100%, $E$9)</f>
        <v>27.965599999999998</v>
      </c>
      <c r="Q536" s="14">
        <f>CHOOSE(CONTROL!$C$42, 28.736, 28.736) * CHOOSE(CONTROL!$C$21, $C$9, 100%, $E$9)</f>
        <v>28.736000000000001</v>
      </c>
      <c r="R536" s="14">
        <f>CHOOSE(CONTROL!$C$42, 29.3948, 29.3948) * CHOOSE(CONTROL!$C$21, $C$9, 100%, $E$9)</f>
        <v>29.3948</v>
      </c>
      <c r="S536" s="14">
        <f>CHOOSE(CONTROL!$C$42, 27.2421, 27.2421) * CHOOSE(CONTROL!$C$21, $C$9, 100%, $E$9)</f>
        <v>27.242100000000001</v>
      </c>
      <c r="T53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36" s="56">
        <f>(1000*CHOOSE(CONTROL!$C$42, 695, 695)*CHOOSE(CONTROL!$C$42, 0.5599, 0.5599)*CHOOSE(CONTROL!$C$42, 31, 31))/1000000</f>
        <v>12.063045499999998</v>
      </c>
      <c r="V536" s="56">
        <f>(1000*CHOOSE(CONTROL!$C$42, 500, 500)*CHOOSE(CONTROL!$C$42, 0.275, 0.275)*CHOOSE(CONTROL!$C$42, 31, 31))/1000000</f>
        <v>4.2625000000000002</v>
      </c>
      <c r="W536" s="56">
        <f>(1000*CHOOSE(CONTROL!$C$42, 0.1146, 0.1146)*CHOOSE(CONTROL!$C$42, 121.5, 121.5)*CHOOSE(CONTROL!$C$42, 31, 31))/1000000</f>
        <v>0.43164089999999994</v>
      </c>
      <c r="X536" s="56">
        <f>(31*0.1790888*245000/1000000)+(31*0.2374*100000/1000000)</f>
        <v>2.0961194359999999</v>
      </c>
      <c r="Y536" s="56"/>
      <c r="Z536" s="14"/>
      <c r="AA536" s="55"/>
      <c r="AB536" s="49">
        <f>(B536*194.205+C536*267.466+D536*133.845+E536*53.484+F536*40+G536*185+H536*0+I536*100+J536*300)/(194.205+267.466+133.845+53.484+0+40+185+100+300)</f>
        <v>28.422663328885399</v>
      </c>
      <c r="AC536" s="45">
        <f>(M536*'RAP TEMPLATE-GAS AVAILABILITY'!O535+N536*'RAP TEMPLATE-GAS AVAILABILITY'!P535+O536*'RAP TEMPLATE-GAS AVAILABILITY'!Q535+P536*'RAP TEMPLATE-GAS AVAILABILITY'!R535)/('RAP TEMPLATE-GAS AVAILABILITY'!O535+'RAP TEMPLATE-GAS AVAILABILITY'!P535+'RAP TEMPLATE-GAS AVAILABILITY'!Q535+'RAP TEMPLATE-GAS AVAILABILITY'!R535)</f>
        <v>27.966241007194249</v>
      </c>
    </row>
    <row r="537" spans="1:29" ht="15.75" x14ac:dyDescent="0.25">
      <c r="A537" s="32">
        <v>57253</v>
      </c>
      <c r="B537" s="14">
        <f>CHOOSE(CONTROL!$C$42, 26.5616, 26.5616) * CHOOSE(CONTROL!$C$21, $C$9, 100%, $E$9)</f>
        <v>26.561599999999999</v>
      </c>
      <c r="C537" s="14">
        <f>CHOOSE(CONTROL!$C$42, 26.5696, 26.5696) * CHOOSE(CONTROL!$C$21, $C$9, 100%, $E$9)</f>
        <v>26.569600000000001</v>
      </c>
      <c r="D537" s="14">
        <f>CHOOSE(CONTROL!$C$42, 26.8287, 26.8287) * CHOOSE(CONTROL!$C$21, $C$9, 100%, $E$9)</f>
        <v>26.828700000000001</v>
      </c>
      <c r="E537" s="14">
        <f>CHOOSE(CONTROL!$C$42, 26.8601, 26.8601) * CHOOSE(CONTROL!$C$21, $C$9, 100%, $E$9)</f>
        <v>26.860099999999999</v>
      </c>
      <c r="F537" s="14">
        <f>CHOOSE(CONTROL!$C$42, 26.584, 26.584)*CHOOSE(CONTROL!$C$21, $C$9, 100%, $E$9)</f>
        <v>26.584</v>
      </c>
      <c r="G537" s="14">
        <f>CHOOSE(CONTROL!$C$42, 26.6013, 26.6013)*CHOOSE(CONTROL!$C$21, $C$9, 100%, $E$9)</f>
        <v>26.601299999999998</v>
      </c>
      <c r="H537" s="14">
        <f>CHOOSE(CONTROL!$C$42, 26.8488, 26.8488) * CHOOSE(CONTROL!$C$21, $C$9, 100%, $E$9)</f>
        <v>26.848800000000001</v>
      </c>
      <c r="I537" s="14">
        <f>CHOOSE(CONTROL!$C$42, 26.6658, 26.6658)* CHOOSE(CONTROL!$C$21, $C$9, 100%, $E$9)</f>
        <v>26.665800000000001</v>
      </c>
      <c r="J537" s="14">
        <f>CHOOSE(CONTROL!$C$42, 26.577, 26.577)* CHOOSE(CONTROL!$C$21, $C$9, 100%, $E$9)</f>
        <v>26.577000000000002</v>
      </c>
      <c r="K537" s="52">
        <f>CHOOSE(CONTROL!$C$42, 26.662, 26.662) * CHOOSE(CONTROL!$C$21, $C$9, 100%, $E$9)</f>
        <v>26.661999999999999</v>
      </c>
      <c r="L537" s="14">
        <f>CHOOSE(CONTROL!$C$42, 27.4358, 27.4358) * CHOOSE(CONTROL!$C$21, $C$9, 100%, $E$9)</f>
        <v>27.4358</v>
      </c>
      <c r="M537" s="14">
        <f>CHOOSE(CONTROL!$C$42, 26.1067, 26.1067) * CHOOSE(CONTROL!$C$21, $C$9, 100%, $E$9)</f>
        <v>26.1067</v>
      </c>
      <c r="N537" s="14">
        <f>CHOOSE(CONTROL!$C$42, 26.1236, 26.1236) * CHOOSE(CONTROL!$C$21, $C$9, 100%, $E$9)</f>
        <v>26.1236</v>
      </c>
      <c r="O537" s="14">
        <f>CHOOSE(CONTROL!$C$42, 26.3735, 26.3735) * CHOOSE(CONTROL!$C$21, $C$9, 100%, $E$9)</f>
        <v>26.3735</v>
      </c>
      <c r="P537" s="14">
        <f>CHOOSE(CONTROL!$C$42, 26.1925, 26.1925) * CHOOSE(CONTROL!$C$21, $C$9, 100%, $E$9)</f>
        <v>26.192499999999999</v>
      </c>
      <c r="Q537" s="14">
        <f>CHOOSE(CONTROL!$C$42, 26.9682, 26.9682) * CHOOSE(CONTROL!$C$21, $C$9, 100%, $E$9)</f>
        <v>26.9682</v>
      </c>
      <c r="R537" s="14">
        <f>CHOOSE(CONTROL!$C$42, 27.6227, 27.6227) * CHOOSE(CONTROL!$C$21, $C$9, 100%, $E$9)</f>
        <v>27.622699999999998</v>
      </c>
      <c r="S537" s="14">
        <f>CHOOSE(CONTROL!$C$42, 25.5124, 25.5124) * CHOOSE(CONTROL!$C$21, $C$9, 100%, $E$9)</f>
        <v>25.5124</v>
      </c>
      <c r="T53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37" s="56">
        <f>(1000*CHOOSE(CONTROL!$C$42, 695, 695)*CHOOSE(CONTROL!$C$42, 0.5599, 0.5599)*CHOOSE(CONTROL!$C$42, 30, 30))/1000000</f>
        <v>11.673914999999997</v>
      </c>
      <c r="V537" s="56">
        <f>(1000*CHOOSE(CONTROL!$C$42, 500, 500)*CHOOSE(CONTROL!$C$42, 0.275, 0.275)*CHOOSE(CONTROL!$C$42, 30, 30))/1000000</f>
        <v>4.125</v>
      </c>
      <c r="W537" s="56">
        <f>(1000*CHOOSE(CONTROL!$C$42, 0.1146, 0.1146)*CHOOSE(CONTROL!$C$42, 121.5, 121.5)*CHOOSE(CONTROL!$C$42, 30, 30))/1000000</f>
        <v>0.417717</v>
      </c>
      <c r="X537" s="56">
        <f>(30*0.1790888*245000/1000000)+(30*0.2374*100000/1000000)</f>
        <v>2.0285026799999999</v>
      </c>
      <c r="Y537" s="56"/>
      <c r="Z537" s="14"/>
      <c r="AA537" s="55"/>
      <c r="AB537" s="49">
        <f>(B537*194.205+C537*267.466+D537*133.845+E537*53.484+F537*40+G537*185+H537*0+I537*100+J537*300)/(194.205+267.466+133.845+53.484+0+40+185+100+300)</f>
        <v>26.622145684065934</v>
      </c>
      <c r="AC537" s="45">
        <f>(M537*'RAP TEMPLATE-GAS AVAILABILITY'!O536+N537*'RAP TEMPLATE-GAS AVAILABILITY'!P536+O537*'RAP TEMPLATE-GAS AVAILABILITY'!Q536+P537*'RAP TEMPLATE-GAS AVAILABILITY'!R536)/('RAP TEMPLATE-GAS AVAILABILITY'!O536+'RAP TEMPLATE-GAS AVAILABILITY'!P536+'RAP TEMPLATE-GAS AVAILABILITY'!Q536+'RAP TEMPLATE-GAS AVAILABILITY'!R536)</f>
        <v>26.197793525179858</v>
      </c>
    </row>
    <row r="538" spans="1:29" ht="15.75" x14ac:dyDescent="0.25">
      <c r="A538" s="32">
        <v>57284</v>
      </c>
      <c r="B538" s="14">
        <f>CHOOSE(CONTROL!$C$42, 26.0207, 26.0207) * CHOOSE(CONTROL!$C$21, $C$9, 100%, $E$9)</f>
        <v>26.020700000000001</v>
      </c>
      <c r="C538" s="14">
        <f>CHOOSE(CONTROL!$C$42, 26.0261, 26.0261) * CHOOSE(CONTROL!$C$21, $C$9, 100%, $E$9)</f>
        <v>26.0261</v>
      </c>
      <c r="D538" s="14">
        <f>CHOOSE(CONTROL!$C$42, 26.2901, 26.2901) * CHOOSE(CONTROL!$C$21, $C$9, 100%, $E$9)</f>
        <v>26.290099999999999</v>
      </c>
      <c r="E538" s="14">
        <f>CHOOSE(CONTROL!$C$42, 26.3192, 26.3192) * CHOOSE(CONTROL!$C$21, $C$9, 100%, $E$9)</f>
        <v>26.319199999999999</v>
      </c>
      <c r="F538" s="14">
        <f>CHOOSE(CONTROL!$C$42, 26.0454, 26.0454)*CHOOSE(CONTROL!$C$21, $C$9, 100%, $E$9)</f>
        <v>26.045400000000001</v>
      </c>
      <c r="G538" s="14">
        <f>CHOOSE(CONTROL!$C$42, 26.0625, 26.0625)*CHOOSE(CONTROL!$C$21, $C$9, 100%, $E$9)</f>
        <v>26.0625</v>
      </c>
      <c r="H538" s="14">
        <f>CHOOSE(CONTROL!$C$42, 26.3097, 26.3097) * CHOOSE(CONTROL!$C$21, $C$9, 100%, $E$9)</f>
        <v>26.309699999999999</v>
      </c>
      <c r="I538" s="14">
        <f>CHOOSE(CONTROL!$C$42, 26.1251, 26.1251)* CHOOSE(CONTROL!$C$21, $C$9, 100%, $E$9)</f>
        <v>26.1251</v>
      </c>
      <c r="J538" s="14">
        <f>CHOOSE(CONTROL!$C$42, 26.0384, 26.0384)* CHOOSE(CONTROL!$C$21, $C$9, 100%, $E$9)</f>
        <v>26.038399999999999</v>
      </c>
      <c r="K538" s="52">
        <f>CHOOSE(CONTROL!$C$42, 26.1212, 26.1212) * CHOOSE(CONTROL!$C$21, $C$9, 100%, $E$9)</f>
        <v>26.121200000000002</v>
      </c>
      <c r="L538" s="14">
        <f>CHOOSE(CONTROL!$C$42, 26.8967, 26.8967) * CHOOSE(CONTROL!$C$21, $C$9, 100%, $E$9)</f>
        <v>26.896699999999999</v>
      </c>
      <c r="M538" s="14">
        <f>CHOOSE(CONTROL!$C$42, 25.5777, 25.5777) * CHOOSE(CONTROL!$C$21, $C$9, 100%, $E$9)</f>
        <v>25.5777</v>
      </c>
      <c r="N538" s="14">
        <f>CHOOSE(CONTROL!$C$42, 25.5945, 25.5945) * CHOOSE(CONTROL!$C$21, $C$9, 100%, $E$9)</f>
        <v>25.5945</v>
      </c>
      <c r="O538" s="14">
        <f>CHOOSE(CONTROL!$C$42, 25.8442, 25.8442) * CHOOSE(CONTROL!$C$21, $C$9, 100%, $E$9)</f>
        <v>25.844200000000001</v>
      </c>
      <c r="P538" s="14">
        <f>CHOOSE(CONTROL!$C$42, 25.6615, 25.6615) * CHOOSE(CONTROL!$C$21, $C$9, 100%, $E$9)</f>
        <v>25.6615</v>
      </c>
      <c r="Q538" s="14">
        <f>CHOOSE(CONTROL!$C$42, 26.4389, 26.4389) * CHOOSE(CONTROL!$C$21, $C$9, 100%, $E$9)</f>
        <v>26.4389</v>
      </c>
      <c r="R538" s="14">
        <f>CHOOSE(CONTROL!$C$42, 27.092, 27.092) * CHOOSE(CONTROL!$C$21, $C$9, 100%, $E$9)</f>
        <v>27.091999999999999</v>
      </c>
      <c r="S538" s="14">
        <f>CHOOSE(CONTROL!$C$42, 24.9944, 24.9944) * CHOOSE(CONTROL!$C$21, $C$9, 100%, $E$9)</f>
        <v>24.994399999999999</v>
      </c>
      <c r="T53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38" s="56">
        <f>(1000*CHOOSE(CONTROL!$C$42, 695, 695)*CHOOSE(CONTROL!$C$42, 0.5599, 0.5599)*CHOOSE(CONTROL!$C$42, 31, 31))/1000000</f>
        <v>12.063045499999998</v>
      </c>
      <c r="V538" s="56">
        <f>(1000*CHOOSE(CONTROL!$C$42, 500, 500)*CHOOSE(CONTROL!$C$42, 0.275, 0.275)*CHOOSE(CONTROL!$C$42, 31, 31))/1000000</f>
        <v>4.2625000000000002</v>
      </c>
      <c r="W538" s="56">
        <f>(1000*CHOOSE(CONTROL!$C$42, 0.1146, 0.1146)*CHOOSE(CONTROL!$C$42, 121.5, 121.5)*CHOOSE(CONTROL!$C$42, 31, 31))/1000000</f>
        <v>0.43164089999999994</v>
      </c>
      <c r="X538" s="56">
        <f>(31*0.1790888*245000/1000000)+(31*0.2374*100000/1000000)</f>
        <v>2.0961194359999999</v>
      </c>
      <c r="Y538" s="56"/>
      <c r="Z538" s="14"/>
      <c r="AA538" s="55"/>
      <c r="AB538" s="49">
        <f>(B538*131.881+C538*277.167+D538*79.08+E538*125.872+F538*40+G538*185+H538*0+I538*100+J538*300)/(131.881+277.167+79.08+125.872+0+40+185+100+300)</f>
        <v>26.089178325907987</v>
      </c>
      <c r="AC538" s="45">
        <f>(M538*'RAP TEMPLATE-GAS AVAILABILITY'!O537+N538*'RAP TEMPLATE-GAS AVAILABILITY'!P537+O538*'RAP TEMPLATE-GAS AVAILABILITY'!Q537+P538*'RAP TEMPLATE-GAS AVAILABILITY'!R537)/('RAP TEMPLATE-GAS AVAILABILITY'!O537+'RAP TEMPLATE-GAS AVAILABILITY'!P537+'RAP TEMPLATE-GAS AVAILABILITY'!Q537+'RAP TEMPLATE-GAS AVAILABILITY'!R537)</f>
        <v>25.668398561151079</v>
      </c>
    </row>
    <row r="539" spans="1:29" ht="15.75" x14ac:dyDescent="0.25">
      <c r="A539" s="32">
        <v>57314</v>
      </c>
      <c r="B539" s="14">
        <f>CHOOSE(CONTROL!$C$42, 26.7056, 26.7056) * CHOOSE(CONTROL!$C$21, $C$9, 100%, $E$9)</f>
        <v>26.7056</v>
      </c>
      <c r="C539" s="14">
        <f>CHOOSE(CONTROL!$C$42, 26.7106, 26.7106) * CHOOSE(CONTROL!$C$21, $C$9, 100%, $E$9)</f>
        <v>26.710599999999999</v>
      </c>
      <c r="D539" s="14">
        <f>CHOOSE(CONTROL!$C$42, 26.7937, 26.7937) * CHOOSE(CONTROL!$C$21, $C$9, 100%, $E$9)</f>
        <v>26.793700000000001</v>
      </c>
      <c r="E539" s="14">
        <f>CHOOSE(CONTROL!$C$42, 26.8278, 26.8278) * CHOOSE(CONTROL!$C$21, $C$9, 100%, $E$9)</f>
        <v>26.8278</v>
      </c>
      <c r="F539" s="14">
        <f>CHOOSE(CONTROL!$C$42, 26.7332, 26.7332)*CHOOSE(CONTROL!$C$21, $C$9, 100%, $E$9)</f>
        <v>26.7332</v>
      </c>
      <c r="G539" s="14">
        <f>CHOOSE(CONTROL!$C$42, 26.7505, 26.7505)*CHOOSE(CONTROL!$C$21, $C$9, 100%, $E$9)</f>
        <v>26.750499999999999</v>
      </c>
      <c r="H539" s="14">
        <f>CHOOSE(CONTROL!$C$42, 26.817, 26.817) * CHOOSE(CONTROL!$C$21, $C$9, 100%, $E$9)</f>
        <v>26.817</v>
      </c>
      <c r="I539" s="14">
        <f>CHOOSE(CONTROL!$C$42, 26.8088, 26.8088)* CHOOSE(CONTROL!$C$21, $C$9, 100%, $E$9)</f>
        <v>26.808800000000002</v>
      </c>
      <c r="J539" s="14">
        <f>CHOOSE(CONTROL!$C$42, 26.7262, 26.7262)* CHOOSE(CONTROL!$C$21, $C$9, 100%, $E$9)</f>
        <v>26.726199999999999</v>
      </c>
      <c r="K539" s="52">
        <f>CHOOSE(CONTROL!$C$42, 26.8049, 26.8049) * CHOOSE(CONTROL!$C$21, $C$9, 100%, $E$9)</f>
        <v>26.8049</v>
      </c>
      <c r="L539" s="14">
        <f>CHOOSE(CONTROL!$C$42, 27.404, 27.404) * CHOOSE(CONTROL!$C$21, $C$9, 100%, $E$9)</f>
        <v>27.404</v>
      </c>
      <c r="M539" s="14">
        <f>CHOOSE(CONTROL!$C$42, 26.2532, 26.2532) * CHOOSE(CONTROL!$C$21, $C$9, 100%, $E$9)</f>
        <v>26.2532</v>
      </c>
      <c r="N539" s="14">
        <f>CHOOSE(CONTROL!$C$42, 26.2702, 26.2702) * CHOOSE(CONTROL!$C$21, $C$9, 100%, $E$9)</f>
        <v>26.270199999999999</v>
      </c>
      <c r="O539" s="14">
        <f>CHOOSE(CONTROL!$C$42, 26.3423, 26.3423) * CHOOSE(CONTROL!$C$21, $C$9, 100%, $E$9)</f>
        <v>26.342300000000002</v>
      </c>
      <c r="P539" s="14">
        <f>CHOOSE(CONTROL!$C$42, 26.3329, 26.3329) * CHOOSE(CONTROL!$C$21, $C$9, 100%, $E$9)</f>
        <v>26.332899999999999</v>
      </c>
      <c r="Q539" s="14">
        <f>CHOOSE(CONTROL!$C$42, 26.937, 26.937) * CHOOSE(CONTROL!$C$21, $C$9, 100%, $E$9)</f>
        <v>26.937000000000001</v>
      </c>
      <c r="R539" s="14">
        <f>CHOOSE(CONTROL!$C$42, 27.5914, 27.5914) * CHOOSE(CONTROL!$C$21, $C$9, 100%, $E$9)</f>
        <v>27.5914</v>
      </c>
      <c r="S539" s="14">
        <f>CHOOSE(CONTROL!$C$42, 25.6528, 25.6528) * CHOOSE(CONTROL!$C$21, $C$9, 100%, $E$9)</f>
        <v>25.652799999999999</v>
      </c>
      <c r="T53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39" s="56">
        <f>(1000*CHOOSE(CONTROL!$C$42, 695, 695)*CHOOSE(CONTROL!$C$42, 0.5599, 0.5599)*CHOOSE(CONTROL!$C$42, 30, 30))/1000000</f>
        <v>11.673914999999997</v>
      </c>
      <c r="V539" s="56">
        <f>(1000*CHOOSE(CONTROL!$C$42, 500, 500)*CHOOSE(CONTROL!$C$42, 0.275, 0.275)*CHOOSE(CONTROL!$C$42, 30, 30))/1000000</f>
        <v>4.125</v>
      </c>
      <c r="W539" s="56">
        <f>(1000*CHOOSE(CONTROL!$C$42, 0.1146, 0.1146)*CHOOSE(CONTROL!$C$42, 121.5, 121.5)*CHOOSE(CONTROL!$C$42, 30, 30))/1000000</f>
        <v>0.417717</v>
      </c>
      <c r="X539" s="56">
        <f>(30*0.1790888*100000/1000000)+(30*0.2374*100000/1000000)</f>
        <v>1.2494664</v>
      </c>
      <c r="Y539" s="56"/>
      <c r="Z539" s="14"/>
      <c r="AA539" s="55"/>
      <c r="AB539" s="49">
        <f>(B539*122.58+C539*297.941+D539*89.177+E539*40.302+F539*40+G539*160+H539*0+I539*100+J539*300)/(122.58+297.941+89.177+40.302+0+40+160+100+300)</f>
        <v>26.739564437478261</v>
      </c>
      <c r="AC539" s="45">
        <f>(M539*'RAP TEMPLATE-GAS AVAILABILITY'!O538+N539*'RAP TEMPLATE-GAS AVAILABILITY'!P538+O539*'RAP TEMPLATE-GAS AVAILABILITY'!Q538+P539*'RAP TEMPLATE-GAS AVAILABILITY'!R538)/('RAP TEMPLATE-GAS AVAILABILITY'!O538+'RAP TEMPLATE-GAS AVAILABILITY'!P538+'RAP TEMPLATE-GAS AVAILABILITY'!Q538+'RAP TEMPLATE-GAS AVAILABILITY'!R538)</f>
        <v>26.306029496402878</v>
      </c>
    </row>
    <row r="540" spans="1:29" ht="15.75" x14ac:dyDescent="0.25">
      <c r="A540" s="32">
        <v>57345</v>
      </c>
      <c r="B540" s="14">
        <f>CHOOSE(CONTROL!$C$42, 28.5257, 28.5257) * CHOOSE(CONTROL!$C$21, $C$9, 100%, $E$9)</f>
        <v>28.525700000000001</v>
      </c>
      <c r="C540" s="14">
        <f>CHOOSE(CONTROL!$C$42, 28.5307, 28.5307) * CHOOSE(CONTROL!$C$21, $C$9, 100%, $E$9)</f>
        <v>28.5307</v>
      </c>
      <c r="D540" s="14">
        <f>CHOOSE(CONTROL!$C$42, 28.6138, 28.6138) * CHOOSE(CONTROL!$C$21, $C$9, 100%, $E$9)</f>
        <v>28.613800000000001</v>
      </c>
      <c r="E540" s="14">
        <f>CHOOSE(CONTROL!$C$42, 28.6479, 28.6479) * CHOOSE(CONTROL!$C$21, $C$9, 100%, $E$9)</f>
        <v>28.6479</v>
      </c>
      <c r="F540" s="14">
        <f>CHOOSE(CONTROL!$C$42, 28.5557, 28.5557)*CHOOSE(CONTROL!$C$21, $C$9, 100%, $E$9)</f>
        <v>28.555700000000002</v>
      </c>
      <c r="G540" s="14">
        <f>CHOOSE(CONTROL!$C$42, 28.5737, 28.5737)*CHOOSE(CONTROL!$C$21, $C$9, 100%, $E$9)</f>
        <v>28.573699999999999</v>
      </c>
      <c r="H540" s="14">
        <f>CHOOSE(CONTROL!$C$42, 28.6371, 28.6371) * CHOOSE(CONTROL!$C$21, $C$9, 100%, $E$9)</f>
        <v>28.6371</v>
      </c>
      <c r="I540" s="14">
        <f>CHOOSE(CONTROL!$C$42, 28.6346, 28.6346)* CHOOSE(CONTROL!$C$21, $C$9, 100%, $E$9)</f>
        <v>28.634599999999999</v>
      </c>
      <c r="J540" s="14">
        <f>CHOOSE(CONTROL!$C$42, 28.5487, 28.5487)* CHOOSE(CONTROL!$C$21, $C$9, 100%, $E$9)</f>
        <v>28.5487</v>
      </c>
      <c r="K540" s="52">
        <f>CHOOSE(CONTROL!$C$42, 28.6308, 28.6308) * CHOOSE(CONTROL!$C$21, $C$9, 100%, $E$9)</f>
        <v>28.630800000000001</v>
      </c>
      <c r="L540" s="14">
        <f>CHOOSE(CONTROL!$C$42, 29.2241, 29.2241) * CHOOSE(CONTROL!$C$21, $C$9, 100%, $E$9)</f>
        <v>29.2241</v>
      </c>
      <c r="M540" s="14">
        <f>CHOOSE(CONTROL!$C$42, 28.0429, 28.0429) * CHOOSE(CONTROL!$C$21, $C$9, 100%, $E$9)</f>
        <v>28.042899999999999</v>
      </c>
      <c r="N540" s="14">
        <f>CHOOSE(CONTROL!$C$42, 28.0606, 28.0606) * CHOOSE(CONTROL!$C$21, $C$9, 100%, $E$9)</f>
        <v>28.060600000000001</v>
      </c>
      <c r="O540" s="14">
        <f>CHOOSE(CONTROL!$C$42, 28.1297, 28.1297) * CHOOSE(CONTROL!$C$21, $C$9, 100%, $E$9)</f>
        <v>28.1297</v>
      </c>
      <c r="P540" s="14">
        <f>CHOOSE(CONTROL!$C$42, 28.1258, 28.1258) * CHOOSE(CONTROL!$C$21, $C$9, 100%, $E$9)</f>
        <v>28.125800000000002</v>
      </c>
      <c r="Q540" s="14">
        <f>CHOOSE(CONTROL!$C$42, 28.7244, 28.7244) * CHOOSE(CONTROL!$C$21, $C$9, 100%, $E$9)</f>
        <v>28.724399999999999</v>
      </c>
      <c r="R540" s="14">
        <f>CHOOSE(CONTROL!$C$42, 29.3832, 29.3832) * CHOOSE(CONTROL!$C$21, $C$9, 100%, $E$9)</f>
        <v>29.383199999999999</v>
      </c>
      <c r="S540" s="14">
        <f>CHOOSE(CONTROL!$C$42, 27.4018, 27.4018) * CHOOSE(CONTROL!$C$21, $C$9, 100%, $E$9)</f>
        <v>27.401800000000001</v>
      </c>
      <c r="T54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40" s="56">
        <f>(1000*CHOOSE(CONTROL!$C$42, 695, 695)*CHOOSE(CONTROL!$C$42, 0.5599, 0.5599)*CHOOSE(CONTROL!$C$42, 31, 31))/1000000</f>
        <v>12.063045499999998</v>
      </c>
      <c r="V540" s="56">
        <f>(1000*CHOOSE(CONTROL!$C$42, 500, 500)*CHOOSE(CONTROL!$C$42, 0.275, 0.275)*CHOOSE(CONTROL!$C$42, 31, 31))/1000000</f>
        <v>4.2625000000000002</v>
      </c>
      <c r="W540" s="56">
        <f>(1000*CHOOSE(CONTROL!$C$42, 0.1146, 0.1146)*CHOOSE(CONTROL!$C$42, 121.5, 121.5)*CHOOSE(CONTROL!$C$42, 31, 31))/1000000</f>
        <v>0.43164089999999994</v>
      </c>
      <c r="X540" s="56">
        <f>(31*0.1790888*100000/1000000)+(31*0.2374*100000/1000000)</f>
        <v>1.2911152800000001</v>
      </c>
      <c r="Y540" s="56"/>
      <c r="Z540" s="14"/>
      <c r="AA540" s="55"/>
      <c r="AB540" s="49">
        <f>(B540*122.58+C540*297.941+D540*89.177+E540*40.302+F540*40+G540*160+H540*0+I540*100+J540*300)/(122.58+297.941+89.177+40.302+0+40+160+100+300)</f>
        <v>28.561300959217391</v>
      </c>
      <c r="AC540" s="45">
        <f>(M540*'RAP TEMPLATE-GAS AVAILABILITY'!O539+N540*'RAP TEMPLATE-GAS AVAILABILITY'!P539+O540*'RAP TEMPLATE-GAS AVAILABILITY'!Q539+P540*'RAP TEMPLATE-GAS AVAILABILITY'!R539)/('RAP TEMPLATE-GAS AVAILABILITY'!O539+'RAP TEMPLATE-GAS AVAILABILITY'!P539+'RAP TEMPLATE-GAS AVAILABILITY'!Q539+'RAP TEMPLATE-GAS AVAILABILITY'!R539)</f>
        <v>28.095187769784175</v>
      </c>
    </row>
    <row r="541" spans="1:29" ht="15.75" x14ac:dyDescent="0.25">
      <c r="A541" s="32">
        <v>57376</v>
      </c>
      <c r="B541" s="14">
        <f>CHOOSE(CONTROL!$C$42, 30.8897, 30.8897) * CHOOSE(CONTROL!$C$21, $C$9, 100%, $E$9)</f>
        <v>30.889700000000001</v>
      </c>
      <c r="C541" s="14">
        <f>CHOOSE(CONTROL!$C$42, 30.8947, 30.8947) * CHOOSE(CONTROL!$C$21, $C$9, 100%, $E$9)</f>
        <v>30.8947</v>
      </c>
      <c r="D541" s="14">
        <f>CHOOSE(CONTROL!$C$42, 30.9882, 30.9882) * CHOOSE(CONTROL!$C$21, $C$9, 100%, $E$9)</f>
        <v>30.988199999999999</v>
      </c>
      <c r="E541" s="14">
        <f>CHOOSE(CONTROL!$C$42, 31.0223, 31.0223) * CHOOSE(CONTROL!$C$21, $C$9, 100%, $E$9)</f>
        <v>31.022300000000001</v>
      </c>
      <c r="F541" s="14">
        <f>CHOOSE(CONTROL!$C$42, 30.917, 30.917)*CHOOSE(CONTROL!$C$21, $C$9, 100%, $E$9)</f>
        <v>30.917000000000002</v>
      </c>
      <c r="G541" s="14">
        <f>CHOOSE(CONTROL!$C$42, 30.935, 30.935)*CHOOSE(CONTROL!$C$21, $C$9, 100%, $E$9)</f>
        <v>30.934999999999999</v>
      </c>
      <c r="H541" s="14">
        <f>CHOOSE(CONTROL!$C$42, 31.0115, 31.0115) * CHOOSE(CONTROL!$C$21, $C$9, 100%, $E$9)</f>
        <v>31.011500000000002</v>
      </c>
      <c r="I541" s="14">
        <f>CHOOSE(CONTROL!$C$42, 31.0123, 31.0123)* CHOOSE(CONTROL!$C$21, $C$9, 100%, $E$9)</f>
        <v>31.0123</v>
      </c>
      <c r="J541" s="14">
        <f>CHOOSE(CONTROL!$C$42, 30.91, 30.91)* CHOOSE(CONTROL!$C$21, $C$9, 100%, $E$9)</f>
        <v>30.91</v>
      </c>
      <c r="K541" s="52">
        <f>CHOOSE(CONTROL!$C$42, 31.0084, 31.0084) * CHOOSE(CONTROL!$C$21, $C$9, 100%, $E$9)</f>
        <v>31.008400000000002</v>
      </c>
      <c r="L541" s="14">
        <f>CHOOSE(CONTROL!$C$42, 31.5985, 31.5985) * CHOOSE(CONTROL!$C$21, $C$9, 100%, $E$9)</f>
        <v>31.598500000000001</v>
      </c>
      <c r="M541" s="14">
        <f>CHOOSE(CONTROL!$C$42, 30.3617, 30.3617) * CHOOSE(CONTROL!$C$21, $C$9, 100%, $E$9)</f>
        <v>30.361699999999999</v>
      </c>
      <c r="N541" s="14">
        <f>CHOOSE(CONTROL!$C$42, 30.3794, 30.3794) * CHOOSE(CONTROL!$C$21, $C$9, 100%, $E$9)</f>
        <v>30.3794</v>
      </c>
      <c r="O541" s="14">
        <f>CHOOSE(CONTROL!$C$42, 30.4614, 30.4614) * CHOOSE(CONTROL!$C$21, $C$9, 100%, $E$9)</f>
        <v>30.461400000000001</v>
      </c>
      <c r="P541" s="14">
        <f>CHOOSE(CONTROL!$C$42, 30.4606, 30.4606) * CHOOSE(CONTROL!$C$21, $C$9, 100%, $E$9)</f>
        <v>30.460599999999999</v>
      </c>
      <c r="Q541" s="14">
        <f>CHOOSE(CONTROL!$C$42, 31.0561, 31.0561) * CHOOSE(CONTROL!$C$21, $C$9, 100%, $E$9)</f>
        <v>31.056100000000001</v>
      </c>
      <c r="R541" s="14">
        <f>CHOOSE(CONTROL!$C$42, 31.7208, 31.7208) * CHOOSE(CONTROL!$C$21, $C$9, 100%, $E$9)</f>
        <v>31.720800000000001</v>
      </c>
      <c r="S541" s="14">
        <f>CHOOSE(CONTROL!$C$42, 29.6734, 29.6734) * CHOOSE(CONTROL!$C$21, $C$9, 100%, $E$9)</f>
        <v>29.673400000000001</v>
      </c>
      <c r="T54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41" s="56">
        <f>(1000*CHOOSE(CONTROL!$C$42, 695, 695)*CHOOSE(CONTROL!$C$42, 0.5599, 0.5599)*CHOOSE(CONTROL!$C$42, 31, 31))/1000000</f>
        <v>12.063045499999998</v>
      </c>
      <c r="V541" s="56">
        <f>(1000*CHOOSE(CONTROL!$C$42, 500, 500)*CHOOSE(CONTROL!$C$42, 0.275, 0.275)*CHOOSE(CONTROL!$C$42, 31, 31))/1000000</f>
        <v>4.2625000000000002</v>
      </c>
      <c r="W541" s="56">
        <f>(1000*CHOOSE(CONTROL!$C$42, 0.1146, 0.1146)*CHOOSE(CONTROL!$C$42, 121.5, 121.5)*CHOOSE(CONTROL!$C$42, 31, 31))/1000000</f>
        <v>0.43164089999999994</v>
      </c>
      <c r="X541" s="56">
        <f>(31*0.1790888*100000/1000000)+(31*0.2374*100000/1000000)</f>
        <v>1.2911152800000001</v>
      </c>
      <c r="Y541" s="56"/>
      <c r="Z541" s="14"/>
      <c r="AA541" s="55"/>
      <c r="AB541" s="49">
        <f>(B541*122.58+C541*297.941+D541*89.177+E541*40.302+F541*40+G541*160+H541*0+I541*100+J541*300)/(122.58+297.941+89.177+40.302+0+40+160+100+300)</f>
        <v>30.926489291043474</v>
      </c>
      <c r="AC541" s="45">
        <f>(M541*'RAP TEMPLATE-GAS AVAILABILITY'!O540+N541*'RAP TEMPLATE-GAS AVAILABILITY'!P540+O541*'RAP TEMPLATE-GAS AVAILABILITY'!Q540+P541*'RAP TEMPLATE-GAS AVAILABILITY'!R540)/('RAP TEMPLATE-GAS AVAILABILITY'!O540+'RAP TEMPLATE-GAS AVAILABILITY'!P540+'RAP TEMPLATE-GAS AVAILABILITY'!Q540+'RAP TEMPLATE-GAS AVAILABILITY'!R540)</f>
        <v>30.422136690647484</v>
      </c>
    </row>
    <row r="542" spans="1:29" ht="15.75" x14ac:dyDescent="0.25">
      <c r="A542" s="32">
        <v>57404</v>
      </c>
      <c r="B542" s="14">
        <f>CHOOSE(CONTROL!$C$42, 31.4394, 31.4394) * CHOOSE(CONTROL!$C$21, $C$9, 100%, $E$9)</f>
        <v>31.439399999999999</v>
      </c>
      <c r="C542" s="14">
        <f>CHOOSE(CONTROL!$C$42, 31.4445, 31.4445) * CHOOSE(CONTROL!$C$21, $C$9, 100%, $E$9)</f>
        <v>31.444500000000001</v>
      </c>
      <c r="D542" s="14">
        <f>CHOOSE(CONTROL!$C$42, 31.5379, 31.5379) * CHOOSE(CONTROL!$C$21, $C$9, 100%, $E$9)</f>
        <v>31.5379</v>
      </c>
      <c r="E542" s="14">
        <f>CHOOSE(CONTROL!$C$42, 31.572, 31.572) * CHOOSE(CONTROL!$C$21, $C$9, 100%, $E$9)</f>
        <v>31.571999999999999</v>
      </c>
      <c r="F542" s="14">
        <f>CHOOSE(CONTROL!$C$42, 31.4663, 31.4663)*CHOOSE(CONTROL!$C$21, $C$9, 100%, $E$9)</f>
        <v>31.4663</v>
      </c>
      <c r="G542" s="14">
        <f>CHOOSE(CONTROL!$C$42, 31.4842, 31.4842)*CHOOSE(CONTROL!$C$21, $C$9, 100%, $E$9)</f>
        <v>31.484200000000001</v>
      </c>
      <c r="H542" s="14">
        <f>CHOOSE(CONTROL!$C$42, 31.5612, 31.5612) * CHOOSE(CONTROL!$C$21, $C$9, 100%, $E$9)</f>
        <v>31.561199999999999</v>
      </c>
      <c r="I542" s="14">
        <f>CHOOSE(CONTROL!$C$42, 31.5637, 31.5637)* CHOOSE(CONTROL!$C$21, $C$9, 100%, $E$9)</f>
        <v>31.563700000000001</v>
      </c>
      <c r="J542" s="14">
        <f>CHOOSE(CONTROL!$C$42, 31.4593, 31.4593)* CHOOSE(CONTROL!$C$21, $C$9, 100%, $E$9)</f>
        <v>31.459299999999999</v>
      </c>
      <c r="K542" s="52">
        <f>CHOOSE(CONTROL!$C$42, 31.5599, 31.5599) * CHOOSE(CONTROL!$C$21, $C$9, 100%, $E$9)</f>
        <v>31.559899999999999</v>
      </c>
      <c r="L542" s="14">
        <f>CHOOSE(CONTROL!$C$42, 32.1482, 32.1482) * CHOOSE(CONTROL!$C$21, $C$9, 100%, $E$9)</f>
        <v>32.148200000000003</v>
      </c>
      <c r="M542" s="14">
        <f>CHOOSE(CONTROL!$C$42, 30.9012, 30.9012) * CHOOSE(CONTROL!$C$21, $C$9, 100%, $E$9)</f>
        <v>30.901199999999999</v>
      </c>
      <c r="N542" s="14">
        <f>CHOOSE(CONTROL!$C$42, 30.9187, 30.9187) * CHOOSE(CONTROL!$C$21, $C$9, 100%, $E$9)</f>
        <v>30.918700000000001</v>
      </c>
      <c r="O542" s="14">
        <f>CHOOSE(CONTROL!$C$42, 31.0012, 31.0012) * CHOOSE(CONTROL!$C$21, $C$9, 100%, $E$9)</f>
        <v>31.001200000000001</v>
      </c>
      <c r="P542" s="14">
        <f>CHOOSE(CONTROL!$C$42, 31.002, 31.002) * CHOOSE(CONTROL!$C$21, $C$9, 100%, $E$9)</f>
        <v>31.001999999999999</v>
      </c>
      <c r="Q542" s="14">
        <f>CHOOSE(CONTROL!$C$42, 31.5959, 31.5959) * CHOOSE(CONTROL!$C$21, $C$9, 100%, $E$9)</f>
        <v>31.5959</v>
      </c>
      <c r="R542" s="14">
        <f>CHOOSE(CONTROL!$C$42, 32.2619, 32.2619) * CHOOSE(CONTROL!$C$21, $C$9, 100%, $E$9)</f>
        <v>32.261899999999997</v>
      </c>
      <c r="S542" s="14">
        <f>CHOOSE(CONTROL!$C$42, 30.2016, 30.2016) * CHOOSE(CONTROL!$C$21, $C$9, 100%, $E$9)</f>
        <v>30.201599999999999</v>
      </c>
      <c r="T54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42" s="56">
        <f>(1000*CHOOSE(CONTROL!$C$42, 695, 695)*CHOOSE(CONTROL!$C$42, 0.5599, 0.5599)*CHOOSE(CONTROL!$C$42, 28, 28))/1000000</f>
        <v>10.895653999999999</v>
      </c>
      <c r="V542" s="56">
        <f>(1000*CHOOSE(CONTROL!$C$42, 500, 500)*CHOOSE(CONTROL!$C$42, 0.275, 0.275)*CHOOSE(CONTROL!$C$42, 28, 28))/1000000</f>
        <v>3.85</v>
      </c>
      <c r="W542" s="56">
        <f>(1000*CHOOSE(CONTROL!$C$42, 0.1146, 0.1146)*CHOOSE(CONTROL!$C$42, 121.5, 121.5)*CHOOSE(CONTROL!$C$42, 28, 28))/1000000</f>
        <v>0.38986920000000003</v>
      </c>
      <c r="X542" s="56">
        <f>(28*0.1790888*100000/1000000)+(28*0.2374*100000/1000000)</f>
        <v>1.16616864</v>
      </c>
      <c r="Y542" s="56"/>
      <c r="Z542" s="14"/>
      <c r="AA542" s="55"/>
      <c r="AB542" s="49">
        <f>(B542*122.58+C542*297.941+D542*89.177+E542*40.302+F542*40+G542*160+H542*0+I542*100+J542*300)/(122.58+297.941+89.177+40.302+0+40+160+100+300)</f>
        <v>31.476175198956518</v>
      </c>
      <c r="AC542" s="45">
        <f>(M542*'RAP TEMPLATE-GAS AVAILABILITY'!O541+N542*'RAP TEMPLATE-GAS AVAILABILITY'!P541+O542*'RAP TEMPLATE-GAS AVAILABILITY'!Q541+P542*'RAP TEMPLATE-GAS AVAILABILITY'!R541)/('RAP TEMPLATE-GAS AVAILABILITY'!O541+'RAP TEMPLATE-GAS AVAILABILITY'!P541+'RAP TEMPLATE-GAS AVAILABILITY'!Q541+'RAP TEMPLATE-GAS AVAILABILITY'!R541)</f>
        <v>30.962034532374101</v>
      </c>
    </row>
    <row r="543" spans="1:29" ht="15.75" x14ac:dyDescent="0.25">
      <c r="A543" s="32">
        <v>57435</v>
      </c>
      <c r="B543" s="14">
        <f>CHOOSE(CONTROL!$C$42, 30.5471, 30.5471) * CHOOSE(CONTROL!$C$21, $C$9, 100%, $E$9)</f>
        <v>30.5471</v>
      </c>
      <c r="C543" s="14">
        <f>CHOOSE(CONTROL!$C$42, 30.5521, 30.5521) * CHOOSE(CONTROL!$C$21, $C$9, 100%, $E$9)</f>
        <v>30.552099999999999</v>
      </c>
      <c r="D543" s="14">
        <f>CHOOSE(CONTROL!$C$42, 30.6456, 30.6456) * CHOOSE(CONTROL!$C$21, $C$9, 100%, $E$9)</f>
        <v>30.645600000000002</v>
      </c>
      <c r="E543" s="14">
        <f>CHOOSE(CONTROL!$C$42, 30.6797, 30.6797) * CHOOSE(CONTROL!$C$21, $C$9, 100%, $E$9)</f>
        <v>30.6797</v>
      </c>
      <c r="F543" s="14">
        <f>CHOOSE(CONTROL!$C$42, 30.5732, 30.5732)*CHOOSE(CONTROL!$C$21, $C$9, 100%, $E$9)</f>
        <v>30.5732</v>
      </c>
      <c r="G543" s="14">
        <f>CHOOSE(CONTROL!$C$42, 30.5908, 30.5908)*CHOOSE(CONTROL!$C$21, $C$9, 100%, $E$9)</f>
        <v>30.590800000000002</v>
      </c>
      <c r="H543" s="14">
        <f>CHOOSE(CONTROL!$C$42, 30.6689, 30.6689) * CHOOSE(CONTROL!$C$21, $C$9, 100%, $E$9)</f>
        <v>30.668900000000001</v>
      </c>
      <c r="I543" s="14">
        <f>CHOOSE(CONTROL!$C$42, 30.6686, 30.6686)* CHOOSE(CONTROL!$C$21, $C$9, 100%, $E$9)</f>
        <v>30.668600000000001</v>
      </c>
      <c r="J543" s="14">
        <f>CHOOSE(CONTROL!$C$42, 30.5662, 30.5662)* CHOOSE(CONTROL!$C$21, $C$9, 100%, $E$9)</f>
        <v>30.566199999999998</v>
      </c>
      <c r="K543" s="52">
        <f>CHOOSE(CONTROL!$C$42, 30.6648, 30.6648) * CHOOSE(CONTROL!$C$21, $C$9, 100%, $E$9)</f>
        <v>30.6648</v>
      </c>
      <c r="L543" s="14">
        <f>CHOOSE(CONTROL!$C$42, 31.2559, 31.2559) * CHOOSE(CONTROL!$C$21, $C$9, 100%, $E$9)</f>
        <v>31.2559</v>
      </c>
      <c r="M543" s="14">
        <f>CHOOSE(CONTROL!$C$42, 30.0241, 30.0241) * CHOOSE(CONTROL!$C$21, $C$9, 100%, $E$9)</f>
        <v>30.024100000000001</v>
      </c>
      <c r="N543" s="14">
        <f>CHOOSE(CONTROL!$C$42, 30.0414, 30.0414) * CHOOSE(CONTROL!$C$21, $C$9, 100%, $E$9)</f>
        <v>30.041399999999999</v>
      </c>
      <c r="O543" s="14">
        <f>CHOOSE(CONTROL!$C$42, 30.125, 30.125) * CHOOSE(CONTROL!$C$21, $C$9, 100%, $E$9)</f>
        <v>30.125</v>
      </c>
      <c r="P543" s="14">
        <f>CHOOSE(CONTROL!$C$42, 30.1231, 30.1231) * CHOOSE(CONTROL!$C$21, $C$9, 100%, $E$9)</f>
        <v>30.123100000000001</v>
      </c>
      <c r="Q543" s="14">
        <f>CHOOSE(CONTROL!$C$42, 30.7197, 30.7197) * CHOOSE(CONTROL!$C$21, $C$9, 100%, $E$9)</f>
        <v>30.7197</v>
      </c>
      <c r="R543" s="14">
        <f>CHOOSE(CONTROL!$C$42, 31.3835, 31.3835) * CHOOSE(CONTROL!$C$21, $C$9, 100%, $E$9)</f>
        <v>31.383500000000002</v>
      </c>
      <c r="S543" s="14">
        <f>CHOOSE(CONTROL!$C$42, 29.3441, 29.3441) * CHOOSE(CONTROL!$C$21, $C$9, 100%, $E$9)</f>
        <v>29.344100000000001</v>
      </c>
      <c r="T54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43" s="56">
        <f>(1000*CHOOSE(CONTROL!$C$42, 695, 695)*CHOOSE(CONTROL!$C$42, 0.5599, 0.5599)*CHOOSE(CONTROL!$C$42, 31, 31))/1000000</f>
        <v>12.063045499999998</v>
      </c>
      <c r="V543" s="56">
        <f>(1000*CHOOSE(CONTROL!$C$42, 500, 500)*CHOOSE(CONTROL!$C$42, 0.275, 0.275)*CHOOSE(CONTROL!$C$42, 31, 31))/1000000</f>
        <v>4.2625000000000002</v>
      </c>
      <c r="W543" s="56">
        <f>(1000*CHOOSE(CONTROL!$C$42, 0.1146, 0.1146)*CHOOSE(CONTROL!$C$42, 121.5, 121.5)*CHOOSE(CONTROL!$C$42, 31, 31))/1000000</f>
        <v>0.43164089999999994</v>
      </c>
      <c r="X543" s="56">
        <f>(31*0.1790888*100000/1000000)+(31*0.2374*100000/1000000)</f>
        <v>1.2911152800000001</v>
      </c>
      <c r="Y543" s="56"/>
      <c r="Z543" s="14"/>
      <c r="AA543" s="55"/>
      <c r="AB543" s="49">
        <f>(B543*122.58+C543*297.941+D543*89.177+E543*40.302+F543*40+G543*160+H543*0+I543*100+J543*300)/(122.58+297.941+89.177+40.302+0+40+160+100+300)</f>
        <v>30.583216247565218</v>
      </c>
      <c r="AC543" s="45">
        <f>(M543*'RAP TEMPLATE-GAS AVAILABILITY'!O542+N543*'RAP TEMPLATE-GAS AVAILABILITY'!P542+O543*'RAP TEMPLATE-GAS AVAILABILITY'!Q542+P543*'RAP TEMPLATE-GAS AVAILABILITY'!R542)/('RAP TEMPLATE-GAS AVAILABILITY'!O542+'RAP TEMPLATE-GAS AVAILABILITY'!P542+'RAP TEMPLATE-GAS AVAILABILITY'!Q542+'RAP TEMPLATE-GAS AVAILABILITY'!R542)</f>
        <v>30.085071942446049</v>
      </c>
    </row>
    <row r="544" spans="1:29" ht="15.75" x14ac:dyDescent="0.25">
      <c r="A544" s="32">
        <v>57465</v>
      </c>
      <c r="B544" s="14">
        <f>CHOOSE(CONTROL!$C$42, 30.4567, 30.4567) * CHOOSE(CONTROL!$C$21, $C$9, 100%, $E$9)</f>
        <v>30.456700000000001</v>
      </c>
      <c r="C544" s="14">
        <f>CHOOSE(CONTROL!$C$42, 30.4611, 30.4611) * CHOOSE(CONTROL!$C$21, $C$9, 100%, $E$9)</f>
        <v>30.461099999999998</v>
      </c>
      <c r="D544" s="14">
        <f>CHOOSE(CONTROL!$C$42, 30.7234, 30.7234) * CHOOSE(CONTROL!$C$21, $C$9, 100%, $E$9)</f>
        <v>30.723400000000002</v>
      </c>
      <c r="E544" s="14">
        <f>CHOOSE(CONTROL!$C$42, 30.7555, 30.7555) * CHOOSE(CONTROL!$C$21, $C$9, 100%, $E$9)</f>
        <v>30.755500000000001</v>
      </c>
      <c r="F544" s="14">
        <f>CHOOSE(CONTROL!$C$42, 30.4795, 30.4795)*CHOOSE(CONTROL!$C$21, $C$9, 100%, $E$9)</f>
        <v>30.479500000000002</v>
      </c>
      <c r="G544" s="14">
        <f>CHOOSE(CONTROL!$C$42, 30.4962, 30.4962)*CHOOSE(CONTROL!$C$21, $C$9, 100%, $E$9)</f>
        <v>30.496200000000002</v>
      </c>
      <c r="H544" s="14">
        <f>CHOOSE(CONTROL!$C$42, 30.7453, 30.7453) * CHOOSE(CONTROL!$C$21, $C$9, 100%, $E$9)</f>
        <v>30.7453</v>
      </c>
      <c r="I544" s="14">
        <f>CHOOSE(CONTROL!$C$42, 30.5745, 30.5745)* CHOOSE(CONTROL!$C$21, $C$9, 100%, $E$9)</f>
        <v>30.5745</v>
      </c>
      <c r="J544" s="14">
        <f>CHOOSE(CONTROL!$C$42, 30.4725, 30.4725)* CHOOSE(CONTROL!$C$21, $C$9, 100%, $E$9)</f>
        <v>30.4725</v>
      </c>
      <c r="K544" s="52">
        <f>CHOOSE(CONTROL!$C$42, 30.5706, 30.5706) * CHOOSE(CONTROL!$C$21, $C$9, 100%, $E$9)</f>
        <v>30.570599999999999</v>
      </c>
      <c r="L544" s="14">
        <f>CHOOSE(CONTROL!$C$42, 31.3323, 31.3323) * CHOOSE(CONTROL!$C$21, $C$9, 100%, $E$9)</f>
        <v>31.3323</v>
      </c>
      <c r="M544" s="14">
        <f>CHOOSE(CONTROL!$C$42, 29.9321, 29.9321) * CHOOSE(CONTROL!$C$21, $C$9, 100%, $E$9)</f>
        <v>29.932099999999998</v>
      </c>
      <c r="N544" s="14">
        <f>CHOOSE(CONTROL!$C$42, 29.9485, 29.9485) * CHOOSE(CONTROL!$C$21, $C$9, 100%, $E$9)</f>
        <v>29.948499999999999</v>
      </c>
      <c r="O544" s="14">
        <f>CHOOSE(CONTROL!$C$42, 30.1999, 30.1999) * CHOOSE(CONTROL!$C$21, $C$9, 100%, $E$9)</f>
        <v>30.1999</v>
      </c>
      <c r="P544" s="14">
        <f>CHOOSE(CONTROL!$C$42, 30.0307, 30.0307) * CHOOSE(CONTROL!$C$21, $C$9, 100%, $E$9)</f>
        <v>30.0307</v>
      </c>
      <c r="Q544" s="14">
        <f>CHOOSE(CONTROL!$C$42, 30.7946, 30.7946) * CHOOSE(CONTROL!$C$21, $C$9, 100%, $E$9)</f>
        <v>30.794599999999999</v>
      </c>
      <c r="R544" s="14">
        <f>CHOOSE(CONTROL!$C$42, 31.4586, 31.4586) * CHOOSE(CONTROL!$C$21, $C$9, 100%, $E$9)</f>
        <v>31.458600000000001</v>
      </c>
      <c r="S544" s="14">
        <f>CHOOSE(CONTROL!$C$42, 29.2565, 29.2565) * CHOOSE(CONTROL!$C$21, $C$9, 100%, $E$9)</f>
        <v>29.256499999999999</v>
      </c>
      <c r="T54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44" s="56">
        <f>(1000*CHOOSE(CONTROL!$C$42, 695, 695)*CHOOSE(CONTROL!$C$42, 0.5599, 0.5599)*CHOOSE(CONTROL!$C$42, 30, 30))/1000000</f>
        <v>11.673914999999997</v>
      </c>
      <c r="V544" s="56">
        <f>(1000*CHOOSE(CONTROL!$C$42, 500, 500)*CHOOSE(CONTROL!$C$42, 0.275, 0.275)*CHOOSE(CONTROL!$C$42, 30, 30))/1000000</f>
        <v>4.125</v>
      </c>
      <c r="W544" s="56">
        <f>(1000*CHOOSE(CONTROL!$C$42, 0.1146, 0.1146)*CHOOSE(CONTROL!$C$42, 121.5, 121.5)*CHOOSE(CONTROL!$C$42, 30, 30))/1000000</f>
        <v>0.417717</v>
      </c>
      <c r="X544" s="56">
        <f>(30*0.1790888*245000/1000000)+(30*0.2374*100000/1000000)</f>
        <v>2.0285026799999999</v>
      </c>
      <c r="Y544" s="56"/>
      <c r="Z544" s="14"/>
      <c r="AA544" s="55"/>
      <c r="AB544" s="49">
        <f>(B544*141.293+C544*267.993+D544*115.016+E544*89.698+F544*40+G544*185+H544*0+I544*100+J544*300)/(141.293+267.993+115.016+89.698+0+40+185+100+300)</f>
        <v>30.524008473607747</v>
      </c>
      <c r="AC544" s="45">
        <f>(M544*'RAP TEMPLATE-GAS AVAILABILITY'!O543+N544*'RAP TEMPLATE-GAS AVAILABILITY'!P543+O544*'RAP TEMPLATE-GAS AVAILABILITY'!Q543+P544*'RAP TEMPLATE-GAS AVAILABILITY'!R543)/('RAP TEMPLATE-GAS AVAILABILITY'!O543+'RAP TEMPLATE-GAS AVAILABILITY'!P543+'RAP TEMPLATE-GAS AVAILABILITY'!Q543+'RAP TEMPLATE-GAS AVAILABILITY'!R543)</f>
        <v>30.025200719424458</v>
      </c>
    </row>
    <row r="545" spans="1:29" ht="15.75" x14ac:dyDescent="0.25">
      <c r="A545" s="32">
        <v>57496</v>
      </c>
      <c r="B545" s="14">
        <f>CHOOSE(CONTROL!$C$42, 30.7268, 30.7268) * CHOOSE(CONTROL!$C$21, $C$9, 100%, $E$9)</f>
        <v>30.726800000000001</v>
      </c>
      <c r="C545" s="14">
        <f>CHOOSE(CONTROL!$C$42, 30.7348, 30.7348) * CHOOSE(CONTROL!$C$21, $C$9, 100%, $E$9)</f>
        <v>30.7348</v>
      </c>
      <c r="D545" s="14">
        <f>CHOOSE(CONTROL!$C$42, 30.9939, 30.9939) * CHOOSE(CONTROL!$C$21, $C$9, 100%, $E$9)</f>
        <v>30.9939</v>
      </c>
      <c r="E545" s="14">
        <f>CHOOSE(CONTROL!$C$42, 31.0254, 31.0254) * CHOOSE(CONTROL!$C$21, $C$9, 100%, $E$9)</f>
        <v>31.025400000000001</v>
      </c>
      <c r="F545" s="14">
        <f>CHOOSE(CONTROL!$C$42, 30.7483, 30.7483)*CHOOSE(CONTROL!$C$21, $C$9, 100%, $E$9)</f>
        <v>30.7483</v>
      </c>
      <c r="G545" s="14">
        <f>CHOOSE(CONTROL!$C$42, 30.7653, 30.7653)*CHOOSE(CONTROL!$C$21, $C$9, 100%, $E$9)</f>
        <v>30.7653</v>
      </c>
      <c r="H545" s="14">
        <f>CHOOSE(CONTROL!$C$42, 31.014, 31.014) * CHOOSE(CONTROL!$C$21, $C$9, 100%, $E$9)</f>
        <v>31.013999999999999</v>
      </c>
      <c r="I545" s="14">
        <f>CHOOSE(CONTROL!$C$42, 30.8441, 30.8441)* CHOOSE(CONTROL!$C$21, $C$9, 100%, $E$9)</f>
        <v>30.844100000000001</v>
      </c>
      <c r="J545" s="14">
        <f>CHOOSE(CONTROL!$C$42, 30.7413, 30.7413)* CHOOSE(CONTROL!$C$21, $C$9, 100%, $E$9)</f>
        <v>30.741299999999999</v>
      </c>
      <c r="K545" s="52">
        <f>CHOOSE(CONTROL!$C$42, 30.8402, 30.8402) * CHOOSE(CONTROL!$C$21, $C$9, 100%, $E$9)</f>
        <v>30.840199999999999</v>
      </c>
      <c r="L545" s="14">
        <f>CHOOSE(CONTROL!$C$42, 31.601, 31.601) * CHOOSE(CONTROL!$C$21, $C$9, 100%, $E$9)</f>
        <v>31.600999999999999</v>
      </c>
      <c r="M545" s="14">
        <f>CHOOSE(CONTROL!$C$42, 30.1961, 30.1961) * CHOOSE(CONTROL!$C$21, $C$9, 100%, $E$9)</f>
        <v>30.196100000000001</v>
      </c>
      <c r="N545" s="14">
        <f>CHOOSE(CONTROL!$C$42, 30.2127, 30.2127) * CHOOSE(CONTROL!$C$21, $C$9, 100%, $E$9)</f>
        <v>30.212700000000002</v>
      </c>
      <c r="O545" s="14">
        <f>CHOOSE(CONTROL!$C$42, 30.4638, 30.4638) * CHOOSE(CONTROL!$C$21, $C$9, 100%, $E$9)</f>
        <v>30.463799999999999</v>
      </c>
      <c r="P545" s="14">
        <f>CHOOSE(CONTROL!$C$42, 30.2954, 30.2954) * CHOOSE(CONTROL!$C$21, $C$9, 100%, $E$9)</f>
        <v>30.295400000000001</v>
      </c>
      <c r="Q545" s="14">
        <f>CHOOSE(CONTROL!$C$42, 31.0585, 31.0585) * CHOOSE(CONTROL!$C$21, $C$9, 100%, $E$9)</f>
        <v>31.058499999999999</v>
      </c>
      <c r="R545" s="14">
        <f>CHOOSE(CONTROL!$C$42, 31.7232, 31.7232) * CHOOSE(CONTROL!$C$21, $C$9, 100%, $E$9)</f>
        <v>31.723199999999999</v>
      </c>
      <c r="S545" s="14">
        <f>CHOOSE(CONTROL!$C$42, 29.5147, 29.5147) * CHOOSE(CONTROL!$C$21, $C$9, 100%, $E$9)</f>
        <v>29.514700000000001</v>
      </c>
      <c r="T54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45" s="56">
        <f>(1000*CHOOSE(CONTROL!$C$42, 695, 695)*CHOOSE(CONTROL!$C$42, 0.5599, 0.5599)*CHOOSE(CONTROL!$C$42, 31, 31))/1000000</f>
        <v>12.063045499999998</v>
      </c>
      <c r="V545" s="56">
        <f>(1000*CHOOSE(CONTROL!$C$42, 500, 500)*CHOOSE(CONTROL!$C$42, 0.275, 0.275)*CHOOSE(CONTROL!$C$42, 31, 31))/1000000</f>
        <v>4.2625000000000002</v>
      </c>
      <c r="W545" s="56">
        <f>(1000*CHOOSE(CONTROL!$C$42, 0.1146, 0.1146)*CHOOSE(CONTROL!$C$42, 121.5, 121.5)*CHOOSE(CONTROL!$C$42, 31, 31))/1000000</f>
        <v>0.43164089999999994</v>
      </c>
      <c r="X545" s="56">
        <f>(31*0.1790888*245000/1000000)+(31*0.2374*100000/1000000)</f>
        <v>2.0961194359999999</v>
      </c>
      <c r="Y545" s="56"/>
      <c r="Z545" s="14"/>
      <c r="AA545" s="55"/>
      <c r="AB545" s="49">
        <f>(B545*194.205+C545*267.466+D545*133.845+E545*53.484+F545*40+G545*185+H545*0+I545*100+J545*300)/(194.205+267.466+133.845+53.484+0+40+185+100+300)</f>
        <v>30.787963696938771</v>
      </c>
      <c r="AC545" s="45">
        <f>(M545*'RAP TEMPLATE-GAS AVAILABILITY'!O544+N545*'RAP TEMPLATE-GAS AVAILABILITY'!P544+O545*'RAP TEMPLATE-GAS AVAILABILITY'!Q544+P545*'RAP TEMPLATE-GAS AVAILABILITY'!R544)/('RAP TEMPLATE-GAS AVAILABILITY'!O544+'RAP TEMPLATE-GAS AVAILABILITY'!P544+'RAP TEMPLATE-GAS AVAILABILITY'!Q544+'RAP TEMPLATE-GAS AVAILABILITY'!R544)</f>
        <v>30.289319424460434</v>
      </c>
    </row>
    <row r="546" spans="1:29" ht="15.75" x14ac:dyDescent="0.25">
      <c r="A546" s="32">
        <v>57526</v>
      </c>
      <c r="B546" s="14">
        <f>CHOOSE(CONTROL!$C$42, 31.598, 31.598) * CHOOSE(CONTROL!$C$21, $C$9, 100%, $E$9)</f>
        <v>31.597999999999999</v>
      </c>
      <c r="C546" s="14">
        <f>CHOOSE(CONTROL!$C$42, 31.6061, 31.6061) * CHOOSE(CONTROL!$C$21, $C$9, 100%, $E$9)</f>
        <v>31.606100000000001</v>
      </c>
      <c r="D546" s="14">
        <f>CHOOSE(CONTROL!$C$42, 31.8652, 31.8652) * CHOOSE(CONTROL!$C$21, $C$9, 100%, $E$9)</f>
        <v>31.865200000000002</v>
      </c>
      <c r="E546" s="14">
        <f>CHOOSE(CONTROL!$C$42, 31.8966, 31.8966) * CHOOSE(CONTROL!$C$21, $C$9, 100%, $E$9)</f>
        <v>31.896599999999999</v>
      </c>
      <c r="F546" s="14">
        <f>CHOOSE(CONTROL!$C$42, 31.6198, 31.6198)*CHOOSE(CONTROL!$C$21, $C$9, 100%, $E$9)</f>
        <v>31.619800000000001</v>
      </c>
      <c r="G546" s="14">
        <f>CHOOSE(CONTROL!$C$42, 31.6369, 31.6369)*CHOOSE(CONTROL!$C$21, $C$9, 100%, $E$9)</f>
        <v>31.636900000000001</v>
      </c>
      <c r="H546" s="14">
        <f>CHOOSE(CONTROL!$C$42, 31.8853, 31.8853) * CHOOSE(CONTROL!$C$21, $C$9, 100%, $E$9)</f>
        <v>31.885300000000001</v>
      </c>
      <c r="I546" s="14">
        <f>CHOOSE(CONTROL!$C$42, 31.7181, 31.7181)* CHOOSE(CONTROL!$C$21, $C$9, 100%, $E$9)</f>
        <v>31.7181</v>
      </c>
      <c r="J546" s="14">
        <f>CHOOSE(CONTROL!$C$42, 31.6128, 31.6128)* CHOOSE(CONTROL!$C$21, $C$9, 100%, $E$9)</f>
        <v>31.6128</v>
      </c>
      <c r="K546" s="52">
        <f>CHOOSE(CONTROL!$C$42, 31.7142, 31.7142) * CHOOSE(CONTROL!$C$21, $C$9, 100%, $E$9)</f>
        <v>31.714200000000002</v>
      </c>
      <c r="L546" s="14">
        <f>CHOOSE(CONTROL!$C$42, 32.4723, 32.4723) * CHOOSE(CONTROL!$C$21, $C$9, 100%, $E$9)</f>
        <v>32.472299999999997</v>
      </c>
      <c r="M546" s="14">
        <f>CHOOSE(CONTROL!$C$42, 31.0519, 31.0519) * CHOOSE(CONTROL!$C$21, $C$9, 100%, $E$9)</f>
        <v>31.0519</v>
      </c>
      <c r="N546" s="14">
        <f>CHOOSE(CONTROL!$C$42, 31.0686, 31.0686) * CHOOSE(CONTROL!$C$21, $C$9, 100%, $E$9)</f>
        <v>31.0686</v>
      </c>
      <c r="O546" s="14">
        <f>CHOOSE(CONTROL!$C$42, 31.3194, 31.3194) * CHOOSE(CONTROL!$C$21, $C$9, 100%, $E$9)</f>
        <v>31.319400000000002</v>
      </c>
      <c r="P546" s="14">
        <f>CHOOSE(CONTROL!$C$42, 31.1536, 31.1536) * CHOOSE(CONTROL!$C$21, $C$9, 100%, $E$9)</f>
        <v>31.153600000000001</v>
      </c>
      <c r="Q546" s="14">
        <f>CHOOSE(CONTROL!$C$42, 31.9141, 31.9141) * CHOOSE(CONTROL!$C$21, $C$9, 100%, $E$9)</f>
        <v>31.914100000000001</v>
      </c>
      <c r="R546" s="14">
        <f>CHOOSE(CONTROL!$C$42, 32.5809, 32.5809) * CHOOSE(CONTROL!$C$21, $C$9, 100%, $E$9)</f>
        <v>32.5809</v>
      </c>
      <c r="S546" s="14">
        <f>CHOOSE(CONTROL!$C$42, 30.3519, 30.3519) * CHOOSE(CONTROL!$C$21, $C$9, 100%, $E$9)</f>
        <v>30.351900000000001</v>
      </c>
      <c r="T54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46" s="56">
        <f>(1000*CHOOSE(CONTROL!$C$42, 695, 695)*CHOOSE(CONTROL!$C$42, 0.5599, 0.5599)*CHOOSE(CONTROL!$C$42, 30, 30))/1000000</f>
        <v>11.673914999999997</v>
      </c>
      <c r="V546" s="56">
        <f>(1000*CHOOSE(CONTROL!$C$42, 500, 500)*CHOOSE(CONTROL!$C$42, 0.275, 0.275)*CHOOSE(CONTROL!$C$42, 30, 30))/1000000</f>
        <v>4.125</v>
      </c>
      <c r="W546" s="56">
        <f>(1000*CHOOSE(CONTROL!$C$42, 0.1146, 0.1146)*CHOOSE(CONTROL!$C$42, 121.5, 121.5)*CHOOSE(CONTROL!$C$42, 30, 30))/1000000</f>
        <v>0.417717</v>
      </c>
      <c r="X546" s="56">
        <f>(30*0.1790888*245000/1000000)+(30*0.2374*100000/1000000)</f>
        <v>2.0285026799999999</v>
      </c>
      <c r="Y546" s="56"/>
      <c r="Z546" s="14"/>
      <c r="AA546" s="55"/>
      <c r="AB546" s="49">
        <f>(B546*194.205+C546*267.466+D546*133.845+E546*53.484+F546*40+G546*185+H546*0+I546*100+J546*300)/(194.205+267.466+133.845+53.484+0+40+185+100+300)</f>
        <v>31.659553124803768</v>
      </c>
      <c r="AC546" s="45">
        <f>(M546*'RAP TEMPLATE-GAS AVAILABILITY'!O545+N546*'RAP TEMPLATE-GAS AVAILABILITY'!P545+O546*'RAP TEMPLATE-GAS AVAILABILITY'!Q545+P546*'RAP TEMPLATE-GAS AVAILABILITY'!R545)/('RAP TEMPLATE-GAS AVAILABILITY'!O545+'RAP TEMPLATE-GAS AVAILABILITY'!P545+'RAP TEMPLATE-GAS AVAILABILITY'!Q545+'RAP TEMPLATE-GAS AVAILABILITY'!R545)</f>
        <v>31.145431654676258</v>
      </c>
    </row>
    <row r="547" spans="1:29" ht="15.75" x14ac:dyDescent="0.25">
      <c r="A547" s="32">
        <v>57557</v>
      </c>
      <c r="B547" s="14">
        <f>CHOOSE(CONTROL!$C$42, 30.9921, 30.9921) * CHOOSE(CONTROL!$C$21, $C$9, 100%, $E$9)</f>
        <v>30.992100000000001</v>
      </c>
      <c r="C547" s="14">
        <f>CHOOSE(CONTROL!$C$42, 31.0001, 31.0001) * CHOOSE(CONTROL!$C$21, $C$9, 100%, $E$9)</f>
        <v>31.0001</v>
      </c>
      <c r="D547" s="14">
        <f>CHOOSE(CONTROL!$C$42, 31.2592, 31.2592) * CHOOSE(CONTROL!$C$21, $C$9, 100%, $E$9)</f>
        <v>31.2592</v>
      </c>
      <c r="E547" s="14">
        <f>CHOOSE(CONTROL!$C$42, 31.2906, 31.2906) * CHOOSE(CONTROL!$C$21, $C$9, 100%, $E$9)</f>
        <v>31.290600000000001</v>
      </c>
      <c r="F547" s="14">
        <f>CHOOSE(CONTROL!$C$42, 31.0143, 31.0143)*CHOOSE(CONTROL!$C$21, $C$9, 100%, $E$9)</f>
        <v>31.014299999999999</v>
      </c>
      <c r="G547" s="14">
        <f>CHOOSE(CONTROL!$C$42, 31.0314, 31.0314)*CHOOSE(CONTROL!$C$21, $C$9, 100%, $E$9)</f>
        <v>31.031400000000001</v>
      </c>
      <c r="H547" s="14">
        <f>CHOOSE(CONTROL!$C$42, 31.2793, 31.2793) * CHOOSE(CONTROL!$C$21, $C$9, 100%, $E$9)</f>
        <v>31.279299999999999</v>
      </c>
      <c r="I547" s="14">
        <f>CHOOSE(CONTROL!$C$42, 31.1102, 31.1102)* CHOOSE(CONTROL!$C$21, $C$9, 100%, $E$9)</f>
        <v>31.110199999999999</v>
      </c>
      <c r="J547" s="14">
        <f>CHOOSE(CONTROL!$C$42, 31.0073, 31.0073)* CHOOSE(CONTROL!$C$21, $C$9, 100%, $E$9)</f>
        <v>31.007300000000001</v>
      </c>
      <c r="K547" s="52">
        <f>CHOOSE(CONTROL!$C$42, 31.1063, 31.1063) * CHOOSE(CONTROL!$C$21, $C$9, 100%, $E$9)</f>
        <v>31.106300000000001</v>
      </c>
      <c r="L547" s="14">
        <f>CHOOSE(CONTROL!$C$42, 31.8663, 31.8663) * CHOOSE(CONTROL!$C$21, $C$9, 100%, $E$9)</f>
        <v>31.866299999999999</v>
      </c>
      <c r="M547" s="14">
        <f>CHOOSE(CONTROL!$C$42, 30.4572, 30.4572) * CHOOSE(CONTROL!$C$21, $C$9, 100%, $E$9)</f>
        <v>30.4572</v>
      </c>
      <c r="N547" s="14">
        <f>CHOOSE(CONTROL!$C$42, 30.4741, 30.4741) * CHOOSE(CONTROL!$C$21, $C$9, 100%, $E$9)</f>
        <v>30.4741</v>
      </c>
      <c r="O547" s="14">
        <f>CHOOSE(CONTROL!$C$42, 30.7244, 30.7244) * CHOOSE(CONTROL!$C$21, $C$9, 100%, $E$9)</f>
        <v>30.724399999999999</v>
      </c>
      <c r="P547" s="14">
        <f>CHOOSE(CONTROL!$C$42, 30.5567, 30.5567) * CHOOSE(CONTROL!$C$21, $C$9, 100%, $E$9)</f>
        <v>30.556699999999999</v>
      </c>
      <c r="Q547" s="14">
        <f>CHOOSE(CONTROL!$C$42, 31.3191, 31.3191) * CHOOSE(CONTROL!$C$21, $C$9, 100%, $E$9)</f>
        <v>31.319099999999999</v>
      </c>
      <c r="R547" s="14">
        <f>CHOOSE(CONTROL!$C$42, 31.9844, 31.9844) * CHOOSE(CONTROL!$C$21, $C$9, 100%, $E$9)</f>
        <v>31.984400000000001</v>
      </c>
      <c r="S547" s="14">
        <f>CHOOSE(CONTROL!$C$42, 29.7696, 29.7696) * CHOOSE(CONTROL!$C$21, $C$9, 100%, $E$9)</f>
        <v>29.769600000000001</v>
      </c>
      <c r="T54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47" s="56">
        <f>(1000*CHOOSE(CONTROL!$C$42, 695, 695)*CHOOSE(CONTROL!$C$42, 0.5599, 0.5599)*CHOOSE(CONTROL!$C$42, 31, 31))/1000000</f>
        <v>12.063045499999998</v>
      </c>
      <c r="V547" s="56">
        <f>(1000*CHOOSE(CONTROL!$C$42, 500, 500)*CHOOSE(CONTROL!$C$42, 0.275, 0.275)*CHOOSE(CONTROL!$C$42, 31, 31))/1000000</f>
        <v>4.2625000000000002</v>
      </c>
      <c r="W547" s="56">
        <f>(1000*CHOOSE(CONTROL!$C$42, 0.1146, 0.1146)*CHOOSE(CONTROL!$C$42, 121.5, 121.5)*CHOOSE(CONTROL!$C$42, 31, 31))/1000000</f>
        <v>0.43164089999999994</v>
      </c>
      <c r="X547" s="56">
        <f>(31*0.1790888*245000/1000000)+(31*0.2374*100000/1000000)</f>
        <v>2.0961194359999999</v>
      </c>
      <c r="Y547" s="56"/>
      <c r="Z547" s="14"/>
      <c r="AA547" s="55"/>
      <c r="AB547" s="49">
        <f>(B547*194.205+C547*267.466+D547*133.845+E547*53.484+F547*40+G547*185+H547*0+I547*100+J547*300)/(194.205+267.466+133.845+53.484+0+40+185+100+300)</f>
        <v>31.053625275902672</v>
      </c>
      <c r="AC547" s="45">
        <f>(M547*'RAP TEMPLATE-GAS AVAILABILITY'!O546+N547*'RAP TEMPLATE-GAS AVAILABILITY'!P546+O547*'RAP TEMPLATE-GAS AVAILABILITY'!Q546+P547*'RAP TEMPLATE-GAS AVAILABILITY'!R546)/('RAP TEMPLATE-GAS AVAILABILITY'!O546+'RAP TEMPLATE-GAS AVAILABILITY'!P546+'RAP TEMPLATE-GAS AVAILABILITY'!Q546+'RAP TEMPLATE-GAS AVAILABILITY'!R546)</f>
        <v>30.550376978417258</v>
      </c>
    </row>
    <row r="548" spans="1:29" ht="15.75" x14ac:dyDescent="0.25">
      <c r="A548" s="32">
        <v>57588</v>
      </c>
      <c r="B548" s="14">
        <f>CHOOSE(CONTROL!$C$42, 29.4618, 29.4618) * CHOOSE(CONTROL!$C$21, $C$9, 100%, $E$9)</f>
        <v>29.4618</v>
      </c>
      <c r="C548" s="14">
        <f>CHOOSE(CONTROL!$C$42, 29.4698, 29.4698) * CHOOSE(CONTROL!$C$21, $C$9, 100%, $E$9)</f>
        <v>29.469799999999999</v>
      </c>
      <c r="D548" s="14">
        <f>CHOOSE(CONTROL!$C$42, 29.7289, 29.7289) * CHOOSE(CONTROL!$C$21, $C$9, 100%, $E$9)</f>
        <v>29.728899999999999</v>
      </c>
      <c r="E548" s="14">
        <f>CHOOSE(CONTROL!$C$42, 29.7604, 29.7604) * CHOOSE(CONTROL!$C$21, $C$9, 100%, $E$9)</f>
        <v>29.760400000000001</v>
      </c>
      <c r="F548" s="14">
        <f>CHOOSE(CONTROL!$C$42, 29.4842, 29.4842)*CHOOSE(CONTROL!$C$21, $C$9, 100%, $E$9)</f>
        <v>29.484200000000001</v>
      </c>
      <c r="G548" s="14">
        <f>CHOOSE(CONTROL!$C$42, 29.5014, 29.5014)*CHOOSE(CONTROL!$C$21, $C$9, 100%, $E$9)</f>
        <v>29.5014</v>
      </c>
      <c r="H548" s="14">
        <f>CHOOSE(CONTROL!$C$42, 29.749, 29.749) * CHOOSE(CONTROL!$C$21, $C$9, 100%, $E$9)</f>
        <v>29.748999999999999</v>
      </c>
      <c r="I548" s="14">
        <f>CHOOSE(CONTROL!$C$42, 29.5752, 29.5752)* CHOOSE(CONTROL!$C$21, $C$9, 100%, $E$9)</f>
        <v>29.575199999999999</v>
      </c>
      <c r="J548" s="14">
        <f>CHOOSE(CONTROL!$C$42, 29.4772, 29.4772)* CHOOSE(CONTROL!$C$21, $C$9, 100%, $E$9)</f>
        <v>29.4772</v>
      </c>
      <c r="K548" s="52">
        <f>CHOOSE(CONTROL!$C$42, 29.5713, 29.5713) * CHOOSE(CONTROL!$C$21, $C$9, 100%, $E$9)</f>
        <v>29.571300000000001</v>
      </c>
      <c r="L548" s="14">
        <f>CHOOSE(CONTROL!$C$42, 30.336, 30.336) * CHOOSE(CONTROL!$C$21, $C$9, 100%, $E$9)</f>
        <v>30.335999999999999</v>
      </c>
      <c r="M548" s="14">
        <f>CHOOSE(CONTROL!$C$42, 28.9547, 28.9547) * CHOOSE(CONTROL!$C$21, $C$9, 100%, $E$9)</f>
        <v>28.954699999999999</v>
      </c>
      <c r="N548" s="14">
        <f>CHOOSE(CONTROL!$C$42, 28.9716, 28.9716) * CHOOSE(CONTROL!$C$21, $C$9, 100%, $E$9)</f>
        <v>28.971599999999999</v>
      </c>
      <c r="O548" s="14">
        <f>CHOOSE(CONTROL!$C$42, 29.2216, 29.2216) * CHOOSE(CONTROL!$C$21, $C$9, 100%, $E$9)</f>
        <v>29.221599999999999</v>
      </c>
      <c r="P548" s="14">
        <f>CHOOSE(CONTROL!$C$42, 29.0493, 29.0493) * CHOOSE(CONTROL!$C$21, $C$9, 100%, $E$9)</f>
        <v>29.049299999999999</v>
      </c>
      <c r="Q548" s="14">
        <f>CHOOSE(CONTROL!$C$42, 29.8163, 29.8163) * CHOOSE(CONTROL!$C$21, $C$9, 100%, $E$9)</f>
        <v>29.816299999999998</v>
      </c>
      <c r="R548" s="14">
        <f>CHOOSE(CONTROL!$C$42, 30.4779, 30.4779) * CHOOSE(CONTROL!$C$21, $C$9, 100%, $E$9)</f>
        <v>30.477900000000002</v>
      </c>
      <c r="S548" s="14">
        <f>CHOOSE(CONTROL!$C$42, 28.2992, 28.2992) * CHOOSE(CONTROL!$C$21, $C$9, 100%, $E$9)</f>
        <v>28.299199999999999</v>
      </c>
      <c r="T54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48" s="56">
        <f>(1000*CHOOSE(CONTROL!$C$42, 695, 695)*CHOOSE(CONTROL!$C$42, 0.5599, 0.5599)*CHOOSE(CONTROL!$C$42, 31, 31))/1000000</f>
        <v>12.063045499999998</v>
      </c>
      <c r="V548" s="56">
        <f>(1000*CHOOSE(CONTROL!$C$42, 500, 500)*CHOOSE(CONTROL!$C$42, 0.275, 0.275)*CHOOSE(CONTROL!$C$42, 31, 31))/1000000</f>
        <v>4.2625000000000002</v>
      </c>
      <c r="W548" s="56">
        <f>(1000*CHOOSE(CONTROL!$C$42, 0.1146, 0.1146)*CHOOSE(CONTROL!$C$42, 121.5, 121.5)*CHOOSE(CONTROL!$C$42, 31, 31))/1000000</f>
        <v>0.43164089999999994</v>
      </c>
      <c r="X548" s="56">
        <f>(31*0.1790888*245000/1000000)+(31*0.2374*100000/1000000)</f>
        <v>2.0961194359999999</v>
      </c>
      <c r="Y548" s="56"/>
      <c r="Z548" s="14"/>
      <c r="AA548" s="55"/>
      <c r="AB548" s="49">
        <f>(B548*194.205+C548*267.466+D548*133.845+E548*53.484+F548*40+G548*185+H548*0+I548*100+J548*300)/(194.205+267.466+133.845+53.484+0+40+185+100+300)</f>
        <v>29.523057495996863</v>
      </c>
      <c r="AC548" s="45">
        <f>(M548*'RAP TEMPLATE-GAS AVAILABILITY'!O547+N548*'RAP TEMPLATE-GAS AVAILABILITY'!P547+O548*'RAP TEMPLATE-GAS AVAILABILITY'!Q547+P548*'RAP TEMPLATE-GAS AVAILABILITY'!R547)/('RAP TEMPLATE-GAS AVAILABILITY'!O547+'RAP TEMPLATE-GAS AVAILABILITY'!P547+'RAP TEMPLATE-GAS AVAILABILITY'!Q547+'RAP TEMPLATE-GAS AVAILABILITY'!R547)</f>
        <v>29.04708776978417</v>
      </c>
    </row>
    <row r="549" spans="1:29" ht="15.75" x14ac:dyDescent="0.25">
      <c r="A549" s="32">
        <v>57618</v>
      </c>
      <c r="B549" s="14">
        <f>CHOOSE(CONTROL!$C$42, 27.5919, 27.5919) * CHOOSE(CONTROL!$C$21, $C$9, 100%, $E$9)</f>
        <v>27.591899999999999</v>
      </c>
      <c r="C549" s="14">
        <f>CHOOSE(CONTROL!$C$42, 27.5999, 27.5999) * CHOOSE(CONTROL!$C$21, $C$9, 100%, $E$9)</f>
        <v>27.599900000000002</v>
      </c>
      <c r="D549" s="14">
        <f>CHOOSE(CONTROL!$C$42, 27.859, 27.859) * CHOOSE(CONTROL!$C$21, $C$9, 100%, $E$9)</f>
        <v>27.859000000000002</v>
      </c>
      <c r="E549" s="14">
        <f>CHOOSE(CONTROL!$C$42, 27.8904, 27.8904) * CHOOSE(CONTROL!$C$21, $C$9, 100%, $E$9)</f>
        <v>27.8904</v>
      </c>
      <c r="F549" s="14">
        <f>CHOOSE(CONTROL!$C$42, 27.6143, 27.6143)*CHOOSE(CONTROL!$C$21, $C$9, 100%, $E$9)</f>
        <v>27.6143</v>
      </c>
      <c r="G549" s="14">
        <f>CHOOSE(CONTROL!$C$42, 27.6316, 27.6316)*CHOOSE(CONTROL!$C$21, $C$9, 100%, $E$9)</f>
        <v>27.631599999999999</v>
      </c>
      <c r="H549" s="14">
        <f>CHOOSE(CONTROL!$C$42, 27.8791, 27.8791) * CHOOSE(CONTROL!$C$21, $C$9, 100%, $E$9)</f>
        <v>27.879100000000001</v>
      </c>
      <c r="I549" s="14">
        <f>CHOOSE(CONTROL!$C$42, 27.6994, 27.6994)* CHOOSE(CONTROL!$C$21, $C$9, 100%, $E$9)</f>
        <v>27.699400000000001</v>
      </c>
      <c r="J549" s="14">
        <f>CHOOSE(CONTROL!$C$42, 27.6073, 27.6073)* CHOOSE(CONTROL!$C$21, $C$9, 100%, $E$9)</f>
        <v>27.607299999999999</v>
      </c>
      <c r="K549" s="52">
        <f>CHOOSE(CONTROL!$C$42, 27.6955, 27.6955) * CHOOSE(CONTROL!$C$21, $C$9, 100%, $E$9)</f>
        <v>27.695499999999999</v>
      </c>
      <c r="L549" s="14">
        <f>CHOOSE(CONTROL!$C$42, 28.4661, 28.4661) * CHOOSE(CONTROL!$C$21, $C$9, 100%, $E$9)</f>
        <v>28.466100000000001</v>
      </c>
      <c r="M549" s="14">
        <f>CHOOSE(CONTROL!$C$42, 27.1185, 27.1185) * CHOOSE(CONTROL!$C$21, $C$9, 100%, $E$9)</f>
        <v>27.118500000000001</v>
      </c>
      <c r="N549" s="14">
        <f>CHOOSE(CONTROL!$C$42, 27.1354, 27.1354) * CHOOSE(CONTROL!$C$21, $C$9, 100%, $E$9)</f>
        <v>27.135400000000001</v>
      </c>
      <c r="O549" s="14">
        <f>CHOOSE(CONTROL!$C$42, 27.3853, 27.3853) * CHOOSE(CONTROL!$C$21, $C$9, 100%, $E$9)</f>
        <v>27.385300000000001</v>
      </c>
      <c r="P549" s="14">
        <f>CHOOSE(CONTROL!$C$42, 27.2074, 27.2074) * CHOOSE(CONTROL!$C$21, $C$9, 100%, $E$9)</f>
        <v>27.2074</v>
      </c>
      <c r="Q549" s="14">
        <f>CHOOSE(CONTROL!$C$42, 27.98, 27.98) * CHOOSE(CONTROL!$C$21, $C$9, 100%, $E$9)</f>
        <v>27.98</v>
      </c>
      <c r="R549" s="14">
        <f>CHOOSE(CONTROL!$C$42, 28.637, 28.637) * CHOOSE(CONTROL!$C$21, $C$9, 100%, $E$9)</f>
        <v>28.637</v>
      </c>
      <c r="S549" s="14">
        <f>CHOOSE(CONTROL!$C$42, 26.5024, 26.5024) * CHOOSE(CONTROL!$C$21, $C$9, 100%, $E$9)</f>
        <v>26.502400000000002</v>
      </c>
      <c r="T54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49" s="56">
        <f>(1000*CHOOSE(CONTROL!$C$42, 695, 695)*CHOOSE(CONTROL!$C$42, 0.5599, 0.5599)*CHOOSE(CONTROL!$C$42, 30, 30))/1000000</f>
        <v>11.673914999999997</v>
      </c>
      <c r="V549" s="56">
        <f>(1000*CHOOSE(CONTROL!$C$42, 500, 500)*CHOOSE(CONTROL!$C$42, 0.275, 0.275)*CHOOSE(CONTROL!$C$42, 30, 30))/1000000</f>
        <v>4.125</v>
      </c>
      <c r="W549" s="56">
        <f>(1000*CHOOSE(CONTROL!$C$42, 0.1146, 0.1146)*CHOOSE(CONTROL!$C$42, 121.5, 121.5)*CHOOSE(CONTROL!$C$42, 30, 30))/1000000</f>
        <v>0.417717</v>
      </c>
      <c r="X549" s="56">
        <f>(30*0.1790888*245000/1000000)+(30*0.2374*100000/1000000)</f>
        <v>2.0285026799999999</v>
      </c>
      <c r="Y549" s="56"/>
      <c r="Z549" s="14"/>
      <c r="AA549" s="55"/>
      <c r="AB549" s="49">
        <f>(B549*194.205+C549*267.466+D549*133.845+E549*53.484+F549*40+G549*185+H549*0+I549*100+J549*300)/(194.205+267.466+133.845+53.484+0+40+185+100+300)</f>
        <v>27.652704710753529</v>
      </c>
      <c r="AC549" s="45">
        <f>(M549*'RAP TEMPLATE-GAS AVAILABILITY'!O548+N549*'RAP TEMPLATE-GAS AVAILABILITY'!P548+O549*'RAP TEMPLATE-GAS AVAILABILITY'!Q548+P549*'RAP TEMPLATE-GAS AVAILABILITY'!R548)/('RAP TEMPLATE-GAS AVAILABILITY'!O548+'RAP TEMPLATE-GAS AVAILABILITY'!P548+'RAP TEMPLATE-GAS AVAILABILITY'!Q548+'RAP TEMPLATE-GAS AVAILABILITY'!R548)</f>
        <v>27.210039568345326</v>
      </c>
    </row>
    <row r="550" spans="1:29" ht="15.75" x14ac:dyDescent="0.25">
      <c r="A550" s="32">
        <v>57649</v>
      </c>
      <c r="B550" s="14">
        <f>CHOOSE(CONTROL!$C$42, 27.0301, 27.0301) * CHOOSE(CONTROL!$C$21, $C$9, 100%, $E$9)</f>
        <v>27.030100000000001</v>
      </c>
      <c r="C550" s="14">
        <f>CHOOSE(CONTROL!$C$42, 27.0354, 27.0354) * CHOOSE(CONTROL!$C$21, $C$9, 100%, $E$9)</f>
        <v>27.035399999999999</v>
      </c>
      <c r="D550" s="14">
        <f>CHOOSE(CONTROL!$C$42, 27.2995, 27.2995) * CHOOSE(CONTROL!$C$21, $C$9, 100%, $E$9)</f>
        <v>27.299499999999998</v>
      </c>
      <c r="E550" s="14">
        <f>CHOOSE(CONTROL!$C$42, 27.3286, 27.3286) * CHOOSE(CONTROL!$C$21, $C$9, 100%, $E$9)</f>
        <v>27.328600000000002</v>
      </c>
      <c r="F550" s="14">
        <f>CHOOSE(CONTROL!$C$42, 27.0548, 27.0548)*CHOOSE(CONTROL!$C$21, $C$9, 100%, $E$9)</f>
        <v>27.0548</v>
      </c>
      <c r="G550" s="14">
        <f>CHOOSE(CONTROL!$C$42, 27.0718, 27.0718)*CHOOSE(CONTROL!$C$21, $C$9, 100%, $E$9)</f>
        <v>27.0718</v>
      </c>
      <c r="H550" s="14">
        <f>CHOOSE(CONTROL!$C$42, 27.3191, 27.3191) * CHOOSE(CONTROL!$C$21, $C$9, 100%, $E$9)</f>
        <v>27.319099999999999</v>
      </c>
      <c r="I550" s="14">
        <f>CHOOSE(CONTROL!$C$42, 27.1376, 27.1376)* CHOOSE(CONTROL!$C$21, $C$9, 100%, $E$9)</f>
        <v>27.137599999999999</v>
      </c>
      <c r="J550" s="14">
        <f>CHOOSE(CONTROL!$C$42, 27.0478, 27.0478)* CHOOSE(CONTROL!$C$21, $C$9, 100%, $E$9)</f>
        <v>27.047799999999999</v>
      </c>
      <c r="K550" s="52">
        <f>CHOOSE(CONTROL!$C$42, 27.1337, 27.1337) * CHOOSE(CONTROL!$C$21, $C$9, 100%, $E$9)</f>
        <v>27.133700000000001</v>
      </c>
      <c r="L550" s="14">
        <f>CHOOSE(CONTROL!$C$42, 27.9061, 27.9061) * CHOOSE(CONTROL!$C$21, $C$9, 100%, $E$9)</f>
        <v>27.906099999999999</v>
      </c>
      <c r="M550" s="14">
        <f>CHOOSE(CONTROL!$C$42, 26.5689, 26.5689) * CHOOSE(CONTROL!$C$21, $C$9, 100%, $E$9)</f>
        <v>26.568899999999999</v>
      </c>
      <c r="N550" s="14">
        <f>CHOOSE(CONTROL!$C$42, 26.5857, 26.5857) * CHOOSE(CONTROL!$C$21, $C$9, 100%, $E$9)</f>
        <v>26.585699999999999</v>
      </c>
      <c r="O550" s="14">
        <f>CHOOSE(CONTROL!$C$42, 26.8354, 26.8354) * CHOOSE(CONTROL!$C$21, $C$9, 100%, $E$9)</f>
        <v>26.8354</v>
      </c>
      <c r="P550" s="14">
        <f>CHOOSE(CONTROL!$C$42, 26.6558, 26.6558) * CHOOSE(CONTROL!$C$21, $C$9, 100%, $E$9)</f>
        <v>26.655799999999999</v>
      </c>
      <c r="Q550" s="14">
        <f>CHOOSE(CONTROL!$C$42, 27.4301, 27.4301) * CHOOSE(CONTROL!$C$21, $C$9, 100%, $E$9)</f>
        <v>27.430099999999999</v>
      </c>
      <c r="R550" s="14">
        <f>CHOOSE(CONTROL!$C$42, 28.0857, 28.0857) * CHOOSE(CONTROL!$C$21, $C$9, 100%, $E$9)</f>
        <v>28.085699999999999</v>
      </c>
      <c r="S550" s="14">
        <f>CHOOSE(CONTROL!$C$42, 25.9643, 25.9643) * CHOOSE(CONTROL!$C$21, $C$9, 100%, $E$9)</f>
        <v>25.964300000000001</v>
      </c>
      <c r="T55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50" s="56">
        <f>(1000*CHOOSE(CONTROL!$C$42, 695, 695)*CHOOSE(CONTROL!$C$42, 0.5599, 0.5599)*CHOOSE(CONTROL!$C$42, 31, 31))/1000000</f>
        <v>12.063045499999998</v>
      </c>
      <c r="V550" s="56">
        <f>(1000*CHOOSE(CONTROL!$C$42, 500, 500)*CHOOSE(CONTROL!$C$42, 0.275, 0.275)*CHOOSE(CONTROL!$C$42, 31, 31))/1000000</f>
        <v>4.2625000000000002</v>
      </c>
      <c r="W550" s="56">
        <f>(1000*CHOOSE(CONTROL!$C$42, 0.1146, 0.1146)*CHOOSE(CONTROL!$C$42, 121.5, 121.5)*CHOOSE(CONTROL!$C$42, 31, 31))/1000000</f>
        <v>0.43164089999999994</v>
      </c>
      <c r="X550" s="56">
        <f>(31*0.1790888*245000/1000000)+(31*0.2374*100000/1000000)</f>
        <v>2.0961194359999999</v>
      </c>
      <c r="Y550" s="56"/>
      <c r="Z550" s="14"/>
      <c r="AA550" s="55"/>
      <c r="AB550" s="49">
        <f>(B550*131.881+C550*277.167+D550*79.08+E550*125.872+F550*40+G550*185+H550*0+I550*100+J550*300)/(131.881+277.167+79.08+125.872+0+40+185+100+300)</f>
        <v>27.098791226069409</v>
      </c>
      <c r="AC550" s="45">
        <f>(M550*'RAP TEMPLATE-GAS AVAILABILITY'!O549+N550*'RAP TEMPLATE-GAS AVAILABILITY'!P549+O550*'RAP TEMPLATE-GAS AVAILABILITY'!Q549+P550*'RAP TEMPLATE-GAS AVAILABILITY'!R549)/('RAP TEMPLATE-GAS AVAILABILITY'!O549+'RAP TEMPLATE-GAS AVAILABILITY'!P549+'RAP TEMPLATE-GAS AVAILABILITY'!Q549+'RAP TEMPLATE-GAS AVAILABILITY'!R549)</f>
        <v>26.660044604316546</v>
      </c>
    </row>
    <row r="551" spans="1:29" ht="15.75" x14ac:dyDescent="0.25">
      <c r="A551" s="32">
        <v>57679</v>
      </c>
      <c r="B551" s="14">
        <f>CHOOSE(CONTROL!$C$42, 27.7415, 27.7415) * CHOOSE(CONTROL!$C$21, $C$9, 100%, $E$9)</f>
        <v>27.741499999999998</v>
      </c>
      <c r="C551" s="14">
        <f>CHOOSE(CONTROL!$C$42, 27.7466, 27.7466) * CHOOSE(CONTROL!$C$21, $C$9, 100%, $E$9)</f>
        <v>27.746600000000001</v>
      </c>
      <c r="D551" s="14">
        <f>CHOOSE(CONTROL!$C$42, 27.8297, 27.8297) * CHOOSE(CONTROL!$C$21, $C$9, 100%, $E$9)</f>
        <v>27.829699999999999</v>
      </c>
      <c r="E551" s="14">
        <f>CHOOSE(CONTROL!$C$42, 27.8638, 27.8638) * CHOOSE(CONTROL!$C$21, $C$9, 100%, $E$9)</f>
        <v>27.863800000000001</v>
      </c>
      <c r="F551" s="14">
        <f>CHOOSE(CONTROL!$C$42, 27.7692, 27.7692)*CHOOSE(CONTROL!$C$21, $C$9, 100%, $E$9)</f>
        <v>27.769200000000001</v>
      </c>
      <c r="G551" s="14">
        <f>CHOOSE(CONTROL!$C$42, 27.7865, 27.7865)*CHOOSE(CONTROL!$C$21, $C$9, 100%, $E$9)</f>
        <v>27.7865</v>
      </c>
      <c r="H551" s="14">
        <f>CHOOSE(CONTROL!$C$42, 27.853, 27.853) * CHOOSE(CONTROL!$C$21, $C$9, 100%, $E$9)</f>
        <v>27.853000000000002</v>
      </c>
      <c r="I551" s="14">
        <f>CHOOSE(CONTROL!$C$42, 27.848, 27.848)* CHOOSE(CONTROL!$C$21, $C$9, 100%, $E$9)</f>
        <v>27.847999999999999</v>
      </c>
      <c r="J551" s="14">
        <f>CHOOSE(CONTROL!$C$42, 27.7622, 27.7622)* CHOOSE(CONTROL!$C$21, $C$9, 100%, $E$9)</f>
        <v>27.7622</v>
      </c>
      <c r="K551" s="52">
        <f>CHOOSE(CONTROL!$C$42, 27.8442, 27.8442) * CHOOSE(CONTROL!$C$21, $C$9, 100%, $E$9)</f>
        <v>27.844200000000001</v>
      </c>
      <c r="L551" s="14">
        <f>CHOOSE(CONTROL!$C$42, 28.44, 28.44) * CHOOSE(CONTROL!$C$21, $C$9, 100%, $E$9)</f>
        <v>28.44</v>
      </c>
      <c r="M551" s="14">
        <f>CHOOSE(CONTROL!$C$42, 27.2705, 27.2705) * CHOOSE(CONTROL!$C$21, $C$9, 100%, $E$9)</f>
        <v>27.270499999999998</v>
      </c>
      <c r="N551" s="14">
        <f>CHOOSE(CONTROL!$C$42, 27.2876, 27.2876) * CHOOSE(CONTROL!$C$21, $C$9, 100%, $E$9)</f>
        <v>27.287600000000001</v>
      </c>
      <c r="O551" s="14">
        <f>CHOOSE(CONTROL!$C$42, 27.3597, 27.3597) * CHOOSE(CONTROL!$C$21, $C$9, 100%, $E$9)</f>
        <v>27.3597</v>
      </c>
      <c r="P551" s="14">
        <f>CHOOSE(CONTROL!$C$42, 27.3534, 27.3534) * CHOOSE(CONTROL!$C$21, $C$9, 100%, $E$9)</f>
        <v>27.353400000000001</v>
      </c>
      <c r="Q551" s="14">
        <f>CHOOSE(CONTROL!$C$42, 27.9544, 27.9544) * CHOOSE(CONTROL!$C$21, $C$9, 100%, $E$9)</f>
        <v>27.9544</v>
      </c>
      <c r="R551" s="14">
        <f>CHOOSE(CONTROL!$C$42, 28.6113, 28.6113) * CHOOSE(CONTROL!$C$21, $C$9, 100%, $E$9)</f>
        <v>28.6113</v>
      </c>
      <c r="S551" s="14">
        <f>CHOOSE(CONTROL!$C$42, 26.6483, 26.6483) * CHOOSE(CONTROL!$C$21, $C$9, 100%, $E$9)</f>
        <v>26.648299999999999</v>
      </c>
      <c r="T55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51" s="56">
        <f>(1000*CHOOSE(CONTROL!$C$42, 695, 695)*CHOOSE(CONTROL!$C$42, 0.5599, 0.5599)*CHOOSE(CONTROL!$C$42, 30, 30))/1000000</f>
        <v>11.673914999999997</v>
      </c>
      <c r="V551" s="56">
        <f>(1000*CHOOSE(CONTROL!$C$42, 500, 500)*CHOOSE(CONTROL!$C$42, 0.275, 0.275)*CHOOSE(CONTROL!$C$42, 30, 30))/1000000</f>
        <v>4.125</v>
      </c>
      <c r="W551" s="56">
        <f>(1000*CHOOSE(CONTROL!$C$42, 0.1146, 0.1146)*CHOOSE(CONTROL!$C$42, 121.5, 121.5)*CHOOSE(CONTROL!$C$42, 30, 30))/1000000</f>
        <v>0.417717</v>
      </c>
      <c r="X551" s="56">
        <f>(30*0.1790888*100000/1000000)+(30*0.2374*100000/1000000)</f>
        <v>1.2494664</v>
      </c>
      <c r="Y551" s="56"/>
      <c r="Z551" s="14"/>
      <c r="AA551" s="55"/>
      <c r="AB551" s="49">
        <f>(B551*122.58+C551*297.941+D551*89.177+E551*40.302+F551*40+G551*160+H551*0+I551*100+J551*300)/(122.58+297.941+89.177+40.302+0+40+160+100+300)</f>
        <v>27.775832039217391</v>
      </c>
      <c r="AC551" s="45">
        <f>(M551*'RAP TEMPLATE-GAS AVAILABILITY'!O550+N551*'RAP TEMPLATE-GAS AVAILABILITY'!P550+O551*'RAP TEMPLATE-GAS AVAILABILITY'!Q550+P551*'RAP TEMPLATE-GAS AVAILABILITY'!R550)/('RAP TEMPLATE-GAS AVAILABILITY'!O550+'RAP TEMPLATE-GAS AVAILABILITY'!P550+'RAP TEMPLATE-GAS AVAILABILITY'!Q550+'RAP TEMPLATE-GAS AVAILABILITY'!R550)</f>
        <v>27.323841007194247</v>
      </c>
    </row>
    <row r="552" spans="1:29" ht="15.75" x14ac:dyDescent="0.25">
      <c r="A552" s="32">
        <v>57710</v>
      </c>
      <c r="B552" s="14">
        <f>CHOOSE(CONTROL!$C$42, 29.6323, 29.6323) * CHOOSE(CONTROL!$C$21, $C$9, 100%, $E$9)</f>
        <v>29.632300000000001</v>
      </c>
      <c r="C552" s="14">
        <f>CHOOSE(CONTROL!$C$42, 29.6374, 29.6374) * CHOOSE(CONTROL!$C$21, $C$9, 100%, $E$9)</f>
        <v>29.6374</v>
      </c>
      <c r="D552" s="14">
        <f>CHOOSE(CONTROL!$C$42, 29.7204, 29.7204) * CHOOSE(CONTROL!$C$21, $C$9, 100%, $E$9)</f>
        <v>29.720400000000001</v>
      </c>
      <c r="E552" s="14">
        <f>CHOOSE(CONTROL!$C$42, 29.7545, 29.7545) * CHOOSE(CONTROL!$C$21, $C$9, 100%, $E$9)</f>
        <v>29.7545</v>
      </c>
      <c r="F552" s="14">
        <f>CHOOSE(CONTROL!$C$42, 29.6623, 29.6623)*CHOOSE(CONTROL!$C$21, $C$9, 100%, $E$9)</f>
        <v>29.662299999999998</v>
      </c>
      <c r="G552" s="14">
        <f>CHOOSE(CONTROL!$C$42, 29.6804, 29.6804)*CHOOSE(CONTROL!$C$21, $C$9, 100%, $E$9)</f>
        <v>29.680399999999999</v>
      </c>
      <c r="H552" s="14">
        <f>CHOOSE(CONTROL!$C$42, 29.7437, 29.7437) * CHOOSE(CONTROL!$C$21, $C$9, 100%, $E$9)</f>
        <v>29.7437</v>
      </c>
      <c r="I552" s="14">
        <f>CHOOSE(CONTROL!$C$42, 29.7447, 29.7447)* CHOOSE(CONTROL!$C$21, $C$9, 100%, $E$9)</f>
        <v>29.744700000000002</v>
      </c>
      <c r="J552" s="14">
        <f>CHOOSE(CONTROL!$C$42, 29.6553, 29.6553)* CHOOSE(CONTROL!$C$21, $C$9, 100%, $E$9)</f>
        <v>29.6553</v>
      </c>
      <c r="K552" s="52">
        <f>CHOOSE(CONTROL!$C$42, 29.7408, 29.7408) * CHOOSE(CONTROL!$C$21, $C$9, 100%, $E$9)</f>
        <v>29.7408</v>
      </c>
      <c r="L552" s="14">
        <f>CHOOSE(CONTROL!$C$42, 30.3307, 30.3307) * CHOOSE(CONTROL!$C$21, $C$9, 100%, $E$9)</f>
        <v>30.3307</v>
      </c>
      <c r="M552" s="14">
        <f>CHOOSE(CONTROL!$C$42, 29.1296, 29.1296) * CHOOSE(CONTROL!$C$21, $C$9, 100%, $E$9)</f>
        <v>29.1296</v>
      </c>
      <c r="N552" s="14">
        <f>CHOOSE(CONTROL!$C$42, 29.1473, 29.1473) * CHOOSE(CONTROL!$C$21, $C$9, 100%, $E$9)</f>
        <v>29.147300000000001</v>
      </c>
      <c r="O552" s="14">
        <f>CHOOSE(CONTROL!$C$42, 29.2164, 29.2164) * CHOOSE(CONTROL!$C$21, $C$9, 100%, $E$9)</f>
        <v>29.2164</v>
      </c>
      <c r="P552" s="14">
        <f>CHOOSE(CONTROL!$C$42, 29.2158, 29.2158) * CHOOSE(CONTROL!$C$21, $C$9, 100%, $E$9)</f>
        <v>29.215800000000002</v>
      </c>
      <c r="Q552" s="14">
        <f>CHOOSE(CONTROL!$C$42, 29.8111, 29.8111) * CHOOSE(CONTROL!$C$21, $C$9, 100%, $E$9)</f>
        <v>29.8111</v>
      </c>
      <c r="R552" s="14">
        <f>CHOOSE(CONTROL!$C$42, 30.4726, 30.4726) * CHOOSE(CONTROL!$C$21, $C$9, 100%, $E$9)</f>
        <v>30.4726</v>
      </c>
      <c r="S552" s="14">
        <f>CHOOSE(CONTROL!$C$42, 28.4651, 28.4651) * CHOOSE(CONTROL!$C$21, $C$9, 100%, $E$9)</f>
        <v>28.4651</v>
      </c>
      <c r="T55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52" s="56">
        <f>(1000*CHOOSE(CONTROL!$C$42, 695, 695)*CHOOSE(CONTROL!$C$42, 0.5599, 0.5599)*CHOOSE(CONTROL!$C$42, 31, 31))/1000000</f>
        <v>12.063045499999998</v>
      </c>
      <c r="V552" s="56">
        <f>(1000*CHOOSE(CONTROL!$C$42, 500, 500)*CHOOSE(CONTROL!$C$42, 0.275, 0.275)*CHOOSE(CONTROL!$C$42, 31, 31))/1000000</f>
        <v>4.2625000000000002</v>
      </c>
      <c r="W552" s="56">
        <f>(1000*CHOOSE(CONTROL!$C$42, 0.1146, 0.1146)*CHOOSE(CONTROL!$C$42, 121.5, 121.5)*CHOOSE(CONTROL!$C$42, 31, 31))/1000000</f>
        <v>0.43164089999999994</v>
      </c>
      <c r="X552" s="56">
        <f>(31*0.1790888*100000/1000000)+(31*0.2374*100000/1000000)</f>
        <v>1.2911152800000001</v>
      </c>
      <c r="Y552" s="56"/>
      <c r="Z552" s="14"/>
      <c r="AA552" s="55"/>
      <c r="AB552" s="49">
        <f>(B552*122.58+C552*297.941+D552*89.177+E552*40.302+F552*40+G552*160+H552*0+I552*100+J552*300)/(122.58+297.941+89.177+40.302+0+40+160+100+300)</f>
        <v>29.668245128000006</v>
      </c>
      <c r="AC552" s="45">
        <f>(M552*'RAP TEMPLATE-GAS AVAILABILITY'!O551+N552*'RAP TEMPLATE-GAS AVAILABILITY'!P551+O552*'RAP TEMPLATE-GAS AVAILABILITY'!Q551+P552*'RAP TEMPLATE-GAS AVAILABILITY'!R551)/('RAP TEMPLATE-GAS AVAILABILITY'!O551+'RAP TEMPLATE-GAS AVAILABILITY'!P551+'RAP TEMPLATE-GAS AVAILABILITY'!Q551+'RAP TEMPLATE-GAS AVAILABILITY'!R551)</f>
        <v>29.182362589928054</v>
      </c>
    </row>
    <row r="553" spans="1:29" ht="15.75" x14ac:dyDescent="0.25">
      <c r="A553" s="32">
        <v>57741</v>
      </c>
      <c r="B553" s="14">
        <f>CHOOSE(CONTROL!$C$42, 32.088, 32.088) * CHOOSE(CONTROL!$C$21, $C$9, 100%, $E$9)</f>
        <v>32.088000000000001</v>
      </c>
      <c r="C553" s="14">
        <f>CHOOSE(CONTROL!$C$42, 32.0931, 32.0931) * CHOOSE(CONTROL!$C$21, $C$9, 100%, $E$9)</f>
        <v>32.0931</v>
      </c>
      <c r="D553" s="14">
        <f>CHOOSE(CONTROL!$C$42, 32.1866, 32.1866) * CHOOSE(CONTROL!$C$21, $C$9, 100%, $E$9)</f>
        <v>32.186599999999999</v>
      </c>
      <c r="E553" s="14">
        <f>CHOOSE(CONTROL!$C$42, 32.2207, 32.2207) * CHOOSE(CONTROL!$C$21, $C$9, 100%, $E$9)</f>
        <v>32.220700000000001</v>
      </c>
      <c r="F553" s="14">
        <f>CHOOSE(CONTROL!$C$42, 32.1153, 32.1153)*CHOOSE(CONTROL!$C$21, $C$9, 100%, $E$9)</f>
        <v>32.115299999999998</v>
      </c>
      <c r="G553" s="14">
        <f>CHOOSE(CONTROL!$C$42, 32.1333, 32.1333)*CHOOSE(CONTROL!$C$21, $C$9, 100%, $E$9)</f>
        <v>32.133299999999998</v>
      </c>
      <c r="H553" s="14">
        <f>CHOOSE(CONTROL!$C$42, 32.2099, 32.2099) * CHOOSE(CONTROL!$C$21, $C$9, 100%, $E$9)</f>
        <v>32.209899999999998</v>
      </c>
      <c r="I553" s="14">
        <f>CHOOSE(CONTROL!$C$42, 32.2144, 32.2144)* CHOOSE(CONTROL!$C$21, $C$9, 100%, $E$9)</f>
        <v>32.214399999999998</v>
      </c>
      <c r="J553" s="14">
        <f>CHOOSE(CONTROL!$C$42, 32.1083, 32.1083)* CHOOSE(CONTROL!$C$21, $C$9, 100%, $E$9)</f>
        <v>32.1083</v>
      </c>
      <c r="K553" s="52">
        <f>CHOOSE(CONTROL!$C$42, 32.2105, 32.2105) * CHOOSE(CONTROL!$C$21, $C$9, 100%, $E$9)</f>
        <v>32.210500000000003</v>
      </c>
      <c r="L553" s="14">
        <f>CHOOSE(CONTROL!$C$42, 32.7969, 32.7969) * CHOOSE(CONTROL!$C$21, $C$9, 100%, $E$9)</f>
        <v>32.796900000000001</v>
      </c>
      <c r="M553" s="14">
        <f>CHOOSE(CONTROL!$C$42, 31.5385, 31.5385) * CHOOSE(CONTROL!$C$21, $C$9, 100%, $E$9)</f>
        <v>31.538499999999999</v>
      </c>
      <c r="N553" s="14">
        <f>CHOOSE(CONTROL!$C$42, 31.5561, 31.5561) * CHOOSE(CONTROL!$C$21, $C$9, 100%, $E$9)</f>
        <v>31.556100000000001</v>
      </c>
      <c r="O553" s="14">
        <f>CHOOSE(CONTROL!$C$42, 31.6382, 31.6382) * CHOOSE(CONTROL!$C$21, $C$9, 100%, $E$9)</f>
        <v>31.638200000000001</v>
      </c>
      <c r="P553" s="14">
        <f>CHOOSE(CONTROL!$C$42, 31.641, 31.641) * CHOOSE(CONTROL!$C$21, $C$9, 100%, $E$9)</f>
        <v>31.640999999999998</v>
      </c>
      <c r="Q553" s="14">
        <f>CHOOSE(CONTROL!$C$42, 32.2329, 32.2329) * CHOOSE(CONTROL!$C$21, $C$9, 100%, $E$9)</f>
        <v>32.232900000000001</v>
      </c>
      <c r="R553" s="14">
        <f>CHOOSE(CONTROL!$C$42, 32.9005, 32.9005) * CHOOSE(CONTROL!$C$21, $C$9, 100%, $E$9)</f>
        <v>32.900500000000001</v>
      </c>
      <c r="S553" s="14">
        <f>CHOOSE(CONTROL!$C$42, 30.8248, 30.8248) * CHOOSE(CONTROL!$C$21, $C$9, 100%, $E$9)</f>
        <v>30.8248</v>
      </c>
      <c r="T55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53" s="56">
        <f>(1000*CHOOSE(CONTROL!$C$42, 695, 695)*CHOOSE(CONTROL!$C$42, 0.5599, 0.5599)*CHOOSE(CONTROL!$C$42, 31, 31))/1000000</f>
        <v>12.063045499999998</v>
      </c>
      <c r="V553" s="56">
        <f>(1000*CHOOSE(CONTROL!$C$42, 500, 500)*CHOOSE(CONTROL!$C$42, 0.275, 0.275)*CHOOSE(CONTROL!$C$42, 31, 31))/1000000</f>
        <v>4.2625000000000002</v>
      </c>
      <c r="W553" s="56">
        <f>(1000*CHOOSE(CONTROL!$C$42, 0.1146, 0.1146)*CHOOSE(CONTROL!$C$42, 121.5, 121.5)*CHOOSE(CONTROL!$C$42, 31, 31))/1000000</f>
        <v>0.43164089999999994</v>
      </c>
      <c r="X553" s="56">
        <f>(31*0.1790888*100000/1000000)+(31*0.2374*100000/1000000)</f>
        <v>1.2911152800000001</v>
      </c>
      <c r="Y553" s="56"/>
      <c r="Z553" s="14"/>
      <c r="AA553" s="55"/>
      <c r="AB553" s="49">
        <f>(B553*122.58+C553*297.941+D553*89.177+E553*40.302+F553*40+G553*160+H553*0+I553*100+J553*300)/(122.58+297.941+89.177+40.302+0+40+160+100+300)</f>
        <v>32.125156892782606</v>
      </c>
      <c r="AC553" s="45">
        <f>(M553*'RAP TEMPLATE-GAS AVAILABILITY'!O552+N553*'RAP TEMPLATE-GAS AVAILABILITY'!P552+O553*'RAP TEMPLATE-GAS AVAILABILITY'!Q552+P553*'RAP TEMPLATE-GAS AVAILABILITY'!R552)/('RAP TEMPLATE-GAS AVAILABILITY'!O552+'RAP TEMPLATE-GAS AVAILABILITY'!P552+'RAP TEMPLATE-GAS AVAILABILITY'!Q552+'RAP TEMPLATE-GAS AVAILABILITY'!R552)</f>
        <v>31.599448920863306</v>
      </c>
    </row>
    <row r="554" spans="1:29" ht="15.75" x14ac:dyDescent="0.25">
      <c r="A554" s="32">
        <v>57769</v>
      </c>
      <c r="B554" s="14">
        <f>CHOOSE(CONTROL!$C$42, 32.6591, 32.6591) * CHOOSE(CONTROL!$C$21, $C$9, 100%, $E$9)</f>
        <v>32.659100000000002</v>
      </c>
      <c r="C554" s="14">
        <f>CHOOSE(CONTROL!$C$42, 32.6641, 32.6641) * CHOOSE(CONTROL!$C$21, $C$9, 100%, $E$9)</f>
        <v>32.664099999999998</v>
      </c>
      <c r="D554" s="14">
        <f>CHOOSE(CONTROL!$C$42, 32.7576, 32.7576) * CHOOSE(CONTROL!$C$21, $C$9, 100%, $E$9)</f>
        <v>32.757599999999996</v>
      </c>
      <c r="E554" s="14">
        <f>CHOOSE(CONTROL!$C$42, 32.7917, 32.7917) * CHOOSE(CONTROL!$C$21, $C$9, 100%, $E$9)</f>
        <v>32.791699999999999</v>
      </c>
      <c r="F554" s="14">
        <f>CHOOSE(CONTROL!$C$42, 32.686, 32.686)*CHOOSE(CONTROL!$C$21, $C$9, 100%, $E$9)</f>
        <v>32.686</v>
      </c>
      <c r="G554" s="14">
        <f>CHOOSE(CONTROL!$C$42, 32.7039, 32.7039)*CHOOSE(CONTROL!$C$21, $C$9, 100%, $E$9)</f>
        <v>32.703899999999997</v>
      </c>
      <c r="H554" s="14">
        <f>CHOOSE(CONTROL!$C$42, 32.7809, 32.7809) * CHOOSE(CONTROL!$C$21, $C$9, 100%, $E$9)</f>
        <v>32.780900000000003</v>
      </c>
      <c r="I554" s="14">
        <f>CHOOSE(CONTROL!$C$42, 32.7872, 32.7872)* CHOOSE(CONTROL!$C$21, $C$9, 100%, $E$9)</f>
        <v>32.787199999999999</v>
      </c>
      <c r="J554" s="14">
        <f>CHOOSE(CONTROL!$C$42, 32.679, 32.679)* CHOOSE(CONTROL!$C$21, $C$9, 100%, $E$9)</f>
        <v>32.679000000000002</v>
      </c>
      <c r="K554" s="52">
        <f>CHOOSE(CONTROL!$C$42, 32.7834, 32.7834) * CHOOSE(CONTROL!$C$21, $C$9, 100%, $E$9)</f>
        <v>32.7834</v>
      </c>
      <c r="L554" s="14">
        <f>CHOOSE(CONTROL!$C$42, 33.3679, 33.3679) * CHOOSE(CONTROL!$C$21, $C$9, 100%, $E$9)</f>
        <v>33.367899999999999</v>
      </c>
      <c r="M554" s="14">
        <f>CHOOSE(CONTROL!$C$42, 32.0989, 32.0989) * CHOOSE(CONTROL!$C$21, $C$9, 100%, $E$9)</f>
        <v>32.0989</v>
      </c>
      <c r="N554" s="14">
        <f>CHOOSE(CONTROL!$C$42, 32.1165, 32.1165) * CHOOSE(CONTROL!$C$21, $C$9, 100%, $E$9)</f>
        <v>32.116500000000002</v>
      </c>
      <c r="O554" s="14">
        <f>CHOOSE(CONTROL!$C$42, 32.199, 32.199) * CHOOSE(CONTROL!$C$21, $C$9, 100%, $E$9)</f>
        <v>32.198999999999998</v>
      </c>
      <c r="P554" s="14">
        <f>CHOOSE(CONTROL!$C$42, 32.2035, 32.2035) * CHOOSE(CONTROL!$C$21, $C$9, 100%, $E$9)</f>
        <v>32.203499999999998</v>
      </c>
      <c r="Q554" s="14">
        <f>CHOOSE(CONTROL!$C$42, 32.7937, 32.7937) * CHOOSE(CONTROL!$C$21, $C$9, 100%, $E$9)</f>
        <v>32.793700000000001</v>
      </c>
      <c r="R554" s="14">
        <f>CHOOSE(CONTROL!$C$42, 33.4627, 33.4627) * CHOOSE(CONTROL!$C$21, $C$9, 100%, $E$9)</f>
        <v>33.462699999999998</v>
      </c>
      <c r="S554" s="14">
        <f>CHOOSE(CONTROL!$C$42, 31.3736, 31.3736) * CHOOSE(CONTROL!$C$21, $C$9, 100%, $E$9)</f>
        <v>31.3736</v>
      </c>
      <c r="T55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54" s="56">
        <f>(1000*CHOOSE(CONTROL!$C$42, 695, 695)*CHOOSE(CONTROL!$C$42, 0.5599, 0.5599)*CHOOSE(CONTROL!$C$42, 28, 28))/1000000</f>
        <v>10.895653999999999</v>
      </c>
      <c r="V554" s="56">
        <f>(1000*CHOOSE(CONTROL!$C$42, 500, 500)*CHOOSE(CONTROL!$C$42, 0.275, 0.275)*CHOOSE(CONTROL!$C$42, 28, 28))/1000000</f>
        <v>3.85</v>
      </c>
      <c r="W554" s="56">
        <f>(1000*CHOOSE(CONTROL!$C$42, 0.1146, 0.1146)*CHOOSE(CONTROL!$C$42, 121.5, 121.5)*CHOOSE(CONTROL!$C$42, 28, 28))/1000000</f>
        <v>0.38986920000000003</v>
      </c>
      <c r="X554" s="56">
        <f>(28*0.1790888*100000/1000000)+(28*0.2374*100000/1000000)</f>
        <v>1.16616864</v>
      </c>
      <c r="Y554" s="56"/>
      <c r="Z554" s="14"/>
      <c r="AA554" s="55"/>
      <c r="AB554" s="49">
        <f>(B554*122.58+C554*297.941+D554*89.177+E554*40.302+F554*40+G554*160+H554*0+I554*100+J554*300)/(122.58+297.941+89.177+40.302+0+40+160+100+300)</f>
        <v>32.696179725826092</v>
      </c>
      <c r="AC554" s="45">
        <f>(M554*'RAP TEMPLATE-GAS AVAILABILITY'!O553+N554*'RAP TEMPLATE-GAS AVAILABILITY'!P553+O554*'RAP TEMPLATE-GAS AVAILABILITY'!Q553+P554*'RAP TEMPLATE-GAS AVAILABILITY'!R553)/('RAP TEMPLATE-GAS AVAILABILITY'!O553+'RAP TEMPLATE-GAS AVAILABILITY'!P553+'RAP TEMPLATE-GAS AVAILABILITY'!Q553+'RAP TEMPLATE-GAS AVAILABILITY'!R553)</f>
        <v>32.160332374100712</v>
      </c>
    </row>
    <row r="555" spans="1:29" ht="15.75" x14ac:dyDescent="0.25">
      <c r="A555" s="32">
        <v>57800</v>
      </c>
      <c r="B555" s="14">
        <f>CHOOSE(CONTROL!$C$42, 31.7321, 31.7321) * CHOOSE(CONTROL!$C$21, $C$9, 100%, $E$9)</f>
        <v>31.732099999999999</v>
      </c>
      <c r="C555" s="14">
        <f>CHOOSE(CONTROL!$C$42, 31.7372, 31.7372) * CHOOSE(CONTROL!$C$21, $C$9, 100%, $E$9)</f>
        <v>31.737200000000001</v>
      </c>
      <c r="D555" s="14">
        <f>CHOOSE(CONTROL!$C$42, 31.8307, 31.8307) * CHOOSE(CONTROL!$C$21, $C$9, 100%, $E$9)</f>
        <v>31.8307</v>
      </c>
      <c r="E555" s="14">
        <f>CHOOSE(CONTROL!$C$42, 31.8648, 31.8648) * CHOOSE(CONTROL!$C$21, $C$9, 100%, $E$9)</f>
        <v>31.864799999999999</v>
      </c>
      <c r="F555" s="14">
        <f>CHOOSE(CONTROL!$C$42, 31.7582, 31.7582)*CHOOSE(CONTROL!$C$21, $C$9, 100%, $E$9)</f>
        <v>31.758199999999999</v>
      </c>
      <c r="G555" s="14">
        <f>CHOOSE(CONTROL!$C$42, 31.7758, 31.7758)*CHOOSE(CONTROL!$C$21, $C$9, 100%, $E$9)</f>
        <v>31.7758</v>
      </c>
      <c r="H555" s="14">
        <f>CHOOSE(CONTROL!$C$42, 31.854, 31.854) * CHOOSE(CONTROL!$C$21, $C$9, 100%, $E$9)</f>
        <v>31.853999999999999</v>
      </c>
      <c r="I555" s="14">
        <f>CHOOSE(CONTROL!$C$42, 31.8574, 31.8574)* CHOOSE(CONTROL!$C$21, $C$9, 100%, $E$9)</f>
        <v>31.857399999999998</v>
      </c>
      <c r="J555" s="14">
        <f>CHOOSE(CONTROL!$C$42, 31.7512, 31.7512)* CHOOSE(CONTROL!$C$21, $C$9, 100%, $E$9)</f>
        <v>31.751200000000001</v>
      </c>
      <c r="K555" s="52">
        <f>CHOOSE(CONTROL!$C$42, 31.8535, 31.8535) * CHOOSE(CONTROL!$C$21, $C$9, 100%, $E$9)</f>
        <v>31.8535</v>
      </c>
      <c r="L555" s="14">
        <f>CHOOSE(CONTROL!$C$42, 32.441, 32.441) * CHOOSE(CONTROL!$C$21, $C$9, 100%, $E$9)</f>
        <v>32.441000000000003</v>
      </c>
      <c r="M555" s="14">
        <f>CHOOSE(CONTROL!$C$42, 31.1878, 31.1878) * CHOOSE(CONTROL!$C$21, $C$9, 100%, $E$9)</f>
        <v>31.187799999999999</v>
      </c>
      <c r="N555" s="14">
        <f>CHOOSE(CONTROL!$C$42, 31.2051, 31.2051) * CHOOSE(CONTROL!$C$21, $C$9, 100%, $E$9)</f>
        <v>31.205100000000002</v>
      </c>
      <c r="O555" s="14">
        <f>CHOOSE(CONTROL!$C$42, 31.2887, 31.2887) * CHOOSE(CONTROL!$C$21, $C$9, 100%, $E$9)</f>
        <v>31.288699999999999</v>
      </c>
      <c r="P555" s="14">
        <f>CHOOSE(CONTROL!$C$42, 31.2904, 31.2904) * CHOOSE(CONTROL!$C$21, $C$9, 100%, $E$9)</f>
        <v>31.290400000000002</v>
      </c>
      <c r="Q555" s="14">
        <f>CHOOSE(CONTROL!$C$42, 31.8834, 31.8834) * CHOOSE(CONTROL!$C$21, $C$9, 100%, $E$9)</f>
        <v>31.883400000000002</v>
      </c>
      <c r="R555" s="14">
        <f>CHOOSE(CONTROL!$C$42, 32.5501, 32.5501) * CHOOSE(CONTROL!$C$21, $C$9, 100%, $E$9)</f>
        <v>32.5501</v>
      </c>
      <c r="S555" s="14">
        <f>CHOOSE(CONTROL!$C$42, 30.4829, 30.4829) * CHOOSE(CONTROL!$C$21, $C$9, 100%, $E$9)</f>
        <v>30.482900000000001</v>
      </c>
      <c r="T55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55" s="56">
        <f>(1000*CHOOSE(CONTROL!$C$42, 695, 695)*CHOOSE(CONTROL!$C$42, 0.5599, 0.5599)*CHOOSE(CONTROL!$C$42, 31, 31))/1000000</f>
        <v>12.063045499999998</v>
      </c>
      <c r="V555" s="56">
        <f>(1000*CHOOSE(CONTROL!$C$42, 500, 500)*CHOOSE(CONTROL!$C$42, 0.275, 0.275)*CHOOSE(CONTROL!$C$42, 31, 31))/1000000</f>
        <v>4.2625000000000002</v>
      </c>
      <c r="W555" s="56">
        <f>(1000*CHOOSE(CONTROL!$C$42, 0.1146, 0.1146)*CHOOSE(CONTROL!$C$42, 121.5, 121.5)*CHOOSE(CONTROL!$C$42, 31, 31))/1000000</f>
        <v>0.43164089999999994</v>
      </c>
      <c r="X555" s="56">
        <f>(31*0.1790888*100000/1000000)+(31*0.2374*100000/1000000)</f>
        <v>1.2911152800000001</v>
      </c>
      <c r="Y555" s="56"/>
      <c r="Z555" s="14"/>
      <c r="AA555" s="55"/>
      <c r="AB555" s="49">
        <f>(B555*122.58+C555*297.941+D555*89.177+E555*40.302+F555*40+G555*160+H555*0+I555*100+J555*300)/(122.58+297.941+89.177+40.302+0+40+160+100+300)</f>
        <v>31.768583849304349</v>
      </c>
      <c r="AC555" s="45">
        <f>(M555*'RAP TEMPLATE-GAS AVAILABILITY'!O554+N555*'RAP TEMPLATE-GAS AVAILABILITY'!P554+O555*'RAP TEMPLATE-GAS AVAILABILITY'!Q554+P555*'RAP TEMPLATE-GAS AVAILABILITY'!R554)/('RAP TEMPLATE-GAS AVAILABILITY'!O554+'RAP TEMPLATE-GAS AVAILABILITY'!P554+'RAP TEMPLATE-GAS AVAILABILITY'!Q554+'RAP TEMPLATE-GAS AVAILABILITY'!R554)</f>
        <v>31.249289928057554</v>
      </c>
    </row>
    <row r="556" spans="1:29" ht="15.75" x14ac:dyDescent="0.25">
      <c r="A556" s="32">
        <v>57830</v>
      </c>
      <c r="B556" s="14">
        <f>CHOOSE(CONTROL!$C$42, 31.6382, 31.6382) * CHOOSE(CONTROL!$C$21, $C$9, 100%, $E$9)</f>
        <v>31.638200000000001</v>
      </c>
      <c r="C556" s="14">
        <f>CHOOSE(CONTROL!$C$42, 31.6426, 31.6426) * CHOOSE(CONTROL!$C$21, $C$9, 100%, $E$9)</f>
        <v>31.642600000000002</v>
      </c>
      <c r="D556" s="14">
        <f>CHOOSE(CONTROL!$C$42, 31.9049, 31.9049) * CHOOSE(CONTROL!$C$21, $C$9, 100%, $E$9)</f>
        <v>31.904900000000001</v>
      </c>
      <c r="E556" s="14">
        <f>CHOOSE(CONTROL!$C$42, 31.937, 31.937) * CHOOSE(CONTROL!$C$21, $C$9, 100%, $E$9)</f>
        <v>31.937000000000001</v>
      </c>
      <c r="F556" s="14">
        <f>CHOOSE(CONTROL!$C$42, 31.661, 31.661)*CHOOSE(CONTROL!$C$21, $C$9, 100%, $E$9)</f>
        <v>31.661000000000001</v>
      </c>
      <c r="G556" s="14">
        <f>CHOOSE(CONTROL!$C$42, 31.6777, 31.6777)*CHOOSE(CONTROL!$C$21, $C$9, 100%, $E$9)</f>
        <v>31.677700000000002</v>
      </c>
      <c r="H556" s="14">
        <f>CHOOSE(CONTROL!$C$42, 31.9268, 31.9268) * CHOOSE(CONTROL!$C$21, $C$9, 100%, $E$9)</f>
        <v>31.9268</v>
      </c>
      <c r="I556" s="14">
        <f>CHOOSE(CONTROL!$C$42, 31.7597, 31.7597)* CHOOSE(CONTROL!$C$21, $C$9, 100%, $E$9)</f>
        <v>31.759699999999999</v>
      </c>
      <c r="J556" s="14">
        <f>CHOOSE(CONTROL!$C$42, 31.654, 31.654)* CHOOSE(CONTROL!$C$21, $C$9, 100%, $E$9)</f>
        <v>31.654</v>
      </c>
      <c r="K556" s="52">
        <f>CHOOSE(CONTROL!$C$42, 31.7559, 31.7559) * CHOOSE(CONTROL!$C$21, $C$9, 100%, $E$9)</f>
        <v>31.7559</v>
      </c>
      <c r="L556" s="14">
        <f>CHOOSE(CONTROL!$C$42, 32.5138, 32.5138) * CHOOSE(CONTROL!$C$21, $C$9, 100%, $E$9)</f>
        <v>32.513800000000003</v>
      </c>
      <c r="M556" s="14">
        <f>CHOOSE(CONTROL!$C$42, 31.0923, 31.0923) * CHOOSE(CONTROL!$C$21, $C$9, 100%, $E$9)</f>
        <v>31.092300000000002</v>
      </c>
      <c r="N556" s="14">
        <f>CHOOSE(CONTROL!$C$42, 31.1087, 31.1087) * CHOOSE(CONTROL!$C$21, $C$9, 100%, $E$9)</f>
        <v>31.108699999999999</v>
      </c>
      <c r="O556" s="14">
        <f>CHOOSE(CONTROL!$C$42, 31.3602, 31.3602) * CHOOSE(CONTROL!$C$21, $C$9, 100%, $E$9)</f>
        <v>31.360199999999999</v>
      </c>
      <c r="P556" s="14">
        <f>CHOOSE(CONTROL!$C$42, 31.1945, 31.1945) * CHOOSE(CONTROL!$C$21, $C$9, 100%, $E$9)</f>
        <v>31.194500000000001</v>
      </c>
      <c r="Q556" s="14">
        <f>CHOOSE(CONTROL!$C$42, 31.9549, 31.9549) * CHOOSE(CONTROL!$C$21, $C$9, 100%, $E$9)</f>
        <v>31.954899999999999</v>
      </c>
      <c r="R556" s="14">
        <f>CHOOSE(CONTROL!$C$42, 32.6218, 32.6218) * CHOOSE(CONTROL!$C$21, $C$9, 100%, $E$9)</f>
        <v>32.6218</v>
      </c>
      <c r="S556" s="14">
        <f>CHOOSE(CONTROL!$C$42, 30.3918, 30.3918) * CHOOSE(CONTROL!$C$21, $C$9, 100%, $E$9)</f>
        <v>30.3918</v>
      </c>
      <c r="T55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56" s="56">
        <f>(1000*CHOOSE(CONTROL!$C$42, 695, 695)*CHOOSE(CONTROL!$C$42, 0.5599, 0.5599)*CHOOSE(CONTROL!$C$42, 30, 30))/1000000</f>
        <v>11.673914999999997</v>
      </c>
      <c r="V556" s="56">
        <f>(1000*CHOOSE(CONTROL!$C$42, 500, 500)*CHOOSE(CONTROL!$C$42, 0.275, 0.275)*CHOOSE(CONTROL!$C$42, 30, 30))/1000000</f>
        <v>4.125</v>
      </c>
      <c r="W556" s="56">
        <f>(1000*CHOOSE(CONTROL!$C$42, 0.1146, 0.1146)*CHOOSE(CONTROL!$C$42, 121.5, 121.5)*CHOOSE(CONTROL!$C$42, 30, 30))/1000000</f>
        <v>0.417717</v>
      </c>
      <c r="X556" s="56">
        <f>(30*0.1790888*245000/1000000)+(30*0.2374*100000/1000000)</f>
        <v>2.0285026799999999</v>
      </c>
      <c r="Y556" s="56"/>
      <c r="Z556" s="14"/>
      <c r="AA556" s="55"/>
      <c r="AB556" s="49">
        <f>(B556*141.293+C556*267.993+D556*115.016+E556*89.698+F556*40+G556*185+H556*0+I556*100+J556*300)/(141.293+267.993+115.016+89.698+0+40+185+100+300)</f>
        <v>31.705807101533495</v>
      </c>
      <c r="AC556" s="45">
        <f>(M556*'RAP TEMPLATE-GAS AVAILABILITY'!O555+N556*'RAP TEMPLATE-GAS AVAILABILITY'!P555+O556*'RAP TEMPLATE-GAS AVAILABILITY'!Q555+P556*'RAP TEMPLATE-GAS AVAILABILITY'!R555)/('RAP TEMPLATE-GAS AVAILABILITY'!O555+'RAP TEMPLATE-GAS AVAILABILITY'!P555+'RAP TEMPLATE-GAS AVAILABILITY'!Q555+'RAP TEMPLATE-GAS AVAILABILITY'!R555)</f>
        <v>31.185946762589928</v>
      </c>
    </row>
    <row r="557" spans="1:29" ht="15.75" x14ac:dyDescent="0.25">
      <c r="A557" s="32">
        <v>57861</v>
      </c>
      <c r="B557" s="14">
        <f>CHOOSE(CONTROL!$C$42, 31.9187, 31.9187) * CHOOSE(CONTROL!$C$21, $C$9, 100%, $E$9)</f>
        <v>31.918700000000001</v>
      </c>
      <c r="C557" s="14">
        <f>CHOOSE(CONTROL!$C$42, 31.9267, 31.9267) * CHOOSE(CONTROL!$C$21, $C$9, 100%, $E$9)</f>
        <v>31.9267</v>
      </c>
      <c r="D557" s="14">
        <f>CHOOSE(CONTROL!$C$42, 32.1858, 32.1858) * CHOOSE(CONTROL!$C$21, $C$9, 100%, $E$9)</f>
        <v>32.1858</v>
      </c>
      <c r="E557" s="14">
        <f>CHOOSE(CONTROL!$C$42, 32.2173, 32.2173) * CHOOSE(CONTROL!$C$21, $C$9, 100%, $E$9)</f>
        <v>32.217300000000002</v>
      </c>
      <c r="F557" s="14">
        <f>CHOOSE(CONTROL!$C$42, 31.9402, 31.9402)*CHOOSE(CONTROL!$C$21, $C$9, 100%, $E$9)</f>
        <v>31.940200000000001</v>
      </c>
      <c r="G557" s="14">
        <f>CHOOSE(CONTROL!$C$42, 31.9572, 31.9572)*CHOOSE(CONTROL!$C$21, $C$9, 100%, $E$9)</f>
        <v>31.9572</v>
      </c>
      <c r="H557" s="14">
        <f>CHOOSE(CONTROL!$C$42, 32.2059, 32.2059) * CHOOSE(CONTROL!$C$21, $C$9, 100%, $E$9)</f>
        <v>32.2059</v>
      </c>
      <c r="I557" s="14">
        <f>CHOOSE(CONTROL!$C$42, 32.0398, 32.0398)* CHOOSE(CONTROL!$C$21, $C$9, 100%, $E$9)</f>
        <v>32.0398</v>
      </c>
      <c r="J557" s="14">
        <f>CHOOSE(CONTROL!$C$42, 31.9332, 31.9332)* CHOOSE(CONTROL!$C$21, $C$9, 100%, $E$9)</f>
        <v>31.933199999999999</v>
      </c>
      <c r="K557" s="52">
        <f>CHOOSE(CONTROL!$C$42, 32.0359, 32.0359) * CHOOSE(CONTROL!$C$21, $C$9, 100%, $E$9)</f>
        <v>32.035899999999998</v>
      </c>
      <c r="L557" s="14">
        <f>CHOOSE(CONTROL!$C$42, 32.7929, 32.7929) * CHOOSE(CONTROL!$C$21, $C$9, 100%, $E$9)</f>
        <v>32.792900000000003</v>
      </c>
      <c r="M557" s="14">
        <f>CHOOSE(CONTROL!$C$42, 31.3665, 31.3665) * CHOOSE(CONTROL!$C$21, $C$9, 100%, $E$9)</f>
        <v>31.366499999999998</v>
      </c>
      <c r="N557" s="14">
        <f>CHOOSE(CONTROL!$C$42, 31.3832, 31.3832) * CHOOSE(CONTROL!$C$21, $C$9, 100%, $E$9)</f>
        <v>31.383199999999999</v>
      </c>
      <c r="O557" s="14">
        <f>CHOOSE(CONTROL!$C$42, 31.6343, 31.6343) * CHOOSE(CONTROL!$C$21, $C$9, 100%, $E$9)</f>
        <v>31.6343</v>
      </c>
      <c r="P557" s="14">
        <f>CHOOSE(CONTROL!$C$42, 31.4695, 31.4695) * CHOOSE(CONTROL!$C$21, $C$9, 100%, $E$9)</f>
        <v>31.4695</v>
      </c>
      <c r="Q557" s="14">
        <f>CHOOSE(CONTROL!$C$42, 32.229, 32.229) * CHOOSE(CONTROL!$C$21, $C$9, 100%, $E$9)</f>
        <v>32.228999999999999</v>
      </c>
      <c r="R557" s="14">
        <f>CHOOSE(CONTROL!$C$42, 32.8966, 32.8966) * CHOOSE(CONTROL!$C$21, $C$9, 100%, $E$9)</f>
        <v>32.896599999999999</v>
      </c>
      <c r="S557" s="14">
        <f>CHOOSE(CONTROL!$C$42, 30.66, 30.66) * CHOOSE(CONTROL!$C$21, $C$9, 100%, $E$9)</f>
        <v>30.66</v>
      </c>
      <c r="T55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57" s="56">
        <f>(1000*CHOOSE(CONTROL!$C$42, 695, 695)*CHOOSE(CONTROL!$C$42, 0.5599, 0.5599)*CHOOSE(CONTROL!$C$42, 31, 31))/1000000</f>
        <v>12.063045499999998</v>
      </c>
      <c r="V557" s="56">
        <f>(1000*CHOOSE(CONTROL!$C$42, 500, 500)*CHOOSE(CONTROL!$C$42, 0.275, 0.275)*CHOOSE(CONTROL!$C$42, 31, 31))/1000000</f>
        <v>4.2625000000000002</v>
      </c>
      <c r="W557" s="56">
        <f>(1000*CHOOSE(CONTROL!$C$42, 0.1146, 0.1146)*CHOOSE(CONTROL!$C$42, 121.5, 121.5)*CHOOSE(CONTROL!$C$42, 31, 31))/1000000</f>
        <v>0.43164089999999994</v>
      </c>
      <c r="X557" s="56">
        <f>(31*0.1790888*245000/1000000)+(31*0.2374*100000/1000000)</f>
        <v>2.0961194359999999</v>
      </c>
      <c r="Y557" s="56"/>
      <c r="Z557" s="14"/>
      <c r="AA557" s="55"/>
      <c r="AB557" s="49">
        <f>(B557*194.205+C557*267.466+D557*133.845+E557*53.484+F557*40+G557*185+H557*0+I557*100+J557*300)/(194.205+267.466+133.845+53.484+0+40+185+100+300)</f>
        <v>31.980161970094187</v>
      </c>
      <c r="AC557" s="45">
        <f>(M557*'RAP TEMPLATE-GAS AVAILABILITY'!O556+N557*'RAP TEMPLATE-GAS AVAILABILITY'!P556+O557*'RAP TEMPLATE-GAS AVAILABILITY'!Q556+P557*'RAP TEMPLATE-GAS AVAILABILITY'!R556)/('RAP TEMPLATE-GAS AVAILABILITY'!O556+'RAP TEMPLATE-GAS AVAILABILITY'!P556+'RAP TEMPLATE-GAS AVAILABILITY'!Q556+'RAP TEMPLATE-GAS AVAILABILITY'!R556)</f>
        <v>31.460302877697846</v>
      </c>
    </row>
    <row r="558" spans="1:29" ht="15.75" x14ac:dyDescent="0.25">
      <c r="A558" s="32">
        <v>57891</v>
      </c>
      <c r="B558" s="14">
        <f>CHOOSE(CONTROL!$C$42, 32.8238, 32.8238) * CHOOSE(CONTROL!$C$21, $C$9, 100%, $E$9)</f>
        <v>32.823799999999999</v>
      </c>
      <c r="C558" s="14">
        <f>CHOOSE(CONTROL!$C$42, 32.8318, 32.8318) * CHOOSE(CONTROL!$C$21, $C$9, 100%, $E$9)</f>
        <v>32.831800000000001</v>
      </c>
      <c r="D558" s="14">
        <f>CHOOSE(CONTROL!$C$42, 33.0909, 33.0909) * CHOOSE(CONTROL!$C$21, $C$9, 100%, $E$9)</f>
        <v>33.090899999999998</v>
      </c>
      <c r="E558" s="14">
        <f>CHOOSE(CONTROL!$C$42, 33.1224, 33.1224) * CHOOSE(CONTROL!$C$21, $C$9, 100%, $E$9)</f>
        <v>33.122399999999999</v>
      </c>
      <c r="F558" s="14">
        <f>CHOOSE(CONTROL!$C$42, 32.8456, 32.8456)*CHOOSE(CONTROL!$C$21, $C$9, 100%, $E$9)</f>
        <v>32.845599999999997</v>
      </c>
      <c r="G558" s="14">
        <f>CHOOSE(CONTROL!$C$42, 32.8626, 32.8626)*CHOOSE(CONTROL!$C$21, $C$9, 100%, $E$9)</f>
        <v>32.8626</v>
      </c>
      <c r="H558" s="14">
        <f>CHOOSE(CONTROL!$C$42, 33.111, 33.111) * CHOOSE(CONTROL!$C$21, $C$9, 100%, $E$9)</f>
        <v>33.110999999999997</v>
      </c>
      <c r="I558" s="14">
        <f>CHOOSE(CONTROL!$C$42, 32.9477, 32.9477)* CHOOSE(CONTROL!$C$21, $C$9, 100%, $E$9)</f>
        <v>32.947699999999998</v>
      </c>
      <c r="J558" s="14">
        <f>CHOOSE(CONTROL!$C$42, 32.8386, 32.8386)* CHOOSE(CONTROL!$C$21, $C$9, 100%, $E$9)</f>
        <v>32.8386</v>
      </c>
      <c r="K558" s="52">
        <f>CHOOSE(CONTROL!$C$42, 32.9438, 32.9438) * CHOOSE(CONTROL!$C$21, $C$9, 100%, $E$9)</f>
        <v>32.943800000000003</v>
      </c>
      <c r="L558" s="14">
        <f>CHOOSE(CONTROL!$C$42, 33.698, 33.698) * CHOOSE(CONTROL!$C$21, $C$9, 100%, $E$9)</f>
        <v>33.698</v>
      </c>
      <c r="M558" s="14">
        <f>CHOOSE(CONTROL!$C$42, 32.2556, 32.2556) * CHOOSE(CONTROL!$C$21, $C$9, 100%, $E$9)</f>
        <v>32.255600000000001</v>
      </c>
      <c r="N558" s="14">
        <f>CHOOSE(CONTROL!$C$42, 32.2723, 32.2723) * CHOOSE(CONTROL!$C$21, $C$9, 100%, $E$9)</f>
        <v>32.272300000000001</v>
      </c>
      <c r="O558" s="14">
        <f>CHOOSE(CONTROL!$C$42, 32.5231, 32.5231) * CHOOSE(CONTROL!$C$21, $C$9, 100%, $E$9)</f>
        <v>32.523099999999999</v>
      </c>
      <c r="P558" s="14">
        <f>CHOOSE(CONTROL!$C$42, 32.361, 32.361) * CHOOSE(CONTROL!$C$21, $C$9, 100%, $E$9)</f>
        <v>32.360999999999997</v>
      </c>
      <c r="Q558" s="14">
        <f>CHOOSE(CONTROL!$C$42, 33.1178, 33.1178) * CHOOSE(CONTROL!$C$21, $C$9, 100%, $E$9)</f>
        <v>33.117800000000003</v>
      </c>
      <c r="R558" s="14">
        <f>CHOOSE(CONTROL!$C$42, 33.7876, 33.7876) * CHOOSE(CONTROL!$C$21, $C$9, 100%, $E$9)</f>
        <v>33.787599999999998</v>
      </c>
      <c r="S558" s="14">
        <f>CHOOSE(CONTROL!$C$42, 31.5297, 31.5297) * CHOOSE(CONTROL!$C$21, $C$9, 100%, $E$9)</f>
        <v>31.529699999999998</v>
      </c>
      <c r="T55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58" s="56">
        <f>(1000*CHOOSE(CONTROL!$C$42, 695, 695)*CHOOSE(CONTROL!$C$42, 0.5599, 0.5599)*CHOOSE(CONTROL!$C$42, 30, 30))/1000000</f>
        <v>11.673914999999997</v>
      </c>
      <c r="V558" s="56">
        <f>(1000*CHOOSE(CONTROL!$C$42, 500, 500)*CHOOSE(CONTROL!$C$42, 0.275, 0.275)*CHOOSE(CONTROL!$C$42, 30, 30))/1000000</f>
        <v>4.125</v>
      </c>
      <c r="W558" s="56">
        <f>(1000*CHOOSE(CONTROL!$C$42, 0.1146, 0.1146)*CHOOSE(CONTROL!$C$42, 121.5, 121.5)*CHOOSE(CONTROL!$C$42, 30, 30))/1000000</f>
        <v>0.417717</v>
      </c>
      <c r="X558" s="56">
        <f>(30*0.1790888*245000/1000000)+(30*0.2374*100000/1000000)</f>
        <v>2.0285026799999999</v>
      </c>
      <c r="Y558" s="56"/>
      <c r="Z558" s="14"/>
      <c r="AA558" s="55"/>
      <c r="AB558" s="49">
        <f>(B558*194.205+C558*267.466+D558*133.845+E558*53.484+F558*40+G558*185+H558*0+I558*100+J558*300)/(194.205+267.466+133.845+53.484+0+40+185+100+300)</f>
        <v>32.8856053766876</v>
      </c>
      <c r="AC558" s="45">
        <f>(M558*'RAP TEMPLATE-GAS AVAILABILITY'!O557+N558*'RAP TEMPLATE-GAS AVAILABILITY'!P557+O558*'RAP TEMPLATE-GAS AVAILABILITY'!Q557+P558*'RAP TEMPLATE-GAS AVAILABILITY'!R557)/('RAP TEMPLATE-GAS AVAILABILITY'!O557+'RAP TEMPLATE-GAS AVAILABILITY'!P557+'RAP TEMPLATE-GAS AVAILABILITY'!Q557+'RAP TEMPLATE-GAS AVAILABILITY'!R557)</f>
        <v>32.349664028776978</v>
      </c>
    </row>
    <row r="559" spans="1:29" ht="15.75" x14ac:dyDescent="0.25">
      <c r="A559" s="32">
        <v>57922</v>
      </c>
      <c r="B559" s="14">
        <f>CHOOSE(CONTROL!$C$42, 32.1943, 32.1943) * CHOOSE(CONTROL!$C$21, $C$9, 100%, $E$9)</f>
        <v>32.194299999999998</v>
      </c>
      <c r="C559" s="14">
        <f>CHOOSE(CONTROL!$C$42, 32.2023, 32.2023) * CHOOSE(CONTROL!$C$21, $C$9, 100%, $E$9)</f>
        <v>32.202300000000001</v>
      </c>
      <c r="D559" s="14">
        <f>CHOOSE(CONTROL!$C$42, 32.4614, 32.4614) * CHOOSE(CONTROL!$C$21, $C$9, 100%, $E$9)</f>
        <v>32.461399999999998</v>
      </c>
      <c r="E559" s="14">
        <f>CHOOSE(CONTROL!$C$42, 32.4929, 32.4929) * CHOOSE(CONTROL!$C$21, $C$9, 100%, $E$9)</f>
        <v>32.492899999999999</v>
      </c>
      <c r="F559" s="14">
        <f>CHOOSE(CONTROL!$C$42, 32.2165, 32.2165)*CHOOSE(CONTROL!$C$21, $C$9, 100%, $E$9)</f>
        <v>32.216500000000003</v>
      </c>
      <c r="G559" s="14">
        <f>CHOOSE(CONTROL!$C$42, 32.2337, 32.2337)*CHOOSE(CONTROL!$C$21, $C$9, 100%, $E$9)</f>
        <v>32.233699999999999</v>
      </c>
      <c r="H559" s="14">
        <f>CHOOSE(CONTROL!$C$42, 32.4815, 32.4815) * CHOOSE(CONTROL!$C$21, $C$9, 100%, $E$9)</f>
        <v>32.481499999999997</v>
      </c>
      <c r="I559" s="14">
        <f>CHOOSE(CONTROL!$C$42, 32.3162, 32.3162)* CHOOSE(CONTROL!$C$21, $C$9, 100%, $E$9)</f>
        <v>32.316200000000002</v>
      </c>
      <c r="J559" s="14">
        <f>CHOOSE(CONTROL!$C$42, 32.2095, 32.2095)* CHOOSE(CONTROL!$C$21, $C$9, 100%, $E$9)</f>
        <v>32.209499999999998</v>
      </c>
      <c r="K559" s="52">
        <f>CHOOSE(CONTROL!$C$42, 32.3123, 32.3123) * CHOOSE(CONTROL!$C$21, $C$9, 100%, $E$9)</f>
        <v>32.3123</v>
      </c>
      <c r="L559" s="14">
        <f>CHOOSE(CONTROL!$C$42, 33.0685, 33.0685) * CHOOSE(CONTROL!$C$21, $C$9, 100%, $E$9)</f>
        <v>33.0685</v>
      </c>
      <c r="M559" s="14">
        <f>CHOOSE(CONTROL!$C$42, 31.6379, 31.6379) * CHOOSE(CONTROL!$C$21, $C$9, 100%, $E$9)</f>
        <v>31.637899999999998</v>
      </c>
      <c r="N559" s="14">
        <f>CHOOSE(CONTROL!$C$42, 31.6547, 31.6547) * CHOOSE(CONTROL!$C$21, $C$9, 100%, $E$9)</f>
        <v>31.654699999999998</v>
      </c>
      <c r="O559" s="14">
        <f>CHOOSE(CONTROL!$C$42, 31.905, 31.905) * CHOOSE(CONTROL!$C$21, $C$9, 100%, $E$9)</f>
        <v>31.905000000000001</v>
      </c>
      <c r="P559" s="14">
        <f>CHOOSE(CONTROL!$C$42, 31.7409, 31.7409) * CHOOSE(CONTROL!$C$21, $C$9, 100%, $E$9)</f>
        <v>31.7409</v>
      </c>
      <c r="Q559" s="14">
        <f>CHOOSE(CONTROL!$C$42, 32.4997, 32.4997) * CHOOSE(CONTROL!$C$21, $C$9, 100%, $E$9)</f>
        <v>32.499699999999997</v>
      </c>
      <c r="R559" s="14">
        <f>CHOOSE(CONTROL!$C$42, 33.1679, 33.1679) * CHOOSE(CONTROL!$C$21, $C$9, 100%, $E$9)</f>
        <v>33.167900000000003</v>
      </c>
      <c r="S559" s="14">
        <f>CHOOSE(CONTROL!$C$42, 30.9249, 30.9249) * CHOOSE(CONTROL!$C$21, $C$9, 100%, $E$9)</f>
        <v>30.924900000000001</v>
      </c>
      <c r="T55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59" s="56">
        <f>(1000*CHOOSE(CONTROL!$C$42, 695, 695)*CHOOSE(CONTROL!$C$42, 0.5599, 0.5599)*CHOOSE(CONTROL!$C$42, 31, 31))/1000000</f>
        <v>12.063045499999998</v>
      </c>
      <c r="V559" s="56">
        <f>(1000*CHOOSE(CONTROL!$C$42, 500, 500)*CHOOSE(CONTROL!$C$42, 0.275, 0.275)*CHOOSE(CONTROL!$C$42, 31, 31))/1000000</f>
        <v>4.2625000000000002</v>
      </c>
      <c r="W559" s="56">
        <f>(1000*CHOOSE(CONTROL!$C$42, 0.1146, 0.1146)*CHOOSE(CONTROL!$C$42, 121.5, 121.5)*CHOOSE(CONTROL!$C$42, 31, 31))/1000000</f>
        <v>0.43164089999999994</v>
      </c>
      <c r="X559" s="56">
        <f>(31*0.1790888*245000/1000000)+(31*0.2374*100000/1000000)</f>
        <v>2.0961194359999999</v>
      </c>
      <c r="Y559" s="56"/>
      <c r="Z559" s="14"/>
      <c r="AA559" s="55"/>
      <c r="AB559" s="49">
        <f>(B559*194.205+C559*267.466+D559*133.845+E559*53.484+F559*40+G559*185+H559*0+I559*100+J559*300)/(194.205+267.466+133.845+53.484+0+40+185+100+300)</f>
        <v>32.256142268367348</v>
      </c>
      <c r="AC559" s="45">
        <f>(M559*'RAP TEMPLATE-GAS AVAILABILITY'!O558+N559*'RAP TEMPLATE-GAS AVAILABILITY'!P558+O559*'RAP TEMPLATE-GAS AVAILABILITY'!Q558+P559*'RAP TEMPLATE-GAS AVAILABILITY'!R558)/('RAP TEMPLATE-GAS AVAILABILITY'!O558+'RAP TEMPLATE-GAS AVAILABILITY'!P558+'RAP TEMPLATE-GAS AVAILABILITY'!Q558+'RAP TEMPLATE-GAS AVAILABILITY'!R558)</f>
        <v>31.731529496402874</v>
      </c>
    </row>
    <row r="560" spans="1:29" ht="15.75" x14ac:dyDescent="0.25">
      <c r="A560" s="32">
        <v>57953</v>
      </c>
      <c r="B560" s="14">
        <f>CHOOSE(CONTROL!$C$42, 30.6046, 30.6046) * CHOOSE(CONTROL!$C$21, $C$9, 100%, $E$9)</f>
        <v>30.604600000000001</v>
      </c>
      <c r="C560" s="14">
        <f>CHOOSE(CONTROL!$C$42, 30.6127, 30.6127) * CHOOSE(CONTROL!$C$21, $C$9, 100%, $E$9)</f>
        <v>30.6127</v>
      </c>
      <c r="D560" s="14">
        <f>CHOOSE(CONTROL!$C$42, 30.8718, 30.8718) * CHOOSE(CONTROL!$C$21, $C$9, 100%, $E$9)</f>
        <v>30.8718</v>
      </c>
      <c r="E560" s="14">
        <f>CHOOSE(CONTROL!$C$42, 30.9032, 30.9032) * CHOOSE(CONTROL!$C$21, $C$9, 100%, $E$9)</f>
        <v>30.903199999999998</v>
      </c>
      <c r="F560" s="14">
        <f>CHOOSE(CONTROL!$C$42, 30.627, 30.627)*CHOOSE(CONTROL!$C$21, $C$9, 100%, $E$9)</f>
        <v>30.626999999999999</v>
      </c>
      <c r="G560" s="14">
        <f>CHOOSE(CONTROL!$C$42, 30.6442, 30.6442)*CHOOSE(CONTROL!$C$21, $C$9, 100%, $E$9)</f>
        <v>30.644200000000001</v>
      </c>
      <c r="H560" s="14">
        <f>CHOOSE(CONTROL!$C$42, 30.8919, 30.8919) * CHOOSE(CONTROL!$C$21, $C$9, 100%, $E$9)</f>
        <v>30.8919</v>
      </c>
      <c r="I560" s="14">
        <f>CHOOSE(CONTROL!$C$42, 30.7216, 30.7216)* CHOOSE(CONTROL!$C$21, $C$9, 100%, $E$9)</f>
        <v>30.721599999999999</v>
      </c>
      <c r="J560" s="14">
        <f>CHOOSE(CONTROL!$C$42, 30.62, 30.62)* CHOOSE(CONTROL!$C$21, $C$9, 100%, $E$9)</f>
        <v>30.62</v>
      </c>
      <c r="K560" s="52">
        <f>CHOOSE(CONTROL!$C$42, 30.7177, 30.7177) * CHOOSE(CONTROL!$C$21, $C$9, 100%, $E$9)</f>
        <v>30.717700000000001</v>
      </c>
      <c r="L560" s="14">
        <f>CHOOSE(CONTROL!$C$42, 31.4789, 31.4789) * CHOOSE(CONTROL!$C$21, $C$9, 100%, $E$9)</f>
        <v>31.478899999999999</v>
      </c>
      <c r="M560" s="14">
        <f>CHOOSE(CONTROL!$C$42, 30.077, 30.077) * CHOOSE(CONTROL!$C$21, $C$9, 100%, $E$9)</f>
        <v>30.077000000000002</v>
      </c>
      <c r="N560" s="14">
        <f>CHOOSE(CONTROL!$C$42, 30.0939, 30.0939) * CHOOSE(CONTROL!$C$21, $C$9, 100%, $E$9)</f>
        <v>30.093900000000001</v>
      </c>
      <c r="O560" s="14">
        <f>CHOOSE(CONTROL!$C$42, 30.3439, 30.3439) * CHOOSE(CONTROL!$C$21, $C$9, 100%, $E$9)</f>
        <v>30.343900000000001</v>
      </c>
      <c r="P560" s="14">
        <f>CHOOSE(CONTROL!$C$42, 30.1751, 30.1751) * CHOOSE(CONTROL!$C$21, $C$9, 100%, $E$9)</f>
        <v>30.1751</v>
      </c>
      <c r="Q560" s="14">
        <f>CHOOSE(CONTROL!$C$42, 30.9386, 30.9386) * CHOOSE(CONTROL!$C$21, $C$9, 100%, $E$9)</f>
        <v>30.938600000000001</v>
      </c>
      <c r="R560" s="14">
        <f>CHOOSE(CONTROL!$C$42, 31.6029, 31.6029) * CHOOSE(CONTROL!$C$21, $C$9, 100%, $E$9)</f>
        <v>31.602900000000002</v>
      </c>
      <c r="S560" s="14">
        <f>CHOOSE(CONTROL!$C$42, 29.3974, 29.3974) * CHOOSE(CONTROL!$C$21, $C$9, 100%, $E$9)</f>
        <v>29.397400000000001</v>
      </c>
      <c r="T56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60" s="56">
        <f>(1000*CHOOSE(CONTROL!$C$42, 695, 695)*CHOOSE(CONTROL!$C$42, 0.5599, 0.5599)*CHOOSE(CONTROL!$C$42, 31, 31))/1000000</f>
        <v>12.063045499999998</v>
      </c>
      <c r="V560" s="56">
        <f>(1000*CHOOSE(CONTROL!$C$42, 500, 500)*CHOOSE(CONTROL!$C$42, 0.275, 0.275)*CHOOSE(CONTROL!$C$42, 31, 31))/1000000</f>
        <v>4.2625000000000002</v>
      </c>
      <c r="W560" s="56">
        <f>(1000*CHOOSE(CONTROL!$C$42, 0.1146, 0.1146)*CHOOSE(CONTROL!$C$42, 121.5, 121.5)*CHOOSE(CONTROL!$C$42, 31, 31))/1000000</f>
        <v>0.43164089999999994</v>
      </c>
      <c r="X560" s="56">
        <f>(31*0.1790888*245000/1000000)+(31*0.2374*100000/1000000)</f>
        <v>2.0961194359999999</v>
      </c>
      <c r="Y560" s="56"/>
      <c r="Z560" s="14"/>
      <c r="AA560" s="55"/>
      <c r="AB560" s="49">
        <f>(B560*194.205+C560*267.466+D560*133.845+E560*53.484+F560*40+G560*185+H560*0+I560*100+J560*300)/(194.205+267.466+133.845+53.484+0+40+185+100+300)</f>
        <v>30.666171570643641</v>
      </c>
      <c r="AC560" s="45">
        <f>(M560*'RAP TEMPLATE-GAS AVAILABILITY'!O559+N560*'RAP TEMPLATE-GAS AVAILABILITY'!P559+O560*'RAP TEMPLATE-GAS AVAILABILITY'!Q559+P560*'RAP TEMPLATE-GAS AVAILABILITY'!R559)/('RAP TEMPLATE-GAS AVAILABILITY'!O559+'RAP TEMPLATE-GAS AVAILABILITY'!P559+'RAP TEMPLATE-GAS AVAILABILITY'!Q559+'RAP TEMPLATE-GAS AVAILABILITY'!R559)</f>
        <v>30.16989136690648</v>
      </c>
    </row>
    <row r="561" spans="1:29" ht="15.75" x14ac:dyDescent="0.25">
      <c r="A561" s="32">
        <v>57983</v>
      </c>
      <c r="B561" s="14">
        <f>CHOOSE(CONTROL!$C$42, 28.6621, 28.6621) * CHOOSE(CONTROL!$C$21, $C$9, 100%, $E$9)</f>
        <v>28.662099999999999</v>
      </c>
      <c r="C561" s="14">
        <f>CHOOSE(CONTROL!$C$42, 28.6702, 28.6702) * CHOOSE(CONTROL!$C$21, $C$9, 100%, $E$9)</f>
        <v>28.670200000000001</v>
      </c>
      <c r="D561" s="14">
        <f>CHOOSE(CONTROL!$C$42, 28.9293, 28.9293) * CHOOSE(CONTROL!$C$21, $C$9, 100%, $E$9)</f>
        <v>28.929300000000001</v>
      </c>
      <c r="E561" s="14">
        <f>CHOOSE(CONTROL!$C$42, 28.9607, 28.9607) * CHOOSE(CONTROL!$C$21, $C$9, 100%, $E$9)</f>
        <v>28.960699999999999</v>
      </c>
      <c r="F561" s="14">
        <f>CHOOSE(CONTROL!$C$42, 28.6846, 28.6846)*CHOOSE(CONTROL!$C$21, $C$9, 100%, $E$9)</f>
        <v>28.6846</v>
      </c>
      <c r="G561" s="14">
        <f>CHOOSE(CONTROL!$C$42, 28.7018, 28.7018)*CHOOSE(CONTROL!$C$21, $C$9, 100%, $E$9)</f>
        <v>28.701799999999999</v>
      </c>
      <c r="H561" s="14">
        <f>CHOOSE(CONTROL!$C$42, 28.9494, 28.9494) * CHOOSE(CONTROL!$C$21, $C$9, 100%, $E$9)</f>
        <v>28.949400000000001</v>
      </c>
      <c r="I561" s="14">
        <f>CHOOSE(CONTROL!$C$42, 28.773, 28.773)* CHOOSE(CONTROL!$C$21, $C$9, 100%, $E$9)</f>
        <v>28.773</v>
      </c>
      <c r="J561" s="14">
        <f>CHOOSE(CONTROL!$C$42, 28.6776, 28.6776)* CHOOSE(CONTROL!$C$21, $C$9, 100%, $E$9)</f>
        <v>28.677600000000002</v>
      </c>
      <c r="K561" s="52">
        <f>CHOOSE(CONTROL!$C$42, 28.7691, 28.7691) * CHOOSE(CONTROL!$C$21, $C$9, 100%, $E$9)</f>
        <v>28.769100000000002</v>
      </c>
      <c r="L561" s="14">
        <f>CHOOSE(CONTROL!$C$42, 29.5364, 29.5364) * CHOOSE(CONTROL!$C$21, $C$9, 100%, $E$9)</f>
        <v>29.5364</v>
      </c>
      <c r="M561" s="14">
        <f>CHOOSE(CONTROL!$C$42, 28.1695, 28.1695) * CHOOSE(CONTROL!$C$21, $C$9, 100%, $E$9)</f>
        <v>28.169499999999999</v>
      </c>
      <c r="N561" s="14">
        <f>CHOOSE(CONTROL!$C$42, 28.1864, 28.1864) * CHOOSE(CONTROL!$C$21, $C$9, 100%, $E$9)</f>
        <v>28.186399999999999</v>
      </c>
      <c r="O561" s="14">
        <f>CHOOSE(CONTROL!$C$42, 28.4363, 28.4363) * CHOOSE(CONTROL!$C$21, $C$9, 100%, $E$9)</f>
        <v>28.436299999999999</v>
      </c>
      <c r="P561" s="14">
        <f>CHOOSE(CONTROL!$C$42, 28.2617, 28.2617) * CHOOSE(CONTROL!$C$21, $C$9, 100%, $E$9)</f>
        <v>28.261700000000001</v>
      </c>
      <c r="Q561" s="14">
        <f>CHOOSE(CONTROL!$C$42, 29.031, 29.031) * CHOOSE(CONTROL!$C$21, $C$9, 100%, $E$9)</f>
        <v>29.030999999999999</v>
      </c>
      <c r="R561" s="14">
        <f>CHOOSE(CONTROL!$C$42, 29.6906, 29.6906) * CHOOSE(CONTROL!$C$21, $C$9, 100%, $E$9)</f>
        <v>29.6906</v>
      </c>
      <c r="S561" s="14">
        <f>CHOOSE(CONTROL!$C$42, 27.5308, 27.5308) * CHOOSE(CONTROL!$C$21, $C$9, 100%, $E$9)</f>
        <v>27.530799999999999</v>
      </c>
      <c r="T56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61" s="56">
        <f>(1000*CHOOSE(CONTROL!$C$42, 695, 695)*CHOOSE(CONTROL!$C$42, 0.5599, 0.5599)*CHOOSE(CONTROL!$C$42, 30, 30))/1000000</f>
        <v>11.673914999999997</v>
      </c>
      <c r="V561" s="56">
        <f>(1000*CHOOSE(CONTROL!$C$42, 500, 500)*CHOOSE(CONTROL!$C$42, 0.275, 0.275)*CHOOSE(CONTROL!$C$42, 30, 30))/1000000</f>
        <v>4.125</v>
      </c>
      <c r="W561" s="56">
        <f>(1000*CHOOSE(CONTROL!$C$42, 0.1146, 0.1146)*CHOOSE(CONTROL!$C$42, 121.5, 121.5)*CHOOSE(CONTROL!$C$42, 30, 30))/1000000</f>
        <v>0.417717</v>
      </c>
      <c r="X561" s="56">
        <f>(30*0.1790888*245000/1000000)+(30*0.2374*100000/1000000)</f>
        <v>2.0285026799999999</v>
      </c>
      <c r="Y561" s="56"/>
      <c r="Z561" s="14"/>
      <c r="AA561" s="55"/>
      <c r="AB561" s="49">
        <f>(B561*194.205+C561*267.466+D561*133.845+E561*53.484+F561*40+G561*185+H561*0+I561*100+J561*300)/(194.205+267.466+133.845+53.484+0+40+185+100+300)</f>
        <v>28.723233972527474</v>
      </c>
      <c r="AC561" s="45">
        <f>(M561*'RAP TEMPLATE-GAS AVAILABILITY'!O560+N561*'RAP TEMPLATE-GAS AVAILABILITY'!P560+O561*'RAP TEMPLATE-GAS AVAILABILITY'!Q560+P561*'RAP TEMPLATE-GAS AVAILABILITY'!R560)/('RAP TEMPLATE-GAS AVAILABILITY'!O560+'RAP TEMPLATE-GAS AVAILABILITY'!P560+'RAP TEMPLATE-GAS AVAILABILITY'!Q560+'RAP TEMPLATE-GAS AVAILABILITY'!R560)</f>
        <v>28.261514388489211</v>
      </c>
    </row>
    <row r="562" spans="1:29" ht="15.75" x14ac:dyDescent="0.25">
      <c r="A562" s="32">
        <v>58014</v>
      </c>
      <c r="B562" s="14">
        <f>CHOOSE(CONTROL!$C$42, 28.0787, 28.0787) * CHOOSE(CONTROL!$C$21, $C$9, 100%, $E$9)</f>
        <v>28.078700000000001</v>
      </c>
      <c r="C562" s="14">
        <f>CHOOSE(CONTROL!$C$42, 28.084, 28.084) * CHOOSE(CONTROL!$C$21, $C$9, 100%, $E$9)</f>
        <v>28.084</v>
      </c>
      <c r="D562" s="14">
        <f>CHOOSE(CONTROL!$C$42, 28.348, 28.348) * CHOOSE(CONTROL!$C$21, $C$9, 100%, $E$9)</f>
        <v>28.347999999999999</v>
      </c>
      <c r="E562" s="14">
        <f>CHOOSE(CONTROL!$C$42, 28.3772, 28.3772) * CHOOSE(CONTROL!$C$21, $C$9, 100%, $E$9)</f>
        <v>28.377199999999998</v>
      </c>
      <c r="F562" s="14">
        <f>CHOOSE(CONTROL!$C$42, 28.1033, 28.1033)*CHOOSE(CONTROL!$C$21, $C$9, 100%, $E$9)</f>
        <v>28.103300000000001</v>
      </c>
      <c r="G562" s="14">
        <f>CHOOSE(CONTROL!$C$42, 28.1204, 28.1204)*CHOOSE(CONTROL!$C$21, $C$9, 100%, $E$9)</f>
        <v>28.1204</v>
      </c>
      <c r="H562" s="14">
        <f>CHOOSE(CONTROL!$C$42, 28.3676, 28.3676) * CHOOSE(CONTROL!$C$21, $C$9, 100%, $E$9)</f>
        <v>28.367599999999999</v>
      </c>
      <c r="I562" s="14">
        <f>CHOOSE(CONTROL!$C$42, 28.1895, 28.1895)* CHOOSE(CONTROL!$C$21, $C$9, 100%, $E$9)</f>
        <v>28.189499999999999</v>
      </c>
      <c r="J562" s="14">
        <f>CHOOSE(CONTROL!$C$42, 28.0963, 28.0963)* CHOOSE(CONTROL!$C$21, $C$9, 100%, $E$9)</f>
        <v>28.096299999999999</v>
      </c>
      <c r="K562" s="52">
        <f>CHOOSE(CONTROL!$C$42, 28.1856, 28.1856) * CHOOSE(CONTROL!$C$21, $C$9, 100%, $E$9)</f>
        <v>28.185600000000001</v>
      </c>
      <c r="L562" s="14">
        <f>CHOOSE(CONTROL!$C$42, 28.9546, 28.9546) * CHOOSE(CONTROL!$C$21, $C$9, 100%, $E$9)</f>
        <v>28.954599999999999</v>
      </c>
      <c r="M562" s="14">
        <f>CHOOSE(CONTROL!$C$42, 27.5986, 27.5986) * CHOOSE(CONTROL!$C$21, $C$9, 100%, $E$9)</f>
        <v>27.598600000000001</v>
      </c>
      <c r="N562" s="14">
        <f>CHOOSE(CONTROL!$C$42, 27.6154, 27.6154) * CHOOSE(CONTROL!$C$21, $C$9, 100%, $E$9)</f>
        <v>27.615400000000001</v>
      </c>
      <c r="O562" s="14">
        <f>CHOOSE(CONTROL!$C$42, 27.8651, 27.8651) * CHOOSE(CONTROL!$C$21, $C$9, 100%, $E$9)</f>
        <v>27.865100000000002</v>
      </c>
      <c r="P562" s="14">
        <f>CHOOSE(CONTROL!$C$42, 27.6886, 27.6886) * CHOOSE(CONTROL!$C$21, $C$9, 100%, $E$9)</f>
        <v>27.688600000000001</v>
      </c>
      <c r="Q562" s="14">
        <f>CHOOSE(CONTROL!$C$42, 28.4598, 28.4598) * CHOOSE(CONTROL!$C$21, $C$9, 100%, $E$9)</f>
        <v>28.459800000000001</v>
      </c>
      <c r="R562" s="14">
        <f>CHOOSE(CONTROL!$C$42, 29.1179, 29.1179) * CHOOSE(CONTROL!$C$21, $C$9, 100%, $E$9)</f>
        <v>29.117899999999999</v>
      </c>
      <c r="S562" s="14">
        <f>CHOOSE(CONTROL!$C$42, 26.9719, 26.9719) * CHOOSE(CONTROL!$C$21, $C$9, 100%, $E$9)</f>
        <v>26.971900000000002</v>
      </c>
      <c r="T56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62" s="56">
        <f>(1000*CHOOSE(CONTROL!$C$42, 695, 695)*CHOOSE(CONTROL!$C$42, 0.5599, 0.5599)*CHOOSE(CONTROL!$C$42, 31, 31))/1000000</f>
        <v>12.063045499999998</v>
      </c>
      <c r="V562" s="56">
        <f>(1000*CHOOSE(CONTROL!$C$42, 500, 500)*CHOOSE(CONTROL!$C$42, 0.275, 0.275)*CHOOSE(CONTROL!$C$42, 31, 31))/1000000</f>
        <v>4.2625000000000002</v>
      </c>
      <c r="W562" s="56">
        <f>(1000*CHOOSE(CONTROL!$C$42, 0.1146, 0.1146)*CHOOSE(CONTROL!$C$42, 121.5, 121.5)*CHOOSE(CONTROL!$C$42, 31, 31))/1000000</f>
        <v>0.43164089999999994</v>
      </c>
      <c r="X562" s="56">
        <f>(31*0.1790888*245000/1000000)+(31*0.2374*100000/1000000)</f>
        <v>2.0961194359999999</v>
      </c>
      <c r="Y562" s="56"/>
      <c r="Z562" s="14"/>
      <c r="AA562" s="55"/>
      <c r="AB562" s="49">
        <f>(B562*131.881+C562*277.167+D562*79.08+E562*125.872+F562*40+G562*185+H562*0+I562*100+J562*300)/(131.881+277.167+79.08+125.872+0+40+185+100+300)</f>
        <v>28.147623745843422</v>
      </c>
      <c r="AC562" s="45">
        <f>(M562*'RAP TEMPLATE-GAS AVAILABILITY'!O561+N562*'RAP TEMPLATE-GAS AVAILABILITY'!P561+O562*'RAP TEMPLATE-GAS AVAILABILITY'!Q561+P562*'RAP TEMPLATE-GAS AVAILABILITY'!R561)/('RAP TEMPLATE-GAS AVAILABILITY'!O561+'RAP TEMPLATE-GAS AVAILABILITY'!P561+'RAP TEMPLATE-GAS AVAILABILITY'!Q561+'RAP TEMPLATE-GAS AVAILABILITY'!R561)</f>
        <v>27.690190647482019</v>
      </c>
    </row>
    <row r="563" spans="1:29" ht="15.75" x14ac:dyDescent="0.25">
      <c r="A563" s="32">
        <v>58044</v>
      </c>
      <c r="B563" s="14">
        <f>CHOOSE(CONTROL!$C$42, 28.8177, 28.8177) * CHOOSE(CONTROL!$C$21, $C$9, 100%, $E$9)</f>
        <v>28.817699999999999</v>
      </c>
      <c r="C563" s="14">
        <f>CHOOSE(CONTROL!$C$42, 28.8228, 28.8228) * CHOOSE(CONTROL!$C$21, $C$9, 100%, $E$9)</f>
        <v>28.822800000000001</v>
      </c>
      <c r="D563" s="14">
        <f>CHOOSE(CONTROL!$C$42, 28.9058, 28.9058) * CHOOSE(CONTROL!$C$21, $C$9, 100%, $E$9)</f>
        <v>28.905799999999999</v>
      </c>
      <c r="E563" s="14">
        <f>CHOOSE(CONTROL!$C$42, 28.9399, 28.9399) * CHOOSE(CONTROL!$C$21, $C$9, 100%, $E$9)</f>
        <v>28.939900000000002</v>
      </c>
      <c r="F563" s="14">
        <f>CHOOSE(CONTROL!$C$42, 28.8453, 28.8453)*CHOOSE(CONTROL!$C$21, $C$9, 100%, $E$9)</f>
        <v>28.845300000000002</v>
      </c>
      <c r="G563" s="14">
        <f>CHOOSE(CONTROL!$C$42, 28.8627, 28.8627)*CHOOSE(CONTROL!$C$21, $C$9, 100%, $E$9)</f>
        <v>28.8627</v>
      </c>
      <c r="H563" s="14">
        <f>CHOOSE(CONTROL!$C$42, 28.9291, 28.9291) * CHOOSE(CONTROL!$C$21, $C$9, 100%, $E$9)</f>
        <v>28.929099999999998</v>
      </c>
      <c r="I563" s="14">
        <f>CHOOSE(CONTROL!$C$42, 28.9276, 28.9276)* CHOOSE(CONTROL!$C$21, $C$9, 100%, $E$9)</f>
        <v>28.927600000000002</v>
      </c>
      <c r="J563" s="14">
        <f>CHOOSE(CONTROL!$C$42, 28.8383, 28.8383)* CHOOSE(CONTROL!$C$21, $C$9, 100%, $E$9)</f>
        <v>28.8383</v>
      </c>
      <c r="K563" s="52">
        <f>CHOOSE(CONTROL!$C$42, 28.9237, 28.9237) * CHOOSE(CONTROL!$C$21, $C$9, 100%, $E$9)</f>
        <v>28.9237</v>
      </c>
      <c r="L563" s="14">
        <f>CHOOSE(CONTROL!$C$42, 29.5161, 29.5161) * CHOOSE(CONTROL!$C$21, $C$9, 100%, $E$9)</f>
        <v>29.516100000000002</v>
      </c>
      <c r="M563" s="14">
        <f>CHOOSE(CONTROL!$C$42, 28.3273, 28.3273) * CHOOSE(CONTROL!$C$21, $C$9, 100%, $E$9)</f>
        <v>28.327300000000001</v>
      </c>
      <c r="N563" s="14">
        <f>CHOOSE(CONTROL!$C$42, 28.3444, 28.3444) * CHOOSE(CONTROL!$C$21, $C$9, 100%, $E$9)</f>
        <v>28.3444</v>
      </c>
      <c r="O563" s="14">
        <f>CHOOSE(CONTROL!$C$42, 28.4165, 28.4165) * CHOOSE(CONTROL!$C$21, $C$9, 100%, $E$9)</f>
        <v>28.416499999999999</v>
      </c>
      <c r="P563" s="14">
        <f>CHOOSE(CONTROL!$C$42, 28.4134, 28.4134) * CHOOSE(CONTROL!$C$21, $C$9, 100%, $E$9)</f>
        <v>28.413399999999999</v>
      </c>
      <c r="Q563" s="14">
        <f>CHOOSE(CONTROL!$C$42, 29.0112, 29.0112) * CHOOSE(CONTROL!$C$21, $C$9, 100%, $E$9)</f>
        <v>29.011199999999999</v>
      </c>
      <c r="R563" s="14">
        <f>CHOOSE(CONTROL!$C$42, 29.6707, 29.6707) * CHOOSE(CONTROL!$C$21, $C$9, 100%, $E$9)</f>
        <v>29.6707</v>
      </c>
      <c r="S563" s="14">
        <f>CHOOSE(CONTROL!$C$42, 27.6824, 27.6824) * CHOOSE(CONTROL!$C$21, $C$9, 100%, $E$9)</f>
        <v>27.682400000000001</v>
      </c>
      <c r="T56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63" s="56">
        <f>(1000*CHOOSE(CONTROL!$C$42, 695, 695)*CHOOSE(CONTROL!$C$42, 0.5599, 0.5599)*CHOOSE(CONTROL!$C$42, 30, 30))/1000000</f>
        <v>11.673914999999997</v>
      </c>
      <c r="V563" s="56">
        <f>(1000*CHOOSE(CONTROL!$C$42, 500, 500)*CHOOSE(CONTROL!$C$42, 0.275, 0.275)*CHOOSE(CONTROL!$C$42, 30, 30))/1000000</f>
        <v>4.125</v>
      </c>
      <c r="W563" s="56">
        <f>(1000*CHOOSE(CONTROL!$C$42, 0.1146, 0.1146)*CHOOSE(CONTROL!$C$42, 121.5, 121.5)*CHOOSE(CONTROL!$C$42, 30, 30))/1000000</f>
        <v>0.417717</v>
      </c>
      <c r="X563" s="56">
        <f>(30*0.1790888*100000/1000000)+(30*0.2374*100000/1000000)</f>
        <v>1.2494664</v>
      </c>
      <c r="Y563" s="56"/>
      <c r="Z563" s="14"/>
      <c r="AA563" s="55"/>
      <c r="AB563" s="49">
        <f>(B563*122.58+C563*297.941+D563*89.177+E563*40.302+F563*40+G563*160+H563*0+I563*100+J563*300)/(122.58+297.941+89.177+40.302+0+40+160+100+300)</f>
        <v>28.852286867130434</v>
      </c>
      <c r="AC563" s="45">
        <f>(M563*'RAP TEMPLATE-GAS AVAILABILITY'!O562+N563*'RAP TEMPLATE-GAS AVAILABILITY'!P562+O563*'RAP TEMPLATE-GAS AVAILABILITY'!Q562+P563*'RAP TEMPLATE-GAS AVAILABILITY'!R562)/('RAP TEMPLATE-GAS AVAILABILITY'!O562+'RAP TEMPLATE-GAS AVAILABILITY'!P562+'RAP TEMPLATE-GAS AVAILABILITY'!Q562+'RAP TEMPLATE-GAS AVAILABILITY'!R562)</f>
        <v>28.381101438848919</v>
      </c>
    </row>
    <row r="564" spans="1:29" ht="15.75" x14ac:dyDescent="0.25">
      <c r="A564" s="32">
        <v>58075</v>
      </c>
      <c r="B564" s="14">
        <f>CHOOSE(CONTROL!$C$42, 30.7818, 30.7818) * CHOOSE(CONTROL!$C$21, $C$9, 100%, $E$9)</f>
        <v>30.7818</v>
      </c>
      <c r="C564" s="14">
        <f>CHOOSE(CONTROL!$C$42, 30.7869, 30.7869) * CHOOSE(CONTROL!$C$21, $C$9, 100%, $E$9)</f>
        <v>30.786899999999999</v>
      </c>
      <c r="D564" s="14">
        <f>CHOOSE(CONTROL!$C$42, 30.87, 30.87) * CHOOSE(CONTROL!$C$21, $C$9, 100%, $E$9)</f>
        <v>30.87</v>
      </c>
      <c r="E564" s="14">
        <f>CHOOSE(CONTROL!$C$42, 30.9041, 30.9041) * CHOOSE(CONTROL!$C$21, $C$9, 100%, $E$9)</f>
        <v>30.9041</v>
      </c>
      <c r="F564" s="14">
        <f>CHOOSE(CONTROL!$C$42, 30.8119, 30.8119)*CHOOSE(CONTROL!$C$21, $C$9, 100%, $E$9)</f>
        <v>30.811900000000001</v>
      </c>
      <c r="G564" s="14">
        <f>CHOOSE(CONTROL!$C$42, 30.8299, 30.8299)*CHOOSE(CONTROL!$C$21, $C$9, 100%, $E$9)</f>
        <v>30.829899999999999</v>
      </c>
      <c r="H564" s="14">
        <f>CHOOSE(CONTROL!$C$42, 30.8933, 30.8933) * CHOOSE(CONTROL!$C$21, $C$9, 100%, $E$9)</f>
        <v>30.8933</v>
      </c>
      <c r="I564" s="14">
        <f>CHOOSE(CONTROL!$C$42, 30.8979, 30.8979)* CHOOSE(CONTROL!$C$21, $C$9, 100%, $E$9)</f>
        <v>30.8979</v>
      </c>
      <c r="J564" s="14">
        <f>CHOOSE(CONTROL!$C$42, 30.8049, 30.8049)* CHOOSE(CONTROL!$C$21, $C$9, 100%, $E$9)</f>
        <v>30.8049</v>
      </c>
      <c r="K564" s="52">
        <f>CHOOSE(CONTROL!$C$42, 30.894, 30.894) * CHOOSE(CONTROL!$C$21, $C$9, 100%, $E$9)</f>
        <v>30.893999999999998</v>
      </c>
      <c r="L564" s="14">
        <f>CHOOSE(CONTROL!$C$42, 31.4803, 31.4803) * CHOOSE(CONTROL!$C$21, $C$9, 100%, $E$9)</f>
        <v>31.4803</v>
      </c>
      <c r="M564" s="14">
        <f>CHOOSE(CONTROL!$C$42, 30.2585, 30.2585) * CHOOSE(CONTROL!$C$21, $C$9, 100%, $E$9)</f>
        <v>30.258500000000002</v>
      </c>
      <c r="N564" s="14">
        <f>CHOOSE(CONTROL!$C$42, 30.2762, 30.2762) * CHOOSE(CONTROL!$C$21, $C$9, 100%, $E$9)</f>
        <v>30.276199999999999</v>
      </c>
      <c r="O564" s="14">
        <f>CHOOSE(CONTROL!$C$42, 30.3453, 30.3453) * CHOOSE(CONTROL!$C$21, $C$9, 100%, $E$9)</f>
        <v>30.345300000000002</v>
      </c>
      <c r="P564" s="14">
        <f>CHOOSE(CONTROL!$C$42, 30.3482, 30.3482) * CHOOSE(CONTROL!$C$21, $C$9, 100%, $E$9)</f>
        <v>30.348199999999999</v>
      </c>
      <c r="Q564" s="14">
        <f>CHOOSE(CONTROL!$C$42, 30.94, 30.94) * CHOOSE(CONTROL!$C$21, $C$9, 100%, $E$9)</f>
        <v>30.94</v>
      </c>
      <c r="R564" s="14">
        <f>CHOOSE(CONTROL!$C$42, 31.6043, 31.6043) * CHOOSE(CONTROL!$C$21, $C$9, 100%, $E$9)</f>
        <v>31.604299999999999</v>
      </c>
      <c r="S564" s="14">
        <f>CHOOSE(CONTROL!$C$42, 29.5697, 29.5697) * CHOOSE(CONTROL!$C$21, $C$9, 100%, $E$9)</f>
        <v>29.569700000000001</v>
      </c>
      <c r="T56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64" s="56">
        <f>(1000*CHOOSE(CONTROL!$C$42, 695, 695)*CHOOSE(CONTROL!$C$42, 0.5599, 0.5599)*CHOOSE(CONTROL!$C$42, 31, 31))/1000000</f>
        <v>12.063045499999998</v>
      </c>
      <c r="V564" s="56">
        <f>(1000*CHOOSE(CONTROL!$C$42, 500, 500)*CHOOSE(CONTROL!$C$42, 0.275, 0.275)*CHOOSE(CONTROL!$C$42, 31, 31))/1000000</f>
        <v>4.2625000000000002</v>
      </c>
      <c r="W564" s="56">
        <f>(1000*CHOOSE(CONTROL!$C$42, 0.1146, 0.1146)*CHOOSE(CONTROL!$C$42, 121.5, 121.5)*CHOOSE(CONTROL!$C$42, 31, 31))/1000000</f>
        <v>0.43164089999999994</v>
      </c>
      <c r="X564" s="56">
        <f>(31*0.1790888*100000/1000000)+(31*0.2374*100000/1000000)</f>
        <v>1.2911152800000001</v>
      </c>
      <c r="Y564" s="56"/>
      <c r="Z564" s="14"/>
      <c r="AA564" s="55"/>
      <c r="AB564" s="49">
        <f>(B564*122.58+C564*297.941+D564*89.177+E564*40.302+F564*40+G564*160+H564*0+I564*100+J564*300)/(122.58+297.941+89.177+40.302+0+40+160+100+300)</f>
        <v>30.818107691391305</v>
      </c>
      <c r="AC564" s="45">
        <f>(M564*'RAP TEMPLATE-GAS AVAILABILITY'!O563+N564*'RAP TEMPLATE-GAS AVAILABILITY'!P563+O564*'RAP TEMPLATE-GAS AVAILABILITY'!Q563+P564*'RAP TEMPLATE-GAS AVAILABILITY'!R563)/('RAP TEMPLATE-GAS AVAILABILITY'!O563+'RAP TEMPLATE-GAS AVAILABILITY'!P563+'RAP TEMPLATE-GAS AVAILABILITY'!Q563+'RAP TEMPLATE-GAS AVAILABILITY'!R563)</f>
        <v>30.311766187050356</v>
      </c>
    </row>
    <row r="565" spans="1:29" ht="15.75" x14ac:dyDescent="0.25">
      <c r="A565" s="32">
        <v>58106</v>
      </c>
      <c r="B565" s="14">
        <f>CHOOSE(CONTROL!$C$42, 33.3329, 33.3329) * CHOOSE(CONTROL!$C$21, $C$9, 100%, $E$9)</f>
        <v>33.332900000000002</v>
      </c>
      <c r="C565" s="14">
        <f>CHOOSE(CONTROL!$C$42, 33.3379, 33.3379) * CHOOSE(CONTROL!$C$21, $C$9, 100%, $E$9)</f>
        <v>33.337899999999998</v>
      </c>
      <c r="D565" s="14">
        <f>CHOOSE(CONTROL!$C$42, 33.4314, 33.4314) * CHOOSE(CONTROL!$C$21, $C$9, 100%, $E$9)</f>
        <v>33.431399999999996</v>
      </c>
      <c r="E565" s="14">
        <f>CHOOSE(CONTROL!$C$42, 33.4655, 33.4655) * CHOOSE(CONTROL!$C$21, $C$9, 100%, $E$9)</f>
        <v>33.465499999999999</v>
      </c>
      <c r="F565" s="14">
        <f>CHOOSE(CONTROL!$C$42, 33.3602, 33.3602)*CHOOSE(CONTROL!$C$21, $C$9, 100%, $E$9)</f>
        <v>33.360199999999999</v>
      </c>
      <c r="G565" s="14">
        <f>CHOOSE(CONTROL!$C$42, 33.3782, 33.3782)*CHOOSE(CONTROL!$C$21, $C$9, 100%, $E$9)</f>
        <v>33.3782</v>
      </c>
      <c r="H565" s="14">
        <f>CHOOSE(CONTROL!$C$42, 33.4547, 33.4547) * CHOOSE(CONTROL!$C$21, $C$9, 100%, $E$9)</f>
        <v>33.454700000000003</v>
      </c>
      <c r="I565" s="14">
        <f>CHOOSE(CONTROL!$C$42, 33.4632, 33.4632)* CHOOSE(CONTROL!$C$21, $C$9, 100%, $E$9)</f>
        <v>33.463200000000001</v>
      </c>
      <c r="J565" s="14">
        <f>CHOOSE(CONTROL!$C$42, 33.3532, 33.3532)* CHOOSE(CONTROL!$C$21, $C$9, 100%, $E$9)</f>
        <v>33.353200000000001</v>
      </c>
      <c r="K565" s="52">
        <f>CHOOSE(CONTROL!$C$42, 33.4593, 33.4593) * CHOOSE(CONTROL!$C$21, $C$9, 100%, $E$9)</f>
        <v>33.459299999999999</v>
      </c>
      <c r="L565" s="14">
        <f>CHOOSE(CONTROL!$C$42, 34.0417, 34.0417) * CHOOSE(CONTROL!$C$21, $C$9, 100%, $E$9)</f>
        <v>34.041699999999999</v>
      </c>
      <c r="M565" s="14">
        <f>CHOOSE(CONTROL!$C$42, 32.761, 32.761) * CHOOSE(CONTROL!$C$21, $C$9, 100%, $E$9)</f>
        <v>32.761000000000003</v>
      </c>
      <c r="N565" s="14">
        <f>CHOOSE(CONTROL!$C$42, 32.7786, 32.7786) * CHOOSE(CONTROL!$C$21, $C$9, 100%, $E$9)</f>
        <v>32.778599999999997</v>
      </c>
      <c r="O565" s="14">
        <f>CHOOSE(CONTROL!$C$42, 32.8607, 32.8607) * CHOOSE(CONTROL!$C$21, $C$9, 100%, $E$9)</f>
        <v>32.860700000000001</v>
      </c>
      <c r="P565" s="14">
        <f>CHOOSE(CONTROL!$C$42, 32.8672, 32.8672) * CHOOSE(CONTROL!$C$21, $C$9, 100%, $E$9)</f>
        <v>32.867199999999997</v>
      </c>
      <c r="Q565" s="14">
        <f>CHOOSE(CONTROL!$C$42, 33.4554, 33.4554) * CHOOSE(CONTROL!$C$21, $C$9, 100%, $E$9)</f>
        <v>33.455399999999997</v>
      </c>
      <c r="R565" s="14">
        <f>CHOOSE(CONTROL!$C$42, 34.126, 34.126) * CHOOSE(CONTROL!$C$21, $C$9, 100%, $E$9)</f>
        <v>34.125999999999998</v>
      </c>
      <c r="S565" s="14">
        <f>CHOOSE(CONTROL!$C$42, 32.021, 32.021) * CHOOSE(CONTROL!$C$21, $C$9, 100%, $E$9)</f>
        <v>32.021000000000001</v>
      </c>
      <c r="T56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65" s="56">
        <f>(1000*CHOOSE(CONTROL!$C$42, 695, 695)*CHOOSE(CONTROL!$C$42, 0.5599, 0.5599)*CHOOSE(CONTROL!$C$42, 31, 31))/1000000</f>
        <v>12.063045499999998</v>
      </c>
      <c r="V565" s="56">
        <f>(1000*CHOOSE(CONTROL!$C$42, 500, 500)*CHOOSE(CONTROL!$C$42, 0.275, 0.275)*CHOOSE(CONTROL!$C$42, 31, 31))/1000000</f>
        <v>4.2625000000000002</v>
      </c>
      <c r="W565" s="56">
        <f>(1000*CHOOSE(CONTROL!$C$42, 0.1146, 0.1146)*CHOOSE(CONTROL!$C$42, 121.5, 121.5)*CHOOSE(CONTROL!$C$42, 31, 31))/1000000</f>
        <v>0.43164089999999994</v>
      </c>
      <c r="X565" s="56">
        <f>(31*0.1790888*100000/1000000)+(31*0.2374*100000/1000000)</f>
        <v>1.2911152800000001</v>
      </c>
      <c r="Y565" s="56"/>
      <c r="Z565" s="14"/>
      <c r="AA565" s="55"/>
      <c r="AB565" s="49">
        <f>(B565*122.58+C565*297.941+D565*89.177+E565*40.302+F565*40+G565*160+H565*0+I565*100+J565*300)/(122.58+297.941+89.177+40.302+0+40+160+100+300)</f>
        <v>33.370358856260864</v>
      </c>
      <c r="AC565" s="45">
        <f>(M565*'RAP TEMPLATE-GAS AVAILABILITY'!O564+N565*'RAP TEMPLATE-GAS AVAILABILITY'!P564+O565*'RAP TEMPLATE-GAS AVAILABILITY'!Q564+P565*'RAP TEMPLATE-GAS AVAILABILITY'!R564)/('RAP TEMPLATE-GAS AVAILABILITY'!O564+'RAP TEMPLATE-GAS AVAILABILITY'!P564+'RAP TEMPLATE-GAS AVAILABILITY'!Q564+'RAP TEMPLATE-GAS AVAILABILITY'!R564)</f>
        <v>32.822481294964028</v>
      </c>
    </row>
    <row r="566" spans="1:29" ht="15.75" x14ac:dyDescent="0.25">
      <c r="A566" s="32">
        <v>58134</v>
      </c>
      <c r="B566" s="14">
        <f>CHOOSE(CONTROL!$C$42, 33.9261, 33.9261) * CHOOSE(CONTROL!$C$21, $C$9, 100%, $E$9)</f>
        <v>33.926099999999998</v>
      </c>
      <c r="C566" s="14">
        <f>CHOOSE(CONTROL!$C$42, 33.9311, 33.9311) * CHOOSE(CONTROL!$C$21, $C$9, 100%, $E$9)</f>
        <v>33.931100000000001</v>
      </c>
      <c r="D566" s="14">
        <f>CHOOSE(CONTROL!$C$42, 34.0246, 34.0246) * CHOOSE(CONTROL!$C$21, $C$9, 100%, $E$9)</f>
        <v>34.0246</v>
      </c>
      <c r="E566" s="14">
        <f>CHOOSE(CONTROL!$C$42, 34.0587, 34.0587) * CHOOSE(CONTROL!$C$21, $C$9, 100%, $E$9)</f>
        <v>34.058700000000002</v>
      </c>
      <c r="F566" s="14">
        <f>CHOOSE(CONTROL!$C$42, 33.953, 33.953)*CHOOSE(CONTROL!$C$21, $C$9, 100%, $E$9)</f>
        <v>33.953000000000003</v>
      </c>
      <c r="G566" s="14">
        <f>CHOOSE(CONTROL!$C$42, 33.9709, 33.9709)*CHOOSE(CONTROL!$C$21, $C$9, 100%, $E$9)</f>
        <v>33.9709</v>
      </c>
      <c r="H566" s="14">
        <f>CHOOSE(CONTROL!$C$42, 34.0479, 34.0479) * CHOOSE(CONTROL!$C$21, $C$9, 100%, $E$9)</f>
        <v>34.047899999999998</v>
      </c>
      <c r="I566" s="14">
        <f>CHOOSE(CONTROL!$C$42, 34.0582, 34.0582)* CHOOSE(CONTROL!$C$21, $C$9, 100%, $E$9)</f>
        <v>34.058199999999999</v>
      </c>
      <c r="J566" s="14">
        <f>CHOOSE(CONTROL!$C$42, 33.946, 33.946)* CHOOSE(CONTROL!$C$21, $C$9, 100%, $E$9)</f>
        <v>33.945999999999998</v>
      </c>
      <c r="K566" s="52">
        <f>CHOOSE(CONTROL!$C$42, 34.0543, 34.0543) * CHOOSE(CONTROL!$C$21, $C$9, 100%, $E$9)</f>
        <v>34.054299999999998</v>
      </c>
      <c r="L566" s="14">
        <f>CHOOSE(CONTROL!$C$42, 34.6349, 34.6349) * CHOOSE(CONTROL!$C$21, $C$9, 100%, $E$9)</f>
        <v>34.634900000000002</v>
      </c>
      <c r="M566" s="14">
        <f>CHOOSE(CONTROL!$C$42, 33.3431, 33.3431) * CHOOSE(CONTROL!$C$21, $C$9, 100%, $E$9)</f>
        <v>33.3431</v>
      </c>
      <c r="N566" s="14">
        <f>CHOOSE(CONTROL!$C$42, 33.3607, 33.3607) * CHOOSE(CONTROL!$C$21, $C$9, 100%, $E$9)</f>
        <v>33.360700000000001</v>
      </c>
      <c r="O566" s="14">
        <f>CHOOSE(CONTROL!$C$42, 33.4432, 33.4432) * CHOOSE(CONTROL!$C$21, $C$9, 100%, $E$9)</f>
        <v>33.443199999999997</v>
      </c>
      <c r="P566" s="14">
        <f>CHOOSE(CONTROL!$C$42, 33.4515, 33.4515) * CHOOSE(CONTROL!$C$21, $C$9, 100%, $E$9)</f>
        <v>33.451500000000003</v>
      </c>
      <c r="Q566" s="14">
        <f>CHOOSE(CONTROL!$C$42, 34.0379, 34.0379) * CHOOSE(CONTROL!$C$21, $C$9, 100%, $E$9)</f>
        <v>34.0379</v>
      </c>
      <c r="R566" s="14">
        <f>CHOOSE(CONTROL!$C$42, 34.71, 34.71) * CHOOSE(CONTROL!$C$21, $C$9, 100%, $E$9)</f>
        <v>34.71</v>
      </c>
      <c r="S566" s="14">
        <f>CHOOSE(CONTROL!$C$42, 32.591, 32.591) * CHOOSE(CONTROL!$C$21, $C$9, 100%, $E$9)</f>
        <v>32.591000000000001</v>
      </c>
      <c r="T56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66" s="56">
        <f>(1000*CHOOSE(CONTROL!$C$42, 695, 695)*CHOOSE(CONTROL!$C$42, 0.5599, 0.5599)*CHOOSE(CONTROL!$C$42, 28, 28))/1000000</f>
        <v>10.895653999999999</v>
      </c>
      <c r="V566" s="56">
        <f>(1000*CHOOSE(CONTROL!$C$42, 500, 500)*CHOOSE(CONTROL!$C$42, 0.275, 0.275)*CHOOSE(CONTROL!$C$42, 28, 28))/1000000</f>
        <v>3.85</v>
      </c>
      <c r="W566" s="56">
        <f>(1000*CHOOSE(CONTROL!$C$42, 0.1146, 0.1146)*CHOOSE(CONTROL!$C$42, 121.5, 121.5)*CHOOSE(CONTROL!$C$42, 28, 28))/1000000</f>
        <v>0.38986920000000003</v>
      </c>
      <c r="X566" s="56">
        <f>(28*0.1790888*100000/1000000)+(28*0.2374*100000/1000000)</f>
        <v>1.16616864</v>
      </c>
      <c r="Y566" s="56"/>
      <c r="Z566" s="14"/>
      <c r="AA566" s="55"/>
      <c r="AB566" s="49">
        <f>(B566*122.58+C566*297.941+D566*89.177+E566*40.302+F566*40+G566*160+H566*0+I566*100+J566*300)/(122.58+297.941+89.177+40.302+0+40+160+100+300)</f>
        <v>33.963527551913046</v>
      </c>
      <c r="AC566" s="45">
        <f>(M566*'RAP TEMPLATE-GAS AVAILABILITY'!O565+N566*'RAP TEMPLATE-GAS AVAILABILITY'!P565+O566*'RAP TEMPLATE-GAS AVAILABILITY'!Q565+P566*'RAP TEMPLATE-GAS AVAILABILITY'!R565)/('RAP TEMPLATE-GAS AVAILABILITY'!O565+'RAP TEMPLATE-GAS AVAILABILITY'!P565+'RAP TEMPLATE-GAS AVAILABILITY'!Q565+'RAP TEMPLATE-GAS AVAILABILITY'!R565)</f>
        <v>33.405079136690645</v>
      </c>
    </row>
    <row r="567" spans="1:29" ht="15.75" x14ac:dyDescent="0.25">
      <c r="A567" s="32">
        <v>58165</v>
      </c>
      <c r="B567" s="14">
        <f>CHOOSE(CONTROL!$C$42, 32.9632, 32.9632) * CHOOSE(CONTROL!$C$21, $C$9, 100%, $E$9)</f>
        <v>32.963200000000001</v>
      </c>
      <c r="C567" s="14">
        <f>CHOOSE(CONTROL!$C$42, 32.9682, 32.9682) * CHOOSE(CONTROL!$C$21, $C$9, 100%, $E$9)</f>
        <v>32.968200000000003</v>
      </c>
      <c r="D567" s="14">
        <f>CHOOSE(CONTROL!$C$42, 33.0617, 33.0617) * CHOOSE(CONTROL!$C$21, $C$9, 100%, $E$9)</f>
        <v>33.061700000000002</v>
      </c>
      <c r="E567" s="14">
        <f>CHOOSE(CONTROL!$C$42, 33.0958, 33.0958) * CHOOSE(CONTROL!$C$21, $C$9, 100%, $E$9)</f>
        <v>33.095799999999997</v>
      </c>
      <c r="F567" s="14">
        <f>CHOOSE(CONTROL!$C$42, 32.9892, 32.9892)*CHOOSE(CONTROL!$C$21, $C$9, 100%, $E$9)</f>
        <v>32.989199999999997</v>
      </c>
      <c r="G567" s="14">
        <f>CHOOSE(CONTROL!$C$42, 33.0069, 33.0069)*CHOOSE(CONTROL!$C$21, $C$9, 100%, $E$9)</f>
        <v>33.006900000000002</v>
      </c>
      <c r="H567" s="14">
        <f>CHOOSE(CONTROL!$C$42, 33.085, 33.085) * CHOOSE(CONTROL!$C$21, $C$9, 100%, $E$9)</f>
        <v>33.085000000000001</v>
      </c>
      <c r="I567" s="14">
        <f>CHOOSE(CONTROL!$C$42, 33.0923, 33.0923)* CHOOSE(CONTROL!$C$21, $C$9, 100%, $E$9)</f>
        <v>33.092300000000002</v>
      </c>
      <c r="J567" s="14">
        <f>CHOOSE(CONTROL!$C$42, 32.9822, 32.9822)* CHOOSE(CONTROL!$C$21, $C$9, 100%, $E$9)</f>
        <v>32.982199999999999</v>
      </c>
      <c r="K567" s="52">
        <f>CHOOSE(CONTROL!$C$42, 33.0884, 33.0884) * CHOOSE(CONTROL!$C$21, $C$9, 100%, $E$9)</f>
        <v>33.0884</v>
      </c>
      <c r="L567" s="14">
        <f>CHOOSE(CONTROL!$C$42, 33.672, 33.672) * CHOOSE(CONTROL!$C$21, $C$9, 100%, $E$9)</f>
        <v>33.671999999999997</v>
      </c>
      <c r="M567" s="14">
        <f>CHOOSE(CONTROL!$C$42, 32.3967, 32.3967) * CHOOSE(CONTROL!$C$21, $C$9, 100%, $E$9)</f>
        <v>32.396700000000003</v>
      </c>
      <c r="N567" s="14">
        <f>CHOOSE(CONTROL!$C$42, 32.414, 32.414) * CHOOSE(CONTROL!$C$21, $C$9, 100%, $E$9)</f>
        <v>32.414000000000001</v>
      </c>
      <c r="O567" s="14">
        <f>CHOOSE(CONTROL!$C$42, 32.4976, 32.4976) * CHOOSE(CONTROL!$C$21, $C$9, 100%, $E$9)</f>
        <v>32.497599999999998</v>
      </c>
      <c r="P567" s="14">
        <f>CHOOSE(CONTROL!$C$42, 32.503, 32.503) * CHOOSE(CONTROL!$C$21, $C$9, 100%, $E$9)</f>
        <v>32.503</v>
      </c>
      <c r="Q567" s="14">
        <f>CHOOSE(CONTROL!$C$42, 33.0923, 33.0923) * CHOOSE(CONTROL!$C$21, $C$9, 100%, $E$9)</f>
        <v>33.092300000000002</v>
      </c>
      <c r="R567" s="14">
        <f>CHOOSE(CONTROL!$C$42, 33.762, 33.762) * CHOOSE(CONTROL!$C$21, $C$9, 100%, $E$9)</f>
        <v>33.762</v>
      </c>
      <c r="S567" s="14">
        <f>CHOOSE(CONTROL!$C$42, 31.6658, 31.6658) * CHOOSE(CONTROL!$C$21, $C$9, 100%, $E$9)</f>
        <v>31.665800000000001</v>
      </c>
      <c r="T56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67" s="56">
        <f>(1000*CHOOSE(CONTROL!$C$42, 695, 695)*CHOOSE(CONTROL!$C$42, 0.5599, 0.5599)*CHOOSE(CONTROL!$C$42, 31, 31))/1000000</f>
        <v>12.063045499999998</v>
      </c>
      <c r="V567" s="56">
        <f>(1000*CHOOSE(CONTROL!$C$42, 500, 500)*CHOOSE(CONTROL!$C$42, 0.275, 0.275)*CHOOSE(CONTROL!$C$42, 31, 31))/1000000</f>
        <v>4.2625000000000002</v>
      </c>
      <c r="W567" s="56">
        <f>(1000*CHOOSE(CONTROL!$C$42, 0.1146, 0.1146)*CHOOSE(CONTROL!$C$42, 121.5, 121.5)*CHOOSE(CONTROL!$C$42, 31, 31))/1000000</f>
        <v>0.43164089999999994</v>
      </c>
      <c r="X567" s="56">
        <f>(31*0.1790888*100000/1000000)+(31*0.2374*100000/1000000)</f>
        <v>1.2911152800000001</v>
      </c>
      <c r="Y567" s="56"/>
      <c r="Z567" s="14"/>
      <c r="AA567" s="55"/>
      <c r="AB567" s="49">
        <f>(B567*122.58+C567*297.941+D567*89.177+E567*40.302+F567*40+G567*160+H567*0+I567*100+J567*300)/(122.58+297.941+89.177+40.302+0+40+160+100+300)</f>
        <v>32.999947551913046</v>
      </c>
      <c r="AC567" s="45">
        <f>(M567*'RAP TEMPLATE-GAS AVAILABILITY'!O566+N567*'RAP TEMPLATE-GAS AVAILABILITY'!P566+O567*'RAP TEMPLATE-GAS AVAILABILITY'!Q566+P567*'RAP TEMPLATE-GAS AVAILABILITY'!R566)/('RAP TEMPLATE-GAS AVAILABILITY'!O566+'RAP TEMPLATE-GAS AVAILABILITY'!P566+'RAP TEMPLATE-GAS AVAILABILITY'!Q566+'RAP TEMPLATE-GAS AVAILABILITY'!R566)</f>
        <v>32.458722302158272</v>
      </c>
    </row>
    <row r="568" spans="1:29" ht="15.75" x14ac:dyDescent="0.25">
      <c r="A568" s="32">
        <v>58195</v>
      </c>
      <c r="B568" s="14">
        <f>CHOOSE(CONTROL!$C$42, 32.8655, 32.8655) * CHOOSE(CONTROL!$C$21, $C$9, 100%, $E$9)</f>
        <v>32.865499999999997</v>
      </c>
      <c r="C568" s="14">
        <f>CHOOSE(CONTROL!$C$42, 32.87, 32.87) * CHOOSE(CONTROL!$C$21, $C$9, 100%, $E$9)</f>
        <v>32.869999999999997</v>
      </c>
      <c r="D568" s="14">
        <f>CHOOSE(CONTROL!$C$42, 33.1322, 33.1322) * CHOOSE(CONTROL!$C$21, $C$9, 100%, $E$9)</f>
        <v>33.132199999999997</v>
      </c>
      <c r="E568" s="14">
        <f>CHOOSE(CONTROL!$C$42, 33.1643, 33.1643) * CHOOSE(CONTROL!$C$21, $C$9, 100%, $E$9)</f>
        <v>33.164299999999997</v>
      </c>
      <c r="F568" s="14">
        <f>CHOOSE(CONTROL!$C$42, 32.8883, 32.8883)*CHOOSE(CONTROL!$C$21, $C$9, 100%, $E$9)</f>
        <v>32.888300000000001</v>
      </c>
      <c r="G568" s="14">
        <f>CHOOSE(CONTROL!$C$42, 32.9051, 32.9051)*CHOOSE(CONTROL!$C$21, $C$9, 100%, $E$9)</f>
        <v>32.905099999999997</v>
      </c>
      <c r="H568" s="14">
        <f>CHOOSE(CONTROL!$C$42, 33.1541, 33.1541) * CHOOSE(CONTROL!$C$21, $C$9, 100%, $E$9)</f>
        <v>33.1541</v>
      </c>
      <c r="I568" s="14">
        <f>CHOOSE(CONTROL!$C$42, 32.9909, 32.9909)* CHOOSE(CONTROL!$C$21, $C$9, 100%, $E$9)</f>
        <v>32.990900000000003</v>
      </c>
      <c r="J568" s="14">
        <f>CHOOSE(CONTROL!$C$42, 32.8813, 32.8813)* CHOOSE(CONTROL!$C$21, $C$9, 100%, $E$9)</f>
        <v>32.881300000000003</v>
      </c>
      <c r="K568" s="52">
        <f>CHOOSE(CONTROL!$C$42, 32.9871, 32.9871) * CHOOSE(CONTROL!$C$21, $C$9, 100%, $E$9)</f>
        <v>32.987099999999998</v>
      </c>
      <c r="L568" s="14">
        <f>CHOOSE(CONTROL!$C$42, 33.7411, 33.7411) * CHOOSE(CONTROL!$C$21, $C$9, 100%, $E$9)</f>
        <v>33.741100000000003</v>
      </c>
      <c r="M568" s="14">
        <f>CHOOSE(CONTROL!$C$42, 32.2976, 32.2976) * CHOOSE(CONTROL!$C$21, $C$9, 100%, $E$9)</f>
        <v>32.297600000000003</v>
      </c>
      <c r="N568" s="14">
        <f>CHOOSE(CONTROL!$C$42, 32.314, 32.314) * CHOOSE(CONTROL!$C$21, $C$9, 100%, $E$9)</f>
        <v>32.314</v>
      </c>
      <c r="O568" s="14">
        <f>CHOOSE(CONTROL!$C$42, 32.5655, 32.5655) * CHOOSE(CONTROL!$C$21, $C$9, 100%, $E$9)</f>
        <v>32.5655</v>
      </c>
      <c r="P568" s="14">
        <f>CHOOSE(CONTROL!$C$42, 32.4035, 32.4035) * CHOOSE(CONTROL!$C$21, $C$9, 100%, $E$9)</f>
        <v>32.403500000000001</v>
      </c>
      <c r="Q568" s="14">
        <f>CHOOSE(CONTROL!$C$42, 33.1602, 33.1602) * CHOOSE(CONTROL!$C$21, $C$9, 100%, $E$9)</f>
        <v>33.160200000000003</v>
      </c>
      <c r="R568" s="14">
        <f>CHOOSE(CONTROL!$C$42, 33.8301, 33.8301) * CHOOSE(CONTROL!$C$21, $C$9, 100%, $E$9)</f>
        <v>33.830100000000002</v>
      </c>
      <c r="S568" s="14">
        <f>CHOOSE(CONTROL!$C$42, 31.5712, 31.5712) * CHOOSE(CONTROL!$C$21, $C$9, 100%, $E$9)</f>
        <v>31.571200000000001</v>
      </c>
      <c r="T56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68" s="56">
        <f>(1000*CHOOSE(CONTROL!$C$42, 695, 695)*CHOOSE(CONTROL!$C$42, 0.5599, 0.5599)*CHOOSE(CONTROL!$C$42, 30, 30))/1000000</f>
        <v>11.673914999999997</v>
      </c>
      <c r="V568" s="56">
        <f>(1000*CHOOSE(CONTROL!$C$42, 500, 500)*CHOOSE(CONTROL!$C$42, 0.275, 0.275)*CHOOSE(CONTROL!$C$42, 30, 30))/1000000</f>
        <v>4.125</v>
      </c>
      <c r="W568" s="56">
        <f>(1000*CHOOSE(CONTROL!$C$42, 0.1146, 0.1146)*CHOOSE(CONTROL!$C$42, 121.5, 121.5)*CHOOSE(CONTROL!$C$42, 30, 30))/1000000</f>
        <v>0.417717</v>
      </c>
      <c r="X568" s="56">
        <f>(30*0.1790888*245000/1000000)+(30*0.2374*100000/1000000)</f>
        <v>2.0285026799999999</v>
      </c>
      <c r="Y568" s="56"/>
      <c r="Z568" s="14"/>
      <c r="AA568" s="55"/>
      <c r="AB568" s="49">
        <f>(B568*141.293+C568*267.993+D568*115.016+E568*89.698+F568*40+G568*185+H568*0+I568*100+J568*300)/(141.293+267.993+115.016+89.698+0+40+185+100+300)</f>
        <v>32.933458432687651</v>
      </c>
      <c r="AC568" s="45">
        <f>(M568*'RAP TEMPLATE-GAS AVAILABILITY'!O567+N568*'RAP TEMPLATE-GAS AVAILABILITY'!P567+O568*'RAP TEMPLATE-GAS AVAILABILITY'!Q567+P568*'RAP TEMPLATE-GAS AVAILABILITY'!R567)/('RAP TEMPLATE-GAS AVAILABILITY'!O567+'RAP TEMPLATE-GAS AVAILABILITY'!P567+'RAP TEMPLATE-GAS AVAILABILITY'!Q567+'RAP TEMPLATE-GAS AVAILABILITY'!R567)</f>
        <v>32.391779136690644</v>
      </c>
    </row>
    <row r="569" spans="1:29" ht="15.75" x14ac:dyDescent="0.25">
      <c r="A569" s="32">
        <v>58226</v>
      </c>
      <c r="B569" s="14">
        <f>CHOOSE(CONTROL!$C$42, 33.1569, 33.1569) * CHOOSE(CONTROL!$C$21, $C$9, 100%, $E$9)</f>
        <v>33.1569</v>
      </c>
      <c r="C569" s="14">
        <f>CHOOSE(CONTROL!$C$42, 33.1649, 33.1649) * CHOOSE(CONTROL!$C$21, $C$9, 100%, $E$9)</f>
        <v>33.164900000000003</v>
      </c>
      <c r="D569" s="14">
        <f>CHOOSE(CONTROL!$C$42, 33.424, 33.424) * CHOOSE(CONTROL!$C$21, $C$9, 100%, $E$9)</f>
        <v>33.423999999999999</v>
      </c>
      <c r="E569" s="14">
        <f>CHOOSE(CONTROL!$C$42, 33.4555, 33.4555) * CHOOSE(CONTROL!$C$21, $C$9, 100%, $E$9)</f>
        <v>33.455500000000001</v>
      </c>
      <c r="F569" s="14">
        <f>CHOOSE(CONTROL!$C$42, 33.1784, 33.1784)*CHOOSE(CONTROL!$C$21, $C$9, 100%, $E$9)</f>
        <v>33.178400000000003</v>
      </c>
      <c r="G569" s="14">
        <f>CHOOSE(CONTROL!$C$42, 33.1954, 33.1954)*CHOOSE(CONTROL!$C$21, $C$9, 100%, $E$9)</f>
        <v>33.195399999999999</v>
      </c>
      <c r="H569" s="14">
        <f>CHOOSE(CONTROL!$C$42, 33.4441, 33.4441) * CHOOSE(CONTROL!$C$21, $C$9, 100%, $E$9)</f>
        <v>33.444099999999999</v>
      </c>
      <c r="I569" s="14">
        <f>CHOOSE(CONTROL!$C$42, 33.2818, 33.2818)* CHOOSE(CONTROL!$C$21, $C$9, 100%, $E$9)</f>
        <v>33.281799999999997</v>
      </c>
      <c r="J569" s="14">
        <f>CHOOSE(CONTROL!$C$42, 33.1714, 33.1714)* CHOOSE(CONTROL!$C$21, $C$9, 100%, $E$9)</f>
        <v>33.171399999999998</v>
      </c>
      <c r="K569" s="52">
        <f>CHOOSE(CONTROL!$C$42, 33.2779, 33.2779) * CHOOSE(CONTROL!$C$21, $C$9, 100%, $E$9)</f>
        <v>33.277900000000002</v>
      </c>
      <c r="L569" s="14">
        <f>CHOOSE(CONTROL!$C$42, 34.0311, 34.0311) * CHOOSE(CONTROL!$C$21, $C$9, 100%, $E$9)</f>
        <v>34.031100000000002</v>
      </c>
      <c r="M569" s="14">
        <f>CHOOSE(CONTROL!$C$42, 32.5825, 32.5825) * CHOOSE(CONTROL!$C$21, $C$9, 100%, $E$9)</f>
        <v>32.582500000000003</v>
      </c>
      <c r="N569" s="14">
        <f>CHOOSE(CONTROL!$C$42, 32.5991, 32.5991) * CHOOSE(CONTROL!$C$21, $C$9, 100%, $E$9)</f>
        <v>32.5991</v>
      </c>
      <c r="O569" s="14">
        <f>CHOOSE(CONTROL!$C$42, 32.8502, 32.8502) * CHOOSE(CONTROL!$C$21, $C$9, 100%, $E$9)</f>
        <v>32.850200000000001</v>
      </c>
      <c r="P569" s="14">
        <f>CHOOSE(CONTROL!$C$42, 32.6891, 32.6891) * CHOOSE(CONTROL!$C$21, $C$9, 100%, $E$9)</f>
        <v>32.689100000000003</v>
      </c>
      <c r="Q569" s="14">
        <f>CHOOSE(CONTROL!$C$42, 33.4449, 33.4449) * CHOOSE(CONTROL!$C$21, $C$9, 100%, $E$9)</f>
        <v>33.444899999999997</v>
      </c>
      <c r="R569" s="14">
        <f>CHOOSE(CONTROL!$C$42, 34.1156, 34.1156) * CHOOSE(CONTROL!$C$21, $C$9, 100%, $E$9)</f>
        <v>34.115600000000001</v>
      </c>
      <c r="S569" s="14">
        <f>CHOOSE(CONTROL!$C$42, 31.8498, 31.8498) * CHOOSE(CONTROL!$C$21, $C$9, 100%, $E$9)</f>
        <v>31.849799999999998</v>
      </c>
      <c r="T56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69" s="56">
        <f>(1000*CHOOSE(CONTROL!$C$42, 695, 695)*CHOOSE(CONTROL!$C$42, 0.5599, 0.5599)*CHOOSE(CONTROL!$C$42, 31, 31))/1000000</f>
        <v>12.063045499999998</v>
      </c>
      <c r="V569" s="56">
        <f>(1000*CHOOSE(CONTROL!$C$42, 500, 500)*CHOOSE(CONTROL!$C$42, 0.275, 0.275)*CHOOSE(CONTROL!$C$42, 31, 31))/1000000</f>
        <v>4.2625000000000002</v>
      </c>
      <c r="W569" s="56">
        <f>(1000*CHOOSE(CONTROL!$C$42, 0.1146, 0.1146)*CHOOSE(CONTROL!$C$42, 121.5, 121.5)*CHOOSE(CONTROL!$C$42, 31, 31))/1000000</f>
        <v>0.43164089999999994</v>
      </c>
      <c r="X569" s="56">
        <f>(31*0.1790888*245000/1000000)+(31*0.2374*100000/1000000)</f>
        <v>2.0961194359999999</v>
      </c>
      <c r="Y569" s="56"/>
      <c r="Z569" s="14"/>
      <c r="AA569" s="55"/>
      <c r="AB569" s="49">
        <f>(B569*194.205+C569*267.466+D569*133.845+E569*53.484+F569*40+G569*185+H569*0+I569*100+J569*300)/(194.205+267.466+133.845+53.484+0+40+185+100+300)</f>
        <v>33.218660243249602</v>
      </c>
      <c r="AC569" s="45">
        <f>(M569*'RAP TEMPLATE-GAS AVAILABILITY'!O568+N569*'RAP TEMPLATE-GAS AVAILABILITY'!P568+O569*'RAP TEMPLATE-GAS AVAILABILITY'!Q568+P569*'RAP TEMPLATE-GAS AVAILABILITY'!R568)/('RAP TEMPLATE-GAS AVAILABILITY'!O568+'RAP TEMPLATE-GAS AVAILABILITY'!P568+'RAP TEMPLATE-GAS AVAILABILITY'!Q568+'RAP TEMPLATE-GAS AVAILABILITY'!R568)</f>
        <v>32.676769784172663</v>
      </c>
    </row>
    <row r="570" spans="1:29" ht="15.75" x14ac:dyDescent="0.25">
      <c r="A570" s="32">
        <v>58256</v>
      </c>
      <c r="B570" s="14">
        <f>CHOOSE(CONTROL!$C$42, 34.0971, 34.0971) * CHOOSE(CONTROL!$C$21, $C$9, 100%, $E$9)</f>
        <v>34.097099999999998</v>
      </c>
      <c r="C570" s="14">
        <f>CHOOSE(CONTROL!$C$42, 34.1051, 34.1051) * CHOOSE(CONTROL!$C$21, $C$9, 100%, $E$9)</f>
        <v>34.1051</v>
      </c>
      <c r="D570" s="14">
        <f>CHOOSE(CONTROL!$C$42, 34.3642, 34.3642) * CHOOSE(CONTROL!$C$21, $C$9, 100%, $E$9)</f>
        <v>34.364199999999997</v>
      </c>
      <c r="E570" s="14">
        <f>CHOOSE(CONTROL!$C$42, 34.3957, 34.3957) * CHOOSE(CONTROL!$C$21, $C$9, 100%, $E$9)</f>
        <v>34.395699999999998</v>
      </c>
      <c r="F570" s="14">
        <f>CHOOSE(CONTROL!$C$42, 34.1189, 34.1189)*CHOOSE(CONTROL!$C$21, $C$9, 100%, $E$9)</f>
        <v>34.118899999999996</v>
      </c>
      <c r="G570" s="14">
        <f>CHOOSE(CONTROL!$C$42, 34.1359, 34.1359)*CHOOSE(CONTROL!$C$21, $C$9, 100%, $E$9)</f>
        <v>34.135899999999999</v>
      </c>
      <c r="H570" s="14">
        <f>CHOOSE(CONTROL!$C$42, 34.3843, 34.3843) * CHOOSE(CONTROL!$C$21, $C$9, 100%, $E$9)</f>
        <v>34.384300000000003</v>
      </c>
      <c r="I570" s="14">
        <f>CHOOSE(CONTROL!$C$42, 34.225, 34.225)* CHOOSE(CONTROL!$C$21, $C$9, 100%, $E$9)</f>
        <v>34.225000000000001</v>
      </c>
      <c r="J570" s="14">
        <f>CHOOSE(CONTROL!$C$42, 34.1119, 34.1119)* CHOOSE(CONTROL!$C$21, $C$9, 100%, $E$9)</f>
        <v>34.111899999999999</v>
      </c>
      <c r="K570" s="52">
        <f>CHOOSE(CONTROL!$C$42, 34.2211, 34.2211) * CHOOSE(CONTROL!$C$21, $C$9, 100%, $E$9)</f>
        <v>34.2211</v>
      </c>
      <c r="L570" s="14">
        <f>CHOOSE(CONTROL!$C$42, 34.9713, 34.9713) * CHOOSE(CONTROL!$C$21, $C$9, 100%, $E$9)</f>
        <v>34.971299999999999</v>
      </c>
      <c r="M570" s="14">
        <f>CHOOSE(CONTROL!$C$42, 33.506, 33.506) * CHOOSE(CONTROL!$C$21, $C$9, 100%, $E$9)</f>
        <v>33.506</v>
      </c>
      <c r="N570" s="14">
        <f>CHOOSE(CONTROL!$C$42, 33.5227, 33.5227) * CHOOSE(CONTROL!$C$21, $C$9, 100%, $E$9)</f>
        <v>33.5227</v>
      </c>
      <c r="O570" s="14">
        <f>CHOOSE(CONTROL!$C$42, 33.7735, 33.7735) * CHOOSE(CONTROL!$C$21, $C$9, 100%, $E$9)</f>
        <v>33.773499999999999</v>
      </c>
      <c r="P570" s="14">
        <f>CHOOSE(CONTROL!$C$42, 33.6153, 33.6153) * CHOOSE(CONTROL!$C$21, $C$9, 100%, $E$9)</f>
        <v>33.615299999999998</v>
      </c>
      <c r="Q570" s="14">
        <f>CHOOSE(CONTROL!$C$42, 34.3682, 34.3682) * CHOOSE(CONTROL!$C$21, $C$9, 100%, $E$9)</f>
        <v>34.368200000000002</v>
      </c>
      <c r="R570" s="14">
        <f>CHOOSE(CONTROL!$C$42, 35.0412, 35.0412) * CHOOSE(CONTROL!$C$21, $C$9, 100%, $E$9)</f>
        <v>35.041200000000003</v>
      </c>
      <c r="S570" s="14">
        <f>CHOOSE(CONTROL!$C$42, 32.7533, 32.7533) * CHOOSE(CONTROL!$C$21, $C$9, 100%, $E$9)</f>
        <v>32.753300000000003</v>
      </c>
      <c r="T57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70" s="56">
        <f>(1000*CHOOSE(CONTROL!$C$42, 695, 695)*CHOOSE(CONTROL!$C$42, 0.5599, 0.5599)*CHOOSE(CONTROL!$C$42, 30, 30))/1000000</f>
        <v>11.673914999999997</v>
      </c>
      <c r="V570" s="56">
        <f>(1000*CHOOSE(CONTROL!$C$42, 500, 500)*CHOOSE(CONTROL!$C$42, 0.275, 0.275)*CHOOSE(CONTROL!$C$42, 30, 30))/1000000</f>
        <v>4.125</v>
      </c>
      <c r="W570" s="56">
        <f>(1000*CHOOSE(CONTROL!$C$42, 0.1146, 0.1146)*CHOOSE(CONTROL!$C$42, 121.5, 121.5)*CHOOSE(CONTROL!$C$42, 30, 30))/1000000</f>
        <v>0.417717</v>
      </c>
      <c r="X570" s="56">
        <f>(30*0.1790888*245000/1000000)+(30*0.2374*100000/1000000)</f>
        <v>2.0285026799999999</v>
      </c>
      <c r="Y570" s="56"/>
      <c r="Z570" s="14"/>
      <c r="AA570" s="55"/>
      <c r="AB570" s="49">
        <f>(B570*194.205+C570*267.466+D570*133.845+E570*53.484+F570*40+G570*185+H570*0+I570*100+J570*300)/(194.205+267.466+133.845+53.484+0+40+185+100+300)</f>
        <v>34.159219348430142</v>
      </c>
      <c r="AC570" s="45">
        <f>(M570*'RAP TEMPLATE-GAS AVAILABILITY'!O569+N570*'RAP TEMPLATE-GAS AVAILABILITY'!P569+O570*'RAP TEMPLATE-GAS AVAILABILITY'!Q569+P570*'RAP TEMPLATE-GAS AVAILABILITY'!R569)/('RAP TEMPLATE-GAS AVAILABILITY'!O569+'RAP TEMPLATE-GAS AVAILABILITY'!P569+'RAP TEMPLATE-GAS AVAILABILITY'!Q569+'RAP TEMPLATE-GAS AVAILABILITY'!R569)</f>
        <v>33.600625179856117</v>
      </c>
    </row>
    <row r="571" spans="1:29" ht="15.75" x14ac:dyDescent="0.25">
      <c r="A571" s="32">
        <v>58287</v>
      </c>
      <c r="B571" s="14">
        <f>CHOOSE(CONTROL!$C$42, 33.4432, 33.4432) * CHOOSE(CONTROL!$C$21, $C$9, 100%, $E$9)</f>
        <v>33.443199999999997</v>
      </c>
      <c r="C571" s="14">
        <f>CHOOSE(CONTROL!$C$42, 33.4512, 33.4512) * CHOOSE(CONTROL!$C$21, $C$9, 100%, $E$9)</f>
        <v>33.4512</v>
      </c>
      <c r="D571" s="14">
        <f>CHOOSE(CONTROL!$C$42, 33.7103, 33.7103) * CHOOSE(CONTROL!$C$21, $C$9, 100%, $E$9)</f>
        <v>33.710299999999997</v>
      </c>
      <c r="E571" s="14">
        <f>CHOOSE(CONTROL!$C$42, 33.7418, 33.7418) * CHOOSE(CONTROL!$C$21, $C$9, 100%, $E$9)</f>
        <v>33.741799999999998</v>
      </c>
      <c r="F571" s="14">
        <f>CHOOSE(CONTROL!$C$42, 33.4654, 33.4654)*CHOOSE(CONTROL!$C$21, $C$9, 100%, $E$9)</f>
        <v>33.465400000000002</v>
      </c>
      <c r="G571" s="14">
        <f>CHOOSE(CONTROL!$C$42, 33.4825, 33.4825)*CHOOSE(CONTROL!$C$21, $C$9, 100%, $E$9)</f>
        <v>33.482500000000002</v>
      </c>
      <c r="H571" s="14">
        <f>CHOOSE(CONTROL!$C$42, 33.7304, 33.7304) * CHOOSE(CONTROL!$C$21, $C$9, 100%, $E$9)</f>
        <v>33.730400000000003</v>
      </c>
      <c r="I571" s="14">
        <f>CHOOSE(CONTROL!$C$42, 33.569, 33.569)* CHOOSE(CONTROL!$C$21, $C$9, 100%, $E$9)</f>
        <v>33.569000000000003</v>
      </c>
      <c r="J571" s="14">
        <f>CHOOSE(CONTROL!$C$42, 33.4584, 33.4584)* CHOOSE(CONTROL!$C$21, $C$9, 100%, $E$9)</f>
        <v>33.458399999999997</v>
      </c>
      <c r="K571" s="52">
        <f>CHOOSE(CONTROL!$C$42, 33.5651, 33.5651) * CHOOSE(CONTROL!$C$21, $C$9, 100%, $E$9)</f>
        <v>33.565100000000001</v>
      </c>
      <c r="L571" s="14">
        <f>CHOOSE(CONTROL!$C$42, 34.3174, 34.3174) * CHOOSE(CONTROL!$C$21, $C$9, 100%, $E$9)</f>
        <v>34.317399999999999</v>
      </c>
      <c r="M571" s="14">
        <f>CHOOSE(CONTROL!$C$42, 32.8643, 32.8643) * CHOOSE(CONTROL!$C$21, $C$9, 100%, $E$9)</f>
        <v>32.8643</v>
      </c>
      <c r="N571" s="14">
        <f>CHOOSE(CONTROL!$C$42, 32.8811, 32.8811) * CHOOSE(CONTROL!$C$21, $C$9, 100%, $E$9)</f>
        <v>32.881100000000004</v>
      </c>
      <c r="O571" s="14">
        <f>CHOOSE(CONTROL!$C$42, 33.1314, 33.1314) * CHOOSE(CONTROL!$C$21, $C$9, 100%, $E$9)</f>
        <v>33.131399999999999</v>
      </c>
      <c r="P571" s="14">
        <f>CHOOSE(CONTROL!$C$42, 32.9711, 32.9711) * CHOOSE(CONTROL!$C$21, $C$9, 100%, $E$9)</f>
        <v>32.9711</v>
      </c>
      <c r="Q571" s="14">
        <f>CHOOSE(CONTROL!$C$42, 33.7261, 33.7261) * CHOOSE(CONTROL!$C$21, $C$9, 100%, $E$9)</f>
        <v>33.726100000000002</v>
      </c>
      <c r="R571" s="14">
        <f>CHOOSE(CONTROL!$C$42, 34.3974, 34.3974) * CHOOSE(CONTROL!$C$21, $C$9, 100%, $E$9)</f>
        <v>34.397399999999998</v>
      </c>
      <c r="S571" s="14">
        <f>CHOOSE(CONTROL!$C$42, 32.1249, 32.1249) * CHOOSE(CONTROL!$C$21, $C$9, 100%, $E$9)</f>
        <v>32.124899999999997</v>
      </c>
      <c r="T57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71" s="56">
        <f>(1000*CHOOSE(CONTROL!$C$42, 695, 695)*CHOOSE(CONTROL!$C$42, 0.5599, 0.5599)*CHOOSE(CONTROL!$C$42, 31, 31))/1000000</f>
        <v>12.063045499999998</v>
      </c>
      <c r="V571" s="56">
        <f>(1000*CHOOSE(CONTROL!$C$42, 500, 500)*CHOOSE(CONTROL!$C$42, 0.275, 0.275)*CHOOSE(CONTROL!$C$42, 31, 31))/1000000</f>
        <v>4.2625000000000002</v>
      </c>
      <c r="W571" s="56">
        <f>(1000*CHOOSE(CONTROL!$C$42, 0.1146, 0.1146)*CHOOSE(CONTROL!$C$42, 121.5, 121.5)*CHOOSE(CONTROL!$C$42, 31, 31))/1000000</f>
        <v>0.43164089999999994</v>
      </c>
      <c r="X571" s="56">
        <f>(31*0.1790888*245000/1000000)+(31*0.2374*100000/1000000)</f>
        <v>2.0961194359999999</v>
      </c>
      <c r="Y571" s="56"/>
      <c r="Z571" s="14"/>
      <c r="AA571" s="55"/>
      <c r="AB571" s="49">
        <f>(B571*194.205+C571*267.466+D571*133.845+E571*53.484+F571*40+G571*185+H571*0+I571*100+J571*300)/(194.205+267.466+133.845+53.484+0+40+185+100+300)</f>
        <v>33.505333869623236</v>
      </c>
      <c r="AC571" s="45">
        <f>(M571*'RAP TEMPLATE-GAS AVAILABILITY'!O570+N571*'RAP TEMPLATE-GAS AVAILABILITY'!P570+O571*'RAP TEMPLATE-GAS AVAILABILITY'!Q570+P571*'RAP TEMPLATE-GAS AVAILABILITY'!R570)/('RAP TEMPLATE-GAS AVAILABILITY'!O570+'RAP TEMPLATE-GAS AVAILABILITY'!P570+'RAP TEMPLATE-GAS AVAILABILITY'!Q570+'RAP TEMPLATE-GAS AVAILABILITY'!R570)</f>
        <v>32.958476258992803</v>
      </c>
    </row>
    <row r="572" spans="1:29" ht="15.75" x14ac:dyDescent="0.25">
      <c r="A572" s="32">
        <v>58318</v>
      </c>
      <c r="B572" s="14">
        <f>CHOOSE(CONTROL!$C$42, 31.7918, 31.7918) * CHOOSE(CONTROL!$C$21, $C$9, 100%, $E$9)</f>
        <v>31.791799999999999</v>
      </c>
      <c r="C572" s="14">
        <f>CHOOSE(CONTROL!$C$42, 31.7999, 31.7999) * CHOOSE(CONTROL!$C$21, $C$9, 100%, $E$9)</f>
        <v>31.799900000000001</v>
      </c>
      <c r="D572" s="14">
        <f>CHOOSE(CONTROL!$C$42, 32.0589, 32.0589) * CHOOSE(CONTROL!$C$21, $C$9, 100%, $E$9)</f>
        <v>32.058900000000001</v>
      </c>
      <c r="E572" s="14">
        <f>CHOOSE(CONTROL!$C$42, 32.0904, 32.0904) * CHOOSE(CONTROL!$C$21, $C$9, 100%, $E$9)</f>
        <v>32.090400000000002</v>
      </c>
      <c r="F572" s="14">
        <f>CHOOSE(CONTROL!$C$42, 31.8142, 31.8142)*CHOOSE(CONTROL!$C$21, $C$9, 100%, $E$9)</f>
        <v>31.8142</v>
      </c>
      <c r="G572" s="14">
        <f>CHOOSE(CONTROL!$C$42, 31.8314, 31.8314)*CHOOSE(CONTROL!$C$21, $C$9, 100%, $E$9)</f>
        <v>31.831399999999999</v>
      </c>
      <c r="H572" s="14">
        <f>CHOOSE(CONTROL!$C$42, 32.079, 32.079) * CHOOSE(CONTROL!$C$21, $C$9, 100%, $E$9)</f>
        <v>32.079000000000001</v>
      </c>
      <c r="I572" s="14">
        <f>CHOOSE(CONTROL!$C$42, 31.9125, 31.9125)* CHOOSE(CONTROL!$C$21, $C$9, 100%, $E$9)</f>
        <v>31.912500000000001</v>
      </c>
      <c r="J572" s="14">
        <f>CHOOSE(CONTROL!$C$42, 31.8072, 31.8072)* CHOOSE(CONTROL!$C$21, $C$9, 100%, $E$9)</f>
        <v>31.807200000000002</v>
      </c>
      <c r="K572" s="52">
        <f>CHOOSE(CONTROL!$C$42, 31.9086, 31.9086) * CHOOSE(CONTROL!$C$21, $C$9, 100%, $E$9)</f>
        <v>31.9086</v>
      </c>
      <c r="L572" s="14">
        <f>CHOOSE(CONTROL!$C$42, 32.666, 32.666) * CHOOSE(CONTROL!$C$21, $C$9, 100%, $E$9)</f>
        <v>32.665999999999997</v>
      </c>
      <c r="M572" s="14">
        <f>CHOOSE(CONTROL!$C$42, 31.2428, 31.2428) * CHOOSE(CONTROL!$C$21, $C$9, 100%, $E$9)</f>
        <v>31.242799999999999</v>
      </c>
      <c r="N572" s="14">
        <f>CHOOSE(CONTROL!$C$42, 31.2597, 31.2597) * CHOOSE(CONTROL!$C$21, $C$9, 100%, $E$9)</f>
        <v>31.259699999999999</v>
      </c>
      <c r="O572" s="14">
        <f>CHOOSE(CONTROL!$C$42, 31.5097, 31.5097) * CHOOSE(CONTROL!$C$21, $C$9, 100%, $E$9)</f>
        <v>31.509699999999999</v>
      </c>
      <c r="P572" s="14">
        <f>CHOOSE(CONTROL!$C$42, 31.3445, 31.3445) * CHOOSE(CONTROL!$C$21, $C$9, 100%, $E$9)</f>
        <v>31.3445</v>
      </c>
      <c r="Q572" s="14">
        <f>CHOOSE(CONTROL!$C$42, 32.1044, 32.1044) * CHOOSE(CONTROL!$C$21, $C$9, 100%, $E$9)</f>
        <v>32.104399999999998</v>
      </c>
      <c r="R572" s="14">
        <f>CHOOSE(CONTROL!$C$42, 32.7717, 32.7717) * CHOOSE(CONTROL!$C$21, $C$9, 100%, $E$9)</f>
        <v>32.771700000000003</v>
      </c>
      <c r="S572" s="14">
        <f>CHOOSE(CONTROL!$C$42, 30.5381, 30.5381) * CHOOSE(CONTROL!$C$21, $C$9, 100%, $E$9)</f>
        <v>30.5381</v>
      </c>
      <c r="T57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72" s="56">
        <f>(1000*CHOOSE(CONTROL!$C$42, 695, 695)*CHOOSE(CONTROL!$C$42, 0.5599, 0.5599)*CHOOSE(CONTROL!$C$42, 31, 31))/1000000</f>
        <v>12.063045499999998</v>
      </c>
      <c r="V572" s="56">
        <f>(1000*CHOOSE(CONTROL!$C$42, 500, 500)*CHOOSE(CONTROL!$C$42, 0.275, 0.275)*CHOOSE(CONTROL!$C$42, 31, 31))/1000000</f>
        <v>4.2625000000000002</v>
      </c>
      <c r="W572" s="56">
        <f>(1000*CHOOSE(CONTROL!$C$42, 0.1146, 0.1146)*CHOOSE(CONTROL!$C$42, 121.5, 121.5)*CHOOSE(CONTROL!$C$42, 31, 31))/1000000</f>
        <v>0.43164089999999994</v>
      </c>
      <c r="X572" s="56">
        <f>(31*0.1790888*245000/1000000)+(31*0.2374*100000/1000000)</f>
        <v>2.0961194359999999</v>
      </c>
      <c r="Y572" s="56"/>
      <c r="Z572" s="14"/>
      <c r="AA572" s="55"/>
      <c r="AB572" s="49">
        <f>(B572*194.205+C572*267.466+D572*133.845+E572*53.484+F572*40+G572*185+H572*0+I572*100+J572*300)/(194.205+267.466+133.845+53.484+0+40+185+100+300)</f>
        <v>31.853651488618524</v>
      </c>
      <c r="AC572" s="45">
        <f>(M572*'RAP TEMPLATE-GAS AVAILABILITY'!O571+N572*'RAP TEMPLATE-GAS AVAILABILITY'!P571+O572*'RAP TEMPLATE-GAS AVAILABILITY'!Q571+P572*'RAP TEMPLATE-GAS AVAILABILITY'!R571)/('RAP TEMPLATE-GAS AVAILABILITY'!O571+'RAP TEMPLATE-GAS AVAILABILITY'!P571+'RAP TEMPLATE-GAS AVAILABILITY'!Q571+'RAP TEMPLATE-GAS AVAILABILITY'!R571)</f>
        <v>31.336209352517983</v>
      </c>
    </row>
    <row r="573" spans="1:29" ht="15.75" x14ac:dyDescent="0.25">
      <c r="A573" s="32">
        <v>58348</v>
      </c>
      <c r="B573" s="14">
        <f>CHOOSE(CONTROL!$C$42, 29.774, 29.774) * CHOOSE(CONTROL!$C$21, $C$9, 100%, $E$9)</f>
        <v>29.774000000000001</v>
      </c>
      <c r="C573" s="14">
        <f>CHOOSE(CONTROL!$C$42, 29.782, 29.782) * CHOOSE(CONTROL!$C$21, $C$9, 100%, $E$9)</f>
        <v>29.782</v>
      </c>
      <c r="D573" s="14">
        <f>CHOOSE(CONTROL!$C$42, 30.0411, 30.0411) * CHOOSE(CONTROL!$C$21, $C$9, 100%, $E$9)</f>
        <v>30.0411</v>
      </c>
      <c r="E573" s="14">
        <f>CHOOSE(CONTROL!$C$42, 30.0725, 30.0725) * CHOOSE(CONTROL!$C$21, $C$9, 100%, $E$9)</f>
        <v>30.072500000000002</v>
      </c>
      <c r="F573" s="14">
        <f>CHOOSE(CONTROL!$C$42, 29.7964, 29.7964)*CHOOSE(CONTROL!$C$21, $C$9, 100%, $E$9)</f>
        <v>29.796399999999998</v>
      </c>
      <c r="G573" s="14">
        <f>CHOOSE(CONTROL!$C$42, 29.8137, 29.8137)*CHOOSE(CONTROL!$C$21, $C$9, 100%, $E$9)</f>
        <v>29.813700000000001</v>
      </c>
      <c r="H573" s="14">
        <f>CHOOSE(CONTROL!$C$42, 30.0612, 30.0612) * CHOOSE(CONTROL!$C$21, $C$9, 100%, $E$9)</f>
        <v>30.061199999999999</v>
      </c>
      <c r="I573" s="14">
        <f>CHOOSE(CONTROL!$C$42, 29.8883, 29.8883)* CHOOSE(CONTROL!$C$21, $C$9, 100%, $E$9)</f>
        <v>29.888300000000001</v>
      </c>
      <c r="J573" s="14">
        <f>CHOOSE(CONTROL!$C$42, 29.7894, 29.7894)* CHOOSE(CONTROL!$C$21, $C$9, 100%, $E$9)</f>
        <v>29.789400000000001</v>
      </c>
      <c r="K573" s="52">
        <f>CHOOSE(CONTROL!$C$42, 29.8844, 29.8844) * CHOOSE(CONTROL!$C$21, $C$9, 100%, $E$9)</f>
        <v>29.884399999999999</v>
      </c>
      <c r="L573" s="14">
        <f>CHOOSE(CONTROL!$C$42, 30.6482, 30.6482) * CHOOSE(CONTROL!$C$21, $C$9, 100%, $E$9)</f>
        <v>30.648199999999999</v>
      </c>
      <c r="M573" s="14">
        <f>CHOOSE(CONTROL!$C$42, 29.2613, 29.2613) * CHOOSE(CONTROL!$C$21, $C$9, 100%, $E$9)</f>
        <v>29.261299999999999</v>
      </c>
      <c r="N573" s="14">
        <f>CHOOSE(CONTROL!$C$42, 29.2782, 29.2782) * CHOOSE(CONTROL!$C$21, $C$9, 100%, $E$9)</f>
        <v>29.278199999999998</v>
      </c>
      <c r="O573" s="14">
        <f>CHOOSE(CONTROL!$C$42, 29.5282, 29.5282) * CHOOSE(CONTROL!$C$21, $C$9, 100%, $E$9)</f>
        <v>29.528199999999998</v>
      </c>
      <c r="P573" s="14">
        <f>CHOOSE(CONTROL!$C$42, 29.3568, 29.3568) * CHOOSE(CONTROL!$C$21, $C$9, 100%, $E$9)</f>
        <v>29.3568</v>
      </c>
      <c r="Q573" s="14">
        <f>CHOOSE(CONTROL!$C$42, 30.1229, 30.1229) * CHOOSE(CONTROL!$C$21, $C$9, 100%, $E$9)</f>
        <v>30.122900000000001</v>
      </c>
      <c r="R573" s="14">
        <f>CHOOSE(CONTROL!$C$42, 30.7852, 30.7852) * CHOOSE(CONTROL!$C$21, $C$9, 100%, $E$9)</f>
        <v>30.7852</v>
      </c>
      <c r="S573" s="14">
        <f>CHOOSE(CONTROL!$C$42, 28.5992, 28.5992) * CHOOSE(CONTROL!$C$21, $C$9, 100%, $E$9)</f>
        <v>28.5992</v>
      </c>
      <c r="T57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73" s="56">
        <f>(1000*CHOOSE(CONTROL!$C$42, 695, 695)*CHOOSE(CONTROL!$C$42, 0.5599, 0.5599)*CHOOSE(CONTROL!$C$42, 30, 30))/1000000</f>
        <v>11.673914999999997</v>
      </c>
      <c r="V573" s="56">
        <f>(1000*CHOOSE(CONTROL!$C$42, 500, 500)*CHOOSE(CONTROL!$C$42, 0.275, 0.275)*CHOOSE(CONTROL!$C$42, 30, 30))/1000000</f>
        <v>4.125</v>
      </c>
      <c r="W573" s="56">
        <f>(1000*CHOOSE(CONTROL!$C$42, 0.1146, 0.1146)*CHOOSE(CONTROL!$C$42, 121.5, 121.5)*CHOOSE(CONTROL!$C$42, 30, 30))/1000000</f>
        <v>0.417717</v>
      </c>
      <c r="X573" s="56">
        <f>(30*0.1790888*245000/1000000)+(30*0.2374*100000/1000000)</f>
        <v>2.0285026799999999</v>
      </c>
      <c r="Y573" s="56"/>
      <c r="Z573" s="14"/>
      <c r="AA573" s="55"/>
      <c r="AB573" s="49">
        <f>(B573*194.205+C573*267.466+D573*133.845+E573*53.484+F573*40+G573*185+H573*0+I573*100+J573*300)/(194.205+267.466+133.845+53.484+0+40+185+100+300)</f>
        <v>29.83533846271586</v>
      </c>
      <c r="AC573" s="45">
        <f>(M573*'RAP TEMPLATE-GAS AVAILABILITY'!O572+N573*'RAP TEMPLATE-GAS AVAILABILITY'!P572+O573*'RAP TEMPLATE-GAS AVAILABILITY'!Q572+P573*'RAP TEMPLATE-GAS AVAILABILITY'!R572)/('RAP TEMPLATE-GAS AVAILABILITY'!O572+'RAP TEMPLATE-GAS AVAILABILITY'!P572+'RAP TEMPLATE-GAS AVAILABILITY'!Q572+'RAP TEMPLATE-GAS AVAILABILITY'!R572)</f>
        <v>29.353817266187047</v>
      </c>
    </row>
    <row r="574" spans="1:29" ht="15.75" x14ac:dyDescent="0.25">
      <c r="A574" s="32">
        <v>58379</v>
      </c>
      <c r="B574" s="14">
        <f>CHOOSE(CONTROL!$C$42, 29.1679, 29.1679) * CHOOSE(CONTROL!$C$21, $C$9, 100%, $E$9)</f>
        <v>29.167899999999999</v>
      </c>
      <c r="C574" s="14">
        <f>CHOOSE(CONTROL!$C$42, 29.1732, 29.1732) * CHOOSE(CONTROL!$C$21, $C$9, 100%, $E$9)</f>
        <v>29.173200000000001</v>
      </c>
      <c r="D574" s="14">
        <f>CHOOSE(CONTROL!$C$42, 29.4373, 29.4373) * CHOOSE(CONTROL!$C$21, $C$9, 100%, $E$9)</f>
        <v>29.4373</v>
      </c>
      <c r="E574" s="14">
        <f>CHOOSE(CONTROL!$C$42, 29.4664, 29.4664) * CHOOSE(CONTROL!$C$21, $C$9, 100%, $E$9)</f>
        <v>29.4664</v>
      </c>
      <c r="F574" s="14">
        <f>CHOOSE(CONTROL!$C$42, 29.1926, 29.1926)*CHOOSE(CONTROL!$C$21, $C$9, 100%, $E$9)</f>
        <v>29.192599999999999</v>
      </c>
      <c r="G574" s="14">
        <f>CHOOSE(CONTROL!$C$42, 29.2096, 29.2096)*CHOOSE(CONTROL!$C$21, $C$9, 100%, $E$9)</f>
        <v>29.209599999999998</v>
      </c>
      <c r="H574" s="14">
        <f>CHOOSE(CONTROL!$C$42, 29.4569, 29.4569) * CHOOSE(CONTROL!$C$21, $C$9, 100%, $E$9)</f>
        <v>29.456900000000001</v>
      </c>
      <c r="I574" s="14">
        <f>CHOOSE(CONTROL!$C$42, 29.2821, 29.2821)* CHOOSE(CONTROL!$C$21, $C$9, 100%, $E$9)</f>
        <v>29.2821</v>
      </c>
      <c r="J574" s="14">
        <f>CHOOSE(CONTROL!$C$42, 29.1856, 29.1856)* CHOOSE(CONTROL!$C$21, $C$9, 100%, $E$9)</f>
        <v>29.185600000000001</v>
      </c>
      <c r="K574" s="52">
        <f>CHOOSE(CONTROL!$C$42, 29.2782, 29.2782) * CHOOSE(CONTROL!$C$21, $C$9, 100%, $E$9)</f>
        <v>29.278199999999998</v>
      </c>
      <c r="L574" s="14">
        <f>CHOOSE(CONTROL!$C$42, 30.0439, 30.0439) * CHOOSE(CONTROL!$C$21, $C$9, 100%, $E$9)</f>
        <v>30.043900000000001</v>
      </c>
      <c r="M574" s="14">
        <f>CHOOSE(CONTROL!$C$42, 28.6683, 28.6683) * CHOOSE(CONTROL!$C$21, $C$9, 100%, $E$9)</f>
        <v>28.668299999999999</v>
      </c>
      <c r="N574" s="14">
        <f>CHOOSE(CONTROL!$C$42, 28.6851, 28.6851) * CHOOSE(CONTROL!$C$21, $C$9, 100%, $E$9)</f>
        <v>28.685099999999998</v>
      </c>
      <c r="O574" s="14">
        <f>CHOOSE(CONTROL!$C$42, 28.9347, 28.9347) * CHOOSE(CONTROL!$C$21, $C$9, 100%, $E$9)</f>
        <v>28.934699999999999</v>
      </c>
      <c r="P574" s="14">
        <f>CHOOSE(CONTROL!$C$42, 28.7616, 28.7616) * CHOOSE(CONTROL!$C$21, $C$9, 100%, $E$9)</f>
        <v>28.761600000000001</v>
      </c>
      <c r="Q574" s="14">
        <f>CHOOSE(CONTROL!$C$42, 29.5294, 29.5294) * CHOOSE(CONTROL!$C$21, $C$9, 100%, $E$9)</f>
        <v>29.529399999999999</v>
      </c>
      <c r="R574" s="14">
        <f>CHOOSE(CONTROL!$C$42, 30.1903, 30.1903) * CHOOSE(CONTROL!$C$21, $C$9, 100%, $E$9)</f>
        <v>30.190300000000001</v>
      </c>
      <c r="S574" s="14">
        <f>CHOOSE(CONTROL!$C$42, 28.0185, 28.0185) * CHOOSE(CONTROL!$C$21, $C$9, 100%, $E$9)</f>
        <v>28.0185</v>
      </c>
      <c r="T57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74" s="56">
        <f>(1000*CHOOSE(CONTROL!$C$42, 695, 695)*CHOOSE(CONTROL!$C$42, 0.5599, 0.5599)*CHOOSE(CONTROL!$C$42, 31, 31))/1000000</f>
        <v>12.063045499999998</v>
      </c>
      <c r="V574" s="56">
        <f>(1000*CHOOSE(CONTROL!$C$42, 500, 500)*CHOOSE(CONTROL!$C$42, 0.275, 0.275)*CHOOSE(CONTROL!$C$42, 31, 31))/1000000</f>
        <v>4.2625000000000002</v>
      </c>
      <c r="W574" s="56">
        <f>(1000*CHOOSE(CONTROL!$C$42, 0.1146, 0.1146)*CHOOSE(CONTROL!$C$42, 121.5, 121.5)*CHOOSE(CONTROL!$C$42, 31, 31))/1000000</f>
        <v>0.43164089999999994</v>
      </c>
      <c r="X574" s="56">
        <f>(31*0.1790888*245000/1000000)+(31*0.2374*100000/1000000)</f>
        <v>2.0961194359999999</v>
      </c>
      <c r="Y574" s="56"/>
      <c r="Z574" s="14"/>
      <c r="AA574" s="55"/>
      <c r="AB574" s="49">
        <f>(B574*131.881+C574*277.167+D574*79.08+E574*125.872+F574*40+G574*185+H574*0+I574*100+J574*300)/(131.881+277.167+79.08+125.872+0+40+185+100+300)</f>
        <v>29.237131984745766</v>
      </c>
      <c r="AC574" s="45">
        <f>(M574*'RAP TEMPLATE-GAS AVAILABILITY'!O573+N574*'RAP TEMPLATE-GAS AVAILABILITY'!P573+O574*'RAP TEMPLATE-GAS AVAILABILITY'!Q573+P574*'RAP TEMPLATE-GAS AVAILABILITY'!R573)/('RAP TEMPLATE-GAS AVAILABILITY'!O573+'RAP TEMPLATE-GAS AVAILABILITY'!P573+'RAP TEMPLATE-GAS AVAILABILITY'!Q573+'RAP TEMPLATE-GAS AVAILABILITY'!R573)</f>
        <v>28.760337410071941</v>
      </c>
    </row>
    <row r="575" spans="1:29" ht="15.75" x14ac:dyDescent="0.25">
      <c r="A575" s="32">
        <v>58409</v>
      </c>
      <c r="B575" s="14">
        <f>CHOOSE(CONTROL!$C$42, 29.9357, 29.9357) * CHOOSE(CONTROL!$C$21, $C$9, 100%, $E$9)</f>
        <v>29.935700000000001</v>
      </c>
      <c r="C575" s="14">
        <f>CHOOSE(CONTROL!$C$42, 29.9407, 29.9407) * CHOOSE(CONTROL!$C$21, $C$9, 100%, $E$9)</f>
        <v>29.9407</v>
      </c>
      <c r="D575" s="14">
        <f>CHOOSE(CONTROL!$C$42, 30.0238, 30.0238) * CHOOSE(CONTROL!$C$21, $C$9, 100%, $E$9)</f>
        <v>30.023800000000001</v>
      </c>
      <c r="E575" s="14">
        <f>CHOOSE(CONTROL!$C$42, 30.0579, 30.0579) * CHOOSE(CONTROL!$C$21, $C$9, 100%, $E$9)</f>
        <v>30.0579</v>
      </c>
      <c r="F575" s="14">
        <f>CHOOSE(CONTROL!$C$42, 29.9633, 29.9633)*CHOOSE(CONTROL!$C$21, $C$9, 100%, $E$9)</f>
        <v>29.9633</v>
      </c>
      <c r="G575" s="14">
        <f>CHOOSE(CONTROL!$C$42, 29.9806, 29.9806)*CHOOSE(CONTROL!$C$21, $C$9, 100%, $E$9)</f>
        <v>29.980599999999999</v>
      </c>
      <c r="H575" s="14">
        <f>CHOOSE(CONTROL!$C$42, 30.0471, 30.0471) * CHOOSE(CONTROL!$C$21, $C$9, 100%, $E$9)</f>
        <v>30.0471</v>
      </c>
      <c r="I575" s="14">
        <f>CHOOSE(CONTROL!$C$42, 30.049, 30.049)* CHOOSE(CONTROL!$C$21, $C$9, 100%, $E$9)</f>
        <v>30.048999999999999</v>
      </c>
      <c r="J575" s="14">
        <f>CHOOSE(CONTROL!$C$42, 29.9563, 29.9563)* CHOOSE(CONTROL!$C$21, $C$9, 100%, $E$9)</f>
        <v>29.956299999999999</v>
      </c>
      <c r="K575" s="52">
        <f>CHOOSE(CONTROL!$C$42, 30.0451, 30.0451) * CHOOSE(CONTROL!$C$21, $C$9, 100%, $E$9)</f>
        <v>30.045100000000001</v>
      </c>
      <c r="L575" s="14">
        <f>CHOOSE(CONTROL!$C$42, 30.6341, 30.6341) * CHOOSE(CONTROL!$C$21, $C$9, 100%, $E$9)</f>
        <v>30.6341</v>
      </c>
      <c r="M575" s="14">
        <f>CHOOSE(CONTROL!$C$42, 29.4252, 29.4252) * CHOOSE(CONTROL!$C$21, $C$9, 100%, $E$9)</f>
        <v>29.4252</v>
      </c>
      <c r="N575" s="14">
        <f>CHOOSE(CONTROL!$C$42, 29.4422, 29.4422) * CHOOSE(CONTROL!$C$21, $C$9, 100%, $E$9)</f>
        <v>29.4422</v>
      </c>
      <c r="O575" s="14">
        <f>CHOOSE(CONTROL!$C$42, 29.5143, 29.5143) * CHOOSE(CONTROL!$C$21, $C$9, 100%, $E$9)</f>
        <v>29.514299999999999</v>
      </c>
      <c r="P575" s="14">
        <f>CHOOSE(CONTROL!$C$42, 29.5147, 29.5147) * CHOOSE(CONTROL!$C$21, $C$9, 100%, $E$9)</f>
        <v>29.514700000000001</v>
      </c>
      <c r="Q575" s="14">
        <f>CHOOSE(CONTROL!$C$42, 30.109, 30.109) * CHOOSE(CONTROL!$C$21, $C$9, 100%, $E$9)</f>
        <v>30.109000000000002</v>
      </c>
      <c r="R575" s="14">
        <f>CHOOSE(CONTROL!$C$42, 30.7713, 30.7713) * CHOOSE(CONTROL!$C$21, $C$9, 100%, $E$9)</f>
        <v>30.7713</v>
      </c>
      <c r="S575" s="14">
        <f>CHOOSE(CONTROL!$C$42, 28.7566, 28.7566) * CHOOSE(CONTROL!$C$21, $C$9, 100%, $E$9)</f>
        <v>28.756599999999999</v>
      </c>
      <c r="T57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75" s="56">
        <f>(1000*CHOOSE(CONTROL!$C$42, 695, 695)*CHOOSE(CONTROL!$C$42, 0.5599, 0.5599)*CHOOSE(CONTROL!$C$42, 30, 30))/1000000</f>
        <v>11.673914999999997</v>
      </c>
      <c r="V575" s="56">
        <f>(1000*CHOOSE(CONTROL!$C$42, 500, 500)*CHOOSE(CONTROL!$C$42, 0.275, 0.275)*CHOOSE(CONTROL!$C$42, 30, 30))/1000000</f>
        <v>4.125</v>
      </c>
      <c r="W575" s="56">
        <f>(1000*CHOOSE(CONTROL!$C$42, 0.1146, 0.1146)*CHOOSE(CONTROL!$C$42, 121.5, 121.5)*CHOOSE(CONTROL!$C$42, 30, 30))/1000000</f>
        <v>0.417717</v>
      </c>
      <c r="X575" s="56">
        <f>(30*0.1790888*100000/1000000)+(30*0.2374*100000/1000000)</f>
        <v>1.2494664</v>
      </c>
      <c r="Y575" s="56"/>
      <c r="Z575" s="14"/>
      <c r="AA575" s="55"/>
      <c r="AB575" s="49">
        <f>(B575*122.58+C575*297.941+D575*89.177+E575*40.302+F575*40+G575*160+H575*0+I575*100+J575*300)/(122.58+297.941+89.177+40.302+0+40+160+100+300)</f>
        <v>29.97054269834782</v>
      </c>
      <c r="AC575" s="45">
        <f>(M575*'RAP TEMPLATE-GAS AVAILABILITY'!O574+N575*'RAP TEMPLATE-GAS AVAILABILITY'!P574+O575*'RAP TEMPLATE-GAS AVAILABILITY'!Q574+P575*'RAP TEMPLATE-GAS AVAILABILITY'!R574)/('RAP TEMPLATE-GAS AVAILABILITY'!O574+'RAP TEMPLATE-GAS AVAILABILITY'!P574+'RAP TEMPLATE-GAS AVAILABILITY'!Q574+'RAP TEMPLATE-GAS AVAILABILITY'!R574)</f>
        <v>29.479439568345324</v>
      </c>
    </row>
    <row r="576" spans="1:29" ht="15.75" x14ac:dyDescent="0.25">
      <c r="A576" s="32">
        <v>58440</v>
      </c>
      <c r="B576" s="14">
        <f>CHOOSE(CONTROL!$C$42, 31.976, 31.976) * CHOOSE(CONTROL!$C$21, $C$9, 100%, $E$9)</f>
        <v>31.975999999999999</v>
      </c>
      <c r="C576" s="14">
        <f>CHOOSE(CONTROL!$C$42, 31.9811, 31.9811) * CHOOSE(CONTROL!$C$21, $C$9, 100%, $E$9)</f>
        <v>31.981100000000001</v>
      </c>
      <c r="D576" s="14">
        <f>CHOOSE(CONTROL!$C$42, 32.0641, 32.0641) * CHOOSE(CONTROL!$C$21, $C$9, 100%, $E$9)</f>
        <v>32.064100000000003</v>
      </c>
      <c r="E576" s="14">
        <f>CHOOSE(CONTROL!$C$42, 32.0982, 32.0982) * CHOOSE(CONTROL!$C$21, $C$9, 100%, $E$9)</f>
        <v>32.098199999999999</v>
      </c>
      <c r="F576" s="14">
        <f>CHOOSE(CONTROL!$C$42, 32.0061, 32.0061)*CHOOSE(CONTROL!$C$21, $C$9, 100%, $E$9)</f>
        <v>32.006100000000004</v>
      </c>
      <c r="G576" s="14">
        <f>CHOOSE(CONTROL!$C$42, 32.0241, 32.0241)*CHOOSE(CONTROL!$C$21, $C$9, 100%, $E$9)</f>
        <v>32.024099999999997</v>
      </c>
      <c r="H576" s="14">
        <f>CHOOSE(CONTROL!$C$42, 32.0874, 32.0874) * CHOOSE(CONTROL!$C$21, $C$9, 100%, $E$9)</f>
        <v>32.087400000000002</v>
      </c>
      <c r="I576" s="14">
        <f>CHOOSE(CONTROL!$C$42, 32.0958, 32.0958)* CHOOSE(CONTROL!$C$21, $C$9, 100%, $E$9)</f>
        <v>32.095799999999997</v>
      </c>
      <c r="J576" s="14">
        <f>CHOOSE(CONTROL!$C$42, 31.9991, 31.9991)* CHOOSE(CONTROL!$C$21, $C$9, 100%, $E$9)</f>
        <v>31.999099999999999</v>
      </c>
      <c r="K576" s="52">
        <f>CHOOSE(CONTROL!$C$42, 32.0919, 32.0919) * CHOOSE(CONTROL!$C$21, $C$9, 100%, $E$9)</f>
        <v>32.091900000000003</v>
      </c>
      <c r="L576" s="14">
        <f>CHOOSE(CONTROL!$C$42, 32.6744, 32.6744) * CHOOSE(CONTROL!$C$21, $C$9, 100%, $E$9)</f>
        <v>32.674399999999999</v>
      </c>
      <c r="M576" s="14">
        <f>CHOOSE(CONTROL!$C$42, 31.4312, 31.4312) * CHOOSE(CONTROL!$C$21, $C$9, 100%, $E$9)</f>
        <v>31.4312</v>
      </c>
      <c r="N576" s="14">
        <f>CHOOSE(CONTROL!$C$42, 31.4489, 31.4489) * CHOOSE(CONTROL!$C$21, $C$9, 100%, $E$9)</f>
        <v>31.448899999999998</v>
      </c>
      <c r="O576" s="14">
        <f>CHOOSE(CONTROL!$C$42, 31.518, 31.518) * CHOOSE(CONTROL!$C$21, $C$9, 100%, $E$9)</f>
        <v>31.518000000000001</v>
      </c>
      <c r="P576" s="14">
        <f>CHOOSE(CONTROL!$C$42, 31.5245, 31.5245) * CHOOSE(CONTROL!$C$21, $C$9, 100%, $E$9)</f>
        <v>31.5245</v>
      </c>
      <c r="Q576" s="14">
        <f>CHOOSE(CONTROL!$C$42, 32.1127, 32.1127) * CHOOSE(CONTROL!$C$21, $C$9, 100%, $E$9)</f>
        <v>32.112699999999997</v>
      </c>
      <c r="R576" s="14">
        <f>CHOOSE(CONTROL!$C$42, 32.78, 32.78) * CHOOSE(CONTROL!$C$21, $C$9, 100%, $E$9)</f>
        <v>32.78</v>
      </c>
      <c r="S576" s="14">
        <f>CHOOSE(CONTROL!$C$42, 30.7172, 30.7172) * CHOOSE(CONTROL!$C$21, $C$9, 100%, $E$9)</f>
        <v>30.717199999999998</v>
      </c>
      <c r="T57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76" s="56">
        <f>(1000*CHOOSE(CONTROL!$C$42, 695, 695)*CHOOSE(CONTROL!$C$42, 0.5599, 0.5599)*CHOOSE(CONTROL!$C$42, 31, 31))/1000000</f>
        <v>12.063045499999998</v>
      </c>
      <c r="V576" s="56">
        <f>(1000*CHOOSE(CONTROL!$C$42, 500, 500)*CHOOSE(CONTROL!$C$42, 0.275, 0.275)*CHOOSE(CONTROL!$C$42, 31, 31))/1000000</f>
        <v>4.2625000000000002</v>
      </c>
      <c r="W576" s="56">
        <f>(1000*CHOOSE(CONTROL!$C$42, 0.1146, 0.1146)*CHOOSE(CONTROL!$C$42, 121.5, 121.5)*CHOOSE(CONTROL!$C$42, 31, 31))/1000000</f>
        <v>0.43164089999999994</v>
      </c>
      <c r="X576" s="56">
        <f>(31*0.1790888*100000/1000000)+(31*0.2374*100000/1000000)</f>
        <v>1.2911152800000001</v>
      </c>
      <c r="Y576" s="56"/>
      <c r="Z576" s="14"/>
      <c r="AA576" s="55"/>
      <c r="AB576" s="49">
        <f>(B576*122.58+C576*297.941+D576*89.177+E576*40.302+F576*40+G576*160+H576*0+I576*100+J576*300)/(122.58+297.941+89.177+40.302+0+40+160+100+300)</f>
        <v>32.012618171478259</v>
      </c>
      <c r="AC576" s="45">
        <f>(M576*'RAP TEMPLATE-GAS AVAILABILITY'!O575+N576*'RAP TEMPLATE-GAS AVAILABILITY'!P575+O576*'RAP TEMPLATE-GAS AVAILABILITY'!Q575+P576*'RAP TEMPLATE-GAS AVAILABILITY'!R575)/('RAP TEMPLATE-GAS AVAILABILITY'!O575+'RAP TEMPLATE-GAS AVAILABILITY'!P575+'RAP TEMPLATE-GAS AVAILABILITY'!Q575+'RAP TEMPLATE-GAS AVAILABILITY'!R575)</f>
        <v>31.484984172661875</v>
      </c>
    </row>
    <row r="577" spans="1:29" ht="15.75" x14ac:dyDescent="0.25">
      <c r="A577" s="32">
        <v>58471</v>
      </c>
      <c r="B577" s="14">
        <f>CHOOSE(CONTROL!$C$42, 34.626, 34.626) * CHOOSE(CONTROL!$C$21, $C$9, 100%, $E$9)</f>
        <v>34.625999999999998</v>
      </c>
      <c r="C577" s="14">
        <f>CHOOSE(CONTROL!$C$42, 34.6311, 34.6311) * CHOOSE(CONTROL!$C$21, $C$9, 100%, $E$9)</f>
        <v>34.631100000000004</v>
      </c>
      <c r="D577" s="14">
        <f>CHOOSE(CONTROL!$C$42, 34.7246, 34.7246) * CHOOSE(CONTROL!$C$21, $C$9, 100%, $E$9)</f>
        <v>34.724600000000002</v>
      </c>
      <c r="E577" s="14">
        <f>CHOOSE(CONTROL!$C$42, 34.7587, 34.7587) * CHOOSE(CONTROL!$C$21, $C$9, 100%, $E$9)</f>
        <v>34.758699999999997</v>
      </c>
      <c r="F577" s="14">
        <f>CHOOSE(CONTROL!$C$42, 34.6533, 34.6533)*CHOOSE(CONTROL!$C$21, $C$9, 100%, $E$9)</f>
        <v>34.653300000000002</v>
      </c>
      <c r="G577" s="14">
        <f>CHOOSE(CONTROL!$C$42, 34.6713, 34.6713)*CHOOSE(CONTROL!$C$21, $C$9, 100%, $E$9)</f>
        <v>34.671300000000002</v>
      </c>
      <c r="H577" s="14">
        <f>CHOOSE(CONTROL!$C$42, 34.7479, 34.7479) * CHOOSE(CONTROL!$C$21, $C$9, 100%, $E$9)</f>
        <v>34.747900000000001</v>
      </c>
      <c r="I577" s="14">
        <f>CHOOSE(CONTROL!$C$42, 34.7604, 34.7604)* CHOOSE(CONTROL!$C$21, $C$9, 100%, $E$9)</f>
        <v>34.760399999999997</v>
      </c>
      <c r="J577" s="14">
        <f>CHOOSE(CONTROL!$C$42, 34.6463, 34.6463)* CHOOSE(CONTROL!$C$21, $C$9, 100%, $E$9)</f>
        <v>34.646299999999997</v>
      </c>
      <c r="K577" s="52">
        <f>CHOOSE(CONTROL!$C$42, 34.7565, 34.7565) * CHOOSE(CONTROL!$C$21, $C$9, 100%, $E$9)</f>
        <v>34.756500000000003</v>
      </c>
      <c r="L577" s="14">
        <f>CHOOSE(CONTROL!$C$42, 35.3349, 35.3349) * CHOOSE(CONTROL!$C$21, $C$9, 100%, $E$9)</f>
        <v>35.334899999999998</v>
      </c>
      <c r="M577" s="14">
        <f>CHOOSE(CONTROL!$C$42, 34.0309, 34.0309) * CHOOSE(CONTROL!$C$21, $C$9, 100%, $E$9)</f>
        <v>34.030900000000003</v>
      </c>
      <c r="N577" s="14">
        <f>CHOOSE(CONTROL!$C$42, 34.0485, 34.0485) * CHOOSE(CONTROL!$C$21, $C$9, 100%, $E$9)</f>
        <v>34.048499999999997</v>
      </c>
      <c r="O577" s="14">
        <f>CHOOSE(CONTROL!$C$42, 34.1306, 34.1306) * CHOOSE(CONTROL!$C$21, $C$9, 100%, $E$9)</f>
        <v>34.130600000000001</v>
      </c>
      <c r="P577" s="14">
        <f>CHOOSE(CONTROL!$C$42, 34.141, 34.141) * CHOOSE(CONTROL!$C$21, $C$9, 100%, $E$9)</f>
        <v>34.140999999999998</v>
      </c>
      <c r="Q577" s="14">
        <f>CHOOSE(CONTROL!$C$42, 34.7253, 34.7253) * CHOOSE(CONTROL!$C$21, $C$9, 100%, $E$9)</f>
        <v>34.725299999999997</v>
      </c>
      <c r="R577" s="14">
        <f>CHOOSE(CONTROL!$C$42, 35.3991, 35.3991) * CHOOSE(CONTROL!$C$21, $C$9, 100%, $E$9)</f>
        <v>35.399099999999997</v>
      </c>
      <c r="S577" s="14">
        <f>CHOOSE(CONTROL!$C$42, 33.2636, 33.2636) * CHOOSE(CONTROL!$C$21, $C$9, 100%, $E$9)</f>
        <v>33.263599999999997</v>
      </c>
      <c r="T57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77" s="56">
        <f>(1000*CHOOSE(CONTROL!$C$42, 695, 695)*CHOOSE(CONTROL!$C$42, 0.5599, 0.5599)*CHOOSE(CONTROL!$C$42, 31, 31))/1000000</f>
        <v>12.063045499999998</v>
      </c>
      <c r="V577" s="56">
        <f>(1000*CHOOSE(CONTROL!$C$42, 500, 500)*CHOOSE(CONTROL!$C$42, 0.275, 0.275)*CHOOSE(CONTROL!$C$42, 31, 31))/1000000</f>
        <v>4.2625000000000002</v>
      </c>
      <c r="W577" s="56">
        <f>(1000*CHOOSE(CONTROL!$C$42, 0.1146, 0.1146)*CHOOSE(CONTROL!$C$42, 121.5, 121.5)*CHOOSE(CONTROL!$C$42, 31, 31))/1000000</f>
        <v>0.43164089999999994</v>
      </c>
      <c r="X577" s="56">
        <f>(31*0.1790888*100000/1000000)+(31*0.2374*100000/1000000)</f>
        <v>1.2911152800000001</v>
      </c>
      <c r="Y577" s="56"/>
      <c r="Z577" s="14"/>
      <c r="AA577" s="55"/>
      <c r="AB577" s="49">
        <f>(B577*122.58+C577*297.941+D577*89.177+E577*40.302+F577*40+G577*160+H577*0+I577*100+J577*300)/(122.58+297.941+89.177+40.302+0+40+160+100+300)</f>
        <v>34.663852544956519</v>
      </c>
      <c r="AC577" s="45">
        <f>(M577*'RAP TEMPLATE-GAS AVAILABILITY'!O576+N577*'RAP TEMPLATE-GAS AVAILABILITY'!P576+O577*'RAP TEMPLATE-GAS AVAILABILITY'!Q576+P577*'RAP TEMPLATE-GAS AVAILABILITY'!R576)/('RAP TEMPLATE-GAS AVAILABILITY'!O576+'RAP TEMPLATE-GAS AVAILABILITY'!P576+'RAP TEMPLATE-GAS AVAILABILITY'!Q576+'RAP TEMPLATE-GAS AVAILABILITY'!R576)</f>
        <v>34.092942446043168</v>
      </c>
    </row>
    <row r="578" spans="1:29" ht="15.75" x14ac:dyDescent="0.25">
      <c r="A578" s="32">
        <v>58499</v>
      </c>
      <c r="B578" s="14">
        <f>CHOOSE(CONTROL!$C$42, 35.2423, 35.2423) * CHOOSE(CONTROL!$C$21, $C$9, 100%, $E$9)</f>
        <v>35.2423</v>
      </c>
      <c r="C578" s="14">
        <f>CHOOSE(CONTROL!$C$42, 35.2473, 35.2473) * CHOOSE(CONTROL!$C$21, $C$9, 100%, $E$9)</f>
        <v>35.247300000000003</v>
      </c>
      <c r="D578" s="14">
        <f>CHOOSE(CONTROL!$C$42, 35.3408, 35.3408) * CHOOSE(CONTROL!$C$21, $C$9, 100%, $E$9)</f>
        <v>35.340800000000002</v>
      </c>
      <c r="E578" s="14">
        <f>CHOOSE(CONTROL!$C$42, 35.3749, 35.3749) * CHOOSE(CONTROL!$C$21, $C$9, 100%, $E$9)</f>
        <v>35.374899999999997</v>
      </c>
      <c r="F578" s="14">
        <f>CHOOSE(CONTROL!$C$42, 35.2692, 35.2692)*CHOOSE(CONTROL!$C$21, $C$9, 100%, $E$9)</f>
        <v>35.269199999999998</v>
      </c>
      <c r="G578" s="14">
        <f>CHOOSE(CONTROL!$C$42, 35.2871, 35.2871)*CHOOSE(CONTROL!$C$21, $C$9, 100%, $E$9)</f>
        <v>35.287100000000002</v>
      </c>
      <c r="H578" s="14">
        <f>CHOOSE(CONTROL!$C$42, 35.3641, 35.3641) * CHOOSE(CONTROL!$C$21, $C$9, 100%, $E$9)</f>
        <v>35.364100000000001</v>
      </c>
      <c r="I578" s="14">
        <f>CHOOSE(CONTROL!$C$42, 35.3785, 35.3785)* CHOOSE(CONTROL!$C$21, $C$9, 100%, $E$9)</f>
        <v>35.378500000000003</v>
      </c>
      <c r="J578" s="14">
        <f>CHOOSE(CONTROL!$C$42, 35.2622, 35.2622)* CHOOSE(CONTROL!$C$21, $C$9, 100%, $E$9)</f>
        <v>35.2622</v>
      </c>
      <c r="K578" s="52">
        <f>CHOOSE(CONTROL!$C$42, 35.3746, 35.3746) * CHOOSE(CONTROL!$C$21, $C$9, 100%, $E$9)</f>
        <v>35.374600000000001</v>
      </c>
      <c r="L578" s="14">
        <f>CHOOSE(CONTROL!$C$42, 35.9511, 35.9511) * CHOOSE(CONTROL!$C$21, $C$9, 100%, $E$9)</f>
        <v>35.951099999999997</v>
      </c>
      <c r="M578" s="14">
        <f>CHOOSE(CONTROL!$C$42, 34.6356, 34.6356) * CHOOSE(CONTROL!$C$21, $C$9, 100%, $E$9)</f>
        <v>34.635599999999997</v>
      </c>
      <c r="N578" s="14">
        <f>CHOOSE(CONTROL!$C$42, 34.6532, 34.6532) * CHOOSE(CONTROL!$C$21, $C$9, 100%, $E$9)</f>
        <v>34.653199999999998</v>
      </c>
      <c r="O578" s="14">
        <f>CHOOSE(CONTROL!$C$42, 34.7357, 34.7357) * CHOOSE(CONTROL!$C$21, $C$9, 100%, $E$9)</f>
        <v>34.735700000000001</v>
      </c>
      <c r="P578" s="14">
        <f>CHOOSE(CONTROL!$C$42, 34.748, 34.748) * CHOOSE(CONTROL!$C$21, $C$9, 100%, $E$9)</f>
        <v>34.747999999999998</v>
      </c>
      <c r="Q578" s="14">
        <f>CHOOSE(CONTROL!$C$42, 35.3304, 35.3304) * CHOOSE(CONTROL!$C$21, $C$9, 100%, $E$9)</f>
        <v>35.330399999999997</v>
      </c>
      <c r="R578" s="14">
        <f>CHOOSE(CONTROL!$C$42, 36.0057, 36.0057) * CHOOSE(CONTROL!$C$21, $C$9, 100%, $E$9)</f>
        <v>36.005699999999997</v>
      </c>
      <c r="S578" s="14">
        <f>CHOOSE(CONTROL!$C$42, 33.8557, 33.8557) * CHOOSE(CONTROL!$C$21, $C$9, 100%, $E$9)</f>
        <v>33.855699999999999</v>
      </c>
      <c r="T57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78" s="56">
        <f>(1000*CHOOSE(CONTROL!$C$42, 695, 695)*CHOOSE(CONTROL!$C$42, 0.5599, 0.5599)*CHOOSE(CONTROL!$C$42, 29, 29))/1000000</f>
        <v>11.284784499999999</v>
      </c>
      <c r="V578" s="56">
        <f>(1000*CHOOSE(CONTROL!$C$42, 500, 500)*CHOOSE(CONTROL!$C$42, 0.275, 0.275)*CHOOSE(CONTROL!$C$42, 29, 29))/1000000</f>
        <v>3.9874999999999998</v>
      </c>
      <c r="W578" s="56">
        <f>(1000*CHOOSE(CONTROL!$C$42, 0.1146, 0.1146)*CHOOSE(CONTROL!$C$42, 121.5, 121.5)*CHOOSE(CONTROL!$C$42, 29, 29))/1000000</f>
        <v>0.40379309999999996</v>
      </c>
      <c r="X578" s="56">
        <f>(29*0.1790888*100000/1000000)+(29*0.2374*100000/1000000)</f>
        <v>1.2078175199999999</v>
      </c>
      <c r="Y578" s="56"/>
      <c r="Z578" s="14"/>
      <c r="AA578" s="55"/>
      <c r="AB578" s="49">
        <f>(B578*122.58+C578*297.941+D578*89.177+E578*40.302+F578*40+G578*160+H578*0+I578*100+J578*300)/(122.58+297.941+89.177+40.302+0+40+160+100+300)</f>
        <v>35.280084073652169</v>
      </c>
      <c r="AC578" s="45">
        <f>(M578*'RAP TEMPLATE-GAS AVAILABILITY'!O577+N578*'RAP TEMPLATE-GAS AVAILABILITY'!P577+O578*'RAP TEMPLATE-GAS AVAILABILITY'!Q577+P578*'RAP TEMPLATE-GAS AVAILABILITY'!R577)/('RAP TEMPLATE-GAS AVAILABILITY'!O577+'RAP TEMPLATE-GAS AVAILABILITY'!P577+'RAP TEMPLATE-GAS AVAILABILITY'!Q577+'RAP TEMPLATE-GAS AVAILABILITY'!R577)</f>
        <v>34.698154676258994</v>
      </c>
    </row>
    <row r="579" spans="1:29" ht="15.75" x14ac:dyDescent="0.25">
      <c r="A579" s="32">
        <v>58531</v>
      </c>
      <c r="B579" s="14">
        <f>CHOOSE(CONTROL!$C$42, 34.242, 34.242) * CHOOSE(CONTROL!$C$21, $C$9, 100%, $E$9)</f>
        <v>34.241999999999997</v>
      </c>
      <c r="C579" s="14">
        <f>CHOOSE(CONTROL!$C$42, 34.247, 34.247) * CHOOSE(CONTROL!$C$21, $C$9, 100%, $E$9)</f>
        <v>34.247</v>
      </c>
      <c r="D579" s="14">
        <f>CHOOSE(CONTROL!$C$42, 34.3405, 34.3405) * CHOOSE(CONTROL!$C$21, $C$9, 100%, $E$9)</f>
        <v>34.340499999999999</v>
      </c>
      <c r="E579" s="14">
        <f>CHOOSE(CONTROL!$C$42, 34.3746, 34.3746) * CHOOSE(CONTROL!$C$21, $C$9, 100%, $E$9)</f>
        <v>34.374600000000001</v>
      </c>
      <c r="F579" s="14">
        <f>CHOOSE(CONTROL!$C$42, 34.2681, 34.2681)*CHOOSE(CONTROL!$C$21, $C$9, 100%, $E$9)</f>
        <v>34.268099999999997</v>
      </c>
      <c r="G579" s="14">
        <f>CHOOSE(CONTROL!$C$42, 34.2857, 34.2857)*CHOOSE(CONTROL!$C$21, $C$9, 100%, $E$9)</f>
        <v>34.285699999999999</v>
      </c>
      <c r="H579" s="14">
        <f>CHOOSE(CONTROL!$C$42, 34.3638, 34.3638) * CHOOSE(CONTROL!$C$21, $C$9, 100%, $E$9)</f>
        <v>34.363799999999998</v>
      </c>
      <c r="I579" s="14">
        <f>CHOOSE(CONTROL!$C$42, 34.3751, 34.3751)* CHOOSE(CONTROL!$C$21, $C$9, 100%, $E$9)</f>
        <v>34.375100000000003</v>
      </c>
      <c r="J579" s="14">
        <f>CHOOSE(CONTROL!$C$42, 34.2611, 34.2611)* CHOOSE(CONTROL!$C$21, $C$9, 100%, $E$9)</f>
        <v>34.261099999999999</v>
      </c>
      <c r="K579" s="52">
        <f>CHOOSE(CONTROL!$C$42, 34.3712, 34.3712) * CHOOSE(CONTROL!$C$21, $C$9, 100%, $E$9)</f>
        <v>34.371200000000002</v>
      </c>
      <c r="L579" s="14">
        <f>CHOOSE(CONTROL!$C$42, 34.9508, 34.9508) * CHOOSE(CONTROL!$C$21, $C$9, 100%, $E$9)</f>
        <v>34.950800000000001</v>
      </c>
      <c r="M579" s="14">
        <f>CHOOSE(CONTROL!$C$42, 33.6525, 33.6525) * CHOOSE(CONTROL!$C$21, $C$9, 100%, $E$9)</f>
        <v>33.652500000000003</v>
      </c>
      <c r="N579" s="14">
        <f>CHOOSE(CONTROL!$C$42, 33.6698, 33.6698) * CHOOSE(CONTROL!$C$21, $C$9, 100%, $E$9)</f>
        <v>33.669800000000002</v>
      </c>
      <c r="O579" s="14">
        <f>CHOOSE(CONTROL!$C$42, 33.7534, 33.7534) * CHOOSE(CONTROL!$C$21, $C$9, 100%, $E$9)</f>
        <v>33.753399999999999</v>
      </c>
      <c r="P579" s="14">
        <f>CHOOSE(CONTROL!$C$42, 33.7627, 33.7627) * CHOOSE(CONTROL!$C$21, $C$9, 100%, $E$9)</f>
        <v>33.762700000000002</v>
      </c>
      <c r="Q579" s="14">
        <f>CHOOSE(CONTROL!$C$42, 34.3481, 34.3481) * CHOOSE(CONTROL!$C$21, $C$9, 100%, $E$9)</f>
        <v>34.348100000000002</v>
      </c>
      <c r="R579" s="14">
        <f>CHOOSE(CONTROL!$C$42, 35.021, 35.021) * CHOOSE(CONTROL!$C$21, $C$9, 100%, $E$9)</f>
        <v>35.021000000000001</v>
      </c>
      <c r="S579" s="14">
        <f>CHOOSE(CONTROL!$C$42, 32.8946, 32.8946) * CHOOSE(CONTROL!$C$21, $C$9, 100%, $E$9)</f>
        <v>32.894599999999997</v>
      </c>
      <c r="T57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79" s="56">
        <f>(1000*CHOOSE(CONTROL!$C$42, 695, 695)*CHOOSE(CONTROL!$C$42, 0.5599, 0.5599)*CHOOSE(CONTROL!$C$42, 31, 31))/1000000</f>
        <v>12.063045499999998</v>
      </c>
      <c r="V579" s="56">
        <f>(1000*CHOOSE(CONTROL!$C$42, 500, 500)*CHOOSE(CONTROL!$C$42, 0.275, 0.275)*CHOOSE(CONTROL!$C$42, 31, 31))/1000000</f>
        <v>4.2625000000000002</v>
      </c>
      <c r="W579" s="56">
        <f>(1000*CHOOSE(CONTROL!$C$42, 0.1146, 0.1146)*CHOOSE(CONTROL!$C$42, 121.5, 121.5)*CHOOSE(CONTROL!$C$42, 31, 31))/1000000</f>
        <v>0.43164089999999994</v>
      </c>
      <c r="X579" s="56">
        <f>(31*0.1790888*100000/1000000)+(31*0.2374*100000/1000000)</f>
        <v>1.2911152800000001</v>
      </c>
      <c r="Y579" s="56"/>
      <c r="Z579" s="14"/>
      <c r="AA579" s="55"/>
      <c r="AB579" s="49">
        <f>(B579*122.58+C579*297.941+D579*89.177+E579*40.302+F579*40+G579*160+H579*0+I579*100+J579*300)/(122.58+297.941+89.177+40.302+0+40+160+100+300)</f>
        <v>34.27912494321739</v>
      </c>
      <c r="AC579" s="45">
        <f>(M579*'RAP TEMPLATE-GAS AVAILABILITY'!O578+N579*'RAP TEMPLATE-GAS AVAILABILITY'!P578+O579*'RAP TEMPLATE-GAS AVAILABILITY'!Q578+P579*'RAP TEMPLATE-GAS AVAILABILITY'!R578)/('RAP TEMPLATE-GAS AVAILABILITY'!O578+'RAP TEMPLATE-GAS AVAILABILITY'!P578+'RAP TEMPLATE-GAS AVAILABILITY'!Q578+'RAP TEMPLATE-GAS AVAILABILITY'!R578)</f>
        <v>33.715083453237412</v>
      </c>
    </row>
    <row r="580" spans="1:29" ht="15.75" x14ac:dyDescent="0.25">
      <c r="A580" s="32">
        <v>58561</v>
      </c>
      <c r="B580" s="14">
        <f>CHOOSE(CONTROL!$C$42, 34.1405, 34.1405) * CHOOSE(CONTROL!$C$21, $C$9, 100%, $E$9)</f>
        <v>34.140500000000003</v>
      </c>
      <c r="C580" s="14">
        <f>CHOOSE(CONTROL!$C$42, 34.145, 34.145) * CHOOSE(CONTROL!$C$21, $C$9, 100%, $E$9)</f>
        <v>34.145000000000003</v>
      </c>
      <c r="D580" s="14">
        <f>CHOOSE(CONTROL!$C$42, 34.4072, 34.4072) * CHOOSE(CONTROL!$C$21, $C$9, 100%, $E$9)</f>
        <v>34.407200000000003</v>
      </c>
      <c r="E580" s="14">
        <f>CHOOSE(CONTROL!$C$42, 34.4393, 34.4393) * CHOOSE(CONTROL!$C$21, $C$9, 100%, $E$9)</f>
        <v>34.439300000000003</v>
      </c>
      <c r="F580" s="14">
        <f>CHOOSE(CONTROL!$C$42, 34.1633, 34.1633)*CHOOSE(CONTROL!$C$21, $C$9, 100%, $E$9)</f>
        <v>34.1633</v>
      </c>
      <c r="G580" s="14">
        <f>CHOOSE(CONTROL!$C$42, 34.18, 34.18)*CHOOSE(CONTROL!$C$21, $C$9, 100%, $E$9)</f>
        <v>34.18</v>
      </c>
      <c r="H580" s="14">
        <f>CHOOSE(CONTROL!$C$42, 34.4291, 34.4291) * CHOOSE(CONTROL!$C$21, $C$9, 100%, $E$9)</f>
        <v>34.429099999999998</v>
      </c>
      <c r="I580" s="14">
        <f>CHOOSE(CONTROL!$C$42, 34.2699, 34.2699)* CHOOSE(CONTROL!$C$21, $C$9, 100%, $E$9)</f>
        <v>34.2699</v>
      </c>
      <c r="J580" s="14">
        <f>CHOOSE(CONTROL!$C$42, 34.1563, 34.1563)* CHOOSE(CONTROL!$C$21, $C$9, 100%, $E$9)</f>
        <v>34.156300000000002</v>
      </c>
      <c r="K580" s="52">
        <f>CHOOSE(CONTROL!$C$42, 34.266, 34.266) * CHOOSE(CONTROL!$C$21, $C$9, 100%, $E$9)</f>
        <v>34.265999999999998</v>
      </c>
      <c r="L580" s="14">
        <f>CHOOSE(CONTROL!$C$42, 35.0161, 35.0161) * CHOOSE(CONTROL!$C$21, $C$9, 100%, $E$9)</f>
        <v>35.016100000000002</v>
      </c>
      <c r="M580" s="14">
        <f>CHOOSE(CONTROL!$C$42, 33.5497, 33.5497) * CHOOSE(CONTROL!$C$21, $C$9, 100%, $E$9)</f>
        <v>33.549700000000001</v>
      </c>
      <c r="N580" s="14">
        <f>CHOOSE(CONTROL!$C$42, 33.5661, 33.5661) * CHOOSE(CONTROL!$C$21, $C$9, 100%, $E$9)</f>
        <v>33.566099999999999</v>
      </c>
      <c r="O580" s="14">
        <f>CHOOSE(CONTROL!$C$42, 33.8175, 33.8175) * CHOOSE(CONTROL!$C$21, $C$9, 100%, $E$9)</f>
        <v>33.817500000000003</v>
      </c>
      <c r="P580" s="14">
        <f>CHOOSE(CONTROL!$C$42, 33.6594, 33.6594) * CHOOSE(CONTROL!$C$21, $C$9, 100%, $E$9)</f>
        <v>33.659399999999998</v>
      </c>
      <c r="Q580" s="14">
        <f>CHOOSE(CONTROL!$C$42, 34.4122, 34.4122) * CHOOSE(CONTROL!$C$21, $C$9, 100%, $E$9)</f>
        <v>34.412199999999999</v>
      </c>
      <c r="R580" s="14">
        <f>CHOOSE(CONTROL!$C$42, 35.0853, 35.0853) * CHOOSE(CONTROL!$C$21, $C$9, 100%, $E$9)</f>
        <v>35.085299999999997</v>
      </c>
      <c r="S580" s="14">
        <f>CHOOSE(CONTROL!$C$42, 32.7963, 32.7963) * CHOOSE(CONTROL!$C$21, $C$9, 100%, $E$9)</f>
        <v>32.796300000000002</v>
      </c>
      <c r="T58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80" s="56">
        <f>(1000*CHOOSE(CONTROL!$C$42, 695, 695)*CHOOSE(CONTROL!$C$42, 0.5599, 0.5599)*CHOOSE(CONTROL!$C$42, 30, 30))/1000000</f>
        <v>11.673914999999997</v>
      </c>
      <c r="V580" s="56">
        <f>(1000*CHOOSE(CONTROL!$C$42, 500, 500)*CHOOSE(CONTROL!$C$42, 0.275, 0.275)*CHOOSE(CONTROL!$C$42, 30, 30))/1000000</f>
        <v>4.125</v>
      </c>
      <c r="W580" s="56">
        <f>(1000*CHOOSE(CONTROL!$C$42, 0.1146, 0.1146)*CHOOSE(CONTROL!$C$42, 121.5, 121.5)*CHOOSE(CONTROL!$C$42, 30, 30))/1000000</f>
        <v>0.417717</v>
      </c>
      <c r="X580" s="56">
        <f>(30*0.1790888*245000/1000000)+(30*0.2374*100000/1000000)</f>
        <v>2.0285026799999999</v>
      </c>
      <c r="Y580" s="56"/>
      <c r="Z580" s="14"/>
      <c r="AA580" s="55"/>
      <c r="AB580" s="49">
        <f>(B580*141.293+C580*267.993+D580*115.016+E580*89.698+F580*40+G580*185+H580*0+I580*100+J580*300)/(141.293+267.993+115.016+89.698+0+40+185+100+300)</f>
        <v>34.208766342292172</v>
      </c>
      <c r="AC580" s="45">
        <f>(M580*'RAP TEMPLATE-GAS AVAILABILITY'!O579+N580*'RAP TEMPLATE-GAS AVAILABILITY'!P579+O580*'RAP TEMPLATE-GAS AVAILABILITY'!Q579+P580*'RAP TEMPLATE-GAS AVAILABILITY'!R579)/('RAP TEMPLATE-GAS AVAILABILITY'!O579+'RAP TEMPLATE-GAS AVAILABILITY'!P579+'RAP TEMPLATE-GAS AVAILABILITY'!Q579+'RAP TEMPLATE-GAS AVAILABILITY'!R579)</f>
        <v>33.644397841726615</v>
      </c>
    </row>
    <row r="581" spans="1:29" ht="15.75" x14ac:dyDescent="0.25">
      <c r="A581" s="32">
        <v>58592</v>
      </c>
      <c r="B581" s="14">
        <f>CHOOSE(CONTROL!$C$42, 34.4431, 34.4431) * CHOOSE(CONTROL!$C$21, $C$9, 100%, $E$9)</f>
        <v>34.443100000000001</v>
      </c>
      <c r="C581" s="14">
        <f>CHOOSE(CONTROL!$C$42, 34.4512, 34.4512) * CHOOSE(CONTROL!$C$21, $C$9, 100%, $E$9)</f>
        <v>34.4512</v>
      </c>
      <c r="D581" s="14">
        <f>CHOOSE(CONTROL!$C$42, 34.7102, 34.7102) * CHOOSE(CONTROL!$C$21, $C$9, 100%, $E$9)</f>
        <v>34.7102</v>
      </c>
      <c r="E581" s="14">
        <f>CHOOSE(CONTROL!$C$42, 34.7417, 34.7417) * CHOOSE(CONTROL!$C$21, $C$9, 100%, $E$9)</f>
        <v>34.741700000000002</v>
      </c>
      <c r="F581" s="14">
        <f>CHOOSE(CONTROL!$C$42, 34.4647, 34.4647)*CHOOSE(CONTROL!$C$21, $C$9, 100%, $E$9)</f>
        <v>34.464700000000001</v>
      </c>
      <c r="G581" s="14">
        <f>CHOOSE(CONTROL!$C$42, 34.4816, 34.4816)*CHOOSE(CONTROL!$C$21, $C$9, 100%, $E$9)</f>
        <v>34.4816</v>
      </c>
      <c r="H581" s="14">
        <f>CHOOSE(CONTROL!$C$42, 34.7303, 34.7303) * CHOOSE(CONTROL!$C$21, $C$9, 100%, $E$9)</f>
        <v>34.7303</v>
      </c>
      <c r="I581" s="14">
        <f>CHOOSE(CONTROL!$C$42, 34.5721, 34.5721)* CHOOSE(CONTROL!$C$21, $C$9, 100%, $E$9)</f>
        <v>34.572099999999999</v>
      </c>
      <c r="J581" s="14">
        <f>CHOOSE(CONTROL!$C$42, 34.4577, 34.4577)* CHOOSE(CONTROL!$C$21, $C$9, 100%, $E$9)</f>
        <v>34.457700000000003</v>
      </c>
      <c r="K581" s="52">
        <f>CHOOSE(CONTROL!$C$42, 34.5682, 34.5682) * CHOOSE(CONTROL!$C$21, $C$9, 100%, $E$9)</f>
        <v>34.568199999999997</v>
      </c>
      <c r="L581" s="14">
        <f>CHOOSE(CONTROL!$C$42, 35.3173, 35.3173) * CHOOSE(CONTROL!$C$21, $C$9, 100%, $E$9)</f>
        <v>35.317300000000003</v>
      </c>
      <c r="M581" s="14">
        <f>CHOOSE(CONTROL!$C$42, 33.8456, 33.8456) * CHOOSE(CONTROL!$C$21, $C$9, 100%, $E$9)</f>
        <v>33.845599999999997</v>
      </c>
      <c r="N581" s="14">
        <f>CHOOSE(CONTROL!$C$42, 33.8622, 33.8622) * CHOOSE(CONTROL!$C$21, $C$9, 100%, $E$9)</f>
        <v>33.862200000000001</v>
      </c>
      <c r="O581" s="14">
        <f>CHOOSE(CONTROL!$C$42, 34.1133, 34.1133) * CHOOSE(CONTROL!$C$21, $C$9, 100%, $E$9)</f>
        <v>34.113300000000002</v>
      </c>
      <c r="P581" s="14">
        <f>CHOOSE(CONTROL!$C$42, 33.9561, 33.9561) * CHOOSE(CONTROL!$C$21, $C$9, 100%, $E$9)</f>
        <v>33.956099999999999</v>
      </c>
      <c r="Q581" s="14">
        <f>CHOOSE(CONTROL!$C$42, 34.708, 34.708) * CHOOSE(CONTROL!$C$21, $C$9, 100%, $E$9)</f>
        <v>34.707999999999998</v>
      </c>
      <c r="R581" s="14">
        <f>CHOOSE(CONTROL!$C$42, 35.3818, 35.3818) * CHOOSE(CONTROL!$C$21, $C$9, 100%, $E$9)</f>
        <v>35.381799999999998</v>
      </c>
      <c r="S581" s="14">
        <f>CHOOSE(CONTROL!$C$42, 33.0858, 33.0858) * CHOOSE(CONTROL!$C$21, $C$9, 100%, $E$9)</f>
        <v>33.085799999999999</v>
      </c>
      <c r="T58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81" s="56">
        <f>(1000*CHOOSE(CONTROL!$C$42, 695, 695)*CHOOSE(CONTROL!$C$42, 0.5599, 0.5599)*CHOOSE(CONTROL!$C$42, 31, 31))/1000000</f>
        <v>12.063045499999998</v>
      </c>
      <c r="V581" s="56">
        <f>(1000*CHOOSE(CONTROL!$C$42, 500, 500)*CHOOSE(CONTROL!$C$42, 0.275, 0.275)*CHOOSE(CONTROL!$C$42, 31, 31))/1000000</f>
        <v>4.2625000000000002</v>
      </c>
      <c r="W581" s="56">
        <f>(1000*CHOOSE(CONTROL!$C$42, 0.1146, 0.1146)*CHOOSE(CONTROL!$C$42, 121.5, 121.5)*CHOOSE(CONTROL!$C$42, 31, 31))/1000000</f>
        <v>0.43164089999999994</v>
      </c>
      <c r="X581" s="56">
        <f>(31*0.1790888*245000/1000000)+(31*0.2374*100000/1000000)</f>
        <v>2.0961194359999999</v>
      </c>
      <c r="Y581" s="56"/>
      <c r="Z581" s="14"/>
      <c r="AA581" s="55"/>
      <c r="AB581" s="49">
        <f>(B581*194.205+C581*267.466+D581*133.845+E581*53.484+F581*40+G581*185+H581*0+I581*100+J581*300)/(194.205+267.466+133.845+53.484+0+40+185+100+300)</f>
        <v>34.505229746075358</v>
      </c>
      <c r="AC581" s="45">
        <f>(M581*'RAP TEMPLATE-GAS AVAILABILITY'!O580+N581*'RAP TEMPLATE-GAS AVAILABILITY'!P580+O581*'RAP TEMPLATE-GAS AVAILABILITY'!Q580+P581*'RAP TEMPLATE-GAS AVAILABILITY'!R580)/('RAP TEMPLATE-GAS AVAILABILITY'!O580+'RAP TEMPLATE-GAS AVAILABILITY'!P580+'RAP TEMPLATE-GAS AVAILABILITY'!Q580+'RAP TEMPLATE-GAS AVAILABILITY'!R580)</f>
        <v>33.940430935251804</v>
      </c>
    </row>
    <row r="582" spans="1:29" ht="15.75" x14ac:dyDescent="0.25">
      <c r="A582" s="32">
        <v>58622</v>
      </c>
      <c r="B582" s="14">
        <f>CHOOSE(CONTROL!$C$42, 35.4198, 35.4198) * CHOOSE(CONTROL!$C$21, $C$9, 100%, $E$9)</f>
        <v>35.419800000000002</v>
      </c>
      <c r="C582" s="14">
        <f>CHOOSE(CONTROL!$C$42, 35.4278, 35.4278) * CHOOSE(CONTROL!$C$21, $C$9, 100%, $E$9)</f>
        <v>35.427799999999998</v>
      </c>
      <c r="D582" s="14">
        <f>CHOOSE(CONTROL!$C$42, 35.6869, 35.6869) * CHOOSE(CONTROL!$C$21, $C$9, 100%, $E$9)</f>
        <v>35.686900000000001</v>
      </c>
      <c r="E582" s="14">
        <f>CHOOSE(CONTROL!$C$42, 35.7184, 35.7184) * CHOOSE(CONTROL!$C$21, $C$9, 100%, $E$9)</f>
        <v>35.718400000000003</v>
      </c>
      <c r="F582" s="14">
        <f>CHOOSE(CONTROL!$C$42, 35.4416, 35.4416)*CHOOSE(CONTROL!$C$21, $C$9, 100%, $E$9)</f>
        <v>35.441600000000001</v>
      </c>
      <c r="G582" s="14">
        <f>CHOOSE(CONTROL!$C$42, 35.4586, 35.4586)*CHOOSE(CONTROL!$C$21, $C$9, 100%, $E$9)</f>
        <v>35.458599999999997</v>
      </c>
      <c r="H582" s="14">
        <f>CHOOSE(CONTROL!$C$42, 35.707, 35.707) * CHOOSE(CONTROL!$C$21, $C$9, 100%, $E$9)</f>
        <v>35.707000000000001</v>
      </c>
      <c r="I582" s="14">
        <f>CHOOSE(CONTROL!$C$42, 35.5518, 35.5518)* CHOOSE(CONTROL!$C$21, $C$9, 100%, $E$9)</f>
        <v>35.5518</v>
      </c>
      <c r="J582" s="14">
        <f>CHOOSE(CONTROL!$C$42, 35.4346, 35.4346)* CHOOSE(CONTROL!$C$21, $C$9, 100%, $E$9)</f>
        <v>35.434600000000003</v>
      </c>
      <c r="K582" s="52">
        <f>CHOOSE(CONTROL!$C$42, 35.548, 35.548) * CHOOSE(CONTROL!$C$21, $C$9, 100%, $E$9)</f>
        <v>35.548000000000002</v>
      </c>
      <c r="L582" s="14">
        <f>CHOOSE(CONTROL!$C$42, 36.294, 36.294) * CHOOSE(CONTROL!$C$21, $C$9, 100%, $E$9)</f>
        <v>36.293999999999997</v>
      </c>
      <c r="M582" s="14">
        <f>CHOOSE(CONTROL!$C$42, 34.8049, 34.8049) * CHOOSE(CONTROL!$C$21, $C$9, 100%, $E$9)</f>
        <v>34.804900000000004</v>
      </c>
      <c r="N582" s="14">
        <f>CHOOSE(CONTROL!$C$42, 34.8217, 34.8217) * CHOOSE(CONTROL!$C$21, $C$9, 100%, $E$9)</f>
        <v>34.8217</v>
      </c>
      <c r="O582" s="14">
        <f>CHOOSE(CONTROL!$C$42, 35.0725, 35.0725) * CHOOSE(CONTROL!$C$21, $C$9, 100%, $E$9)</f>
        <v>35.072499999999998</v>
      </c>
      <c r="P582" s="14">
        <f>CHOOSE(CONTROL!$C$42, 34.9182, 34.9182) * CHOOSE(CONTROL!$C$21, $C$9, 100%, $E$9)</f>
        <v>34.918199999999999</v>
      </c>
      <c r="Q582" s="14">
        <f>CHOOSE(CONTROL!$C$42, 35.6672, 35.6672) * CHOOSE(CONTROL!$C$21, $C$9, 100%, $E$9)</f>
        <v>35.667200000000001</v>
      </c>
      <c r="R582" s="14">
        <f>CHOOSE(CONTROL!$C$42, 36.3433, 36.3433) * CHOOSE(CONTROL!$C$21, $C$9, 100%, $E$9)</f>
        <v>36.343299999999999</v>
      </c>
      <c r="S582" s="14">
        <f>CHOOSE(CONTROL!$C$42, 34.0243, 34.0243) * CHOOSE(CONTROL!$C$21, $C$9, 100%, $E$9)</f>
        <v>34.024299999999997</v>
      </c>
      <c r="T58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82" s="56">
        <f>(1000*CHOOSE(CONTROL!$C$42, 695, 695)*CHOOSE(CONTROL!$C$42, 0.5599, 0.5599)*CHOOSE(CONTROL!$C$42, 30, 30))/1000000</f>
        <v>11.673914999999997</v>
      </c>
      <c r="V582" s="56">
        <f>(1000*CHOOSE(CONTROL!$C$42, 500, 500)*CHOOSE(CONTROL!$C$42, 0.275, 0.275)*CHOOSE(CONTROL!$C$42, 30, 30))/1000000</f>
        <v>4.125</v>
      </c>
      <c r="W582" s="56">
        <f>(1000*CHOOSE(CONTROL!$C$42, 0.1146, 0.1146)*CHOOSE(CONTROL!$C$42, 121.5, 121.5)*CHOOSE(CONTROL!$C$42, 30, 30))/1000000</f>
        <v>0.417717</v>
      </c>
      <c r="X582" s="56">
        <f>(30*0.1790888*245000/1000000)+(30*0.2374*100000/1000000)</f>
        <v>2.0285026799999999</v>
      </c>
      <c r="Y582" s="56"/>
      <c r="Z582" s="14"/>
      <c r="AA582" s="55"/>
      <c r="AB582" s="49">
        <f>(B582*194.205+C582*267.466+D582*133.845+E582*53.484+F582*40+G582*185+H582*0+I582*100+J582*300)/(194.205+267.466+133.845+53.484+0+40+185+100+300)</f>
        <v>35.482241169466242</v>
      </c>
      <c r="AC582" s="45">
        <f>(M582*'RAP TEMPLATE-GAS AVAILABILITY'!O581+N582*'RAP TEMPLATE-GAS AVAILABILITY'!P581+O582*'RAP TEMPLATE-GAS AVAILABILITY'!Q581+P582*'RAP TEMPLATE-GAS AVAILABILITY'!R581)/('RAP TEMPLATE-GAS AVAILABILITY'!O581+'RAP TEMPLATE-GAS AVAILABILITY'!P581+'RAP TEMPLATE-GAS AVAILABILITY'!Q581+'RAP TEMPLATE-GAS AVAILABILITY'!R581)</f>
        <v>34.900151798561154</v>
      </c>
    </row>
    <row r="583" spans="1:29" ht="15.75" x14ac:dyDescent="0.25">
      <c r="A583" s="32">
        <v>58653</v>
      </c>
      <c r="B583" s="14">
        <f>CHOOSE(CONTROL!$C$42, 34.7405, 34.7405) * CHOOSE(CONTROL!$C$21, $C$9, 100%, $E$9)</f>
        <v>34.740499999999997</v>
      </c>
      <c r="C583" s="14">
        <f>CHOOSE(CONTROL!$C$42, 34.7485, 34.7485) * CHOOSE(CONTROL!$C$21, $C$9, 100%, $E$9)</f>
        <v>34.7485</v>
      </c>
      <c r="D583" s="14">
        <f>CHOOSE(CONTROL!$C$42, 35.0076, 35.0076) * CHOOSE(CONTROL!$C$21, $C$9, 100%, $E$9)</f>
        <v>35.007599999999996</v>
      </c>
      <c r="E583" s="14">
        <f>CHOOSE(CONTROL!$C$42, 35.0391, 35.0391) * CHOOSE(CONTROL!$C$21, $C$9, 100%, $E$9)</f>
        <v>35.039099999999998</v>
      </c>
      <c r="F583" s="14">
        <f>CHOOSE(CONTROL!$C$42, 34.7627, 34.7627)*CHOOSE(CONTROL!$C$21, $C$9, 100%, $E$9)</f>
        <v>34.762700000000002</v>
      </c>
      <c r="G583" s="14">
        <f>CHOOSE(CONTROL!$C$42, 34.7799, 34.7799)*CHOOSE(CONTROL!$C$21, $C$9, 100%, $E$9)</f>
        <v>34.779899999999998</v>
      </c>
      <c r="H583" s="14">
        <f>CHOOSE(CONTROL!$C$42, 35.0277, 35.0277) * CHOOSE(CONTROL!$C$21, $C$9, 100%, $E$9)</f>
        <v>35.027700000000003</v>
      </c>
      <c r="I583" s="14">
        <f>CHOOSE(CONTROL!$C$42, 34.8704, 34.8704)* CHOOSE(CONTROL!$C$21, $C$9, 100%, $E$9)</f>
        <v>34.870399999999997</v>
      </c>
      <c r="J583" s="14">
        <f>CHOOSE(CONTROL!$C$42, 34.7557, 34.7557)* CHOOSE(CONTROL!$C$21, $C$9, 100%, $E$9)</f>
        <v>34.755699999999997</v>
      </c>
      <c r="K583" s="52">
        <f>CHOOSE(CONTROL!$C$42, 34.8665, 34.8665) * CHOOSE(CONTROL!$C$21, $C$9, 100%, $E$9)</f>
        <v>34.866500000000002</v>
      </c>
      <c r="L583" s="14">
        <f>CHOOSE(CONTROL!$C$42, 35.6147, 35.6147) * CHOOSE(CONTROL!$C$21, $C$9, 100%, $E$9)</f>
        <v>35.614699999999999</v>
      </c>
      <c r="M583" s="14">
        <f>CHOOSE(CONTROL!$C$42, 34.1383, 34.1383) * CHOOSE(CONTROL!$C$21, $C$9, 100%, $E$9)</f>
        <v>34.138300000000001</v>
      </c>
      <c r="N583" s="14">
        <f>CHOOSE(CONTROL!$C$42, 34.1551, 34.1551) * CHOOSE(CONTROL!$C$21, $C$9, 100%, $E$9)</f>
        <v>34.155099999999997</v>
      </c>
      <c r="O583" s="14">
        <f>CHOOSE(CONTROL!$C$42, 34.4054, 34.4054) * CHOOSE(CONTROL!$C$21, $C$9, 100%, $E$9)</f>
        <v>34.4054</v>
      </c>
      <c r="P583" s="14">
        <f>CHOOSE(CONTROL!$C$42, 34.2491, 34.2491) * CHOOSE(CONTROL!$C$21, $C$9, 100%, $E$9)</f>
        <v>34.249099999999999</v>
      </c>
      <c r="Q583" s="14">
        <f>CHOOSE(CONTROL!$C$42, 35.0001, 35.0001) * CHOOSE(CONTROL!$C$21, $C$9, 100%, $E$9)</f>
        <v>35.000100000000003</v>
      </c>
      <c r="R583" s="14">
        <f>CHOOSE(CONTROL!$C$42, 35.6746, 35.6746) * CHOOSE(CONTROL!$C$21, $C$9, 100%, $E$9)</f>
        <v>35.674599999999998</v>
      </c>
      <c r="S583" s="14">
        <f>CHOOSE(CONTROL!$C$42, 33.3715, 33.3715) * CHOOSE(CONTROL!$C$21, $C$9, 100%, $E$9)</f>
        <v>33.371499999999997</v>
      </c>
      <c r="T58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83" s="56">
        <f>(1000*CHOOSE(CONTROL!$C$42, 695, 695)*CHOOSE(CONTROL!$C$42, 0.5599, 0.5599)*CHOOSE(CONTROL!$C$42, 31, 31))/1000000</f>
        <v>12.063045499999998</v>
      </c>
      <c r="V583" s="56">
        <f>(1000*CHOOSE(CONTROL!$C$42, 500, 500)*CHOOSE(CONTROL!$C$42, 0.275, 0.275)*CHOOSE(CONTROL!$C$42, 31, 31))/1000000</f>
        <v>4.2625000000000002</v>
      </c>
      <c r="W583" s="56">
        <f>(1000*CHOOSE(CONTROL!$C$42, 0.1146, 0.1146)*CHOOSE(CONTROL!$C$42, 121.5, 121.5)*CHOOSE(CONTROL!$C$42, 31, 31))/1000000</f>
        <v>0.43164089999999994</v>
      </c>
      <c r="X583" s="56">
        <f>(31*0.1790888*245000/1000000)+(31*0.2374*100000/1000000)</f>
        <v>2.0961194359999999</v>
      </c>
      <c r="Y583" s="56"/>
      <c r="Z583" s="14"/>
      <c r="AA583" s="55"/>
      <c r="AB583" s="49">
        <f>(B583*194.205+C583*267.466+D583*133.845+E583*53.484+F583*40+G583*185+H583*0+I583*100+J583*300)/(194.205+267.466+133.845+53.484+0+40+185+100+300)</f>
        <v>34.802970211852433</v>
      </c>
      <c r="AC583" s="45">
        <f>(M583*'RAP TEMPLATE-GAS AVAILABILITY'!O582+N583*'RAP TEMPLATE-GAS AVAILABILITY'!P582+O583*'RAP TEMPLATE-GAS AVAILABILITY'!Q582+P583*'RAP TEMPLATE-GAS AVAILABILITY'!R582)/('RAP TEMPLATE-GAS AVAILABILITY'!O582+'RAP TEMPLATE-GAS AVAILABILITY'!P582+'RAP TEMPLATE-GAS AVAILABILITY'!Q582+'RAP TEMPLATE-GAS AVAILABILITY'!R582)</f>
        <v>34.233051798561156</v>
      </c>
    </row>
    <row r="584" spans="1:29" ht="15.75" x14ac:dyDescent="0.25">
      <c r="A584" s="32">
        <v>58684</v>
      </c>
      <c r="B584" s="14">
        <f>CHOOSE(CONTROL!$C$42, 33.0251, 33.0251) * CHOOSE(CONTROL!$C$21, $C$9, 100%, $E$9)</f>
        <v>33.025100000000002</v>
      </c>
      <c r="C584" s="14">
        <f>CHOOSE(CONTROL!$C$42, 33.0331, 33.0331) * CHOOSE(CONTROL!$C$21, $C$9, 100%, $E$9)</f>
        <v>33.033099999999997</v>
      </c>
      <c r="D584" s="14">
        <f>CHOOSE(CONTROL!$C$42, 33.2922, 33.2922) * CHOOSE(CONTROL!$C$21, $C$9, 100%, $E$9)</f>
        <v>33.292200000000001</v>
      </c>
      <c r="E584" s="14">
        <f>CHOOSE(CONTROL!$C$42, 33.3237, 33.3237) * CHOOSE(CONTROL!$C$21, $C$9, 100%, $E$9)</f>
        <v>33.323700000000002</v>
      </c>
      <c r="F584" s="14">
        <f>CHOOSE(CONTROL!$C$42, 33.0475, 33.0475)*CHOOSE(CONTROL!$C$21, $C$9, 100%, $E$9)</f>
        <v>33.047499999999999</v>
      </c>
      <c r="G584" s="14">
        <f>CHOOSE(CONTROL!$C$42, 33.0647, 33.0647)*CHOOSE(CONTROL!$C$21, $C$9, 100%, $E$9)</f>
        <v>33.064700000000002</v>
      </c>
      <c r="H584" s="14">
        <f>CHOOSE(CONTROL!$C$42, 33.3123, 33.3123) * CHOOSE(CONTROL!$C$21, $C$9, 100%, $E$9)</f>
        <v>33.3123</v>
      </c>
      <c r="I584" s="14">
        <f>CHOOSE(CONTROL!$C$42, 33.1496, 33.1496)* CHOOSE(CONTROL!$C$21, $C$9, 100%, $E$9)</f>
        <v>33.1496</v>
      </c>
      <c r="J584" s="14">
        <f>CHOOSE(CONTROL!$C$42, 33.0405, 33.0405)* CHOOSE(CONTROL!$C$21, $C$9, 100%, $E$9)</f>
        <v>33.040500000000002</v>
      </c>
      <c r="K584" s="52">
        <f>CHOOSE(CONTROL!$C$42, 33.1457, 33.1457) * CHOOSE(CONTROL!$C$21, $C$9, 100%, $E$9)</f>
        <v>33.145699999999998</v>
      </c>
      <c r="L584" s="14">
        <f>CHOOSE(CONTROL!$C$42, 33.8993, 33.8993) * CHOOSE(CONTROL!$C$21, $C$9, 100%, $E$9)</f>
        <v>33.899299999999997</v>
      </c>
      <c r="M584" s="14">
        <f>CHOOSE(CONTROL!$C$42, 32.4539, 32.4539) * CHOOSE(CONTROL!$C$21, $C$9, 100%, $E$9)</f>
        <v>32.453899999999997</v>
      </c>
      <c r="N584" s="14">
        <f>CHOOSE(CONTROL!$C$42, 32.4708, 32.4708) * CHOOSE(CONTROL!$C$21, $C$9, 100%, $E$9)</f>
        <v>32.470799999999997</v>
      </c>
      <c r="O584" s="14">
        <f>CHOOSE(CONTROL!$C$42, 32.7208, 32.7208) * CHOOSE(CONTROL!$C$21, $C$9, 100%, $E$9)</f>
        <v>32.720799999999997</v>
      </c>
      <c r="P584" s="14">
        <f>CHOOSE(CONTROL!$C$42, 32.5593, 32.5593) * CHOOSE(CONTROL!$C$21, $C$9, 100%, $E$9)</f>
        <v>32.5593</v>
      </c>
      <c r="Q584" s="14">
        <f>CHOOSE(CONTROL!$C$42, 33.3155, 33.3155) * CHOOSE(CONTROL!$C$21, $C$9, 100%, $E$9)</f>
        <v>33.3155</v>
      </c>
      <c r="R584" s="14">
        <f>CHOOSE(CONTROL!$C$42, 33.9858, 33.9858) * CHOOSE(CONTROL!$C$21, $C$9, 100%, $E$9)</f>
        <v>33.985799999999998</v>
      </c>
      <c r="S584" s="14">
        <f>CHOOSE(CONTROL!$C$42, 31.7232, 31.7232) * CHOOSE(CONTROL!$C$21, $C$9, 100%, $E$9)</f>
        <v>31.723199999999999</v>
      </c>
      <c r="T58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84" s="56">
        <f>(1000*CHOOSE(CONTROL!$C$42, 695, 695)*CHOOSE(CONTROL!$C$42, 0.5599, 0.5599)*CHOOSE(CONTROL!$C$42, 31, 31))/1000000</f>
        <v>12.063045499999998</v>
      </c>
      <c r="V584" s="56">
        <f>(1000*CHOOSE(CONTROL!$C$42, 500, 500)*CHOOSE(CONTROL!$C$42, 0.275, 0.275)*CHOOSE(CONTROL!$C$42, 31, 31))/1000000</f>
        <v>4.2625000000000002</v>
      </c>
      <c r="W584" s="56">
        <f>(1000*CHOOSE(CONTROL!$C$42, 0.1146, 0.1146)*CHOOSE(CONTROL!$C$42, 121.5, 121.5)*CHOOSE(CONTROL!$C$42, 31, 31))/1000000</f>
        <v>0.43164089999999994</v>
      </c>
      <c r="X584" s="56">
        <f>(31*0.1790888*245000/1000000)+(31*0.2374*100000/1000000)</f>
        <v>2.0961194359999999</v>
      </c>
      <c r="Y584" s="56"/>
      <c r="Z584" s="14"/>
      <c r="AA584" s="55"/>
      <c r="AB584" s="49">
        <f>(B584*194.205+C584*267.466+D584*133.845+E584*53.484+F584*40+G584*185+H584*0+I584*100+J584*300)/(194.205+267.466+133.845+53.484+0+40+185+100+300)</f>
        <v>33.087228767582417</v>
      </c>
      <c r="AC584" s="45">
        <f>(M584*'RAP TEMPLATE-GAS AVAILABILITY'!O583+N584*'RAP TEMPLATE-GAS AVAILABILITY'!P583+O584*'RAP TEMPLATE-GAS AVAILABILITY'!Q583+P584*'RAP TEMPLATE-GAS AVAILABILITY'!R583)/('RAP TEMPLATE-GAS AVAILABILITY'!O583+'RAP TEMPLATE-GAS AVAILABILITY'!P583+'RAP TEMPLATE-GAS AVAILABILITY'!Q583+'RAP TEMPLATE-GAS AVAILABILITY'!R583)</f>
        <v>32.547841726618707</v>
      </c>
    </row>
    <row r="585" spans="1:29" ht="15.75" x14ac:dyDescent="0.25">
      <c r="A585" s="32">
        <v>58714</v>
      </c>
      <c r="B585" s="14">
        <f>CHOOSE(CONTROL!$C$42, 30.9289, 30.9289) * CHOOSE(CONTROL!$C$21, $C$9, 100%, $E$9)</f>
        <v>30.928899999999999</v>
      </c>
      <c r="C585" s="14">
        <f>CHOOSE(CONTROL!$C$42, 30.937, 30.937) * CHOOSE(CONTROL!$C$21, $C$9, 100%, $E$9)</f>
        <v>30.937000000000001</v>
      </c>
      <c r="D585" s="14">
        <f>CHOOSE(CONTROL!$C$42, 31.196, 31.196) * CHOOSE(CONTROL!$C$21, $C$9, 100%, $E$9)</f>
        <v>31.196000000000002</v>
      </c>
      <c r="E585" s="14">
        <f>CHOOSE(CONTROL!$C$42, 31.2275, 31.2275) * CHOOSE(CONTROL!$C$21, $C$9, 100%, $E$9)</f>
        <v>31.227499999999999</v>
      </c>
      <c r="F585" s="14">
        <f>CHOOSE(CONTROL!$C$42, 30.9514, 30.9514)*CHOOSE(CONTROL!$C$21, $C$9, 100%, $E$9)</f>
        <v>30.9514</v>
      </c>
      <c r="G585" s="14">
        <f>CHOOSE(CONTROL!$C$42, 30.9686, 30.9686)*CHOOSE(CONTROL!$C$21, $C$9, 100%, $E$9)</f>
        <v>30.968599999999999</v>
      </c>
      <c r="H585" s="14">
        <f>CHOOSE(CONTROL!$C$42, 31.2161, 31.2161) * CHOOSE(CONTROL!$C$21, $C$9, 100%, $E$9)</f>
        <v>31.216100000000001</v>
      </c>
      <c r="I585" s="14">
        <f>CHOOSE(CONTROL!$C$42, 31.0469, 31.0469)* CHOOSE(CONTROL!$C$21, $C$9, 100%, $E$9)</f>
        <v>31.046900000000001</v>
      </c>
      <c r="J585" s="14">
        <f>CHOOSE(CONTROL!$C$42, 30.9444, 30.9444)* CHOOSE(CONTROL!$C$21, $C$9, 100%, $E$9)</f>
        <v>30.944400000000002</v>
      </c>
      <c r="K585" s="52">
        <f>CHOOSE(CONTROL!$C$42, 31.043, 31.043) * CHOOSE(CONTROL!$C$21, $C$9, 100%, $E$9)</f>
        <v>31.042999999999999</v>
      </c>
      <c r="L585" s="14">
        <f>CHOOSE(CONTROL!$C$42, 31.8031, 31.8031) * CHOOSE(CONTROL!$C$21, $C$9, 100%, $E$9)</f>
        <v>31.803100000000001</v>
      </c>
      <c r="M585" s="14">
        <f>CHOOSE(CONTROL!$C$42, 30.3955, 30.3955) * CHOOSE(CONTROL!$C$21, $C$9, 100%, $E$9)</f>
        <v>30.395499999999998</v>
      </c>
      <c r="N585" s="14">
        <f>CHOOSE(CONTROL!$C$42, 30.4124, 30.4124) * CHOOSE(CONTROL!$C$21, $C$9, 100%, $E$9)</f>
        <v>30.412400000000002</v>
      </c>
      <c r="O585" s="14">
        <f>CHOOSE(CONTROL!$C$42, 30.6624, 30.6624) * CHOOSE(CONTROL!$C$21, $C$9, 100%, $E$9)</f>
        <v>30.662400000000002</v>
      </c>
      <c r="P585" s="14">
        <f>CHOOSE(CONTROL!$C$42, 30.4945, 30.4945) * CHOOSE(CONTROL!$C$21, $C$9, 100%, $E$9)</f>
        <v>30.494499999999999</v>
      </c>
      <c r="Q585" s="14">
        <f>CHOOSE(CONTROL!$C$42, 31.2571, 31.2571) * CHOOSE(CONTROL!$C$21, $C$9, 100%, $E$9)</f>
        <v>31.257100000000001</v>
      </c>
      <c r="R585" s="14">
        <f>CHOOSE(CONTROL!$C$42, 31.9222, 31.9222) * CHOOSE(CONTROL!$C$21, $C$9, 100%, $E$9)</f>
        <v>31.9222</v>
      </c>
      <c r="S585" s="14">
        <f>CHOOSE(CONTROL!$C$42, 29.709, 29.709) * CHOOSE(CONTROL!$C$21, $C$9, 100%, $E$9)</f>
        <v>29.709</v>
      </c>
      <c r="T58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85" s="56">
        <f>(1000*CHOOSE(CONTROL!$C$42, 695, 695)*CHOOSE(CONTROL!$C$42, 0.5599, 0.5599)*CHOOSE(CONTROL!$C$42, 30, 30))/1000000</f>
        <v>11.673914999999997</v>
      </c>
      <c r="V585" s="56">
        <f>(1000*CHOOSE(CONTROL!$C$42, 500, 500)*CHOOSE(CONTROL!$C$42, 0.275, 0.275)*CHOOSE(CONTROL!$C$42, 30, 30))/1000000</f>
        <v>4.125</v>
      </c>
      <c r="W585" s="56">
        <f>(1000*CHOOSE(CONTROL!$C$42, 0.1146, 0.1146)*CHOOSE(CONTROL!$C$42, 121.5, 121.5)*CHOOSE(CONTROL!$C$42, 30, 30))/1000000</f>
        <v>0.417717</v>
      </c>
      <c r="X585" s="56">
        <f>(30*0.1790888*245000/1000000)+(30*0.2374*100000/1000000)</f>
        <v>2.0285026799999999</v>
      </c>
      <c r="Y585" s="56"/>
      <c r="Z585" s="14"/>
      <c r="AA585" s="55"/>
      <c r="AB585" s="49">
        <f>(B585*194.205+C585*267.466+D585*133.845+E585*53.484+F585*40+G585*185+H585*0+I585*100+J585*300)/(194.205+267.466+133.845+53.484+0+40+185+100+300)</f>
        <v>30.990580766483514</v>
      </c>
      <c r="AC585" s="45">
        <f>(M585*'RAP TEMPLATE-GAS AVAILABILITY'!O584+N585*'RAP TEMPLATE-GAS AVAILABILITY'!P584+O585*'RAP TEMPLATE-GAS AVAILABILITY'!Q584+P585*'RAP TEMPLATE-GAS AVAILABILITY'!R584)/('RAP TEMPLATE-GAS AVAILABILITY'!O584+'RAP TEMPLATE-GAS AVAILABILITY'!P584+'RAP TEMPLATE-GAS AVAILABILITY'!Q584+'RAP TEMPLATE-GAS AVAILABILITY'!R584)</f>
        <v>30.488520863309354</v>
      </c>
    </row>
    <row r="586" spans="1:29" ht="15.75" x14ac:dyDescent="0.25">
      <c r="A586" s="32">
        <v>58745</v>
      </c>
      <c r="B586" s="14">
        <f>CHOOSE(CONTROL!$C$42, 30.2994, 30.2994) * CHOOSE(CONTROL!$C$21, $C$9, 100%, $E$9)</f>
        <v>30.299399999999999</v>
      </c>
      <c r="C586" s="14">
        <f>CHOOSE(CONTROL!$C$42, 30.3048, 30.3048) * CHOOSE(CONTROL!$C$21, $C$9, 100%, $E$9)</f>
        <v>30.3048</v>
      </c>
      <c r="D586" s="14">
        <f>CHOOSE(CONTROL!$C$42, 30.5688, 30.5688) * CHOOSE(CONTROL!$C$21, $C$9, 100%, $E$9)</f>
        <v>30.5688</v>
      </c>
      <c r="E586" s="14">
        <f>CHOOSE(CONTROL!$C$42, 30.5979, 30.5979) * CHOOSE(CONTROL!$C$21, $C$9, 100%, $E$9)</f>
        <v>30.597899999999999</v>
      </c>
      <c r="F586" s="14">
        <f>CHOOSE(CONTROL!$C$42, 30.3241, 30.3241)*CHOOSE(CONTROL!$C$21, $C$9, 100%, $E$9)</f>
        <v>30.324100000000001</v>
      </c>
      <c r="G586" s="14">
        <f>CHOOSE(CONTROL!$C$42, 30.3412, 30.3412)*CHOOSE(CONTROL!$C$21, $C$9, 100%, $E$9)</f>
        <v>30.341200000000001</v>
      </c>
      <c r="H586" s="14">
        <f>CHOOSE(CONTROL!$C$42, 30.5884, 30.5884) * CHOOSE(CONTROL!$C$21, $C$9, 100%, $E$9)</f>
        <v>30.5884</v>
      </c>
      <c r="I586" s="14">
        <f>CHOOSE(CONTROL!$C$42, 30.4172, 30.4172)* CHOOSE(CONTROL!$C$21, $C$9, 100%, $E$9)</f>
        <v>30.417200000000001</v>
      </c>
      <c r="J586" s="14">
        <f>CHOOSE(CONTROL!$C$42, 30.3171, 30.3171)* CHOOSE(CONTROL!$C$21, $C$9, 100%, $E$9)</f>
        <v>30.3171</v>
      </c>
      <c r="K586" s="52">
        <f>CHOOSE(CONTROL!$C$42, 30.4133, 30.4133) * CHOOSE(CONTROL!$C$21, $C$9, 100%, $E$9)</f>
        <v>30.4133</v>
      </c>
      <c r="L586" s="14">
        <f>CHOOSE(CONTROL!$C$42, 31.1754, 31.1754) * CHOOSE(CONTROL!$C$21, $C$9, 100%, $E$9)</f>
        <v>31.1754</v>
      </c>
      <c r="M586" s="14">
        <f>CHOOSE(CONTROL!$C$42, 29.7795, 29.7795) * CHOOSE(CONTROL!$C$21, $C$9, 100%, $E$9)</f>
        <v>29.779499999999999</v>
      </c>
      <c r="N586" s="14">
        <f>CHOOSE(CONTROL!$C$42, 29.7962, 29.7962) * CHOOSE(CONTROL!$C$21, $C$9, 100%, $E$9)</f>
        <v>29.796199999999999</v>
      </c>
      <c r="O586" s="14">
        <f>CHOOSE(CONTROL!$C$42, 30.0459, 30.0459) * CHOOSE(CONTROL!$C$21, $C$9, 100%, $E$9)</f>
        <v>30.0459</v>
      </c>
      <c r="P586" s="14">
        <f>CHOOSE(CONTROL!$C$42, 29.8762, 29.8762) * CHOOSE(CONTROL!$C$21, $C$9, 100%, $E$9)</f>
        <v>29.876200000000001</v>
      </c>
      <c r="Q586" s="14">
        <f>CHOOSE(CONTROL!$C$42, 30.6406, 30.6406) * CHOOSE(CONTROL!$C$21, $C$9, 100%, $E$9)</f>
        <v>30.640599999999999</v>
      </c>
      <c r="R586" s="14">
        <f>CHOOSE(CONTROL!$C$42, 31.3042, 31.3042) * CHOOSE(CONTROL!$C$21, $C$9, 100%, $E$9)</f>
        <v>31.304200000000002</v>
      </c>
      <c r="S586" s="14">
        <f>CHOOSE(CONTROL!$C$42, 29.1058, 29.1058) * CHOOSE(CONTROL!$C$21, $C$9, 100%, $E$9)</f>
        <v>29.105799999999999</v>
      </c>
      <c r="T58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6" s="56">
        <f>(1000*CHOOSE(CONTROL!$C$42, 695, 695)*CHOOSE(CONTROL!$C$42, 0.5599, 0.5599)*CHOOSE(CONTROL!$C$42, 31, 31))/1000000</f>
        <v>12.063045499999998</v>
      </c>
      <c r="V586" s="56">
        <f>(1000*CHOOSE(CONTROL!$C$42, 500, 500)*CHOOSE(CONTROL!$C$42, 0.275, 0.275)*CHOOSE(CONTROL!$C$42, 31, 31))/1000000</f>
        <v>4.2625000000000002</v>
      </c>
      <c r="W586" s="56">
        <f>(1000*CHOOSE(CONTROL!$C$42, 0.1146, 0.1146)*CHOOSE(CONTROL!$C$42, 121.5, 121.5)*CHOOSE(CONTROL!$C$42, 31, 31))/1000000</f>
        <v>0.43164089999999994</v>
      </c>
      <c r="X586" s="56">
        <f>(31*0.1790888*245000/1000000)+(31*0.2374*100000/1000000)</f>
        <v>2.0961194359999999</v>
      </c>
      <c r="Y586" s="56"/>
      <c r="Z586" s="14"/>
      <c r="AA586" s="55"/>
      <c r="AB586" s="49">
        <f>(B586*131.881+C586*277.167+D586*79.08+E586*125.872+F586*40+G586*185+H586*0+I586*100+J586*300)/(131.881+277.167+79.08+125.872+0+40+185+100+300)</f>
        <v>30.368959843260694</v>
      </c>
      <c r="AC586" s="45">
        <f>(M586*'RAP TEMPLATE-GAS AVAILABILITY'!O585+N586*'RAP TEMPLATE-GAS AVAILABILITY'!P585+O586*'RAP TEMPLATE-GAS AVAILABILITY'!Q585+P586*'RAP TEMPLATE-GAS AVAILABILITY'!R585)/('RAP TEMPLATE-GAS AVAILABILITY'!O585+'RAP TEMPLATE-GAS AVAILABILITY'!P585+'RAP TEMPLATE-GAS AVAILABILITY'!Q585+'RAP TEMPLATE-GAS AVAILABILITY'!R585)</f>
        <v>29.872003597122301</v>
      </c>
    </row>
    <row r="587" spans="1:29" ht="15.75" x14ac:dyDescent="0.25">
      <c r="A587" s="32">
        <v>58775</v>
      </c>
      <c r="B587" s="14">
        <f>CHOOSE(CONTROL!$C$42, 31.097, 31.097) * CHOOSE(CONTROL!$C$21, $C$9, 100%, $E$9)</f>
        <v>31.097000000000001</v>
      </c>
      <c r="C587" s="14">
        <f>CHOOSE(CONTROL!$C$42, 31.102, 31.102) * CHOOSE(CONTROL!$C$21, $C$9, 100%, $E$9)</f>
        <v>31.102</v>
      </c>
      <c r="D587" s="14">
        <f>CHOOSE(CONTROL!$C$42, 31.1851, 31.1851) * CHOOSE(CONTROL!$C$21, $C$9, 100%, $E$9)</f>
        <v>31.185099999999998</v>
      </c>
      <c r="E587" s="14">
        <f>CHOOSE(CONTROL!$C$42, 31.2192, 31.2192) * CHOOSE(CONTROL!$C$21, $C$9, 100%, $E$9)</f>
        <v>31.219200000000001</v>
      </c>
      <c r="F587" s="14">
        <f>CHOOSE(CONTROL!$C$42, 31.1246, 31.1246)*CHOOSE(CONTROL!$C$21, $C$9, 100%, $E$9)</f>
        <v>31.124600000000001</v>
      </c>
      <c r="G587" s="14">
        <f>CHOOSE(CONTROL!$C$42, 31.142, 31.142)*CHOOSE(CONTROL!$C$21, $C$9, 100%, $E$9)</f>
        <v>31.141999999999999</v>
      </c>
      <c r="H587" s="14">
        <f>CHOOSE(CONTROL!$C$42, 31.2084, 31.2084) * CHOOSE(CONTROL!$C$21, $C$9, 100%, $E$9)</f>
        <v>31.208400000000001</v>
      </c>
      <c r="I587" s="14">
        <f>CHOOSE(CONTROL!$C$42, 31.214, 31.214)* CHOOSE(CONTROL!$C$21, $C$9, 100%, $E$9)</f>
        <v>31.213999999999999</v>
      </c>
      <c r="J587" s="14">
        <f>CHOOSE(CONTROL!$C$42, 31.1176, 31.1176)* CHOOSE(CONTROL!$C$21, $C$9, 100%, $E$9)</f>
        <v>31.117599999999999</v>
      </c>
      <c r="K587" s="52">
        <f>CHOOSE(CONTROL!$C$42, 31.2101, 31.2101) * CHOOSE(CONTROL!$C$21, $C$9, 100%, $E$9)</f>
        <v>31.210100000000001</v>
      </c>
      <c r="L587" s="14">
        <f>CHOOSE(CONTROL!$C$42, 31.7954, 31.7954) * CHOOSE(CONTROL!$C$21, $C$9, 100%, $E$9)</f>
        <v>31.795400000000001</v>
      </c>
      <c r="M587" s="14">
        <f>CHOOSE(CONTROL!$C$42, 30.5656, 30.5656) * CHOOSE(CONTROL!$C$21, $C$9, 100%, $E$9)</f>
        <v>30.5656</v>
      </c>
      <c r="N587" s="14">
        <f>CHOOSE(CONTROL!$C$42, 30.5826, 30.5826) * CHOOSE(CONTROL!$C$21, $C$9, 100%, $E$9)</f>
        <v>30.582599999999999</v>
      </c>
      <c r="O587" s="14">
        <f>CHOOSE(CONTROL!$C$42, 30.6548, 30.6548) * CHOOSE(CONTROL!$C$21, $C$9, 100%, $E$9)</f>
        <v>30.654800000000002</v>
      </c>
      <c r="P587" s="14">
        <f>CHOOSE(CONTROL!$C$42, 30.6586, 30.6586) * CHOOSE(CONTROL!$C$21, $C$9, 100%, $E$9)</f>
        <v>30.6586</v>
      </c>
      <c r="Q587" s="14">
        <f>CHOOSE(CONTROL!$C$42, 31.2495, 31.2495) * CHOOSE(CONTROL!$C$21, $C$9, 100%, $E$9)</f>
        <v>31.249500000000001</v>
      </c>
      <c r="R587" s="14">
        <f>CHOOSE(CONTROL!$C$42, 31.9146, 31.9146) * CHOOSE(CONTROL!$C$21, $C$9, 100%, $E$9)</f>
        <v>31.9146</v>
      </c>
      <c r="S587" s="14">
        <f>CHOOSE(CONTROL!$C$42, 29.8725, 29.8725) * CHOOSE(CONTROL!$C$21, $C$9, 100%, $E$9)</f>
        <v>29.872499999999999</v>
      </c>
      <c r="T58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87" s="56">
        <f>(1000*CHOOSE(CONTROL!$C$42, 695, 695)*CHOOSE(CONTROL!$C$42, 0.5599, 0.5599)*CHOOSE(CONTROL!$C$42, 30, 30))/1000000</f>
        <v>11.673914999999997</v>
      </c>
      <c r="V587" s="56">
        <f>(1000*CHOOSE(CONTROL!$C$42, 500, 500)*CHOOSE(CONTROL!$C$42, 0.275, 0.275)*CHOOSE(CONTROL!$C$42, 30, 30))/1000000</f>
        <v>4.125</v>
      </c>
      <c r="W587" s="56">
        <f>(1000*CHOOSE(CONTROL!$C$42, 0.1146, 0.1146)*CHOOSE(CONTROL!$C$42, 121.5, 121.5)*CHOOSE(CONTROL!$C$42, 30, 30))/1000000</f>
        <v>0.417717</v>
      </c>
      <c r="X587" s="56">
        <f>(30*0.1790888*100000/1000000)+(30*0.2374*100000/1000000)</f>
        <v>1.2494664</v>
      </c>
      <c r="Y587" s="56"/>
      <c r="Z587" s="14"/>
      <c r="AA587" s="55"/>
      <c r="AB587" s="49">
        <f>(B587*122.58+C587*297.941+D587*89.177+E587*40.302+F587*40+G587*160+H587*0+I587*100+J587*300)/(122.58+297.941+89.177+40.302+0+40+160+100+300)</f>
        <v>31.132178350521738</v>
      </c>
      <c r="AC587" s="45">
        <f>(M587*'RAP TEMPLATE-GAS AVAILABILITY'!O586+N587*'RAP TEMPLATE-GAS AVAILABILITY'!P586+O587*'RAP TEMPLATE-GAS AVAILABILITY'!Q586+P587*'RAP TEMPLATE-GAS AVAILABILITY'!R586)/('RAP TEMPLATE-GAS AVAILABILITY'!O586+'RAP TEMPLATE-GAS AVAILABILITY'!P586+'RAP TEMPLATE-GAS AVAILABILITY'!Q586+'RAP TEMPLATE-GAS AVAILABILITY'!R586)</f>
        <v>30.620388489208629</v>
      </c>
    </row>
    <row r="588" spans="1:29" ht="15.75" x14ac:dyDescent="0.25">
      <c r="A588" s="32">
        <v>58806</v>
      </c>
      <c r="B588" s="14">
        <f>CHOOSE(CONTROL!$C$42, 33.2165, 33.2165) * CHOOSE(CONTROL!$C$21, $C$9, 100%, $E$9)</f>
        <v>33.216500000000003</v>
      </c>
      <c r="C588" s="14">
        <f>CHOOSE(CONTROL!$C$42, 33.2216, 33.2216) * CHOOSE(CONTROL!$C$21, $C$9, 100%, $E$9)</f>
        <v>33.221600000000002</v>
      </c>
      <c r="D588" s="14">
        <f>CHOOSE(CONTROL!$C$42, 33.3046, 33.3046) * CHOOSE(CONTROL!$C$21, $C$9, 100%, $E$9)</f>
        <v>33.304600000000001</v>
      </c>
      <c r="E588" s="14">
        <f>CHOOSE(CONTROL!$C$42, 33.3387, 33.3387) * CHOOSE(CONTROL!$C$21, $C$9, 100%, $E$9)</f>
        <v>33.338700000000003</v>
      </c>
      <c r="F588" s="14">
        <f>CHOOSE(CONTROL!$C$42, 33.2466, 33.2466)*CHOOSE(CONTROL!$C$21, $C$9, 100%, $E$9)</f>
        <v>33.246600000000001</v>
      </c>
      <c r="G588" s="14">
        <f>CHOOSE(CONTROL!$C$42, 33.2646, 33.2646)*CHOOSE(CONTROL!$C$21, $C$9, 100%, $E$9)</f>
        <v>33.264600000000002</v>
      </c>
      <c r="H588" s="14">
        <f>CHOOSE(CONTROL!$C$42, 33.3279, 33.3279) * CHOOSE(CONTROL!$C$21, $C$9, 100%, $E$9)</f>
        <v>33.3279</v>
      </c>
      <c r="I588" s="14">
        <f>CHOOSE(CONTROL!$C$42, 33.3402, 33.3402)* CHOOSE(CONTROL!$C$21, $C$9, 100%, $E$9)</f>
        <v>33.340200000000003</v>
      </c>
      <c r="J588" s="14">
        <f>CHOOSE(CONTROL!$C$42, 33.2396, 33.2396)* CHOOSE(CONTROL!$C$21, $C$9, 100%, $E$9)</f>
        <v>33.239600000000003</v>
      </c>
      <c r="K588" s="52">
        <f>CHOOSE(CONTROL!$C$42, 33.3363, 33.3363) * CHOOSE(CONTROL!$C$21, $C$9, 100%, $E$9)</f>
        <v>33.336300000000001</v>
      </c>
      <c r="L588" s="14">
        <f>CHOOSE(CONTROL!$C$42, 33.9149, 33.9149) * CHOOSE(CONTROL!$C$21, $C$9, 100%, $E$9)</f>
        <v>33.914900000000003</v>
      </c>
      <c r="M588" s="14">
        <f>CHOOSE(CONTROL!$C$42, 32.6494, 32.6494) * CHOOSE(CONTROL!$C$21, $C$9, 100%, $E$9)</f>
        <v>32.6494</v>
      </c>
      <c r="N588" s="14">
        <f>CHOOSE(CONTROL!$C$42, 32.6671, 32.6671) * CHOOSE(CONTROL!$C$21, $C$9, 100%, $E$9)</f>
        <v>32.667099999999998</v>
      </c>
      <c r="O588" s="14">
        <f>CHOOSE(CONTROL!$C$42, 32.7362, 32.7362) * CHOOSE(CONTROL!$C$21, $C$9, 100%, $E$9)</f>
        <v>32.736199999999997</v>
      </c>
      <c r="P588" s="14">
        <f>CHOOSE(CONTROL!$C$42, 32.7464, 32.7464) * CHOOSE(CONTROL!$C$21, $C$9, 100%, $E$9)</f>
        <v>32.746400000000001</v>
      </c>
      <c r="Q588" s="14">
        <f>CHOOSE(CONTROL!$C$42, 33.3309, 33.3309) * CHOOSE(CONTROL!$C$21, $C$9, 100%, $E$9)</f>
        <v>33.3309</v>
      </c>
      <c r="R588" s="14">
        <f>CHOOSE(CONTROL!$C$42, 34.0012, 34.0012) * CHOOSE(CONTROL!$C$21, $C$9, 100%, $E$9)</f>
        <v>34.001199999999997</v>
      </c>
      <c r="S588" s="14">
        <f>CHOOSE(CONTROL!$C$42, 31.9092, 31.9092) * CHOOSE(CONTROL!$C$21, $C$9, 100%, $E$9)</f>
        <v>31.909199999999998</v>
      </c>
      <c r="T58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88" s="56">
        <f>(1000*CHOOSE(CONTROL!$C$42, 695, 695)*CHOOSE(CONTROL!$C$42, 0.5599, 0.5599)*CHOOSE(CONTROL!$C$42, 31, 31))/1000000</f>
        <v>12.063045499999998</v>
      </c>
      <c r="V588" s="56">
        <f>(1000*CHOOSE(CONTROL!$C$42, 500, 500)*CHOOSE(CONTROL!$C$42, 0.275, 0.275)*CHOOSE(CONTROL!$C$42, 31, 31))/1000000</f>
        <v>4.2625000000000002</v>
      </c>
      <c r="W588" s="56">
        <f>(1000*CHOOSE(CONTROL!$C$42, 0.1146, 0.1146)*CHOOSE(CONTROL!$C$42, 121.5, 121.5)*CHOOSE(CONTROL!$C$42, 31, 31))/1000000</f>
        <v>0.43164089999999994</v>
      </c>
      <c r="X588" s="56">
        <f>(31*0.1790888*100000/1000000)+(31*0.2374*100000/1000000)</f>
        <v>1.2911152800000001</v>
      </c>
      <c r="Y588" s="56"/>
      <c r="Z588" s="14"/>
      <c r="AA588" s="55"/>
      <c r="AB588" s="49">
        <f>(B588*122.58+C588*297.941+D588*89.177+E588*40.302+F588*40+G588*160+H588*0+I588*100+J588*300)/(122.58+297.941+89.177+40.302+0+40+160+100+300)</f>
        <v>33.253457301913045</v>
      </c>
      <c r="AC588" s="45">
        <f>(M588*'RAP TEMPLATE-GAS AVAILABILITY'!O587+N588*'RAP TEMPLATE-GAS AVAILABILITY'!P587+O588*'RAP TEMPLATE-GAS AVAILABILITY'!Q587+P588*'RAP TEMPLATE-GAS AVAILABILITY'!R587)/('RAP TEMPLATE-GAS AVAILABILITY'!O587+'RAP TEMPLATE-GAS AVAILABILITY'!P587+'RAP TEMPLATE-GAS AVAILABILITY'!Q587+'RAP TEMPLATE-GAS AVAILABILITY'!R587)</f>
        <v>32.703716546762585</v>
      </c>
    </row>
    <row r="589" spans="1:29" ht="15.75" x14ac:dyDescent="0.25">
      <c r="A589" s="32">
        <v>58837</v>
      </c>
      <c r="B589" s="14">
        <f>CHOOSE(CONTROL!$C$42, 35.9694, 35.9694) * CHOOSE(CONTROL!$C$21, $C$9, 100%, $E$9)</f>
        <v>35.9694</v>
      </c>
      <c r="C589" s="14">
        <f>CHOOSE(CONTROL!$C$42, 35.9744, 35.9744) * CHOOSE(CONTROL!$C$21, $C$9, 100%, $E$9)</f>
        <v>35.974400000000003</v>
      </c>
      <c r="D589" s="14">
        <f>CHOOSE(CONTROL!$C$42, 36.0679, 36.0679) * CHOOSE(CONTROL!$C$21, $C$9, 100%, $E$9)</f>
        <v>36.067900000000002</v>
      </c>
      <c r="E589" s="14">
        <f>CHOOSE(CONTROL!$C$42, 36.102, 36.102) * CHOOSE(CONTROL!$C$21, $C$9, 100%, $E$9)</f>
        <v>36.101999999999997</v>
      </c>
      <c r="F589" s="14">
        <f>CHOOSE(CONTROL!$C$42, 35.9967, 35.9967)*CHOOSE(CONTROL!$C$21, $C$9, 100%, $E$9)</f>
        <v>35.996699999999997</v>
      </c>
      <c r="G589" s="14">
        <f>CHOOSE(CONTROL!$C$42, 36.0147, 36.0147)*CHOOSE(CONTROL!$C$21, $C$9, 100%, $E$9)</f>
        <v>36.014699999999998</v>
      </c>
      <c r="H589" s="14">
        <f>CHOOSE(CONTROL!$C$42, 36.0912, 36.0912) * CHOOSE(CONTROL!$C$21, $C$9, 100%, $E$9)</f>
        <v>36.091200000000001</v>
      </c>
      <c r="I589" s="14">
        <f>CHOOSE(CONTROL!$C$42, 36.1079, 36.1079)* CHOOSE(CONTROL!$C$21, $C$9, 100%, $E$9)</f>
        <v>36.107900000000001</v>
      </c>
      <c r="J589" s="14">
        <f>CHOOSE(CONTROL!$C$42, 35.9897, 35.9897)* CHOOSE(CONTROL!$C$21, $C$9, 100%, $E$9)</f>
        <v>35.989699999999999</v>
      </c>
      <c r="K589" s="52">
        <f>CHOOSE(CONTROL!$C$42, 36.104, 36.104) * CHOOSE(CONTROL!$C$21, $C$9, 100%, $E$9)</f>
        <v>36.103999999999999</v>
      </c>
      <c r="L589" s="14">
        <f>CHOOSE(CONTROL!$C$42, 36.6782, 36.6782) * CHOOSE(CONTROL!$C$21, $C$9, 100%, $E$9)</f>
        <v>36.678199999999997</v>
      </c>
      <c r="M589" s="14">
        <f>CHOOSE(CONTROL!$C$42, 35.35, 35.35) * CHOOSE(CONTROL!$C$21, $C$9, 100%, $E$9)</f>
        <v>35.35</v>
      </c>
      <c r="N589" s="14">
        <f>CHOOSE(CONTROL!$C$42, 35.3677, 35.3677) * CHOOSE(CONTROL!$C$21, $C$9, 100%, $E$9)</f>
        <v>35.367699999999999</v>
      </c>
      <c r="O589" s="14">
        <f>CHOOSE(CONTROL!$C$42, 35.4498, 35.4498) * CHOOSE(CONTROL!$C$21, $C$9, 100%, $E$9)</f>
        <v>35.449800000000003</v>
      </c>
      <c r="P589" s="14">
        <f>CHOOSE(CONTROL!$C$42, 35.4642, 35.4642) * CHOOSE(CONTROL!$C$21, $C$9, 100%, $E$9)</f>
        <v>35.464199999999998</v>
      </c>
      <c r="Q589" s="14">
        <f>CHOOSE(CONTROL!$C$42, 36.0445, 36.0445) * CHOOSE(CONTROL!$C$21, $C$9, 100%, $E$9)</f>
        <v>36.044499999999999</v>
      </c>
      <c r="R589" s="14">
        <f>CHOOSE(CONTROL!$C$42, 36.7216, 36.7216) * CHOOSE(CONTROL!$C$21, $C$9, 100%, $E$9)</f>
        <v>36.721600000000002</v>
      </c>
      <c r="S589" s="14">
        <f>CHOOSE(CONTROL!$C$42, 34.5544, 34.5544) * CHOOSE(CONTROL!$C$21, $C$9, 100%, $E$9)</f>
        <v>34.554400000000001</v>
      </c>
      <c r="T58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89" s="56">
        <f>(1000*CHOOSE(CONTROL!$C$42, 695, 695)*CHOOSE(CONTROL!$C$42, 0.5599, 0.5599)*CHOOSE(CONTROL!$C$42, 31, 31))/1000000</f>
        <v>12.063045499999998</v>
      </c>
      <c r="V589" s="56">
        <f>(1000*CHOOSE(CONTROL!$C$42, 500, 500)*CHOOSE(CONTROL!$C$42, 0.275, 0.275)*CHOOSE(CONTROL!$C$42, 31, 31))/1000000</f>
        <v>4.2625000000000002</v>
      </c>
      <c r="W589" s="56">
        <f>(1000*CHOOSE(CONTROL!$C$42, 0.1146, 0.1146)*CHOOSE(CONTROL!$C$42, 121.5, 121.5)*CHOOSE(CONTROL!$C$42, 31, 31))/1000000</f>
        <v>0.43164089999999994</v>
      </c>
      <c r="X589" s="56">
        <f>(31*0.1790888*100000/1000000)+(31*0.2374*100000/1000000)</f>
        <v>1.2911152800000001</v>
      </c>
      <c r="Y589" s="56"/>
      <c r="Z589" s="14"/>
      <c r="AA589" s="55"/>
      <c r="AB589" s="49">
        <f>(B589*122.58+C589*297.941+D589*89.177+E589*40.302+F589*40+G589*160+H589*0+I589*100+J589*300)/(122.58+297.941+89.177+40.302+0+40+160+100+300)</f>
        <v>36.007571899739126</v>
      </c>
      <c r="AC589" s="45">
        <f>(M589*'RAP TEMPLATE-GAS AVAILABILITY'!O588+N589*'RAP TEMPLATE-GAS AVAILABILITY'!P588+O589*'RAP TEMPLATE-GAS AVAILABILITY'!Q588+P589*'RAP TEMPLATE-GAS AVAILABILITY'!R588)/('RAP TEMPLATE-GAS AVAILABILITY'!O588+'RAP TEMPLATE-GAS AVAILABILITY'!P588+'RAP TEMPLATE-GAS AVAILABILITY'!Q588+'RAP TEMPLATE-GAS AVAILABILITY'!R588)</f>
        <v>35.412683453237413</v>
      </c>
    </row>
    <row r="590" spans="1:29" ht="15.75" x14ac:dyDescent="0.25">
      <c r="A590" s="32">
        <v>58865</v>
      </c>
      <c r="B590" s="14">
        <f>CHOOSE(CONTROL!$C$42, 36.6095, 36.6095) * CHOOSE(CONTROL!$C$21, $C$9, 100%, $E$9)</f>
        <v>36.609499999999997</v>
      </c>
      <c r="C590" s="14">
        <f>CHOOSE(CONTROL!$C$42, 36.6146, 36.6146) * CHOOSE(CONTROL!$C$21, $C$9, 100%, $E$9)</f>
        <v>36.614600000000003</v>
      </c>
      <c r="D590" s="14">
        <f>CHOOSE(CONTROL!$C$42, 36.7081, 36.7081) * CHOOSE(CONTROL!$C$21, $C$9, 100%, $E$9)</f>
        <v>36.708100000000002</v>
      </c>
      <c r="E590" s="14">
        <f>CHOOSE(CONTROL!$C$42, 36.7422, 36.7422) * CHOOSE(CONTROL!$C$21, $C$9, 100%, $E$9)</f>
        <v>36.742199999999997</v>
      </c>
      <c r="F590" s="14">
        <f>CHOOSE(CONTROL!$C$42, 36.6365, 36.6365)*CHOOSE(CONTROL!$C$21, $C$9, 100%, $E$9)</f>
        <v>36.636499999999998</v>
      </c>
      <c r="G590" s="14">
        <f>CHOOSE(CONTROL!$C$42, 36.6543, 36.6543)*CHOOSE(CONTROL!$C$21, $C$9, 100%, $E$9)</f>
        <v>36.654299999999999</v>
      </c>
      <c r="H590" s="14">
        <f>CHOOSE(CONTROL!$C$42, 36.7314, 36.7314) * CHOOSE(CONTROL!$C$21, $C$9, 100%, $E$9)</f>
        <v>36.731400000000001</v>
      </c>
      <c r="I590" s="14">
        <f>CHOOSE(CONTROL!$C$42, 36.7501, 36.7501)* CHOOSE(CONTROL!$C$21, $C$9, 100%, $E$9)</f>
        <v>36.750100000000003</v>
      </c>
      <c r="J590" s="14">
        <f>CHOOSE(CONTROL!$C$42, 36.6295, 36.6295)* CHOOSE(CONTROL!$C$21, $C$9, 100%, $E$9)</f>
        <v>36.6295</v>
      </c>
      <c r="K590" s="52">
        <f>CHOOSE(CONTROL!$C$42, 36.7462, 36.7462) * CHOOSE(CONTROL!$C$21, $C$9, 100%, $E$9)</f>
        <v>36.746200000000002</v>
      </c>
      <c r="L590" s="14">
        <f>CHOOSE(CONTROL!$C$42, 37.3184, 37.3184) * CHOOSE(CONTROL!$C$21, $C$9, 100%, $E$9)</f>
        <v>37.318399999999997</v>
      </c>
      <c r="M590" s="14">
        <f>CHOOSE(CONTROL!$C$42, 35.9783, 35.9783) * CHOOSE(CONTROL!$C$21, $C$9, 100%, $E$9)</f>
        <v>35.978299999999997</v>
      </c>
      <c r="N590" s="14">
        <f>CHOOSE(CONTROL!$C$42, 35.9959, 35.9959) * CHOOSE(CONTROL!$C$21, $C$9, 100%, $E$9)</f>
        <v>35.995899999999999</v>
      </c>
      <c r="O590" s="14">
        <f>CHOOSE(CONTROL!$C$42, 36.0784, 36.0784) * CHOOSE(CONTROL!$C$21, $C$9, 100%, $E$9)</f>
        <v>36.078400000000002</v>
      </c>
      <c r="P590" s="14">
        <f>CHOOSE(CONTROL!$C$42, 36.0948, 36.0948) * CHOOSE(CONTROL!$C$21, $C$9, 100%, $E$9)</f>
        <v>36.094799999999999</v>
      </c>
      <c r="Q590" s="14">
        <f>CHOOSE(CONTROL!$C$42, 36.6731, 36.6731) * CHOOSE(CONTROL!$C$21, $C$9, 100%, $E$9)</f>
        <v>36.673099999999998</v>
      </c>
      <c r="R590" s="14">
        <f>CHOOSE(CONTROL!$C$42, 37.3518, 37.3518) * CHOOSE(CONTROL!$C$21, $C$9, 100%, $E$9)</f>
        <v>37.351799999999997</v>
      </c>
      <c r="S590" s="14">
        <f>CHOOSE(CONTROL!$C$42, 35.1695, 35.1695) * CHOOSE(CONTROL!$C$21, $C$9, 100%, $E$9)</f>
        <v>35.169499999999999</v>
      </c>
      <c r="T59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90" s="56">
        <f>(1000*CHOOSE(CONTROL!$C$42, 695, 695)*CHOOSE(CONTROL!$C$42, 0.5599, 0.5599)*CHOOSE(CONTROL!$C$42, 28, 28))/1000000</f>
        <v>10.895653999999999</v>
      </c>
      <c r="V590" s="56">
        <f>(1000*CHOOSE(CONTROL!$C$42, 500, 500)*CHOOSE(CONTROL!$C$42, 0.275, 0.275)*CHOOSE(CONTROL!$C$42, 28, 28))/1000000</f>
        <v>3.85</v>
      </c>
      <c r="W590" s="56">
        <f>(1000*CHOOSE(CONTROL!$C$42, 0.1146, 0.1146)*CHOOSE(CONTROL!$C$42, 121.5, 121.5)*CHOOSE(CONTROL!$C$42, 28, 28))/1000000</f>
        <v>0.38986920000000003</v>
      </c>
      <c r="X590" s="56">
        <f>(28*0.1790888*100000/1000000)+(28*0.2374*100000/1000000)</f>
        <v>1.16616864</v>
      </c>
      <c r="Y590" s="56"/>
      <c r="Z590" s="14"/>
      <c r="AA590" s="55"/>
      <c r="AB590" s="49">
        <f>(B590*122.58+C590*297.941+D590*89.177+E590*40.302+F590*40+G590*160+H590*0+I590*100+J590*300)/(122.58+297.941+89.177+40.302+0+40+160+100+300)</f>
        <v>36.647733414521738</v>
      </c>
      <c r="AC590" s="45">
        <f>(M590*'RAP TEMPLATE-GAS AVAILABILITY'!O589+N590*'RAP TEMPLATE-GAS AVAILABILITY'!P589+O590*'RAP TEMPLATE-GAS AVAILABILITY'!Q589+P590*'RAP TEMPLATE-GAS AVAILABILITY'!R589)/('RAP TEMPLATE-GAS AVAILABILITY'!O589+'RAP TEMPLATE-GAS AVAILABILITY'!P589+'RAP TEMPLATE-GAS AVAILABILITY'!Q589+'RAP TEMPLATE-GAS AVAILABILITY'!R589)</f>
        <v>36.041444604316546</v>
      </c>
    </row>
    <row r="591" spans="1:29" ht="15.75" x14ac:dyDescent="0.25">
      <c r="A591" s="32">
        <v>58893</v>
      </c>
      <c r="B591" s="14">
        <f>CHOOSE(CONTROL!$C$42, 35.5704, 35.5704) * CHOOSE(CONTROL!$C$21, $C$9, 100%, $E$9)</f>
        <v>35.570399999999999</v>
      </c>
      <c r="C591" s="14">
        <f>CHOOSE(CONTROL!$C$42, 35.5755, 35.5755) * CHOOSE(CONTROL!$C$21, $C$9, 100%, $E$9)</f>
        <v>35.575499999999998</v>
      </c>
      <c r="D591" s="14">
        <f>CHOOSE(CONTROL!$C$42, 35.669, 35.669) * CHOOSE(CONTROL!$C$21, $C$9, 100%, $E$9)</f>
        <v>35.668999999999997</v>
      </c>
      <c r="E591" s="14">
        <f>CHOOSE(CONTROL!$C$42, 35.7031, 35.7031) * CHOOSE(CONTROL!$C$21, $C$9, 100%, $E$9)</f>
        <v>35.703099999999999</v>
      </c>
      <c r="F591" s="14">
        <f>CHOOSE(CONTROL!$C$42, 35.5965, 35.5965)*CHOOSE(CONTROL!$C$21, $C$9, 100%, $E$9)</f>
        <v>35.596499999999999</v>
      </c>
      <c r="G591" s="14">
        <f>CHOOSE(CONTROL!$C$42, 35.6141, 35.6141)*CHOOSE(CONTROL!$C$21, $C$9, 100%, $E$9)</f>
        <v>35.614100000000001</v>
      </c>
      <c r="H591" s="14">
        <f>CHOOSE(CONTROL!$C$42, 35.6923, 35.6923) * CHOOSE(CONTROL!$C$21, $C$9, 100%, $E$9)</f>
        <v>35.692300000000003</v>
      </c>
      <c r="I591" s="14">
        <f>CHOOSE(CONTROL!$C$42, 35.7077, 35.7077)* CHOOSE(CONTROL!$C$21, $C$9, 100%, $E$9)</f>
        <v>35.707700000000003</v>
      </c>
      <c r="J591" s="14">
        <f>CHOOSE(CONTROL!$C$42, 35.5895, 35.5895)* CHOOSE(CONTROL!$C$21, $C$9, 100%, $E$9)</f>
        <v>35.589500000000001</v>
      </c>
      <c r="K591" s="52">
        <f>CHOOSE(CONTROL!$C$42, 35.7038, 35.7038) * CHOOSE(CONTROL!$C$21, $C$9, 100%, $E$9)</f>
        <v>35.703800000000001</v>
      </c>
      <c r="L591" s="14">
        <f>CHOOSE(CONTROL!$C$42, 36.2793, 36.2793) * CHOOSE(CONTROL!$C$21, $C$9, 100%, $E$9)</f>
        <v>36.279299999999999</v>
      </c>
      <c r="M591" s="14">
        <f>CHOOSE(CONTROL!$C$42, 34.9571, 34.9571) * CHOOSE(CONTROL!$C$21, $C$9, 100%, $E$9)</f>
        <v>34.957099999999997</v>
      </c>
      <c r="N591" s="14">
        <f>CHOOSE(CONTROL!$C$42, 34.9744, 34.9744) * CHOOSE(CONTROL!$C$21, $C$9, 100%, $E$9)</f>
        <v>34.974400000000003</v>
      </c>
      <c r="O591" s="14">
        <f>CHOOSE(CONTROL!$C$42, 35.058, 35.058) * CHOOSE(CONTROL!$C$21, $C$9, 100%, $E$9)</f>
        <v>35.058</v>
      </c>
      <c r="P591" s="14">
        <f>CHOOSE(CONTROL!$C$42, 35.0712, 35.0712) * CHOOSE(CONTROL!$C$21, $C$9, 100%, $E$9)</f>
        <v>35.071199999999997</v>
      </c>
      <c r="Q591" s="14">
        <f>CHOOSE(CONTROL!$C$42, 35.6527, 35.6527) * CHOOSE(CONTROL!$C$21, $C$9, 100%, $E$9)</f>
        <v>35.652700000000003</v>
      </c>
      <c r="R591" s="14">
        <f>CHOOSE(CONTROL!$C$42, 36.3288, 36.3288) * CHOOSE(CONTROL!$C$21, $C$9, 100%, $E$9)</f>
        <v>36.328800000000001</v>
      </c>
      <c r="S591" s="14">
        <f>CHOOSE(CONTROL!$C$42, 34.1711, 34.1711) * CHOOSE(CONTROL!$C$21, $C$9, 100%, $E$9)</f>
        <v>34.171100000000003</v>
      </c>
      <c r="T59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91" s="56">
        <f>(1000*CHOOSE(CONTROL!$C$42, 695, 695)*CHOOSE(CONTROL!$C$42, 0.5599, 0.5599)*CHOOSE(CONTROL!$C$42, 31, 31))/1000000</f>
        <v>12.063045499999998</v>
      </c>
      <c r="V591" s="56">
        <f>(1000*CHOOSE(CONTROL!$C$42, 500, 500)*CHOOSE(CONTROL!$C$42, 0.275, 0.275)*CHOOSE(CONTROL!$C$42, 31, 31))/1000000</f>
        <v>4.2625000000000002</v>
      </c>
      <c r="W591" s="56">
        <f>(1000*CHOOSE(CONTROL!$C$42, 0.1146, 0.1146)*CHOOSE(CONTROL!$C$42, 121.5, 121.5)*CHOOSE(CONTROL!$C$42, 31, 31))/1000000</f>
        <v>0.43164089999999994</v>
      </c>
      <c r="X591" s="56">
        <f>(31*0.1790888*100000/1000000)+(31*0.2374*100000/1000000)</f>
        <v>1.2911152800000001</v>
      </c>
      <c r="Y591" s="56"/>
      <c r="Z591" s="14"/>
      <c r="AA591" s="55"/>
      <c r="AB591" s="49">
        <f>(B591*122.58+C591*297.941+D591*89.177+E591*40.302+F591*40+G591*160+H591*0+I591*100+J591*300)/(122.58+297.941+89.177+40.302+0+40+160+100+300)</f>
        <v>35.607927327565221</v>
      </c>
      <c r="AC591" s="45">
        <f>(M591*'RAP TEMPLATE-GAS AVAILABILITY'!O590+N591*'RAP TEMPLATE-GAS AVAILABILITY'!P590+O591*'RAP TEMPLATE-GAS AVAILABILITY'!Q590+P591*'RAP TEMPLATE-GAS AVAILABILITY'!R590)/('RAP TEMPLATE-GAS AVAILABILITY'!O590+'RAP TEMPLATE-GAS AVAILABILITY'!P590+'RAP TEMPLATE-GAS AVAILABILITY'!Q590+'RAP TEMPLATE-GAS AVAILABILITY'!R590)</f>
        <v>35.020244604316545</v>
      </c>
    </row>
    <row r="592" spans="1:29" ht="15.75" x14ac:dyDescent="0.25">
      <c r="A592" s="32">
        <v>58926</v>
      </c>
      <c r="B592" s="14">
        <f>CHOOSE(CONTROL!$C$42, 35.465, 35.465) * CHOOSE(CONTROL!$C$21, $C$9, 100%, $E$9)</f>
        <v>35.465000000000003</v>
      </c>
      <c r="C592" s="14">
        <f>CHOOSE(CONTROL!$C$42, 35.4694, 35.4694) * CHOOSE(CONTROL!$C$21, $C$9, 100%, $E$9)</f>
        <v>35.4694</v>
      </c>
      <c r="D592" s="14">
        <f>CHOOSE(CONTROL!$C$42, 35.7317, 35.7317) * CHOOSE(CONTROL!$C$21, $C$9, 100%, $E$9)</f>
        <v>35.731699999999996</v>
      </c>
      <c r="E592" s="14">
        <f>CHOOSE(CONTROL!$C$42, 35.7638, 35.7638) * CHOOSE(CONTROL!$C$21, $C$9, 100%, $E$9)</f>
        <v>35.763800000000003</v>
      </c>
      <c r="F592" s="14">
        <f>CHOOSE(CONTROL!$C$42, 35.4878, 35.4878)*CHOOSE(CONTROL!$C$21, $C$9, 100%, $E$9)</f>
        <v>35.4878</v>
      </c>
      <c r="G592" s="14">
        <f>CHOOSE(CONTROL!$C$42, 35.5045, 35.5045)*CHOOSE(CONTROL!$C$21, $C$9, 100%, $E$9)</f>
        <v>35.5045</v>
      </c>
      <c r="H592" s="14">
        <f>CHOOSE(CONTROL!$C$42, 35.7536, 35.7536) * CHOOSE(CONTROL!$C$21, $C$9, 100%, $E$9)</f>
        <v>35.753599999999999</v>
      </c>
      <c r="I592" s="14">
        <f>CHOOSE(CONTROL!$C$42, 35.5985, 35.5985)* CHOOSE(CONTROL!$C$21, $C$9, 100%, $E$9)</f>
        <v>35.598500000000001</v>
      </c>
      <c r="J592" s="14">
        <f>CHOOSE(CONTROL!$C$42, 35.4808, 35.4808)* CHOOSE(CONTROL!$C$21, $C$9, 100%, $E$9)</f>
        <v>35.480800000000002</v>
      </c>
      <c r="K592" s="52">
        <f>CHOOSE(CONTROL!$C$42, 35.5946, 35.5946) * CHOOSE(CONTROL!$C$21, $C$9, 100%, $E$9)</f>
        <v>35.5946</v>
      </c>
      <c r="L592" s="14">
        <f>CHOOSE(CONTROL!$C$42, 36.3406, 36.3406) * CHOOSE(CONTROL!$C$21, $C$9, 100%, $E$9)</f>
        <v>36.340600000000002</v>
      </c>
      <c r="M592" s="14">
        <f>CHOOSE(CONTROL!$C$42, 34.8503, 34.8503) * CHOOSE(CONTROL!$C$21, $C$9, 100%, $E$9)</f>
        <v>34.850299999999997</v>
      </c>
      <c r="N592" s="14">
        <f>CHOOSE(CONTROL!$C$42, 34.8667, 34.8667) * CHOOSE(CONTROL!$C$21, $C$9, 100%, $E$9)</f>
        <v>34.866700000000002</v>
      </c>
      <c r="O592" s="14">
        <f>CHOOSE(CONTROL!$C$42, 35.1182, 35.1182) * CHOOSE(CONTROL!$C$21, $C$9, 100%, $E$9)</f>
        <v>35.118200000000002</v>
      </c>
      <c r="P592" s="14">
        <f>CHOOSE(CONTROL!$C$42, 34.964, 34.964) * CHOOSE(CONTROL!$C$21, $C$9, 100%, $E$9)</f>
        <v>34.963999999999999</v>
      </c>
      <c r="Q592" s="14">
        <f>CHOOSE(CONTROL!$C$42, 35.7129, 35.7129) * CHOOSE(CONTROL!$C$21, $C$9, 100%, $E$9)</f>
        <v>35.712899999999998</v>
      </c>
      <c r="R592" s="14">
        <f>CHOOSE(CONTROL!$C$42, 36.3891, 36.3891) * CHOOSE(CONTROL!$C$21, $C$9, 100%, $E$9)</f>
        <v>36.389099999999999</v>
      </c>
      <c r="S592" s="14">
        <f>CHOOSE(CONTROL!$C$42, 34.069, 34.069) * CHOOSE(CONTROL!$C$21, $C$9, 100%, $E$9)</f>
        <v>34.069000000000003</v>
      </c>
      <c r="T59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92" s="56">
        <f>(1000*CHOOSE(CONTROL!$C$42, 695, 695)*CHOOSE(CONTROL!$C$42, 0.5599, 0.5599)*CHOOSE(CONTROL!$C$42, 30, 30))/1000000</f>
        <v>11.673914999999997</v>
      </c>
      <c r="V592" s="56">
        <f>(1000*CHOOSE(CONTROL!$C$42, 500, 500)*CHOOSE(CONTROL!$C$42, 0.275, 0.275)*CHOOSE(CONTROL!$C$42, 30, 30))/1000000</f>
        <v>4.125</v>
      </c>
      <c r="W592" s="56">
        <f>(1000*CHOOSE(CONTROL!$C$42, 0.1146, 0.1146)*CHOOSE(CONTROL!$C$42, 121.5, 121.5)*CHOOSE(CONTROL!$C$42, 30, 30))/1000000</f>
        <v>0.417717</v>
      </c>
      <c r="X592" s="56">
        <f>(30*0.1790888*245000/1000000)+(30*0.2374*100000/1000000)</f>
        <v>2.0285026799999999</v>
      </c>
      <c r="Y592" s="56"/>
      <c r="Z592" s="14"/>
      <c r="AA592" s="55"/>
      <c r="AB592" s="49">
        <f>(B592*141.293+C592*267.993+D592*115.016+E592*89.698+F592*40+G592*185+H592*0+I592*100+J592*300)/(141.293+267.993+115.016+89.698+0+40+185+100+300)</f>
        <v>35.533575624535914</v>
      </c>
      <c r="AC592" s="45">
        <f>(M592*'RAP TEMPLATE-GAS AVAILABILITY'!O591+N592*'RAP TEMPLATE-GAS AVAILABILITY'!P591+O592*'RAP TEMPLATE-GAS AVAILABILITY'!Q591+P592*'RAP TEMPLATE-GAS AVAILABILITY'!R591)/('RAP TEMPLATE-GAS AVAILABILITY'!O591+'RAP TEMPLATE-GAS AVAILABILITY'!P591+'RAP TEMPLATE-GAS AVAILABILITY'!Q591+'RAP TEMPLATE-GAS AVAILABILITY'!R591)</f>
        <v>34.945601438848918</v>
      </c>
    </row>
    <row r="593" spans="1:29" ht="15.75" x14ac:dyDescent="0.25">
      <c r="A593" s="32">
        <v>58957</v>
      </c>
      <c r="B593" s="14">
        <f>CHOOSE(CONTROL!$C$42, 35.7793, 35.7793) * CHOOSE(CONTROL!$C$21, $C$9, 100%, $E$9)</f>
        <v>35.779299999999999</v>
      </c>
      <c r="C593" s="14">
        <f>CHOOSE(CONTROL!$C$42, 35.7873, 35.7873) * CHOOSE(CONTROL!$C$21, $C$9, 100%, $E$9)</f>
        <v>35.787300000000002</v>
      </c>
      <c r="D593" s="14">
        <f>CHOOSE(CONTROL!$C$42, 36.0464, 36.0464) * CHOOSE(CONTROL!$C$21, $C$9, 100%, $E$9)</f>
        <v>36.046399999999998</v>
      </c>
      <c r="E593" s="14">
        <f>CHOOSE(CONTROL!$C$42, 36.0779, 36.0779) * CHOOSE(CONTROL!$C$21, $C$9, 100%, $E$9)</f>
        <v>36.0779</v>
      </c>
      <c r="F593" s="14">
        <f>CHOOSE(CONTROL!$C$42, 35.8008, 35.8008)*CHOOSE(CONTROL!$C$21, $C$9, 100%, $E$9)</f>
        <v>35.800800000000002</v>
      </c>
      <c r="G593" s="14">
        <f>CHOOSE(CONTROL!$C$42, 35.8178, 35.8178)*CHOOSE(CONTROL!$C$21, $C$9, 100%, $E$9)</f>
        <v>35.817799999999998</v>
      </c>
      <c r="H593" s="14">
        <f>CHOOSE(CONTROL!$C$42, 36.0665, 36.0665) * CHOOSE(CONTROL!$C$21, $C$9, 100%, $E$9)</f>
        <v>36.066499999999998</v>
      </c>
      <c r="I593" s="14">
        <f>CHOOSE(CONTROL!$C$42, 35.9124, 35.9124)* CHOOSE(CONTROL!$C$21, $C$9, 100%, $E$9)</f>
        <v>35.912399999999998</v>
      </c>
      <c r="J593" s="14">
        <f>CHOOSE(CONTROL!$C$42, 35.7938, 35.7938)* CHOOSE(CONTROL!$C$21, $C$9, 100%, $E$9)</f>
        <v>35.793799999999997</v>
      </c>
      <c r="K593" s="52">
        <f>CHOOSE(CONTROL!$C$42, 35.9085, 35.9085) * CHOOSE(CONTROL!$C$21, $C$9, 100%, $E$9)</f>
        <v>35.908499999999997</v>
      </c>
      <c r="L593" s="14">
        <f>CHOOSE(CONTROL!$C$42, 36.6535, 36.6535) * CHOOSE(CONTROL!$C$21, $C$9, 100%, $E$9)</f>
        <v>36.653500000000001</v>
      </c>
      <c r="M593" s="14">
        <f>CHOOSE(CONTROL!$C$42, 35.1577, 35.1577) * CHOOSE(CONTROL!$C$21, $C$9, 100%, $E$9)</f>
        <v>35.157699999999998</v>
      </c>
      <c r="N593" s="14">
        <f>CHOOSE(CONTROL!$C$42, 35.1743, 35.1743) * CHOOSE(CONTROL!$C$21, $C$9, 100%, $E$9)</f>
        <v>35.174300000000002</v>
      </c>
      <c r="O593" s="14">
        <f>CHOOSE(CONTROL!$C$42, 35.4255, 35.4255) * CHOOSE(CONTROL!$C$21, $C$9, 100%, $E$9)</f>
        <v>35.4255</v>
      </c>
      <c r="P593" s="14">
        <f>CHOOSE(CONTROL!$C$42, 35.2723, 35.2723) * CHOOSE(CONTROL!$C$21, $C$9, 100%, $E$9)</f>
        <v>35.272300000000001</v>
      </c>
      <c r="Q593" s="14">
        <f>CHOOSE(CONTROL!$C$42, 36.0202, 36.0202) * CHOOSE(CONTROL!$C$21, $C$9, 100%, $E$9)</f>
        <v>36.020200000000003</v>
      </c>
      <c r="R593" s="14">
        <f>CHOOSE(CONTROL!$C$42, 36.6972, 36.6972) * CHOOSE(CONTROL!$C$21, $C$9, 100%, $E$9)</f>
        <v>36.697200000000002</v>
      </c>
      <c r="S593" s="14">
        <f>CHOOSE(CONTROL!$C$42, 34.3697, 34.3697) * CHOOSE(CONTROL!$C$21, $C$9, 100%, $E$9)</f>
        <v>34.369700000000002</v>
      </c>
      <c r="T59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93" s="56">
        <f>(1000*CHOOSE(CONTROL!$C$42, 695, 695)*CHOOSE(CONTROL!$C$42, 0.5599, 0.5599)*CHOOSE(CONTROL!$C$42, 31, 31))/1000000</f>
        <v>12.063045499999998</v>
      </c>
      <c r="V593" s="56">
        <f>(1000*CHOOSE(CONTROL!$C$42, 500, 500)*CHOOSE(CONTROL!$C$42, 0.275, 0.275)*CHOOSE(CONTROL!$C$42, 31, 31))/1000000</f>
        <v>4.2625000000000002</v>
      </c>
      <c r="W593" s="56">
        <f>(1000*CHOOSE(CONTROL!$C$42, 0.1146, 0.1146)*CHOOSE(CONTROL!$C$42, 121.5, 121.5)*CHOOSE(CONTROL!$C$42, 31, 31))/1000000</f>
        <v>0.43164089999999994</v>
      </c>
      <c r="X593" s="56">
        <f>(31*0.1790888*245000/1000000)+(31*0.2374*100000/1000000)</f>
        <v>2.0961194359999999</v>
      </c>
      <c r="Y593" s="56"/>
      <c r="Z593" s="14"/>
      <c r="AA593" s="55"/>
      <c r="AB593" s="49">
        <f>(B593*194.205+C593*267.466+D593*133.845+E593*53.484+F593*40+G593*185+H593*0+I593*100+J593*300)/(194.205+267.466+133.845+53.484+0+40+185+100+300)</f>
        <v>35.84170388532182</v>
      </c>
      <c r="AC593" s="45">
        <f>(M593*'RAP TEMPLATE-GAS AVAILABILITY'!O592+N593*'RAP TEMPLATE-GAS AVAILABILITY'!P592+O593*'RAP TEMPLATE-GAS AVAILABILITY'!Q592+P593*'RAP TEMPLATE-GAS AVAILABILITY'!R592)/('RAP TEMPLATE-GAS AVAILABILITY'!O592+'RAP TEMPLATE-GAS AVAILABILITY'!P592+'RAP TEMPLATE-GAS AVAILABILITY'!Q592+'RAP TEMPLATE-GAS AVAILABILITY'!R592)</f>
        <v>35.25314892086331</v>
      </c>
    </row>
    <row r="594" spans="1:29" ht="15.75" x14ac:dyDescent="0.25">
      <c r="A594" s="32">
        <v>58987</v>
      </c>
      <c r="B594" s="14">
        <f>CHOOSE(CONTROL!$C$42, 36.7939, 36.7939) * CHOOSE(CONTROL!$C$21, $C$9, 100%, $E$9)</f>
        <v>36.793900000000001</v>
      </c>
      <c r="C594" s="14">
        <f>CHOOSE(CONTROL!$C$42, 36.8019, 36.8019) * CHOOSE(CONTROL!$C$21, $C$9, 100%, $E$9)</f>
        <v>36.801900000000003</v>
      </c>
      <c r="D594" s="14">
        <f>CHOOSE(CONTROL!$C$42, 37.061, 37.061) * CHOOSE(CONTROL!$C$21, $C$9, 100%, $E$9)</f>
        <v>37.061</v>
      </c>
      <c r="E594" s="14">
        <f>CHOOSE(CONTROL!$C$42, 37.0924, 37.0924) * CHOOSE(CONTROL!$C$21, $C$9, 100%, $E$9)</f>
        <v>37.092399999999998</v>
      </c>
      <c r="F594" s="14">
        <f>CHOOSE(CONTROL!$C$42, 36.8156, 36.8156)*CHOOSE(CONTROL!$C$21, $C$9, 100%, $E$9)</f>
        <v>36.815600000000003</v>
      </c>
      <c r="G594" s="14">
        <f>CHOOSE(CONTROL!$C$42, 36.8327, 36.8327)*CHOOSE(CONTROL!$C$21, $C$9, 100%, $E$9)</f>
        <v>36.832700000000003</v>
      </c>
      <c r="H594" s="14">
        <f>CHOOSE(CONTROL!$C$42, 37.0811, 37.0811) * CHOOSE(CONTROL!$C$21, $C$9, 100%, $E$9)</f>
        <v>37.081099999999999</v>
      </c>
      <c r="I594" s="14">
        <f>CHOOSE(CONTROL!$C$42, 36.9302, 36.9302)* CHOOSE(CONTROL!$C$21, $C$9, 100%, $E$9)</f>
        <v>36.930199999999999</v>
      </c>
      <c r="J594" s="14">
        <f>CHOOSE(CONTROL!$C$42, 36.8086, 36.8086)* CHOOSE(CONTROL!$C$21, $C$9, 100%, $E$9)</f>
        <v>36.808599999999998</v>
      </c>
      <c r="K594" s="52">
        <f>CHOOSE(CONTROL!$C$42, 36.9263, 36.9263) * CHOOSE(CONTROL!$C$21, $C$9, 100%, $E$9)</f>
        <v>36.926299999999998</v>
      </c>
      <c r="L594" s="14">
        <f>CHOOSE(CONTROL!$C$42, 37.6681, 37.6681) * CHOOSE(CONTROL!$C$21, $C$9, 100%, $E$9)</f>
        <v>37.668100000000003</v>
      </c>
      <c r="M594" s="14">
        <f>CHOOSE(CONTROL!$C$42, 36.1543, 36.1543) * CHOOSE(CONTROL!$C$21, $C$9, 100%, $E$9)</f>
        <v>36.154299999999999</v>
      </c>
      <c r="N594" s="14">
        <f>CHOOSE(CONTROL!$C$42, 36.171, 36.171) * CHOOSE(CONTROL!$C$21, $C$9, 100%, $E$9)</f>
        <v>36.170999999999999</v>
      </c>
      <c r="O594" s="14">
        <f>CHOOSE(CONTROL!$C$42, 36.4218, 36.4218) * CHOOSE(CONTROL!$C$21, $C$9, 100%, $E$9)</f>
        <v>36.421799999999998</v>
      </c>
      <c r="P594" s="14">
        <f>CHOOSE(CONTROL!$C$42, 36.2717, 36.2717) * CHOOSE(CONTROL!$C$21, $C$9, 100%, $E$9)</f>
        <v>36.271700000000003</v>
      </c>
      <c r="Q594" s="14">
        <f>CHOOSE(CONTROL!$C$42, 37.0165, 37.0165) * CHOOSE(CONTROL!$C$21, $C$9, 100%, $E$9)</f>
        <v>37.016500000000001</v>
      </c>
      <c r="R594" s="14">
        <f>CHOOSE(CONTROL!$C$42, 37.696, 37.696) * CHOOSE(CONTROL!$C$21, $C$9, 100%, $E$9)</f>
        <v>37.695999999999998</v>
      </c>
      <c r="S594" s="14">
        <f>CHOOSE(CONTROL!$C$42, 35.3446, 35.3446) * CHOOSE(CONTROL!$C$21, $C$9, 100%, $E$9)</f>
        <v>35.3446</v>
      </c>
      <c r="T59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94" s="56">
        <f>(1000*CHOOSE(CONTROL!$C$42, 695, 695)*CHOOSE(CONTROL!$C$42, 0.5599, 0.5599)*CHOOSE(CONTROL!$C$42, 30, 30))/1000000</f>
        <v>11.673914999999997</v>
      </c>
      <c r="V594" s="56">
        <f>(1000*CHOOSE(CONTROL!$C$42, 500, 500)*CHOOSE(CONTROL!$C$42, 0.275, 0.275)*CHOOSE(CONTROL!$C$42, 30, 30))/1000000</f>
        <v>4.125</v>
      </c>
      <c r="W594" s="56">
        <f>(1000*CHOOSE(CONTROL!$C$42, 0.1146, 0.1146)*CHOOSE(CONTROL!$C$42, 121.5, 121.5)*CHOOSE(CONTROL!$C$42, 30, 30))/1000000</f>
        <v>0.417717</v>
      </c>
      <c r="X594" s="56">
        <f>(30*0.1790888*245000/1000000)+(30*0.2374*100000/1000000)</f>
        <v>2.0285026799999999</v>
      </c>
      <c r="Y594" s="56"/>
      <c r="Z594" s="14"/>
      <c r="AA594" s="55"/>
      <c r="AB594" s="49">
        <f>(B594*194.205+C594*267.466+D594*133.845+E594*53.484+F594*40+G594*185+H594*0+I594*100+J594*300)/(194.205+267.466+133.845+53.484+0+40+185+100+300)</f>
        <v>36.856647803375196</v>
      </c>
      <c r="AC594" s="45">
        <f>(M594*'RAP TEMPLATE-GAS AVAILABILITY'!O593+N594*'RAP TEMPLATE-GAS AVAILABILITY'!P593+O594*'RAP TEMPLATE-GAS AVAILABILITY'!Q593+P594*'RAP TEMPLATE-GAS AVAILABILITY'!R593)/('RAP TEMPLATE-GAS AVAILABILITY'!O593+'RAP TEMPLATE-GAS AVAILABILITY'!P593+'RAP TEMPLATE-GAS AVAILABILITY'!Q593+'RAP TEMPLATE-GAS AVAILABILITY'!R593)</f>
        <v>36.250090647482018</v>
      </c>
    </row>
    <row r="595" spans="1:29" ht="15.75" x14ac:dyDescent="0.25">
      <c r="A595" s="32">
        <v>59018</v>
      </c>
      <c r="B595" s="14">
        <f>CHOOSE(CONTROL!$C$42, 36.0882, 36.0882) * CHOOSE(CONTROL!$C$21, $C$9, 100%, $E$9)</f>
        <v>36.088200000000001</v>
      </c>
      <c r="C595" s="14">
        <f>CHOOSE(CONTROL!$C$42, 36.0962, 36.0962) * CHOOSE(CONTROL!$C$21, $C$9, 100%, $E$9)</f>
        <v>36.096200000000003</v>
      </c>
      <c r="D595" s="14">
        <f>CHOOSE(CONTROL!$C$42, 36.3553, 36.3553) * CHOOSE(CONTROL!$C$21, $C$9, 100%, $E$9)</f>
        <v>36.3553</v>
      </c>
      <c r="E595" s="14">
        <f>CHOOSE(CONTROL!$C$42, 36.3868, 36.3868) * CHOOSE(CONTROL!$C$21, $C$9, 100%, $E$9)</f>
        <v>36.386800000000001</v>
      </c>
      <c r="F595" s="14">
        <f>CHOOSE(CONTROL!$C$42, 36.1104, 36.1104)*CHOOSE(CONTROL!$C$21, $C$9, 100%, $E$9)</f>
        <v>36.110399999999998</v>
      </c>
      <c r="G595" s="14">
        <f>CHOOSE(CONTROL!$C$42, 36.1276, 36.1276)*CHOOSE(CONTROL!$C$21, $C$9, 100%, $E$9)</f>
        <v>36.127600000000001</v>
      </c>
      <c r="H595" s="14">
        <f>CHOOSE(CONTROL!$C$42, 36.3754, 36.3754) * CHOOSE(CONTROL!$C$21, $C$9, 100%, $E$9)</f>
        <v>36.375399999999999</v>
      </c>
      <c r="I595" s="14">
        <f>CHOOSE(CONTROL!$C$42, 36.2223, 36.2223)* CHOOSE(CONTROL!$C$21, $C$9, 100%, $E$9)</f>
        <v>36.222299999999997</v>
      </c>
      <c r="J595" s="14">
        <f>CHOOSE(CONTROL!$C$42, 36.1034, 36.1034)* CHOOSE(CONTROL!$C$21, $C$9, 100%, $E$9)</f>
        <v>36.103400000000001</v>
      </c>
      <c r="K595" s="52">
        <f>CHOOSE(CONTROL!$C$42, 36.2184, 36.2184) * CHOOSE(CONTROL!$C$21, $C$9, 100%, $E$9)</f>
        <v>36.218400000000003</v>
      </c>
      <c r="L595" s="14">
        <f>CHOOSE(CONTROL!$C$42, 36.9624, 36.9624) * CHOOSE(CONTROL!$C$21, $C$9, 100%, $E$9)</f>
        <v>36.962400000000002</v>
      </c>
      <c r="M595" s="14">
        <f>CHOOSE(CONTROL!$C$42, 35.4617, 35.4617) * CHOOSE(CONTROL!$C$21, $C$9, 100%, $E$9)</f>
        <v>35.4617</v>
      </c>
      <c r="N595" s="14">
        <f>CHOOSE(CONTROL!$C$42, 35.4786, 35.4786) * CHOOSE(CONTROL!$C$21, $C$9, 100%, $E$9)</f>
        <v>35.4786</v>
      </c>
      <c r="O595" s="14">
        <f>CHOOSE(CONTROL!$C$42, 35.7288, 35.7288) * CHOOSE(CONTROL!$C$21, $C$9, 100%, $E$9)</f>
        <v>35.7288</v>
      </c>
      <c r="P595" s="14">
        <f>CHOOSE(CONTROL!$C$42, 35.5766, 35.5766) * CHOOSE(CONTROL!$C$21, $C$9, 100%, $E$9)</f>
        <v>35.576599999999999</v>
      </c>
      <c r="Q595" s="14">
        <f>CHOOSE(CONTROL!$C$42, 36.3235, 36.3235) * CHOOSE(CONTROL!$C$21, $C$9, 100%, $E$9)</f>
        <v>36.323500000000003</v>
      </c>
      <c r="R595" s="14">
        <f>CHOOSE(CONTROL!$C$42, 37.0014, 37.0014) * CHOOSE(CONTROL!$C$21, $C$9, 100%, $E$9)</f>
        <v>37.001399999999997</v>
      </c>
      <c r="S595" s="14">
        <f>CHOOSE(CONTROL!$C$42, 34.6665, 34.6665) * CHOOSE(CONTROL!$C$21, $C$9, 100%, $E$9)</f>
        <v>34.666499999999999</v>
      </c>
      <c r="T59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95" s="56">
        <f>(1000*CHOOSE(CONTROL!$C$42, 695, 695)*CHOOSE(CONTROL!$C$42, 0.5599, 0.5599)*CHOOSE(CONTROL!$C$42, 31, 31))/1000000</f>
        <v>12.063045499999998</v>
      </c>
      <c r="V595" s="56">
        <f>(1000*CHOOSE(CONTROL!$C$42, 500, 500)*CHOOSE(CONTROL!$C$42, 0.275, 0.275)*CHOOSE(CONTROL!$C$42, 31, 31))/1000000</f>
        <v>4.2625000000000002</v>
      </c>
      <c r="W595" s="56">
        <f>(1000*CHOOSE(CONTROL!$C$42, 0.1146, 0.1146)*CHOOSE(CONTROL!$C$42, 121.5, 121.5)*CHOOSE(CONTROL!$C$42, 31, 31))/1000000</f>
        <v>0.43164089999999994</v>
      </c>
      <c r="X595" s="56">
        <f>(31*0.1790888*245000/1000000)+(31*0.2374*100000/1000000)</f>
        <v>2.0961194359999999</v>
      </c>
      <c r="Y595" s="56"/>
      <c r="Z595" s="14"/>
      <c r="AA595" s="55"/>
      <c r="AB595" s="49">
        <f>(B595*194.205+C595*267.466+D595*133.845+E595*53.484+F595*40+G595*185+H595*0+I595*100+J595*300)/(194.205+267.466+133.845+53.484+0+40+185+100+300)</f>
        <v>36.150999882182106</v>
      </c>
      <c r="AC595" s="45">
        <f>(M595*'RAP TEMPLATE-GAS AVAILABILITY'!O594+N595*'RAP TEMPLATE-GAS AVAILABILITY'!P594+O595*'RAP TEMPLATE-GAS AVAILABILITY'!Q594+P595*'RAP TEMPLATE-GAS AVAILABILITY'!R594)/('RAP TEMPLATE-GAS AVAILABILITY'!O594+'RAP TEMPLATE-GAS AVAILABILITY'!P594+'RAP TEMPLATE-GAS AVAILABILITY'!Q594+'RAP TEMPLATE-GAS AVAILABILITY'!R594)</f>
        <v>35.557064748201441</v>
      </c>
    </row>
    <row r="596" spans="1:29" ht="15.75" x14ac:dyDescent="0.25">
      <c r="A596" s="32">
        <v>59049</v>
      </c>
      <c r="B596" s="14">
        <f>CHOOSE(CONTROL!$C$42, 34.3062, 34.3062) * CHOOSE(CONTROL!$C$21, $C$9, 100%, $E$9)</f>
        <v>34.306199999999997</v>
      </c>
      <c r="C596" s="14">
        <f>CHOOSE(CONTROL!$C$42, 34.3142, 34.3142) * CHOOSE(CONTROL!$C$21, $C$9, 100%, $E$9)</f>
        <v>34.3142</v>
      </c>
      <c r="D596" s="14">
        <f>CHOOSE(CONTROL!$C$42, 34.5733, 34.5733) * CHOOSE(CONTROL!$C$21, $C$9, 100%, $E$9)</f>
        <v>34.573300000000003</v>
      </c>
      <c r="E596" s="14">
        <f>CHOOSE(CONTROL!$C$42, 34.6048, 34.6048) * CHOOSE(CONTROL!$C$21, $C$9, 100%, $E$9)</f>
        <v>34.604799999999997</v>
      </c>
      <c r="F596" s="14">
        <f>CHOOSE(CONTROL!$C$42, 34.3286, 34.3286)*CHOOSE(CONTROL!$C$21, $C$9, 100%, $E$9)</f>
        <v>34.328600000000002</v>
      </c>
      <c r="G596" s="14">
        <f>CHOOSE(CONTROL!$C$42, 34.3458, 34.3458)*CHOOSE(CONTROL!$C$21, $C$9, 100%, $E$9)</f>
        <v>34.345799999999997</v>
      </c>
      <c r="H596" s="14">
        <f>CHOOSE(CONTROL!$C$42, 34.5934, 34.5934) * CHOOSE(CONTROL!$C$21, $C$9, 100%, $E$9)</f>
        <v>34.593400000000003</v>
      </c>
      <c r="I596" s="14">
        <f>CHOOSE(CONTROL!$C$42, 34.4348, 34.4348)* CHOOSE(CONTROL!$C$21, $C$9, 100%, $E$9)</f>
        <v>34.434800000000003</v>
      </c>
      <c r="J596" s="14">
        <f>CHOOSE(CONTROL!$C$42, 34.3216, 34.3216)* CHOOSE(CONTROL!$C$21, $C$9, 100%, $E$9)</f>
        <v>34.321599999999997</v>
      </c>
      <c r="K596" s="52">
        <f>CHOOSE(CONTROL!$C$42, 34.4309, 34.4309) * CHOOSE(CONTROL!$C$21, $C$9, 100%, $E$9)</f>
        <v>34.430900000000001</v>
      </c>
      <c r="L596" s="14">
        <f>CHOOSE(CONTROL!$C$42, 35.1804, 35.1804) * CHOOSE(CONTROL!$C$21, $C$9, 100%, $E$9)</f>
        <v>35.180399999999999</v>
      </c>
      <c r="M596" s="14">
        <f>CHOOSE(CONTROL!$C$42, 33.712, 33.712) * CHOOSE(CONTROL!$C$21, $C$9, 100%, $E$9)</f>
        <v>33.712000000000003</v>
      </c>
      <c r="N596" s="14">
        <f>CHOOSE(CONTROL!$C$42, 33.7289, 33.7289) * CHOOSE(CONTROL!$C$21, $C$9, 100%, $E$9)</f>
        <v>33.728900000000003</v>
      </c>
      <c r="O596" s="14">
        <f>CHOOSE(CONTROL!$C$42, 33.9789, 33.9789) * CHOOSE(CONTROL!$C$21, $C$9, 100%, $E$9)</f>
        <v>33.978900000000003</v>
      </c>
      <c r="P596" s="14">
        <f>CHOOSE(CONTROL!$C$42, 33.8212, 33.8212) * CHOOSE(CONTROL!$C$21, $C$9, 100%, $E$9)</f>
        <v>33.821199999999997</v>
      </c>
      <c r="Q596" s="14">
        <f>CHOOSE(CONTROL!$C$42, 34.5736, 34.5736) * CHOOSE(CONTROL!$C$21, $C$9, 100%, $E$9)</f>
        <v>34.573599999999999</v>
      </c>
      <c r="R596" s="14">
        <f>CHOOSE(CONTROL!$C$42, 35.247, 35.247) * CHOOSE(CONTROL!$C$21, $C$9, 100%, $E$9)</f>
        <v>35.247</v>
      </c>
      <c r="S596" s="14">
        <f>CHOOSE(CONTROL!$C$42, 32.9542, 32.9542) * CHOOSE(CONTROL!$C$21, $C$9, 100%, $E$9)</f>
        <v>32.9542</v>
      </c>
      <c r="T59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96" s="56">
        <f>(1000*CHOOSE(CONTROL!$C$42, 695, 695)*CHOOSE(CONTROL!$C$42, 0.5599, 0.5599)*CHOOSE(CONTROL!$C$42, 31, 31))/1000000</f>
        <v>12.063045499999998</v>
      </c>
      <c r="V596" s="56">
        <f>(1000*CHOOSE(CONTROL!$C$42, 500, 500)*CHOOSE(CONTROL!$C$42, 0.275, 0.275)*CHOOSE(CONTROL!$C$42, 31, 31))/1000000</f>
        <v>4.2625000000000002</v>
      </c>
      <c r="W596" s="56">
        <f>(1000*CHOOSE(CONTROL!$C$42, 0.1146, 0.1146)*CHOOSE(CONTROL!$C$42, 121.5, 121.5)*CHOOSE(CONTROL!$C$42, 31, 31))/1000000</f>
        <v>0.43164089999999994</v>
      </c>
      <c r="X596" s="56">
        <f>(31*0.1790888*245000/1000000)+(31*0.2374*100000/1000000)</f>
        <v>2.0961194359999999</v>
      </c>
      <c r="Y596" s="56"/>
      <c r="Z596" s="14"/>
      <c r="AA596" s="55"/>
      <c r="AB596" s="49">
        <f>(B596*194.205+C596*267.466+D596*133.845+E596*53.484+F596*40+G596*185+H596*0+I596*100+J596*300)/(194.205+267.466+133.845+53.484+0+40+185+100+300)</f>
        <v>34.368650588618522</v>
      </c>
      <c r="AC596" s="45">
        <f>(M596*'RAP TEMPLATE-GAS AVAILABILITY'!O595+N596*'RAP TEMPLATE-GAS AVAILABILITY'!P595+O596*'RAP TEMPLATE-GAS AVAILABILITY'!Q595+P596*'RAP TEMPLATE-GAS AVAILABILITY'!R595)/('RAP TEMPLATE-GAS AVAILABILITY'!O595+'RAP TEMPLATE-GAS AVAILABILITY'!P595+'RAP TEMPLATE-GAS AVAILABILITY'!Q595+'RAP TEMPLATE-GAS AVAILABILITY'!R595)</f>
        <v>33.806488489208633</v>
      </c>
    </row>
    <row r="597" spans="1:29" ht="15.75" x14ac:dyDescent="0.25">
      <c r="A597" s="32">
        <v>59079</v>
      </c>
      <c r="B597" s="14">
        <f>CHOOSE(CONTROL!$C$42, 32.1287, 32.1287) * CHOOSE(CONTROL!$C$21, $C$9, 100%, $E$9)</f>
        <v>32.128700000000002</v>
      </c>
      <c r="C597" s="14">
        <f>CHOOSE(CONTROL!$C$42, 32.1367, 32.1367) * CHOOSE(CONTROL!$C$21, $C$9, 100%, $E$9)</f>
        <v>32.136699999999998</v>
      </c>
      <c r="D597" s="14">
        <f>CHOOSE(CONTROL!$C$42, 32.3958, 32.3958) * CHOOSE(CONTROL!$C$21, $C$9, 100%, $E$9)</f>
        <v>32.395800000000001</v>
      </c>
      <c r="E597" s="14">
        <f>CHOOSE(CONTROL!$C$42, 32.4273, 32.4273) * CHOOSE(CONTROL!$C$21, $C$9, 100%, $E$9)</f>
        <v>32.427300000000002</v>
      </c>
      <c r="F597" s="14">
        <f>CHOOSE(CONTROL!$C$42, 32.1512, 32.1512)*CHOOSE(CONTROL!$C$21, $C$9, 100%, $E$9)</f>
        <v>32.151200000000003</v>
      </c>
      <c r="G597" s="14">
        <f>CHOOSE(CONTROL!$C$42, 32.1684, 32.1684)*CHOOSE(CONTROL!$C$21, $C$9, 100%, $E$9)</f>
        <v>32.168399999999998</v>
      </c>
      <c r="H597" s="14">
        <f>CHOOSE(CONTROL!$C$42, 32.4159, 32.4159) * CHOOSE(CONTROL!$C$21, $C$9, 100%, $E$9)</f>
        <v>32.415900000000001</v>
      </c>
      <c r="I597" s="14">
        <f>CHOOSE(CONTROL!$C$42, 32.2504, 32.2504)* CHOOSE(CONTROL!$C$21, $C$9, 100%, $E$9)</f>
        <v>32.250399999999999</v>
      </c>
      <c r="J597" s="14">
        <f>CHOOSE(CONTROL!$C$42, 32.1442, 32.1442)* CHOOSE(CONTROL!$C$21, $C$9, 100%, $E$9)</f>
        <v>32.144199999999998</v>
      </c>
      <c r="K597" s="52">
        <f>CHOOSE(CONTROL!$C$42, 32.2465, 32.2465) * CHOOSE(CONTROL!$C$21, $C$9, 100%, $E$9)</f>
        <v>32.246499999999997</v>
      </c>
      <c r="L597" s="14">
        <f>CHOOSE(CONTROL!$C$42, 33.0029, 33.0029) * CHOOSE(CONTROL!$C$21, $C$9, 100%, $E$9)</f>
        <v>33.002899999999997</v>
      </c>
      <c r="M597" s="14">
        <f>CHOOSE(CONTROL!$C$42, 31.5737, 31.5737) * CHOOSE(CONTROL!$C$21, $C$9, 100%, $E$9)</f>
        <v>31.573699999999999</v>
      </c>
      <c r="N597" s="14">
        <f>CHOOSE(CONTROL!$C$42, 31.5906, 31.5906) * CHOOSE(CONTROL!$C$21, $C$9, 100%, $E$9)</f>
        <v>31.590599999999998</v>
      </c>
      <c r="O597" s="14">
        <f>CHOOSE(CONTROL!$C$42, 31.8406, 31.8406) * CHOOSE(CONTROL!$C$21, $C$9, 100%, $E$9)</f>
        <v>31.840599999999998</v>
      </c>
      <c r="P597" s="14">
        <f>CHOOSE(CONTROL!$C$42, 31.6763, 31.6763) * CHOOSE(CONTROL!$C$21, $C$9, 100%, $E$9)</f>
        <v>31.676300000000001</v>
      </c>
      <c r="Q597" s="14">
        <f>CHOOSE(CONTROL!$C$42, 32.4353, 32.4353) * CHOOSE(CONTROL!$C$21, $C$9, 100%, $E$9)</f>
        <v>32.435299999999998</v>
      </c>
      <c r="R597" s="14">
        <f>CHOOSE(CONTROL!$C$42, 33.1034, 33.1034) * CHOOSE(CONTROL!$C$21, $C$9, 100%, $E$9)</f>
        <v>33.103400000000001</v>
      </c>
      <c r="S597" s="14">
        <f>CHOOSE(CONTROL!$C$42, 30.8619, 30.8619) * CHOOSE(CONTROL!$C$21, $C$9, 100%, $E$9)</f>
        <v>30.861899999999999</v>
      </c>
      <c r="T59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97" s="56">
        <f>(1000*CHOOSE(CONTROL!$C$42, 695, 695)*CHOOSE(CONTROL!$C$42, 0.5599, 0.5599)*CHOOSE(CONTROL!$C$42, 30, 30))/1000000</f>
        <v>11.673914999999997</v>
      </c>
      <c r="V597" s="56">
        <f>(1000*CHOOSE(CONTROL!$C$42, 500, 500)*CHOOSE(CONTROL!$C$42, 0.275, 0.275)*CHOOSE(CONTROL!$C$42, 30, 30))/1000000</f>
        <v>4.125</v>
      </c>
      <c r="W597" s="56">
        <f>(1000*CHOOSE(CONTROL!$C$42, 0.1146, 0.1146)*CHOOSE(CONTROL!$C$42, 121.5, 121.5)*CHOOSE(CONTROL!$C$42, 30, 30))/1000000</f>
        <v>0.417717</v>
      </c>
      <c r="X597" s="56">
        <f>(30*0.1790888*245000/1000000)+(30*0.2374*100000/1000000)</f>
        <v>2.0285026799999999</v>
      </c>
      <c r="Y597" s="56"/>
      <c r="Z597" s="14"/>
      <c r="AA597" s="55"/>
      <c r="AB597" s="49">
        <f>(B597*194.205+C597*267.466+D597*133.845+E597*53.484+F597*40+G597*185+H597*0+I597*100+J597*300)/(194.205+267.466+133.845+53.484+0+40+185+100+300)</f>
        <v>32.190650196153847</v>
      </c>
      <c r="AC597" s="45">
        <f>(M597*'RAP TEMPLATE-GAS AVAILABILITY'!O596+N597*'RAP TEMPLATE-GAS AVAILABILITY'!P596+O597*'RAP TEMPLATE-GAS AVAILABILITY'!Q596+P597*'RAP TEMPLATE-GAS AVAILABILITY'!R596)/('RAP TEMPLATE-GAS AVAILABILITY'!O596+'RAP TEMPLATE-GAS AVAILABILITY'!P596+'RAP TEMPLATE-GAS AVAILABILITY'!Q596+'RAP TEMPLATE-GAS AVAILABILITY'!R596)</f>
        <v>31.667238848920867</v>
      </c>
    </row>
    <row r="598" spans="1:29" ht="15.75" x14ac:dyDescent="0.25">
      <c r="A598" s="32">
        <v>59110</v>
      </c>
      <c r="B598" s="14">
        <f>CHOOSE(CONTROL!$C$42, 31.4749, 31.4749) * CHOOSE(CONTROL!$C$21, $C$9, 100%, $E$9)</f>
        <v>31.474900000000002</v>
      </c>
      <c r="C598" s="14">
        <f>CHOOSE(CONTROL!$C$42, 31.4802, 31.4802) * CHOOSE(CONTROL!$C$21, $C$9, 100%, $E$9)</f>
        <v>31.4802</v>
      </c>
      <c r="D598" s="14">
        <f>CHOOSE(CONTROL!$C$42, 31.7442, 31.7442) * CHOOSE(CONTROL!$C$21, $C$9, 100%, $E$9)</f>
        <v>31.744199999999999</v>
      </c>
      <c r="E598" s="14">
        <f>CHOOSE(CONTROL!$C$42, 31.7734, 31.7734) * CHOOSE(CONTROL!$C$21, $C$9, 100%, $E$9)</f>
        <v>31.773399999999999</v>
      </c>
      <c r="F598" s="14">
        <f>CHOOSE(CONTROL!$C$42, 31.4995, 31.4995)*CHOOSE(CONTROL!$C$21, $C$9, 100%, $E$9)</f>
        <v>31.499500000000001</v>
      </c>
      <c r="G598" s="14">
        <f>CHOOSE(CONTROL!$C$42, 31.5166, 31.5166)*CHOOSE(CONTROL!$C$21, $C$9, 100%, $E$9)</f>
        <v>31.5166</v>
      </c>
      <c r="H598" s="14">
        <f>CHOOSE(CONTROL!$C$42, 31.7638, 31.7638) * CHOOSE(CONTROL!$C$21, $C$9, 100%, $E$9)</f>
        <v>31.7638</v>
      </c>
      <c r="I598" s="14">
        <f>CHOOSE(CONTROL!$C$42, 31.5963, 31.5963)* CHOOSE(CONTROL!$C$21, $C$9, 100%, $E$9)</f>
        <v>31.596299999999999</v>
      </c>
      <c r="J598" s="14">
        <f>CHOOSE(CONTROL!$C$42, 31.4925, 31.4925)* CHOOSE(CONTROL!$C$21, $C$9, 100%, $E$9)</f>
        <v>31.4925</v>
      </c>
      <c r="K598" s="52">
        <f>CHOOSE(CONTROL!$C$42, 31.5924, 31.5924) * CHOOSE(CONTROL!$C$21, $C$9, 100%, $E$9)</f>
        <v>31.592400000000001</v>
      </c>
      <c r="L598" s="14">
        <f>CHOOSE(CONTROL!$C$42, 32.3508, 32.3508) * CHOOSE(CONTROL!$C$21, $C$9, 100%, $E$9)</f>
        <v>32.3508</v>
      </c>
      <c r="M598" s="14">
        <f>CHOOSE(CONTROL!$C$42, 30.9337, 30.9337) * CHOOSE(CONTROL!$C$21, $C$9, 100%, $E$9)</f>
        <v>30.933700000000002</v>
      </c>
      <c r="N598" s="14">
        <f>CHOOSE(CONTROL!$C$42, 30.9505, 30.9505) * CHOOSE(CONTROL!$C$21, $C$9, 100%, $E$9)</f>
        <v>30.950500000000002</v>
      </c>
      <c r="O598" s="14">
        <f>CHOOSE(CONTROL!$C$42, 31.2002, 31.2002) * CHOOSE(CONTROL!$C$21, $C$9, 100%, $E$9)</f>
        <v>31.200199999999999</v>
      </c>
      <c r="P598" s="14">
        <f>CHOOSE(CONTROL!$C$42, 31.034, 31.034) * CHOOSE(CONTROL!$C$21, $C$9, 100%, $E$9)</f>
        <v>31.033999999999999</v>
      </c>
      <c r="Q598" s="14">
        <f>CHOOSE(CONTROL!$C$42, 31.7949, 31.7949) * CHOOSE(CONTROL!$C$21, $C$9, 100%, $E$9)</f>
        <v>31.794899999999998</v>
      </c>
      <c r="R598" s="14">
        <f>CHOOSE(CONTROL!$C$42, 32.4614, 32.4614) * CHOOSE(CONTROL!$C$21, $C$9, 100%, $E$9)</f>
        <v>32.461399999999998</v>
      </c>
      <c r="S598" s="14">
        <f>CHOOSE(CONTROL!$C$42, 30.2352, 30.2352) * CHOOSE(CONTROL!$C$21, $C$9, 100%, $E$9)</f>
        <v>30.235199999999999</v>
      </c>
      <c r="T59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98" s="56">
        <f>(1000*CHOOSE(CONTROL!$C$42, 695, 695)*CHOOSE(CONTROL!$C$42, 0.5599, 0.5599)*CHOOSE(CONTROL!$C$42, 31, 31))/1000000</f>
        <v>12.063045499999998</v>
      </c>
      <c r="V598" s="56">
        <f>(1000*CHOOSE(CONTROL!$C$42, 500, 500)*CHOOSE(CONTROL!$C$42, 0.275, 0.275)*CHOOSE(CONTROL!$C$42, 31, 31))/1000000</f>
        <v>4.2625000000000002</v>
      </c>
      <c r="W598" s="56">
        <f>(1000*CHOOSE(CONTROL!$C$42, 0.1146, 0.1146)*CHOOSE(CONTROL!$C$42, 121.5, 121.5)*CHOOSE(CONTROL!$C$42, 31, 31))/1000000</f>
        <v>0.43164089999999994</v>
      </c>
      <c r="X598" s="56">
        <f>(31*0.1790888*245000/1000000)+(31*0.2374*100000/1000000)</f>
        <v>2.0961194359999999</v>
      </c>
      <c r="Y598" s="56"/>
      <c r="Z598" s="14"/>
      <c r="AA598" s="55"/>
      <c r="AB598" s="49">
        <f>(B598*131.881+C598*277.167+D598*79.08+E598*125.872+F598*40+G598*185+H598*0+I598*100+J598*300)/(131.881+277.167+79.08+125.872+0+40+185+100+300)</f>
        <v>31.544679274495557</v>
      </c>
      <c r="AC598" s="45">
        <f>(M598*'RAP TEMPLATE-GAS AVAILABILITY'!O597+N598*'RAP TEMPLATE-GAS AVAILABILITY'!P597+O598*'RAP TEMPLATE-GAS AVAILABILITY'!Q597+P598*'RAP TEMPLATE-GAS AVAILABILITY'!R597)/('RAP TEMPLATE-GAS AVAILABILITY'!O597+'RAP TEMPLATE-GAS AVAILABILITY'!P597+'RAP TEMPLATE-GAS AVAILABILITY'!Q597+'RAP TEMPLATE-GAS AVAILABILITY'!R597)</f>
        <v>31.02677266187051</v>
      </c>
    </row>
    <row r="599" spans="1:29" ht="15.75" x14ac:dyDescent="0.25">
      <c r="A599" s="32">
        <v>59140</v>
      </c>
      <c r="B599" s="14">
        <f>CHOOSE(CONTROL!$C$42, 32.3034, 32.3034) * CHOOSE(CONTROL!$C$21, $C$9, 100%, $E$9)</f>
        <v>32.303400000000003</v>
      </c>
      <c r="C599" s="14">
        <f>CHOOSE(CONTROL!$C$42, 32.3084, 32.3084) * CHOOSE(CONTROL!$C$21, $C$9, 100%, $E$9)</f>
        <v>32.308399999999999</v>
      </c>
      <c r="D599" s="14">
        <f>CHOOSE(CONTROL!$C$42, 32.3915, 32.3915) * CHOOSE(CONTROL!$C$21, $C$9, 100%, $E$9)</f>
        <v>32.391500000000001</v>
      </c>
      <c r="E599" s="14">
        <f>CHOOSE(CONTROL!$C$42, 32.4256, 32.4256) * CHOOSE(CONTROL!$C$21, $C$9, 100%, $E$9)</f>
        <v>32.425600000000003</v>
      </c>
      <c r="F599" s="14">
        <f>CHOOSE(CONTROL!$C$42, 32.331, 32.331)*CHOOSE(CONTROL!$C$21, $C$9, 100%, $E$9)</f>
        <v>32.331000000000003</v>
      </c>
      <c r="G599" s="14">
        <f>CHOOSE(CONTROL!$C$42, 32.3484, 32.3484)*CHOOSE(CONTROL!$C$21, $C$9, 100%, $E$9)</f>
        <v>32.348399999999998</v>
      </c>
      <c r="H599" s="14">
        <f>CHOOSE(CONTROL!$C$42, 32.4148, 32.4148) * CHOOSE(CONTROL!$C$21, $C$9, 100%, $E$9)</f>
        <v>32.4148</v>
      </c>
      <c r="I599" s="14">
        <f>CHOOSE(CONTROL!$C$42, 32.4242, 32.4242)* CHOOSE(CONTROL!$C$21, $C$9, 100%, $E$9)</f>
        <v>32.424199999999999</v>
      </c>
      <c r="J599" s="14">
        <f>CHOOSE(CONTROL!$C$42, 32.324, 32.324)* CHOOSE(CONTROL!$C$21, $C$9, 100%, $E$9)</f>
        <v>32.323999999999998</v>
      </c>
      <c r="K599" s="52">
        <f>CHOOSE(CONTROL!$C$42, 32.4203, 32.4203) * CHOOSE(CONTROL!$C$21, $C$9, 100%, $E$9)</f>
        <v>32.420299999999997</v>
      </c>
      <c r="L599" s="14">
        <f>CHOOSE(CONTROL!$C$42, 33.0018, 33.0018) * CHOOSE(CONTROL!$C$21, $C$9, 100%, $E$9)</f>
        <v>33.001800000000003</v>
      </c>
      <c r="M599" s="14">
        <f>CHOOSE(CONTROL!$C$42, 31.7503, 31.7503) * CHOOSE(CONTROL!$C$21, $C$9, 100%, $E$9)</f>
        <v>31.750299999999999</v>
      </c>
      <c r="N599" s="14">
        <f>CHOOSE(CONTROL!$C$42, 31.7673, 31.7673) * CHOOSE(CONTROL!$C$21, $C$9, 100%, $E$9)</f>
        <v>31.767299999999999</v>
      </c>
      <c r="O599" s="14">
        <f>CHOOSE(CONTROL!$C$42, 31.8395, 31.8395) * CHOOSE(CONTROL!$C$21, $C$9, 100%, $E$9)</f>
        <v>31.839500000000001</v>
      </c>
      <c r="P599" s="14">
        <f>CHOOSE(CONTROL!$C$42, 31.8469, 31.8469) * CHOOSE(CONTROL!$C$21, $C$9, 100%, $E$9)</f>
        <v>31.846900000000002</v>
      </c>
      <c r="Q599" s="14">
        <f>CHOOSE(CONTROL!$C$42, 32.4342, 32.4342) * CHOOSE(CONTROL!$C$21, $C$9, 100%, $E$9)</f>
        <v>32.434199999999997</v>
      </c>
      <c r="R599" s="14">
        <f>CHOOSE(CONTROL!$C$42, 33.1022, 33.1022) * CHOOSE(CONTROL!$C$21, $C$9, 100%, $E$9)</f>
        <v>33.102200000000003</v>
      </c>
      <c r="S599" s="14">
        <f>CHOOSE(CONTROL!$C$42, 31.0318, 31.0318) * CHOOSE(CONTROL!$C$21, $C$9, 100%, $E$9)</f>
        <v>31.0318</v>
      </c>
      <c r="T59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9" s="56">
        <f>(1000*CHOOSE(CONTROL!$C$42, 695, 695)*CHOOSE(CONTROL!$C$42, 0.5599, 0.5599)*CHOOSE(CONTROL!$C$42, 30, 30))/1000000</f>
        <v>11.673914999999997</v>
      </c>
      <c r="V599" s="56">
        <f>(1000*CHOOSE(CONTROL!$C$42, 500, 500)*CHOOSE(CONTROL!$C$42, 0.275, 0.275)*CHOOSE(CONTROL!$C$42, 30, 30))/1000000</f>
        <v>4.125</v>
      </c>
      <c r="W599" s="56">
        <f>(1000*CHOOSE(CONTROL!$C$42, 0.1146, 0.1146)*CHOOSE(CONTROL!$C$42, 121.5, 121.5)*CHOOSE(CONTROL!$C$42, 30, 30))/1000000</f>
        <v>0.417717</v>
      </c>
      <c r="X599" s="56">
        <f>(30*0.1790888*100000/1000000)+(30*0.2374*100000/1000000)</f>
        <v>1.2494664</v>
      </c>
      <c r="Y599" s="56"/>
      <c r="Z599" s="14"/>
      <c r="AA599" s="55"/>
      <c r="AB599" s="49">
        <f>(B599*122.58+C599*297.941+D599*89.177+E599*40.302+F599*40+G599*160+H599*0+I599*100+J599*300)/(122.58+297.941+89.177+40.302+0+40+160+100+300)</f>
        <v>32.338908785304348</v>
      </c>
      <c r="AC599" s="45">
        <f>(M599*'RAP TEMPLATE-GAS AVAILABILITY'!O598+N599*'RAP TEMPLATE-GAS AVAILABILITY'!P598+O599*'RAP TEMPLATE-GAS AVAILABILITY'!Q598+P599*'RAP TEMPLATE-GAS AVAILABILITY'!R598)/('RAP TEMPLATE-GAS AVAILABILITY'!O598+'RAP TEMPLATE-GAS AVAILABILITY'!P598+'RAP TEMPLATE-GAS AVAILABILITY'!Q598+'RAP TEMPLATE-GAS AVAILABILITY'!R598)</f>
        <v>31.805606474820141</v>
      </c>
    </row>
    <row r="600" spans="1:29" ht="15.75" x14ac:dyDescent="0.25">
      <c r="A600" s="32">
        <v>59171</v>
      </c>
      <c r="B600" s="14">
        <f>CHOOSE(CONTROL!$C$42, 34.5051, 34.5051) * CHOOSE(CONTROL!$C$21, $C$9, 100%, $E$9)</f>
        <v>34.505099999999999</v>
      </c>
      <c r="C600" s="14">
        <f>CHOOSE(CONTROL!$C$42, 34.5102, 34.5102) * CHOOSE(CONTROL!$C$21, $C$9, 100%, $E$9)</f>
        <v>34.510199999999998</v>
      </c>
      <c r="D600" s="14">
        <f>CHOOSE(CONTROL!$C$42, 34.5933, 34.5933) * CHOOSE(CONTROL!$C$21, $C$9, 100%, $E$9)</f>
        <v>34.593299999999999</v>
      </c>
      <c r="E600" s="14">
        <f>CHOOSE(CONTROL!$C$42, 34.6274, 34.6274) * CHOOSE(CONTROL!$C$21, $C$9, 100%, $E$9)</f>
        <v>34.627400000000002</v>
      </c>
      <c r="F600" s="14">
        <f>CHOOSE(CONTROL!$C$42, 34.5352, 34.5352)*CHOOSE(CONTROL!$C$21, $C$9, 100%, $E$9)</f>
        <v>34.535200000000003</v>
      </c>
      <c r="G600" s="14">
        <f>CHOOSE(CONTROL!$C$42, 34.5532, 34.5532)*CHOOSE(CONTROL!$C$21, $C$9, 100%, $E$9)</f>
        <v>34.553199999999997</v>
      </c>
      <c r="H600" s="14">
        <f>CHOOSE(CONTROL!$C$42, 34.6166, 34.6166) * CHOOSE(CONTROL!$C$21, $C$9, 100%, $E$9)</f>
        <v>34.616599999999998</v>
      </c>
      <c r="I600" s="14">
        <f>CHOOSE(CONTROL!$C$42, 34.6328, 34.6328)* CHOOSE(CONTROL!$C$21, $C$9, 100%, $E$9)</f>
        <v>34.632800000000003</v>
      </c>
      <c r="J600" s="14">
        <f>CHOOSE(CONTROL!$C$42, 34.5282, 34.5282)* CHOOSE(CONTROL!$C$21, $C$9, 100%, $E$9)</f>
        <v>34.528199999999998</v>
      </c>
      <c r="K600" s="52">
        <f>CHOOSE(CONTROL!$C$42, 34.629, 34.629) * CHOOSE(CONTROL!$C$21, $C$9, 100%, $E$9)</f>
        <v>34.628999999999998</v>
      </c>
      <c r="L600" s="14">
        <f>CHOOSE(CONTROL!$C$42, 35.2036, 35.2036) * CHOOSE(CONTROL!$C$21, $C$9, 100%, $E$9)</f>
        <v>35.203600000000002</v>
      </c>
      <c r="M600" s="14">
        <f>CHOOSE(CONTROL!$C$42, 33.9149, 33.9149) * CHOOSE(CONTROL!$C$21, $C$9, 100%, $E$9)</f>
        <v>33.914900000000003</v>
      </c>
      <c r="N600" s="14">
        <f>CHOOSE(CONTROL!$C$42, 33.9325, 33.9325) * CHOOSE(CONTROL!$C$21, $C$9, 100%, $E$9)</f>
        <v>33.932499999999997</v>
      </c>
      <c r="O600" s="14">
        <f>CHOOSE(CONTROL!$C$42, 34.0016, 34.0016) * CHOOSE(CONTROL!$C$21, $C$9, 100%, $E$9)</f>
        <v>34.001600000000003</v>
      </c>
      <c r="P600" s="14">
        <f>CHOOSE(CONTROL!$C$42, 34.0158, 34.0158) * CHOOSE(CONTROL!$C$21, $C$9, 100%, $E$9)</f>
        <v>34.015799999999999</v>
      </c>
      <c r="Q600" s="14">
        <f>CHOOSE(CONTROL!$C$42, 34.5963, 34.5963) * CHOOSE(CONTROL!$C$21, $C$9, 100%, $E$9)</f>
        <v>34.596299999999999</v>
      </c>
      <c r="R600" s="14">
        <f>CHOOSE(CONTROL!$C$42, 35.2698, 35.2698) * CHOOSE(CONTROL!$C$21, $C$9, 100%, $E$9)</f>
        <v>35.269799999999996</v>
      </c>
      <c r="S600" s="14">
        <f>CHOOSE(CONTROL!$C$42, 33.1475, 33.1475) * CHOOSE(CONTROL!$C$21, $C$9, 100%, $E$9)</f>
        <v>33.147500000000001</v>
      </c>
      <c r="T60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0" s="56">
        <f>(1000*CHOOSE(CONTROL!$C$42, 695, 695)*CHOOSE(CONTROL!$C$42, 0.5599, 0.5599)*CHOOSE(CONTROL!$C$42, 31, 31))/1000000</f>
        <v>12.063045499999998</v>
      </c>
      <c r="V600" s="56">
        <f>(1000*CHOOSE(CONTROL!$C$42, 500, 500)*CHOOSE(CONTROL!$C$42, 0.275, 0.275)*CHOOSE(CONTROL!$C$42, 31, 31))/1000000</f>
        <v>4.2625000000000002</v>
      </c>
      <c r="W600" s="56">
        <f>(1000*CHOOSE(CONTROL!$C$42, 0.1146, 0.1146)*CHOOSE(CONTROL!$C$42, 121.5, 121.5)*CHOOSE(CONTROL!$C$42, 31, 31))/1000000</f>
        <v>0.43164089999999994</v>
      </c>
      <c r="X600" s="56">
        <f>(31*0.1790888*100000/1000000)+(31*0.2374*100000/1000000)</f>
        <v>1.2911152800000001</v>
      </c>
      <c r="Y600" s="56"/>
      <c r="Z600" s="14"/>
      <c r="AA600" s="55"/>
      <c r="AB600" s="49">
        <f>(B600*122.58+C600*297.941+D600*89.177+E600*40.302+F600*40+G600*160+H600*0+I600*100+J600*300)/(122.58+297.941+89.177+40.302+0+40+160+100+300)</f>
        <v>34.542416387043474</v>
      </c>
      <c r="AC600" s="45">
        <f>(M600*'RAP TEMPLATE-GAS AVAILABILITY'!O599+N600*'RAP TEMPLATE-GAS AVAILABILITY'!P599+O600*'RAP TEMPLATE-GAS AVAILABILITY'!Q599+P600*'RAP TEMPLATE-GAS AVAILABILITY'!R599)/('RAP TEMPLATE-GAS AVAILABILITY'!O599+'RAP TEMPLATE-GAS AVAILABILITY'!P599+'RAP TEMPLATE-GAS AVAILABILITY'!Q599+'RAP TEMPLATE-GAS AVAILABILITY'!R599)</f>
        <v>33.969726618705032</v>
      </c>
    </row>
    <row r="601" spans="1:29" ht="15.75" x14ac:dyDescent="0.25">
      <c r="A601" s="32">
        <v>59202</v>
      </c>
      <c r="B601" s="14">
        <f>CHOOSE(CONTROL!$C$42, 37.3649, 37.3649) * CHOOSE(CONTROL!$C$21, $C$9, 100%, $E$9)</f>
        <v>37.364899999999999</v>
      </c>
      <c r="C601" s="14">
        <f>CHOOSE(CONTROL!$C$42, 37.3699, 37.3699) * CHOOSE(CONTROL!$C$21, $C$9, 100%, $E$9)</f>
        <v>37.369900000000001</v>
      </c>
      <c r="D601" s="14">
        <f>CHOOSE(CONTROL!$C$42, 37.4634, 37.4634) * CHOOSE(CONTROL!$C$21, $C$9, 100%, $E$9)</f>
        <v>37.4634</v>
      </c>
      <c r="E601" s="14">
        <f>CHOOSE(CONTROL!$C$42, 37.4975, 37.4975) * CHOOSE(CONTROL!$C$21, $C$9, 100%, $E$9)</f>
        <v>37.497500000000002</v>
      </c>
      <c r="F601" s="14">
        <f>CHOOSE(CONTROL!$C$42, 37.3922, 37.3922)*CHOOSE(CONTROL!$C$21, $C$9, 100%, $E$9)</f>
        <v>37.392200000000003</v>
      </c>
      <c r="G601" s="14">
        <f>CHOOSE(CONTROL!$C$42, 37.4101, 37.4101)*CHOOSE(CONTROL!$C$21, $C$9, 100%, $E$9)</f>
        <v>37.4101</v>
      </c>
      <c r="H601" s="14">
        <f>CHOOSE(CONTROL!$C$42, 37.4867, 37.4867) * CHOOSE(CONTROL!$C$21, $C$9, 100%, $E$9)</f>
        <v>37.486699999999999</v>
      </c>
      <c r="I601" s="14">
        <f>CHOOSE(CONTROL!$C$42, 37.5078, 37.5078)* CHOOSE(CONTROL!$C$21, $C$9, 100%, $E$9)</f>
        <v>37.507800000000003</v>
      </c>
      <c r="J601" s="14">
        <f>CHOOSE(CONTROL!$C$42, 37.3852, 37.3852)* CHOOSE(CONTROL!$C$21, $C$9, 100%, $E$9)</f>
        <v>37.385199999999998</v>
      </c>
      <c r="K601" s="52">
        <f>CHOOSE(CONTROL!$C$42, 37.5039, 37.5039) * CHOOSE(CONTROL!$C$21, $C$9, 100%, $E$9)</f>
        <v>37.503900000000002</v>
      </c>
      <c r="L601" s="14">
        <f>CHOOSE(CONTROL!$C$42, 38.0737, 38.0737) * CHOOSE(CONTROL!$C$21, $C$9, 100%, $E$9)</f>
        <v>38.073700000000002</v>
      </c>
      <c r="M601" s="14">
        <f>CHOOSE(CONTROL!$C$42, 36.7204, 36.7204) * CHOOSE(CONTROL!$C$21, $C$9, 100%, $E$9)</f>
        <v>36.720399999999998</v>
      </c>
      <c r="N601" s="14">
        <f>CHOOSE(CONTROL!$C$42, 36.7381, 36.7381) * CHOOSE(CONTROL!$C$21, $C$9, 100%, $E$9)</f>
        <v>36.738100000000003</v>
      </c>
      <c r="O601" s="14">
        <f>CHOOSE(CONTROL!$C$42, 36.8201, 36.8201) * CHOOSE(CONTROL!$C$21, $C$9, 100%, $E$9)</f>
        <v>36.820099999999996</v>
      </c>
      <c r="P601" s="14">
        <f>CHOOSE(CONTROL!$C$42, 36.8388, 36.8388) * CHOOSE(CONTROL!$C$21, $C$9, 100%, $E$9)</f>
        <v>36.838799999999999</v>
      </c>
      <c r="Q601" s="14">
        <f>CHOOSE(CONTROL!$C$42, 37.4148, 37.4148) * CHOOSE(CONTROL!$C$21, $C$9, 100%, $E$9)</f>
        <v>37.4148</v>
      </c>
      <c r="R601" s="14">
        <f>CHOOSE(CONTROL!$C$42, 38.0954, 38.0954) * CHOOSE(CONTROL!$C$21, $C$9, 100%, $E$9)</f>
        <v>38.095399999999998</v>
      </c>
      <c r="S601" s="14">
        <f>CHOOSE(CONTROL!$C$42, 35.8953, 35.8953) * CHOOSE(CONTROL!$C$21, $C$9, 100%, $E$9)</f>
        <v>35.895299999999999</v>
      </c>
      <c r="T60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01" s="56">
        <f>(1000*CHOOSE(CONTROL!$C$42, 695, 695)*CHOOSE(CONTROL!$C$42, 0.5599, 0.5599)*CHOOSE(CONTROL!$C$42, 31, 31))/1000000</f>
        <v>12.063045499999998</v>
      </c>
      <c r="V601" s="56">
        <f>(1000*CHOOSE(CONTROL!$C$42, 500, 500)*CHOOSE(CONTROL!$C$42, 0.275, 0.275)*CHOOSE(CONTROL!$C$42, 31, 31))/1000000</f>
        <v>4.2625000000000002</v>
      </c>
      <c r="W601" s="56">
        <f>(1000*CHOOSE(CONTROL!$C$42, 0.1146, 0.1146)*CHOOSE(CONTROL!$C$42, 121.5, 121.5)*CHOOSE(CONTROL!$C$42, 31, 31))/1000000</f>
        <v>0.43164089999999994</v>
      </c>
      <c r="X601" s="56">
        <f>(31*0.1790888*100000/1000000)+(31*0.2374*100000/1000000)</f>
        <v>1.2911152800000001</v>
      </c>
      <c r="Y601" s="56"/>
      <c r="Z601" s="14"/>
      <c r="AA601" s="55"/>
      <c r="AB601" s="49">
        <f>(B601*122.58+C601*297.941+D601*89.177+E601*40.302+F601*40+G601*160+H601*0+I601*100+J601*300)/(122.58+297.941+89.177+40.302+0+40+160+100+300)</f>
        <v>37.403440595391309</v>
      </c>
      <c r="AC601" s="45">
        <f>(M601*'RAP TEMPLATE-GAS AVAILABILITY'!O600+N601*'RAP TEMPLATE-GAS AVAILABILITY'!P600+O601*'RAP TEMPLATE-GAS AVAILABILITY'!Q600+P601*'RAP TEMPLATE-GAS AVAILABILITY'!R600)/('RAP TEMPLATE-GAS AVAILABILITY'!O600+'RAP TEMPLATE-GAS AVAILABILITY'!P600+'RAP TEMPLATE-GAS AVAILABILITY'!Q600+'RAP TEMPLATE-GAS AVAILABILITY'!R600)</f>
        <v>36.783642446043167</v>
      </c>
    </row>
    <row r="602" spans="1:29" ht="15.75" x14ac:dyDescent="0.25">
      <c r="A602" s="32">
        <v>59230</v>
      </c>
      <c r="B602" s="14">
        <f>CHOOSE(CONTROL!$C$42, 38.0298, 38.0298) * CHOOSE(CONTROL!$C$21, $C$9, 100%, $E$9)</f>
        <v>38.029800000000002</v>
      </c>
      <c r="C602" s="14">
        <f>CHOOSE(CONTROL!$C$42, 38.0349, 38.0349) * CHOOSE(CONTROL!$C$21, $C$9, 100%, $E$9)</f>
        <v>38.0349</v>
      </c>
      <c r="D602" s="14">
        <f>CHOOSE(CONTROL!$C$42, 38.1284, 38.1284) * CHOOSE(CONTROL!$C$21, $C$9, 100%, $E$9)</f>
        <v>38.128399999999999</v>
      </c>
      <c r="E602" s="14">
        <f>CHOOSE(CONTROL!$C$42, 38.1625, 38.1625) * CHOOSE(CONTROL!$C$21, $C$9, 100%, $E$9)</f>
        <v>38.162500000000001</v>
      </c>
      <c r="F602" s="14">
        <f>CHOOSE(CONTROL!$C$42, 38.0568, 38.0568)*CHOOSE(CONTROL!$C$21, $C$9, 100%, $E$9)</f>
        <v>38.056800000000003</v>
      </c>
      <c r="G602" s="14">
        <f>CHOOSE(CONTROL!$C$42, 38.0746, 38.0746)*CHOOSE(CONTROL!$C$21, $C$9, 100%, $E$9)</f>
        <v>38.074599999999997</v>
      </c>
      <c r="H602" s="14">
        <f>CHOOSE(CONTROL!$C$42, 38.1517, 38.1517) * CHOOSE(CONTROL!$C$21, $C$9, 100%, $E$9)</f>
        <v>38.151699999999998</v>
      </c>
      <c r="I602" s="14">
        <f>CHOOSE(CONTROL!$C$42, 38.1748, 38.1748)* CHOOSE(CONTROL!$C$21, $C$9, 100%, $E$9)</f>
        <v>38.174799999999998</v>
      </c>
      <c r="J602" s="14">
        <f>CHOOSE(CONTROL!$C$42, 38.0498, 38.0498)* CHOOSE(CONTROL!$C$21, $C$9, 100%, $E$9)</f>
        <v>38.049799999999998</v>
      </c>
      <c r="K602" s="52">
        <f>CHOOSE(CONTROL!$C$42, 38.1709, 38.1709) * CHOOSE(CONTROL!$C$21, $C$9, 100%, $E$9)</f>
        <v>38.170900000000003</v>
      </c>
      <c r="L602" s="14">
        <f>CHOOSE(CONTROL!$C$42, 38.7387, 38.7387) * CHOOSE(CONTROL!$C$21, $C$9, 100%, $E$9)</f>
        <v>38.738700000000001</v>
      </c>
      <c r="M602" s="14">
        <f>CHOOSE(CONTROL!$C$42, 37.3731, 37.3731) * CHOOSE(CONTROL!$C$21, $C$9, 100%, $E$9)</f>
        <v>37.373100000000001</v>
      </c>
      <c r="N602" s="14">
        <f>CHOOSE(CONTROL!$C$42, 37.3906, 37.3906) * CHOOSE(CONTROL!$C$21, $C$9, 100%, $E$9)</f>
        <v>37.390599999999999</v>
      </c>
      <c r="O602" s="14">
        <f>CHOOSE(CONTROL!$C$42, 37.4731, 37.4731) * CHOOSE(CONTROL!$C$21, $C$9, 100%, $E$9)</f>
        <v>37.473100000000002</v>
      </c>
      <c r="P602" s="14">
        <f>CHOOSE(CONTROL!$C$42, 37.4938, 37.4938) * CHOOSE(CONTROL!$C$21, $C$9, 100%, $E$9)</f>
        <v>37.4938</v>
      </c>
      <c r="Q602" s="14">
        <f>CHOOSE(CONTROL!$C$42, 38.0678, 38.0678) * CHOOSE(CONTROL!$C$21, $C$9, 100%, $E$9)</f>
        <v>38.067799999999998</v>
      </c>
      <c r="R602" s="14">
        <f>CHOOSE(CONTROL!$C$42, 38.75, 38.75) * CHOOSE(CONTROL!$C$21, $C$9, 100%, $E$9)</f>
        <v>38.75</v>
      </c>
      <c r="S602" s="14">
        <f>CHOOSE(CONTROL!$C$42, 36.5343, 36.5343) * CHOOSE(CONTROL!$C$21, $C$9, 100%, $E$9)</f>
        <v>36.534300000000002</v>
      </c>
      <c r="T60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02" s="56">
        <f>(1000*CHOOSE(CONTROL!$C$42, 695, 695)*CHOOSE(CONTROL!$C$42, 0.5599, 0.5599)*CHOOSE(CONTROL!$C$42, 28, 28))/1000000</f>
        <v>10.895653999999999</v>
      </c>
      <c r="V602" s="56">
        <f>(1000*CHOOSE(CONTROL!$C$42, 500, 500)*CHOOSE(CONTROL!$C$42, 0.275, 0.275)*CHOOSE(CONTROL!$C$42, 28, 28))/1000000</f>
        <v>3.85</v>
      </c>
      <c r="W602" s="56">
        <f>(1000*CHOOSE(CONTROL!$C$42, 0.1146, 0.1146)*CHOOSE(CONTROL!$C$42, 121.5, 121.5)*CHOOSE(CONTROL!$C$42, 28, 28))/1000000</f>
        <v>0.38986920000000003</v>
      </c>
      <c r="X602" s="56">
        <f>(28*0.1790888*100000/1000000)+(28*0.2374*100000/1000000)</f>
        <v>1.16616864</v>
      </c>
      <c r="Y602" s="56"/>
      <c r="Z602" s="14"/>
      <c r="AA602" s="55"/>
      <c r="AB602" s="49">
        <f>(B602*122.58+C602*297.941+D602*89.177+E602*40.302+F602*40+G602*160+H602*0+I602*100+J602*300)/(122.58+297.941+89.177+40.302+0+40+160+100+300)</f>
        <v>38.068416023217388</v>
      </c>
      <c r="AC602" s="45">
        <f>(M602*'RAP TEMPLATE-GAS AVAILABILITY'!O601+N602*'RAP TEMPLATE-GAS AVAILABILITY'!P601+O602*'RAP TEMPLATE-GAS AVAILABILITY'!Q601+P602*'RAP TEMPLATE-GAS AVAILABILITY'!R601)/('RAP TEMPLATE-GAS AVAILABILITY'!O601+'RAP TEMPLATE-GAS AVAILABILITY'!P601+'RAP TEMPLATE-GAS AVAILABILITY'!Q601+'RAP TEMPLATE-GAS AVAILABILITY'!R601)</f>
        <v>37.436797841726616</v>
      </c>
    </row>
    <row r="603" spans="1:29" ht="15.75" x14ac:dyDescent="0.25">
      <c r="A603" s="32">
        <v>59261</v>
      </c>
      <c r="B603" s="14">
        <f>CHOOSE(CONTROL!$C$42, 36.9504, 36.9504) * CHOOSE(CONTROL!$C$21, $C$9, 100%, $E$9)</f>
        <v>36.950400000000002</v>
      </c>
      <c r="C603" s="14">
        <f>CHOOSE(CONTROL!$C$42, 36.9555, 36.9555) * CHOOSE(CONTROL!$C$21, $C$9, 100%, $E$9)</f>
        <v>36.955500000000001</v>
      </c>
      <c r="D603" s="14">
        <f>CHOOSE(CONTROL!$C$42, 37.0489, 37.0489) * CHOOSE(CONTROL!$C$21, $C$9, 100%, $E$9)</f>
        <v>37.048900000000003</v>
      </c>
      <c r="E603" s="14">
        <f>CHOOSE(CONTROL!$C$42, 37.0831, 37.0831) * CHOOSE(CONTROL!$C$21, $C$9, 100%, $E$9)</f>
        <v>37.083100000000002</v>
      </c>
      <c r="F603" s="14">
        <f>CHOOSE(CONTROL!$C$42, 36.9765, 36.9765)*CHOOSE(CONTROL!$C$21, $C$9, 100%, $E$9)</f>
        <v>36.976500000000001</v>
      </c>
      <c r="G603" s="14">
        <f>CHOOSE(CONTROL!$C$42, 36.9941, 36.9941)*CHOOSE(CONTROL!$C$21, $C$9, 100%, $E$9)</f>
        <v>36.994100000000003</v>
      </c>
      <c r="H603" s="14">
        <f>CHOOSE(CONTROL!$C$42, 37.0722, 37.0722) * CHOOSE(CONTROL!$C$21, $C$9, 100%, $E$9)</f>
        <v>37.072200000000002</v>
      </c>
      <c r="I603" s="14">
        <f>CHOOSE(CONTROL!$C$42, 37.092, 37.092)* CHOOSE(CONTROL!$C$21, $C$9, 100%, $E$9)</f>
        <v>37.091999999999999</v>
      </c>
      <c r="J603" s="14">
        <f>CHOOSE(CONTROL!$C$42, 36.9695, 36.9695)* CHOOSE(CONTROL!$C$21, $C$9, 100%, $E$9)</f>
        <v>36.969499999999996</v>
      </c>
      <c r="K603" s="52">
        <f>CHOOSE(CONTROL!$C$42, 37.0881, 37.0881) * CHOOSE(CONTROL!$C$21, $C$9, 100%, $E$9)</f>
        <v>37.088099999999997</v>
      </c>
      <c r="L603" s="14">
        <f>CHOOSE(CONTROL!$C$42, 37.6592, 37.6592) * CHOOSE(CONTROL!$C$21, $C$9, 100%, $E$9)</f>
        <v>37.659199999999998</v>
      </c>
      <c r="M603" s="14">
        <f>CHOOSE(CONTROL!$C$42, 36.3122, 36.3122) * CHOOSE(CONTROL!$C$21, $C$9, 100%, $E$9)</f>
        <v>36.312199999999997</v>
      </c>
      <c r="N603" s="14">
        <f>CHOOSE(CONTROL!$C$42, 36.3295, 36.3295) * CHOOSE(CONTROL!$C$21, $C$9, 100%, $E$9)</f>
        <v>36.329500000000003</v>
      </c>
      <c r="O603" s="14">
        <f>CHOOSE(CONTROL!$C$42, 36.4131, 36.4131) * CHOOSE(CONTROL!$C$21, $C$9, 100%, $E$9)</f>
        <v>36.4131</v>
      </c>
      <c r="P603" s="14">
        <f>CHOOSE(CONTROL!$C$42, 36.4306, 36.4306) * CHOOSE(CONTROL!$C$21, $C$9, 100%, $E$9)</f>
        <v>36.430599999999998</v>
      </c>
      <c r="Q603" s="14">
        <f>CHOOSE(CONTROL!$C$42, 37.0078, 37.0078) * CHOOSE(CONTROL!$C$21, $C$9, 100%, $E$9)</f>
        <v>37.007800000000003</v>
      </c>
      <c r="R603" s="14">
        <f>CHOOSE(CONTROL!$C$42, 37.6874, 37.6874) * CHOOSE(CONTROL!$C$21, $C$9, 100%, $E$9)</f>
        <v>37.687399999999997</v>
      </c>
      <c r="S603" s="14">
        <f>CHOOSE(CONTROL!$C$42, 35.4971, 35.4971) * CHOOSE(CONTROL!$C$21, $C$9, 100%, $E$9)</f>
        <v>35.497100000000003</v>
      </c>
      <c r="T60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03" s="56">
        <f>(1000*CHOOSE(CONTROL!$C$42, 695, 695)*CHOOSE(CONTROL!$C$42, 0.5599, 0.5599)*CHOOSE(CONTROL!$C$42, 31, 31))/1000000</f>
        <v>12.063045499999998</v>
      </c>
      <c r="V603" s="56">
        <f>(1000*CHOOSE(CONTROL!$C$42, 500, 500)*CHOOSE(CONTROL!$C$42, 0.275, 0.275)*CHOOSE(CONTROL!$C$42, 31, 31))/1000000</f>
        <v>4.2625000000000002</v>
      </c>
      <c r="W603" s="56">
        <f>(1000*CHOOSE(CONTROL!$C$42, 0.1146, 0.1146)*CHOOSE(CONTROL!$C$42, 121.5, 121.5)*CHOOSE(CONTROL!$C$42, 31, 31))/1000000</f>
        <v>0.43164089999999994</v>
      </c>
      <c r="X603" s="56">
        <f>(31*0.1790888*100000/1000000)+(31*0.2374*100000/1000000)</f>
        <v>1.2911152800000001</v>
      </c>
      <c r="Y603" s="56"/>
      <c r="Z603" s="14"/>
      <c r="AA603" s="55"/>
      <c r="AB603" s="49">
        <f>(B603*122.58+C603*297.941+D603*89.177+E603*40.302+F603*40+G603*160+H603*0+I603*100+J603*300)/(122.58+297.941+89.177+40.302+0+40+160+100+300)</f>
        <v>36.98829348608696</v>
      </c>
      <c r="AC603" s="45">
        <f>(M603*'RAP TEMPLATE-GAS AVAILABILITY'!O602+N603*'RAP TEMPLATE-GAS AVAILABILITY'!P602+O603*'RAP TEMPLATE-GAS AVAILABILITY'!Q602+P603*'RAP TEMPLATE-GAS AVAILABILITY'!R602)/('RAP TEMPLATE-GAS AVAILABILITY'!O602+'RAP TEMPLATE-GAS AVAILABILITY'!P602+'RAP TEMPLATE-GAS AVAILABILITY'!Q602+'RAP TEMPLATE-GAS AVAILABILITY'!R602)</f>
        <v>36.375963309352521</v>
      </c>
    </row>
    <row r="604" spans="1:29" ht="15.75" x14ac:dyDescent="0.25">
      <c r="A604" s="32">
        <v>59291</v>
      </c>
      <c r="B604" s="14">
        <f>CHOOSE(CONTROL!$C$42, 36.8408, 36.8408) * CHOOSE(CONTROL!$C$21, $C$9, 100%, $E$9)</f>
        <v>36.840800000000002</v>
      </c>
      <c r="C604" s="14">
        <f>CHOOSE(CONTROL!$C$42, 36.8453, 36.8453) * CHOOSE(CONTROL!$C$21, $C$9, 100%, $E$9)</f>
        <v>36.845300000000002</v>
      </c>
      <c r="D604" s="14">
        <f>CHOOSE(CONTROL!$C$42, 37.1075, 37.1075) * CHOOSE(CONTROL!$C$21, $C$9, 100%, $E$9)</f>
        <v>37.107500000000002</v>
      </c>
      <c r="E604" s="14">
        <f>CHOOSE(CONTROL!$C$42, 37.1396, 37.1396) * CHOOSE(CONTROL!$C$21, $C$9, 100%, $E$9)</f>
        <v>37.139600000000002</v>
      </c>
      <c r="F604" s="14">
        <f>CHOOSE(CONTROL!$C$42, 36.8636, 36.8636)*CHOOSE(CONTROL!$C$21, $C$9, 100%, $E$9)</f>
        <v>36.863599999999998</v>
      </c>
      <c r="G604" s="14">
        <f>CHOOSE(CONTROL!$C$42, 36.8804, 36.8804)*CHOOSE(CONTROL!$C$21, $C$9, 100%, $E$9)</f>
        <v>36.880400000000002</v>
      </c>
      <c r="H604" s="14">
        <f>CHOOSE(CONTROL!$C$42, 37.1294, 37.1294) * CHOOSE(CONTROL!$C$21, $C$9, 100%, $E$9)</f>
        <v>37.129399999999997</v>
      </c>
      <c r="I604" s="14">
        <f>CHOOSE(CONTROL!$C$42, 36.9787, 36.9787)* CHOOSE(CONTROL!$C$21, $C$9, 100%, $E$9)</f>
        <v>36.978700000000003</v>
      </c>
      <c r="J604" s="14">
        <f>CHOOSE(CONTROL!$C$42, 36.8566, 36.8566)* CHOOSE(CONTROL!$C$21, $C$9, 100%, $E$9)</f>
        <v>36.8566</v>
      </c>
      <c r="K604" s="52">
        <f>CHOOSE(CONTROL!$C$42, 36.9748, 36.9748) * CHOOSE(CONTROL!$C$21, $C$9, 100%, $E$9)</f>
        <v>36.974800000000002</v>
      </c>
      <c r="L604" s="14">
        <f>CHOOSE(CONTROL!$C$42, 37.7164, 37.7164) * CHOOSE(CONTROL!$C$21, $C$9, 100%, $E$9)</f>
        <v>37.7164</v>
      </c>
      <c r="M604" s="14">
        <f>CHOOSE(CONTROL!$C$42, 36.2014, 36.2014) * CHOOSE(CONTROL!$C$21, $C$9, 100%, $E$9)</f>
        <v>36.2014</v>
      </c>
      <c r="N604" s="14">
        <f>CHOOSE(CONTROL!$C$42, 36.2178, 36.2178) * CHOOSE(CONTROL!$C$21, $C$9, 100%, $E$9)</f>
        <v>36.217799999999997</v>
      </c>
      <c r="O604" s="14">
        <f>CHOOSE(CONTROL!$C$42, 36.4693, 36.4693) * CHOOSE(CONTROL!$C$21, $C$9, 100%, $E$9)</f>
        <v>36.469299999999997</v>
      </c>
      <c r="P604" s="14">
        <f>CHOOSE(CONTROL!$C$42, 36.3193, 36.3193) * CHOOSE(CONTROL!$C$21, $C$9, 100%, $E$9)</f>
        <v>36.319299999999998</v>
      </c>
      <c r="Q604" s="14">
        <f>CHOOSE(CONTROL!$C$42, 37.064, 37.064) * CHOOSE(CONTROL!$C$21, $C$9, 100%, $E$9)</f>
        <v>37.064</v>
      </c>
      <c r="R604" s="14">
        <f>CHOOSE(CONTROL!$C$42, 37.7436, 37.7436) * CHOOSE(CONTROL!$C$21, $C$9, 100%, $E$9)</f>
        <v>37.743600000000001</v>
      </c>
      <c r="S604" s="14">
        <f>CHOOSE(CONTROL!$C$42, 35.391, 35.391) * CHOOSE(CONTROL!$C$21, $C$9, 100%, $E$9)</f>
        <v>35.390999999999998</v>
      </c>
      <c r="T60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04" s="56">
        <f>(1000*CHOOSE(CONTROL!$C$42, 695, 695)*CHOOSE(CONTROL!$C$42, 0.5599, 0.5599)*CHOOSE(CONTROL!$C$42, 30, 30))/1000000</f>
        <v>11.673914999999997</v>
      </c>
      <c r="V604" s="56">
        <f>(1000*CHOOSE(CONTROL!$C$42, 500, 500)*CHOOSE(CONTROL!$C$42, 0.275, 0.275)*CHOOSE(CONTROL!$C$42, 30, 30))/1000000</f>
        <v>4.125</v>
      </c>
      <c r="W604" s="56">
        <f>(1000*CHOOSE(CONTROL!$C$42, 0.1146, 0.1146)*CHOOSE(CONTROL!$C$42, 121.5, 121.5)*CHOOSE(CONTROL!$C$42, 30, 30))/1000000</f>
        <v>0.417717</v>
      </c>
      <c r="X604" s="56">
        <f>(30*0.1790888*245000/1000000)+(30*0.2374*100000/1000000)</f>
        <v>2.0285026799999999</v>
      </c>
      <c r="Y604" s="56"/>
      <c r="Z604" s="14"/>
      <c r="AA604" s="55"/>
      <c r="AB604" s="49">
        <f>(B604*141.293+C604*267.993+D604*115.016+E604*89.698+F604*40+G604*185+H604*0+I604*100+J604*300)/(141.293+267.993+115.016+89.698+0+40+185+100+300)</f>
        <v>36.909767310815177</v>
      </c>
      <c r="AC604" s="45">
        <f>(M604*'RAP TEMPLATE-GAS AVAILABILITY'!O603+N604*'RAP TEMPLATE-GAS AVAILABILITY'!P603+O604*'RAP TEMPLATE-GAS AVAILABILITY'!Q603+P604*'RAP TEMPLATE-GAS AVAILABILITY'!R603)/('RAP TEMPLATE-GAS AVAILABILITY'!O603+'RAP TEMPLATE-GAS AVAILABILITY'!P603+'RAP TEMPLATE-GAS AVAILABILITY'!Q603+'RAP TEMPLATE-GAS AVAILABILITY'!R603)</f>
        <v>36.340730215827335</v>
      </c>
    </row>
    <row r="605" spans="1:29" ht="15.75" x14ac:dyDescent="0.25">
      <c r="A605" s="32">
        <v>59322</v>
      </c>
      <c r="B605" s="14">
        <f>CHOOSE(CONTROL!$C$42, 37.1673, 37.1673) * CHOOSE(CONTROL!$C$21, $C$9, 100%, $E$9)</f>
        <v>37.167299999999997</v>
      </c>
      <c r="C605" s="14">
        <f>CHOOSE(CONTROL!$C$42, 37.1753, 37.1753) * CHOOSE(CONTROL!$C$21, $C$9, 100%, $E$9)</f>
        <v>37.1753</v>
      </c>
      <c r="D605" s="14">
        <f>CHOOSE(CONTROL!$C$42, 37.4344, 37.4344) * CHOOSE(CONTROL!$C$21, $C$9, 100%, $E$9)</f>
        <v>37.434399999999997</v>
      </c>
      <c r="E605" s="14">
        <f>CHOOSE(CONTROL!$C$42, 37.4659, 37.4659) * CHOOSE(CONTROL!$C$21, $C$9, 100%, $E$9)</f>
        <v>37.465899999999998</v>
      </c>
      <c r="F605" s="14">
        <f>CHOOSE(CONTROL!$C$42, 37.1888, 37.1888)*CHOOSE(CONTROL!$C$21, $C$9, 100%, $E$9)</f>
        <v>37.188800000000001</v>
      </c>
      <c r="G605" s="14">
        <f>CHOOSE(CONTROL!$C$42, 37.2058, 37.2058)*CHOOSE(CONTROL!$C$21, $C$9, 100%, $E$9)</f>
        <v>37.205800000000004</v>
      </c>
      <c r="H605" s="14">
        <f>CHOOSE(CONTROL!$C$42, 37.4545, 37.4545) * CHOOSE(CONTROL!$C$21, $C$9, 100%, $E$9)</f>
        <v>37.454500000000003</v>
      </c>
      <c r="I605" s="14">
        <f>CHOOSE(CONTROL!$C$42, 37.3048, 37.3048)* CHOOSE(CONTROL!$C$21, $C$9, 100%, $E$9)</f>
        <v>37.3048</v>
      </c>
      <c r="J605" s="14">
        <f>CHOOSE(CONTROL!$C$42, 37.1818, 37.1818)* CHOOSE(CONTROL!$C$21, $C$9, 100%, $E$9)</f>
        <v>37.181800000000003</v>
      </c>
      <c r="K605" s="52">
        <f>CHOOSE(CONTROL!$C$42, 37.3009, 37.3009) * CHOOSE(CONTROL!$C$21, $C$9, 100%, $E$9)</f>
        <v>37.300899999999999</v>
      </c>
      <c r="L605" s="14">
        <f>CHOOSE(CONTROL!$C$42, 38.0415, 38.0415) * CHOOSE(CONTROL!$C$21, $C$9, 100%, $E$9)</f>
        <v>38.041499999999999</v>
      </c>
      <c r="M605" s="14">
        <f>CHOOSE(CONTROL!$C$42, 36.5207, 36.5207) * CHOOSE(CONTROL!$C$21, $C$9, 100%, $E$9)</f>
        <v>36.520699999999998</v>
      </c>
      <c r="N605" s="14">
        <f>CHOOSE(CONTROL!$C$42, 36.5374, 36.5374) * CHOOSE(CONTROL!$C$21, $C$9, 100%, $E$9)</f>
        <v>36.537399999999998</v>
      </c>
      <c r="O605" s="14">
        <f>CHOOSE(CONTROL!$C$42, 36.7885, 36.7885) * CHOOSE(CONTROL!$C$21, $C$9, 100%, $E$9)</f>
        <v>36.788499999999999</v>
      </c>
      <c r="P605" s="14">
        <f>CHOOSE(CONTROL!$C$42, 36.6395, 36.6395) * CHOOSE(CONTROL!$C$21, $C$9, 100%, $E$9)</f>
        <v>36.639499999999998</v>
      </c>
      <c r="Q605" s="14">
        <f>CHOOSE(CONTROL!$C$42, 37.3832, 37.3832) * CHOOSE(CONTROL!$C$21, $C$9, 100%, $E$9)</f>
        <v>37.383200000000002</v>
      </c>
      <c r="R605" s="14">
        <f>CHOOSE(CONTROL!$C$42, 38.0637, 38.0637) * CHOOSE(CONTROL!$C$21, $C$9, 100%, $E$9)</f>
        <v>38.063699999999997</v>
      </c>
      <c r="S605" s="14">
        <f>CHOOSE(CONTROL!$C$42, 35.7034, 35.7034) * CHOOSE(CONTROL!$C$21, $C$9, 100%, $E$9)</f>
        <v>35.703400000000002</v>
      </c>
      <c r="T60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05" s="56">
        <f>(1000*CHOOSE(CONTROL!$C$42, 695, 695)*CHOOSE(CONTROL!$C$42, 0.5599, 0.5599)*CHOOSE(CONTROL!$C$42, 31, 31))/1000000</f>
        <v>12.063045499999998</v>
      </c>
      <c r="V605" s="56">
        <f>(1000*CHOOSE(CONTROL!$C$42, 500, 500)*CHOOSE(CONTROL!$C$42, 0.275, 0.275)*CHOOSE(CONTROL!$C$42, 31, 31))/1000000</f>
        <v>4.2625000000000002</v>
      </c>
      <c r="W605" s="56">
        <f>(1000*CHOOSE(CONTROL!$C$42, 0.1146, 0.1146)*CHOOSE(CONTROL!$C$42, 121.5, 121.5)*CHOOSE(CONTROL!$C$42, 31, 31))/1000000</f>
        <v>0.43164089999999994</v>
      </c>
      <c r="X605" s="56">
        <f>(31*0.1790888*245000/1000000)+(31*0.2374*100000/1000000)</f>
        <v>2.0961194359999999</v>
      </c>
      <c r="Y605" s="56"/>
      <c r="Z605" s="14"/>
      <c r="AA605" s="55"/>
      <c r="AB605" s="49">
        <f>(B605*194.205+C605*267.466+D605*133.845+E605*53.484+F605*40+G605*185+H605*0+I605*100+J605*300)/(194.205+267.466+133.845+53.484+0+40+185+100+300)</f>
        <v>37.230049254238622</v>
      </c>
      <c r="AC605" s="45">
        <f>(M605*'RAP TEMPLATE-GAS AVAILABILITY'!O604+N605*'RAP TEMPLATE-GAS AVAILABILITY'!P604+O605*'RAP TEMPLATE-GAS AVAILABILITY'!Q604+P605*'RAP TEMPLATE-GAS AVAILABILITY'!R604)/('RAP TEMPLATE-GAS AVAILABILITY'!O604+'RAP TEMPLATE-GAS AVAILABILITY'!P604+'RAP TEMPLATE-GAS AVAILABILITY'!Q604+'RAP TEMPLATE-GAS AVAILABILITY'!R604)</f>
        <v>36.660131654676256</v>
      </c>
    </row>
    <row r="606" spans="1:29" ht="15.75" x14ac:dyDescent="0.25">
      <c r="A606" s="32">
        <v>59352</v>
      </c>
      <c r="B606" s="14">
        <f>CHOOSE(CONTROL!$C$42, 38.2212, 38.2212) * CHOOSE(CONTROL!$C$21, $C$9, 100%, $E$9)</f>
        <v>38.221200000000003</v>
      </c>
      <c r="C606" s="14">
        <f>CHOOSE(CONTROL!$C$42, 38.2293, 38.2293) * CHOOSE(CONTROL!$C$21, $C$9, 100%, $E$9)</f>
        <v>38.229300000000002</v>
      </c>
      <c r="D606" s="14">
        <f>CHOOSE(CONTROL!$C$42, 38.4884, 38.4884) * CHOOSE(CONTROL!$C$21, $C$9, 100%, $E$9)</f>
        <v>38.488399999999999</v>
      </c>
      <c r="E606" s="14">
        <f>CHOOSE(CONTROL!$C$42, 38.5198, 38.5198) * CHOOSE(CONTROL!$C$21, $C$9, 100%, $E$9)</f>
        <v>38.519799999999996</v>
      </c>
      <c r="F606" s="14">
        <f>CHOOSE(CONTROL!$C$42, 38.243, 38.243)*CHOOSE(CONTROL!$C$21, $C$9, 100%, $E$9)</f>
        <v>38.243000000000002</v>
      </c>
      <c r="G606" s="14">
        <f>CHOOSE(CONTROL!$C$42, 38.2601, 38.2601)*CHOOSE(CONTROL!$C$21, $C$9, 100%, $E$9)</f>
        <v>38.260100000000001</v>
      </c>
      <c r="H606" s="14">
        <f>CHOOSE(CONTROL!$C$42, 38.5085, 38.5085) * CHOOSE(CONTROL!$C$21, $C$9, 100%, $E$9)</f>
        <v>38.508499999999998</v>
      </c>
      <c r="I606" s="14">
        <f>CHOOSE(CONTROL!$C$42, 38.362, 38.362)* CHOOSE(CONTROL!$C$21, $C$9, 100%, $E$9)</f>
        <v>38.362000000000002</v>
      </c>
      <c r="J606" s="14">
        <f>CHOOSE(CONTROL!$C$42, 38.236, 38.236)* CHOOSE(CONTROL!$C$21, $C$9, 100%, $E$9)</f>
        <v>38.235999999999997</v>
      </c>
      <c r="K606" s="52">
        <f>CHOOSE(CONTROL!$C$42, 38.3582, 38.3582) * CHOOSE(CONTROL!$C$21, $C$9, 100%, $E$9)</f>
        <v>38.358199999999997</v>
      </c>
      <c r="L606" s="14">
        <f>CHOOSE(CONTROL!$C$42, 39.0955, 39.0955) * CHOOSE(CONTROL!$C$21, $C$9, 100%, $E$9)</f>
        <v>39.095500000000001</v>
      </c>
      <c r="M606" s="14">
        <f>CHOOSE(CONTROL!$C$42, 37.556, 37.556) * CHOOSE(CONTROL!$C$21, $C$9, 100%, $E$9)</f>
        <v>37.555999999999997</v>
      </c>
      <c r="N606" s="14">
        <f>CHOOSE(CONTROL!$C$42, 37.5727, 37.5727) * CHOOSE(CONTROL!$C$21, $C$9, 100%, $E$9)</f>
        <v>37.572699999999998</v>
      </c>
      <c r="O606" s="14">
        <f>CHOOSE(CONTROL!$C$42, 37.8235, 37.8235) * CHOOSE(CONTROL!$C$21, $C$9, 100%, $E$9)</f>
        <v>37.823500000000003</v>
      </c>
      <c r="P606" s="14">
        <f>CHOOSE(CONTROL!$C$42, 37.6777, 37.6777) * CHOOSE(CONTROL!$C$21, $C$9, 100%, $E$9)</f>
        <v>37.677700000000002</v>
      </c>
      <c r="Q606" s="14">
        <f>CHOOSE(CONTROL!$C$42, 38.4182, 38.4182) * CHOOSE(CONTROL!$C$21, $C$9, 100%, $E$9)</f>
        <v>38.418199999999999</v>
      </c>
      <c r="R606" s="14">
        <f>CHOOSE(CONTROL!$C$42, 39.1013, 39.1013) * CHOOSE(CONTROL!$C$21, $C$9, 100%, $E$9)</f>
        <v>39.101300000000002</v>
      </c>
      <c r="S606" s="14">
        <f>CHOOSE(CONTROL!$C$42, 36.7162, 36.7162) * CHOOSE(CONTROL!$C$21, $C$9, 100%, $E$9)</f>
        <v>36.716200000000001</v>
      </c>
      <c r="T60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06" s="56">
        <f>(1000*CHOOSE(CONTROL!$C$42, 695, 695)*CHOOSE(CONTROL!$C$42, 0.5599, 0.5599)*CHOOSE(CONTROL!$C$42, 30, 30))/1000000</f>
        <v>11.673914999999997</v>
      </c>
      <c r="V606" s="56">
        <f>(1000*CHOOSE(CONTROL!$C$42, 500, 500)*CHOOSE(CONTROL!$C$42, 0.275, 0.275)*CHOOSE(CONTROL!$C$42, 30, 30))/1000000</f>
        <v>4.125</v>
      </c>
      <c r="W606" s="56">
        <f>(1000*CHOOSE(CONTROL!$C$42, 0.1146, 0.1146)*CHOOSE(CONTROL!$C$42, 121.5, 121.5)*CHOOSE(CONTROL!$C$42, 30, 30))/1000000</f>
        <v>0.417717</v>
      </c>
      <c r="X606" s="56">
        <f>(30*0.1790888*245000/1000000)+(30*0.2374*100000/1000000)</f>
        <v>2.0285026799999999</v>
      </c>
      <c r="Y606" s="56"/>
      <c r="Z606" s="14"/>
      <c r="AA606" s="55"/>
      <c r="AB606" s="49">
        <f>(B606*194.205+C606*267.466+D606*133.845+E606*53.484+F606*40+G606*185+H606*0+I606*100+J606*300)/(194.205+267.466+133.845+53.484+0+40+185+100+300)</f>
        <v>38.284377928571431</v>
      </c>
      <c r="AC606" s="45">
        <f>(M606*'RAP TEMPLATE-GAS AVAILABILITY'!O605+N606*'RAP TEMPLATE-GAS AVAILABILITY'!P605+O606*'RAP TEMPLATE-GAS AVAILABILITY'!Q605+P606*'RAP TEMPLATE-GAS AVAILABILITY'!R605)/('RAP TEMPLATE-GAS AVAILABILITY'!O605+'RAP TEMPLATE-GAS AVAILABILITY'!P605+'RAP TEMPLATE-GAS AVAILABILITY'!Q605+'RAP TEMPLATE-GAS AVAILABILITY'!R605)</f>
        <v>37.695712949640289</v>
      </c>
    </row>
    <row r="607" spans="1:29" ht="15.75" x14ac:dyDescent="0.25">
      <c r="A607" s="32">
        <v>59383</v>
      </c>
      <c r="B607" s="14">
        <f>CHOOSE(CONTROL!$C$42, 37.4882, 37.4882) * CHOOSE(CONTROL!$C$21, $C$9, 100%, $E$9)</f>
        <v>37.488199999999999</v>
      </c>
      <c r="C607" s="14">
        <f>CHOOSE(CONTROL!$C$42, 37.4962, 37.4962) * CHOOSE(CONTROL!$C$21, $C$9, 100%, $E$9)</f>
        <v>37.496200000000002</v>
      </c>
      <c r="D607" s="14">
        <f>CHOOSE(CONTROL!$C$42, 37.7553, 37.7553) * CHOOSE(CONTROL!$C$21, $C$9, 100%, $E$9)</f>
        <v>37.755299999999998</v>
      </c>
      <c r="E607" s="14">
        <f>CHOOSE(CONTROL!$C$42, 37.7868, 37.7868) * CHOOSE(CONTROL!$C$21, $C$9, 100%, $E$9)</f>
        <v>37.786799999999999</v>
      </c>
      <c r="F607" s="14">
        <f>CHOOSE(CONTROL!$C$42, 37.5104, 37.5104)*CHOOSE(CONTROL!$C$21, $C$9, 100%, $E$9)</f>
        <v>37.510399999999997</v>
      </c>
      <c r="G607" s="14">
        <f>CHOOSE(CONTROL!$C$42, 37.5276, 37.5276)*CHOOSE(CONTROL!$C$21, $C$9, 100%, $E$9)</f>
        <v>37.5276</v>
      </c>
      <c r="H607" s="14">
        <f>CHOOSE(CONTROL!$C$42, 37.7754, 37.7754) * CHOOSE(CONTROL!$C$21, $C$9, 100%, $E$9)</f>
        <v>37.775399999999998</v>
      </c>
      <c r="I607" s="14">
        <f>CHOOSE(CONTROL!$C$42, 37.6267, 37.6267)* CHOOSE(CONTROL!$C$21, $C$9, 100%, $E$9)</f>
        <v>37.6267</v>
      </c>
      <c r="J607" s="14">
        <f>CHOOSE(CONTROL!$C$42, 37.5034, 37.5034)* CHOOSE(CONTROL!$C$21, $C$9, 100%, $E$9)</f>
        <v>37.503399999999999</v>
      </c>
      <c r="K607" s="52">
        <f>CHOOSE(CONTROL!$C$42, 37.6228, 37.6228) * CHOOSE(CONTROL!$C$21, $C$9, 100%, $E$9)</f>
        <v>37.622799999999998</v>
      </c>
      <c r="L607" s="14">
        <f>CHOOSE(CONTROL!$C$42, 38.3624, 38.3624) * CHOOSE(CONTROL!$C$21, $C$9, 100%, $E$9)</f>
        <v>38.362400000000001</v>
      </c>
      <c r="M607" s="14">
        <f>CHOOSE(CONTROL!$C$42, 36.8365, 36.8365) * CHOOSE(CONTROL!$C$21, $C$9, 100%, $E$9)</f>
        <v>36.836500000000001</v>
      </c>
      <c r="N607" s="14">
        <f>CHOOSE(CONTROL!$C$42, 36.8534, 36.8534) * CHOOSE(CONTROL!$C$21, $C$9, 100%, $E$9)</f>
        <v>36.853400000000001</v>
      </c>
      <c r="O607" s="14">
        <f>CHOOSE(CONTROL!$C$42, 37.1037, 37.1037) * CHOOSE(CONTROL!$C$21, $C$9, 100%, $E$9)</f>
        <v>37.103700000000003</v>
      </c>
      <c r="P607" s="14">
        <f>CHOOSE(CONTROL!$C$42, 36.9556, 36.9556) * CHOOSE(CONTROL!$C$21, $C$9, 100%, $E$9)</f>
        <v>36.955599999999997</v>
      </c>
      <c r="Q607" s="14">
        <f>CHOOSE(CONTROL!$C$42, 37.6984, 37.6984) * CHOOSE(CONTROL!$C$21, $C$9, 100%, $E$9)</f>
        <v>37.698399999999999</v>
      </c>
      <c r="R607" s="14">
        <f>CHOOSE(CONTROL!$C$42, 38.3796, 38.3796) * CHOOSE(CONTROL!$C$21, $C$9, 100%, $E$9)</f>
        <v>38.379600000000003</v>
      </c>
      <c r="S607" s="14">
        <f>CHOOSE(CONTROL!$C$42, 36.0118, 36.0118) * CHOOSE(CONTROL!$C$21, $C$9, 100%, $E$9)</f>
        <v>36.011800000000001</v>
      </c>
      <c r="T60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07" s="56">
        <f>(1000*CHOOSE(CONTROL!$C$42, 695, 695)*CHOOSE(CONTROL!$C$42, 0.5599, 0.5599)*CHOOSE(CONTROL!$C$42, 31, 31))/1000000</f>
        <v>12.063045499999998</v>
      </c>
      <c r="V607" s="56">
        <f>(1000*CHOOSE(CONTROL!$C$42, 500, 500)*CHOOSE(CONTROL!$C$42, 0.275, 0.275)*CHOOSE(CONTROL!$C$42, 31, 31))/1000000</f>
        <v>4.2625000000000002</v>
      </c>
      <c r="W607" s="56">
        <f>(1000*CHOOSE(CONTROL!$C$42, 0.1146, 0.1146)*CHOOSE(CONTROL!$C$42, 121.5, 121.5)*CHOOSE(CONTROL!$C$42, 31, 31))/1000000</f>
        <v>0.43164089999999994</v>
      </c>
      <c r="X607" s="56">
        <f>(31*0.1790888*245000/1000000)+(31*0.2374*100000/1000000)</f>
        <v>2.0961194359999999</v>
      </c>
      <c r="Y607" s="56"/>
      <c r="Z607" s="14"/>
      <c r="AA607" s="55"/>
      <c r="AB607" s="49">
        <f>(B607*194.205+C607*267.466+D607*133.845+E607*53.484+F607*40+G607*185+H607*0+I607*100+J607*300)/(194.205+267.466+133.845+53.484+0+40+185+100+300)</f>
        <v>37.551345251098901</v>
      </c>
      <c r="AC607" s="45">
        <f>(M607*'RAP TEMPLATE-GAS AVAILABILITY'!O606+N607*'RAP TEMPLATE-GAS AVAILABILITY'!P606+O607*'RAP TEMPLATE-GAS AVAILABILITY'!Q606+P607*'RAP TEMPLATE-GAS AVAILABILITY'!R606)/('RAP TEMPLATE-GAS AVAILABILITY'!O606+'RAP TEMPLATE-GAS AVAILABILITY'!P606+'RAP TEMPLATE-GAS AVAILABILITY'!Q606+'RAP TEMPLATE-GAS AVAILABILITY'!R606)</f>
        <v>36.975714388489209</v>
      </c>
    </row>
    <row r="608" spans="1:29" ht="15.75" x14ac:dyDescent="0.25">
      <c r="A608" s="32">
        <v>59414</v>
      </c>
      <c r="B608" s="14">
        <f>CHOOSE(CONTROL!$C$42, 35.6371, 35.6371) * CHOOSE(CONTROL!$C$21, $C$9, 100%, $E$9)</f>
        <v>35.637099999999997</v>
      </c>
      <c r="C608" s="14">
        <f>CHOOSE(CONTROL!$C$42, 35.6451, 35.6451) * CHOOSE(CONTROL!$C$21, $C$9, 100%, $E$9)</f>
        <v>35.645099999999999</v>
      </c>
      <c r="D608" s="14">
        <f>CHOOSE(CONTROL!$C$42, 35.9042, 35.9042) * CHOOSE(CONTROL!$C$21, $C$9, 100%, $E$9)</f>
        <v>35.904200000000003</v>
      </c>
      <c r="E608" s="14">
        <f>CHOOSE(CONTROL!$C$42, 35.9356, 35.9356) * CHOOSE(CONTROL!$C$21, $C$9, 100%, $E$9)</f>
        <v>35.935600000000001</v>
      </c>
      <c r="F608" s="14">
        <f>CHOOSE(CONTROL!$C$42, 35.6595, 35.6595)*CHOOSE(CONTROL!$C$21, $C$9, 100%, $E$9)</f>
        <v>35.659500000000001</v>
      </c>
      <c r="G608" s="14">
        <f>CHOOSE(CONTROL!$C$42, 35.6767, 35.6767)*CHOOSE(CONTROL!$C$21, $C$9, 100%, $E$9)</f>
        <v>35.676699999999997</v>
      </c>
      <c r="H608" s="14">
        <f>CHOOSE(CONTROL!$C$42, 35.9243, 35.9243) * CHOOSE(CONTROL!$C$21, $C$9, 100%, $E$9)</f>
        <v>35.924300000000002</v>
      </c>
      <c r="I608" s="14">
        <f>CHOOSE(CONTROL!$C$42, 35.7698, 35.7698)* CHOOSE(CONTROL!$C$21, $C$9, 100%, $E$9)</f>
        <v>35.769799999999996</v>
      </c>
      <c r="J608" s="14">
        <f>CHOOSE(CONTROL!$C$42, 35.6525, 35.6525)* CHOOSE(CONTROL!$C$21, $C$9, 100%, $E$9)</f>
        <v>35.652500000000003</v>
      </c>
      <c r="K608" s="52">
        <f>CHOOSE(CONTROL!$C$42, 35.7659, 35.7659) * CHOOSE(CONTROL!$C$21, $C$9, 100%, $E$9)</f>
        <v>35.765900000000002</v>
      </c>
      <c r="L608" s="14">
        <f>CHOOSE(CONTROL!$C$42, 36.5113, 36.5113) * CHOOSE(CONTROL!$C$21, $C$9, 100%, $E$9)</f>
        <v>36.511299999999999</v>
      </c>
      <c r="M608" s="14">
        <f>CHOOSE(CONTROL!$C$42, 35.0189, 35.0189) * CHOOSE(CONTROL!$C$21, $C$9, 100%, $E$9)</f>
        <v>35.018900000000002</v>
      </c>
      <c r="N608" s="14">
        <f>CHOOSE(CONTROL!$C$42, 35.0358, 35.0358) * CHOOSE(CONTROL!$C$21, $C$9, 100%, $E$9)</f>
        <v>35.035800000000002</v>
      </c>
      <c r="O608" s="14">
        <f>CHOOSE(CONTROL!$C$42, 35.2858, 35.2858) * CHOOSE(CONTROL!$C$21, $C$9, 100%, $E$9)</f>
        <v>35.285800000000002</v>
      </c>
      <c r="P608" s="14">
        <f>CHOOSE(CONTROL!$C$42, 35.1322, 35.1322) * CHOOSE(CONTROL!$C$21, $C$9, 100%, $E$9)</f>
        <v>35.132199999999997</v>
      </c>
      <c r="Q608" s="14">
        <f>CHOOSE(CONTROL!$C$42, 35.8805, 35.8805) * CHOOSE(CONTROL!$C$21, $C$9, 100%, $E$9)</f>
        <v>35.880499999999998</v>
      </c>
      <c r="R608" s="14">
        <f>CHOOSE(CONTROL!$C$42, 36.5572, 36.5572) * CHOOSE(CONTROL!$C$21, $C$9, 100%, $E$9)</f>
        <v>36.557200000000002</v>
      </c>
      <c r="S608" s="14">
        <f>CHOOSE(CONTROL!$C$42, 34.233, 34.233) * CHOOSE(CONTROL!$C$21, $C$9, 100%, $E$9)</f>
        <v>34.232999999999997</v>
      </c>
      <c r="T60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08" s="56">
        <f>(1000*CHOOSE(CONTROL!$C$42, 695, 695)*CHOOSE(CONTROL!$C$42, 0.5599, 0.5599)*CHOOSE(CONTROL!$C$42, 31, 31))/1000000</f>
        <v>12.063045499999998</v>
      </c>
      <c r="V608" s="56">
        <f>(1000*CHOOSE(CONTROL!$C$42, 500, 500)*CHOOSE(CONTROL!$C$42, 0.275, 0.275)*CHOOSE(CONTROL!$C$42, 31, 31))/1000000</f>
        <v>4.2625000000000002</v>
      </c>
      <c r="W608" s="56">
        <f>(1000*CHOOSE(CONTROL!$C$42, 0.1146, 0.1146)*CHOOSE(CONTROL!$C$42, 121.5, 121.5)*CHOOSE(CONTROL!$C$42, 31, 31))/1000000</f>
        <v>0.43164089999999994</v>
      </c>
      <c r="X608" s="56">
        <f>(31*0.1790888*245000/1000000)+(31*0.2374*100000/1000000)</f>
        <v>2.0961194359999999</v>
      </c>
      <c r="Y608" s="56"/>
      <c r="Z608" s="14"/>
      <c r="AA608" s="55"/>
      <c r="AB608" s="49">
        <f>(B608*194.205+C608*267.466+D608*133.845+E608*53.484+F608*40+G608*185+H608*0+I608*100+J608*300)/(194.205+267.466+133.845+53.484+0+40+185+100+300)</f>
        <v>35.699868211538458</v>
      </c>
      <c r="AC608" s="45">
        <f>(M608*'RAP TEMPLATE-GAS AVAILABILITY'!O607+N608*'RAP TEMPLATE-GAS AVAILABILITY'!P607+O608*'RAP TEMPLATE-GAS AVAILABILITY'!Q607+P608*'RAP TEMPLATE-GAS AVAILABILITY'!R607)/('RAP TEMPLATE-GAS AVAILABILITY'!O607+'RAP TEMPLATE-GAS AVAILABILITY'!P607+'RAP TEMPLATE-GAS AVAILABILITY'!Q607+'RAP TEMPLATE-GAS AVAILABILITY'!R607)</f>
        <v>35.157143884892093</v>
      </c>
    </row>
    <row r="609" spans="1:29" ht="15.75" x14ac:dyDescent="0.25">
      <c r="A609" s="32">
        <v>59444</v>
      </c>
      <c r="B609" s="14">
        <f>CHOOSE(CONTROL!$C$42, 33.3751, 33.3751) * CHOOSE(CONTROL!$C$21, $C$9, 100%, $E$9)</f>
        <v>33.375100000000003</v>
      </c>
      <c r="C609" s="14">
        <f>CHOOSE(CONTROL!$C$42, 33.3831, 33.3831) * CHOOSE(CONTROL!$C$21, $C$9, 100%, $E$9)</f>
        <v>33.383099999999999</v>
      </c>
      <c r="D609" s="14">
        <f>CHOOSE(CONTROL!$C$42, 33.6422, 33.6422) * CHOOSE(CONTROL!$C$21, $C$9, 100%, $E$9)</f>
        <v>33.642200000000003</v>
      </c>
      <c r="E609" s="14">
        <f>CHOOSE(CONTROL!$C$42, 33.6736, 33.6736) * CHOOSE(CONTROL!$C$21, $C$9, 100%, $E$9)</f>
        <v>33.6736</v>
      </c>
      <c r="F609" s="14">
        <f>CHOOSE(CONTROL!$C$42, 33.3975, 33.3975)*CHOOSE(CONTROL!$C$21, $C$9, 100%, $E$9)</f>
        <v>33.397500000000001</v>
      </c>
      <c r="G609" s="14">
        <f>CHOOSE(CONTROL!$C$42, 33.4148, 33.4148)*CHOOSE(CONTROL!$C$21, $C$9, 100%, $E$9)</f>
        <v>33.4148</v>
      </c>
      <c r="H609" s="14">
        <f>CHOOSE(CONTROL!$C$42, 33.6623, 33.6623) * CHOOSE(CONTROL!$C$21, $C$9, 100%, $E$9)</f>
        <v>33.662300000000002</v>
      </c>
      <c r="I609" s="14">
        <f>CHOOSE(CONTROL!$C$42, 33.5007, 33.5007)* CHOOSE(CONTROL!$C$21, $C$9, 100%, $E$9)</f>
        <v>33.500700000000002</v>
      </c>
      <c r="J609" s="14">
        <f>CHOOSE(CONTROL!$C$42, 33.3905, 33.3905)* CHOOSE(CONTROL!$C$21, $C$9, 100%, $E$9)</f>
        <v>33.390500000000003</v>
      </c>
      <c r="K609" s="52">
        <f>CHOOSE(CONTROL!$C$42, 33.4968, 33.4968) * CHOOSE(CONTROL!$C$21, $C$9, 100%, $E$9)</f>
        <v>33.4968</v>
      </c>
      <c r="L609" s="14">
        <f>CHOOSE(CONTROL!$C$42, 34.2493, 34.2493) * CHOOSE(CONTROL!$C$21, $C$9, 100%, $E$9)</f>
        <v>34.249299999999998</v>
      </c>
      <c r="M609" s="14">
        <f>CHOOSE(CONTROL!$C$42, 32.7976, 32.7976) * CHOOSE(CONTROL!$C$21, $C$9, 100%, $E$9)</f>
        <v>32.797600000000003</v>
      </c>
      <c r="N609" s="14">
        <f>CHOOSE(CONTROL!$C$42, 32.8146, 32.8146) * CHOOSE(CONTROL!$C$21, $C$9, 100%, $E$9)</f>
        <v>32.814599999999999</v>
      </c>
      <c r="O609" s="14">
        <f>CHOOSE(CONTROL!$C$42, 33.0645, 33.0645) * CHOOSE(CONTROL!$C$21, $C$9, 100%, $E$9)</f>
        <v>33.064500000000002</v>
      </c>
      <c r="P609" s="14">
        <f>CHOOSE(CONTROL!$C$42, 32.904, 32.904) * CHOOSE(CONTROL!$C$21, $C$9, 100%, $E$9)</f>
        <v>32.904000000000003</v>
      </c>
      <c r="Q609" s="14">
        <f>CHOOSE(CONTROL!$C$42, 33.6592, 33.6592) * CHOOSE(CONTROL!$C$21, $C$9, 100%, $E$9)</f>
        <v>33.659199999999998</v>
      </c>
      <c r="R609" s="14">
        <f>CHOOSE(CONTROL!$C$42, 34.3303, 34.3303) * CHOOSE(CONTROL!$C$21, $C$9, 100%, $E$9)</f>
        <v>34.330300000000001</v>
      </c>
      <c r="S609" s="14">
        <f>CHOOSE(CONTROL!$C$42, 32.0595, 32.0595) * CHOOSE(CONTROL!$C$21, $C$9, 100%, $E$9)</f>
        <v>32.0595</v>
      </c>
      <c r="T60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09" s="56">
        <f>(1000*CHOOSE(CONTROL!$C$42, 695, 695)*CHOOSE(CONTROL!$C$42, 0.5599, 0.5599)*CHOOSE(CONTROL!$C$42, 30, 30))/1000000</f>
        <v>11.673914999999997</v>
      </c>
      <c r="V609" s="56">
        <f>(1000*CHOOSE(CONTROL!$C$42, 500, 500)*CHOOSE(CONTROL!$C$42, 0.275, 0.275)*CHOOSE(CONTROL!$C$42, 30, 30))/1000000</f>
        <v>4.125</v>
      </c>
      <c r="W609" s="56">
        <f>(1000*CHOOSE(CONTROL!$C$42, 0.1146, 0.1146)*CHOOSE(CONTROL!$C$42, 121.5, 121.5)*CHOOSE(CONTROL!$C$42, 30, 30))/1000000</f>
        <v>0.417717</v>
      </c>
      <c r="X609" s="56">
        <f>(30*0.1790888*245000/1000000)+(30*0.2374*100000/1000000)</f>
        <v>2.0285026799999999</v>
      </c>
      <c r="Y609" s="56"/>
      <c r="Z609" s="14"/>
      <c r="AA609" s="55"/>
      <c r="AB609" s="49">
        <f>(B609*194.205+C609*267.466+D609*133.845+E609*53.484+F609*40+G609*185+H609*0+I609*100+J609*300)/(194.205+267.466+133.845+53.484+0+40+185+100+300)</f>
        <v>33.437325432888542</v>
      </c>
      <c r="AC609" s="45">
        <f>(M609*'RAP TEMPLATE-GAS AVAILABILITY'!O608+N609*'RAP TEMPLATE-GAS AVAILABILITY'!P608+O609*'RAP TEMPLATE-GAS AVAILABILITY'!Q608+P609*'RAP TEMPLATE-GAS AVAILABILITY'!R608)/('RAP TEMPLATE-GAS AVAILABILITY'!O608+'RAP TEMPLATE-GAS AVAILABILITY'!P608+'RAP TEMPLATE-GAS AVAILABILITY'!Q608+'RAP TEMPLATE-GAS AVAILABILITY'!R608)</f>
        <v>32.934856834532383</v>
      </c>
    </row>
    <row r="610" spans="1:29" ht="15.75" x14ac:dyDescent="0.25">
      <c r="A610" s="32">
        <v>59475</v>
      </c>
      <c r="B610" s="14">
        <f>CHOOSE(CONTROL!$C$42, 32.6959, 32.6959) * CHOOSE(CONTROL!$C$21, $C$9, 100%, $E$9)</f>
        <v>32.695900000000002</v>
      </c>
      <c r="C610" s="14">
        <f>CHOOSE(CONTROL!$C$42, 32.7012, 32.7012) * CHOOSE(CONTROL!$C$21, $C$9, 100%, $E$9)</f>
        <v>32.7012</v>
      </c>
      <c r="D610" s="14">
        <f>CHOOSE(CONTROL!$C$42, 32.9653, 32.9653) * CHOOSE(CONTROL!$C$21, $C$9, 100%, $E$9)</f>
        <v>32.965299999999999</v>
      </c>
      <c r="E610" s="14">
        <f>CHOOSE(CONTROL!$C$42, 32.9944, 32.9944) * CHOOSE(CONTROL!$C$21, $C$9, 100%, $E$9)</f>
        <v>32.994399999999999</v>
      </c>
      <c r="F610" s="14">
        <f>CHOOSE(CONTROL!$C$42, 32.7205, 32.7205)*CHOOSE(CONTROL!$C$21, $C$9, 100%, $E$9)</f>
        <v>32.720500000000001</v>
      </c>
      <c r="G610" s="14">
        <f>CHOOSE(CONTROL!$C$42, 32.7376, 32.7376)*CHOOSE(CONTROL!$C$21, $C$9, 100%, $E$9)</f>
        <v>32.7376</v>
      </c>
      <c r="H610" s="14">
        <f>CHOOSE(CONTROL!$C$42, 32.9849, 32.9849) * CHOOSE(CONTROL!$C$21, $C$9, 100%, $E$9)</f>
        <v>32.984900000000003</v>
      </c>
      <c r="I610" s="14">
        <f>CHOOSE(CONTROL!$C$42, 32.8212, 32.8212)* CHOOSE(CONTROL!$C$21, $C$9, 100%, $E$9)</f>
        <v>32.821199999999997</v>
      </c>
      <c r="J610" s="14">
        <f>CHOOSE(CONTROL!$C$42, 32.7135, 32.7135)* CHOOSE(CONTROL!$C$21, $C$9, 100%, $E$9)</f>
        <v>32.713500000000003</v>
      </c>
      <c r="K610" s="52">
        <f>CHOOSE(CONTROL!$C$42, 32.8173, 32.8173) * CHOOSE(CONTROL!$C$21, $C$9, 100%, $E$9)</f>
        <v>32.817300000000003</v>
      </c>
      <c r="L610" s="14">
        <f>CHOOSE(CONTROL!$C$42, 33.5719, 33.5719) * CHOOSE(CONTROL!$C$21, $C$9, 100%, $E$9)</f>
        <v>33.571899999999999</v>
      </c>
      <c r="M610" s="14">
        <f>CHOOSE(CONTROL!$C$42, 32.1328, 32.1328) * CHOOSE(CONTROL!$C$21, $C$9, 100%, $E$9)</f>
        <v>32.132800000000003</v>
      </c>
      <c r="N610" s="14">
        <f>CHOOSE(CONTROL!$C$42, 32.1496, 32.1496) * CHOOSE(CONTROL!$C$21, $C$9, 100%, $E$9)</f>
        <v>32.1496</v>
      </c>
      <c r="O610" s="14">
        <f>CHOOSE(CONTROL!$C$42, 32.3993, 32.3993) * CHOOSE(CONTROL!$C$21, $C$9, 100%, $E$9)</f>
        <v>32.399299999999997</v>
      </c>
      <c r="P610" s="14">
        <f>CHOOSE(CONTROL!$C$42, 32.2368, 32.2368) * CHOOSE(CONTROL!$C$21, $C$9, 100%, $E$9)</f>
        <v>32.236800000000002</v>
      </c>
      <c r="Q610" s="14">
        <f>CHOOSE(CONTROL!$C$42, 32.994, 32.994) * CHOOSE(CONTROL!$C$21, $C$9, 100%, $E$9)</f>
        <v>32.994</v>
      </c>
      <c r="R610" s="14">
        <f>CHOOSE(CONTROL!$C$42, 33.6635, 33.6635) * CHOOSE(CONTROL!$C$21, $C$9, 100%, $E$9)</f>
        <v>33.663499999999999</v>
      </c>
      <c r="S610" s="14">
        <f>CHOOSE(CONTROL!$C$42, 31.4085, 31.4085) * CHOOSE(CONTROL!$C$21, $C$9, 100%, $E$9)</f>
        <v>31.4085</v>
      </c>
      <c r="T61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610" s="56">
        <f>(1000*CHOOSE(CONTROL!$C$42, 695, 695)*CHOOSE(CONTROL!$C$42, 0.5599, 0.5599)*CHOOSE(CONTROL!$C$42, 31, 31))/1000000</f>
        <v>12.063045499999998</v>
      </c>
      <c r="V610" s="56">
        <f>(1000*CHOOSE(CONTROL!$C$42, 500, 500)*CHOOSE(CONTROL!$C$42, 0.275, 0.275)*CHOOSE(CONTROL!$C$42, 31, 31))/1000000</f>
        <v>4.2625000000000002</v>
      </c>
      <c r="W610" s="56">
        <f>(1000*CHOOSE(CONTROL!$C$42, 0.1146, 0.1146)*CHOOSE(CONTROL!$C$42, 121.5, 121.5)*CHOOSE(CONTROL!$C$42, 31, 31))/1000000</f>
        <v>0.43164089999999994</v>
      </c>
      <c r="X610" s="56">
        <f>(31*0.1790888*245000/1000000)+(31*0.2374*100000/1000000)</f>
        <v>2.0961194359999999</v>
      </c>
      <c r="Y610" s="56"/>
      <c r="Z610" s="14"/>
      <c r="AA610" s="55"/>
      <c r="AB610" s="49">
        <f>(B610*131.881+C610*277.167+D610*79.08+E610*125.872+F610*40+G610*185+H610*0+I610*100+J610*300)/(131.881+277.167+79.08+125.872+0+40+185+100+300)</f>
        <v>32.76600042703793</v>
      </c>
      <c r="AC610" s="45">
        <f>(M610*'RAP TEMPLATE-GAS AVAILABILITY'!O609+N610*'RAP TEMPLATE-GAS AVAILABILITY'!P609+O610*'RAP TEMPLATE-GAS AVAILABILITY'!Q609+P610*'RAP TEMPLATE-GAS AVAILABILITY'!R609)/('RAP TEMPLATE-GAS AVAILABILITY'!O609+'RAP TEMPLATE-GAS AVAILABILITY'!P609+'RAP TEMPLATE-GAS AVAILABILITY'!Q609+'RAP TEMPLATE-GAS AVAILABILITY'!R609)</f>
        <v>32.269518705035971</v>
      </c>
    </row>
    <row r="611" spans="1:29" ht="15.75" x14ac:dyDescent="0.25">
      <c r="A611" s="32">
        <v>59505</v>
      </c>
      <c r="B611" s="14">
        <f>CHOOSE(CONTROL!$C$42, 33.5566, 33.5566) * CHOOSE(CONTROL!$C$21, $C$9, 100%, $E$9)</f>
        <v>33.556600000000003</v>
      </c>
      <c r="C611" s="14">
        <f>CHOOSE(CONTROL!$C$42, 33.5616, 33.5616) * CHOOSE(CONTROL!$C$21, $C$9, 100%, $E$9)</f>
        <v>33.561599999999999</v>
      </c>
      <c r="D611" s="14">
        <f>CHOOSE(CONTROL!$C$42, 33.6447, 33.6447) * CHOOSE(CONTROL!$C$21, $C$9, 100%, $E$9)</f>
        <v>33.6447</v>
      </c>
      <c r="E611" s="14">
        <f>CHOOSE(CONTROL!$C$42, 33.6788, 33.6788) * CHOOSE(CONTROL!$C$21, $C$9, 100%, $E$9)</f>
        <v>33.678800000000003</v>
      </c>
      <c r="F611" s="14">
        <f>CHOOSE(CONTROL!$C$42, 33.5842, 33.5842)*CHOOSE(CONTROL!$C$21, $C$9, 100%, $E$9)</f>
        <v>33.584200000000003</v>
      </c>
      <c r="G611" s="14">
        <f>CHOOSE(CONTROL!$C$42, 33.6016, 33.6016)*CHOOSE(CONTROL!$C$21, $C$9, 100%, $E$9)</f>
        <v>33.601599999999998</v>
      </c>
      <c r="H611" s="14">
        <f>CHOOSE(CONTROL!$C$42, 33.668, 33.668) * CHOOSE(CONTROL!$C$21, $C$9, 100%, $E$9)</f>
        <v>33.667999999999999</v>
      </c>
      <c r="I611" s="14">
        <f>CHOOSE(CONTROL!$C$42, 33.6813, 33.6813)* CHOOSE(CONTROL!$C$21, $C$9, 100%, $E$9)</f>
        <v>33.6813</v>
      </c>
      <c r="J611" s="14">
        <f>CHOOSE(CONTROL!$C$42, 33.5772, 33.5772)* CHOOSE(CONTROL!$C$21, $C$9, 100%, $E$9)</f>
        <v>33.577199999999998</v>
      </c>
      <c r="K611" s="52">
        <f>CHOOSE(CONTROL!$C$42, 33.6774, 33.6774) * CHOOSE(CONTROL!$C$21, $C$9, 100%, $E$9)</f>
        <v>33.677399999999999</v>
      </c>
      <c r="L611" s="14">
        <f>CHOOSE(CONTROL!$C$42, 34.255, 34.255) * CHOOSE(CONTROL!$C$21, $C$9, 100%, $E$9)</f>
        <v>34.255000000000003</v>
      </c>
      <c r="M611" s="14">
        <f>CHOOSE(CONTROL!$C$42, 32.981, 32.981) * CHOOSE(CONTROL!$C$21, $C$9, 100%, $E$9)</f>
        <v>32.981000000000002</v>
      </c>
      <c r="N611" s="14">
        <f>CHOOSE(CONTROL!$C$42, 32.998, 32.998) * CHOOSE(CONTROL!$C$21, $C$9, 100%, $E$9)</f>
        <v>32.997999999999998</v>
      </c>
      <c r="O611" s="14">
        <f>CHOOSE(CONTROL!$C$42, 33.0701, 33.0701) * CHOOSE(CONTROL!$C$21, $C$9, 100%, $E$9)</f>
        <v>33.070099999999996</v>
      </c>
      <c r="P611" s="14">
        <f>CHOOSE(CONTROL!$C$42, 33.0814, 33.0814) * CHOOSE(CONTROL!$C$21, $C$9, 100%, $E$9)</f>
        <v>33.081400000000002</v>
      </c>
      <c r="Q611" s="14">
        <f>CHOOSE(CONTROL!$C$42, 33.6648, 33.6648) * CHOOSE(CONTROL!$C$21, $C$9, 100%, $E$9)</f>
        <v>33.6648</v>
      </c>
      <c r="R611" s="14">
        <f>CHOOSE(CONTROL!$C$42, 34.336, 34.336) * CHOOSE(CONTROL!$C$21, $C$9, 100%, $E$9)</f>
        <v>34.335999999999999</v>
      </c>
      <c r="S611" s="14">
        <f>CHOOSE(CONTROL!$C$42, 32.236, 32.236) * CHOOSE(CONTROL!$C$21, $C$9, 100%, $E$9)</f>
        <v>32.235999999999997</v>
      </c>
      <c r="T61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611" s="56">
        <f>(1000*CHOOSE(CONTROL!$C$42, 695, 695)*CHOOSE(CONTROL!$C$42, 0.5599, 0.5599)*CHOOSE(CONTROL!$C$42, 30, 30))/1000000</f>
        <v>11.673914999999997</v>
      </c>
      <c r="V611" s="56">
        <f>(1000*CHOOSE(CONTROL!$C$42, 500, 500)*CHOOSE(CONTROL!$C$42, 0.275, 0.275)*CHOOSE(CONTROL!$C$42, 30, 30))/1000000</f>
        <v>4.125</v>
      </c>
      <c r="W611" s="56">
        <f>(1000*CHOOSE(CONTROL!$C$42, 0.1146, 0.1146)*CHOOSE(CONTROL!$C$42, 121.5, 121.5)*CHOOSE(CONTROL!$C$42, 30, 30))/1000000</f>
        <v>0.417717</v>
      </c>
      <c r="X611" s="56">
        <f>(30*0.1790888*100000/1000000)+(30*0.2374*100000/1000000)</f>
        <v>1.2494664</v>
      </c>
      <c r="Y611" s="56"/>
      <c r="Z611" s="14"/>
      <c r="AA611" s="55"/>
      <c r="AB611" s="49">
        <f>(B611*122.58+C611*297.941+D611*89.177+E611*40.302+F611*40+G611*160+H611*0+I611*100+J611*300)/(122.58+297.941+89.177+40.302+0+40+160+100+300)</f>
        <v>33.592447915739129</v>
      </c>
      <c r="AC611" s="45">
        <f>(M611*'RAP TEMPLATE-GAS AVAILABILITY'!O610+N611*'RAP TEMPLATE-GAS AVAILABILITY'!P610+O611*'RAP TEMPLATE-GAS AVAILABILITY'!Q610+P611*'RAP TEMPLATE-GAS AVAILABILITY'!R610)/('RAP TEMPLATE-GAS AVAILABILITY'!O610+'RAP TEMPLATE-GAS AVAILABILITY'!P610+'RAP TEMPLATE-GAS AVAILABILITY'!Q610+'RAP TEMPLATE-GAS AVAILABILITY'!R610)</f>
        <v>33.036807913669065</v>
      </c>
    </row>
    <row r="612" spans="1:29" ht="15.75" x14ac:dyDescent="0.25">
      <c r="A612" s="32">
        <v>59536</v>
      </c>
      <c r="B612" s="14">
        <f>CHOOSE(CONTROL!$C$42, 35.8438, 35.8438) * CHOOSE(CONTROL!$C$21, $C$9, 100%, $E$9)</f>
        <v>35.843800000000002</v>
      </c>
      <c r="C612" s="14">
        <f>CHOOSE(CONTROL!$C$42, 35.8489, 35.8489) * CHOOSE(CONTROL!$C$21, $C$9, 100%, $E$9)</f>
        <v>35.8489</v>
      </c>
      <c r="D612" s="14">
        <f>CHOOSE(CONTROL!$C$42, 35.9319, 35.9319) * CHOOSE(CONTROL!$C$21, $C$9, 100%, $E$9)</f>
        <v>35.931899999999999</v>
      </c>
      <c r="E612" s="14">
        <f>CHOOSE(CONTROL!$C$42, 35.966, 35.966) * CHOOSE(CONTROL!$C$21, $C$9, 100%, $E$9)</f>
        <v>35.966000000000001</v>
      </c>
      <c r="F612" s="14">
        <f>CHOOSE(CONTROL!$C$42, 35.8739, 35.8739)*CHOOSE(CONTROL!$C$21, $C$9, 100%, $E$9)</f>
        <v>35.873899999999999</v>
      </c>
      <c r="G612" s="14">
        <f>CHOOSE(CONTROL!$C$42, 35.8919, 35.8919)*CHOOSE(CONTROL!$C$21, $C$9, 100%, $E$9)</f>
        <v>35.8919</v>
      </c>
      <c r="H612" s="14">
        <f>CHOOSE(CONTROL!$C$42, 35.9552, 35.9552) * CHOOSE(CONTROL!$C$21, $C$9, 100%, $E$9)</f>
        <v>35.955199999999998</v>
      </c>
      <c r="I612" s="14">
        <f>CHOOSE(CONTROL!$C$42, 35.9757, 35.9757)* CHOOSE(CONTROL!$C$21, $C$9, 100%, $E$9)</f>
        <v>35.975700000000003</v>
      </c>
      <c r="J612" s="14">
        <f>CHOOSE(CONTROL!$C$42, 35.8669, 35.8669)* CHOOSE(CONTROL!$C$21, $C$9, 100%, $E$9)</f>
        <v>35.866900000000001</v>
      </c>
      <c r="K612" s="52">
        <f>CHOOSE(CONTROL!$C$42, 35.9718, 35.9718) * CHOOSE(CONTROL!$C$21, $C$9, 100%, $E$9)</f>
        <v>35.971800000000002</v>
      </c>
      <c r="L612" s="14">
        <f>CHOOSE(CONTROL!$C$42, 36.5422, 36.5422) * CHOOSE(CONTROL!$C$21, $C$9, 100%, $E$9)</f>
        <v>36.542200000000001</v>
      </c>
      <c r="M612" s="14">
        <f>CHOOSE(CONTROL!$C$42, 35.2294, 35.2294) * CHOOSE(CONTROL!$C$21, $C$9, 100%, $E$9)</f>
        <v>35.229399999999998</v>
      </c>
      <c r="N612" s="14">
        <f>CHOOSE(CONTROL!$C$42, 35.2471, 35.2471) * CHOOSE(CONTROL!$C$21, $C$9, 100%, $E$9)</f>
        <v>35.247100000000003</v>
      </c>
      <c r="O612" s="14">
        <f>CHOOSE(CONTROL!$C$42, 35.3162, 35.3162) * CHOOSE(CONTROL!$C$21, $C$9, 100%, $E$9)</f>
        <v>35.316200000000002</v>
      </c>
      <c r="P612" s="14">
        <f>CHOOSE(CONTROL!$C$42, 35.3344, 35.3344) * CHOOSE(CONTROL!$C$21, $C$9, 100%, $E$9)</f>
        <v>35.334400000000002</v>
      </c>
      <c r="Q612" s="14">
        <f>CHOOSE(CONTROL!$C$42, 35.9109, 35.9109) * CHOOSE(CONTROL!$C$21, $C$9, 100%, $E$9)</f>
        <v>35.910899999999998</v>
      </c>
      <c r="R612" s="14">
        <f>CHOOSE(CONTROL!$C$42, 36.5877, 36.5877) * CHOOSE(CONTROL!$C$21, $C$9, 100%, $E$9)</f>
        <v>36.587699999999998</v>
      </c>
      <c r="S612" s="14">
        <f>CHOOSE(CONTROL!$C$42, 34.4338, 34.4338) * CHOOSE(CONTROL!$C$21, $C$9, 100%, $E$9)</f>
        <v>34.433799999999998</v>
      </c>
      <c r="T61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12" s="56">
        <f>(1000*CHOOSE(CONTROL!$C$42, 695, 695)*CHOOSE(CONTROL!$C$42, 0.5599, 0.5599)*CHOOSE(CONTROL!$C$42, 31, 31))/1000000</f>
        <v>12.063045499999998</v>
      </c>
      <c r="V612" s="56">
        <f>(1000*CHOOSE(CONTROL!$C$42, 500, 500)*CHOOSE(CONTROL!$C$42, 0.275, 0.275)*CHOOSE(CONTROL!$C$42, 31, 31))/1000000</f>
        <v>4.2625000000000002</v>
      </c>
      <c r="W612" s="56">
        <f>(1000*CHOOSE(CONTROL!$C$42, 0.1146, 0.1146)*CHOOSE(CONTROL!$C$42, 121.5, 121.5)*CHOOSE(CONTROL!$C$42, 31, 31))/1000000</f>
        <v>0.43164089999999994</v>
      </c>
      <c r="X612" s="56">
        <f>(31*0.1790888*100000/1000000)+(31*0.2374*100000/1000000)</f>
        <v>1.2911152800000001</v>
      </c>
      <c r="Y612" s="56"/>
      <c r="Z612" s="14"/>
      <c r="AA612" s="55"/>
      <c r="AB612" s="49">
        <f>(B612*122.58+C612*297.941+D612*89.177+E612*40.302+F612*40+G612*160+H612*0+I612*100+J612*300)/(122.58+297.941+89.177+40.302+0+40+160+100+300)</f>
        <v>35.8814703453913</v>
      </c>
      <c r="AC612" s="45">
        <f>(M612*'RAP TEMPLATE-GAS AVAILABILITY'!O611+N612*'RAP TEMPLATE-GAS AVAILABILITY'!P611+O612*'RAP TEMPLATE-GAS AVAILABILITY'!Q611+P612*'RAP TEMPLATE-GAS AVAILABILITY'!R611)/('RAP TEMPLATE-GAS AVAILABILITY'!O611+'RAP TEMPLATE-GAS AVAILABILITY'!P611+'RAP TEMPLATE-GAS AVAILABILITY'!Q611+'RAP TEMPLATE-GAS AVAILABILITY'!R611)</f>
        <v>35.284867625899281</v>
      </c>
    </row>
    <row r="613" spans="1:29" ht="15.75" x14ac:dyDescent="0.25">
      <c r="A613" s="32">
        <v>59567</v>
      </c>
      <c r="B613" s="14">
        <f>CHOOSE(CONTROL!$C$42, 38.8145, 38.8145) * CHOOSE(CONTROL!$C$21, $C$9, 100%, $E$9)</f>
        <v>38.814500000000002</v>
      </c>
      <c r="C613" s="14">
        <f>CHOOSE(CONTROL!$C$42, 38.8195, 38.8195) * CHOOSE(CONTROL!$C$21, $C$9, 100%, $E$9)</f>
        <v>38.819499999999998</v>
      </c>
      <c r="D613" s="14">
        <f>CHOOSE(CONTROL!$C$42, 38.913, 38.913) * CHOOSE(CONTROL!$C$21, $C$9, 100%, $E$9)</f>
        <v>38.912999999999997</v>
      </c>
      <c r="E613" s="14">
        <f>CHOOSE(CONTROL!$C$42, 38.9471, 38.9471) * CHOOSE(CONTROL!$C$21, $C$9, 100%, $E$9)</f>
        <v>38.947099999999999</v>
      </c>
      <c r="F613" s="14">
        <f>CHOOSE(CONTROL!$C$42, 38.8418, 38.8418)*CHOOSE(CONTROL!$C$21, $C$9, 100%, $E$9)</f>
        <v>38.841799999999999</v>
      </c>
      <c r="G613" s="14">
        <f>CHOOSE(CONTROL!$C$42, 38.8598, 38.8598)*CHOOSE(CONTROL!$C$21, $C$9, 100%, $E$9)</f>
        <v>38.8598</v>
      </c>
      <c r="H613" s="14">
        <f>CHOOSE(CONTROL!$C$42, 38.9363, 38.9363) * CHOOSE(CONTROL!$C$21, $C$9, 100%, $E$9)</f>
        <v>38.936300000000003</v>
      </c>
      <c r="I613" s="14">
        <f>CHOOSE(CONTROL!$C$42, 38.9619, 38.9619)* CHOOSE(CONTROL!$C$21, $C$9, 100%, $E$9)</f>
        <v>38.9619</v>
      </c>
      <c r="J613" s="14">
        <f>CHOOSE(CONTROL!$C$42, 38.8348, 38.8348)* CHOOSE(CONTROL!$C$21, $C$9, 100%, $E$9)</f>
        <v>38.834800000000001</v>
      </c>
      <c r="K613" s="52">
        <f>CHOOSE(CONTROL!$C$42, 38.958, 38.958) * CHOOSE(CONTROL!$C$21, $C$9, 100%, $E$9)</f>
        <v>38.957999999999998</v>
      </c>
      <c r="L613" s="14">
        <f>CHOOSE(CONTROL!$C$42, 39.5233, 39.5233) * CHOOSE(CONTROL!$C$21, $C$9, 100%, $E$9)</f>
        <v>39.523299999999999</v>
      </c>
      <c r="M613" s="14">
        <f>CHOOSE(CONTROL!$C$42, 38.144, 38.144) * CHOOSE(CONTROL!$C$21, $C$9, 100%, $E$9)</f>
        <v>38.143999999999998</v>
      </c>
      <c r="N613" s="14">
        <f>CHOOSE(CONTROL!$C$42, 38.1616, 38.1616) * CHOOSE(CONTROL!$C$21, $C$9, 100%, $E$9)</f>
        <v>38.1616</v>
      </c>
      <c r="O613" s="14">
        <f>CHOOSE(CONTROL!$C$42, 38.2437, 38.2437) * CHOOSE(CONTROL!$C$21, $C$9, 100%, $E$9)</f>
        <v>38.243699999999997</v>
      </c>
      <c r="P613" s="14">
        <f>CHOOSE(CONTROL!$C$42, 38.2667, 38.2667) * CHOOSE(CONTROL!$C$21, $C$9, 100%, $E$9)</f>
        <v>38.2667</v>
      </c>
      <c r="Q613" s="14">
        <f>CHOOSE(CONTROL!$C$42, 38.8384, 38.8384) * CHOOSE(CONTROL!$C$21, $C$9, 100%, $E$9)</f>
        <v>38.8384</v>
      </c>
      <c r="R613" s="14">
        <f>CHOOSE(CONTROL!$C$42, 39.5225, 39.5225) * CHOOSE(CONTROL!$C$21, $C$9, 100%, $E$9)</f>
        <v>39.522500000000001</v>
      </c>
      <c r="S613" s="14">
        <f>CHOOSE(CONTROL!$C$42, 37.2883, 37.2883) * CHOOSE(CONTROL!$C$21, $C$9, 100%, $E$9)</f>
        <v>37.2883</v>
      </c>
      <c r="T61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13" s="56">
        <f>(1000*CHOOSE(CONTROL!$C$42, 695, 695)*CHOOSE(CONTROL!$C$42, 0.5599, 0.5599)*CHOOSE(CONTROL!$C$42, 31, 31))/1000000</f>
        <v>12.063045499999998</v>
      </c>
      <c r="V613" s="56">
        <f>(1000*CHOOSE(CONTROL!$C$42, 500, 500)*CHOOSE(CONTROL!$C$42, 0.275, 0.275)*CHOOSE(CONTROL!$C$42, 31, 31))/1000000</f>
        <v>4.2625000000000002</v>
      </c>
      <c r="W613" s="56">
        <f>(1000*CHOOSE(CONTROL!$C$42, 0.1146, 0.1146)*CHOOSE(CONTROL!$C$42, 121.5, 121.5)*CHOOSE(CONTROL!$C$42, 31, 31))/1000000</f>
        <v>0.43164089999999994</v>
      </c>
      <c r="X613" s="56">
        <f>(31*0.1790888*100000/1000000)+(31*0.2374*100000/1000000)</f>
        <v>1.2911152800000001</v>
      </c>
      <c r="Y613" s="56"/>
      <c r="Z613" s="14"/>
      <c r="AA613" s="55"/>
      <c r="AB613" s="49">
        <f>(B613*122.58+C613*297.941+D613*89.177+E613*40.302+F613*40+G613*160+H613*0+I613*100+J613*300)/(122.58+297.941+89.177+40.302+0+40+160+100+300)</f>
        <v>38.853445812782603</v>
      </c>
      <c r="AC613" s="45">
        <f>(M613*'RAP TEMPLATE-GAS AVAILABILITY'!O612+N613*'RAP TEMPLATE-GAS AVAILABILITY'!P612+O613*'RAP TEMPLATE-GAS AVAILABILITY'!Q612+P613*'RAP TEMPLATE-GAS AVAILABILITY'!R612)/('RAP TEMPLATE-GAS AVAILABILITY'!O612+'RAP TEMPLATE-GAS AVAILABILITY'!P612+'RAP TEMPLATE-GAS AVAILABILITY'!Q612+'RAP TEMPLATE-GAS AVAILABILITY'!R612)</f>
        <v>38.207855395683453</v>
      </c>
    </row>
    <row r="614" spans="1:29" ht="15.75" x14ac:dyDescent="0.25">
      <c r="A614" s="32">
        <v>59595</v>
      </c>
      <c r="B614" s="14">
        <f>CHOOSE(CONTROL!$C$42, 39.5053, 39.5053) * CHOOSE(CONTROL!$C$21, $C$9, 100%, $E$9)</f>
        <v>39.505299999999998</v>
      </c>
      <c r="C614" s="14">
        <f>CHOOSE(CONTROL!$C$42, 39.5103, 39.5103) * CHOOSE(CONTROL!$C$21, $C$9, 100%, $E$9)</f>
        <v>39.510300000000001</v>
      </c>
      <c r="D614" s="14">
        <f>CHOOSE(CONTROL!$C$42, 39.6038, 39.6038) * CHOOSE(CONTROL!$C$21, $C$9, 100%, $E$9)</f>
        <v>39.6038</v>
      </c>
      <c r="E614" s="14">
        <f>CHOOSE(CONTROL!$C$42, 39.6379, 39.6379) * CHOOSE(CONTROL!$C$21, $C$9, 100%, $E$9)</f>
        <v>39.637900000000002</v>
      </c>
      <c r="F614" s="14">
        <f>CHOOSE(CONTROL!$C$42, 39.5322, 39.5322)*CHOOSE(CONTROL!$C$21, $C$9, 100%, $E$9)</f>
        <v>39.532200000000003</v>
      </c>
      <c r="G614" s="14">
        <f>CHOOSE(CONTROL!$C$42, 39.5501, 39.5501)*CHOOSE(CONTROL!$C$21, $C$9, 100%, $E$9)</f>
        <v>39.5501</v>
      </c>
      <c r="H614" s="14">
        <f>CHOOSE(CONTROL!$C$42, 39.6271, 39.6271) * CHOOSE(CONTROL!$C$21, $C$9, 100%, $E$9)</f>
        <v>39.627099999999999</v>
      </c>
      <c r="I614" s="14">
        <f>CHOOSE(CONTROL!$C$42, 39.6549, 39.6549)* CHOOSE(CONTROL!$C$21, $C$9, 100%, $E$9)</f>
        <v>39.654899999999998</v>
      </c>
      <c r="J614" s="14">
        <f>CHOOSE(CONTROL!$C$42, 39.5252, 39.5252)* CHOOSE(CONTROL!$C$21, $C$9, 100%, $E$9)</f>
        <v>39.525199999999998</v>
      </c>
      <c r="K614" s="52">
        <f>CHOOSE(CONTROL!$C$42, 39.651, 39.651) * CHOOSE(CONTROL!$C$21, $C$9, 100%, $E$9)</f>
        <v>39.651000000000003</v>
      </c>
      <c r="L614" s="14">
        <f>CHOOSE(CONTROL!$C$42, 40.2141, 40.2141) * CHOOSE(CONTROL!$C$21, $C$9, 100%, $E$9)</f>
        <v>40.214100000000002</v>
      </c>
      <c r="M614" s="14">
        <f>CHOOSE(CONTROL!$C$42, 38.822, 38.822) * CHOOSE(CONTROL!$C$21, $C$9, 100%, $E$9)</f>
        <v>38.822000000000003</v>
      </c>
      <c r="N614" s="14">
        <f>CHOOSE(CONTROL!$C$42, 38.8395, 38.8395) * CHOOSE(CONTROL!$C$21, $C$9, 100%, $E$9)</f>
        <v>38.839500000000001</v>
      </c>
      <c r="O614" s="14">
        <f>CHOOSE(CONTROL!$C$42, 38.922, 38.922) * CHOOSE(CONTROL!$C$21, $C$9, 100%, $E$9)</f>
        <v>38.921999999999997</v>
      </c>
      <c r="P614" s="14">
        <f>CHOOSE(CONTROL!$C$42, 38.9472, 38.9472) * CHOOSE(CONTROL!$C$21, $C$9, 100%, $E$9)</f>
        <v>38.947200000000002</v>
      </c>
      <c r="Q614" s="14">
        <f>CHOOSE(CONTROL!$C$42, 39.5167, 39.5167) * CHOOSE(CONTROL!$C$21, $C$9, 100%, $E$9)</f>
        <v>39.5167</v>
      </c>
      <c r="R614" s="14">
        <f>CHOOSE(CONTROL!$C$42, 40.2025, 40.2025) * CHOOSE(CONTROL!$C$21, $C$9, 100%, $E$9)</f>
        <v>40.202500000000001</v>
      </c>
      <c r="S614" s="14">
        <f>CHOOSE(CONTROL!$C$42, 37.9521, 37.9521) * CHOOSE(CONTROL!$C$21, $C$9, 100%, $E$9)</f>
        <v>37.952100000000002</v>
      </c>
      <c r="T61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14" s="56">
        <f>(1000*CHOOSE(CONTROL!$C$42, 695, 695)*CHOOSE(CONTROL!$C$42, 0.5599, 0.5599)*CHOOSE(CONTROL!$C$42, 28, 28))/1000000</f>
        <v>10.895653999999999</v>
      </c>
      <c r="V614" s="56">
        <f>(1000*CHOOSE(CONTROL!$C$42, 500, 500)*CHOOSE(CONTROL!$C$42, 0.275, 0.275)*CHOOSE(CONTROL!$C$42, 28, 28))/1000000</f>
        <v>3.85</v>
      </c>
      <c r="W614" s="56">
        <f>(1000*CHOOSE(CONTROL!$C$42, 0.1146, 0.1146)*CHOOSE(CONTROL!$C$42, 121.5, 121.5)*CHOOSE(CONTROL!$C$42, 28, 28))/1000000</f>
        <v>0.38986920000000003</v>
      </c>
      <c r="X614" s="56">
        <f>(28*0.1790888*100000/1000000)+(28*0.2374*100000/1000000)</f>
        <v>1.16616864</v>
      </c>
      <c r="Y614" s="56"/>
      <c r="Z614" s="14"/>
      <c r="AA614" s="55"/>
      <c r="AB614" s="49">
        <f>(B614*122.58+C614*297.941+D614*89.177+E614*40.302+F614*40+G614*160+H614*0+I614*100+J614*300)/(122.58+297.941+89.177+40.302+0+40+160+100+300)</f>
        <v>39.544249291043471</v>
      </c>
      <c r="AC614" s="45">
        <f>(M614*'RAP TEMPLATE-GAS AVAILABILITY'!O613+N614*'RAP TEMPLATE-GAS AVAILABILITY'!P613+O614*'RAP TEMPLATE-GAS AVAILABILITY'!Q613+P614*'RAP TEMPLATE-GAS AVAILABILITY'!R613)/('RAP TEMPLATE-GAS AVAILABILITY'!O613+'RAP TEMPLATE-GAS AVAILABILITY'!P613+'RAP TEMPLATE-GAS AVAILABILITY'!Q613+'RAP TEMPLATE-GAS AVAILABILITY'!R613)</f>
        <v>38.886345323741011</v>
      </c>
    </row>
    <row r="615" spans="1:29" ht="15.75" x14ac:dyDescent="0.25">
      <c r="A615" s="32">
        <v>59626</v>
      </c>
      <c r="B615" s="14">
        <f>CHOOSE(CONTROL!$C$42, 38.384, 38.384) * CHOOSE(CONTROL!$C$21, $C$9, 100%, $E$9)</f>
        <v>38.384</v>
      </c>
      <c r="C615" s="14">
        <f>CHOOSE(CONTROL!$C$42, 38.389, 38.389) * CHOOSE(CONTROL!$C$21, $C$9, 100%, $E$9)</f>
        <v>38.389000000000003</v>
      </c>
      <c r="D615" s="14">
        <f>CHOOSE(CONTROL!$C$42, 38.4825, 38.4825) * CHOOSE(CONTROL!$C$21, $C$9, 100%, $E$9)</f>
        <v>38.482500000000002</v>
      </c>
      <c r="E615" s="14">
        <f>CHOOSE(CONTROL!$C$42, 38.5166, 38.5166) * CHOOSE(CONTROL!$C$21, $C$9, 100%, $E$9)</f>
        <v>38.516599999999997</v>
      </c>
      <c r="F615" s="14">
        <f>CHOOSE(CONTROL!$C$42, 38.41, 38.41)*CHOOSE(CONTROL!$C$21, $C$9, 100%, $E$9)</f>
        <v>38.409999999999997</v>
      </c>
      <c r="G615" s="14">
        <f>CHOOSE(CONTROL!$C$42, 38.4277, 38.4277)*CHOOSE(CONTROL!$C$21, $C$9, 100%, $E$9)</f>
        <v>38.427700000000002</v>
      </c>
      <c r="H615" s="14">
        <f>CHOOSE(CONTROL!$C$42, 38.5058, 38.5058) * CHOOSE(CONTROL!$C$21, $C$9, 100%, $E$9)</f>
        <v>38.505800000000001</v>
      </c>
      <c r="I615" s="14">
        <f>CHOOSE(CONTROL!$C$42, 38.5301, 38.5301)* CHOOSE(CONTROL!$C$21, $C$9, 100%, $E$9)</f>
        <v>38.530099999999997</v>
      </c>
      <c r="J615" s="14">
        <f>CHOOSE(CONTROL!$C$42, 38.403, 38.403)* CHOOSE(CONTROL!$C$21, $C$9, 100%, $E$9)</f>
        <v>38.402999999999999</v>
      </c>
      <c r="K615" s="52">
        <f>CHOOSE(CONTROL!$C$42, 38.5262, 38.5262) * CHOOSE(CONTROL!$C$21, $C$9, 100%, $E$9)</f>
        <v>38.526200000000003</v>
      </c>
      <c r="L615" s="14">
        <f>CHOOSE(CONTROL!$C$42, 39.0928, 39.0928) * CHOOSE(CONTROL!$C$21, $C$9, 100%, $E$9)</f>
        <v>39.092799999999997</v>
      </c>
      <c r="M615" s="14">
        <f>CHOOSE(CONTROL!$C$42, 37.72, 37.72) * CHOOSE(CONTROL!$C$21, $C$9, 100%, $E$9)</f>
        <v>37.72</v>
      </c>
      <c r="N615" s="14">
        <f>CHOOSE(CONTROL!$C$42, 37.7373, 37.7373) * CHOOSE(CONTROL!$C$21, $C$9, 100%, $E$9)</f>
        <v>37.737299999999998</v>
      </c>
      <c r="O615" s="14">
        <f>CHOOSE(CONTROL!$C$42, 37.8209, 37.8209) * CHOOSE(CONTROL!$C$21, $C$9, 100%, $E$9)</f>
        <v>37.820900000000002</v>
      </c>
      <c r="P615" s="14">
        <f>CHOOSE(CONTROL!$C$42, 37.8427, 37.8427) * CHOOSE(CONTROL!$C$21, $C$9, 100%, $E$9)</f>
        <v>37.842700000000001</v>
      </c>
      <c r="Q615" s="14">
        <f>CHOOSE(CONTROL!$C$42, 38.4156, 38.4156) * CHOOSE(CONTROL!$C$21, $C$9, 100%, $E$9)</f>
        <v>38.415599999999998</v>
      </c>
      <c r="R615" s="14">
        <f>CHOOSE(CONTROL!$C$42, 39.0986, 39.0986) * CHOOSE(CONTROL!$C$21, $C$9, 100%, $E$9)</f>
        <v>39.098599999999998</v>
      </c>
      <c r="S615" s="14">
        <f>CHOOSE(CONTROL!$C$42, 36.8746, 36.8746) * CHOOSE(CONTROL!$C$21, $C$9, 100%, $E$9)</f>
        <v>36.874600000000001</v>
      </c>
      <c r="T61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15" s="56">
        <f>(1000*CHOOSE(CONTROL!$C$42, 695, 695)*CHOOSE(CONTROL!$C$42, 0.5599, 0.5599)*CHOOSE(CONTROL!$C$42, 31, 31))/1000000</f>
        <v>12.063045499999998</v>
      </c>
      <c r="V615" s="56">
        <f>(1000*CHOOSE(CONTROL!$C$42, 500, 500)*CHOOSE(CONTROL!$C$42, 0.275, 0.275)*CHOOSE(CONTROL!$C$42, 31, 31))/1000000</f>
        <v>4.2625000000000002</v>
      </c>
      <c r="W615" s="56">
        <f>(1000*CHOOSE(CONTROL!$C$42, 0.1146, 0.1146)*CHOOSE(CONTROL!$C$42, 121.5, 121.5)*CHOOSE(CONTROL!$C$42, 31, 31))/1000000</f>
        <v>0.43164089999999994</v>
      </c>
      <c r="X615" s="56">
        <f>(31*0.1790888*100000/1000000)+(31*0.2374*100000/1000000)</f>
        <v>1.2911152800000001</v>
      </c>
      <c r="Y615" s="56"/>
      <c r="Z615" s="14"/>
      <c r="AA615" s="55"/>
      <c r="AB615" s="49">
        <f>(B615*122.58+C615*297.941+D615*89.177+E615*40.302+F615*40+G615*160+H615*0+I615*100+J615*300)/(122.58+297.941+89.177+40.302+0+40+160+100+300)</f>
        <v>38.422225812782607</v>
      </c>
      <c r="AC615" s="45">
        <f>(M615*'RAP TEMPLATE-GAS AVAILABILITY'!O614+N615*'RAP TEMPLATE-GAS AVAILABILITY'!P614+O615*'RAP TEMPLATE-GAS AVAILABILITY'!Q614+P615*'RAP TEMPLATE-GAS AVAILABILITY'!R614)/('RAP TEMPLATE-GAS AVAILABILITY'!O614+'RAP TEMPLATE-GAS AVAILABILITY'!P614+'RAP TEMPLATE-GAS AVAILABILITY'!Q614+'RAP TEMPLATE-GAS AVAILABILITY'!R614)</f>
        <v>37.784382014388491</v>
      </c>
    </row>
    <row r="616" spans="1:29" ht="15.75" x14ac:dyDescent="0.25">
      <c r="A616" s="32">
        <v>59656</v>
      </c>
      <c r="B616" s="14">
        <f>CHOOSE(CONTROL!$C$42, 38.2701, 38.2701) * CHOOSE(CONTROL!$C$21, $C$9, 100%, $E$9)</f>
        <v>38.270099999999999</v>
      </c>
      <c r="C616" s="14">
        <f>CHOOSE(CONTROL!$C$42, 38.2745, 38.2745) * CHOOSE(CONTROL!$C$21, $C$9, 100%, $E$9)</f>
        <v>38.274500000000003</v>
      </c>
      <c r="D616" s="14">
        <f>CHOOSE(CONTROL!$C$42, 38.5368, 38.5368) * CHOOSE(CONTROL!$C$21, $C$9, 100%, $E$9)</f>
        <v>38.536799999999999</v>
      </c>
      <c r="E616" s="14">
        <f>CHOOSE(CONTROL!$C$42, 38.5689, 38.5689) * CHOOSE(CONTROL!$C$21, $C$9, 100%, $E$9)</f>
        <v>38.568899999999999</v>
      </c>
      <c r="F616" s="14">
        <f>CHOOSE(CONTROL!$C$42, 38.2929, 38.2929)*CHOOSE(CONTROL!$C$21, $C$9, 100%, $E$9)</f>
        <v>38.292900000000003</v>
      </c>
      <c r="G616" s="14">
        <f>CHOOSE(CONTROL!$C$42, 38.3096, 38.3096)*CHOOSE(CONTROL!$C$21, $C$9, 100%, $E$9)</f>
        <v>38.309600000000003</v>
      </c>
      <c r="H616" s="14">
        <f>CHOOSE(CONTROL!$C$42, 38.5587, 38.5587) * CHOOSE(CONTROL!$C$21, $C$9, 100%, $E$9)</f>
        <v>38.558700000000002</v>
      </c>
      <c r="I616" s="14">
        <f>CHOOSE(CONTROL!$C$42, 38.4124, 38.4124)* CHOOSE(CONTROL!$C$21, $C$9, 100%, $E$9)</f>
        <v>38.412399999999998</v>
      </c>
      <c r="J616" s="14">
        <f>CHOOSE(CONTROL!$C$42, 38.2859, 38.2859)* CHOOSE(CONTROL!$C$21, $C$9, 100%, $E$9)</f>
        <v>38.285899999999998</v>
      </c>
      <c r="K616" s="52">
        <f>CHOOSE(CONTROL!$C$42, 38.4085, 38.4085) * CHOOSE(CONTROL!$C$21, $C$9, 100%, $E$9)</f>
        <v>38.408499999999997</v>
      </c>
      <c r="L616" s="14">
        <f>CHOOSE(CONTROL!$C$42, 39.1457, 39.1457) * CHOOSE(CONTROL!$C$21, $C$9, 100%, $E$9)</f>
        <v>39.145699999999998</v>
      </c>
      <c r="M616" s="14">
        <f>CHOOSE(CONTROL!$C$42, 37.6049, 37.6049) * CHOOSE(CONTROL!$C$21, $C$9, 100%, $E$9)</f>
        <v>37.604900000000001</v>
      </c>
      <c r="N616" s="14">
        <f>CHOOSE(CONTROL!$C$42, 37.6214, 37.6214) * CHOOSE(CONTROL!$C$21, $C$9, 100%, $E$9)</f>
        <v>37.621400000000001</v>
      </c>
      <c r="O616" s="14">
        <f>CHOOSE(CONTROL!$C$42, 37.8728, 37.8728) * CHOOSE(CONTROL!$C$21, $C$9, 100%, $E$9)</f>
        <v>37.872799999999998</v>
      </c>
      <c r="P616" s="14">
        <f>CHOOSE(CONTROL!$C$42, 37.7271, 37.7271) * CHOOSE(CONTROL!$C$21, $C$9, 100%, $E$9)</f>
        <v>37.7271</v>
      </c>
      <c r="Q616" s="14">
        <f>CHOOSE(CONTROL!$C$42, 38.4675, 38.4675) * CHOOSE(CONTROL!$C$21, $C$9, 100%, $E$9)</f>
        <v>38.467500000000001</v>
      </c>
      <c r="R616" s="14">
        <f>CHOOSE(CONTROL!$C$42, 39.1507, 39.1507) * CHOOSE(CONTROL!$C$21, $C$9, 100%, $E$9)</f>
        <v>39.150700000000001</v>
      </c>
      <c r="S616" s="14">
        <f>CHOOSE(CONTROL!$C$42, 36.7644, 36.7644) * CHOOSE(CONTROL!$C$21, $C$9, 100%, $E$9)</f>
        <v>36.764400000000002</v>
      </c>
      <c r="T61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16" s="56">
        <f>(1000*CHOOSE(CONTROL!$C$42, 695, 695)*CHOOSE(CONTROL!$C$42, 0.5599, 0.5599)*CHOOSE(CONTROL!$C$42, 30, 30))/1000000</f>
        <v>11.673914999999997</v>
      </c>
      <c r="V616" s="56">
        <f>(1000*CHOOSE(CONTROL!$C$42, 500, 500)*CHOOSE(CONTROL!$C$42, 0.275, 0.275)*CHOOSE(CONTROL!$C$42, 30, 30))/1000000</f>
        <v>4.125</v>
      </c>
      <c r="W616" s="56">
        <f>(1000*CHOOSE(CONTROL!$C$42, 0.1146, 0.1146)*CHOOSE(CONTROL!$C$42, 121.5, 121.5)*CHOOSE(CONTROL!$C$42, 30, 30))/1000000</f>
        <v>0.417717</v>
      </c>
      <c r="X616" s="56">
        <f>(30*0.1790888*245000/1000000)+(30*0.2374*100000/1000000)</f>
        <v>2.0285026799999999</v>
      </c>
      <c r="Y616" s="56"/>
      <c r="Z616" s="14"/>
      <c r="AA616" s="55"/>
      <c r="AB616" s="49">
        <f>(B616*141.293+C616*267.993+D616*115.016+E616*89.698+F616*40+G616*185+H616*0+I616*100+J616*300)/(141.293+267.993+115.016+89.698+0+40+185+100+300)</f>
        <v>38.339385874737694</v>
      </c>
      <c r="AC616" s="45">
        <f>(M616*'RAP TEMPLATE-GAS AVAILABILITY'!O615+N616*'RAP TEMPLATE-GAS AVAILABILITY'!P615+O616*'RAP TEMPLATE-GAS AVAILABILITY'!Q615+P616*'RAP TEMPLATE-GAS AVAILABILITY'!R615)/('RAP TEMPLATE-GAS AVAILABILITY'!O615+'RAP TEMPLATE-GAS AVAILABILITY'!P615+'RAP TEMPLATE-GAS AVAILABILITY'!Q615+'RAP TEMPLATE-GAS AVAILABILITY'!R615)</f>
        <v>37.744854676258988</v>
      </c>
    </row>
    <row r="617" spans="1:29" ht="15.75" x14ac:dyDescent="0.25">
      <c r="A617" s="32">
        <v>59687</v>
      </c>
      <c r="B617" s="14">
        <f>CHOOSE(CONTROL!$C$42, 38.6091, 38.6091) * CHOOSE(CONTROL!$C$21, $C$9, 100%, $E$9)</f>
        <v>38.609099999999998</v>
      </c>
      <c r="C617" s="14">
        <f>CHOOSE(CONTROL!$C$42, 38.6172, 38.6172) * CHOOSE(CONTROL!$C$21, $C$9, 100%, $E$9)</f>
        <v>38.617199999999997</v>
      </c>
      <c r="D617" s="14">
        <f>CHOOSE(CONTROL!$C$42, 38.8763, 38.8763) * CHOOSE(CONTROL!$C$21, $C$9, 100%, $E$9)</f>
        <v>38.876300000000001</v>
      </c>
      <c r="E617" s="14">
        <f>CHOOSE(CONTROL!$C$42, 38.9077, 38.9077) * CHOOSE(CONTROL!$C$21, $C$9, 100%, $E$9)</f>
        <v>38.907699999999998</v>
      </c>
      <c r="F617" s="14">
        <f>CHOOSE(CONTROL!$C$42, 38.6307, 38.6307)*CHOOSE(CONTROL!$C$21, $C$9, 100%, $E$9)</f>
        <v>38.630699999999997</v>
      </c>
      <c r="G617" s="14">
        <f>CHOOSE(CONTROL!$C$42, 38.6476, 38.6476)*CHOOSE(CONTROL!$C$21, $C$9, 100%, $E$9)</f>
        <v>38.647599999999997</v>
      </c>
      <c r="H617" s="14">
        <f>CHOOSE(CONTROL!$C$42, 38.8964, 38.8964) * CHOOSE(CONTROL!$C$21, $C$9, 100%, $E$9)</f>
        <v>38.8964</v>
      </c>
      <c r="I617" s="14">
        <f>CHOOSE(CONTROL!$C$42, 38.7512, 38.7512)* CHOOSE(CONTROL!$C$21, $C$9, 100%, $E$9)</f>
        <v>38.751199999999997</v>
      </c>
      <c r="J617" s="14">
        <f>CHOOSE(CONTROL!$C$42, 38.6237, 38.6237)* CHOOSE(CONTROL!$C$21, $C$9, 100%, $E$9)</f>
        <v>38.623699999999999</v>
      </c>
      <c r="K617" s="52">
        <f>CHOOSE(CONTROL!$C$42, 38.7473, 38.7473) * CHOOSE(CONTROL!$C$21, $C$9, 100%, $E$9)</f>
        <v>38.747300000000003</v>
      </c>
      <c r="L617" s="14">
        <f>CHOOSE(CONTROL!$C$42, 39.4834, 39.4834) * CHOOSE(CONTROL!$C$21, $C$9, 100%, $E$9)</f>
        <v>39.483400000000003</v>
      </c>
      <c r="M617" s="14">
        <f>CHOOSE(CONTROL!$C$42, 37.9366, 37.9366) * CHOOSE(CONTROL!$C$21, $C$9, 100%, $E$9)</f>
        <v>37.936599999999999</v>
      </c>
      <c r="N617" s="14">
        <f>CHOOSE(CONTROL!$C$42, 37.9533, 37.9533) * CHOOSE(CONTROL!$C$21, $C$9, 100%, $E$9)</f>
        <v>37.953299999999999</v>
      </c>
      <c r="O617" s="14">
        <f>CHOOSE(CONTROL!$C$42, 38.2044, 38.2044) * CHOOSE(CONTROL!$C$21, $C$9, 100%, $E$9)</f>
        <v>38.2044</v>
      </c>
      <c r="P617" s="14">
        <f>CHOOSE(CONTROL!$C$42, 38.0598, 38.0598) * CHOOSE(CONTROL!$C$21, $C$9, 100%, $E$9)</f>
        <v>38.059800000000003</v>
      </c>
      <c r="Q617" s="14">
        <f>CHOOSE(CONTROL!$C$42, 38.7991, 38.7991) * CHOOSE(CONTROL!$C$21, $C$9, 100%, $E$9)</f>
        <v>38.799100000000003</v>
      </c>
      <c r="R617" s="14">
        <f>CHOOSE(CONTROL!$C$42, 39.4831, 39.4831) * CHOOSE(CONTROL!$C$21, $C$9, 100%, $E$9)</f>
        <v>39.4831</v>
      </c>
      <c r="S617" s="14">
        <f>CHOOSE(CONTROL!$C$42, 37.0889, 37.0889) * CHOOSE(CONTROL!$C$21, $C$9, 100%, $E$9)</f>
        <v>37.088900000000002</v>
      </c>
      <c r="T61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17" s="56">
        <f>(1000*CHOOSE(CONTROL!$C$42, 695, 695)*CHOOSE(CONTROL!$C$42, 0.5599, 0.5599)*CHOOSE(CONTROL!$C$42, 31, 31))/1000000</f>
        <v>12.063045499999998</v>
      </c>
      <c r="V617" s="56">
        <f>(1000*CHOOSE(CONTROL!$C$42, 500, 500)*CHOOSE(CONTROL!$C$42, 0.275, 0.275)*CHOOSE(CONTROL!$C$42, 31, 31))/1000000</f>
        <v>4.2625000000000002</v>
      </c>
      <c r="W617" s="56">
        <f>(1000*CHOOSE(CONTROL!$C$42, 0.1146, 0.1146)*CHOOSE(CONTROL!$C$42, 121.5, 121.5)*CHOOSE(CONTROL!$C$42, 31, 31))/1000000</f>
        <v>0.43164089999999994</v>
      </c>
      <c r="X617" s="56">
        <f>(31*0.1790888*245000/1000000)+(31*0.2374*100000/1000000)</f>
        <v>2.0961194359999999</v>
      </c>
      <c r="Y617" s="56"/>
      <c r="Z617" s="14"/>
      <c r="AA617" s="55"/>
      <c r="AB617" s="49">
        <f>(B617*194.205+C617*267.466+D617*133.845+E617*53.484+F617*40+G617*185+H617*0+I617*100+J617*300)/(194.205+267.466+133.845+53.484+0+40+185+100+300)</f>
        <v>38.672268509419155</v>
      </c>
      <c r="AC617" s="45">
        <f>(M617*'RAP TEMPLATE-GAS AVAILABILITY'!O616+N617*'RAP TEMPLATE-GAS AVAILABILITY'!P616+O617*'RAP TEMPLATE-GAS AVAILABILITY'!Q616+P617*'RAP TEMPLATE-GAS AVAILABILITY'!R616)/('RAP TEMPLATE-GAS AVAILABILITY'!O616+'RAP TEMPLATE-GAS AVAILABILITY'!P616+'RAP TEMPLATE-GAS AVAILABILITY'!Q616+'RAP TEMPLATE-GAS AVAILABILITY'!R616)</f>
        <v>38.076664748201438</v>
      </c>
    </row>
    <row r="618" spans="1:29" ht="15.75" x14ac:dyDescent="0.25">
      <c r="A618" s="32">
        <v>59717</v>
      </c>
      <c r="B618" s="14">
        <f>CHOOSE(CONTROL!$C$42, 39.704, 39.704) * CHOOSE(CONTROL!$C$21, $C$9, 100%, $E$9)</f>
        <v>39.704000000000001</v>
      </c>
      <c r="C618" s="14">
        <f>CHOOSE(CONTROL!$C$42, 39.712, 39.712) * CHOOSE(CONTROL!$C$21, $C$9, 100%, $E$9)</f>
        <v>39.712000000000003</v>
      </c>
      <c r="D618" s="14">
        <f>CHOOSE(CONTROL!$C$42, 39.9711, 39.9711) * CHOOSE(CONTROL!$C$21, $C$9, 100%, $E$9)</f>
        <v>39.9711</v>
      </c>
      <c r="E618" s="14">
        <f>CHOOSE(CONTROL!$C$42, 40.0026, 40.0026) * CHOOSE(CONTROL!$C$21, $C$9, 100%, $E$9)</f>
        <v>40.002600000000001</v>
      </c>
      <c r="F618" s="14">
        <f>CHOOSE(CONTROL!$C$42, 39.7258, 39.7258)*CHOOSE(CONTROL!$C$21, $C$9, 100%, $E$9)</f>
        <v>39.7258</v>
      </c>
      <c r="G618" s="14">
        <f>CHOOSE(CONTROL!$C$42, 39.7428, 39.7428)*CHOOSE(CONTROL!$C$21, $C$9, 100%, $E$9)</f>
        <v>39.742800000000003</v>
      </c>
      <c r="H618" s="14">
        <f>CHOOSE(CONTROL!$C$42, 39.9912, 39.9912) * CHOOSE(CONTROL!$C$21, $C$9, 100%, $E$9)</f>
        <v>39.991199999999999</v>
      </c>
      <c r="I618" s="14">
        <f>CHOOSE(CONTROL!$C$42, 39.8495, 39.8495)* CHOOSE(CONTROL!$C$21, $C$9, 100%, $E$9)</f>
        <v>39.849499999999999</v>
      </c>
      <c r="J618" s="14">
        <f>CHOOSE(CONTROL!$C$42, 39.7188, 39.7188)* CHOOSE(CONTROL!$C$21, $C$9, 100%, $E$9)</f>
        <v>39.718800000000002</v>
      </c>
      <c r="K618" s="52">
        <f>CHOOSE(CONTROL!$C$42, 39.8456, 39.8456) * CHOOSE(CONTROL!$C$21, $C$9, 100%, $E$9)</f>
        <v>39.845599999999997</v>
      </c>
      <c r="L618" s="14">
        <f>CHOOSE(CONTROL!$C$42, 40.5782, 40.5782) * CHOOSE(CONTROL!$C$21, $C$9, 100%, $E$9)</f>
        <v>40.578200000000002</v>
      </c>
      <c r="M618" s="14">
        <f>CHOOSE(CONTROL!$C$42, 39.0121, 39.0121) * CHOOSE(CONTROL!$C$21, $C$9, 100%, $E$9)</f>
        <v>39.012099999999997</v>
      </c>
      <c r="N618" s="14">
        <f>CHOOSE(CONTROL!$C$42, 39.0288, 39.0288) * CHOOSE(CONTROL!$C$21, $C$9, 100%, $E$9)</f>
        <v>39.028799999999997</v>
      </c>
      <c r="O618" s="14">
        <f>CHOOSE(CONTROL!$C$42, 39.2796, 39.2796) * CHOOSE(CONTROL!$C$21, $C$9, 100%, $E$9)</f>
        <v>39.279600000000002</v>
      </c>
      <c r="P618" s="14">
        <f>CHOOSE(CONTROL!$C$42, 39.1383, 39.1383) * CHOOSE(CONTROL!$C$21, $C$9, 100%, $E$9)</f>
        <v>39.138300000000001</v>
      </c>
      <c r="Q618" s="14">
        <f>CHOOSE(CONTROL!$C$42, 39.8743, 39.8743) * CHOOSE(CONTROL!$C$21, $C$9, 100%, $E$9)</f>
        <v>39.874299999999998</v>
      </c>
      <c r="R618" s="14">
        <f>CHOOSE(CONTROL!$C$42, 40.561, 40.561) * CHOOSE(CONTROL!$C$21, $C$9, 100%, $E$9)</f>
        <v>40.561</v>
      </c>
      <c r="S618" s="14">
        <f>CHOOSE(CONTROL!$C$42, 38.1409, 38.1409) * CHOOSE(CONTROL!$C$21, $C$9, 100%, $E$9)</f>
        <v>38.140900000000002</v>
      </c>
      <c r="T61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18" s="56">
        <f>(1000*CHOOSE(CONTROL!$C$42, 695, 695)*CHOOSE(CONTROL!$C$42, 0.5599, 0.5599)*CHOOSE(CONTROL!$C$42, 30, 30))/1000000</f>
        <v>11.673914999999997</v>
      </c>
      <c r="V618" s="56">
        <f>(1000*CHOOSE(CONTROL!$C$42, 500, 500)*CHOOSE(CONTROL!$C$42, 0.275, 0.275)*CHOOSE(CONTROL!$C$42, 30, 30))/1000000</f>
        <v>4.125</v>
      </c>
      <c r="W618" s="56">
        <f>(1000*CHOOSE(CONTROL!$C$42, 0.1146, 0.1146)*CHOOSE(CONTROL!$C$42, 121.5, 121.5)*CHOOSE(CONTROL!$C$42, 30, 30))/1000000</f>
        <v>0.417717</v>
      </c>
      <c r="X618" s="56">
        <f>(30*0.1790888*245000/1000000)+(30*0.2374*100000/1000000)</f>
        <v>2.0285026799999999</v>
      </c>
      <c r="Y618" s="56"/>
      <c r="Z618" s="14"/>
      <c r="AA618" s="55"/>
      <c r="AB618" s="49">
        <f>(B618*194.205+C618*267.466+D618*133.845+E618*53.484+F618*40+G618*185+H618*0+I618*100+J618*300)/(194.205+267.466+133.845+53.484+0+40+185+100+300)</f>
        <v>39.767500824097326</v>
      </c>
      <c r="AC618" s="45">
        <f>(M618*'RAP TEMPLATE-GAS AVAILABILITY'!O617+N618*'RAP TEMPLATE-GAS AVAILABILITY'!P617+O618*'RAP TEMPLATE-GAS AVAILABILITY'!Q617+P618*'RAP TEMPLATE-GAS AVAILABILITY'!R617)/('RAP TEMPLATE-GAS AVAILABILITY'!O617+'RAP TEMPLATE-GAS AVAILABILITY'!P617+'RAP TEMPLATE-GAS AVAILABILITY'!Q617+'RAP TEMPLATE-GAS AVAILABILITY'!R617)</f>
        <v>39.152460431654674</v>
      </c>
    </row>
    <row r="619" spans="1:29" ht="15.75" x14ac:dyDescent="0.25">
      <c r="A619" s="32">
        <v>59748</v>
      </c>
      <c r="B619" s="14">
        <f>CHOOSE(CONTROL!$C$42, 38.9425, 38.9425) * CHOOSE(CONTROL!$C$21, $C$9, 100%, $E$9)</f>
        <v>38.942500000000003</v>
      </c>
      <c r="C619" s="14">
        <f>CHOOSE(CONTROL!$C$42, 38.9506, 38.9506) * CHOOSE(CONTROL!$C$21, $C$9, 100%, $E$9)</f>
        <v>38.950600000000001</v>
      </c>
      <c r="D619" s="14">
        <f>CHOOSE(CONTROL!$C$42, 39.2096, 39.2096) * CHOOSE(CONTROL!$C$21, $C$9, 100%, $E$9)</f>
        <v>39.209600000000002</v>
      </c>
      <c r="E619" s="14">
        <f>CHOOSE(CONTROL!$C$42, 39.2411, 39.2411) * CHOOSE(CONTROL!$C$21, $C$9, 100%, $E$9)</f>
        <v>39.241100000000003</v>
      </c>
      <c r="F619" s="14">
        <f>CHOOSE(CONTROL!$C$42, 38.9647, 38.9647)*CHOOSE(CONTROL!$C$21, $C$9, 100%, $E$9)</f>
        <v>38.964700000000001</v>
      </c>
      <c r="G619" s="14">
        <f>CHOOSE(CONTROL!$C$42, 38.9819, 38.9819)*CHOOSE(CONTROL!$C$21, $C$9, 100%, $E$9)</f>
        <v>38.981900000000003</v>
      </c>
      <c r="H619" s="14">
        <f>CHOOSE(CONTROL!$C$42, 39.2297, 39.2297) * CHOOSE(CONTROL!$C$21, $C$9, 100%, $E$9)</f>
        <v>39.229700000000001</v>
      </c>
      <c r="I619" s="14">
        <f>CHOOSE(CONTROL!$C$42, 39.0856, 39.0856)* CHOOSE(CONTROL!$C$21, $C$9, 100%, $E$9)</f>
        <v>39.085599999999999</v>
      </c>
      <c r="J619" s="14">
        <f>CHOOSE(CONTROL!$C$42, 38.9577, 38.9577)* CHOOSE(CONTROL!$C$21, $C$9, 100%, $E$9)</f>
        <v>38.957700000000003</v>
      </c>
      <c r="K619" s="52">
        <f>CHOOSE(CONTROL!$C$42, 39.0817, 39.0817) * CHOOSE(CONTROL!$C$21, $C$9, 100%, $E$9)</f>
        <v>39.081699999999998</v>
      </c>
      <c r="L619" s="14">
        <f>CHOOSE(CONTROL!$C$42, 39.8167, 39.8167) * CHOOSE(CONTROL!$C$21, $C$9, 100%, $E$9)</f>
        <v>39.816699999999997</v>
      </c>
      <c r="M619" s="14">
        <f>CHOOSE(CONTROL!$C$42, 38.2647, 38.2647) * CHOOSE(CONTROL!$C$21, $C$9, 100%, $E$9)</f>
        <v>38.264699999999998</v>
      </c>
      <c r="N619" s="14">
        <f>CHOOSE(CONTROL!$C$42, 38.2815, 38.2815) * CHOOSE(CONTROL!$C$21, $C$9, 100%, $E$9)</f>
        <v>38.281500000000001</v>
      </c>
      <c r="O619" s="14">
        <f>CHOOSE(CONTROL!$C$42, 38.5318, 38.5318) * CHOOSE(CONTROL!$C$21, $C$9, 100%, $E$9)</f>
        <v>38.531799999999997</v>
      </c>
      <c r="P619" s="14">
        <f>CHOOSE(CONTROL!$C$42, 38.3882, 38.3882) * CHOOSE(CONTROL!$C$21, $C$9, 100%, $E$9)</f>
        <v>38.388199999999998</v>
      </c>
      <c r="Q619" s="14">
        <f>CHOOSE(CONTROL!$C$42, 39.1265, 39.1265) * CHOOSE(CONTROL!$C$21, $C$9, 100%, $E$9)</f>
        <v>39.1265</v>
      </c>
      <c r="R619" s="14">
        <f>CHOOSE(CONTROL!$C$42, 39.8113, 39.8113) * CHOOSE(CONTROL!$C$21, $C$9, 100%, $E$9)</f>
        <v>39.811300000000003</v>
      </c>
      <c r="S619" s="14">
        <f>CHOOSE(CONTROL!$C$42, 37.4092, 37.4092) * CHOOSE(CONTROL!$C$21, $C$9, 100%, $E$9)</f>
        <v>37.409199999999998</v>
      </c>
      <c r="T61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19" s="56">
        <f>(1000*CHOOSE(CONTROL!$C$42, 695, 695)*CHOOSE(CONTROL!$C$42, 0.5599, 0.5599)*CHOOSE(CONTROL!$C$42, 31, 31))/1000000</f>
        <v>12.063045499999998</v>
      </c>
      <c r="V619" s="56">
        <f>(1000*CHOOSE(CONTROL!$C$42, 500, 500)*CHOOSE(CONTROL!$C$42, 0.275, 0.275)*CHOOSE(CONTROL!$C$42, 31, 31))/1000000</f>
        <v>4.2625000000000002</v>
      </c>
      <c r="W619" s="56">
        <f>(1000*CHOOSE(CONTROL!$C$42, 0.1146, 0.1146)*CHOOSE(CONTROL!$C$42, 121.5, 121.5)*CHOOSE(CONTROL!$C$42, 31, 31))/1000000</f>
        <v>0.43164089999999994</v>
      </c>
      <c r="X619" s="56">
        <f>(31*0.1790888*245000/1000000)+(31*0.2374*100000/1000000)</f>
        <v>2.0961194359999999</v>
      </c>
      <c r="Y619" s="56"/>
      <c r="Z619" s="14"/>
      <c r="AA619" s="55"/>
      <c r="AB619" s="49">
        <f>(B619*194.205+C619*267.466+D619*133.845+E619*53.484+F619*40+G619*185+H619*0+I619*100+J619*300)/(194.205+267.466+133.845+53.484+0+40+185+100+300)</f>
        <v>39.006027312794359</v>
      </c>
      <c r="AC619" s="45">
        <f>(M619*'RAP TEMPLATE-GAS AVAILABILITY'!O618+N619*'RAP TEMPLATE-GAS AVAILABILITY'!P618+O619*'RAP TEMPLATE-GAS AVAILABILITY'!Q618+P619*'RAP TEMPLATE-GAS AVAILABILITY'!R618)/('RAP TEMPLATE-GAS AVAILABILITY'!O618+'RAP TEMPLATE-GAS AVAILABILITY'!P618+'RAP TEMPLATE-GAS AVAILABILITY'!Q618+'RAP TEMPLATE-GAS AVAILABILITY'!R618)</f>
        <v>38.404496402877697</v>
      </c>
    </row>
    <row r="620" spans="1:29" ht="15.75" x14ac:dyDescent="0.25">
      <c r="A620" s="32">
        <v>59779</v>
      </c>
      <c r="B620" s="14">
        <f>CHOOSE(CONTROL!$C$42, 37.0195, 37.0195) * CHOOSE(CONTROL!$C$21, $C$9, 100%, $E$9)</f>
        <v>37.019500000000001</v>
      </c>
      <c r="C620" s="14">
        <f>CHOOSE(CONTROL!$C$42, 37.0276, 37.0276) * CHOOSE(CONTROL!$C$21, $C$9, 100%, $E$9)</f>
        <v>37.0276</v>
      </c>
      <c r="D620" s="14">
        <f>CHOOSE(CONTROL!$C$42, 37.2867, 37.2867) * CHOOSE(CONTROL!$C$21, $C$9, 100%, $E$9)</f>
        <v>37.286700000000003</v>
      </c>
      <c r="E620" s="14">
        <f>CHOOSE(CONTROL!$C$42, 37.3181, 37.3181) * CHOOSE(CONTROL!$C$21, $C$9, 100%, $E$9)</f>
        <v>37.318100000000001</v>
      </c>
      <c r="F620" s="14">
        <f>CHOOSE(CONTROL!$C$42, 37.0419, 37.0419)*CHOOSE(CONTROL!$C$21, $C$9, 100%, $E$9)</f>
        <v>37.041899999999998</v>
      </c>
      <c r="G620" s="14">
        <f>CHOOSE(CONTROL!$C$42, 37.0591, 37.0591)*CHOOSE(CONTROL!$C$21, $C$9, 100%, $E$9)</f>
        <v>37.059100000000001</v>
      </c>
      <c r="H620" s="14">
        <f>CHOOSE(CONTROL!$C$42, 37.3067, 37.3067) * CHOOSE(CONTROL!$C$21, $C$9, 100%, $E$9)</f>
        <v>37.306699999999999</v>
      </c>
      <c r="I620" s="14">
        <f>CHOOSE(CONTROL!$C$42, 37.1566, 37.1566)* CHOOSE(CONTROL!$C$21, $C$9, 100%, $E$9)</f>
        <v>37.156599999999997</v>
      </c>
      <c r="J620" s="14">
        <f>CHOOSE(CONTROL!$C$42, 37.0349, 37.0349)* CHOOSE(CONTROL!$C$21, $C$9, 100%, $E$9)</f>
        <v>37.0349</v>
      </c>
      <c r="K620" s="52">
        <f>CHOOSE(CONTROL!$C$42, 37.1527, 37.1527) * CHOOSE(CONTROL!$C$21, $C$9, 100%, $E$9)</f>
        <v>37.152700000000003</v>
      </c>
      <c r="L620" s="14">
        <f>CHOOSE(CONTROL!$C$42, 37.8937, 37.8937) * CHOOSE(CONTROL!$C$21, $C$9, 100%, $E$9)</f>
        <v>37.893700000000003</v>
      </c>
      <c r="M620" s="14">
        <f>CHOOSE(CONTROL!$C$42, 36.3765, 36.3765) * CHOOSE(CONTROL!$C$21, $C$9, 100%, $E$9)</f>
        <v>36.3765</v>
      </c>
      <c r="N620" s="14">
        <f>CHOOSE(CONTROL!$C$42, 36.3934, 36.3934) * CHOOSE(CONTROL!$C$21, $C$9, 100%, $E$9)</f>
        <v>36.3934</v>
      </c>
      <c r="O620" s="14">
        <f>CHOOSE(CONTROL!$C$42, 36.6434, 36.6434) * CHOOSE(CONTROL!$C$21, $C$9, 100%, $E$9)</f>
        <v>36.6434</v>
      </c>
      <c r="P620" s="14">
        <f>CHOOSE(CONTROL!$C$42, 36.494, 36.494) * CHOOSE(CONTROL!$C$21, $C$9, 100%, $E$9)</f>
        <v>36.494</v>
      </c>
      <c r="Q620" s="14">
        <f>CHOOSE(CONTROL!$C$42, 37.2381, 37.2381) * CHOOSE(CONTROL!$C$21, $C$9, 100%, $E$9)</f>
        <v>37.238100000000003</v>
      </c>
      <c r="R620" s="14">
        <f>CHOOSE(CONTROL!$C$42, 37.9182, 37.9182) * CHOOSE(CONTROL!$C$21, $C$9, 100%, $E$9)</f>
        <v>37.918199999999999</v>
      </c>
      <c r="S620" s="14">
        <f>CHOOSE(CONTROL!$C$42, 35.5614, 35.5614) * CHOOSE(CONTROL!$C$21, $C$9, 100%, $E$9)</f>
        <v>35.561399999999999</v>
      </c>
      <c r="T62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20" s="56">
        <f>(1000*CHOOSE(CONTROL!$C$42, 695, 695)*CHOOSE(CONTROL!$C$42, 0.5599, 0.5599)*CHOOSE(CONTROL!$C$42, 31, 31))/1000000</f>
        <v>12.063045499999998</v>
      </c>
      <c r="V620" s="56">
        <f>(1000*CHOOSE(CONTROL!$C$42, 500, 500)*CHOOSE(CONTROL!$C$42, 0.275, 0.275)*CHOOSE(CONTROL!$C$42, 31, 31))/1000000</f>
        <v>4.2625000000000002</v>
      </c>
      <c r="W620" s="56">
        <f>(1000*CHOOSE(CONTROL!$C$42, 0.1146, 0.1146)*CHOOSE(CONTROL!$C$42, 121.5, 121.5)*CHOOSE(CONTROL!$C$42, 31, 31))/1000000</f>
        <v>0.43164089999999994</v>
      </c>
      <c r="X620" s="56">
        <f>(31*0.1790888*245000/1000000)+(31*0.2374*100000/1000000)</f>
        <v>2.0961194359999999</v>
      </c>
      <c r="Y620" s="56"/>
      <c r="Z620" s="14"/>
      <c r="AA620" s="55"/>
      <c r="AB620" s="49">
        <f>(B620*194.205+C620*267.466+D620*133.845+E620*53.484+F620*40+G620*185+H620*0+I620*100+J620*300)/(194.205+267.466+133.845+53.484+0+40+185+100+300)</f>
        <v>37.082649278649917</v>
      </c>
      <c r="AC620" s="45">
        <f>(M620*'RAP TEMPLATE-GAS AVAILABILITY'!O619+N620*'RAP TEMPLATE-GAS AVAILABILITY'!P619+O620*'RAP TEMPLATE-GAS AVAILABILITY'!Q619+P620*'RAP TEMPLATE-GAS AVAILABILITY'!R619)/('RAP TEMPLATE-GAS AVAILABILITY'!O619+'RAP TEMPLATE-GAS AVAILABILITY'!P619+'RAP TEMPLATE-GAS AVAILABILITY'!Q619+'RAP TEMPLATE-GAS AVAILABILITY'!R619)</f>
        <v>36.515348201438847</v>
      </c>
    </row>
    <row r="621" spans="1:29" ht="15.75" x14ac:dyDescent="0.25">
      <c r="A621" s="32">
        <v>59809</v>
      </c>
      <c r="B621" s="14">
        <f>CHOOSE(CONTROL!$C$42, 34.6698, 34.6698) * CHOOSE(CONTROL!$C$21, $C$9, 100%, $E$9)</f>
        <v>34.669800000000002</v>
      </c>
      <c r="C621" s="14">
        <f>CHOOSE(CONTROL!$C$42, 34.6778, 34.6778) * CHOOSE(CONTROL!$C$21, $C$9, 100%, $E$9)</f>
        <v>34.677799999999998</v>
      </c>
      <c r="D621" s="14">
        <f>CHOOSE(CONTROL!$C$42, 34.9369, 34.9369) * CHOOSE(CONTROL!$C$21, $C$9, 100%, $E$9)</f>
        <v>34.936900000000001</v>
      </c>
      <c r="E621" s="14">
        <f>CHOOSE(CONTROL!$C$42, 34.9684, 34.9684) * CHOOSE(CONTROL!$C$21, $C$9, 100%, $E$9)</f>
        <v>34.968400000000003</v>
      </c>
      <c r="F621" s="14">
        <f>CHOOSE(CONTROL!$C$42, 34.6922, 34.6922)*CHOOSE(CONTROL!$C$21, $C$9, 100%, $E$9)</f>
        <v>34.6922</v>
      </c>
      <c r="G621" s="14">
        <f>CHOOSE(CONTROL!$C$42, 34.7095, 34.7095)*CHOOSE(CONTROL!$C$21, $C$9, 100%, $E$9)</f>
        <v>34.709499999999998</v>
      </c>
      <c r="H621" s="14">
        <f>CHOOSE(CONTROL!$C$42, 34.957, 34.957) * CHOOSE(CONTROL!$C$21, $C$9, 100%, $E$9)</f>
        <v>34.957000000000001</v>
      </c>
      <c r="I621" s="14">
        <f>CHOOSE(CONTROL!$C$42, 34.7995, 34.7995)* CHOOSE(CONTROL!$C$21, $C$9, 100%, $E$9)</f>
        <v>34.799500000000002</v>
      </c>
      <c r="J621" s="14">
        <f>CHOOSE(CONTROL!$C$42, 34.6852, 34.6852)* CHOOSE(CONTROL!$C$21, $C$9, 100%, $E$9)</f>
        <v>34.685200000000002</v>
      </c>
      <c r="K621" s="52">
        <f>CHOOSE(CONTROL!$C$42, 34.7956, 34.7956) * CHOOSE(CONTROL!$C$21, $C$9, 100%, $E$9)</f>
        <v>34.7956</v>
      </c>
      <c r="L621" s="14">
        <f>CHOOSE(CONTROL!$C$42, 35.544, 35.544) * CHOOSE(CONTROL!$C$21, $C$9, 100%, $E$9)</f>
        <v>35.543999999999997</v>
      </c>
      <c r="M621" s="14">
        <f>CHOOSE(CONTROL!$C$42, 34.0691, 34.0691) * CHOOSE(CONTROL!$C$21, $C$9, 100%, $E$9)</f>
        <v>34.069099999999999</v>
      </c>
      <c r="N621" s="14">
        <f>CHOOSE(CONTROL!$C$42, 34.086, 34.086) * CHOOSE(CONTROL!$C$21, $C$9, 100%, $E$9)</f>
        <v>34.085999999999999</v>
      </c>
      <c r="O621" s="14">
        <f>CHOOSE(CONTROL!$C$42, 34.3359, 34.3359) * CHOOSE(CONTROL!$C$21, $C$9, 100%, $E$9)</f>
        <v>34.335900000000002</v>
      </c>
      <c r="P621" s="14">
        <f>CHOOSE(CONTROL!$C$42, 34.1794, 34.1794) * CHOOSE(CONTROL!$C$21, $C$9, 100%, $E$9)</f>
        <v>34.179400000000001</v>
      </c>
      <c r="Q621" s="14">
        <f>CHOOSE(CONTROL!$C$42, 34.9306, 34.9306) * CHOOSE(CONTROL!$C$21, $C$9, 100%, $E$9)</f>
        <v>34.930599999999998</v>
      </c>
      <c r="R621" s="14">
        <f>CHOOSE(CONTROL!$C$42, 35.6049, 35.6049) * CHOOSE(CONTROL!$C$21, $C$9, 100%, $E$9)</f>
        <v>35.604900000000001</v>
      </c>
      <c r="S621" s="14">
        <f>CHOOSE(CONTROL!$C$42, 33.3036, 33.3036) * CHOOSE(CONTROL!$C$21, $C$9, 100%, $E$9)</f>
        <v>33.303600000000003</v>
      </c>
      <c r="T62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21" s="56">
        <f>(1000*CHOOSE(CONTROL!$C$42, 695, 695)*CHOOSE(CONTROL!$C$42, 0.5599, 0.5599)*CHOOSE(CONTROL!$C$42, 30, 30))/1000000</f>
        <v>11.673914999999997</v>
      </c>
      <c r="V621" s="56">
        <f>(1000*CHOOSE(CONTROL!$C$42, 500, 500)*CHOOSE(CONTROL!$C$42, 0.275, 0.275)*CHOOSE(CONTROL!$C$42, 30, 30))/1000000</f>
        <v>4.125</v>
      </c>
      <c r="W621" s="56">
        <f>(1000*CHOOSE(CONTROL!$C$42, 0.1146, 0.1146)*CHOOSE(CONTROL!$C$42, 121.5, 121.5)*CHOOSE(CONTROL!$C$42, 30, 30))/1000000</f>
        <v>0.417717</v>
      </c>
      <c r="X621" s="56">
        <f>(30*0.1790888*245000/1000000)+(30*0.2374*100000/1000000)</f>
        <v>2.0285026799999999</v>
      </c>
      <c r="Y621" s="56"/>
      <c r="Z621" s="14"/>
      <c r="AA621" s="55"/>
      <c r="AB621" s="49">
        <f>(B621*194.205+C621*267.466+D621*133.845+E621*53.484+F621*40+G621*185+H621*0+I621*100+J621*300)/(194.205+267.466+133.845+53.484+0+40+185+100+300)</f>
        <v>34.732351452040824</v>
      </c>
      <c r="AC621" s="45">
        <f>(M621*'RAP TEMPLATE-GAS AVAILABILITY'!O620+N621*'RAP TEMPLATE-GAS AVAILABILITY'!P620+O621*'RAP TEMPLATE-GAS AVAILABILITY'!Q620+P621*'RAP TEMPLATE-GAS AVAILABILITY'!R620)/('RAP TEMPLATE-GAS AVAILABILITY'!O620+'RAP TEMPLATE-GAS AVAILABILITY'!P620+'RAP TEMPLATE-GAS AVAILABILITY'!Q620+'RAP TEMPLATE-GAS AVAILABILITY'!R620)</f>
        <v>34.206866906474822</v>
      </c>
    </row>
    <row r="622" spans="1:29" ht="15.75" x14ac:dyDescent="0.25">
      <c r="A622" s="32">
        <v>59840</v>
      </c>
      <c r="B622" s="14">
        <f>CHOOSE(CONTROL!$C$42, 33.9643, 33.9643) * CHOOSE(CONTROL!$C$21, $C$9, 100%, $E$9)</f>
        <v>33.964300000000001</v>
      </c>
      <c r="C622" s="14">
        <f>CHOOSE(CONTROL!$C$42, 33.9696, 33.9696) * CHOOSE(CONTROL!$C$21, $C$9, 100%, $E$9)</f>
        <v>33.9696</v>
      </c>
      <c r="D622" s="14">
        <f>CHOOSE(CONTROL!$C$42, 34.2337, 34.2337) * CHOOSE(CONTROL!$C$21, $C$9, 100%, $E$9)</f>
        <v>34.233699999999999</v>
      </c>
      <c r="E622" s="14">
        <f>CHOOSE(CONTROL!$C$42, 34.2628, 34.2628) * CHOOSE(CONTROL!$C$21, $C$9, 100%, $E$9)</f>
        <v>34.262799999999999</v>
      </c>
      <c r="F622" s="14">
        <f>CHOOSE(CONTROL!$C$42, 33.989, 33.989)*CHOOSE(CONTROL!$C$21, $C$9, 100%, $E$9)</f>
        <v>33.988999999999997</v>
      </c>
      <c r="G622" s="14">
        <f>CHOOSE(CONTROL!$C$42, 34.006, 34.006)*CHOOSE(CONTROL!$C$21, $C$9, 100%, $E$9)</f>
        <v>34.006</v>
      </c>
      <c r="H622" s="14">
        <f>CHOOSE(CONTROL!$C$42, 34.2533, 34.2533) * CHOOSE(CONTROL!$C$21, $C$9, 100%, $E$9)</f>
        <v>34.253300000000003</v>
      </c>
      <c r="I622" s="14">
        <f>CHOOSE(CONTROL!$C$42, 34.0936, 34.0936)* CHOOSE(CONTROL!$C$21, $C$9, 100%, $E$9)</f>
        <v>34.093600000000002</v>
      </c>
      <c r="J622" s="14">
        <f>CHOOSE(CONTROL!$C$42, 33.982, 33.982)* CHOOSE(CONTROL!$C$21, $C$9, 100%, $E$9)</f>
        <v>33.981999999999999</v>
      </c>
      <c r="K622" s="52">
        <f>CHOOSE(CONTROL!$C$42, 34.0897, 34.0897) * CHOOSE(CONTROL!$C$21, $C$9, 100%, $E$9)</f>
        <v>34.089700000000001</v>
      </c>
      <c r="L622" s="14">
        <f>CHOOSE(CONTROL!$C$42, 34.8403, 34.8403) * CHOOSE(CONTROL!$C$21, $C$9, 100%, $E$9)</f>
        <v>34.840299999999999</v>
      </c>
      <c r="M622" s="14">
        <f>CHOOSE(CONTROL!$C$42, 33.3784, 33.3784) * CHOOSE(CONTROL!$C$21, $C$9, 100%, $E$9)</f>
        <v>33.378399999999999</v>
      </c>
      <c r="N622" s="14">
        <f>CHOOSE(CONTROL!$C$42, 33.3952, 33.3952) * CHOOSE(CONTROL!$C$21, $C$9, 100%, $E$9)</f>
        <v>33.395200000000003</v>
      </c>
      <c r="O622" s="14">
        <f>CHOOSE(CONTROL!$C$42, 33.6449, 33.6449) * CHOOSE(CONTROL!$C$21, $C$9, 100%, $E$9)</f>
        <v>33.6449</v>
      </c>
      <c r="P622" s="14">
        <f>CHOOSE(CONTROL!$C$42, 33.4862, 33.4862) * CHOOSE(CONTROL!$C$21, $C$9, 100%, $E$9)</f>
        <v>33.486199999999997</v>
      </c>
      <c r="Q622" s="14">
        <f>CHOOSE(CONTROL!$C$42, 34.2396, 34.2396) * CHOOSE(CONTROL!$C$21, $C$9, 100%, $E$9)</f>
        <v>34.239600000000003</v>
      </c>
      <c r="R622" s="14">
        <f>CHOOSE(CONTROL!$C$42, 34.9122, 34.9122) * CHOOSE(CONTROL!$C$21, $C$9, 100%, $E$9)</f>
        <v>34.912199999999999</v>
      </c>
      <c r="S622" s="14">
        <f>CHOOSE(CONTROL!$C$42, 32.6274, 32.6274) * CHOOSE(CONTROL!$C$21, $C$9, 100%, $E$9)</f>
        <v>32.627400000000002</v>
      </c>
      <c r="T62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622" s="56">
        <f>(1000*CHOOSE(CONTROL!$C$42, 695, 695)*CHOOSE(CONTROL!$C$42, 0.5599, 0.5599)*CHOOSE(CONTROL!$C$42, 31, 31))/1000000</f>
        <v>12.063045499999998</v>
      </c>
      <c r="V622" s="56">
        <f>(1000*CHOOSE(CONTROL!$C$42, 500, 500)*CHOOSE(CONTROL!$C$42, 0.275, 0.275)*CHOOSE(CONTROL!$C$42, 31, 31))/1000000</f>
        <v>4.2625000000000002</v>
      </c>
      <c r="W622" s="56">
        <f>(1000*CHOOSE(CONTROL!$C$42, 0.1146, 0.1146)*CHOOSE(CONTROL!$C$42, 121.5, 121.5)*CHOOSE(CONTROL!$C$42, 31, 31))/1000000</f>
        <v>0.43164089999999994</v>
      </c>
      <c r="X622" s="56">
        <f>(31*0.1790888*245000/1000000)+(31*0.2374*100000/1000000)</f>
        <v>2.0961194359999999</v>
      </c>
      <c r="Y622" s="56"/>
      <c r="Z622" s="14"/>
      <c r="AA622" s="55"/>
      <c r="AB622" s="49">
        <f>(B622*131.881+C622*277.167+D622*79.08+E622*125.872+F622*40+G622*185+H622*0+I622*100+J622*300)/(131.881+277.167+79.08+125.872+0+40+185+100+300)</f>
        <v>34.034750709523813</v>
      </c>
      <c r="AC622" s="45">
        <f>(M622*'RAP TEMPLATE-GAS AVAILABILITY'!O621+N622*'RAP TEMPLATE-GAS AVAILABILITY'!P621+O622*'RAP TEMPLATE-GAS AVAILABILITY'!Q621+P622*'RAP TEMPLATE-GAS AVAILABILITY'!R621)/('RAP TEMPLATE-GAS AVAILABILITY'!O621+'RAP TEMPLATE-GAS AVAILABILITY'!P621+'RAP TEMPLATE-GAS AVAILABILITY'!Q621+'RAP TEMPLATE-GAS AVAILABILITY'!R621)</f>
        <v>33.515665467625901</v>
      </c>
    </row>
    <row r="623" spans="1:29" ht="15.75" x14ac:dyDescent="0.25">
      <c r="A623" s="32">
        <v>59870</v>
      </c>
      <c r="B623" s="14">
        <f>CHOOSE(CONTROL!$C$42, 34.8584, 34.8584) * CHOOSE(CONTROL!$C$21, $C$9, 100%, $E$9)</f>
        <v>34.858400000000003</v>
      </c>
      <c r="C623" s="14">
        <f>CHOOSE(CONTROL!$C$42, 34.8635, 34.8635) * CHOOSE(CONTROL!$C$21, $C$9, 100%, $E$9)</f>
        <v>34.863500000000002</v>
      </c>
      <c r="D623" s="14">
        <f>CHOOSE(CONTROL!$C$42, 34.9465, 34.9465) * CHOOSE(CONTROL!$C$21, $C$9, 100%, $E$9)</f>
        <v>34.9465</v>
      </c>
      <c r="E623" s="14">
        <f>CHOOSE(CONTROL!$C$42, 34.9807, 34.9807) * CHOOSE(CONTROL!$C$21, $C$9, 100%, $E$9)</f>
        <v>34.980699999999999</v>
      </c>
      <c r="F623" s="14">
        <f>CHOOSE(CONTROL!$C$42, 34.886, 34.886)*CHOOSE(CONTROL!$C$21, $C$9, 100%, $E$9)</f>
        <v>34.886000000000003</v>
      </c>
      <c r="G623" s="14">
        <f>CHOOSE(CONTROL!$C$42, 34.9034, 34.9034)*CHOOSE(CONTROL!$C$21, $C$9, 100%, $E$9)</f>
        <v>34.903399999999998</v>
      </c>
      <c r="H623" s="14">
        <f>CHOOSE(CONTROL!$C$42, 34.9699, 34.9699) * CHOOSE(CONTROL!$C$21, $C$9, 100%, $E$9)</f>
        <v>34.969900000000003</v>
      </c>
      <c r="I623" s="14">
        <f>CHOOSE(CONTROL!$C$42, 34.9872, 34.9872)* CHOOSE(CONTROL!$C$21, $C$9, 100%, $E$9)</f>
        <v>34.987200000000001</v>
      </c>
      <c r="J623" s="14">
        <f>CHOOSE(CONTROL!$C$42, 34.879, 34.879)* CHOOSE(CONTROL!$C$21, $C$9, 100%, $E$9)</f>
        <v>34.878999999999998</v>
      </c>
      <c r="K623" s="52">
        <f>CHOOSE(CONTROL!$C$42, 34.9833, 34.9833) * CHOOSE(CONTROL!$C$21, $C$9, 100%, $E$9)</f>
        <v>34.9833</v>
      </c>
      <c r="L623" s="14">
        <f>CHOOSE(CONTROL!$C$42, 35.5569, 35.5569) * CHOOSE(CONTROL!$C$21, $C$9, 100%, $E$9)</f>
        <v>35.556899999999999</v>
      </c>
      <c r="M623" s="14">
        <f>CHOOSE(CONTROL!$C$42, 34.2594, 34.2594) * CHOOSE(CONTROL!$C$21, $C$9, 100%, $E$9)</f>
        <v>34.259399999999999</v>
      </c>
      <c r="N623" s="14">
        <f>CHOOSE(CONTROL!$C$42, 34.2764, 34.2764) * CHOOSE(CONTROL!$C$21, $C$9, 100%, $E$9)</f>
        <v>34.276400000000002</v>
      </c>
      <c r="O623" s="14">
        <f>CHOOSE(CONTROL!$C$42, 34.3486, 34.3486) * CHOOSE(CONTROL!$C$21, $C$9, 100%, $E$9)</f>
        <v>34.348599999999998</v>
      </c>
      <c r="P623" s="14">
        <f>CHOOSE(CONTROL!$C$42, 34.3637, 34.3637) * CHOOSE(CONTROL!$C$21, $C$9, 100%, $E$9)</f>
        <v>34.363700000000001</v>
      </c>
      <c r="Q623" s="14">
        <f>CHOOSE(CONTROL!$C$42, 34.9433, 34.9433) * CHOOSE(CONTROL!$C$21, $C$9, 100%, $E$9)</f>
        <v>34.943300000000001</v>
      </c>
      <c r="R623" s="14">
        <f>CHOOSE(CONTROL!$C$42, 35.6176, 35.6176) * CHOOSE(CONTROL!$C$21, $C$9, 100%, $E$9)</f>
        <v>35.617600000000003</v>
      </c>
      <c r="S623" s="14">
        <f>CHOOSE(CONTROL!$C$42, 33.4869, 33.4869) * CHOOSE(CONTROL!$C$21, $C$9, 100%, $E$9)</f>
        <v>33.486899999999999</v>
      </c>
      <c r="T62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623" s="56">
        <f>(1000*CHOOSE(CONTROL!$C$42, 695, 695)*CHOOSE(CONTROL!$C$42, 0.5599, 0.5599)*CHOOSE(CONTROL!$C$42, 30, 30))/1000000</f>
        <v>11.673914999999997</v>
      </c>
      <c r="V623" s="56">
        <f>(1000*CHOOSE(CONTROL!$C$42, 500, 500)*CHOOSE(CONTROL!$C$42, 0.275, 0.275)*CHOOSE(CONTROL!$C$42, 30, 30))/1000000</f>
        <v>4.125</v>
      </c>
      <c r="W623" s="56">
        <f>(1000*CHOOSE(CONTROL!$C$42, 0.1146, 0.1146)*CHOOSE(CONTROL!$C$42, 121.5, 121.5)*CHOOSE(CONTROL!$C$42, 30, 30))/1000000</f>
        <v>0.417717</v>
      </c>
      <c r="X623" s="56">
        <f>(30*0.1790888*100000/1000000)+(30*0.2374*100000/1000000)</f>
        <v>1.2494664</v>
      </c>
      <c r="Y623" s="56"/>
      <c r="Z623" s="14"/>
      <c r="AA623" s="55"/>
      <c r="AB623" s="49">
        <f>(B623*122.58+C623*297.941+D623*89.177+E623*40.302+F623*40+G623*160+H623*0+I623*100+J623*300)/(122.58+297.941+89.177+40.302+0+40+160+100+300)</f>
        <v>34.894633849913042</v>
      </c>
      <c r="AC623" s="45">
        <f>(M623*'RAP TEMPLATE-GAS AVAILABILITY'!O622+N623*'RAP TEMPLATE-GAS AVAILABILITY'!P622+O623*'RAP TEMPLATE-GAS AVAILABILITY'!Q622+P623*'RAP TEMPLATE-GAS AVAILABILITY'!R622)/('RAP TEMPLATE-GAS AVAILABILITY'!O622+'RAP TEMPLATE-GAS AVAILABILITY'!P622+'RAP TEMPLATE-GAS AVAILABILITY'!Q622+'RAP TEMPLATE-GAS AVAILABILITY'!R622)</f>
        <v>34.315814388489208</v>
      </c>
    </row>
    <row r="624" spans="1:29" ht="15.75" x14ac:dyDescent="0.25">
      <c r="A624" s="32">
        <v>59901</v>
      </c>
      <c r="B624" s="14">
        <f>CHOOSE(CONTROL!$C$42, 37.2344, 37.2344) * CHOOSE(CONTROL!$C$21, $C$9, 100%, $E$9)</f>
        <v>37.234400000000001</v>
      </c>
      <c r="C624" s="14">
        <f>CHOOSE(CONTROL!$C$42, 37.2395, 37.2395) * CHOOSE(CONTROL!$C$21, $C$9, 100%, $E$9)</f>
        <v>37.2395</v>
      </c>
      <c r="D624" s="14">
        <f>CHOOSE(CONTROL!$C$42, 37.3225, 37.3225) * CHOOSE(CONTROL!$C$21, $C$9, 100%, $E$9)</f>
        <v>37.322499999999998</v>
      </c>
      <c r="E624" s="14">
        <f>CHOOSE(CONTROL!$C$42, 37.3566, 37.3566) * CHOOSE(CONTROL!$C$21, $C$9, 100%, $E$9)</f>
        <v>37.3566</v>
      </c>
      <c r="F624" s="14">
        <f>CHOOSE(CONTROL!$C$42, 37.2645, 37.2645)*CHOOSE(CONTROL!$C$21, $C$9, 100%, $E$9)</f>
        <v>37.264499999999998</v>
      </c>
      <c r="G624" s="14">
        <f>CHOOSE(CONTROL!$C$42, 37.2825, 37.2825)*CHOOSE(CONTROL!$C$21, $C$9, 100%, $E$9)</f>
        <v>37.282499999999999</v>
      </c>
      <c r="H624" s="14">
        <f>CHOOSE(CONTROL!$C$42, 37.3458, 37.3458) * CHOOSE(CONTROL!$C$21, $C$9, 100%, $E$9)</f>
        <v>37.345799999999997</v>
      </c>
      <c r="I624" s="14">
        <f>CHOOSE(CONTROL!$C$42, 37.3706, 37.3706)* CHOOSE(CONTROL!$C$21, $C$9, 100%, $E$9)</f>
        <v>37.370600000000003</v>
      </c>
      <c r="J624" s="14">
        <f>CHOOSE(CONTROL!$C$42, 37.2575, 37.2575)* CHOOSE(CONTROL!$C$21, $C$9, 100%, $E$9)</f>
        <v>37.2575</v>
      </c>
      <c r="K624" s="52">
        <f>CHOOSE(CONTROL!$C$42, 37.3667, 37.3667) * CHOOSE(CONTROL!$C$21, $C$9, 100%, $E$9)</f>
        <v>37.366700000000002</v>
      </c>
      <c r="L624" s="14">
        <f>CHOOSE(CONTROL!$C$42, 37.9328, 37.9328) * CHOOSE(CONTROL!$C$21, $C$9, 100%, $E$9)</f>
        <v>37.9328</v>
      </c>
      <c r="M624" s="14">
        <f>CHOOSE(CONTROL!$C$42, 36.595, 36.595) * CHOOSE(CONTROL!$C$21, $C$9, 100%, $E$9)</f>
        <v>36.594999999999999</v>
      </c>
      <c r="N624" s="14">
        <f>CHOOSE(CONTROL!$C$42, 36.6127, 36.6127) * CHOOSE(CONTROL!$C$21, $C$9, 100%, $E$9)</f>
        <v>36.612699999999997</v>
      </c>
      <c r="O624" s="14">
        <f>CHOOSE(CONTROL!$C$42, 36.6818, 36.6818) * CHOOSE(CONTROL!$C$21, $C$9, 100%, $E$9)</f>
        <v>36.681800000000003</v>
      </c>
      <c r="P624" s="14">
        <f>CHOOSE(CONTROL!$C$42, 36.7042, 36.7042) * CHOOSE(CONTROL!$C$21, $C$9, 100%, $E$9)</f>
        <v>36.7042</v>
      </c>
      <c r="Q624" s="14">
        <f>CHOOSE(CONTROL!$C$42, 37.2765, 37.2765) * CHOOSE(CONTROL!$C$21, $C$9, 100%, $E$9)</f>
        <v>37.276499999999999</v>
      </c>
      <c r="R624" s="14">
        <f>CHOOSE(CONTROL!$C$42, 37.9567, 37.9567) * CHOOSE(CONTROL!$C$21, $C$9, 100%, $E$9)</f>
        <v>37.956699999999998</v>
      </c>
      <c r="S624" s="14">
        <f>CHOOSE(CONTROL!$C$42, 35.77, 35.77) * CHOOSE(CONTROL!$C$21, $C$9, 100%, $E$9)</f>
        <v>35.770000000000003</v>
      </c>
      <c r="T62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24" s="56">
        <f>(1000*CHOOSE(CONTROL!$C$42, 695, 695)*CHOOSE(CONTROL!$C$42, 0.5599, 0.5599)*CHOOSE(CONTROL!$C$42, 31, 31))/1000000</f>
        <v>12.063045499999998</v>
      </c>
      <c r="V624" s="56">
        <f>(1000*CHOOSE(CONTROL!$C$42, 500, 500)*CHOOSE(CONTROL!$C$42, 0.275, 0.275)*CHOOSE(CONTROL!$C$42, 31, 31))/1000000</f>
        <v>4.2625000000000002</v>
      </c>
      <c r="W624" s="56">
        <f>(1000*CHOOSE(CONTROL!$C$42, 0.1146, 0.1146)*CHOOSE(CONTROL!$C$42, 121.5, 121.5)*CHOOSE(CONTROL!$C$42, 31, 31))/1000000</f>
        <v>0.43164089999999994</v>
      </c>
      <c r="X624" s="56">
        <f>(31*0.1790888*100000/1000000)+(31*0.2374*100000/1000000)</f>
        <v>1.2911152800000001</v>
      </c>
      <c r="Y624" s="56"/>
      <c r="Z624" s="14"/>
      <c r="AA624" s="55"/>
      <c r="AB624" s="49">
        <f>(B624*122.58+C624*297.941+D624*89.177+E624*40.302+F624*40+G624*160+H624*0+I624*100+J624*300)/(122.58+297.941+89.177+40.302+0+40+160+100+300)</f>
        <v>37.272444258434788</v>
      </c>
      <c r="AC624" s="45">
        <f>(M624*'RAP TEMPLATE-GAS AVAILABILITY'!O623+N624*'RAP TEMPLATE-GAS AVAILABILITY'!P623+O624*'RAP TEMPLATE-GAS AVAILABILITY'!Q623+P624*'RAP TEMPLATE-GAS AVAILABILITY'!R623)/('RAP TEMPLATE-GAS AVAILABILITY'!O623+'RAP TEMPLATE-GAS AVAILABILITY'!P623+'RAP TEMPLATE-GAS AVAILABILITY'!Q623+'RAP TEMPLATE-GAS AVAILABILITY'!R623)</f>
        <v>36.651071942446045</v>
      </c>
    </row>
    <row r="625" spans="1:29" ht="15.75" x14ac:dyDescent="0.25">
      <c r="A625" s="32">
        <v>59932</v>
      </c>
      <c r="B625" s="14">
        <f>CHOOSE(CONTROL!$C$42, 40.3204, 40.3204) * CHOOSE(CONTROL!$C$21, $C$9, 100%, $E$9)</f>
        <v>40.320399999999999</v>
      </c>
      <c r="C625" s="14">
        <f>CHOOSE(CONTROL!$C$42, 40.3254, 40.3254) * CHOOSE(CONTROL!$C$21, $C$9, 100%, $E$9)</f>
        <v>40.325400000000002</v>
      </c>
      <c r="D625" s="14">
        <f>CHOOSE(CONTROL!$C$42, 40.4189, 40.4189) * CHOOSE(CONTROL!$C$21, $C$9, 100%, $E$9)</f>
        <v>40.418900000000001</v>
      </c>
      <c r="E625" s="14">
        <f>CHOOSE(CONTROL!$C$42, 40.453, 40.453) * CHOOSE(CONTROL!$C$21, $C$9, 100%, $E$9)</f>
        <v>40.453000000000003</v>
      </c>
      <c r="F625" s="14">
        <f>CHOOSE(CONTROL!$C$42, 40.3477, 40.3477)*CHOOSE(CONTROL!$C$21, $C$9, 100%, $E$9)</f>
        <v>40.347700000000003</v>
      </c>
      <c r="G625" s="14">
        <f>CHOOSE(CONTROL!$C$42, 40.3656, 40.3656)*CHOOSE(CONTROL!$C$21, $C$9, 100%, $E$9)</f>
        <v>40.365600000000001</v>
      </c>
      <c r="H625" s="14">
        <f>CHOOSE(CONTROL!$C$42, 40.4422, 40.4422) * CHOOSE(CONTROL!$C$21, $C$9, 100%, $E$9)</f>
        <v>40.4422</v>
      </c>
      <c r="I625" s="14">
        <f>CHOOSE(CONTROL!$C$42, 40.4725, 40.4725)* CHOOSE(CONTROL!$C$21, $C$9, 100%, $E$9)</f>
        <v>40.472499999999997</v>
      </c>
      <c r="J625" s="14">
        <f>CHOOSE(CONTROL!$C$42, 40.3407, 40.3407)* CHOOSE(CONTROL!$C$21, $C$9, 100%, $E$9)</f>
        <v>40.340699999999998</v>
      </c>
      <c r="K625" s="52">
        <f>CHOOSE(CONTROL!$C$42, 40.4686, 40.4686) * CHOOSE(CONTROL!$C$21, $C$9, 100%, $E$9)</f>
        <v>40.468600000000002</v>
      </c>
      <c r="L625" s="14">
        <f>CHOOSE(CONTROL!$C$42, 41.0292, 41.0292) * CHOOSE(CONTROL!$C$21, $C$9, 100%, $E$9)</f>
        <v>41.029200000000003</v>
      </c>
      <c r="M625" s="14">
        <f>CHOOSE(CONTROL!$C$42, 39.6228, 39.6228) * CHOOSE(CONTROL!$C$21, $C$9, 100%, $E$9)</f>
        <v>39.622799999999998</v>
      </c>
      <c r="N625" s="14">
        <f>CHOOSE(CONTROL!$C$42, 39.6404, 39.6404) * CHOOSE(CONTROL!$C$21, $C$9, 100%, $E$9)</f>
        <v>39.6404</v>
      </c>
      <c r="O625" s="14">
        <f>CHOOSE(CONTROL!$C$42, 39.7225, 39.7225) * CHOOSE(CONTROL!$C$21, $C$9, 100%, $E$9)</f>
        <v>39.722499999999997</v>
      </c>
      <c r="P625" s="14">
        <f>CHOOSE(CONTROL!$C$42, 39.7501, 39.7501) * CHOOSE(CONTROL!$C$21, $C$9, 100%, $E$9)</f>
        <v>39.750100000000003</v>
      </c>
      <c r="Q625" s="14">
        <f>CHOOSE(CONTROL!$C$42, 40.3172, 40.3172) * CHOOSE(CONTROL!$C$21, $C$9, 100%, $E$9)</f>
        <v>40.3172</v>
      </c>
      <c r="R625" s="14">
        <f>CHOOSE(CONTROL!$C$42, 41.005, 41.005) * CHOOSE(CONTROL!$C$21, $C$9, 100%, $E$9)</f>
        <v>41.005000000000003</v>
      </c>
      <c r="S625" s="14">
        <f>CHOOSE(CONTROL!$C$42, 38.7353, 38.7353) * CHOOSE(CONTROL!$C$21, $C$9, 100%, $E$9)</f>
        <v>38.735300000000002</v>
      </c>
      <c r="T62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25" s="56">
        <f>(1000*CHOOSE(CONTROL!$C$42, 695, 695)*CHOOSE(CONTROL!$C$42, 0.5599, 0.5599)*CHOOSE(CONTROL!$C$42, 31, 31))/1000000</f>
        <v>12.063045499999998</v>
      </c>
      <c r="V625" s="56">
        <f>(1000*CHOOSE(CONTROL!$C$42, 500, 500)*CHOOSE(CONTROL!$C$42, 0.275, 0.275)*CHOOSE(CONTROL!$C$42, 31, 31))/1000000</f>
        <v>4.2625000000000002</v>
      </c>
      <c r="W625" s="56">
        <f>(1000*CHOOSE(CONTROL!$C$42, 0.1146, 0.1146)*CHOOSE(CONTROL!$C$42, 121.5, 121.5)*CHOOSE(CONTROL!$C$42, 31, 31))/1000000</f>
        <v>0.43164089999999994</v>
      </c>
      <c r="X625" s="56">
        <f>(31*0.1790888*100000/1000000)+(31*0.2374*100000/1000000)</f>
        <v>1.2911152800000001</v>
      </c>
      <c r="Y625" s="56"/>
      <c r="Z625" s="14"/>
      <c r="AA625" s="55"/>
      <c r="AB625" s="49">
        <f>(B625*122.58+C625*297.941+D625*89.177+E625*40.302+F625*40+G625*160+H625*0+I625*100+J625*300)/(122.58+297.941+89.177+40.302+0+40+160+100+300)</f>
        <v>40.359740595391294</v>
      </c>
      <c r="AC625" s="45">
        <f>(M625*'RAP TEMPLATE-GAS AVAILABILITY'!O624+N625*'RAP TEMPLATE-GAS AVAILABILITY'!P624+O625*'RAP TEMPLATE-GAS AVAILABILITY'!Q624+P625*'RAP TEMPLATE-GAS AVAILABILITY'!R624)/('RAP TEMPLATE-GAS AVAILABILITY'!O624+'RAP TEMPLATE-GAS AVAILABILITY'!P624+'RAP TEMPLATE-GAS AVAILABILITY'!Q624+'RAP TEMPLATE-GAS AVAILABILITY'!R624)</f>
        <v>39.687317266187051</v>
      </c>
    </row>
    <row r="626" spans="1:29" ht="15.75" x14ac:dyDescent="0.25">
      <c r="A626" s="32">
        <v>59961</v>
      </c>
      <c r="B626" s="14">
        <f>CHOOSE(CONTROL!$C$42, 41.038, 41.038) * CHOOSE(CONTROL!$C$21, $C$9, 100%, $E$9)</f>
        <v>41.037999999999997</v>
      </c>
      <c r="C626" s="14">
        <f>CHOOSE(CONTROL!$C$42, 41.043, 41.043) * CHOOSE(CONTROL!$C$21, $C$9, 100%, $E$9)</f>
        <v>41.042999999999999</v>
      </c>
      <c r="D626" s="14">
        <f>CHOOSE(CONTROL!$C$42, 41.1365, 41.1365) * CHOOSE(CONTROL!$C$21, $C$9, 100%, $E$9)</f>
        <v>41.136499999999998</v>
      </c>
      <c r="E626" s="14">
        <f>CHOOSE(CONTROL!$C$42, 41.1706, 41.1706) * CHOOSE(CONTROL!$C$21, $C$9, 100%, $E$9)</f>
        <v>41.1706</v>
      </c>
      <c r="F626" s="14">
        <f>CHOOSE(CONTROL!$C$42, 41.0649, 41.0649)*CHOOSE(CONTROL!$C$21, $C$9, 100%, $E$9)</f>
        <v>41.064900000000002</v>
      </c>
      <c r="G626" s="14">
        <f>CHOOSE(CONTROL!$C$42, 41.0828, 41.0828)*CHOOSE(CONTROL!$C$21, $C$9, 100%, $E$9)</f>
        <v>41.082799999999999</v>
      </c>
      <c r="H626" s="14">
        <f>CHOOSE(CONTROL!$C$42, 41.1598, 41.1598) * CHOOSE(CONTROL!$C$21, $C$9, 100%, $E$9)</f>
        <v>41.159799999999997</v>
      </c>
      <c r="I626" s="14">
        <f>CHOOSE(CONTROL!$C$42, 41.1924, 41.1924)* CHOOSE(CONTROL!$C$21, $C$9, 100%, $E$9)</f>
        <v>41.192399999999999</v>
      </c>
      <c r="J626" s="14">
        <f>CHOOSE(CONTROL!$C$42, 41.0579, 41.0579)* CHOOSE(CONTROL!$C$21, $C$9, 100%, $E$9)</f>
        <v>41.057899999999997</v>
      </c>
      <c r="K626" s="52">
        <f>CHOOSE(CONTROL!$C$42, 41.1885, 41.1885) * CHOOSE(CONTROL!$C$21, $C$9, 100%, $E$9)</f>
        <v>41.188499999999998</v>
      </c>
      <c r="L626" s="14">
        <f>CHOOSE(CONTROL!$C$42, 41.7468, 41.7468) * CHOOSE(CONTROL!$C$21, $C$9, 100%, $E$9)</f>
        <v>41.7468</v>
      </c>
      <c r="M626" s="14">
        <f>CHOOSE(CONTROL!$C$42, 40.3271, 40.3271) * CHOOSE(CONTROL!$C$21, $C$9, 100%, $E$9)</f>
        <v>40.327100000000002</v>
      </c>
      <c r="N626" s="14">
        <f>CHOOSE(CONTROL!$C$42, 40.3446, 40.3446) * CHOOSE(CONTROL!$C$21, $C$9, 100%, $E$9)</f>
        <v>40.3446</v>
      </c>
      <c r="O626" s="14">
        <f>CHOOSE(CONTROL!$C$42, 40.4272, 40.4272) * CHOOSE(CONTROL!$C$21, $C$9, 100%, $E$9)</f>
        <v>40.427199999999999</v>
      </c>
      <c r="P626" s="14">
        <f>CHOOSE(CONTROL!$C$42, 40.4569, 40.4569) * CHOOSE(CONTROL!$C$21, $C$9, 100%, $E$9)</f>
        <v>40.456899999999997</v>
      </c>
      <c r="Q626" s="14">
        <f>CHOOSE(CONTROL!$C$42, 41.0219, 41.0219) * CHOOSE(CONTROL!$C$21, $C$9, 100%, $E$9)</f>
        <v>41.021900000000002</v>
      </c>
      <c r="R626" s="14">
        <f>CHOOSE(CONTROL!$C$42, 41.7114, 41.7114) * CHOOSE(CONTROL!$C$21, $C$9, 100%, $E$9)</f>
        <v>41.711399999999998</v>
      </c>
      <c r="S626" s="14">
        <f>CHOOSE(CONTROL!$C$42, 39.4248, 39.4248) * CHOOSE(CONTROL!$C$21, $C$9, 100%, $E$9)</f>
        <v>39.424799999999998</v>
      </c>
      <c r="T62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626" s="56">
        <f>(1000*CHOOSE(CONTROL!$C$42, 695, 695)*CHOOSE(CONTROL!$C$42, 0.5599, 0.5599)*CHOOSE(CONTROL!$C$42, 29, 29))/1000000</f>
        <v>11.284784499999999</v>
      </c>
      <c r="V626" s="56">
        <f>(1000*CHOOSE(CONTROL!$C$42, 500, 500)*CHOOSE(CONTROL!$C$42, 0.275, 0.275)*CHOOSE(CONTROL!$C$42, 29, 29))/1000000</f>
        <v>3.9874999999999998</v>
      </c>
      <c r="W626" s="56">
        <f>(1000*CHOOSE(CONTROL!$C$42, 0.1146, 0.1146)*CHOOSE(CONTROL!$C$42, 121.5, 121.5)*CHOOSE(CONTROL!$C$42, 29, 29))/1000000</f>
        <v>0.40379309999999996</v>
      </c>
      <c r="X626" s="56">
        <f>(29*0.1790888*100000/1000000)+(29*0.2374*100000/1000000)</f>
        <v>1.2078175199999999</v>
      </c>
      <c r="Y626" s="56"/>
      <c r="Z626" s="14"/>
      <c r="AA626" s="55"/>
      <c r="AB626" s="49">
        <f>(B626*122.58+C626*297.941+D626*89.177+E626*40.302+F626*40+G626*160+H626*0+I626*100+J626*300)/(122.58+297.941+89.177+40.302+0+40+160+100+300)</f>
        <v>41.077366682347822</v>
      </c>
      <c r="AC626" s="45">
        <f>(M626*'RAP TEMPLATE-GAS AVAILABILITY'!O625+N626*'RAP TEMPLATE-GAS AVAILABILITY'!P625+O626*'RAP TEMPLATE-GAS AVAILABILITY'!Q625+P626*'RAP TEMPLATE-GAS AVAILABILITY'!R625)/('RAP TEMPLATE-GAS AVAILABILITY'!O625+'RAP TEMPLATE-GAS AVAILABILITY'!P625+'RAP TEMPLATE-GAS AVAILABILITY'!Q625+'RAP TEMPLATE-GAS AVAILABILITY'!R625)</f>
        <v>40.392152517985608</v>
      </c>
    </row>
    <row r="627" spans="1:29" ht="15.75" x14ac:dyDescent="0.25">
      <c r="A627" s="32">
        <v>59992</v>
      </c>
      <c r="B627" s="14">
        <f>CHOOSE(CONTROL!$C$42, 39.8731, 39.8731) * CHOOSE(CONTROL!$C$21, $C$9, 100%, $E$9)</f>
        <v>39.873100000000001</v>
      </c>
      <c r="C627" s="14">
        <f>CHOOSE(CONTROL!$C$42, 39.8782, 39.8782) * CHOOSE(CONTROL!$C$21, $C$9, 100%, $E$9)</f>
        <v>39.8782</v>
      </c>
      <c r="D627" s="14">
        <f>CHOOSE(CONTROL!$C$42, 39.9717, 39.9717) * CHOOSE(CONTROL!$C$21, $C$9, 100%, $E$9)</f>
        <v>39.971699999999998</v>
      </c>
      <c r="E627" s="14">
        <f>CHOOSE(CONTROL!$C$42, 40.0058, 40.0058) * CHOOSE(CONTROL!$C$21, $C$9, 100%, $E$9)</f>
        <v>40.005800000000001</v>
      </c>
      <c r="F627" s="14">
        <f>CHOOSE(CONTROL!$C$42, 39.8992, 39.8992)*CHOOSE(CONTROL!$C$21, $C$9, 100%, $E$9)</f>
        <v>39.8992</v>
      </c>
      <c r="G627" s="14">
        <f>CHOOSE(CONTROL!$C$42, 39.9168, 39.9168)*CHOOSE(CONTROL!$C$21, $C$9, 100%, $E$9)</f>
        <v>39.916800000000002</v>
      </c>
      <c r="H627" s="14">
        <f>CHOOSE(CONTROL!$C$42, 39.995, 39.995) * CHOOSE(CONTROL!$C$21, $C$9, 100%, $E$9)</f>
        <v>39.994999999999997</v>
      </c>
      <c r="I627" s="14">
        <f>CHOOSE(CONTROL!$C$42, 40.0239, 40.0239)* CHOOSE(CONTROL!$C$21, $C$9, 100%, $E$9)</f>
        <v>40.023899999999998</v>
      </c>
      <c r="J627" s="14">
        <f>CHOOSE(CONTROL!$C$42, 39.8922, 39.8922)* CHOOSE(CONTROL!$C$21, $C$9, 100%, $E$9)</f>
        <v>39.892200000000003</v>
      </c>
      <c r="K627" s="52">
        <f>CHOOSE(CONTROL!$C$42, 40.02, 40.02) * CHOOSE(CONTROL!$C$21, $C$9, 100%, $E$9)</f>
        <v>40.020000000000003</v>
      </c>
      <c r="L627" s="14">
        <f>CHOOSE(CONTROL!$C$42, 40.582, 40.582) * CHOOSE(CONTROL!$C$21, $C$9, 100%, $E$9)</f>
        <v>40.582000000000001</v>
      </c>
      <c r="M627" s="14">
        <f>CHOOSE(CONTROL!$C$42, 39.1824, 39.1824) * CHOOSE(CONTROL!$C$21, $C$9, 100%, $E$9)</f>
        <v>39.182400000000001</v>
      </c>
      <c r="N627" s="14">
        <f>CHOOSE(CONTROL!$C$42, 39.1997, 39.1997) * CHOOSE(CONTROL!$C$21, $C$9, 100%, $E$9)</f>
        <v>39.1997</v>
      </c>
      <c r="O627" s="14">
        <f>CHOOSE(CONTROL!$C$42, 39.2833, 39.2833) * CHOOSE(CONTROL!$C$21, $C$9, 100%, $E$9)</f>
        <v>39.283299999999997</v>
      </c>
      <c r="P627" s="14">
        <f>CHOOSE(CONTROL!$C$42, 39.3095, 39.3095) * CHOOSE(CONTROL!$C$21, $C$9, 100%, $E$9)</f>
        <v>39.3095</v>
      </c>
      <c r="Q627" s="14">
        <f>CHOOSE(CONTROL!$C$42, 39.878, 39.878) * CHOOSE(CONTROL!$C$21, $C$9, 100%, $E$9)</f>
        <v>39.878</v>
      </c>
      <c r="R627" s="14">
        <f>CHOOSE(CONTROL!$C$42, 40.5647, 40.5647) * CHOOSE(CONTROL!$C$21, $C$9, 100%, $E$9)</f>
        <v>40.564700000000002</v>
      </c>
      <c r="S627" s="14">
        <f>CHOOSE(CONTROL!$C$42, 38.3055, 38.3055) * CHOOSE(CONTROL!$C$21, $C$9, 100%, $E$9)</f>
        <v>38.305500000000002</v>
      </c>
      <c r="T62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27" s="56">
        <f>(1000*CHOOSE(CONTROL!$C$42, 695, 695)*CHOOSE(CONTROL!$C$42, 0.5599, 0.5599)*CHOOSE(CONTROL!$C$42, 31, 31))/1000000</f>
        <v>12.063045499999998</v>
      </c>
      <c r="V627" s="56">
        <f>(1000*CHOOSE(CONTROL!$C$42, 500, 500)*CHOOSE(CONTROL!$C$42, 0.275, 0.275)*CHOOSE(CONTROL!$C$42, 31, 31))/1000000</f>
        <v>4.2625000000000002</v>
      </c>
      <c r="W627" s="56">
        <f>(1000*CHOOSE(CONTROL!$C$42, 0.1146, 0.1146)*CHOOSE(CONTROL!$C$42, 121.5, 121.5)*CHOOSE(CONTROL!$C$42, 31, 31))/1000000</f>
        <v>0.43164089999999994</v>
      </c>
      <c r="X627" s="56">
        <f>(31*0.1790888*100000/1000000)+(31*0.2374*100000/1000000)</f>
        <v>1.2911152800000001</v>
      </c>
      <c r="Y627" s="56"/>
      <c r="Z627" s="14"/>
      <c r="AA627" s="55"/>
      <c r="AB627" s="49">
        <f>(B627*122.58+C627*297.941+D627*89.177+E627*40.302+F627*40+G627*160+H627*0+I627*100+J627*300)/(122.58+297.941+89.177+40.302+0+40+160+100+300)</f>
        <v>39.911801240608696</v>
      </c>
      <c r="AC627" s="45">
        <f>(M627*'RAP TEMPLATE-GAS AVAILABILITY'!O626+N627*'RAP TEMPLATE-GAS AVAILABILITY'!P626+O627*'RAP TEMPLATE-GAS AVAILABILITY'!Q626+P627*'RAP TEMPLATE-GAS AVAILABILITY'!R626)/('RAP TEMPLATE-GAS AVAILABILITY'!O626+'RAP TEMPLATE-GAS AVAILABILITY'!P626+'RAP TEMPLATE-GAS AVAILABILITY'!Q626+'RAP TEMPLATE-GAS AVAILABILITY'!R626)</f>
        <v>39.247415107913667</v>
      </c>
    </row>
    <row r="628" spans="1:29" ht="15.75" x14ac:dyDescent="0.25">
      <c r="A628" s="32">
        <v>60022</v>
      </c>
      <c r="B628" s="14">
        <f>CHOOSE(CONTROL!$C$42, 39.7548, 39.7548) * CHOOSE(CONTROL!$C$21, $C$9, 100%, $E$9)</f>
        <v>39.754800000000003</v>
      </c>
      <c r="C628" s="14">
        <f>CHOOSE(CONTROL!$C$42, 39.7593, 39.7593) * CHOOSE(CONTROL!$C$21, $C$9, 100%, $E$9)</f>
        <v>39.759300000000003</v>
      </c>
      <c r="D628" s="14">
        <f>CHOOSE(CONTROL!$C$42, 40.0215, 40.0215) * CHOOSE(CONTROL!$C$21, $C$9, 100%, $E$9)</f>
        <v>40.021500000000003</v>
      </c>
      <c r="E628" s="14">
        <f>CHOOSE(CONTROL!$C$42, 40.0536, 40.0536) * CHOOSE(CONTROL!$C$21, $C$9, 100%, $E$9)</f>
        <v>40.053600000000003</v>
      </c>
      <c r="F628" s="14">
        <f>CHOOSE(CONTROL!$C$42, 39.7776, 39.7776)*CHOOSE(CONTROL!$C$21, $C$9, 100%, $E$9)</f>
        <v>39.7776</v>
      </c>
      <c r="G628" s="14">
        <f>CHOOSE(CONTROL!$C$42, 39.7943, 39.7943)*CHOOSE(CONTROL!$C$21, $C$9, 100%, $E$9)</f>
        <v>39.7943</v>
      </c>
      <c r="H628" s="14">
        <f>CHOOSE(CONTROL!$C$42, 40.0434, 40.0434) * CHOOSE(CONTROL!$C$21, $C$9, 100%, $E$9)</f>
        <v>40.043399999999998</v>
      </c>
      <c r="I628" s="14">
        <f>CHOOSE(CONTROL!$C$42, 39.9018, 39.9018)* CHOOSE(CONTROL!$C$21, $C$9, 100%, $E$9)</f>
        <v>39.901800000000001</v>
      </c>
      <c r="J628" s="14">
        <f>CHOOSE(CONTROL!$C$42, 39.7706, 39.7706)* CHOOSE(CONTROL!$C$21, $C$9, 100%, $E$9)</f>
        <v>39.770600000000002</v>
      </c>
      <c r="K628" s="52">
        <f>CHOOSE(CONTROL!$C$42, 39.8979, 39.8979) * CHOOSE(CONTROL!$C$21, $C$9, 100%, $E$9)</f>
        <v>39.8979</v>
      </c>
      <c r="L628" s="14">
        <f>CHOOSE(CONTROL!$C$42, 40.6304, 40.6304) * CHOOSE(CONTROL!$C$21, $C$9, 100%, $E$9)</f>
        <v>40.630400000000002</v>
      </c>
      <c r="M628" s="14">
        <f>CHOOSE(CONTROL!$C$42, 39.063, 39.063) * CHOOSE(CONTROL!$C$21, $C$9, 100%, $E$9)</f>
        <v>39.063000000000002</v>
      </c>
      <c r="N628" s="14">
        <f>CHOOSE(CONTROL!$C$42, 39.0794, 39.0794) * CHOOSE(CONTROL!$C$21, $C$9, 100%, $E$9)</f>
        <v>39.0794</v>
      </c>
      <c r="O628" s="14">
        <f>CHOOSE(CONTROL!$C$42, 39.3308, 39.3308) * CHOOSE(CONTROL!$C$21, $C$9, 100%, $E$9)</f>
        <v>39.330800000000004</v>
      </c>
      <c r="P628" s="14">
        <f>CHOOSE(CONTROL!$C$42, 39.1896, 39.1896) * CHOOSE(CONTROL!$C$21, $C$9, 100%, $E$9)</f>
        <v>39.189599999999999</v>
      </c>
      <c r="Q628" s="14">
        <f>CHOOSE(CONTROL!$C$42, 39.9255, 39.9255) * CHOOSE(CONTROL!$C$21, $C$9, 100%, $E$9)</f>
        <v>39.9255</v>
      </c>
      <c r="R628" s="14">
        <f>CHOOSE(CONTROL!$C$42, 40.6123, 40.6123) * CHOOSE(CONTROL!$C$21, $C$9, 100%, $E$9)</f>
        <v>40.612299999999998</v>
      </c>
      <c r="S628" s="14">
        <f>CHOOSE(CONTROL!$C$42, 38.1911, 38.1911) * CHOOSE(CONTROL!$C$21, $C$9, 100%, $E$9)</f>
        <v>38.191099999999999</v>
      </c>
      <c r="T62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28" s="56">
        <f>(1000*CHOOSE(CONTROL!$C$42, 695, 695)*CHOOSE(CONTROL!$C$42, 0.5599, 0.5599)*CHOOSE(CONTROL!$C$42, 30, 30))/1000000</f>
        <v>11.673914999999997</v>
      </c>
      <c r="V628" s="56">
        <f>(1000*CHOOSE(CONTROL!$C$42, 500, 500)*CHOOSE(CONTROL!$C$42, 0.275, 0.275)*CHOOSE(CONTROL!$C$42, 30, 30))/1000000</f>
        <v>4.125</v>
      </c>
      <c r="W628" s="56">
        <f>(1000*CHOOSE(CONTROL!$C$42, 0.1146, 0.1146)*CHOOSE(CONTROL!$C$42, 121.5, 121.5)*CHOOSE(CONTROL!$C$42, 30, 30))/1000000</f>
        <v>0.417717</v>
      </c>
      <c r="X628" s="56">
        <f>(30*0.1790888*245000/1000000)+(30*0.2374*100000/1000000)</f>
        <v>2.0285026799999999</v>
      </c>
      <c r="Y628" s="56"/>
      <c r="Z628" s="14"/>
      <c r="AA628" s="55"/>
      <c r="AB628" s="49">
        <f>(B628*141.293+C628*267.993+D628*115.016+E628*89.698+F628*40+G628*185+H628*0+I628*100+J628*300)/(141.293+267.993+115.016+89.698+0+40+185+100+300)</f>
        <v>39.82448684269572</v>
      </c>
      <c r="AC628" s="45">
        <f>(M628*'RAP TEMPLATE-GAS AVAILABILITY'!O627+N628*'RAP TEMPLATE-GAS AVAILABILITY'!P627+O628*'RAP TEMPLATE-GAS AVAILABILITY'!Q627+P628*'RAP TEMPLATE-GAS AVAILABILITY'!R627)/('RAP TEMPLATE-GAS AVAILABILITY'!O627+'RAP TEMPLATE-GAS AVAILABILITY'!P627+'RAP TEMPLATE-GAS AVAILABILITY'!Q627+'RAP TEMPLATE-GAS AVAILABILITY'!R627)</f>
        <v>39.203536690647482</v>
      </c>
    </row>
    <row r="629" spans="1:29" ht="15.75" x14ac:dyDescent="0.25">
      <c r="A629" s="32">
        <v>60053</v>
      </c>
      <c r="B629" s="14">
        <f>CHOOSE(CONTROL!$C$42, 40.107, 40.107) * CHOOSE(CONTROL!$C$21, $C$9, 100%, $E$9)</f>
        <v>40.106999999999999</v>
      </c>
      <c r="C629" s="14">
        <f>CHOOSE(CONTROL!$C$42, 40.115, 40.115) * CHOOSE(CONTROL!$C$21, $C$9, 100%, $E$9)</f>
        <v>40.115000000000002</v>
      </c>
      <c r="D629" s="14">
        <f>CHOOSE(CONTROL!$C$42, 40.3741, 40.3741) * CHOOSE(CONTROL!$C$21, $C$9, 100%, $E$9)</f>
        <v>40.374099999999999</v>
      </c>
      <c r="E629" s="14">
        <f>CHOOSE(CONTROL!$C$42, 40.4055, 40.4055) * CHOOSE(CONTROL!$C$21, $C$9, 100%, $E$9)</f>
        <v>40.405500000000004</v>
      </c>
      <c r="F629" s="14">
        <f>CHOOSE(CONTROL!$C$42, 40.1285, 40.1285)*CHOOSE(CONTROL!$C$21, $C$9, 100%, $E$9)</f>
        <v>40.128500000000003</v>
      </c>
      <c r="G629" s="14">
        <f>CHOOSE(CONTROL!$C$42, 40.1455, 40.1455)*CHOOSE(CONTROL!$C$21, $C$9, 100%, $E$9)</f>
        <v>40.145499999999998</v>
      </c>
      <c r="H629" s="14">
        <f>CHOOSE(CONTROL!$C$42, 40.3942, 40.3942) * CHOOSE(CONTROL!$C$21, $C$9, 100%, $E$9)</f>
        <v>40.394199999999998</v>
      </c>
      <c r="I629" s="14">
        <f>CHOOSE(CONTROL!$C$42, 40.2537, 40.2537)* CHOOSE(CONTROL!$C$21, $C$9, 100%, $E$9)</f>
        <v>40.253700000000002</v>
      </c>
      <c r="J629" s="14">
        <f>CHOOSE(CONTROL!$C$42, 40.1215, 40.1215)* CHOOSE(CONTROL!$C$21, $C$9, 100%, $E$9)</f>
        <v>40.121499999999997</v>
      </c>
      <c r="K629" s="52">
        <f>CHOOSE(CONTROL!$C$42, 40.2498, 40.2498) * CHOOSE(CONTROL!$C$21, $C$9, 100%, $E$9)</f>
        <v>40.2498</v>
      </c>
      <c r="L629" s="14">
        <f>CHOOSE(CONTROL!$C$42, 40.9812, 40.9812) * CHOOSE(CONTROL!$C$21, $C$9, 100%, $E$9)</f>
        <v>40.981200000000001</v>
      </c>
      <c r="M629" s="14">
        <f>CHOOSE(CONTROL!$C$42, 39.4075, 39.4075) * CHOOSE(CONTROL!$C$21, $C$9, 100%, $E$9)</f>
        <v>39.407499999999999</v>
      </c>
      <c r="N629" s="14">
        <f>CHOOSE(CONTROL!$C$42, 39.4242, 39.4242) * CHOOSE(CONTROL!$C$21, $C$9, 100%, $E$9)</f>
        <v>39.424199999999999</v>
      </c>
      <c r="O629" s="14">
        <f>CHOOSE(CONTROL!$C$42, 39.6753, 39.6753) * CHOOSE(CONTROL!$C$21, $C$9, 100%, $E$9)</f>
        <v>39.6753</v>
      </c>
      <c r="P629" s="14">
        <f>CHOOSE(CONTROL!$C$42, 39.5352, 39.5352) * CHOOSE(CONTROL!$C$21, $C$9, 100%, $E$9)</f>
        <v>39.535200000000003</v>
      </c>
      <c r="Q629" s="14">
        <f>CHOOSE(CONTROL!$C$42, 40.27, 40.27) * CHOOSE(CONTROL!$C$21, $C$9, 100%, $E$9)</f>
        <v>40.270000000000003</v>
      </c>
      <c r="R629" s="14">
        <f>CHOOSE(CONTROL!$C$42, 40.9577, 40.9577) * CHOOSE(CONTROL!$C$21, $C$9, 100%, $E$9)</f>
        <v>40.957700000000003</v>
      </c>
      <c r="S629" s="14">
        <f>CHOOSE(CONTROL!$C$42, 38.5281, 38.5281) * CHOOSE(CONTROL!$C$21, $C$9, 100%, $E$9)</f>
        <v>38.528100000000002</v>
      </c>
      <c r="T62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29" s="56">
        <f>(1000*CHOOSE(CONTROL!$C$42, 695, 695)*CHOOSE(CONTROL!$C$42, 0.5599, 0.5599)*CHOOSE(CONTROL!$C$42, 31, 31))/1000000</f>
        <v>12.063045499999998</v>
      </c>
      <c r="V629" s="56">
        <f>(1000*CHOOSE(CONTROL!$C$42, 500, 500)*CHOOSE(CONTROL!$C$42, 0.275, 0.275)*CHOOSE(CONTROL!$C$42, 31, 31))/1000000</f>
        <v>4.2625000000000002</v>
      </c>
      <c r="W629" s="56">
        <f>(1000*CHOOSE(CONTROL!$C$42, 0.1146, 0.1146)*CHOOSE(CONTROL!$C$42, 121.5, 121.5)*CHOOSE(CONTROL!$C$42, 31, 31))/1000000</f>
        <v>0.43164089999999994</v>
      </c>
      <c r="X629" s="56">
        <f>(31*0.1790888*245000/1000000)+(31*0.2374*100000/1000000)</f>
        <v>2.0961194359999999</v>
      </c>
      <c r="Y629" s="56"/>
      <c r="Z629" s="14"/>
      <c r="AA629" s="55"/>
      <c r="AB629" s="49">
        <f>(B629*194.205+C629*267.466+D629*133.845+E629*53.484+F629*40+G629*185+H629*0+I629*100+J629*300)/(194.205+267.466+133.845+53.484+0+40+185+100+300)</f>
        <v>40.1704671911303</v>
      </c>
      <c r="AC629" s="45">
        <f>(M629*'RAP TEMPLATE-GAS AVAILABILITY'!O628+N629*'RAP TEMPLATE-GAS AVAILABILITY'!P628+O629*'RAP TEMPLATE-GAS AVAILABILITY'!Q628+P629*'RAP TEMPLATE-GAS AVAILABILITY'!R628)/('RAP TEMPLATE-GAS AVAILABILITY'!O628+'RAP TEMPLATE-GAS AVAILABILITY'!P628+'RAP TEMPLATE-GAS AVAILABILITY'!Q628+'RAP TEMPLATE-GAS AVAILABILITY'!R628)</f>
        <v>39.548212230215825</v>
      </c>
    </row>
    <row r="630" spans="1:29" ht="15.75" x14ac:dyDescent="0.25">
      <c r="A630" s="32">
        <v>60083</v>
      </c>
      <c r="B630" s="14">
        <f>CHOOSE(CONTROL!$C$42, 41.2443, 41.2443) * CHOOSE(CONTROL!$C$21, $C$9, 100%, $E$9)</f>
        <v>41.244300000000003</v>
      </c>
      <c r="C630" s="14">
        <f>CHOOSE(CONTROL!$C$42, 41.2523, 41.2523) * CHOOSE(CONTROL!$C$21, $C$9, 100%, $E$9)</f>
        <v>41.252299999999998</v>
      </c>
      <c r="D630" s="14">
        <f>CHOOSE(CONTROL!$C$42, 41.5114, 41.5114) * CHOOSE(CONTROL!$C$21, $C$9, 100%, $E$9)</f>
        <v>41.511400000000002</v>
      </c>
      <c r="E630" s="14">
        <f>CHOOSE(CONTROL!$C$42, 41.5429, 41.5429) * CHOOSE(CONTROL!$C$21, $C$9, 100%, $E$9)</f>
        <v>41.542900000000003</v>
      </c>
      <c r="F630" s="14">
        <f>CHOOSE(CONTROL!$C$42, 41.2661, 41.2661)*CHOOSE(CONTROL!$C$21, $C$9, 100%, $E$9)</f>
        <v>41.266100000000002</v>
      </c>
      <c r="G630" s="14">
        <f>CHOOSE(CONTROL!$C$42, 41.2831, 41.2831)*CHOOSE(CONTROL!$C$21, $C$9, 100%, $E$9)</f>
        <v>41.283099999999997</v>
      </c>
      <c r="H630" s="14">
        <f>CHOOSE(CONTROL!$C$42, 41.5315, 41.5315) * CHOOSE(CONTROL!$C$21, $C$9, 100%, $E$9)</f>
        <v>41.531500000000001</v>
      </c>
      <c r="I630" s="14">
        <f>CHOOSE(CONTROL!$C$42, 41.3946, 41.3946)* CHOOSE(CONTROL!$C$21, $C$9, 100%, $E$9)</f>
        <v>41.394599999999997</v>
      </c>
      <c r="J630" s="14">
        <f>CHOOSE(CONTROL!$C$42, 41.2591, 41.2591)* CHOOSE(CONTROL!$C$21, $C$9, 100%, $E$9)</f>
        <v>41.259099999999997</v>
      </c>
      <c r="K630" s="52">
        <f>CHOOSE(CONTROL!$C$42, 41.3907, 41.3907) * CHOOSE(CONTROL!$C$21, $C$9, 100%, $E$9)</f>
        <v>41.390700000000002</v>
      </c>
      <c r="L630" s="14">
        <f>CHOOSE(CONTROL!$C$42, 42.1185, 42.1185) * CHOOSE(CONTROL!$C$21, $C$9, 100%, $E$9)</f>
        <v>42.118499999999997</v>
      </c>
      <c r="M630" s="14">
        <f>CHOOSE(CONTROL!$C$42, 40.5247, 40.5247) * CHOOSE(CONTROL!$C$21, $C$9, 100%, $E$9)</f>
        <v>40.524700000000003</v>
      </c>
      <c r="N630" s="14">
        <f>CHOOSE(CONTROL!$C$42, 40.5414, 40.5414) * CHOOSE(CONTROL!$C$21, $C$9, 100%, $E$9)</f>
        <v>40.541400000000003</v>
      </c>
      <c r="O630" s="14">
        <f>CHOOSE(CONTROL!$C$42, 40.7922, 40.7922) * CHOOSE(CONTROL!$C$21, $C$9, 100%, $E$9)</f>
        <v>40.792200000000001</v>
      </c>
      <c r="P630" s="14">
        <f>CHOOSE(CONTROL!$C$42, 40.6555, 40.6555) * CHOOSE(CONTROL!$C$21, $C$9, 100%, $E$9)</f>
        <v>40.655500000000004</v>
      </c>
      <c r="Q630" s="14">
        <f>CHOOSE(CONTROL!$C$42, 41.3869, 41.3869) * CHOOSE(CONTROL!$C$21, $C$9, 100%, $E$9)</f>
        <v>41.386899999999997</v>
      </c>
      <c r="R630" s="14">
        <f>CHOOSE(CONTROL!$C$42, 42.0774, 42.0774) * CHOOSE(CONTROL!$C$21, $C$9, 100%, $E$9)</f>
        <v>42.077399999999997</v>
      </c>
      <c r="S630" s="14">
        <f>CHOOSE(CONTROL!$C$42, 39.621, 39.621) * CHOOSE(CONTROL!$C$21, $C$9, 100%, $E$9)</f>
        <v>39.621000000000002</v>
      </c>
      <c r="T63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30" s="56">
        <f>(1000*CHOOSE(CONTROL!$C$42, 695, 695)*CHOOSE(CONTROL!$C$42, 0.5599, 0.5599)*CHOOSE(CONTROL!$C$42, 30, 30))/1000000</f>
        <v>11.673914999999997</v>
      </c>
      <c r="V630" s="56">
        <f>(1000*CHOOSE(CONTROL!$C$42, 500, 500)*CHOOSE(CONTROL!$C$42, 0.275, 0.275)*CHOOSE(CONTROL!$C$42, 30, 30))/1000000</f>
        <v>4.125</v>
      </c>
      <c r="W630" s="56">
        <f>(1000*CHOOSE(CONTROL!$C$42, 0.1146, 0.1146)*CHOOSE(CONTROL!$C$42, 121.5, 121.5)*CHOOSE(CONTROL!$C$42, 30, 30))/1000000</f>
        <v>0.417717</v>
      </c>
      <c r="X630" s="56">
        <f>(30*0.1790888*245000/1000000)+(30*0.2374*100000/1000000)</f>
        <v>2.0285026799999999</v>
      </c>
      <c r="Y630" s="56"/>
      <c r="Z630" s="14"/>
      <c r="AA630" s="55"/>
      <c r="AB630" s="49">
        <f>(B630*194.205+C630*267.466+D630*133.845+E630*53.484+F630*40+G630*185+H630*0+I630*100+J630*300)/(194.205+267.466+133.845+53.484+0+40+185+100+300)</f>
        <v>41.308177590188379</v>
      </c>
      <c r="AC630" s="45">
        <f>(M630*'RAP TEMPLATE-GAS AVAILABILITY'!O629+N630*'RAP TEMPLATE-GAS AVAILABILITY'!P629+O630*'RAP TEMPLATE-GAS AVAILABILITY'!Q629+P630*'RAP TEMPLATE-GAS AVAILABILITY'!R629)/('RAP TEMPLATE-GAS AVAILABILITY'!O629+'RAP TEMPLATE-GAS AVAILABILITY'!P629+'RAP TEMPLATE-GAS AVAILABILITY'!Q629+'RAP TEMPLATE-GAS AVAILABILITY'!R629)</f>
        <v>40.665722302158272</v>
      </c>
    </row>
    <row r="631" spans="1:29" ht="15.75" x14ac:dyDescent="0.25">
      <c r="A631" s="32">
        <v>60114</v>
      </c>
      <c r="B631" s="14">
        <f>CHOOSE(CONTROL!$C$42, 40.4533, 40.4533) * CHOOSE(CONTROL!$C$21, $C$9, 100%, $E$9)</f>
        <v>40.453299999999999</v>
      </c>
      <c r="C631" s="14">
        <f>CHOOSE(CONTROL!$C$42, 40.4613, 40.4613) * CHOOSE(CONTROL!$C$21, $C$9, 100%, $E$9)</f>
        <v>40.461300000000001</v>
      </c>
      <c r="D631" s="14">
        <f>CHOOSE(CONTROL!$C$42, 40.7204, 40.7204) * CHOOSE(CONTROL!$C$21, $C$9, 100%, $E$9)</f>
        <v>40.720399999999998</v>
      </c>
      <c r="E631" s="14">
        <f>CHOOSE(CONTROL!$C$42, 40.7519, 40.7519) * CHOOSE(CONTROL!$C$21, $C$9, 100%, $E$9)</f>
        <v>40.751899999999999</v>
      </c>
      <c r="F631" s="14">
        <f>CHOOSE(CONTROL!$C$42, 40.4755, 40.4755)*CHOOSE(CONTROL!$C$21, $C$9, 100%, $E$9)</f>
        <v>40.475499999999997</v>
      </c>
      <c r="G631" s="14">
        <f>CHOOSE(CONTROL!$C$42, 40.4926, 40.4926)*CHOOSE(CONTROL!$C$21, $C$9, 100%, $E$9)</f>
        <v>40.492600000000003</v>
      </c>
      <c r="H631" s="14">
        <f>CHOOSE(CONTROL!$C$42, 40.7405, 40.7405) * CHOOSE(CONTROL!$C$21, $C$9, 100%, $E$9)</f>
        <v>40.740499999999997</v>
      </c>
      <c r="I631" s="14">
        <f>CHOOSE(CONTROL!$C$42, 40.6011, 40.6011)* CHOOSE(CONTROL!$C$21, $C$9, 100%, $E$9)</f>
        <v>40.601100000000002</v>
      </c>
      <c r="J631" s="14">
        <f>CHOOSE(CONTROL!$C$42, 40.4685, 40.4685)* CHOOSE(CONTROL!$C$21, $C$9, 100%, $E$9)</f>
        <v>40.468499999999999</v>
      </c>
      <c r="K631" s="52">
        <f>CHOOSE(CONTROL!$C$42, 40.5972, 40.5972) * CHOOSE(CONTROL!$C$21, $C$9, 100%, $E$9)</f>
        <v>40.597200000000001</v>
      </c>
      <c r="L631" s="14">
        <f>CHOOSE(CONTROL!$C$42, 41.3275, 41.3275) * CHOOSE(CONTROL!$C$21, $C$9, 100%, $E$9)</f>
        <v>41.327500000000001</v>
      </c>
      <c r="M631" s="14">
        <f>CHOOSE(CONTROL!$C$42, 39.7483, 39.7483) * CHOOSE(CONTROL!$C$21, $C$9, 100%, $E$9)</f>
        <v>39.7483</v>
      </c>
      <c r="N631" s="14">
        <f>CHOOSE(CONTROL!$C$42, 39.7651, 39.7651) * CHOOSE(CONTROL!$C$21, $C$9, 100%, $E$9)</f>
        <v>39.765099999999997</v>
      </c>
      <c r="O631" s="14">
        <f>CHOOSE(CONTROL!$C$42, 40.0154, 40.0154) * CHOOSE(CONTROL!$C$21, $C$9, 100%, $E$9)</f>
        <v>40.0154</v>
      </c>
      <c r="P631" s="14">
        <f>CHOOSE(CONTROL!$C$42, 39.8763, 39.8763) * CHOOSE(CONTROL!$C$21, $C$9, 100%, $E$9)</f>
        <v>39.876300000000001</v>
      </c>
      <c r="Q631" s="14">
        <f>CHOOSE(CONTROL!$C$42, 40.6101, 40.6101) * CHOOSE(CONTROL!$C$21, $C$9, 100%, $E$9)</f>
        <v>40.610100000000003</v>
      </c>
      <c r="R631" s="14">
        <f>CHOOSE(CONTROL!$C$42, 41.2986, 41.2986) * CHOOSE(CONTROL!$C$21, $C$9, 100%, $E$9)</f>
        <v>41.2986</v>
      </c>
      <c r="S631" s="14">
        <f>CHOOSE(CONTROL!$C$42, 38.8609, 38.8609) * CHOOSE(CONTROL!$C$21, $C$9, 100%, $E$9)</f>
        <v>38.860900000000001</v>
      </c>
      <c r="T63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31" s="56">
        <f>(1000*CHOOSE(CONTROL!$C$42, 695, 695)*CHOOSE(CONTROL!$C$42, 0.5599, 0.5599)*CHOOSE(CONTROL!$C$42, 31, 31))/1000000</f>
        <v>12.063045499999998</v>
      </c>
      <c r="V631" s="56">
        <f>(1000*CHOOSE(CONTROL!$C$42, 500, 500)*CHOOSE(CONTROL!$C$42, 0.275, 0.275)*CHOOSE(CONTROL!$C$42, 31, 31))/1000000</f>
        <v>4.2625000000000002</v>
      </c>
      <c r="W631" s="56">
        <f>(1000*CHOOSE(CONTROL!$C$42, 0.1146, 0.1146)*CHOOSE(CONTROL!$C$42, 121.5, 121.5)*CHOOSE(CONTROL!$C$42, 31, 31))/1000000</f>
        <v>0.43164089999999994</v>
      </c>
      <c r="X631" s="56">
        <f>(31*0.1790888*245000/1000000)+(31*0.2374*100000/1000000)</f>
        <v>2.0961194359999999</v>
      </c>
      <c r="Y631" s="56"/>
      <c r="Z631" s="14"/>
      <c r="AA631" s="55"/>
      <c r="AB631" s="49">
        <f>(B631*194.205+C631*267.466+D631*133.845+E631*53.484+F631*40+G631*185+H631*0+I631*100+J631*300)/(194.205+267.466+133.845+53.484+0+40+185+100+300)</f>
        <v>40.517160714207222</v>
      </c>
      <c r="AC631" s="45">
        <f>(M631*'RAP TEMPLATE-GAS AVAILABILITY'!O630+N631*'RAP TEMPLATE-GAS AVAILABILITY'!P630+O631*'RAP TEMPLATE-GAS AVAILABILITY'!Q630+P631*'RAP TEMPLATE-GAS AVAILABILITY'!R630)/('RAP TEMPLATE-GAS AVAILABILITY'!O630+'RAP TEMPLATE-GAS AVAILABILITY'!P630+'RAP TEMPLATE-GAS AVAILABILITY'!Q630+'RAP TEMPLATE-GAS AVAILABILITY'!R630)</f>
        <v>39.888743884892087</v>
      </c>
    </row>
    <row r="632" spans="1:29" ht="15.75" x14ac:dyDescent="0.25">
      <c r="A632" s="32">
        <v>60145</v>
      </c>
      <c r="B632" s="14">
        <f>CHOOSE(CONTROL!$C$42, 38.4557, 38.4557) * CHOOSE(CONTROL!$C$21, $C$9, 100%, $E$9)</f>
        <v>38.4557</v>
      </c>
      <c r="C632" s="14">
        <f>CHOOSE(CONTROL!$C$42, 38.4637, 38.4637) * CHOOSE(CONTROL!$C$21, $C$9, 100%, $E$9)</f>
        <v>38.463700000000003</v>
      </c>
      <c r="D632" s="14">
        <f>CHOOSE(CONTROL!$C$42, 38.7228, 38.7228) * CHOOSE(CONTROL!$C$21, $C$9, 100%, $E$9)</f>
        <v>38.722799999999999</v>
      </c>
      <c r="E632" s="14">
        <f>CHOOSE(CONTROL!$C$42, 38.7542, 38.7542) * CHOOSE(CONTROL!$C$21, $C$9, 100%, $E$9)</f>
        <v>38.754199999999997</v>
      </c>
      <c r="F632" s="14">
        <f>CHOOSE(CONTROL!$C$42, 38.4781, 38.4781)*CHOOSE(CONTROL!$C$21, $C$9, 100%, $E$9)</f>
        <v>38.478099999999998</v>
      </c>
      <c r="G632" s="14">
        <f>CHOOSE(CONTROL!$C$42, 38.4953, 38.4953)*CHOOSE(CONTROL!$C$21, $C$9, 100%, $E$9)</f>
        <v>38.4953</v>
      </c>
      <c r="H632" s="14">
        <f>CHOOSE(CONTROL!$C$42, 38.7429, 38.7429) * CHOOSE(CONTROL!$C$21, $C$9, 100%, $E$9)</f>
        <v>38.742899999999999</v>
      </c>
      <c r="I632" s="14">
        <f>CHOOSE(CONTROL!$C$42, 38.5972, 38.5972)* CHOOSE(CONTROL!$C$21, $C$9, 100%, $E$9)</f>
        <v>38.597200000000001</v>
      </c>
      <c r="J632" s="14">
        <f>CHOOSE(CONTROL!$C$42, 38.4711, 38.4711)* CHOOSE(CONTROL!$C$21, $C$9, 100%, $E$9)</f>
        <v>38.4711</v>
      </c>
      <c r="K632" s="52">
        <f>CHOOSE(CONTROL!$C$42, 38.5933, 38.5933) * CHOOSE(CONTROL!$C$21, $C$9, 100%, $E$9)</f>
        <v>38.593299999999999</v>
      </c>
      <c r="L632" s="14">
        <f>CHOOSE(CONTROL!$C$42, 39.3299, 39.3299) * CHOOSE(CONTROL!$C$21, $C$9, 100%, $E$9)</f>
        <v>39.329900000000002</v>
      </c>
      <c r="M632" s="14">
        <f>CHOOSE(CONTROL!$C$42, 37.7868, 37.7868) * CHOOSE(CONTROL!$C$21, $C$9, 100%, $E$9)</f>
        <v>37.786799999999999</v>
      </c>
      <c r="N632" s="14">
        <f>CHOOSE(CONTROL!$C$42, 37.8037, 37.8037) * CHOOSE(CONTROL!$C$21, $C$9, 100%, $E$9)</f>
        <v>37.803699999999999</v>
      </c>
      <c r="O632" s="14">
        <f>CHOOSE(CONTROL!$C$42, 38.0537, 38.0537) * CHOOSE(CONTROL!$C$21, $C$9, 100%, $E$9)</f>
        <v>38.053699999999999</v>
      </c>
      <c r="P632" s="14">
        <f>CHOOSE(CONTROL!$C$42, 37.9086, 37.9086) * CHOOSE(CONTROL!$C$21, $C$9, 100%, $E$9)</f>
        <v>37.9086</v>
      </c>
      <c r="Q632" s="14">
        <f>CHOOSE(CONTROL!$C$42, 38.6484, 38.6484) * CHOOSE(CONTROL!$C$21, $C$9, 100%, $E$9)</f>
        <v>38.648400000000002</v>
      </c>
      <c r="R632" s="14">
        <f>CHOOSE(CONTROL!$C$42, 39.332, 39.332) * CHOOSE(CONTROL!$C$21, $C$9, 100%, $E$9)</f>
        <v>39.332000000000001</v>
      </c>
      <c r="S632" s="14">
        <f>CHOOSE(CONTROL!$C$42, 36.9414, 36.9414) * CHOOSE(CONTROL!$C$21, $C$9, 100%, $E$9)</f>
        <v>36.941400000000002</v>
      </c>
      <c r="T63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32" s="56">
        <f>(1000*CHOOSE(CONTROL!$C$42, 695, 695)*CHOOSE(CONTROL!$C$42, 0.5599, 0.5599)*CHOOSE(CONTROL!$C$42, 31, 31))/1000000</f>
        <v>12.063045499999998</v>
      </c>
      <c r="V632" s="56">
        <f>(1000*CHOOSE(CONTROL!$C$42, 500, 500)*CHOOSE(CONTROL!$C$42, 0.275, 0.275)*CHOOSE(CONTROL!$C$42, 31, 31))/1000000</f>
        <v>4.2625000000000002</v>
      </c>
      <c r="W632" s="56">
        <f>(1000*CHOOSE(CONTROL!$C$42, 0.1146, 0.1146)*CHOOSE(CONTROL!$C$42, 121.5, 121.5)*CHOOSE(CONTROL!$C$42, 31, 31))/1000000</f>
        <v>0.43164089999999994</v>
      </c>
      <c r="X632" s="56">
        <f>(31*0.1790888*245000/1000000)+(31*0.2374*100000/1000000)</f>
        <v>2.0961194359999999</v>
      </c>
      <c r="Y632" s="56"/>
      <c r="Z632" s="14"/>
      <c r="AA632" s="55"/>
      <c r="AB632" s="49">
        <f>(B632*194.205+C632*267.466+D632*133.845+E632*53.484+F632*40+G632*185+H632*0+I632*100+J632*300)/(194.205+267.466+133.845+53.484+0+40+185+100+300)</f>
        <v>38.519158949372063</v>
      </c>
      <c r="AC632" s="45">
        <f>(M632*'RAP TEMPLATE-GAS AVAILABILITY'!O631+N632*'RAP TEMPLATE-GAS AVAILABILITY'!P631+O632*'RAP TEMPLATE-GAS AVAILABILITY'!Q631+P632*'RAP TEMPLATE-GAS AVAILABILITY'!R631)/('RAP TEMPLATE-GAS AVAILABILITY'!O631+'RAP TEMPLATE-GAS AVAILABILITY'!P631+'RAP TEMPLATE-GAS AVAILABILITY'!Q631+'RAP TEMPLATE-GAS AVAILABILITY'!R631)</f>
        <v>37.926266906474822</v>
      </c>
    </row>
    <row r="633" spans="1:29" ht="15.75" x14ac:dyDescent="0.25">
      <c r="A633" s="32">
        <v>60175</v>
      </c>
      <c r="B633" s="14">
        <f>CHOOSE(CONTROL!$C$42, 36.0147, 36.0147) * CHOOSE(CONTROL!$C$21, $C$9, 100%, $E$9)</f>
        <v>36.014699999999998</v>
      </c>
      <c r="C633" s="14">
        <f>CHOOSE(CONTROL!$C$42, 36.0228, 36.0228) * CHOOSE(CONTROL!$C$21, $C$9, 100%, $E$9)</f>
        <v>36.022799999999997</v>
      </c>
      <c r="D633" s="14">
        <f>CHOOSE(CONTROL!$C$42, 36.2818, 36.2818) * CHOOSE(CONTROL!$C$21, $C$9, 100%, $E$9)</f>
        <v>36.281799999999997</v>
      </c>
      <c r="E633" s="14">
        <f>CHOOSE(CONTROL!$C$42, 36.3133, 36.3133) * CHOOSE(CONTROL!$C$21, $C$9, 100%, $E$9)</f>
        <v>36.313299999999998</v>
      </c>
      <c r="F633" s="14">
        <f>CHOOSE(CONTROL!$C$42, 36.0372, 36.0372)*CHOOSE(CONTROL!$C$21, $C$9, 100%, $E$9)</f>
        <v>36.037199999999999</v>
      </c>
      <c r="G633" s="14">
        <f>CHOOSE(CONTROL!$C$42, 36.0544, 36.0544)*CHOOSE(CONTROL!$C$21, $C$9, 100%, $E$9)</f>
        <v>36.054400000000001</v>
      </c>
      <c r="H633" s="14">
        <f>CHOOSE(CONTROL!$C$42, 36.3019, 36.3019) * CHOOSE(CONTROL!$C$21, $C$9, 100%, $E$9)</f>
        <v>36.301900000000003</v>
      </c>
      <c r="I633" s="14">
        <f>CHOOSE(CONTROL!$C$42, 36.1486, 36.1486)* CHOOSE(CONTROL!$C$21, $C$9, 100%, $E$9)</f>
        <v>36.148600000000002</v>
      </c>
      <c r="J633" s="14">
        <f>CHOOSE(CONTROL!$C$42, 36.0302, 36.0302)* CHOOSE(CONTROL!$C$21, $C$9, 100%, $E$9)</f>
        <v>36.030200000000001</v>
      </c>
      <c r="K633" s="52">
        <f>CHOOSE(CONTROL!$C$42, 36.1447, 36.1447) * CHOOSE(CONTROL!$C$21, $C$9, 100%, $E$9)</f>
        <v>36.1447</v>
      </c>
      <c r="L633" s="14">
        <f>CHOOSE(CONTROL!$C$42, 36.8889, 36.8889) * CHOOSE(CONTROL!$C$21, $C$9, 100%, $E$9)</f>
        <v>36.8889</v>
      </c>
      <c r="M633" s="14">
        <f>CHOOSE(CONTROL!$C$42, 35.3898, 35.3898) * CHOOSE(CONTROL!$C$21, $C$9, 100%, $E$9)</f>
        <v>35.389800000000001</v>
      </c>
      <c r="N633" s="14">
        <f>CHOOSE(CONTROL!$C$42, 35.4067, 35.4067) * CHOOSE(CONTROL!$C$21, $C$9, 100%, $E$9)</f>
        <v>35.406700000000001</v>
      </c>
      <c r="O633" s="14">
        <f>CHOOSE(CONTROL!$C$42, 35.6567, 35.6567) * CHOOSE(CONTROL!$C$21, $C$9, 100%, $E$9)</f>
        <v>35.656700000000001</v>
      </c>
      <c r="P633" s="14">
        <f>CHOOSE(CONTROL!$C$42, 35.5042, 35.5042) * CHOOSE(CONTROL!$C$21, $C$9, 100%, $E$9)</f>
        <v>35.504199999999997</v>
      </c>
      <c r="Q633" s="14">
        <f>CHOOSE(CONTROL!$C$42, 36.2514, 36.2514) * CHOOSE(CONTROL!$C$21, $C$9, 100%, $E$9)</f>
        <v>36.251399999999997</v>
      </c>
      <c r="R633" s="14">
        <f>CHOOSE(CONTROL!$C$42, 36.929, 36.929) * CHOOSE(CONTROL!$C$21, $C$9, 100%, $E$9)</f>
        <v>36.929000000000002</v>
      </c>
      <c r="S633" s="14">
        <f>CHOOSE(CONTROL!$C$42, 34.5959, 34.5959) * CHOOSE(CONTROL!$C$21, $C$9, 100%, $E$9)</f>
        <v>34.5959</v>
      </c>
      <c r="T63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33" s="56">
        <f>(1000*CHOOSE(CONTROL!$C$42, 695, 695)*CHOOSE(CONTROL!$C$42, 0.5599, 0.5599)*CHOOSE(CONTROL!$C$42, 30, 30))/1000000</f>
        <v>11.673914999999997</v>
      </c>
      <c r="V633" s="56">
        <f>(1000*CHOOSE(CONTROL!$C$42, 500, 500)*CHOOSE(CONTROL!$C$42, 0.275, 0.275)*CHOOSE(CONTROL!$C$42, 30, 30))/1000000</f>
        <v>4.125</v>
      </c>
      <c r="W633" s="56">
        <f>(1000*CHOOSE(CONTROL!$C$42, 0.1146, 0.1146)*CHOOSE(CONTROL!$C$42, 121.5, 121.5)*CHOOSE(CONTROL!$C$42, 30, 30))/1000000</f>
        <v>0.417717</v>
      </c>
      <c r="X633" s="56">
        <f>(30*0.1790888*245000/1000000)+(30*0.2374*100000/1000000)</f>
        <v>2.0285026799999999</v>
      </c>
      <c r="Y633" s="56"/>
      <c r="Z633" s="14"/>
      <c r="AA633" s="55"/>
      <c r="AB633" s="49">
        <f>(B633*194.205+C633*267.466+D633*133.845+E633*53.484+F633*40+G633*185+H633*0+I633*100+J633*300)/(194.205+267.466+133.845+53.484+0+40+185+100+300)</f>
        <v>36.077628804160128</v>
      </c>
      <c r="AC633" s="45">
        <f>(M633*'RAP TEMPLATE-GAS AVAILABILITY'!O632+N633*'RAP TEMPLATE-GAS AVAILABILITY'!P632+O633*'RAP TEMPLATE-GAS AVAILABILITY'!Q632+P633*'RAP TEMPLATE-GAS AVAILABILITY'!R632)/('RAP TEMPLATE-GAS AVAILABILITY'!O632+'RAP TEMPLATE-GAS AVAILABILITY'!P632+'RAP TEMPLATE-GAS AVAILABILITY'!Q632+'RAP TEMPLATE-GAS AVAILABILITY'!R632)</f>
        <v>35.52820215827338</v>
      </c>
    </row>
    <row r="634" spans="1:29" ht="15.75" x14ac:dyDescent="0.25">
      <c r="A634" s="32">
        <v>60206</v>
      </c>
      <c r="B634" s="14">
        <f>CHOOSE(CONTROL!$C$42, 35.282, 35.282) * CHOOSE(CONTROL!$C$21, $C$9, 100%, $E$9)</f>
        <v>35.281999999999996</v>
      </c>
      <c r="C634" s="14">
        <f>CHOOSE(CONTROL!$C$42, 35.2873, 35.2873) * CHOOSE(CONTROL!$C$21, $C$9, 100%, $E$9)</f>
        <v>35.287300000000002</v>
      </c>
      <c r="D634" s="14">
        <f>CHOOSE(CONTROL!$C$42, 35.5513, 35.5513) * CHOOSE(CONTROL!$C$21, $C$9, 100%, $E$9)</f>
        <v>35.551299999999998</v>
      </c>
      <c r="E634" s="14">
        <f>CHOOSE(CONTROL!$C$42, 35.5805, 35.5805) * CHOOSE(CONTROL!$C$21, $C$9, 100%, $E$9)</f>
        <v>35.580500000000001</v>
      </c>
      <c r="F634" s="14">
        <f>CHOOSE(CONTROL!$C$42, 35.3066, 35.3066)*CHOOSE(CONTROL!$C$21, $C$9, 100%, $E$9)</f>
        <v>35.306600000000003</v>
      </c>
      <c r="G634" s="14">
        <f>CHOOSE(CONTROL!$C$42, 35.3237, 35.3237)*CHOOSE(CONTROL!$C$21, $C$9, 100%, $E$9)</f>
        <v>35.323700000000002</v>
      </c>
      <c r="H634" s="14">
        <f>CHOOSE(CONTROL!$C$42, 35.5709, 35.5709) * CHOOSE(CONTROL!$C$21, $C$9, 100%, $E$9)</f>
        <v>35.570900000000002</v>
      </c>
      <c r="I634" s="14">
        <f>CHOOSE(CONTROL!$C$42, 35.4153, 35.4153)* CHOOSE(CONTROL!$C$21, $C$9, 100%, $E$9)</f>
        <v>35.415300000000002</v>
      </c>
      <c r="J634" s="14">
        <f>CHOOSE(CONTROL!$C$42, 35.2996, 35.2996)* CHOOSE(CONTROL!$C$21, $C$9, 100%, $E$9)</f>
        <v>35.299599999999998</v>
      </c>
      <c r="K634" s="52">
        <f>CHOOSE(CONTROL!$C$42, 35.4114, 35.4114) * CHOOSE(CONTROL!$C$21, $C$9, 100%, $E$9)</f>
        <v>35.4114</v>
      </c>
      <c r="L634" s="14">
        <f>CHOOSE(CONTROL!$C$42, 36.1579, 36.1579) * CHOOSE(CONTROL!$C$21, $C$9, 100%, $E$9)</f>
        <v>36.157899999999998</v>
      </c>
      <c r="M634" s="14">
        <f>CHOOSE(CONTROL!$C$42, 34.6724, 34.6724) * CHOOSE(CONTROL!$C$21, $C$9, 100%, $E$9)</f>
        <v>34.672400000000003</v>
      </c>
      <c r="N634" s="14">
        <f>CHOOSE(CONTROL!$C$42, 34.6892, 34.6892) * CHOOSE(CONTROL!$C$21, $C$9, 100%, $E$9)</f>
        <v>34.6892</v>
      </c>
      <c r="O634" s="14">
        <f>CHOOSE(CONTROL!$C$42, 34.9388, 34.9388) * CHOOSE(CONTROL!$C$21, $C$9, 100%, $E$9)</f>
        <v>34.938800000000001</v>
      </c>
      <c r="P634" s="14">
        <f>CHOOSE(CONTROL!$C$42, 34.7841, 34.7841) * CHOOSE(CONTROL!$C$21, $C$9, 100%, $E$9)</f>
        <v>34.784100000000002</v>
      </c>
      <c r="Q634" s="14">
        <f>CHOOSE(CONTROL!$C$42, 35.5335, 35.5335) * CHOOSE(CONTROL!$C$21, $C$9, 100%, $E$9)</f>
        <v>35.533499999999997</v>
      </c>
      <c r="R634" s="14">
        <f>CHOOSE(CONTROL!$C$42, 36.2094, 36.2094) * CHOOSE(CONTROL!$C$21, $C$9, 100%, $E$9)</f>
        <v>36.209400000000002</v>
      </c>
      <c r="S634" s="14">
        <f>CHOOSE(CONTROL!$C$42, 33.8935, 33.8935) * CHOOSE(CONTROL!$C$21, $C$9, 100%, $E$9)</f>
        <v>33.893500000000003</v>
      </c>
      <c r="T6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634" s="56">
        <f>(1000*CHOOSE(CONTROL!$C$42, 695, 695)*CHOOSE(CONTROL!$C$42, 0.5599, 0.5599)*CHOOSE(CONTROL!$C$42, 31, 31))/1000000</f>
        <v>12.063045499999998</v>
      </c>
      <c r="V634" s="56">
        <f>(1000*CHOOSE(CONTROL!$C$42, 500, 500)*CHOOSE(CONTROL!$C$42, 0.275, 0.275)*CHOOSE(CONTROL!$C$42, 31, 31))/1000000</f>
        <v>4.2625000000000002</v>
      </c>
      <c r="W634" s="56">
        <f>(1000*CHOOSE(CONTROL!$C$42, 0.1146, 0.1146)*CHOOSE(CONTROL!$C$42, 121.5, 121.5)*CHOOSE(CONTROL!$C$42, 31, 31))/1000000</f>
        <v>0.43164089999999994</v>
      </c>
      <c r="X634" s="56">
        <f>(31*0.1790888*245000/1000000)+(31*0.2374*100000/1000000)</f>
        <v>2.0961194359999999</v>
      </c>
      <c r="Y634" s="56"/>
      <c r="Z634" s="14"/>
      <c r="AA634" s="55"/>
      <c r="AB634" s="49">
        <f>(B634*131.881+C634*277.167+D634*79.08+E634*125.872+F634*40+G634*185+H634*0+I634*100+J634*300)/(131.881+277.167+79.08+125.872+0+40+185+100+300)</f>
        <v>35.352739726472961</v>
      </c>
      <c r="AC634" s="45">
        <f>(M634*'RAP TEMPLATE-GAS AVAILABILITY'!O633+N634*'RAP TEMPLATE-GAS AVAILABILITY'!P633+O634*'RAP TEMPLATE-GAS AVAILABILITY'!Q633+P634*'RAP TEMPLATE-GAS AVAILABILITY'!R633)/('RAP TEMPLATE-GAS AVAILABILITY'!O633+'RAP TEMPLATE-GAS AVAILABILITY'!P633+'RAP TEMPLATE-GAS AVAILABILITY'!Q633+'RAP TEMPLATE-GAS AVAILABILITY'!R633)</f>
        <v>34.810181294964025</v>
      </c>
    </row>
    <row r="635" spans="1:29" ht="15.75" x14ac:dyDescent="0.25">
      <c r="A635" s="32">
        <v>60236</v>
      </c>
      <c r="B635" s="14">
        <f>CHOOSE(CONTROL!$C$42, 36.2108, 36.2108) * CHOOSE(CONTROL!$C$21, $C$9, 100%, $E$9)</f>
        <v>36.210799999999999</v>
      </c>
      <c r="C635" s="14">
        <f>CHOOSE(CONTROL!$C$42, 36.2158, 36.2158) * CHOOSE(CONTROL!$C$21, $C$9, 100%, $E$9)</f>
        <v>36.215800000000002</v>
      </c>
      <c r="D635" s="14">
        <f>CHOOSE(CONTROL!$C$42, 36.2989, 36.2989) * CHOOSE(CONTROL!$C$21, $C$9, 100%, $E$9)</f>
        <v>36.298900000000003</v>
      </c>
      <c r="E635" s="14">
        <f>CHOOSE(CONTROL!$C$42, 36.333, 36.333) * CHOOSE(CONTROL!$C$21, $C$9, 100%, $E$9)</f>
        <v>36.332999999999998</v>
      </c>
      <c r="F635" s="14">
        <f>CHOOSE(CONTROL!$C$42, 36.2384, 36.2384)*CHOOSE(CONTROL!$C$21, $C$9, 100%, $E$9)</f>
        <v>36.238399999999999</v>
      </c>
      <c r="G635" s="14">
        <f>CHOOSE(CONTROL!$C$42, 36.2558, 36.2558)*CHOOSE(CONTROL!$C$21, $C$9, 100%, $E$9)</f>
        <v>36.255800000000001</v>
      </c>
      <c r="H635" s="14">
        <f>CHOOSE(CONTROL!$C$42, 36.3222, 36.3222) * CHOOSE(CONTROL!$C$21, $C$9, 100%, $E$9)</f>
        <v>36.322200000000002</v>
      </c>
      <c r="I635" s="14">
        <f>CHOOSE(CONTROL!$C$42, 36.3438, 36.3438)* CHOOSE(CONTROL!$C$21, $C$9, 100%, $E$9)</f>
        <v>36.343800000000002</v>
      </c>
      <c r="J635" s="14">
        <f>CHOOSE(CONTROL!$C$42, 36.2314, 36.2314)* CHOOSE(CONTROL!$C$21, $C$9, 100%, $E$9)</f>
        <v>36.231400000000001</v>
      </c>
      <c r="K635" s="52">
        <f>CHOOSE(CONTROL!$C$42, 36.3399, 36.3399) * CHOOSE(CONTROL!$C$21, $C$9, 100%, $E$9)</f>
        <v>36.3399</v>
      </c>
      <c r="L635" s="14">
        <f>CHOOSE(CONTROL!$C$42, 36.9092, 36.9092) * CHOOSE(CONTROL!$C$21, $C$9, 100%, $E$9)</f>
        <v>36.909199999999998</v>
      </c>
      <c r="M635" s="14">
        <f>CHOOSE(CONTROL!$C$42, 35.5874, 35.5874) * CHOOSE(CONTROL!$C$21, $C$9, 100%, $E$9)</f>
        <v>35.587400000000002</v>
      </c>
      <c r="N635" s="14">
        <f>CHOOSE(CONTROL!$C$42, 35.6045, 35.6045) * CHOOSE(CONTROL!$C$21, $C$9, 100%, $E$9)</f>
        <v>35.604500000000002</v>
      </c>
      <c r="O635" s="14">
        <f>CHOOSE(CONTROL!$C$42, 35.6766, 35.6766) * CHOOSE(CONTROL!$C$21, $C$9, 100%, $E$9)</f>
        <v>35.676600000000001</v>
      </c>
      <c r="P635" s="14">
        <f>CHOOSE(CONTROL!$C$42, 35.6959, 35.6959) * CHOOSE(CONTROL!$C$21, $C$9, 100%, $E$9)</f>
        <v>35.695900000000002</v>
      </c>
      <c r="Q635" s="14">
        <f>CHOOSE(CONTROL!$C$42, 36.2713, 36.2713) * CHOOSE(CONTROL!$C$21, $C$9, 100%, $E$9)</f>
        <v>36.271299999999997</v>
      </c>
      <c r="R635" s="14">
        <f>CHOOSE(CONTROL!$C$42, 36.949, 36.949) * CHOOSE(CONTROL!$C$21, $C$9, 100%, $E$9)</f>
        <v>36.948999999999998</v>
      </c>
      <c r="S635" s="14">
        <f>CHOOSE(CONTROL!$C$42, 34.7864, 34.7864) * CHOOSE(CONTROL!$C$21, $C$9, 100%, $E$9)</f>
        <v>34.7864</v>
      </c>
      <c r="T6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635" s="56">
        <f>(1000*CHOOSE(CONTROL!$C$42, 695, 695)*CHOOSE(CONTROL!$C$42, 0.5599, 0.5599)*CHOOSE(CONTROL!$C$42, 30, 30))/1000000</f>
        <v>11.673914999999997</v>
      </c>
      <c r="V635" s="56">
        <f>(1000*CHOOSE(CONTROL!$C$42, 500, 500)*CHOOSE(CONTROL!$C$42, 0.275, 0.275)*CHOOSE(CONTROL!$C$42, 30, 30))/1000000</f>
        <v>4.125</v>
      </c>
      <c r="W635" s="56">
        <f>(1000*CHOOSE(CONTROL!$C$42, 0.1146, 0.1146)*CHOOSE(CONTROL!$C$42, 121.5, 121.5)*CHOOSE(CONTROL!$C$42, 30, 30))/1000000</f>
        <v>0.417717</v>
      </c>
      <c r="X635" s="56">
        <f>(30*0.1790888*100000/1000000)+(30*0.2374*100000/1000000)</f>
        <v>1.2494664</v>
      </c>
      <c r="Y635" s="56"/>
      <c r="Z635" s="14"/>
      <c r="AA635" s="55"/>
      <c r="AB635" s="49">
        <f>(B635*122.58+C635*297.941+D635*89.177+E635*40.302+F635*40+G635*160+H635*0+I635*100+J635*300)/(122.58+297.941+89.177+40.302+0+40+160+100+300)</f>
        <v>36.247369654869566</v>
      </c>
      <c r="AC635" s="45">
        <f>(M635*'RAP TEMPLATE-GAS AVAILABILITY'!O634+N635*'RAP TEMPLATE-GAS AVAILABILITY'!P634+O635*'RAP TEMPLATE-GAS AVAILABILITY'!Q634+P635*'RAP TEMPLATE-GAS AVAILABILITY'!R634)/('RAP TEMPLATE-GAS AVAILABILITY'!O634+'RAP TEMPLATE-GAS AVAILABILITY'!P634+'RAP TEMPLATE-GAS AVAILABILITY'!Q634+'RAP TEMPLATE-GAS AVAILABILITY'!R634)</f>
        <v>35.644424460431658</v>
      </c>
    </row>
    <row r="636" spans="1:29" ht="15.75" x14ac:dyDescent="0.25">
      <c r="A636" s="32">
        <v>60267</v>
      </c>
      <c r="B636" s="14">
        <f>CHOOSE(CONTROL!$C$42, 38.679, 38.679) * CHOOSE(CONTROL!$C$21, $C$9, 100%, $E$9)</f>
        <v>38.679000000000002</v>
      </c>
      <c r="C636" s="14">
        <f>CHOOSE(CONTROL!$C$42, 38.684, 38.684) * CHOOSE(CONTROL!$C$21, $C$9, 100%, $E$9)</f>
        <v>38.683999999999997</v>
      </c>
      <c r="D636" s="14">
        <f>CHOOSE(CONTROL!$C$42, 38.7671, 38.7671) * CHOOSE(CONTROL!$C$21, $C$9, 100%, $E$9)</f>
        <v>38.767099999999999</v>
      </c>
      <c r="E636" s="14">
        <f>CHOOSE(CONTROL!$C$42, 38.8012, 38.8012) * CHOOSE(CONTROL!$C$21, $C$9, 100%, $E$9)</f>
        <v>38.801200000000001</v>
      </c>
      <c r="F636" s="14">
        <f>CHOOSE(CONTROL!$C$42, 38.709, 38.709)*CHOOSE(CONTROL!$C$21, $C$9, 100%, $E$9)</f>
        <v>38.709000000000003</v>
      </c>
      <c r="G636" s="14">
        <f>CHOOSE(CONTROL!$C$42, 38.727, 38.727)*CHOOSE(CONTROL!$C$21, $C$9, 100%, $E$9)</f>
        <v>38.726999999999997</v>
      </c>
      <c r="H636" s="14">
        <f>CHOOSE(CONTROL!$C$42, 38.7904, 38.7904) * CHOOSE(CONTROL!$C$21, $C$9, 100%, $E$9)</f>
        <v>38.790399999999998</v>
      </c>
      <c r="I636" s="14">
        <f>CHOOSE(CONTROL!$C$42, 38.8197, 38.8197)* CHOOSE(CONTROL!$C$21, $C$9, 100%, $E$9)</f>
        <v>38.819699999999997</v>
      </c>
      <c r="J636" s="14">
        <f>CHOOSE(CONTROL!$C$42, 38.702, 38.702)* CHOOSE(CONTROL!$C$21, $C$9, 100%, $E$9)</f>
        <v>38.701999999999998</v>
      </c>
      <c r="K636" s="52">
        <f>CHOOSE(CONTROL!$C$42, 38.8158, 38.8158) * CHOOSE(CONTROL!$C$21, $C$9, 100%, $E$9)</f>
        <v>38.815800000000003</v>
      </c>
      <c r="L636" s="14">
        <f>CHOOSE(CONTROL!$C$42, 39.3774, 39.3774) * CHOOSE(CONTROL!$C$21, $C$9, 100%, $E$9)</f>
        <v>39.377400000000002</v>
      </c>
      <c r="M636" s="14">
        <f>CHOOSE(CONTROL!$C$42, 38.0136, 38.0136) * CHOOSE(CONTROL!$C$21, $C$9, 100%, $E$9)</f>
        <v>38.013599999999997</v>
      </c>
      <c r="N636" s="14">
        <f>CHOOSE(CONTROL!$C$42, 38.0313, 38.0313) * CHOOSE(CONTROL!$C$21, $C$9, 100%, $E$9)</f>
        <v>38.031300000000002</v>
      </c>
      <c r="O636" s="14">
        <f>CHOOSE(CONTROL!$C$42, 38.1004, 38.1004) * CHOOSE(CONTROL!$C$21, $C$9, 100%, $E$9)</f>
        <v>38.1004</v>
      </c>
      <c r="P636" s="14">
        <f>CHOOSE(CONTROL!$C$42, 38.1271, 38.1271) * CHOOSE(CONTROL!$C$21, $C$9, 100%, $E$9)</f>
        <v>38.127099999999999</v>
      </c>
      <c r="Q636" s="14">
        <f>CHOOSE(CONTROL!$C$42, 38.6951, 38.6951) * CHOOSE(CONTROL!$C$21, $C$9, 100%, $E$9)</f>
        <v>38.695099999999996</v>
      </c>
      <c r="R636" s="14">
        <f>CHOOSE(CONTROL!$C$42, 39.3788, 39.3788) * CHOOSE(CONTROL!$C$21, $C$9, 100%, $E$9)</f>
        <v>39.378799999999998</v>
      </c>
      <c r="S636" s="14">
        <f>CHOOSE(CONTROL!$C$42, 37.1581, 37.1581) * CHOOSE(CONTROL!$C$21, $C$9, 100%, $E$9)</f>
        <v>37.158099999999997</v>
      </c>
      <c r="T6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36" s="56">
        <f>(1000*CHOOSE(CONTROL!$C$42, 695, 695)*CHOOSE(CONTROL!$C$42, 0.5599, 0.5599)*CHOOSE(CONTROL!$C$42, 31, 31))/1000000</f>
        <v>12.063045499999998</v>
      </c>
      <c r="V636" s="56">
        <f>(1000*CHOOSE(CONTROL!$C$42, 500, 500)*CHOOSE(CONTROL!$C$42, 0.275, 0.275)*CHOOSE(CONTROL!$C$42, 31, 31))/1000000</f>
        <v>4.2625000000000002</v>
      </c>
      <c r="W636" s="56">
        <f>(1000*CHOOSE(CONTROL!$C$42, 0.1146, 0.1146)*CHOOSE(CONTROL!$C$42, 121.5, 121.5)*CHOOSE(CONTROL!$C$42, 31, 31))/1000000</f>
        <v>0.43164089999999994</v>
      </c>
      <c r="X636" s="56">
        <f>(31*0.1790888*100000/1000000)+(31*0.2374*100000/1000000)</f>
        <v>1.2911152800000001</v>
      </c>
      <c r="Y636" s="56"/>
      <c r="Z636" s="14"/>
      <c r="AA636" s="55"/>
      <c r="AB636" s="49">
        <f>(B636*122.58+C636*297.941+D636*89.177+E636*40.302+F636*40+G636*160+H636*0+I636*100+J636*300)/(122.58+297.941+89.177+40.302+0+40+160+100+300)</f>
        <v>38.717366176608692</v>
      </c>
      <c r="AC636" s="45">
        <f>(M636*'RAP TEMPLATE-GAS AVAILABILITY'!O635+N636*'RAP TEMPLATE-GAS AVAILABILITY'!P635+O636*'RAP TEMPLATE-GAS AVAILABILITY'!Q635+P636*'RAP TEMPLATE-GAS AVAILABILITY'!R635)/('RAP TEMPLATE-GAS AVAILABILITY'!O635+'RAP TEMPLATE-GAS AVAILABILITY'!P635+'RAP TEMPLATE-GAS AVAILABILITY'!Q635+'RAP TEMPLATE-GAS AVAILABILITY'!R635)</f>
        <v>38.070290647482011</v>
      </c>
    </row>
    <row r="637" spans="1:29" ht="15.75" x14ac:dyDescent="0.25">
      <c r="A637" s="32">
        <v>60298</v>
      </c>
      <c r="B637" s="14">
        <f>CHOOSE(CONTROL!$C$42, 41.8847, 41.8847) * CHOOSE(CONTROL!$C$21, $C$9, 100%, $E$9)</f>
        <v>41.884700000000002</v>
      </c>
      <c r="C637" s="14">
        <f>CHOOSE(CONTROL!$C$42, 41.8897, 41.8897) * CHOOSE(CONTROL!$C$21, $C$9, 100%, $E$9)</f>
        <v>41.889699999999998</v>
      </c>
      <c r="D637" s="14">
        <f>CHOOSE(CONTROL!$C$42, 41.9832, 41.9832) * CHOOSE(CONTROL!$C$21, $C$9, 100%, $E$9)</f>
        <v>41.983199999999997</v>
      </c>
      <c r="E637" s="14">
        <f>CHOOSE(CONTROL!$C$42, 42.0173, 42.0173) * CHOOSE(CONTROL!$C$21, $C$9, 100%, $E$9)</f>
        <v>42.017299999999999</v>
      </c>
      <c r="F637" s="14">
        <f>CHOOSE(CONTROL!$C$42, 41.912, 41.912)*CHOOSE(CONTROL!$C$21, $C$9, 100%, $E$9)</f>
        <v>41.911999999999999</v>
      </c>
      <c r="G637" s="14">
        <f>CHOOSE(CONTROL!$C$42, 41.93, 41.93)*CHOOSE(CONTROL!$C$21, $C$9, 100%, $E$9)</f>
        <v>41.93</v>
      </c>
      <c r="H637" s="14">
        <f>CHOOSE(CONTROL!$C$42, 42.0065, 42.0065) * CHOOSE(CONTROL!$C$21, $C$9, 100%, $E$9)</f>
        <v>42.006500000000003</v>
      </c>
      <c r="I637" s="14">
        <f>CHOOSE(CONTROL!$C$42, 42.0417, 42.0417)* CHOOSE(CONTROL!$C$21, $C$9, 100%, $E$9)</f>
        <v>42.041699999999999</v>
      </c>
      <c r="J637" s="14">
        <f>CHOOSE(CONTROL!$C$42, 41.905, 41.905)* CHOOSE(CONTROL!$C$21, $C$9, 100%, $E$9)</f>
        <v>41.905000000000001</v>
      </c>
      <c r="K637" s="52">
        <f>CHOOSE(CONTROL!$C$42, 42.0379, 42.0379) * CHOOSE(CONTROL!$C$21, $C$9, 100%, $E$9)</f>
        <v>42.0379</v>
      </c>
      <c r="L637" s="14">
        <f>CHOOSE(CONTROL!$C$42, 42.5935, 42.5935) * CHOOSE(CONTROL!$C$21, $C$9, 100%, $E$9)</f>
        <v>42.593499999999999</v>
      </c>
      <c r="M637" s="14">
        <f>CHOOSE(CONTROL!$C$42, 41.1589, 41.1589) * CHOOSE(CONTROL!$C$21, $C$9, 100%, $E$9)</f>
        <v>41.158900000000003</v>
      </c>
      <c r="N637" s="14">
        <f>CHOOSE(CONTROL!$C$42, 41.1766, 41.1766) * CHOOSE(CONTROL!$C$21, $C$9, 100%, $E$9)</f>
        <v>41.176600000000001</v>
      </c>
      <c r="O637" s="14">
        <f>CHOOSE(CONTROL!$C$42, 41.2587, 41.2587) * CHOOSE(CONTROL!$C$21, $C$9, 100%, $E$9)</f>
        <v>41.258699999999997</v>
      </c>
      <c r="P637" s="14">
        <f>CHOOSE(CONTROL!$C$42, 41.291, 41.291) * CHOOSE(CONTROL!$C$21, $C$9, 100%, $E$9)</f>
        <v>41.290999999999997</v>
      </c>
      <c r="Q637" s="14">
        <f>CHOOSE(CONTROL!$C$42, 41.8534, 41.8534) * CHOOSE(CONTROL!$C$21, $C$9, 100%, $E$9)</f>
        <v>41.853400000000001</v>
      </c>
      <c r="R637" s="14">
        <f>CHOOSE(CONTROL!$C$42, 42.545, 42.545) * CHOOSE(CONTROL!$C$21, $C$9, 100%, $E$9)</f>
        <v>42.545000000000002</v>
      </c>
      <c r="S637" s="14">
        <f>CHOOSE(CONTROL!$C$42, 40.2384, 40.2384) * CHOOSE(CONTROL!$C$21, $C$9, 100%, $E$9)</f>
        <v>40.238399999999999</v>
      </c>
      <c r="T6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37" s="56">
        <f>(1000*CHOOSE(CONTROL!$C$42, 695, 695)*CHOOSE(CONTROL!$C$42, 0.5599, 0.5599)*CHOOSE(CONTROL!$C$42, 31, 31))/1000000</f>
        <v>12.063045499999998</v>
      </c>
      <c r="V637" s="56">
        <f>(1000*CHOOSE(CONTROL!$C$42, 500, 500)*CHOOSE(CONTROL!$C$42, 0.275, 0.275)*CHOOSE(CONTROL!$C$42, 31, 31))/1000000</f>
        <v>4.2625000000000002</v>
      </c>
      <c r="W637" s="56">
        <f>(1000*CHOOSE(CONTROL!$C$42, 0.1146, 0.1146)*CHOOSE(CONTROL!$C$42, 121.5, 121.5)*CHOOSE(CONTROL!$C$42, 31, 31))/1000000</f>
        <v>0.43164089999999994</v>
      </c>
      <c r="X637" s="56">
        <f>(31*0.1790888*100000/1000000)+(31*0.2374*100000/1000000)</f>
        <v>1.2911152800000001</v>
      </c>
      <c r="Y637" s="56"/>
      <c r="Z637" s="14"/>
      <c r="AA637" s="55"/>
      <c r="AB637" s="49">
        <f>(B637*122.58+C637*297.941+D637*89.177+E637*40.302+F637*40+G637*160+H637*0+I637*100+J637*300)/(122.58+297.941+89.177+40.302+0+40+160+100+300)</f>
        <v>41.924480595391302</v>
      </c>
      <c r="AC637" s="45">
        <f>(M637*'RAP TEMPLATE-GAS AVAILABILITY'!O636+N637*'RAP TEMPLATE-GAS AVAILABILITY'!P636+O637*'RAP TEMPLATE-GAS AVAILABILITY'!Q636+P637*'RAP TEMPLATE-GAS AVAILABILITY'!R636)/('RAP TEMPLATE-GAS AVAILABILITY'!O636+'RAP TEMPLATE-GAS AVAILABILITY'!P636+'RAP TEMPLATE-GAS AVAILABILITY'!Q636+'RAP TEMPLATE-GAS AVAILABILITY'!R636)</f>
        <v>41.224158992805755</v>
      </c>
    </row>
    <row r="638" spans="1:29" ht="15.75" x14ac:dyDescent="0.25">
      <c r="A638" s="32">
        <v>60326</v>
      </c>
      <c r="B638" s="14">
        <f>CHOOSE(CONTROL!$C$42, 42.6301, 42.6301) * CHOOSE(CONTROL!$C$21, $C$9, 100%, $E$9)</f>
        <v>42.630099999999999</v>
      </c>
      <c r="C638" s="14">
        <f>CHOOSE(CONTROL!$C$42, 42.6352, 42.6352) * CHOOSE(CONTROL!$C$21, $C$9, 100%, $E$9)</f>
        <v>42.635199999999998</v>
      </c>
      <c r="D638" s="14">
        <f>CHOOSE(CONTROL!$C$42, 42.7287, 42.7287) * CHOOSE(CONTROL!$C$21, $C$9, 100%, $E$9)</f>
        <v>42.728700000000003</v>
      </c>
      <c r="E638" s="14">
        <f>CHOOSE(CONTROL!$C$42, 42.7628, 42.7628) * CHOOSE(CONTROL!$C$21, $C$9, 100%, $E$9)</f>
        <v>42.762799999999999</v>
      </c>
      <c r="F638" s="14">
        <f>CHOOSE(CONTROL!$C$42, 42.6571, 42.6571)*CHOOSE(CONTROL!$C$21, $C$9, 100%, $E$9)</f>
        <v>42.6571</v>
      </c>
      <c r="G638" s="14">
        <f>CHOOSE(CONTROL!$C$42, 42.6749, 42.6749)*CHOOSE(CONTROL!$C$21, $C$9, 100%, $E$9)</f>
        <v>42.674900000000001</v>
      </c>
      <c r="H638" s="14">
        <f>CHOOSE(CONTROL!$C$42, 42.752, 42.752) * CHOOSE(CONTROL!$C$21, $C$9, 100%, $E$9)</f>
        <v>42.752000000000002</v>
      </c>
      <c r="I638" s="14">
        <f>CHOOSE(CONTROL!$C$42, 42.7895, 42.7895)* CHOOSE(CONTROL!$C$21, $C$9, 100%, $E$9)</f>
        <v>42.789499999999997</v>
      </c>
      <c r="J638" s="14">
        <f>CHOOSE(CONTROL!$C$42, 42.6501, 42.6501)* CHOOSE(CONTROL!$C$21, $C$9, 100%, $E$9)</f>
        <v>42.650100000000002</v>
      </c>
      <c r="K638" s="52">
        <f>CHOOSE(CONTROL!$C$42, 42.7856, 42.7856) * CHOOSE(CONTROL!$C$21, $C$9, 100%, $E$9)</f>
        <v>42.785600000000002</v>
      </c>
      <c r="L638" s="14">
        <f>CHOOSE(CONTROL!$C$42, 43.339, 43.339) * CHOOSE(CONTROL!$C$21, $C$9, 100%, $E$9)</f>
        <v>43.338999999999999</v>
      </c>
      <c r="M638" s="14">
        <f>CHOOSE(CONTROL!$C$42, 41.8906, 41.8906) * CHOOSE(CONTROL!$C$21, $C$9, 100%, $E$9)</f>
        <v>41.890599999999999</v>
      </c>
      <c r="N638" s="14">
        <f>CHOOSE(CONTROL!$C$42, 41.9082, 41.9082) * CHOOSE(CONTROL!$C$21, $C$9, 100%, $E$9)</f>
        <v>41.908200000000001</v>
      </c>
      <c r="O638" s="14">
        <f>CHOOSE(CONTROL!$C$42, 41.9907, 41.9907) * CHOOSE(CONTROL!$C$21, $C$9, 100%, $E$9)</f>
        <v>41.990699999999997</v>
      </c>
      <c r="P638" s="14">
        <f>CHOOSE(CONTROL!$C$42, 42.0253, 42.0253) * CHOOSE(CONTROL!$C$21, $C$9, 100%, $E$9)</f>
        <v>42.025300000000001</v>
      </c>
      <c r="Q638" s="14">
        <f>CHOOSE(CONTROL!$C$42, 42.5854, 42.5854) * CHOOSE(CONTROL!$C$21, $C$9, 100%, $E$9)</f>
        <v>42.5854</v>
      </c>
      <c r="R638" s="14">
        <f>CHOOSE(CONTROL!$C$42, 43.2788, 43.2788) * CHOOSE(CONTROL!$C$21, $C$9, 100%, $E$9)</f>
        <v>43.278799999999997</v>
      </c>
      <c r="S638" s="14">
        <f>CHOOSE(CONTROL!$C$42, 40.9547, 40.9547) * CHOOSE(CONTROL!$C$21, $C$9, 100%, $E$9)</f>
        <v>40.954700000000003</v>
      </c>
      <c r="T63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38" s="56">
        <f>(1000*CHOOSE(CONTROL!$C$42, 695, 695)*CHOOSE(CONTROL!$C$42, 0.5599, 0.5599)*CHOOSE(CONTROL!$C$42, 28, 28))/1000000</f>
        <v>10.895653999999999</v>
      </c>
      <c r="V638" s="56">
        <f>(1000*CHOOSE(CONTROL!$C$42, 500, 500)*CHOOSE(CONTROL!$C$42, 0.275, 0.275)*CHOOSE(CONTROL!$C$42, 28, 28))/1000000</f>
        <v>3.85</v>
      </c>
      <c r="W638" s="56">
        <f>(1000*CHOOSE(CONTROL!$C$42, 0.1146, 0.1146)*CHOOSE(CONTROL!$C$42, 121.5, 121.5)*CHOOSE(CONTROL!$C$42, 28, 28))/1000000</f>
        <v>0.38986920000000003</v>
      </c>
      <c r="X638" s="56">
        <f>(28*0.1790888*100000/1000000)+(28*0.2374*100000/1000000)</f>
        <v>1.16616864</v>
      </c>
      <c r="Y638" s="56"/>
      <c r="Z638" s="14"/>
      <c r="AA638" s="55"/>
      <c r="AB638" s="49">
        <f>(B638*122.58+C638*297.941+D638*89.177+E638*40.302+F638*40+G638*160+H638*0+I638*100+J638*300)/(122.58+297.941+89.177+40.302+0+40+160+100+300)</f>
        <v>42.669968197130437</v>
      </c>
      <c r="AC638" s="45">
        <f>(M638*'RAP TEMPLATE-GAS AVAILABILITY'!O637+N638*'RAP TEMPLATE-GAS AVAILABILITY'!P637+O638*'RAP TEMPLATE-GAS AVAILABILITY'!Q637+P638*'RAP TEMPLATE-GAS AVAILABILITY'!R637)/('RAP TEMPLATE-GAS AVAILABILITY'!O637+'RAP TEMPLATE-GAS AVAILABILITY'!P637+'RAP TEMPLATE-GAS AVAILABILITY'!Q637+'RAP TEMPLATE-GAS AVAILABILITY'!R637)</f>
        <v>41.956363309352518</v>
      </c>
    </row>
    <row r="639" spans="1:29" ht="15.75" x14ac:dyDescent="0.25">
      <c r="A639" s="32">
        <v>60357</v>
      </c>
      <c r="B639" s="14">
        <f>CHOOSE(CONTROL!$C$42, 41.4201, 41.4201) * CHOOSE(CONTROL!$C$21, $C$9, 100%, $E$9)</f>
        <v>41.420099999999998</v>
      </c>
      <c r="C639" s="14">
        <f>CHOOSE(CONTROL!$C$42, 41.4252, 41.4252) * CHOOSE(CONTROL!$C$21, $C$9, 100%, $E$9)</f>
        <v>41.425199999999997</v>
      </c>
      <c r="D639" s="14">
        <f>CHOOSE(CONTROL!$C$42, 41.5186, 41.5186) * CHOOSE(CONTROL!$C$21, $C$9, 100%, $E$9)</f>
        <v>41.518599999999999</v>
      </c>
      <c r="E639" s="14">
        <f>CHOOSE(CONTROL!$C$42, 41.5527, 41.5527) * CHOOSE(CONTROL!$C$21, $C$9, 100%, $E$9)</f>
        <v>41.552700000000002</v>
      </c>
      <c r="F639" s="14">
        <f>CHOOSE(CONTROL!$C$42, 41.4462, 41.4462)*CHOOSE(CONTROL!$C$21, $C$9, 100%, $E$9)</f>
        <v>41.446199999999997</v>
      </c>
      <c r="G639" s="14">
        <f>CHOOSE(CONTROL!$C$42, 41.4638, 41.4638)*CHOOSE(CONTROL!$C$21, $C$9, 100%, $E$9)</f>
        <v>41.463799999999999</v>
      </c>
      <c r="H639" s="14">
        <f>CHOOSE(CONTROL!$C$42, 41.5419, 41.5419) * CHOOSE(CONTROL!$C$21, $C$9, 100%, $E$9)</f>
        <v>41.541899999999998</v>
      </c>
      <c r="I639" s="14">
        <f>CHOOSE(CONTROL!$C$42, 41.5757, 41.5757)* CHOOSE(CONTROL!$C$21, $C$9, 100%, $E$9)</f>
        <v>41.575699999999998</v>
      </c>
      <c r="J639" s="14">
        <f>CHOOSE(CONTROL!$C$42, 41.4392, 41.4392)* CHOOSE(CONTROL!$C$21, $C$9, 100%, $E$9)</f>
        <v>41.4392</v>
      </c>
      <c r="K639" s="52">
        <f>CHOOSE(CONTROL!$C$42, 41.5718, 41.5718) * CHOOSE(CONTROL!$C$21, $C$9, 100%, $E$9)</f>
        <v>41.571800000000003</v>
      </c>
      <c r="L639" s="14">
        <f>CHOOSE(CONTROL!$C$42, 42.1289, 42.1289) * CHOOSE(CONTROL!$C$21, $C$9, 100%, $E$9)</f>
        <v>42.128900000000002</v>
      </c>
      <c r="M639" s="14">
        <f>CHOOSE(CONTROL!$C$42, 40.7015, 40.7015) * CHOOSE(CONTROL!$C$21, $C$9, 100%, $E$9)</f>
        <v>40.701500000000003</v>
      </c>
      <c r="N639" s="14">
        <f>CHOOSE(CONTROL!$C$42, 40.7188, 40.7188) * CHOOSE(CONTROL!$C$21, $C$9, 100%, $E$9)</f>
        <v>40.718800000000002</v>
      </c>
      <c r="O639" s="14">
        <f>CHOOSE(CONTROL!$C$42, 40.8024, 40.8024) * CHOOSE(CONTROL!$C$21, $C$9, 100%, $E$9)</f>
        <v>40.802399999999999</v>
      </c>
      <c r="P639" s="14">
        <f>CHOOSE(CONTROL!$C$42, 40.8334, 40.8334) * CHOOSE(CONTROL!$C$21, $C$9, 100%, $E$9)</f>
        <v>40.833399999999997</v>
      </c>
      <c r="Q639" s="14">
        <f>CHOOSE(CONTROL!$C$42, 41.3971, 41.3971) * CHOOSE(CONTROL!$C$21, $C$9, 100%, $E$9)</f>
        <v>41.397100000000002</v>
      </c>
      <c r="R639" s="14">
        <f>CHOOSE(CONTROL!$C$42, 42.0876, 42.0876) * CHOOSE(CONTROL!$C$21, $C$9, 100%, $E$9)</f>
        <v>42.087600000000002</v>
      </c>
      <c r="S639" s="14">
        <f>CHOOSE(CONTROL!$C$42, 39.792, 39.792) * CHOOSE(CONTROL!$C$21, $C$9, 100%, $E$9)</f>
        <v>39.792000000000002</v>
      </c>
      <c r="T6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39" s="56">
        <f>(1000*CHOOSE(CONTROL!$C$42, 695, 695)*CHOOSE(CONTROL!$C$42, 0.5599, 0.5599)*CHOOSE(CONTROL!$C$42, 31, 31))/1000000</f>
        <v>12.063045499999998</v>
      </c>
      <c r="V639" s="56">
        <f>(1000*CHOOSE(CONTROL!$C$42, 500, 500)*CHOOSE(CONTROL!$C$42, 0.275, 0.275)*CHOOSE(CONTROL!$C$42, 31, 31))/1000000</f>
        <v>4.2625000000000002</v>
      </c>
      <c r="W639" s="56">
        <f>(1000*CHOOSE(CONTROL!$C$42, 0.1146, 0.1146)*CHOOSE(CONTROL!$C$42, 121.5, 121.5)*CHOOSE(CONTROL!$C$42, 31, 31))/1000000</f>
        <v>0.43164089999999994</v>
      </c>
      <c r="X639" s="56">
        <f>(31*0.1790888*100000/1000000)+(31*0.2374*100000/1000000)</f>
        <v>1.2911152800000001</v>
      </c>
      <c r="Y639" s="56"/>
      <c r="Z639" s="14"/>
      <c r="AA639" s="55"/>
      <c r="AB639" s="49">
        <f>(B639*122.58+C639*297.941+D639*89.177+E639*40.302+F639*40+G639*160+H639*0+I639*100+J639*300)/(122.58+297.941+89.177+40.302+0+40+160+100+300)</f>
        <v>41.459207372869564</v>
      </c>
      <c r="AC639" s="45">
        <f>(M639*'RAP TEMPLATE-GAS AVAILABILITY'!O638+N639*'RAP TEMPLATE-GAS AVAILABILITY'!P638+O639*'RAP TEMPLATE-GAS AVAILABILITY'!Q638+P639*'RAP TEMPLATE-GAS AVAILABILITY'!R638)/('RAP TEMPLATE-GAS AVAILABILITY'!O638+'RAP TEMPLATE-GAS AVAILABILITY'!P638+'RAP TEMPLATE-GAS AVAILABILITY'!Q638+'RAP TEMPLATE-GAS AVAILABILITY'!R638)</f>
        <v>40.767205755395686</v>
      </c>
    </row>
    <row r="640" spans="1:29" ht="15.75" x14ac:dyDescent="0.25">
      <c r="A640" s="32">
        <v>60387</v>
      </c>
      <c r="B640" s="14">
        <f>CHOOSE(CONTROL!$C$42, 41.2971, 41.2971) * CHOOSE(CONTROL!$C$21, $C$9, 100%, $E$9)</f>
        <v>41.2971</v>
      </c>
      <c r="C640" s="14">
        <f>CHOOSE(CONTROL!$C$42, 41.3016, 41.3016) * CHOOSE(CONTROL!$C$21, $C$9, 100%, $E$9)</f>
        <v>41.301600000000001</v>
      </c>
      <c r="D640" s="14">
        <f>CHOOSE(CONTROL!$C$42, 41.5638, 41.5638) * CHOOSE(CONTROL!$C$21, $C$9, 100%, $E$9)</f>
        <v>41.563800000000001</v>
      </c>
      <c r="E640" s="14">
        <f>CHOOSE(CONTROL!$C$42, 41.5959, 41.5959) * CHOOSE(CONTROL!$C$21, $C$9, 100%, $E$9)</f>
        <v>41.5959</v>
      </c>
      <c r="F640" s="14">
        <f>CHOOSE(CONTROL!$C$42, 41.3199, 41.3199)*CHOOSE(CONTROL!$C$21, $C$9, 100%, $E$9)</f>
        <v>41.319899999999997</v>
      </c>
      <c r="G640" s="14">
        <f>CHOOSE(CONTROL!$C$42, 41.3366, 41.3366)*CHOOSE(CONTROL!$C$21, $C$9, 100%, $E$9)</f>
        <v>41.336599999999997</v>
      </c>
      <c r="H640" s="14">
        <f>CHOOSE(CONTROL!$C$42, 41.5857, 41.5857) * CHOOSE(CONTROL!$C$21, $C$9, 100%, $E$9)</f>
        <v>41.585700000000003</v>
      </c>
      <c r="I640" s="14">
        <f>CHOOSE(CONTROL!$C$42, 41.4489, 41.4489)* CHOOSE(CONTROL!$C$21, $C$9, 100%, $E$9)</f>
        <v>41.448900000000002</v>
      </c>
      <c r="J640" s="14">
        <f>CHOOSE(CONTROL!$C$42, 41.3129, 41.3129)* CHOOSE(CONTROL!$C$21, $C$9, 100%, $E$9)</f>
        <v>41.312899999999999</v>
      </c>
      <c r="K640" s="52">
        <f>CHOOSE(CONTROL!$C$42, 41.4451, 41.4451) * CHOOSE(CONTROL!$C$21, $C$9, 100%, $E$9)</f>
        <v>41.445099999999996</v>
      </c>
      <c r="L640" s="14">
        <f>CHOOSE(CONTROL!$C$42, 42.1727, 42.1727) * CHOOSE(CONTROL!$C$21, $C$9, 100%, $E$9)</f>
        <v>42.172699999999999</v>
      </c>
      <c r="M640" s="14">
        <f>CHOOSE(CONTROL!$C$42, 40.5775, 40.5775) * CHOOSE(CONTROL!$C$21, $C$9, 100%, $E$9)</f>
        <v>40.577500000000001</v>
      </c>
      <c r="N640" s="14">
        <f>CHOOSE(CONTROL!$C$42, 40.594, 40.594) * CHOOSE(CONTROL!$C$21, $C$9, 100%, $E$9)</f>
        <v>40.594000000000001</v>
      </c>
      <c r="O640" s="14">
        <f>CHOOSE(CONTROL!$C$42, 40.8454, 40.8454) * CHOOSE(CONTROL!$C$21, $C$9, 100%, $E$9)</f>
        <v>40.845399999999998</v>
      </c>
      <c r="P640" s="14">
        <f>CHOOSE(CONTROL!$C$42, 40.7089, 40.7089) * CHOOSE(CONTROL!$C$21, $C$9, 100%, $E$9)</f>
        <v>40.7089</v>
      </c>
      <c r="Q640" s="14">
        <f>CHOOSE(CONTROL!$C$42, 41.4401, 41.4401) * CHOOSE(CONTROL!$C$21, $C$9, 100%, $E$9)</f>
        <v>41.440100000000001</v>
      </c>
      <c r="R640" s="14">
        <f>CHOOSE(CONTROL!$C$42, 42.1307, 42.1307) * CHOOSE(CONTROL!$C$21, $C$9, 100%, $E$9)</f>
        <v>42.130699999999997</v>
      </c>
      <c r="S640" s="14">
        <f>CHOOSE(CONTROL!$C$42, 39.6731, 39.6731) * CHOOSE(CONTROL!$C$21, $C$9, 100%, $E$9)</f>
        <v>39.673099999999998</v>
      </c>
      <c r="T6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40" s="56">
        <f>(1000*CHOOSE(CONTROL!$C$42, 695, 695)*CHOOSE(CONTROL!$C$42, 0.5599, 0.5599)*CHOOSE(CONTROL!$C$42, 30, 30))/1000000</f>
        <v>11.673914999999997</v>
      </c>
      <c r="V640" s="56">
        <f>(1000*CHOOSE(CONTROL!$C$42, 500, 500)*CHOOSE(CONTROL!$C$42, 0.275, 0.275)*CHOOSE(CONTROL!$C$42, 30, 30))/1000000</f>
        <v>4.125</v>
      </c>
      <c r="W640" s="56">
        <f>(1000*CHOOSE(CONTROL!$C$42, 0.1146, 0.1146)*CHOOSE(CONTROL!$C$42, 121.5, 121.5)*CHOOSE(CONTROL!$C$42, 30, 30))/1000000</f>
        <v>0.417717</v>
      </c>
      <c r="X640" s="56">
        <f>(30*0.1790888*245000/1000000)+(30*0.2374*100000/1000000)</f>
        <v>2.0285026799999999</v>
      </c>
      <c r="Y640" s="56"/>
      <c r="Z640" s="14"/>
      <c r="AA640" s="55"/>
      <c r="AB640" s="49">
        <f>(B640*141.293+C640*267.993+D640*115.016+E640*89.698+F640*40+G640*185+H640*0+I640*100+J640*300)/(141.293+267.993+115.016+89.698+0+40+185+100+300)</f>
        <v>41.367174251896692</v>
      </c>
      <c r="AC640" s="45">
        <f>(M640*'RAP TEMPLATE-GAS AVAILABILITY'!O639+N640*'RAP TEMPLATE-GAS AVAILABILITY'!P639+O640*'RAP TEMPLATE-GAS AVAILABILITY'!Q639+P640*'RAP TEMPLATE-GAS AVAILABILITY'!R639)/('RAP TEMPLATE-GAS AVAILABILITY'!O639+'RAP TEMPLATE-GAS AVAILABILITY'!P639+'RAP TEMPLATE-GAS AVAILABILITY'!Q639+'RAP TEMPLATE-GAS AVAILABILITY'!R639)</f>
        <v>40.718778417266186</v>
      </c>
    </row>
    <row r="641" spans="1:29" ht="15.75" x14ac:dyDescent="0.25">
      <c r="A641" s="32">
        <v>60418</v>
      </c>
      <c r="B641" s="14">
        <f>CHOOSE(CONTROL!$C$42, 41.6629, 41.6629) * CHOOSE(CONTROL!$C$21, $C$9, 100%, $E$9)</f>
        <v>41.6629</v>
      </c>
      <c r="C641" s="14">
        <f>CHOOSE(CONTROL!$C$42, 41.6709, 41.6709) * CHOOSE(CONTROL!$C$21, $C$9, 100%, $E$9)</f>
        <v>41.670900000000003</v>
      </c>
      <c r="D641" s="14">
        <f>CHOOSE(CONTROL!$C$42, 41.93, 41.93) * CHOOSE(CONTROL!$C$21, $C$9, 100%, $E$9)</f>
        <v>41.93</v>
      </c>
      <c r="E641" s="14">
        <f>CHOOSE(CONTROL!$C$42, 41.9615, 41.9615) * CHOOSE(CONTROL!$C$21, $C$9, 100%, $E$9)</f>
        <v>41.961500000000001</v>
      </c>
      <c r="F641" s="14">
        <f>CHOOSE(CONTROL!$C$42, 41.6844, 41.6844)*CHOOSE(CONTROL!$C$21, $C$9, 100%, $E$9)</f>
        <v>41.684399999999997</v>
      </c>
      <c r="G641" s="14">
        <f>CHOOSE(CONTROL!$C$42, 41.7014, 41.7014)*CHOOSE(CONTROL!$C$21, $C$9, 100%, $E$9)</f>
        <v>41.7014</v>
      </c>
      <c r="H641" s="14">
        <f>CHOOSE(CONTROL!$C$42, 41.9501, 41.9501) * CHOOSE(CONTROL!$C$21, $C$9, 100%, $E$9)</f>
        <v>41.950099999999999</v>
      </c>
      <c r="I641" s="14">
        <f>CHOOSE(CONTROL!$C$42, 41.8145, 41.8145)* CHOOSE(CONTROL!$C$21, $C$9, 100%, $E$9)</f>
        <v>41.814500000000002</v>
      </c>
      <c r="J641" s="14">
        <f>CHOOSE(CONTROL!$C$42, 41.6774, 41.6774)* CHOOSE(CONTROL!$C$21, $C$9, 100%, $E$9)</f>
        <v>41.677399999999999</v>
      </c>
      <c r="K641" s="52">
        <f>CHOOSE(CONTROL!$C$42, 41.8106, 41.8106) * CHOOSE(CONTROL!$C$21, $C$9, 100%, $E$9)</f>
        <v>41.810600000000001</v>
      </c>
      <c r="L641" s="14">
        <f>CHOOSE(CONTROL!$C$42, 42.5371, 42.5371) * CHOOSE(CONTROL!$C$21, $C$9, 100%, $E$9)</f>
        <v>42.537100000000002</v>
      </c>
      <c r="M641" s="14">
        <f>CHOOSE(CONTROL!$C$42, 40.9355, 40.9355) * CHOOSE(CONTROL!$C$21, $C$9, 100%, $E$9)</f>
        <v>40.935499999999998</v>
      </c>
      <c r="N641" s="14">
        <f>CHOOSE(CONTROL!$C$42, 40.9521, 40.9521) * CHOOSE(CONTROL!$C$21, $C$9, 100%, $E$9)</f>
        <v>40.952100000000002</v>
      </c>
      <c r="O641" s="14">
        <f>CHOOSE(CONTROL!$C$42, 41.2033, 41.2033) * CHOOSE(CONTROL!$C$21, $C$9, 100%, $E$9)</f>
        <v>41.203299999999999</v>
      </c>
      <c r="P641" s="14">
        <f>CHOOSE(CONTROL!$C$42, 41.0678, 41.0678) * CHOOSE(CONTROL!$C$21, $C$9, 100%, $E$9)</f>
        <v>41.067799999999998</v>
      </c>
      <c r="Q641" s="14">
        <f>CHOOSE(CONTROL!$C$42, 41.798, 41.798) * CHOOSE(CONTROL!$C$21, $C$9, 100%, $E$9)</f>
        <v>41.798000000000002</v>
      </c>
      <c r="R641" s="14">
        <f>CHOOSE(CONTROL!$C$42, 42.4895, 42.4895) * CHOOSE(CONTROL!$C$21, $C$9, 100%, $E$9)</f>
        <v>42.4895</v>
      </c>
      <c r="S641" s="14">
        <f>CHOOSE(CONTROL!$C$42, 40.0233, 40.0233) * CHOOSE(CONTROL!$C$21, $C$9, 100%, $E$9)</f>
        <v>40.023299999999999</v>
      </c>
      <c r="T64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41" s="56">
        <f>(1000*CHOOSE(CONTROL!$C$42, 695, 695)*CHOOSE(CONTROL!$C$42, 0.5599, 0.5599)*CHOOSE(CONTROL!$C$42, 31, 31))/1000000</f>
        <v>12.063045499999998</v>
      </c>
      <c r="V641" s="56">
        <f>(1000*CHOOSE(CONTROL!$C$42, 500, 500)*CHOOSE(CONTROL!$C$42, 0.275, 0.275)*CHOOSE(CONTROL!$C$42, 31, 31))/1000000</f>
        <v>4.2625000000000002</v>
      </c>
      <c r="W641" s="56">
        <f>(1000*CHOOSE(CONTROL!$C$42, 0.1146, 0.1146)*CHOOSE(CONTROL!$C$42, 121.5, 121.5)*CHOOSE(CONTROL!$C$42, 31, 31))/1000000</f>
        <v>0.43164089999999994</v>
      </c>
      <c r="X641" s="56">
        <f>(31*0.1790888*245000/1000000)+(31*0.2374*100000/1000000)</f>
        <v>2.0961194359999999</v>
      </c>
      <c r="Y641" s="56"/>
      <c r="Z641" s="14"/>
      <c r="AA641" s="55"/>
      <c r="AB641" s="49">
        <f>(B641*194.205+C641*267.466+D641*133.845+E641*53.484+F641*40+G641*185+H641*0+I641*100+J641*300)/(194.205+267.466+133.845+53.484+0+40+185+100+300)</f>
        <v>41.726756004631085</v>
      </c>
      <c r="AC641" s="45">
        <f>(M641*'RAP TEMPLATE-GAS AVAILABILITY'!O640+N641*'RAP TEMPLATE-GAS AVAILABILITY'!P640+O641*'RAP TEMPLATE-GAS AVAILABILITY'!Q640+P641*'RAP TEMPLATE-GAS AVAILABILITY'!R640)/('RAP TEMPLATE-GAS AVAILABILITY'!O640+'RAP TEMPLATE-GAS AVAILABILITY'!P640+'RAP TEMPLATE-GAS AVAILABILITY'!Q640+'RAP TEMPLATE-GAS AVAILABILITY'!R640)</f>
        <v>41.076868345323739</v>
      </c>
    </row>
    <row r="642" spans="1:29" ht="15.75" x14ac:dyDescent="0.25">
      <c r="A642" s="32">
        <v>60448</v>
      </c>
      <c r="B642" s="14">
        <f>CHOOSE(CONTROL!$C$42, 42.8444, 42.8444) * CHOOSE(CONTROL!$C$21, $C$9, 100%, $E$9)</f>
        <v>42.8444</v>
      </c>
      <c r="C642" s="14">
        <f>CHOOSE(CONTROL!$C$42, 42.8524, 42.8524) * CHOOSE(CONTROL!$C$21, $C$9, 100%, $E$9)</f>
        <v>42.852400000000003</v>
      </c>
      <c r="D642" s="14">
        <f>CHOOSE(CONTROL!$C$42, 43.1115, 43.1115) * CHOOSE(CONTROL!$C$21, $C$9, 100%, $E$9)</f>
        <v>43.111499999999999</v>
      </c>
      <c r="E642" s="14">
        <f>CHOOSE(CONTROL!$C$42, 43.143, 43.143) * CHOOSE(CONTROL!$C$21, $C$9, 100%, $E$9)</f>
        <v>43.143000000000001</v>
      </c>
      <c r="F642" s="14">
        <f>CHOOSE(CONTROL!$C$42, 42.8662, 42.8662)*CHOOSE(CONTROL!$C$21, $C$9, 100%, $E$9)</f>
        <v>42.866199999999999</v>
      </c>
      <c r="G642" s="14">
        <f>CHOOSE(CONTROL!$C$42, 42.8832, 42.8832)*CHOOSE(CONTROL!$C$21, $C$9, 100%, $E$9)</f>
        <v>42.883200000000002</v>
      </c>
      <c r="H642" s="14">
        <f>CHOOSE(CONTROL!$C$42, 43.1316, 43.1316) * CHOOSE(CONTROL!$C$21, $C$9, 100%, $E$9)</f>
        <v>43.131599999999999</v>
      </c>
      <c r="I642" s="14">
        <f>CHOOSE(CONTROL!$C$42, 42.9997, 42.9997)* CHOOSE(CONTROL!$C$21, $C$9, 100%, $E$9)</f>
        <v>42.999699999999997</v>
      </c>
      <c r="J642" s="14">
        <f>CHOOSE(CONTROL!$C$42, 42.8592, 42.8592)* CHOOSE(CONTROL!$C$21, $C$9, 100%, $E$9)</f>
        <v>42.859200000000001</v>
      </c>
      <c r="K642" s="52">
        <f>CHOOSE(CONTROL!$C$42, 42.9958, 42.9958) * CHOOSE(CONTROL!$C$21, $C$9, 100%, $E$9)</f>
        <v>42.995800000000003</v>
      </c>
      <c r="L642" s="14">
        <f>CHOOSE(CONTROL!$C$42, 43.7186, 43.7186) * CHOOSE(CONTROL!$C$21, $C$9, 100%, $E$9)</f>
        <v>43.718600000000002</v>
      </c>
      <c r="M642" s="14">
        <f>CHOOSE(CONTROL!$C$42, 42.096, 42.096) * CHOOSE(CONTROL!$C$21, $C$9, 100%, $E$9)</f>
        <v>42.095999999999997</v>
      </c>
      <c r="N642" s="14">
        <f>CHOOSE(CONTROL!$C$42, 42.1127, 42.1127) * CHOOSE(CONTROL!$C$21, $C$9, 100%, $E$9)</f>
        <v>42.112699999999997</v>
      </c>
      <c r="O642" s="14">
        <f>CHOOSE(CONTROL!$C$42, 42.3635, 42.3635) * CHOOSE(CONTROL!$C$21, $C$9, 100%, $E$9)</f>
        <v>42.363500000000002</v>
      </c>
      <c r="P642" s="14">
        <f>CHOOSE(CONTROL!$C$42, 42.2316, 42.2316) * CHOOSE(CONTROL!$C$21, $C$9, 100%, $E$9)</f>
        <v>42.2316</v>
      </c>
      <c r="Q642" s="14">
        <f>CHOOSE(CONTROL!$C$42, 42.9582, 42.9582) * CHOOSE(CONTROL!$C$21, $C$9, 100%, $E$9)</f>
        <v>42.958199999999998</v>
      </c>
      <c r="R642" s="14">
        <f>CHOOSE(CONTROL!$C$42, 43.6526, 43.6526) * CHOOSE(CONTROL!$C$21, $C$9, 100%, $E$9)</f>
        <v>43.6526</v>
      </c>
      <c r="S642" s="14">
        <f>CHOOSE(CONTROL!$C$42, 41.1585, 41.1585) * CHOOSE(CONTROL!$C$21, $C$9, 100%, $E$9)</f>
        <v>41.158499999999997</v>
      </c>
      <c r="T64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42" s="56">
        <f>(1000*CHOOSE(CONTROL!$C$42, 695, 695)*CHOOSE(CONTROL!$C$42, 0.5599, 0.5599)*CHOOSE(CONTROL!$C$42, 30, 30))/1000000</f>
        <v>11.673914999999997</v>
      </c>
      <c r="V642" s="56">
        <f>(1000*CHOOSE(CONTROL!$C$42, 500, 500)*CHOOSE(CONTROL!$C$42, 0.275, 0.275)*CHOOSE(CONTROL!$C$42, 30, 30))/1000000</f>
        <v>4.125</v>
      </c>
      <c r="W642" s="56">
        <f>(1000*CHOOSE(CONTROL!$C$42, 0.1146, 0.1146)*CHOOSE(CONTROL!$C$42, 121.5, 121.5)*CHOOSE(CONTROL!$C$42, 30, 30))/1000000</f>
        <v>0.417717</v>
      </c>
      <c r="X642" s="56">
        <f>(30*0.1790888*245000/1000000)+(30*0.2374*100000/1000000)</f>
        <v>2.0285026799999999</v>
      </c>
      <c r="Y642" s="56"/>
      <c r="Z642" s="14"/>
      <c r="AA642" s="55"/>
      <c r="AB642" s="49">
        <f>(B642*194.205+C642*267.466+D642*133.845+E642*53.484+F642*40+G642*185+H642*0+I642*100+J642*300)/(194.205+267.466+133.845+53.484+0+40+185+100+300)</f>
        <v>42.908670054866569</v>
      </c>
      <c r="AC642" s="45">
        <f>(M642*'RAP TEMPLATE-GAS AVAILABILITY'!O641+N642*'RAP TEMPLATE-GAS AVAILABILITY'!P641+O642*'RAP TEMPLATE-GAS AVAILABILITY'!Q641+P642*'RAP TEMPLATE-GAS AVAILABILITY'!R641)/('RAP TEMPLATE-GAS AVAILABILITY'!O641+'RAP TEMPLATE-GAS AVAILABILITY'!P641+'RAP TEMPLATE-GAS AVAILABILITY'!Q641+'RAP TEMPLATE-GAS AVAILABILITY'!R641)</f>
        <v>42.237712949640283</v>
      </c>
    </row>
    <row r="643" spans="1:29" ht="15.75" x14ac:dyDescent="0.25">
      <c r="A643" s="32">
        <v>60479</v>
      </c>
      <c r="B643" s="14">
        <f>CHOOSE(CONTROL!$C$42, 42.0227, 42.0227) * CHOOSE(CONTROL!$C$21, $C$9, 100%, $E$9)</f>
        <v>42.0227</v>
      </c>
      <c r="C643" s="14">
        <f>CHOOSE(CONTROL!$C$42, 42.0307, 42.0307) * CHOOSE(CONTROL!$C$21, $C$9, 100%, $E$9)</f>
        <v>42.030700000000003</v>
      </c>
      <c r="D643" s="14">
        <f>CHOOSE(CONTROL!$C$42, 42.2898, 42.2898) * CHOOSE(CONTROL!$C$21, $C$9, 100%, $E$9)</f>
        <v>42.2898</v>
      </c>
      <c r="E643" s="14">
        <f>CHOOSE(CONTROL!$C$42, 42.3212, 42.3212) * CHOOSE(CONTROL!$C$21, $C$9, 100%, $E$9)</f>
        <v>42.321199999999997</v>
      </c>
      <c r="F643" s="14">
        <f>CHOOSE(CONTROL!$C$42, 42.0449, 42.0449)*CHOOSE(CONTROL!$C$21, $C$9, 100%, $E$9)</f>
        <v>42.044899999999998</v>
      </c>
      <c r="G643" s="14">
        <f>CHOOSE(CONTROL!$C$42, 42.062, 42.062)*CHOOSE(CONTROL!$C$21, $C$9, 100%, $E$9)</f>
        <v>42.061999999999998</v>
      </c>
      <c r="H643" s="14">
        <f>CHOOSE(CONTROL!$C$42, 42.3099, 42.3099) * CHOOSE(CONTROL!$C$21, $C$9, 100%, $E$9)</f>
        <v>42.309899999999999</v>
      </c>
      <c r="I643" s="14">
        <f>CHOOSE(CONTROL!$C$42, 42.1754, 42.1754)* CHOOSE(CONTROL!$C$21, $C$9, 100%, $E$9)</f>
        <v>42.175400000000003</v>
      </c>
      <c r="J643" s="14">
        <f>CHOOSE(CONTROL!$C$42, 42.0379, 42.0379)* CHOOSE(CONTROL!$C$21, $C$9, 100%, $E$9)</f>
        <v>42.0379</v>
      </c>
      <c r="K643" s="52">
        <f>CHOOSE(CONTROL!$C$42, 42.1715, 42.1715) * CHOOSE(CONTROL!$C$21, $C$9, 100%, $E$9)</f>
        <v>42.171500000000002</v>
      </c>
      <c r="L643" s="14">
        <f>CHOOSE(CONTROL!$C$42, 42.8969, 42.8969) * CHOOSE(CONTROL!$C$21, $C$9, 100%, $E$9)</f>
        <v>42.896900000000002</v>
      </c>
      <c r="M643" s="14">
        <f>CHOOSE(CONTROL!$C$42, 41.2894, 41.2894) * CHOOSE(CONTROL!$C$21, $C$9, 100%, $E$9)</f>
        <v>41.289400000000001</v>
      </c>
      <c r="N643" s="14">
        <f>CHOOSE(CONTROL!$C$42, 41.3063, 41.3063) * CHOOSE(CONTROL!$C$21, $C$9, 100%, $E$9)</f>
        <v>41.3063</v>
      </c>
      <c r="O643" s="14">
        <f>CHOOSE(CONTROL!$C$42, 41.5566, 41.5566) * CHOOSE(CONTROL!$C$21, $C$9, 100%, $E$9)</f>
        <v>41.556600000000003</v>
      </c>
      <c r="P643" s="14">
        <f>CHOOSE(CONTROL!$C$42, 41.4222, 41.4222) * CHOOSE(CONTROL!$C$21, $C$9, 100%, $E$9)</f>
        <v>41.422199999999997</v>
      </c>
      <c r="Q643" s="14">
        <f>CHOOSE(CONTROL!$C$42, 42.1513, 42.1513) * CHOOSE(CONTROL!$C$21, $C$9, 100%, $E$9)</f>
        <v>42.151299999999999</v>
      </c>
      <c r="R643" s="14">
        <f>CHOOSE(CONTROL!$C$42, 42.8436, 42.8436) * CHOOSE(CONTROL!$C$21, $C$9, 100%, $E$9)</f>
        <v>42.843600000000002</v>
      </c>
      <c r="S643" s="14">
        <f>CHOOSE(CONTROL!$C$42, 40.3689, 40.3689) * CHOOSE(CONTROL!$C$21, $C$9, 100%, $E$9)</f>
        <v>40.368899999999996</v>
      </c>
      <c r="T64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43" s="56">
        <f>(1000*CHOOSE(CONTROL!$C$42, 695, 695)*CHOOSE(CONTROL!$C$42, 0.5599, 0.5599)*CHOOSE(CONTROL!$C$42, 31, 31))/1000000</f>
        <v>12.063045499999998</v>
      </c>
      <c r="V643" s="56">
        <f>(1000*CHOOSE(CONTROL!$C$42, 500, 500)*CHOOSE(CONTROL!$C$42, 0.275, 0.275)*CHOOSE(CONTROL!$C$42, 31, 31))/1000000</f>
        <v>4.2625000000000002</v>
      </c>
      <c r="W643" s="56">
        <f>(1000*CHOOSE(CONTROL!$C$42, 0.1146, 0.1146)*CHOOSE(CONTROL!$C$42, 121.5, 121.5)*CHOOSE(CONTROL!$C$42, 31, 31))/1000000</f>
        <v>0.43164089999999994</v>
      </c>
      <c r="X643" s="56">
        <f>(31*0.1790888*245000/1000000)+(31*0.2374*100000/1000000)</f>
        <v>2.0961194359999999</v>
      </c>
      <c r="Y643" s="56"/>
      <c r="Z643" s="14"/>
      <c r="AA643" s="55"/>
      <c r="AB643" s="49">
        <f>(B643*194.205+C643*267.466+D643*133.845+E643*53.484+F643*40+G643*185+H643*0+I643*100+J643*300)/(194.205+267.466+133.845+53.484+0+40+185+100+300)</f>
        <v>42.086941131475669</v>
      </c>
      <c r="AC643" s="45">
        <f>(M643*'RAP TEMPLATE-GAS AVAILABILITY'!O642+N643*'RAP TEMPLATE-GAS AVAILABILITY'!P642+O643*'RAP TEMPLATE-GAS AVAILABILITY'!Q642+P643*'RAP TEMPLATE-GAS AVAILABILITY'!R642)/('RAP TEMPLATE-GAS AVAILABILITY'!O642+'RAP TEMPLATE-GAS AVAILABILITY'!P642+'RAP TEMPLATE-GAS AVAILABILITY'!Q642+'RAP TEMPLATE-GAS AVAILABILITY'!R642)</f>
        <v>41.4305856115108</v>
      </c>
    </row>
    <row r="644" spans="1:29" ht="15.75" x14ac:dyDescent="0.25">
      <c r="A644" s="32">
        <v>60510</v>
      </c>
      <c r="B644" s="14">
        <f>CHOOSE(CONTROL!$C$42, 39.9475, 39.9475) * CHOOSE(CONTROL!$C$21, $C$9, 100%, $E$9)</f>
        <v>39.947499999999998</v>
      </c>
      <c r="C644" s="14">
        <f>CHOOSE(CONTROL!$C$42, 39.9556, 39.9556) * CHOOSE(CONTROL!$C$21, $C$9, 100%, $E$9)</f>
        <v>39.955599999999997</v>
      </c>
      <c r="D644" s="14">
        <f>CHOOSE(CONTROL!$C$42, 40.2146, 40.2146) * CHOOSE(CONTROL!$C$21, $C$9, 100%, $E$9)</f>
        <v>40.214599999999997</v>
      </c>
      <c r="E644" s="14">
        <f>CHOOSE(CONTROL!$C$42, 40.2461, 40.2461) * CHOOSE(CONTROL!$C$21, $C$9, 100%, $E$9)</f>
        <v>40.246099999999998</v>
      </c>
      <c r="F644" s="14">
        <f>CHOOSE(CONTROL!$C$42, 39.9699, 39.9699)*CHOOSE(CONTROL!$C$21, $C$9, 100%, $E$9)</f>
        <v>39.969900000000003</v>
      </c>
      <c r="G644" s="14">
        <f>CHOOSE(CONTROL!$C$42, 39.9871, 39.9871)*CHOOSE(CONTROL!$C$21, $C$9, 100%, $E$9)</f>
        <v>39.987099999999998</v>
      </c>
      <c r="H644" s="14">
        <f>CHOOSE(CONTROL!$C$42, 40.2347, 40.2347) * CHOOSE(CONTROL!$C$21, $C$9, 100%, $E$9)</f>
        <v>40.234699999999997</v>
      </c>
      <c r="I644" s="14">
        <f>CHOOSE(CONTROL!$C$42, 40.0937, 40.0937)* CHOOSE(CONTROL!$C$21, $C$9, 100%, $E$9)</f>
        <v>40.093699999999998</v>
      </c>
      <c r="J644" s="14">
        <f>CHOOSE(CONTROL!$C$42, 39.9629, 39.9629)* CHOOSE(CONTROL!$C$21, $C$9, 100%, $E$9)</f>
        <v>39.962899999999998</v>
      </c>
      <c r="K644" s="52">
        <f>CHOOSE(CONTROL!$C$42, 40.0898, 40.0898) * CHOOSE(CONTROL!$C$21, $C$9, 100%, $E$9)</f>
        <v>40.089799999999997</v>
      </c>
      <c r="L644" s="14">
        <f>CHOOSE(CONTROL!$C$42, 40.8217, 40.8217) * CHOOSE(CONTROL!$C$21, $C$9, 100%, $E$9)</f>
        <v>40.8217</v>
      </c>
      <c r="M644" s="14">
        <f>CHOOSE(CONTROL!$C$42, 39.2518, 39.2518) * CHOOSE(CONTROL!$C$21, $C$9, 100%, $E$9)</f>
        <v>39.251800000000003</v>
      </c>
      <c r="N644" s="14">
        <f>CHOOSE(CONTROL!$C$42, 39.2687, 39.2687) * CHOOSE(CONTROL!$C$21, $C$9, 100%, $E$9)</f>
        <v>39.268700000000003</v>
      </c>
      <c r="O644" s="14">
        <f>CHOOSE(CONTROL!$C$42, 39.5187, 39.5187) * CHOOSE(CONTROL!$C$21, $C$9, 100%, $E$9)</f>
        <v>39.518700000000003</v>
      </c>
      <c r="P644" s="14">
        <f>CHOOSE(CONTROL!$C$42, 39.3781, 39.3781) * CHOOSE(CONTROL!$C$21, $C$9, 100%, $E$9)</f>
        <v>39.378100000000003</v>
      </c>
      <c r="Q644" s="14">
        <f>CHOOSE(CONTROL!$C$42, 40.1134, 40.1134) * CHOOSE(CONTROL!$C$21, $C$9, 100%, $E$9)</f>
        <v>40.113399999999999</v>
      </c>
      <c r="R644" s="14">
        <f>CHOOSE(CONTROL!$C$42, 40.8007, 40.8007) * CHOOSE(CONTROL!$C$21, $C$9, 100%, $E$9)</f>
        <v>40.800699999999999</v>
      </c>
      <c r="S644" s="14">
        <f>CHOOSE(CONTROL!$C$42, 38.3749, 38.3749) * CHOOSE(CONTROL!$C$21, $C$9, 100%, $E$9)</f>
        <v>38.374899999999997</v>
      </c>
      <c r="T64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44" s="56">
        <f>(1000*CHOOSE(CONTROL!$C$42, 695, 695)*CHOOSE(CONTROL!$C$42, 0.5599, 0.5599)*CHOOSE(CONTROL!$C$42, 31, 31))/1000000</f>
        <v>12.063045499999998</v>
      </c>
      <c r="V644" s="56">
        <f>(1000*CHOOSE(CONTROL!$C$42, 500, 500)*CHOOSE(CONTROL!$C$42, 0.275, 0.275)*CHOOSE(CONTROL!$C$42, 31, 31))/1000000</f>
        <v>4.2625000000000002</v>
      </c>
      <c r="W644" s="56">
        <f>(1000*CHOOSE(CONTROL!$C$42, 0.1146, 0.1146)*CHOOSE(CONTROL!$C$42, 121.5, 121.5)*CHOOSE(CONTROL!$C$42, 31, 31))/1000000</f>
        <v>0.43164089999999994</v>
      </c>
      <c r="X644" s="56">
        <f>(31*0.1790888*245000/1000000)+(31*0.2374*100000/1000000)</f>
        <v>2.0961194359999999</v>
      </c>
      <c r="Y644" s="56"/>
      <c r="Z644" s="14"/>
      <c r="AA644" s="55"/>
      <c r="AB644" s="49">
        <f>(B644*194.205+C644*267.466+D644*133.845+E644*53.484+F644*40+G644*185+H644*0+I644*100+J644*300)/(194.205+267.466+133.845+53.484+0+40+185+100+300)</f>
        <v>40.011353058477241</v>
      </c>
      <c r="AC644" s="45">
        <f>(M644*'RAP TEMPLATE-GAS AVAILABILITY'!O643+N644*'RAP TEMPLATE-GAS AVAILABILITY'!P643+O644*'RAP TEMPLATE-GAS AVAILABILITY'!Q643+P644*'RAP TEMPLATE-GAS AVAILABILITY'!R643)/('RAP TEMPLATE-GAS AVAILABILITY'!O643+'RAP TEMPLATE-GAS AVAILABILITY'!P643+'RAP TEMPLATE-GAS AVAILABILITY'!Q643+'RAP TEMPLATE-GAS AVAILABILITY'!R643)</f>
        <v>39.391914388489212</v>
      </c>
    </row>
    <row r="645" spans="1:29" ht="15.75" x14ac:dyDescent="0.25">
      <c r="A645" s="32">
        <v>60540</v>
      </c>
      <c r="B645" s="14">
        <f>CHOOSE(CONTROL!$C$42, 37.4119, 37.4119) * CHOOSE(CONTROL!$C$21, $C$9, 100%, $E$9)</f>
        <v>37.411900000000003</v>
      </c>
      <c r="C645" s="14">
        <f>CHOOSE(CONTROL!$C$42, 37.4199, 37.4199) * CHOOSE(CONTROL!$C$21, $C$9, 100%, $E$9)</f>
        <v>37.419899999999998</v>
      </c>
      <c r="D645" s="14">
        <f>CHOOSE(CONTROL!$C$42, 37.679, 37.679) * CHOOSE(CONTROL!$C$21, $C$9, 100%, $E$9)</f>
        <v>37.679000000000002</v>
      </c>
      <c r="E645" s="14">
        <f>CHOOSE(CONTROL!$C$42, 37.7105, 37.7105) * CHOOSE(CONTROL!$C$21, $C$9, 100%, $E$9)</f>
        <v>37.710500000000003</v>
      </c>
      <c r="F645" s="14">
        <f>CHOOSE(CONTROL!$C$42, 37.4344, 37.4344)*CHOOSE(CONTROL!$C$21, $C$9, 100%, $E$9)</f>
        <v>37.434399999999997</v>
      </c>
      <c r="G645" s="14">
        <f>CHOOSE(CONTROL!$C$42, 37.4516, 37.4516)*CHOOSE(CONTROL!$C$21, $C$9, 100%, $E$9)</f>
        <v>37.451599999999999</v>
      </c>
      <c r="H645" s="14">
        <f>CHOOSE(CONTROL!$C$42, 37.6991, 37.6991) * CHOOSE(CONTROL!$C$21, $C$9, 100%, $E$9)</f>
        <v>37.699100000000001</v>
      </c>
      <c r="I645" s="14">
        <f>CHOOSE(CONTROL!$C$42, 37.5501, 37.5501)* CHOOSE(CONTROL!$C$21, $C$9, 100%, $E$9)</f>
        <v>37.5501</v>
      </c>
      <c r="J645" s="14">
        <f>CHOOSE(CONTROL!$C$42, 37.4274, 37.4274)* CHOOSE(CONTROL!$C$21, $C$9, 100%, $E$9)</f>
        <v>37.427399999999999</v>
      </c>
      <c r="K645" s="52">
        <f>CHOOSE(CONTROL!$C$42, 37.5463, 37.5463) * CHOOSE(CONTROL!$C$21, $C$9, 100%, $E$9)</f>
        <v>37.546300000000002</v>
      </c>
      <c r="L645" s="14">
        <f>CHOOSE(CONTROL!$C$42, 38.2861, 38.2861) * CHOOSE(CONTROL!$C$21, $C$9, 100%, $E$9)</f>
        <v>38.286099999999998</v>
      </c>
      <c r="M645" s="14">
        <f>CHOOSE(CONTROL!$C$42, 36.7618, 36.7618) * CHOOSE(CONTROL!$C$21, $C$9, 100%, $E$9)</f>
        <v>36.761800000000001</v>
      </c>
      <c r="N645" s="14">
        <f>CHOOSE(CONTROL!$C$42, 36.7788, 36.7788) * CHOOSE(CONTROL!$C$21, $C$9, 100%, $E$9)</f>
        <v>36.778799999999997</v>
      </c>
      <c r="O645" s="14">
        <f>CHOOSE(CONTROL!$C$42, 37.0287, 37.0287) * CHOOSE(CONTROL!$C$21, $C$9, 100%, $E$9)</f>
        <v>37.028700000000001</v>
      </c>
      <c r="P645" s="14">
        <f>CHOOSE(CONTROL!$C$42, 36.8804, 36.8804) * CHOOSE(CONTROL!$C$21, $C$9, 100%, $E$9)</f>
        <v>36.880400000000002</v>
      </c>
      <c r="Q645" s="14">
        <f>CHOOSE(CONTROL!$C$42, 37.6234, 37.6234) * CHOOSE(CONTROL!$C$21, $C$9, 100%, $E$9)</f>
        <v>37.623399999999997</v>
      </c>
      <c r="R645" s="14">
        <f>CHOOSE(CONTROL!$C$42, 38.3045, 38.3045) * CHOOSE(CONTROL!$C$21, $C$9, 100%, $E$9)</f>
        <v>38.304499999999997</v>
      </c>
      <c r="S645" s="14">
        <f>CHOOSE(CONTROL!$C$42, 35.9384, 35.9384) * CHOOSE(CONTROL!$C$21, $C$9, 100%, $E$9)</f>
        <v>35.938400000000001</v>
      </c>
      <c r="T64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45" s="56">
        <f>(1000*CHOOSE(CONTROL!$C$42, 695, 695)*CHOOSE(CONTROL!$C$42, 0.5599, 0.5599)*CHOOSE(CONTROL!$C$42, 30, 30))/1000000</f>
        <v>11.673914999999997</v>
      </c>
      <c r="V645" s="56">
        <f>(1000*CHOOSE(CONTROL!$C$42, 500, 500)*CHOOSE(CONTROL!$C$42, 0.275, 0.275)*CHOOSE(CONTROL!$C$42, 30, 30))/1000000</f>
        <v>4.125</v>
      </c>
      <c r="W645" s="56">
        <f>(1000*CHOOSE(CONTROL!$C$42, 0.1146, 0.1146)*CHOOSE(CONTROL!$C$42, 121.5, 121.5)*CHOOSE(CONTROL!$C$42, 30, 30))/1000000</f>
        <v>0.417717</v>
      </c>
      <c r="X645" s="56">
        <f>(30*0.1790888*245000/1000000)+(30*0.2374*100000/1000000)</f>
        <v>2.0285026799999999</v>
      </c>
      <c r="Y645" s="56"/>
      <c r="Z645" s="14"/>
      <c r="AA645" s="55"/>
      <c r="AB645" s="49">
        <f>(B645*194.205+C645*267.466+D645*133.845+E645*53.484+F645*40+G645*185+H645*0+I645*100+J645*300)/(194.205+267.466+133.845+53.484+0+40+185+100+300)</f>
        <v>37.47514532959184</v>
      </c>
      <c r="AC645" s="45">
        <f>(M645*'RAP TEMPLATE-GAS AVAILABILITY'!O644+N645*'RAP TEMPLATE-GAS AVAILABILITY'!P644+O645*'RAP TEMPLATE-GAS AVAILABILITY'!Q644+P645*'RAP TEMPLATE-GAS AVAILABILITY'!R644)/('RAP TEMPLATE-GAS AVAILABILITY'!O644+'RAP TEMPLATE-GAS AVAILABILITY'!P644+'RAP TEMPLATE-GAS AVAILABILITY'!Q644+'RAP TEMPLATE-GAS AVAILABILITY'!R644)</f>
        <v>36.900812230215827</v>
      </c>
    </row>
    <row r="646" spans="1:29" ht="15.75" x14ac:dyDescent="0.25">
      <c r="A646" s="32">
        <v>60571</v>
      </c>
      <c r="B646" s="14">
        <f>CHOOSE(CONTROL!$C$42, 36.6507, 36.6507) * CHOOSE(CONTROL!$C$21, $C$9, 100%, $E$9)</f>
        <v>36.650700000000001</v>
      </c>
      <c r="C646" s="14">
        <f>CHOOSE(CONTROL!$C$42, 36.6561, 36.6561) * CHOOSE(CONTROL!$C$21, $C$9, 100%, $E$9)</f>
        <v>36.656100000000002</v>
      </c>
      <c r="D646" s="14">
        <f>CHOOSE(CONTROL!$C$42, 36.9201, 36.9201) * CHOOSE(CONTROL!$C$21, $C$9, 100%, $E$9)</f>
        <v>36.920099999999998</v>
      </c>
      <c r="E646" s="14">
        <f>CHOOSE(CONTROL!$C$42, 36.9492, 36.9492) * CHOOSE(CONTROL!$C$21, $C$9, 100%, $E$9)</f>
        <v>36.949199999999998</v>
      </c>
      <c r="F646" s="14">
        <f>CHOOSE(CONTROL!$C$42, 36.6754, 36.6754)*CHOOSE(CONTROL!$C$21, $C$9, 100%, $E$9)</f>
        <v>36.675400000000003</v>
      </c>
      <c r="G646" s="14">
        <f>CHOOSE(CONTROL!$C$42, 36.6925, 36.6925)*CHOOSE(CONTROL!$C$21, $C$9, 100%, $E$9)</f>
        <v>36.692500000000003</v>
      </c>
      <c r="H646" s="14">
        <f>CHOOSE(CONTROL!$C$42, 36.9397, 36.9397) * CHOOSE(CONTROL!$C$21, $C$9, 100%, $E$9)</f>
        <v>36.939700000000002</v>
      </c>
      <c r="I646" s="14">
        <f>CHOOSE(CONTROL!$C$42, 36.7884, 36.7884)* CHOOSE(CONTROL!$C$21, $C$9, 100%, $E$9)</f>
        <v>36.788400000000003</v>
      </c>
      <c r="J646" s="14">
        <f>CHOOSE(CONTROL!$C$42, 36.6684, 36.6684)* CHOOSE(CONTROL!$C$21, $C$9, 100%, $E$9)</f>
        <v>36.668399999999998</v>
      </c>
      <c r="K646" s="52">
        <f>CHOOSE(CONTROL!$C$42, 36.7845, 36.7845) * CHOOSE(CONTROL!$C$21, $C$9, 100%, $E$9)</f>
        <v>36.784500000000001</v>
      </c>
      <c r="L646" s="14">
        <f>CHOOSE(CONTROL!$C$42, 37.5267, 37.5267) * CHOOSE(CONTROL!$C$21, $C$9, 100%, $E$9)</f>
        <v>37.526699999999998</v>
      </c>
      <c r="M646" s="14">
        <f>CHOOSE(CONTROL!$C$42, 36.0165, 36.0165) * CHOOSE(CONTROL!$C$21, $C$9, 100%, $E$9)</f>
        <v>36.016500000000001</v>
      </c>
      <c r="N646" s="14">
        <f>CHOOSE(CONTROL!$C$42, 36.0333, 36.0333) * CHOOSE(CONTROL!$C$21, $C$9, 100%, $E$9)</f>
        <v>36.033299999999997</v>
      </c>
      <c r="O646" s="14">
        <f>CHOOSE(CONTROL!$C$42, 36.283, 36.283) * CHOOSE(CONTROL!$C$21, $C$9, 100%, $E$9)</f>
        <v>36.283000000000001</v>
      </c>
      <c r="P646" s="14">
        <f>CHOOSE(CONTROL!$C$42, 36.1324, 36.1324) * CHOOSE(CONTROL!$C$21, $C$9, 100%, $E$9)</f>
        <v>36.132399999999997</v>
      </c>
      <c r="Q646" s="14">
        <f>CHOOSE(CONTROL!$C$42, 36.8777, 36.8777) * CHOOSE(CONTROL!$C$21, $C$9, 100%, $E$9)</f>
        <v>36.877699999999997</v>
      </c>
      <c r="R646" s="14">
        <f>CHOOSE(CONTROL!$C$42, 37.5569, 37.5569) * CHOOSE(CONTROL!$C$21, $C$9, 100%, $E$9)</f>
        <v>37.556899999999999</v>
      </c>
      <c r="S646" s="14">
        <f>CHOOSE(CONTROL!$C$42, 35.2088, 35.2088) * CHOOSE(CONTROL!$C$21, $C$9, 100%, $E$9)</f>
        <v>35.208799999999997</v>
      </c>
      <c r="T6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646" s="56">
        <f>(1000*CHOOSE(CONTROL!$C$42, 695, 695)*CHOOSE(CONTROL!$C$42, 0.5599, 0.5599)*CHOOSE(CONTROL!$C$42, 31, 31))/1000000</f>
        <v>12.063045499999998</v>
      </c>
      <c r="V646" s="56">
        <f>(1000*CHOOSE(CONTROL!$C$42, 500, 500)*CHOOSE(CONTROL!$C$42, 0.275, 0.275)*CHOOSE(CONTROL!$C$42, 31, 31))/1000000</f>
        <v>4.2625000000000002</v>
      </c>
      <c r="W646" s="56">
        <f>(1000*CHOOSE(CONTROL!$C$42, 0.1146, 0.1146)*CHOOSE(CONTROL!$C$42, 121.5, 121.5)*CHOOSE(CONTROL!$C$42, 31, 31))/1000000</f>
        <v>0.43164089999999994</v>
      </c>
      <c r="X646" s="56">
        <f>(31*0.1790888*245000/1000000)+(31*0.2374*100000/1000000)</f>
        <v>2.0961194359999999</v>
      </c>
      <c r="Y646" s="56"/>
      <c r="Z646" s="14"/>
      <c r="AA646" s="55"/>
      <c r="AB646" s="49">
        <f>(B646*131.881+C646*277.167+D646*79.08+E646*125.872+F646*40+G646*185+H646*0+I646*100+J646*300)/(131.881+277.167+79.08+125.872+0+40+185+100+300)</f>
        <v>36.721865977239702</v>
      </c>
      <c r="AC646" s="45">
        <f>(M646*'RAP TEMPLATE-GAS AVAILABILITY'!O645+N646*'RAP TEMPLATE-GAS AVAILABILITY'!P645+O646*'RAP TEMPLATE-GAS AVAILABILITY'!Q645+P646*'RAP TEMPLATE-GAS AVAILABILITY'!R645)/('RAP TEMPLATE-GAS AVAILABILITY'!O645+'RAP TEMPLATE-GAS AVAILABILITY'!P645+'RAP TEMPLATE-GAS AVAILABILITY'!Q645+'RAP TEMPLATE-GAS AVAILABILITY'!R645)</f>
        <v>36.154930935251805</v>
      </c>
    </row>
    <row r="647" spans="1:29" ht="15.75" x14ac:dyDescent="0.25">
      <c r="A647" s="32">
        <v>60601</v>
      </c>
      <c r="B647" s="14">
        <f>CHOOSE(CONTROL!$C$42, 37.6156, 37.6156) * CHOOSE(CONTROL!$C$21, $C$9, 100%, $E$9)</f>
        <v>37.615600000000001</v>
      </c>
      <c r="C647" s="14">
        <f>CHOOSE(CONTROL!$C$42, 37.6207, 37.6207) * CHOOSE(CONTROL!$C$21, $C$9, 100%, $E$9)</f>
        <v>37.620699999999999</v>
      </c>
      <c r="D647" s="14">
        <f>CHOOSE(CONTROL!$C$42, 37.7037, 37.7037) * CHOOSE(CONTROL!$C$21, $C$9, 100%, $E$9)</f>
        <v>37.703699999999998</v>
      </c>
      <c r="E647" s="14">
        <f>CHOOSE(CONTROL!$C$42, 37.7379, 37.7379) * CHOOSE(CONTROL!$C$21, $C$9, 100%, $E$9)</f>
        <v>37.737900000000003</v>
      </c>
      <c r="F647" s="14">
        <f>CHOOSE(CONTROL!$C$42, 37.6432, 37.6432)*CHOOSE(CONTROL!$C$21, $C$9, 100%, $E$9)</f>
        <v>37.6432</v>
      </c>
      <c r="G647" s="14">
        <f>CHOOSE(CONTROL!$C$42, 37.6606, 37.6606)*CHOOSE(CONTROL!$C$21, $C$9, 100%, $E$9)</f>
        <v>37.660600000000002</v>
      </c>
      <c r="H647" s="14">
        <f>CHOOSE(CONTROL!$C$42, 37.7271, 37.7271) * CHOOSE(CONTROL!$C$21, $C$9, 100%, $E$9)</f>
        <v>37.7271</v>
      </c>
      <c r="I647" s="14">
        <f>CHOOSE(CONTROL!$C$42, 37.7531, 37.7531)* CHOOSE(CONTROL!$C$21, $C$9, 100%, $E$9)</f>
        <v>37.753100000000003</v>
      </c>
      <c r="J647" s="14">
        <f>CHOOSE(CONTROL!$C$42, 37.6362, 37.6362)* CHOOSE(CONTROL!$C$21, $C$9, 100%, $E$9)</f>
        <v>37.636200000000002</v>
      </c>
      <c r="K647" s="52">
        <f>CHOOSE(CONTROL!$C$42, 37.7492, 37.7492) * CHOOSE(CONTROL!$C$21, $C$9, 100%, $E$9)</f>
        <v>37.749200000000002</v>
      </c>
      <c r="L647" s="14">
        <f>CHOOSE(CONTROL!$C$42, 38.3141, 38.3141) * CHOOSE(CONTROL!$C$21, $C$9, 100%, $E$9)</f>
        <v>38.314100000000003</v>
      </c>
      <c r="M647" s="14">
        <f>CHOOSE(CONTROL!$C$42, 36.967, 36.967) * CHOOSE(CONTROL!$C$21, $C$9, 100%, $E$9)</f>
        <v>36.966999999999999</v>
      </c>
      <c r="N647" s="14">
        <f>CHOOSE(CONTROL!$C$42, 36.984, 36.984) * CHOOSE(CONTROL!$C$21, $C$9, 100%, $E$9)</f>
        <v>36.984000000000002</v>
      </c>
      <c r="O647" s="14">
        <f>CHOOSE(CONTROL!$C$42, 37.0562, 37.0562) * CHOOSE(CONTROL!$C$21, $C$9, 100%, $E$9)</f>
        <v>37.056199999999997</v>
      </c>
      <c r="P647" s="14">
        <f>CHOOSE(CONTROL!$C$42, 37.0797, 37.0797) * CHOOSE(CONTROL!$C$21, $C$9, 100%, $E$9)</f>
        <v>37.079700000000003</v>
      </c>
      <c r="Q647" s="14">
        <f>CHOOSE(CONTROL!$C$42, 37.6509, 37.6509) * CHOOSE(CONTROL!$C$21, $C$9, 100%, $E$9)</f>
        <v>37.6509</v>
      </c>
      <c r="R647" s="14">
        <f>CHOOSE(CONTROL!$C$42, 38.332, 38.332) * CHOOSE(CONTROL!$C$21, $C$9, 100%, $E$9)</f>
        <v>38.332000000000001</v>
      </c>
      <c r="S647" s="14">
        <f>CHOOSE(CONTROL!$C$42, 36.1363, 36.1363) * CHOOSE(CONTROL!$C$21, $C$9, 100%, $E$9)</f>
        <v>36.136299999999999</v>
      </c>
      <c r="T6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647" s="56">
        <f>(1000*CHOOSE(CONTROL!$C$42, 695, 695)*CHOOSE(CONTROL!$C$42, 0.5599, 0.5599)*CHOOSE(CONTROL!$C$42, 30, 30))/1000000</f>
        <v>11.673914999999997</v>
      </c>
      <c r="V647" s="56">
        <f>(1000*CHOOSE(CONTROL!$C$42, 500, 500)*CHOOSE(CONTROL!$C$42, 0.275, 0.275)*CHOOSE(CONTROL!$C$42, 30, 30))/1000000</f>
        <v>4.125</v>
      </c>
      <c r="W647" s="56">
        <f>(1000*CHOOSE(CONTROL!$C$42, 0.1146, 0.1146)*CHOOSE(CONTROL!$C$42, 121.5, 121.5)*CHOOSE(CONTROL!$C$42, 30, 30))/1000000</f>
        <v>0.417717</v>
      </c>
      <c r="X647" s="56">
        <f>(30*0.1790888*100000/1000000)+(30*0.2374*100000/1000000)</f>
        <v>1.2494664</v>
      </c>
      <c r="Y647" s="56"/>
      <c r="Z647" s="14"/>
      <c r="AA647" s="55"/>
      <c r="AB647" s="49">
        <f>(B647*122.58+C647*297.941+D647*89.177+E647*40.302+F647*40+G647*160+H647*0+I647*100+J647*300)/(122.58+297.941+89.177+40.302+0+40+160+100+300)</f>
        <v>37.652590371652181</v>
      </c>
      <c r="AC647" s="45">
        <f>(M647*'RAP TEMPLATE-GAS AVAILABILITY'!O646+N647*'RAP TEMPLATE-GAS AVAILABILITY'!P646+O647*'RAP TEMPLATE-GAS AVAILABILITY'!Q646+P647*'RAP TEMPLATE-GAS AVAILABILITY'!R646)/('RAP TEMPLATE-GAS AVAILABILITY'!O646+'RAP TEMPLATE-GAS AVAILABILITY'!P646+'RAP TEMPLATE-GAS AVAILABILITY'!Q646+'RAP TEMPLATE-GAS AVAILABILITY'!R646)</f>
        <v>37.024623021582734</v>
      </c>
    </row>
    <row r="648" spans="1:29" ht="15.75" x14ac:dyDescent="0.25">
      <c r="A648" s="32">
        <v>60632</v>
      </c>
      <c r="B648" s="14">
        <f>CHOOSE(CONTROL!$C$42, 40.1796, 40.1796) * CHOOSE(CONTROL!$C$21, $C$9, 100%, $E$9)</f>
        <v>40.179600000000001</v>
      </c>
      <c r="C648" s="14">
        <f>CHOOSE(CONTROL!$C$42, 40.1846, 40.1846) * CHOOSE(CONTROL!$C$21, $C$9, 100%, $E$9)</f>
        <v>40.184600000000003</v>
      </c>
      <c r="D648" s="14">
        <f>CHOOSE(CONTROL!$C$42, 40.2677, 40.2677) * CHOOSE(CONTROL!$C$21, $C$9, 100%, $E$9)</f>
        <v>40.267699999999998</v>
      </c>
      <c r="E648" s="14">
        <f>CHOOSE(CONTROL!$C$42, 40.3018, 40.3018) * CHOOSE(CONTROL!$C$21, $C$9, 100%, $E$9)</f>
        <v>40.3018</v>
      </c>
      <c r="F648" s="14">
        <f>CHOOSE(CONTROL!$C$42, 40.2096, 40.2096)*CHOOSE(CONTROL!$C$21, $C$9, 100%, $E$9)</f>
        <v>40.209600000000002</v>
      </c>
      <c r="G648" s="14">
        <f>CHOOSE(CONTROL!$C$42, 40.2276, 40.2276)*CHOOSE(CONTROL!$C$21, $C$9, 100%, $E$9)</f>
        <v>40.227600000000002</v>
      </c>
      <c r="H648" s="14">
        <f>CHOOSE(CONTROL!$C$42, 40.291, 40.291) * CHOOSE(CONTROL!$C$21, $C$9, 100%, $E$9)</f>
        <v>40.290999999999997</v>
      </c>
      <c r="I648" s="14">
        <f>CHOOSE(CONTROL!$C$42, 40.325, 40.325)* CHOOSE(CONTROL!$C$21, $C$9, 100%, $E$9)</f>
        <v>40.325000000000003</v>
      </c>
      <c r="J648" s="14">
        <f>CHOOSE(CONTROL!$C$42, 40.2026, 40.2026)* CHOOSE(CONTROL!$C$21, $C$9, 100%, $E$9)</f>
        <v>40.202599999999997</v>
      </c>
      <c r="K648" s="52">
        <f>CHOOSE(CONTROL!$C$42, 40.3212, 40.3212) * CHOOSE(CONTROL!$C$21, $C$9, 100%, $E$9)</f>
        <v>40.321199999999997</v>
      </c>
      <c r="L648" s="14">
        <f>CHOOSE(CONTROL!$C$42, 40.878, 40.878) * CHOOSE(CONTROL!$C$21, $C$9, 100%, $E$9)</f>
        <v>40.878</v>
      </c>
      <c r="M648" s="14">
        <f>CHOOSE(CONTROL!$C$42, 39.4872, 39.4872) * CHOOSE(CONTROL!$C$21, $C$9, 100%, $E$9)</f>
        <v>39.487200000000001</v>
      </c>
      <c r="N648" s="14">
        <f>CHOOSE(CONTROL!$C$42, 39.5049, 39.5049) * CHOOSE(CONTROL!$C$21, $C$9, 100%, $E$9)</f>
        <v>39.504899999999999</v>
      </c>
      <c r="O648" s="14">
        <f>CHOOSE(CONTROL!$C$42, 39.574, 39.574) * CHOOSE(CONTROL!$C$21, $C$9, 100%, $E$9)</f>
        <v>39.573999999999998</v>
      </c>
      <c r="P648" s="14">
        <f>CHOOSE(CONTROL!$C$42, 39.6053, 39.6053) * CHOOSE(CONTROL!$C$21, $C$9, 100%, $E$9)</f>
        <v>39.6053</v>
      </c>
      <c r="Q648" s="14">
        <f>CHOOSE(CONTROL!$C$42, 40.1687, 40.1687) * CHOOSE(CONTROL!$C$21, $C$9, 100%, $E$9)</f>
        <v>40.168700000000001</v>
      </c>
      <c r="R648" s="14">
        <f>CHOOSE(CONTROL!$C$42, 40.8561, 40.8561) * CHOOSE(CONTROL!$C$21, $C$9, 100%, $E$9)</f>
        <v>40.856099999999998</v>
      </c>
      <c r="S648" s="14">
        <f>CHOOSE(CONTROL!$C$42, 38.6, 38.6) * CHOOSE(CONTROL!$C$21, $C$9, 100%, $E$9)</f>
        <v>38.6</v>
      </c>
      <c r="T6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48" s="56">
        <f>(1000*CHOOSE(CONTROL!$C$42, 695, 695)*CHOOSE(CONTROL!$C$42, 0.5599, 0.5599)*CHOOSE(CONTROL!$C$42, 31, 31))/1000000</f>
        <v>12.063045499999998</v>
      </c>
      <c r="V648" s="56">
        <f>(1000*CHOOSE(CONTROL!$C$42, 500, 500)*CHOOSE(CONTROL!$C$42, 0.275, 0.275)*CHOOSE(CONTROL!$C$42, 31, 31))/1000000</f>
        <v>4.2625000000000002</v>
      </c>
      <c r="W648" s="56">
        <f>(1000*CHOOSE(CONTROL!$C$42, 0.1146, 0.1146)*CHOOSE(CONTROL!$C$42, 121.5, 121.5)*CHOOSE(CONTROL!$C$42, 31, 31))/1000000</f>
        <v>0.43164089999999994</v>
      </c>
      <c r="X648" s="56">
        <f>(31*0.1790888*100000/1000000)+(31*0.2374*100000/1000000)</f>
        <v>1.2911152800000001</v>
      </c>
      <c r="Y648" s="56"/>
      <c r="Z648" s="14"/>
      <c r="AA648" s="55"/>
      <c r="AB648" s="49">
        <f>(B648*122.58+C648*297.941+D648*89.177+E648*40.302+F648*40+G648*160+H648*0+I648*100+J648*300)/(122.58+297.941+89.177+40.302+0+40+160+100+300)</f>
        <v>40.218374872260867</v>
      </c>
      <c r="AC648" s="45">
        <f>(M648*'RAP TEMPLATE-GAS AVAILABILITY'!O647+N648*'RAP TEMPLATE-GAS AVAILABILITY'!P647+O648*'RAP TEMPLATE-GAS AVAILABILITY'!Q647+P648*'RAP TEMPLATE-GAS AVAILABILITY'!R647)/('RAP TEMPLATE-GAS AVAILABILITY'!O647+'RAP TEMPLATE-GAS AVAILABILITY'!P647+'RAP TEMPLATE-GAS AVAILABILITY'!Q647+'RAP TEMPLATE-GAS AVAILABILITY'!R647)</f>
        <v>39.544552517985615</v>
      </c>
    </row>
    <row r="649" spans="1:29" ht="15.75" x14ac:dyDescent="0.25">
      <c r="A649" s="32">
        <v>60663</v>
      </c>
      <c r="B649" s="14">
        <f>CHOOSE(CONTROL!$C$42, 43.5097, 43.5097) * CHOOSE(CONTROL!$C$21, $C$9, 100%, $E$9)</f>
        <v>43.509700000000002</v>
      </c>
      <c r="C649" s="14">
        <f>CHOOSE(CONTROL!$C$42, 43.5148, 43.5148) * CHOOSE(CONTROL!$C$21, $C$9, 100%, $E$9)</f>
        <v>43.514800000000001</v>
      </c>
      <c r="D649" s="14">
        <f>CHOOSE(CONTROL!$C$42, 43.6082, 43.6082) * CHOOSE(CONTROL!$C$21, $C$9, 100%, $E$9)</f>
        <v>43.608199999999997</v>
      </c>
      <c r="E649" s="14">
        <f>CHOOSE(CONTROL!$C$42, 43.6423, 43.6423) * CHOOSE(CONTROL!$C$21, $C$9, 100%, $E$9)</f>
        <v>43.642299999999999</v>
      </c>
      <c r="F649" s="14">
        <f>CHOOSE(CONTROL!$C$42, 43.537, 43.537)*CHOOSE(CONTROL!$C$21, $C$9, 100%, $E$9)</f>
        <v>43.536999999999999</v>
      </c>
      <c r="G649" s="14">
        <f>CHOOSE(CONTROL!$C$42, 43.555, 43.555)*CHOOSE(CONTROL!$C$21, $C$9, 100%, $E$9)</f>
        <v>43.555</v>
      </c>
      <c r="H649" s="14">
        <f>CHOOSE(CONTROL!$C$42, 43.6315, 43.6315) * CHOOSE(CONTROL!$C$21, $C$9, 100%, $E$9)</f>
        <v>43.631500000000003</v>
      </c>
      <c r="I649" s="14">
        <f>CHOOSE(CONTROL!$C$42, 43.6719, 43.6719)* CHOOSE(CONTROL!$C$21, $C$9, 100%, $E$9)</f>
        <v>43.671900000000001</v>
      </c>
      <c r="J649" s="14">
        <f>CHOOSE(CONTROL!$C$42, 43.53, 43.53)* CHOOSE(CONTROL!$C$21, $C$9, 100%, $E$9)</f>
        <v>43.53</v>
      </c>
      <c r="K649" s="52">
        <f>CHOOSE(CONTROL!$C$42, 43.668, 43.668) * CHOOSE(CONTROL!$C$21, $C$9, 100%, $E$9)</f>
        <v>43.667999999999999</v>
      </c>
      <c r="L649" s="14">
        <f>CHOOSE(CONTROL!$C$42, 44.2185, 44.2185) * CHOOSE(CONTROL!$C$21, $C$9, 100%, $E$9)</f>
        <v>44.218499999999999</v>
      </c>
      <c r="M649" s="14">
        <f>CHOOSE(CONTROL!$C$42, 42.7547, 42.7547) * CHOOSE(CONTROL!$C$21, $C$9, 100%, $E$9)</f>
        <v>42.7547</v>
      </c>
      <c r="N649" s="14">
        <f>CHOOSE(CONTROL!$C$42, 42.7724, 42.7724) * CHOOSE(CONTROL!$C$21, $C$9, 100%, $E$9)</f>
        <v>42.772399999999998</v>
      </c>
      <c r="O649" s="14">
        <f>CHOOSE(CONTROL!$C$42, 42.8544, 42.8544) * CHOOSE(CONTROL!$C$21, $C$9, 100%, $E$9)</f>
        <v>42.854399999999998</v>
      </c>
      <c r="P649" s="14">
        <f>CHOOSE(CONTROL!$C$42, 42.8917, 42.8917) * CHOOSE(CONTROL!$C$21, $C$9, 100%, $E$9)</f>
        <v>42.8917</v>
      </c>
      <c r="Q649" s="14">
        <f>CHOOSE(CONTROL!$C$42, 43.4491, 43.4491) * CHOOSE(CONTROL!$C$21, $C$9, 100%, $E$9)</f>
        <v>43.449100000000001</v>
      </c>
      <c r="R649" s="14">
        <f>CHOOSE(CONTROL!$C$42, 44.1448, 44.1448) * CHOOSE(CONTROL!$C$21, $C$9, 100%, $E$9)</f>
        <v>44.144799999999996</v>
      </c>
      <c r="S649" s="14">
        <f>CHOOSE(CONTROL!$C$42, 41.7999, 41.7999) * CHOOSE(CONTROL!$C$21, $C$9, 100%, $E$9)</f>
        <v>41.799900000000001</v>
      </c>
      <c r="T6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49" s="56">
        <f>(1000*CHOOSE(CONTROL!$C$42, 695, 695)*CHOOSE(CONTROL!$C$42, 0.5599, 0.5599)*CHOOSE(CONTROL!$C$42, 31, 31))/1000000</f>
        <v>12.063045499999998</v>
      </c>
      <c r="V649" s="56">
        <f>(1000*CHOOSE(CONTROL!$C$42, 500, 500)*CHOOSE(CONTROL!$C$42, 0.275, 0.275)*CHOOSE(CONTROL!$C$42, 31, 31))/1000000</f>
        <v>4.2625000000000002</v>
      </c>
      <c r="W649" s="56">
        <f>(1000*CHOOSE(CONTROL!$C$42, 0.1146, 0.1146)*CHOOSE(CONTROL!$C$42, 121.5, 121.5)*CHOOSE(CONTROL!$C$42, 31, 31))/1000000</f>
        <v>0.43164089999999994</v>
      </c>
      <c r="X649" s="56">
        <f>(31*0.1790888*100000/1000000)+(31*0.2374*100000/1000000)</f>
        <v>1.2911152800000001</v>
      </c>
      <c r="Y649" s="56"/>
      <c r="Z649" s="14"/>
      <c r="AA649" s="55"/>
      <c r="AB649" s="49">
        <f>(B649*122.58+C649*297.941+D649*89.177+E649*40.302+F649*40+G649*160+H649*0+I649*100+J649*300)/(122.58+297.941+89.177+40.302+0+40+160+100+300)</f>
        <v>43.54995867721739</v>
      </c>
      <c r="AC649" s="45">
        <f>(M649*'RAP TEMPLATE-GAS AVAILABILITY'!O648+N649*'RAP TEMPLATE-GAS AVAILABILITY'!P648+O649*'RAP TEMPLATE-GAS AVAILABILITY'!Q648+P649*'RAP TEMPLATE-GAS AVAILABILITY'!R648)/('RAP TEMPLATE-GAS AVAILABILITY'!O648+'RAP TEMPLATE-GAS AVAILABILITY'!P648+'RAP TEMPLATE-GAS AVAILABILITY'!Q648+'RAP TEMPLATE-GAS AVAILABILITY'!R648)</f>
        <v>42.820618705035976</v>
      </c>
    </row>
    <row r="650" spans="1:29" ht="15.75" x14ac:dyDescent="0.25">
      <c r="A650" s="32">
        <v>60691</v>
      </c>
      <c r="B650" s="14">
        <f>CHOOSE(CONTROL!$C$42, 44.2841, 44.2841) * CHOOSE(CONTROL!$C$21, $C$9, 100%, $E$9)</f>
        <v>44.284100000000002</v>
      </c>
      <c r="C650" s="14">
        <f>CHOOSE(CONTROL!$C$42, 44.2891, 44.2891) * CHOOSE(CONTROL!$C$21, $C$9, 100%, $E$9)</f>
        <v>44.289099999999998</v>
      </c>
      <c r="D650" s="14">
        <f>CHOOSE(CONTROL!$C$42, 44.3826, 44.3826) * CHOOSE(CONTROL!$C$21, $C$9, 100%, $E$9)</f>
        <v>44.382599999999996</v>
      </c>
      <c r="E650" s="14">
        <f>CHOOSE(CONTROL!$C$42, 44.4167, 44.4167) * CHOOSE(CONTROL!$C$21, $C$9, 100%, $E$9)</f>
        <v>44.416699999999999</v>
      </c>
      <c r="F650" s="14">
        <f>CHOOSE(CONTROL!$C$42, 44.311, 44.311)*CHOOSE(CONTROL!$C$21, $C$9, 100%, $E$9)</f>
        <v>44.311</v>
      </c>
      <c r="G650" s="14">
        <f>CHOOSE(CONTROL!$C$42, 44.3289, 44.3289)*CHOOSE(CONTROL!$C$21, $C$9, 100%, $E$9)</f>
        <v>44.328899999999997</v>
      </c>
      <c r="H650" s="14">
        <f>CHOOSE(CONTROL!$C$42, 44.4059, 44.4059) * CHOOSE(CONTROL!$C$21, $C$9, 100%, $E$9)</f>
        <v>44.405900000000003</v>
      </c>
      <c r="I650" s="14">
        <f>CHOOSE(CONTROL!$C$42, 44.4487, 44.4487)* CHOOSE(CONTROL!$C$21, $C$9, 100%, $E$9)</f>
        <v>44.448700000000002</v>
      </c>
      <c r="J650" s="14">
        <f>CHOOSE(CONTROL!$C$42, 44.304, 44.304)* CHOOSE(CONTROL!$C$21, $C$9, 100%, $E$9)</f>
        <v>44.304000000000002</v>
      </c>
      <c r="K650" s="52">
        <f>CHOOSE(CONTROL!$C$42, 44.4448, 44.4448) * CHOOSE(CONTROL!$C$21, $C$9, 100%, $E$9)</f>
        <v>44.444800000000001</v>
      </c>
      <c r="L650" s="14">
        <f>CHOOSE(CONTROL!$C$42, 44.9929, 44.9929) * CHOOSE(CONTROL!$C$21, $C$9, 100%, $E$9)</f>
        <v>44.992899999999999</v>
      </c>
      <c r="M650" s="14">
        <f>CHOOSE(CONTROL!$C$42, 43.5148, 43.5148) * CHOOSE(CONTROL!$C$21, $C$9, 100%, $E$9)</f>
        <v>43.514800000000001</v>
      </c>
      <c r="N650" s="14">
        <f>CHOOSE(CONTROL!$C$42, 43.5324, 43.5324) * CHOOSE(CONTROL!$C$21, $C$9, 100%, $E$9)</f>
        <v>43.532400000000003</v>
      </c>
      <c r="O650" s="14">
        <f>CHOOSE(CONTROL!$C$42, 43.6149, 43.6149) * CHOOSE(CONTROL!$C$21, $C$9, 100%, $E$9)</f>
        <v>43.614899999999999</v>
      </c>
      <c r="P650" s="14">
        <f>CHOOSE(CONTROL!$C$42, 43.6545, 43.6545) * CHOOSE(CONTROL!$C$21, $C$9, 100%, $E$9)</f>
        <v>43.654499999999999</v>
      </c>
      <c r="Q650" s="14">
        <f>CHOOSE(CONTROL!$C$42, 44.2096, 44.2096) * CHOOSE(CONTROL!$C$21, $C$9, 100%, $E$9)</f>
        <v>44.209600000000002</v>
      </c>
      <c r="R650" s="14">
        <f>CHOOSE(CONTROL!$C$42, 44.9071, 44.9071) * CHOOSE(CONTROL!$C$21, $C$9, 100%, $E$9)</f>
        <v>44.9071</v>
      </c>
      <c r="S650" s="14">
        <f>CHOOSE(CONTROL!$C$42, 42.544, 42.544) * CHOOSE(CONTROL!$C$21, $C$9, 100%, $E$9)</f>
        <v>42.543999999999997</v>
      </c>
      <c r="T65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50" s="56">
        <f>(1000*CHOOSE(CONTROL!$C$42, 695, 695)*CHOOSE(CONTROL!$C$42, 0.5599, 0.5599)*CHOOSE(CONTROL!$C$42, 28, 28))/1000000</f>
        <v>10.895653999999999</v>
      </c>
      <c r="V650" s="56">
        <f>(1000*CHOOSE(CONTROL!$C$42, 500, 500)*CHOOSE(CONTROL!$C$42, 0.275, 0.275)*CHOOSE(CONTROL!$C$42, 28, 28))/1000000</f>
        <v>3.85</v>
      </c>
      <c r="W650" s="56">
        <f>(1000*CHOOSE(CONTROL!$C$42, 0.1146, 0.1146)*CHOOSE(CONTROL!$C$42, 121.5, 121.5)*CHOOSE(CONTROL!$C$42, 28, 28))/1000000</f>
        <v>0.38986920000000003</v>
      </c>
      <c r="X650" s="56">
        <f>(28*0.1790888*100000/1000000)+(28*0.2374*100000/1000000)</f>
        <v>1.16616864</v>
      </c>
      <c r="Y650" s="56"/>
      <c r="Z650" s="14"/>
      <c r="AA650" s="55"/>
      <c r="AB650" s="49">
        <f>(B650*122.58+C650*297.941+D650*89.177+E650*40.302+F650*40+G650*160+H650*0+I650*100+J650*300)/(122.58+297.941+89.177+40.302+0+40+160+100+300)</f>
        <v>44.32435363886956</v>
      </c>
      <c r="AC650" s="45">
        <f>(M650*'RAP TEMPLATE-GAS AVAILABILITY'!O649+N650*'RAP TEMPLATE-GAS AVAILABILITY'!P649+O650*'RAP TEMPLATE-GAS AVAILABILITY'!Q649+P650*'RAP TEMPLATE-GAS AVAILABILITY'!R649)/('RAP TEMPLATE-GAS AVAILABILITY'!O649+'RAP TEMPLATE-GAS AVAILABILITY'!P649+'RAP TEMPLATE-GAS AVAILABILITY'!Q649+'RAP TEMPLATE-GAS AVAILABILITY'!R649)</f>
        <v>43.581282733812948</v>
      </c>
    </row>
    <row r="651" spans="1:29" ht="15.75" x14ac:dyDescent="0.25">
      <c r="A651" s="32">
        <v>60722</v>
      </c>
      <c r="B651" s="14">
        <f>CHOOSE(CONTROL!$C$42, 43.0271, 43.0271) * CHOOSE(CONTROL!$C$21, $C$9, 100%, $E$9)</f>
        <v>43.027099999999997</v>
      </c>
      <c r="C651" s="14">
        <f>CHOOSE(CONTROL!$C$42, 43.0321, 43.0321) * CHOOSE(CONTROL!$C$21, $C$9, 100%, $E$9)</f>
        <v>43.0321</v>
      </c>
      <c r="D651" s="14">
        <f>CHOOSE(CONTROL!$C$42, 43.1256, 43.1256) * CHOOSE(CONTROL!$C$21, $C$9, 100%, $E$9)</f>
        <v>43.125599999999999</v>
      </c>
      <c r="E651" s="14">
        <f>CHOOSE(CONTROL!$C$42, 43.1597, 43.1597) * CHOOSE(CONTROL!$C$21, $C$9, 100%, $E$9)</f>
        <v>43.159700000000001</v>
      </c>
      <c r="F651" s="14">
        <f>CHOOSE(CONTROL!$C$42, 43.0532, 43.0532)*CHOOSE(CONTROL!$C$21, $C$9, 100%, $E$9)</f>
        <v>43.053199999999997</v>
      </c>
      <c r="G651" s="14">
        <f>CHOOSE(CONTROL!$C$42, 43.0708, 43.0708)*CHOOSE(CONTROL!$C$21, $C$9, 100%, $E$9)</f>
        <v>43.070799999999998</v>
      </c>
      <c r="H651" s="14">
        <f>CHOOSE(CONTROL!$C$42, 43.1489, 43.1489) * CHOOSE(CONTROL!$C$21, $C$9, 100%, $E$9)</f>
        <v>43.148899999999998</v>
      </c>
      <c r="I651" s="14">
        <f>CHOOSE(CONTROL!$C$42, 43.1877, 43.1877)* CHOOSE(CONTROL!$C$21, $C$9, 100%, $E$9)</f>
        <v>43.1877</v>
      </c>
      <c r="J651" s="14">
        <f>CHOOSE(CONTROL!$C$42, 43.0462, 43.0462)* CHOOSE(CONTROL!$C$21, $C$9, 100%, $E$9)</f>
        <v>43.046199999999999</v>
      </c>
      <c r="K651" s="52">
        <f>CHOOSE(CONTROL!$C$42, 43.1838, 43.1838) * CHOOSE(CONTROL!$C$21, $C$9, 100%, $E$9)</f>
        <v>43.183799999999998</v>
      </c>
      <c r="L651" s="14">
        <f>CHOOSE(CONTROL!$C$42, 43.7359, 43.7359) * CHOOSE(CONTROL!$C$21, $C$9, 100%, $E$9)</f>
        <v>43.735900000000001</v>
      </c>
      <c r="M651" s="14">
        <f>CHOOSE(CONTROL!$C$42, 42.2796, 42.2796) * CHOOSE(CONTROL!$C$21, $C$9, 100%, $E$9)</f>
        <v>42.279600000000002</v>
      </c>
      <c r="N651" s="14">
        <f>CHOOSE(CONTROL!$C$42, 42.2969, 42.2969) * CHOOSE(CONTROL!$C$21, $C$9, 100%, $E$9)</f>
        <v>42.296900000000001</v>
      </c>
      <c r="O651" s="14">
        <f>CHOOSE(CONTROL!$C$42, 42.3805, 42.3805) * CHOOSE(CONTROL!$C$21, $C$9, 100%, $E$9)</f>
        <v>42.380499999999998</v>
      </c>
      <c r="P651" s="14">
        <f>CHOOSE(CONTROL!$C$42, 42.4163, 42.4163) * CHOOSE(CONTROL!$C$21, $C$9, 100%, $E$9)</f>
        <v>42.4163</v>
      </c>
      <c r="Q651" s="14">
        <f>CHOOSE(CONTROL!$C$42, 42.9752, 42.9752) * CHOOSE(CONTROL!$C$21, $C$9, 100%, $E$9)</f>
        <v>42.975200000000001</v>
      </c>
      <c r="R651" s="14">
        <f>CHOOSE(CONTROL!$C$42, 43.6696, 43.6696) * CHOOSE(CONTROL!$C$21, $C$9, 100%, $E$9)</f>
        <v>43.669600000000003</v>
      </c>
      <c r="S651" s="14">
        <f>CHOOSE(CONTROL!$C$42, 41.3362, 41.3362) * CHOOSE(CONTROL!$C$21, $C$9, 100%, $E$9)</f>
        <v>41.336199999999998</v>
      </c>
      <c r="T6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51" s="56">
        <f>(1000*CHOOSE(CONTROL!$C$42, 695, 695)*CHOOSE(CONTROL!$C$42, 0.5599, 0.5599)*CHOOSE(CONTROL!$C$42, 31, 31))/1000000</f>
        <v>12.063045499999998</v>
      </c>
      <c r="V651" s="56">
        <f>(1000*CHOOSE(CONTROL!$C$42, 500, 500)*CHOOSE(CONTROL!$C$42, 0.275, 0.275)*CHOOSE(CONTROL!$C$42, 31, 31))/1000000</f>
        <v>4.2625000000000002</v>
      </c>
      <c r="W651" s="56">
        <f>(1000*CHOOSE(CONTROL!$C$42, 0.1146, 0.1146)*CHOOSE(CONTROL!$C$42, 121.5, 121.5)*CHOOSE(CONTROL!$C$42, 31, 31))/1000000</f>
        <v>0.43164089999999994</v>
      </c>
      <c r="X651" s="56">
        <f>(31*0.1790888*100000/1000000)+(31*0.2374*100000/1000000)</f>
        <v>1.2911152800000001</v>
      </c>
      <c r="Y651" s="56"/>
      <c r="Z651" s="14"/>
      <c r="AA651" s="55"/>
      <c r="AB651" s="49">
        <f>(B651*122.58+C651*297.941+D651*89.177+E651*40.302+F651*40+G651*160+H651*0+I651*100+J651*300)/(122.58+297.941+89.177+40.302+0+40+160+100+300)</f>
        <v>43.066616247565207</v>
      </c>
      <c r="AC651" s="45">
        <f>(M651*'RAP TEMPLATE-GAS AVAILABILITY'!O650+N651*'RAP TEMPLATE-GAS AVAILABILITY'!P650+O651*'RAP TEMPLATE-GAS AVAILABILITY'!Q650+P651*'RAP TEMPLATE-GAS AVAILABILITY'!R650)/('RAP TEMPLATE-GAS AVAILABILITY'!O650+'RAP TEMPLATE-GAS AVAILABILITY'!P650+'RAP TEMPLATE-GAS AVAILABILITY'!Q650+'RAP TEMPLATE-GAS AVAILABILITY'!R650)</f>
        <v>42.345996402877702</v>
      </c>
    </row>
    <row r="652" spans="1:29" ht="15.75" x14ac:dyDescent="0.25">
      <c r="A652" s="32">
        <v>60752</v>
      </c>
      <c r="B652" s="14">
        <f>CHOOSE(CONTROL!$C$42, 42.8993, 42.8993) * CHOOSE(CONTROL!$C$21, $C$9, 100%, $E$9)</f>
        <v>42.899299999999997</v>
      </c>
      <c r="C652" s="14">
        <f>CHOOSE(CONTROL!$C$42, 42.9038, 42.9038) * CHOOSE(CONTROL!$C$21, $C$9, 100%, $E$9)</f>
        <v>42.903799999999997</v>
      </c>
      <c r="D652" s="14">
        <f>CHOOSE(CONTROL!$C$42, 43.166, 43.166) * CHOOSE(CONTROL!$C$21, $C$9, 100%, $E$9)</f>
        <v>43.165999999999997</v>
      </c>
      <c r="E652" s="14">
        <f>CHOOSE(CONTROL!$C$42, 43.1981, 43.1981) * CHOOSE(CONTROL!$C$21, $C$9, 100%, $E$9)</f>
        <v>43.198099999999997</v>
      </c>
      <c r="F652" s="14">
        <f>CHOOSE(CONTROL!$C$42, 42.9221, 42.9221)*CHOOSE(CONTROL!$C$21, $C$9, 100%, $E$9)</f>
        <v>42.9221</v>
      </c>
      <c r="G652" s="14">
        <f>CHOOSE(CONTROL!$C$42, 42.9388, 42.9388)*CHOOSE(CONTROL!$C$21, $C$9, 100%, $E$9)</f>
        <v>42.938800000000001</v>
      </c>
      <c r="H652" s="14">
        <f>CHOOSE(CONTROL!$C$42, 43.1879, 43.1879) * CHOOSE(CONTROL!$C$21, $C$9, 100%, $E$9)</f>
        <v>43.187899999999999</v>
      </c>
      <c r="I652" s="14">
        <f>CHOOSE(CONTROL!$C$42, 43.0561, 43.0561)* CHOOSE(CONTROL!$C$21, $C$9, 100%, $E$9)</f>
        <v>43.056100000000001</v>
      </c>
      <c r="J652" s="14">
        <f>CHOOSE(CONTROL!$C$42, 42.9151, 42.9151)* CHOOSE(CONTROL!$C$21, $C$9, 100%, $E$9)</f>
        <v>42.915100000000002</v>
      </c>
      <c r="K652" s="52">
        <f>CHOOSE(CONTROL!$C$42, 43.0523, 43.0523) * CHOOSE(CONTROL!$C$21, $C$9, 100%, $E$9)</f>
        <v>43.052300000000002</v>
      </c>
      <c r="L652" s="14">
        <f>CHOOSE(CONTROL!$C$42, 43.7749, 43.7749) * CHOOSE(CONTROL!$C$21, $C$9, 100%, $E$9)</f>
        <v>43.774900000000002</v>
      </c>
      <c r="M652" s="14">
        <f>CHOOSE(CONTROL!$C$42, 42.1509, 42.1509) * CHOOSE(CONTROL!$C$21, $C$9, 100%, $E$9)</f>
        <v>42.1509</v>
      </c>
      <c r="N652" s="14">
        <f>CHOOSE(CONTROL!$C$42, 42.1673, 42.1673) * CHOOSE(CONTROL!$C$21, $C$9, 100%, $E$9)</f>
        <v>42.167299999999997</v>
      </c>
      <c r="O652" s="14">
        <f>CHOOSE(CONTROL!$C$42, 42.4188, 42.4188) * CHOOSE(CONTROL!$C$21, $C$9, 100%, $E$9)</f>
        <v>42.418799999999997</v>
      </c>
      <c r="P652" s="14">
        <f>CHOOSE(CONTROL!$C$42, 42.2871, 42.2871) * CHOOSE(CONTROL!$C$21, $C$9, 100%, $E$9)</f>
        <v>42.287100000000002</v>
      </c>
      <c r="Q652" s="14">
        <f>CHOOSE(CONTROL!$C$42, 43.0135, 43.0135) * CHOOSE(CONTROL!$C$21, $C$9, 100%, $E$9)</f>
        <v>43.013500000000001</v>
      </c>
      <c r="R652" s="14">
        <f>CHOOSE(CONTROL!$C$42, 43.708, 43.708) * CHOOSE(CONTROL!$C$21, $C$9, 100%, $E$9)</f>
        <v>43.707999999999998</v>
      </c>
      <c r="S652" s="14">
        <f>CHOOSE(CONTROL!$C$42, 41.2126, 41.2126) * CHOOSE(CONTROL!$C$21, $C$9, 100%, $E$9)</f>
        <v>41.212600000000002</v>
      </c>
      <c r="T6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52" s="56">
        <f>(1000*CHOOSE(CONTROL!$C$42, 695, 695)*CHOOSE(CONTROL!$C$42, 0.5599, 0.5599)*CHOOSE(CONTROL!$C$42, 30, 30))/1000000</f>
        <v>11.673914999999997</v>
      </c>
      <c r="V652" s="56">
        <f>(1000*CHOOSE(CONTROL!$C$42, 500, 500)*CHOOSE(CONTROL!$C$42, 0.275, 0.275)*CHOOSE(CONTROL!$C$42, 30, 30))/1000000</f>
        <v>4.125</v>
      </c>
      <c r="W652" s="56">
        <f>(1000*CHOOSE(CONTROL!$C$42, 0.1146, 0.1146)*CHOOSE(CONTROL!$C$42, 121.5, 121.5)*CHOOSE(CONTROL!$C$42, 30, 30))/1000000</f>
        <v>0.417717</v>
      </c>
      <c r="X652" s="56">
        <f>(30*0.1790888*245000/1000000)+(30*0.2374*100000/1000000)</f>
        <v>2.0285026799999999</v>
      </c>
      <c r="Y652" s="56"/>
      <c r="Z652" s="14"/>
      <c r="AA652" s="55"/>
      <c r="AB652" s="49">
        <f>(B652*141.293+C652*267.993+D652*115.016+E652*89.698+F652*40+G652*185+H652*0+I652*100+J652*300)/(141.293+267.993+115.016+89.698+0+40+185+100+300)</f>
        <v>42.969777803147693</v>
      </c>
      <c r="AC652" s="45">
        <f>(M652*'RAP TEMPLATE-GAS AVAILABILITY'!O651+N652*'RAP TEMPLATE-GAS AVAILABILITY'!P651+O652*'RAP TEMPLATE-GAS AVAILABILITY'!Q651+P652*'RAP TEMPLATE-GAS AVAILABILITY'!R651)/('RAP TEMPLATE-GAS AVAILABILITY'!O651+'RAP TEMPLATE-GAS AVAILABILITY'!P651+'RAP TEMPLATE-GAS AVAILABILITY'!Q651+'RAP TEMPLATE-GAS AVAILABILITY'!R651)</f>
        <v>42.292863309352512</v>
      </c>
    </row>
    <row r="653" spans="1:29" ht="15.75" x14ac:dyDescent="0.25">
      <c r="A653" s="32">
        <v>60783</v>
      </c>
      <c r="B653" s="14">
        <f>CHOOSE(CONTROL!$C$42, 43.2792, 43.2792) * CHOOSE(CONTROL!$C$21, $C$9, 100%, $E$9)</f>
        <v>43.279200000000003</v>
      </c>
      <c r="C653" s="14">
        <f>CHOOSE(CONTROL!$C$42, 43.2873, 43.2873) * CHOOSE(CONTROL!$C$21, $C$9, 100%, $E$9)</f>
        <v>43.287300000000002</v>
      </c>
      <c r="D653" s="14">
        <f>CHOOSE(CONTROL!$C$42, 43.5463, 43.5463) * CHOOSE(CONTROL!$C$21, $C$9, 100%, $E$9)</f>
        <v>43.546300000000002</v>
      </c>
      <c r="E653" s="14">
        <f>CHOOSE(CONTROL!$C$42, 43.5778, 43.5778) * CHOOSE(CONTROL!$C$21, $C$9, 100%, $E$9)</f>
        <v>43.577800000000003</v>
      </c>
      <c r="F653" s="14">
        <f>CHOOSE(CONTROL!$C$42, 43.3008, 43.3008)*CHOOSE(CONTROL!$C$21, $C$9, 100%, $E$9)</f>
        <v>43.300800000000002</v>
      </c>
      <c r="G653" s="14">
        <f>CHOOSE(CONTROL!$C$42, 43.3177, 43.3177)*CHOOSE(CONTROL!$C$21, $C$9, 100%, $E$9)</f>
        <v>43.317700000000002</v>
      </c>
      <c r="H653" s="14">
        <f>CHOOSE(CONTROL!$C$42, 43.5664, 43.5664) * CHOOSE(CONTROL!$C$21, $C$9, 100%, $E$9)</f>
        <v>43.566400000000002</v>
      </c>
      <c r="I653" s="14">
        <f>CHOOSE(CONTROL!$C$42, 43.4359, 43.4359)* CHOOSE(CONTROL!$C$21, $C$9, 100%, $E$9)</f>
        <v>43.435899999999997</v>
      </c>
      <c r="J653" s="14">
        <f>CHOOSE(CONTROL!$C$42, 43.2938, 43.2938)* CHOOSE(CONTROL!$C$21, $C$9, 100%, $E$9)</f>
        <v>43.293799999999997</v>
      </c>
      <c r="K653" s="52">
        <f>CHOOSE(CONTROL!$C$42, 43.432, 43.432) * CHOOSE(CONTROL!$C$21, $C$9, 100%, $E$9)</f>
        <v>43.432000000000002</v>
      </c>
      <c r="L653" s="14">
        <f>CHOOSE(CONTROL!$C$42, 44.1534, 44.1534) * CHOOSE(CONTROL!$C$21, $C$9, 100%, $E$9)</f>
        <v>44.153399999999998</v>
      </c>
      <c r="M653" s="14">
        <f>CHOOSE(CONTROL!$C$42, 42.5227, 42.5227) * CHOOSE(CONTROL!$C$21, $C$9, 100%, $E$9)</f>
        <v>42.5227</v>
      </c>
      <c r="N653" s="14">
        <f>CHOOSE(CONTROL!$C$42, 42.5394, 42.5394) * CHOOSE(CONTROL!$C$21, $C$9, 100%, $E$9)</f>
        <v>42.539400000000001</v>
      </c>
      <c r="O653" s="14">
        <f>CHOOSE(CONTROL!$C$42, 42.7905, 42.7905) * CHOOSE(CONTROL!$C$21, $C$9, 100%, $E$9)</f>
        <v>42.790500000000002</v>
      </c>
      <c r="P653" s="14">
        <f>CHOOSE(CONTROL!$C$42, 42.66, 42.66) * CHOOSE(CONTROL!$C$21, $C$9, 100%, $E$9)</f>
        <v>42.66</v>
      </c>
      <c r="Q653" s="14">
        <f>CHOOSE(CONTROL!$C$42, 43.3852, 43.3852) * CHOOSE(CONTROL!$C$21, $C$9, 100%, $E$9)</f>
        <v>43.385199999999998</v>
      </c>
      <c r="R653" s="14">
        <f>CHOOSE(CONTROL!$C$42, 44.0807, 44.0807) * CHOOSE(CONTROL!$C$21, $C$9, 100%, $E$9)</f>
        <v>44.0807</v>
      </c>
      <c r="S653" s="14">
        <f>CHOOSE(CONTROL!$C$42, 41.5764, 41.5764) * CHOOSE(CONTROL!$C$21, $C$9, 100%, $E$9)</f>
        <v>41.5764</v>
      </c>
      <c r="T65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53" s="56">
        <f>(1000*CHOOSE(CONTROL!$C$42, 695, 695)*CHOOSE(CONTROL!$C$42, 0.5599, 0.5599)*CHOOSE(CONTROL!$C$42, 31, 31))/1000000</f>
        <v>12.063045499999998</v>
      </c>
      <c r="V653" s="56">
        <f>(1000*CHOOSE(CONTROL!$C$42, 500, 500)*CHOOSE(CONTROL!$C$42, 0.275, 0.275)*CHOOSE(CONTROL!$C$42, 31, 31))/1000000</f>
        <v>4.2625000000000002</v>
      </c>
      <c r="W653" s="56">
        <f>(1000*CHOOSE(CONTROL!$C$42, 0.1146, 0.1146)*CHOOSE(CONTROL!$C$42, 121.5, 121.5)*CHOOSE(CONTROL!$C$42, 31, 31))/1000000</f>
        <v>0.43164089999999994</v>
      </c>
      <c r="X653" s="56">
        <f>(31*0.1790888*245000/1000000)+(31*0.2374*100000/1000000)</f>
        <v>2.0961194359999999</v>
      </c>
      <c r="Y653" s="56"/>
      <c r="Z653" s="14"/>
      <c r="AA653" s="55"/>
      <c r="AB653" s="49">
        <f>(B653*194.205+C653*267.466+D653*133.845+E653*53.484+F653*40+G653*185+H653*0+I653*100+J653*300)/(194.205+267.466+133.845+53.484+0+40+185+100+300)</f>
        <v>43.343504000392464</v>
      </c>
      <c r="AC653" s="45">
        <f>(M653*'RAP TEMPLATE-GAS AVAILABILITY'!O652+N653*'RAP TEMPLATE-GAS AVAILABILITY'!P652+O653*'RAP TEMPLATE-GAS AVAILABILITY'!Q652+P653*'RAP TEMPLATE-GAS AVAILABILITY'!R652)/('RAP TEMPLATE-GAS AVAILABILITY'!O652+'RAP TEMPLATE-GAS AVAILABILITY'!P652+'RAP TEMPLATE-GAS AVAILABILITY'!Q652+'RAP TEMPLATE-GAS AVAILABILITY'!R652)</f>
        <v>42.66479352517986</v>
      </c>
    </row>
    <row r="654" spans="1:29" ht="15.75" x14ac:dyDescent="0.25">
      <c r="A654" s="32">
        <v>60813</v>
      </c>
      <c r="B654" s="14">
        <f>CHOOSE(CONTROL!$C$42, 44.5066, 44.5066) * CHOOSE(CONTROL!$C$21, $C$9, 100%, $E$9)</f>
        <v>44.506599999999999</v>
      </c>
      <c r="C654" s="14">
        <f>CHOOSE(CONTROL!$C$42, 44.5146, 44.5146) * CHOOSE(CONTROL!$C$21, $C$9, 100%, $E$9)</f>
        <v>44.514600000000002</v>
      </c>
      <c r="D654" s="14">
        <f>CHOOSE(CONTROL!$C$42, 44.7737, 44.7737) * CHOOSE(CONTROL!$C$21, $C$9, 100%, $E$9)</f>
        <v>44.773699999999998</v>
      </c>
      <c r="E654" s="14">
        <f>CHOOSE(CONTROL!$C$42, 44.8051, 44.8051) * CHOOSE(CONTROL!$C$21, $C$9, 100%, $E$9)</f>
        <v>44.805100000000003</v>
      </c>
      <c r="F654" s="14">
        <f>CHOOSE(CONTROL!$C$42, 44.5283, 44.5283)*CHOOSE(CONTROL!$C$21, $C$9, 100%, $E$9)</f>
        <v>44.528300000000002</v>
      </c>
      <c r="G654" s="14">
        <f>CHOOSE(CONTROL!$C$42, 44.5454, 44.5454)*CHOOSE(CONTROL!$C$21, $C$9, 100%, $E$9)</f>
        <v>44.545400000000001</v>
      </c>
      <c r="H654" s="14">
        <f>CHOOSE(CONTROL!$C$42, 44.7938, 44.7938) * CHOOSE(CONTROL!$C$21, $C$9, 100%, $E$9)</f>
        <v>44.793799999999997</v>
      </c>
      <c r="I654" s="14">
        <f>CHOOSE(CONTROL!$C$42, 44.6671, 44.6671)* CHOOSE(CONTROL!$C$21, $C$9, 100%, $E$9)</f>
        <v>44.667099999999998</v>
      </c>
      <c r="J654" s="14">
        <f>CHOOSE(CONTROL!$C$42, 44.5213, 44.5213)* CHOOSE(CONTROL!$C$21, $C$9, 100%, $E$9)</f>
        <v>44.521299999999997</v>
      </c>
      <c r="K654" s="52">
        <f>CHOOSE(CONTROL!$C$42, 44.6632, 44.6632) * CHOOSE(CONTROL!$C$21, $C$9, 100%, $E$9)</f>
        <v>44.663200000000003</v>
      </c>
      <c r="L654" s="14">
        <f>CHOOSE(CONTROL!$C$42, 45.3808, 45.3808) * CHOOSE(CONTROL!$C$21, $C$9, 100%, $E$9)</f>
        <v>45.380800000000001</v>
      </c>
      <c r="M654" s="14">
        <f>CHOOSE(CONTROL!$C$42, 43.7282, 43.7282) * CHOOSE(CONTROL!$C$21, $C$9, 100%, $E$9)</f>
        <v>43.728200000000001</v>
      </c>
      <c r="N654" s="14">
        <f>CHOOSE(CONTROL!$C$42, 43.745, 43.745) * CHOOSE(CONTROL!$C$21, $C$9, 100%, $E$9)</f>
        <v>43.744999999999997</v>
      </c>
      <c r="O654" s="14">
        <f>CHOOSE(CONTROL!$C$42, 43.9958, 43.9958) * CHOOSE(CONTROL!$C$21, $C$9, 100%, $E$9)</f>
        <v>43.995800000000003</v>
      </c>
      <c r="P654" s="14">
        <f>CHOOSE(CONTROL!$C$42, 43.8689, 43.8689) * CHOOSE(CONTROL!$C$21, $C$9, 100%, $E$9)</f>
        <v>43.868899999999996</v>
      </c>
      <c r="Q654" s="14">
        <f>CHOOSE(CONTROL!$C$42, 44.5905, 44.5905) * CHOOSE(CONTROL!$C$21, $C$9, 100%, $E$9)</f>
        <v>44.590499999999999</v>
      </c>
      <c r="R654" s="14">
        <f>CHOOSE(CONTROL!$C$42, 45.289, 45.289) * CHOOSE(CONTROL!$C$21, $C$9, 100%, $E$9)</f>
        <v>45.289000000000001</v>
      </c>
      <c r="S654" s="14">
        <f>CHOOSE(CONTROL!$C$42, 42.7557, 42.7557) * CHOOSE(CONTROL!$C$21, $C$9, 100%, $E$9)</f>
        <v>42.755699999999997</v>
      </c>
      <c r="T65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54" s="56">
        <f>(1000*CHOOSE(CONTROL!$C$42, 695, 695)*CHOOSE(CONTROL!$C$42, 0.5599, 0.5599)*CHOOSE(CONTROL!$C$42, 30, 30))/1000000</f>
        <v>11.673914999999997</v>
      </c>
      <c r="V654" s="56">
        <f>(1000*CHOOSE(CONTROL!$C$42, 500, 500)*CHOOSE(CONTROL!$C$42, 0.275, 0.275)*CHOOSE(CONTROL!$C$42, 30, 30))/1000000</f>
        <v>4.125</v>
      </c>
      <c r="W654" s="56">
        <f>(1000*CHOOSE(CONTROL!$C$42, 0.1146, 0.1146)*CHOOSE(CONTROL!$C$42, 121.5, 121.5)*CHOOSE(CONTROL!$C$42, 30, 30))/1000000</f>
        <v>0.417717</v>
      </c>
      <c r="X654" s="56">
        <f>(30*0.1790888*245000/1000000)+(30*0.2374*100000/1000000)</f>
        <v>2.0285026799999999</v>
      </c>
      <c r="Y654" s="56"/>
      <c r="Z654" s="14"/>
      <c r="AA654" s="55"/>
      <c r="AB654" s="49">
        <f>(B654*194.205+C654*267.466+D654*133.845+E654*53.484+F654*40+G654*185+H654*0+I654*100+J654*300)/(194.205+267.466+133.845+53.484+0+40+185+100+300)</f>
        <v>44.571247332417578</v>
      </c>
      <c r="AC654" s="45">
        <f>(M654*'RAP TEMPLATE-GAS AVAILABILITY'!O653+N654*'RAP TEMPLATE-GAS AVAILABILITY'!P653+O654*'RAP TEMPLATE-GAS AVAILABILITY'!Q653+P654*'RAP TEMPLATE-GAS AVAILABILITY'!R653)/('RAP TEMPLATE-GAS AVAILABILITY'!O653+'RAP TEMPLATE-GAS AVAILABILITY'!P653+'RAP TEMPLATE-GAS AVAILABILITY'!Q653+'RAP TEMPLATE-GAS AVAILABILITY'!R653)</f>
        <v>43.870697841726624</v>
      </c>
    </row>
    <row r="655" spans="1:29" ht="15.75" x14ac:dyDescent="0.25">
      <c r="A655" s="32">
        <v>60844</v>
      </c>
      <c r="B655" s="14">
        <f>CHOOSE(CONTROL!$C$42, 43.6529, 43.6529) * CHOOSE(CONTROL!$C$21, $C$9, 100%, $E$9)</f>
        <v>43.652900000000002</v>
      </c>
      <c r="C655" s="14">
        <f>CHOOSE(CONTROL!$C$42, 43.661, 43.661) * CHOOSE(CONTROL!$C$21, $C$9, 100%, $E$9)</f>
        <v>43.661000000000001</v>
      </c>
      <c r="D655" s="14">
        <f>CHOOSE(CONTROL!$C$42, 43.9201, 43.9201) * CHOOSE(CONTROL!$C$21, $C$9, 100%, $E$9)</f>
        <v>43.920099999999998</v>
      </c>
      <c r="E655" s="14">
        <f>CHOOSE(CONTROL!$C$42, 43.9515, 43.9515) * CHOOSE(CONTROL!$C$21, $C$9, 100%, $E$9)</f>
        <v>43.951500000000003</v>
      </c>
      <c r="F655" s="14">
        <f>CHOOSE(CONTROL!$C$42, 43.6752, 43.6752)*CHOOSE(CONTROL!$C$21, $C$9, 100%, $E$9)</f>
        <v>43.675199999999997</v>
      </c>
      <c r="G655" s="14">
        <f>CHOOSE(CONTROL!$C$42, 43.6923, 43.6923)*CHOOSE(CONTROL!$C$21, $C$9, 100%, $E$9)</f>
        <v>43.692300000000003</v>
      </c>
      <c r="H655" s="14">
        <f>CHOOSE(CONTROL!$C$42, 43.9402, 43.9402) * CHOOSE(CONTROL!$C$21, $C$9, 100%, $E$9)</f>
        <v>43.940199999999997</v>
      </c>
      <c r="I655" s="14">
        <f>CHOOSE(CONTROL!$C$42, 43.8108, 43.8108)* CHOOSE(CONTROL!$C$21, $C$9, 100%, $E$9)</f>
        <v>43.8108</v>
      </c>
      <c r="J655" s="14">
        <f>CHOOSE(CONTROL!$C$42, 43.6682, 43.6682)* CHOOSE(CONTROL!$C$21, $C$9, 100%, $E$9)</f>
        <v>43.668199999999999</v>
      </c>
      <c r="K655" s="52">
        <f>CHOOSE(CONTROL!$C$42, 43.8069, 43.8069) * CHOOSE(CONTROL!$C$21, $C$9, 100%, $E$9)</f>
        <v>43.806899999999999</v>
      </c>
      <c r="L655" s="14">
        <f>CHOOSE(CONTROL!$C$42, 44.5272, 44.5272) * CHOOSE(CONTROL!$C$21, $C$9, 100%, $E$9)</f>
        <v>44.527200000000001</v>
      </c>
      <c r="M655" s="14">
        <f>CHOOSE(CONTROL!$C$42, 42.8904, 42.8904) * CHOOSE(CONTROL!$C$21, $C$9, 100%, $E$9)</f>
        <v>42.8904</v>
      </c>
      <c r="N655" s="14">
        <f>CHOOSE(CONTROL!$C$42, 42.9072, 42.9072) * CHOOSE(CONTROL!$C$21, $C$9, 100%, $E$9)</f>
        <v>42.907200000000003</v>
      </c>
      <c r="O655" s="14">
        <f>CHOOSE(CONTROL!$C$42, 43.1575, 43.1575) * CHOOSE(CONTROL!$C$21, $C$9, 100%, $E$9)</f>
        <v>43.157499999999999</v>
      </c>
      <c r="P655" s="14">
        <f>CHOOSE(CONTROL!$C$42, 43.0281, 43.0281) * CHOOSE(CONTROL!$C$21, $C$9, 100%, $E$9)</f>
        <v>43.028100000000002</v>
      </c>
      <c r="Q655" s="14">
        <f>CHOOSE(CONTROL!$C$42, 43.7522, 43.7522) * CHOOSE(CONTROL!$C$21, $C$9, 100%, $E$9)</f>
        <v>43.752200000000002</v>
      </c>
      <c r="R655" s="14">
        <f>CHOOSE(CONTROL!$C$42, 44.4486, 44.4486) * CHOOSE(CONTROL!$C$21, $C$9, 100%, $E$9)</f>
        <v>44.448599999999999</v>
      </c>
      <c r="S655" s="14">
        <f>CHOOSE(CONTROL!$C$42, 41.9355, 41.9355) * CHOOSE(CONTROL!$C$21, $C$9, 100%, $E$9)</f>
        <v>41.935499999999998</v>
      </c>
      <c r="T65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55" s="56">
        <f>(1000*CHOOSE(CONTROL!$C$42, 695, 695)*CHOOSE(CONTROL!$C$42, 0.5599, 0.5599)*CHOOSE(CONTROL!$C$42, 31, 31))/1000000</f>
        <v>12.063045499999998</v>
      </c>
      <c r="V655" s="56">
        <f>(1000*CHOOSE(CONTROL!$C$42, 500, 500)*CHOOSE(CONTROL!$C$42, 0.275, 0.275)*CHOOSE(CONTROL!$C$42, 31, 31))/1000000</f>
        <v>4.2625000000000002</v>
      </c>
      <c r="W655" s="56">
        <f>(1000*CHOOSE(CONTROL!$C$42, 0.1146, 0.1146)*CHOOSE(CONTROL!$C$42, 121.5, 121.5)*CHOOSE(CONTROL!$C$42, 31, 31))/1000000</f>
        <v>0.43164089999999994</v>
      </c>
      <c r="X655" s="56">
        <f>(31*0.1790888*245000/1000000)+(31*0.2374*100000/1000000)</f>
        <v>2.0961194359999999</v>
      </c>
      <c r="Y655" s="56"/>
      <c r="Z655" s="14"/>
      <c r="AA655" s="55"/>
      <c r="AB655" s="49">
        <f>(B655*194.205+C655*267.466+D655*133.845+E655*53.484+F655*40+G655*185+H655*0+I655*100+J655*300)/(194.205+267.466+133.845+53.484+0+40+185+100+300)</f>
        <v>43.717626201726844</v>
      </c>
      <c r="AC655" s="45">
        <f>(M655*'RAP TEMPLATE-GAS AVAILABILITY'!O654+N655*'RAP TEMPLATE-GAS AVAILABILITY'!P654+O655*'RAP TEMPLATE-GAS AVAILABILITY'!Q654+P655*'RAP TEMPLATE-GAS AVAILABILITY'!R654)/('RAP TEMPLATE-GAS AVAILABILITY'!O654+'RAP TEMPLATE-GAS AVAILABILITY'!P654+'RAP TEMPLATE-GAS AVAILABILITY'!Q654+'RAP TEMPLATE-GAS AVAILABILITY'!R654)</f>
        <v>43.032239568345325</v>
      </c>
    </row>
    <row r="656" spans="1:29" ht="15.75" x14ac:dyDescent="0.25">
      <c r="A656" s="32">
        <v>60875</v>
      </c>
      <c r="B656" s="14">
        <f>CHOOSE(CONTROL!$C$42, 41.4973, 41.4973) * CHOOSE(CONTROL!$C$21, $C$9, 100%, $E$9)</f>
        <v>41.497300000000003</v>
      </c>
      <c r="C656" s="14">
        <f>CHOOSE(CONTROL!$C$42, 41.5053, 41.5053) * CHOOSE(CONTROL!$C$21, $C$9, 100%, $E$9)</f>
        <v>41.505299999999998</v>
      </c>
      <c r="D656" s="14">
        <f>CHOOSE(CONTROL!$C$42, 41.7644, 41.7644) * CHOOSE(CONTROL!$C$21, $C$9, 100%, $E$9)</f>
        <v>41.764400000000002</v>
      </c>
      <c r="E656" s="14">
        <f>CHOOSE(CONTROL!$C$42, 41.7959, 41.7959) * CHOOSE(CONTROL!$C$21, $C$9, 100%, $E$9)</f>
        <v>41.795900000000003</v>
      </c>
      <c r="F656" s="14">
        <f>CHOOSE(CONTROL!$C$42, 41.5197, 41.5197)*CHOOSE(CONTROL!$C$21, $C$9, 100%, $E$9)</f>
        <v>41.5197</v>
      </c>
      <c r="G656" s="14">
        <f>CHOOSE(CONTROL!$C$42, 41.5369, 41.5369)*CHOOSE(CONTROL!$C$21, $C$9, 100%, $E$9)</f>
        <v>41.536900000000003</v>
      </c>
      <c r="H656" s="14">
        <f>CHOOSE(CONTROL!$C$42, 41.7845, 41.7845) * CHOOSE(CONTROL!$C$21, $C$9, 100%, $E$9)</f>
        <v>41.784500000000001</v>
      </c>
      <c r="I656" s="14">
        <f>CHOOSE(CONTROL!$C$42, 41.6483, 41.6483)* CHOOSE(CONTROL!$C$21, $C$9, 100%, $E$9)</f>
        <v>41.648299999999999</v>
      </c>
      <c r="J656" s="14">
        <f>CHOOSE(CONTROL!$C$42, 41.5127, 41.5127)* CHOOSE(CONTROL!$C$21, $C$9, 100%, $E$9)</f>
        <v>41.512700000000002</v>
      </c>
      <c r="K656" s="52">
        <f>CHOOSE(CONTROL!$C$42, 41.6445, 41.6445) * CHOOSE(CONTROL!$C$21, $C$9, 100%, $E$9)</f>
        <v>41.644500000000001</v>
      </c>
      <c r="L656" s="14">
        <f>CHOOSE(CONTROL!$C$42, 42.3715, 42.3715) * CHOOSE(CONTROL!$C$21, $C$9, 100%, $E$9)</f>
        <v>42.371499999999997</v>
      </c>
      <c r="M656" s="14">
        <f>CHOOSE(CONTROL!$C$42, 40.7737, 40.7737) * CHOOSE(CONTROL!$C$21, $C$9, 100%, $E$9)</f>
        <v>40.773699999999998</v>
      </c>
      <c r="N656" s="14">
        <f>CHOOSE(CONTROL!$C$42, 40.7906, 40.7906) * CHOOSE(CONTROL!$C$21, $C$9, 100%, $E$9)</f>
        <v>40.790599999999998</v>
      </c>
      <c r="O656" s="14">
        <f>CHOOSE(CONTROL!$C$42, 41.0406, 41.0406) * CHOOSE(CONTROL!$C$21, $C$9, 100%, $E$9)</f>
        <v>41.040599999999998</v>
      </c>
      <c r="P656" s="14">
        <f>CHOOSE(CONTROL!$C$42, 40.9047, 40.9047) * CHOOSE(CONTROL!$C$21, $C$9, 100%, $E$9)</f>
        <v>40.904699999999998</v>
      </c>
      <c r="Q656" s="14">
        <f>CHOOSE(CONTROL!$C$42, 41.6353, 41.6353) * CHOOSE(CONTROL!$C$21, $C$9, 100%, $E$9)</f>
        <v>41.635300000000001</v>
      </c>
      <c r="R656" s="14">
        <f>CHOOSE(CONTROL!$C$42, 42.3264, 42.3264) * CHOOSE(CONTROL!$C$21, $C$9, 100%, $E$9)</f>
        <v>42.3264</v>
      </c>
      <c r="S656" s="14">
        <f>CHOOSE(CONTROL!$C$42, 39.8641, 39.8641) * CHOOSE(CONTROL!$C$21, $C$9, 100%, $E$9)</f>
        <v>39.864100000000001</v>
      </c>
      <c r="T65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56" s="56">
        <f>(1000*CHOOSE(CONTROL!$C$42, 695, 695)*CHOOSE(CONTROL!$C$42, 0.5599, 0.5599)*CHOOSE(CONTROL!$C$42, 31, 31))/1000000</f>
        <v>12.063045499999998</v>
      </c>
      <c r="V656" s="56">
        <f>(1000*CHOOSE(CONTROL!$C$42, 500, 500)*CHOOSE(CONTROL!$C$42, 0.275, 0.275)*CHOOSE(CONTROL!$C$42, 31, 31))/1000000</f>
        <v>4.2625000000000002</v>
      </c>
      <c r="W656" s="56">
        <f>(1000*CHOOSE(CONTROL!$C$42, 0.1146, 0.1146)*CHOOSE(CONTROL!$C$42, 121.5, 121.5)*CHOOSE(CONTROL!$C$42, 31, 31))/1000000</f>
        <v>0.43164089999999994</v>
      </c>
      <c r="X656" s="56">
        <f>(31*0.1790888*245000/1000000)+(31*0.2374*100000/1000000)</f>
        <v>2.0961194359999999</v>
      </c>
      <c r="Y656" s="56"/>
      <c r="Z656" s="14"/>
      <c r="AA656" s="55"/>
      <c r="AB656" s="49">
        <f>(B656*194.205+C656*267.466+D656*133.845+E656*53.484+F656*40+G656*185+H656*0+I656*100+J656*300)/(194.205+267.466+133.845+53.484+0+40+185+100+300)</f>
        <v>41.561508830376766</v>
      </c>
      <c r="AC656" s="45">
        <f>(M656*'RAP TEMPLATE-GAS AVAILABILITY'!O655+N656*'RAP TEMPLATE-GAS AVAILABILITY'!P655+O656*'RAP TEMPLATE-GAS AVAILABILITY'!Q655+P656*'RAP TEMPLATE-GAS AVAILABILITY'!R655)/('RAP TEMPLATE-GAS AVAILABILITY'!O655+'RAP TEMPLATE-GAS AVAILABILITY'!P655+'RAP TEMPLATE-GAS AVAILABILITY'!Q655+'RAP TEMPLATE-GAS AVAILABILITY'!R655)</f>
        <v>40.914490647482012</v>
      </c>
    </row>
    <row r="657" spans="1:29" ht="15.75" x14ac:dyDescent="0.25">
      <c r="A657" s="32">
        <v>60905</v>
      </c>
      <c r="B657" s="14">
        <f>CHOOSE(CONTROL!$C$42, 38.8632, 38.8632) * CHOOSE(CONTROL!$C$21, $C$9, 100%, $E$9)</f>
        <v>38.863199999999999</v>
      </c>
      <c r="C657" s="14">
        <f>CHOOSE(CONTROL!$C$42, 38.8713, 38.8713) * CHOOSE(CONTROL!$C$21, $C$9, 100%, $E$9)</f>
        <v>38.871299999999998</v>
      </c>
      <c r="D657" s="14">
        <f>CHOOSE(CONTROL!$C$42, 39.1304, 39.1304) * CHOOSE(CONTROL!$C$21, $C$9, 100%, $E$9)</f>
        <v>39.130400000000002</v>
      </c>
      <c r="E657" s="14">
        <f>CHOOSE(CONTROL!$C$42, 39.1618, 39.1618) * CHOOSE(CONTROL!$C$21, $C$9, 100%, $E$9)</f>
        <v>39.161799999999999</v>
      </c>
      <c r="F657" s="14">
        <f>CHOOSE(CONTROL!$C$42, 38.8857, 38.8857)*CHOOSE(CONTROL!$C$21, $C$9, 100%, $E$9)</f>
        <v>38.8857</v>
      </c>
      <c r="G657" s="14">
        <f>CHOOSE(CONTROL!$C$42, 38.9029, 38.9029)*CHOOSE(CONTROL!$C$21, $C$9, 100%, $E$9)</f>
        <v>38.902900000000002</v>
      </c>
      <c r="H657" s="14">
        <f>CHOOSE(CONTROL!$C$42, 39.1505, 39.1505) * CHOOSE(CONTROL!$C$21, $C$9, 100%, $E$9)</f>
        <v>39.150500000000001</v>
      </c>
      <c r="I657" s="14">
        <f>CHOOSE(CONTROL!$C$42, 39.0061, 39.0061)* CHOOSE(CONTROL!$C$21, $C$9, 100%, $E$9)</f>
        <v>39.006100000000004</v>
      </c>
      <c r="J657" s="14">
        <f>CHOOSE(CONTROL!$C$42, 38.8787, 38.8787)* CHOOSE(CONTROL!$C$21, $C$9, 100%, $E$9)</f>
        <v>38.878700000000002</v>
      </c>
      <c r="K657" s="52">
        <f>CHOOSE(CONTROL!$C$42, 39.0022, 39.0022) * CHOOSE(CONTROL!$C$21, $C$9, 100%, $E$9)</f>
        <v>39.002200000000002</v>
      </c>
      <c r="L657" s="14">
        <f>CHOOSE(CONTROL!$C$42, 39.7375, 39.7375) * CHOOSE(CONTROL!$C$21, $C$9, 100%, $E$9)</f>
        <v>39.737499999999997</v>
      </c>
      <c r="M657" s="14">
        <f>CHOOSE(CONTROL!$C$42, 38.1871, 38.1871) * CHOOSE(CONTROL!$C$21, $C$9, 100%, $E$9)</f>
        <v>38.187100000000001</v>
      </c>
      <c r="N657" s="14">
        <f>CHOOSE(CONTROL!$C$42, 38.204, 38.204) * CHOOSE(CONTROL!$C$21, $C$9, 100%, $E$9)</f>
        <v>38.204000000000001</v>
      </c>
      <c r="O657" s="14">
        <f>CHOOSE(CONTROL!$C$42, 38.454, 38.454) * CHOOSE(CONTROL!$C$21, $C$9, 100%, $E$9)</f>
        <v>38.454000000000001</v>
      </c>
      <c r="P657" s="14">
        <f>CHOOSE(CONTROL!$C$42, 38.3101, 38.3101) * CHOOSE(CONTROL!$C$21, $C$9, 100%, $E$9)</f>
        <v>38.310099999999998</v>
      </c>
      <c r="Q657" s="14">
        <f>CHOOSE(CONTROL!$C$42, 39.0487, 39.0487) * CHOOSE(CONTROL!$C$21, $C$9, 100%, $E$9)</f>
        <v>39.048699999999997</v>
      </c>
      <c r="R657" s="14">
        <f>CHOOSE(CONTROL!$C$42, 39.7333, 39.7333) * CHOOSE(CONTROL!$C$21, $C$9, 100%, $E$9)</f>
        <v>39.7333</v>
      </c>
      <c r="S657" s="14">
        <f>CHOOSE(CONTROL!$C$42, 37.3331, 37.3331) * CHOOSE(CONTROL!$C$21, $C$9, 100%, $E$9)</f>
        <v>37.333100000000002</v>
      </c>
      <c r="T65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57" s="56">
        <f>(1000*CHOOSE(CONTROL!$C$42, 695, 695)*CHOOSE(CONTROL!$C$42, 0.5599, 0.5599)*CHOOSE(CONTROL!$C$42, 30, 30))/1000000</f>
        <v>11.673914999999997</v>
      </c>
      <c r="V657" s="56">
        <f>(1000*CHOOSE(CONTROL!$C$42, 500, 500)*CHOOSE(CONTROL!$C$42, 0.275, 0.275)*CHOOSE(CONTROL!$C$42, 30, 30))/1000000</f>
        <v>4.125</v>
      </c>
      <c r="W657" s="56">
        <f>(1000*CHOOSE(CONTROL!$C$42, 0.1146, 0.1146)*CHOOSE(CONTROL!$C$42, 121.5, 121.5)*CHOOSE(CONTROL!$C$42, 30, 30))/1000000</f>
        <v>0.417717</v>
      </c>
      <c r="X657" s="56">
        <f>(30*0.1790888*245000/1000000)+(30*0.2374*100000/1000000)</f>
        <v>2.0285026799999999</v>
      </c>
      <c r="Y657" s="56"/>
      <c r="Z657" s="14"/>
      <c r="AA657" s="55"/>
      <c r="AB657" s="49">
        <f>(B657*194.205+C657*267.466+D657*133.845+E657*53.484+F657*40+G657*185+H657*0+I657*100+J657*300)/(194.205+267.466+133.845+53.484+0+40+185+100+300)</f>
        <v>38.926845746467819</v>
      </c>
      <c r="AC657" s="45">
        <f>(M657*'RAP TEMPLATE-GAS AVAILABILITY'!O656+N657*'RAP TEMPLATE-GAS AVAILABILITY'!P656+O657*'RAP TEMPLATE-GAS AVAILABILITY'!Q656+P657*'RAP TEMPLATE-GAS AVAILABILITY'!R656)/('RAP TEMPLATE-GAS AVAILABILITY'!O656+'RAP TEMPLATE-GAS AVAILABILITY'!P656+'RAP TEMPLATE-GAS AVAILABILITY'!Q656+'RAP TEMPLATE-GAS AVAILABILITY'!R656)</f>
        <v>38.326739568345324</v>
      </c>
    </row>
    <row r="658" spans="1:29" ht="15.75" x14ac:dyDescent="0.25">
      <c r="A658" s="32">
        <v>60936</v>
      </c>
      <c r="B658" s="14">
        <f>CHOOSE(CONTROL!$C$42, 38.0726, 38.0726) * CHOOSE(CONTROL!$C$21, $C$9, 100%, $E$9)</f>
        <v>38.072600000000001</v>
      </c>
      <c r="C658" s="14">
        <f>CHOOSE(CONTROL!$C$42, 38.078, 38.078) * CHOOSE(CONTROL!$C$21, $C$9, 100%, $E$9)</f>
        <v>38.078000000000003</v>
      </c>
      <c r="D658" s="14">
        <f>CHOOSE(CONTROL!$C$42, 38.342, 38.342) * CHOOSE(CONTROL!$C$21, $C$9, 100%, $E$9)</f>
        <v>38.341999999999999</v>
      </c>
      <c r="E658" s="14">
        <f>CHOOSE(CONTROL!$C$42, 38.3711, 38.3711) * CHOOSE(CONTROL!$C$21, $C$9, 100%, $E$9)</f>
        <v>38.371099999999998</v>
      </c>
      <c r="F658" s="14">
        <f>CHOOSE(CONTROL!$C$42, 38.0973, 38.0973)*CHOOSE(CONTROL!$C$21, $C$9, 100%, $E$9)</f>
        <v>38.097299999999997</v>
      </c>
      <c r="G658" s="14">
        <f>CHOOSE(CONTROL!$C$42, 38.1144, 38.1144)*CHOOSE(CONTROL!$C$21, $C$9, 100%, $E$9)</f>
        <v>38.114400000000003</v>
      </c>
      <c r="H658" s="14">
        <f>CHOOSE(CONTROL!$C$42, 38.3616, 38.3616) * CHOOSE(CONTROL!$C$21, $C$9, 100%, $E$9)</f>
        <v>38.361600000000003</v>
      </c>
      <c r="I658" s="14">
        <f>CHOOSE(CONTROL!$C$42, 38.2147, 38.2147)* CHOOSE(CONTROL!$C$21, $C$9, 100%, $E$9)</f>
        <v>38.214700000000001</v>
      </c>
      <c r="J658" s="14">
        <f>CHOOSE(CONTROL!$C$42, 38.0903, 38.0903)* CHOOSE(CONTROL!$C$21, $C$9, 100%, $E$9)</f>
        <v>38.090299999999999</v>
      </c>
      <c r="K658" s="52">
        <f>CHOOSE(CONTROL!$C$42, 38.2109, 38.2109) * CHOOSE(CONTROL!$C$21, $C$9, 100%, $E$9)</f>
        <v>38.210900000000002</v>
      </c>
      <c r="L658" s="14">
        <f>CHOOSE(CONTROL!$C$42, 38.9486, 38.9486) * CHOOSE(CONTROL!$C$21, $C$9, 100%, $E$9)</f>
        <v>38.948599999999999</v>
      </c>
      <c r="M658" s="14">
        <f>CHOOSE(CONTROL!$C$42, 37.4129, 37.4129) * CHOOSE(CONTROL!$C$21, $C$9, 100%, $E$9)</f>
        <v>37.4129</v>
      </c>
      <c r="N658" s="14">
        <f>CHOOSE(CONTROL!$C$42, 37.4296, 37.4296) * CHOOSE(CONTROL!$C$21, $C$9, 100%, $E$9)</f>
        <v>37.429600000000001</v>
      </c>
      <c r="O658" s="14">
        <f>CHOOSE(CONTROL!$C$42, 37.6793, 37.6793) * CHOOSE(CONTROL!$C$21, $C$9, 100%, $E$9)</f>
        <v>37.679299999999998</v>
      </c>
      <c r="P658" s="14">
        <f>CHOOSE(CONTROL!$C$42, 37.533, 37.533) * CHOOSE(CONTROL!$C$21, $C$9, 100%, $E$9)</f>
        <v>37.533000000000001</v>
      </c>
      <c r="Q658" s="14">
        <f>CHOOSE(CONTROL!$C$42, 38.274, 38.274) * CHOOSE(CONTROL!$C$21, $C$9, 100%, $E$9)</f>
        <v>38.274000000000001</v>
      </c>
      <c r="R658" s="14">
        <f>CHOOSE(CONTROL!$C$42, 38.9567, 38.9567) * CHOOSE(CONTROL!$C$21, $C$9, 100%, $E$9)</f>
        <v>38.956699999999998</v>
      </c>
      <c r="S658" s="14">
        <f>CHOOSE(CONTROL!$C$42, 36.5751, 36.5751) * CHOOSE(CONTROL!$C$21, $C$9, 100%, $E$9)</f>
        <v>36.575099999999999</v>
      </c>
      <c r="T6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658" s="56">
        <f>(1000*CHOOSE(CONTROL!$C$42, 695, 695)*CHOOSE(CONTROL!$C$42, 0.5599, 0.5599)*CHOOSE(CONTROL!$C$42, 31, 31))/1000000</f>
        <v>12.063045499999998</v>
      </c>
      <c r="V658" s="56">
        <f>(1000*CHOOSE(CONTROL!$C$42, 500, 500)*CHOOSE(CONTROL!$C$42, 0.275, 0.275)*CHOOSE(CONTROL!$C$42, 31, 31))/1000000</f>
        <v>4.2625000000000002</v>
      </c>
      <c r="W658" s="56">
        <f>(1000*CHOOSE(CONTROL!$C$42, 0.1146, 0.1146)*CHOOSE(CONTROL!$C$42, 121.5, 121.5)*CHOOSE(CONTROL!$C$42, 31, 31))/1000000</f>
        <v>0.43164089999999994</v>
      </c>
      <c r="X658" s="56">
        <f>(31*0.1790888*245000/1000000)+(31*0.2374*100000/1000000)</f>
        <v>2.0961194359999999</v>
      </c>
      <c r="Y658" s="56"/>
      <c r="Z658" s="14"/>
      <c r="AA658" s="55"/>
      <c r="AB658" s="49">
        <f>(B658*131.881+C658*277.167+D658*79.08+E658*125.872+F658*40+G658*185+H658*0+I658*100+J658*300)/(131.881+277.167+79.08+125.872+0+40+185+100+300)</f>
        <v>38.144121102340598</v>
      </c>
      <c r="AC658" s="45">
        <f>(M658*'RAP TEMPLATE-GAS AVAILABILITY'!O657+N658*'RAP TEMPLATE-GAS AVAILABILITY'!P657+O658*'RAP TEMPLATE-GAS AVAILABILITY'!Q657+P658*'RAP TEMPLATE-GAS AVAILABILITY'!R657)/('RAP TEMPLATE-GAS AVAILABILITY'!O657+'RAP TEMPLATE-GAS AVAILABILITY'!P657+'RAP TEMPLATE-GAS AVAILABILITY'!Q657+'RAP TEMPLATE-GAS AVAILABILITY'!R657)</f>
        <v>37.551884172661872</v>
      </c>
    </row>
    <row r="659" spans="1:29" ht="15.75" x14ac:dyDescent="0.25">
      <c r="A659" s="32">
        <v>60966</v>
      </c>
      <c r="B659" s="14">
        <f>CHOOSE(CONTROL!$C$42, 39.075, 39.075) * CHOOSE(CONTROL!$C$21, $C$9, 100%, $E$9)</f>
        <v>39.075000000000003</v>
      </c>
      <c r="C659" s="14">
        <f>CHOOSE(CONTROL!$C$42, 39.08, 39.08) * CHOOSE(CONTROL!$C$21, $C$9, 100%, $E$9)</f>
        <v>39.08</v>
      </c>
      <c r="D659" s="14">
        <f>CHOOSE(CONTROL!$C$42, 39.1631, 39.1631) * CHOOSE(CONTROL!$C$21, $C$9, 100%, $E$9)</f>
        <v>39.1631</v>
      </c>
      <c r="E659" s="14">
        <f>CHOOSE(CONTROL!$C$42, 39.1972, 39.1972) * CHOOSE(CONTROL!$C$21, $C$9, 100%, $E$9)</f>
        <v>39.197200000000002</v>
      </c>
      <c r="F659" s="14">
        <f>CHOOSE(CONTROL!$C$42, 39.1026, 39.1026)*CHOOSE(CONTROL!$C$21, $C$9, 100%, $E$9)</f>
        <v>39.102600000000002</v>
      </c>
      <c r="G659" s="14">
        <f>CHOOSE(CONTROL!$C$42, 39.12, 39.12)*CHOOSE(CONTROL!$C$21, $C$9, 100%, $E$9)</f>
        <v>39.119999999999997</v>
      </c>
      <c r="H659" s="14">
        <f>CHOOSE(CONTROL!$C$42, 39.1864, 39.1864) * CHOOSE(CONTROL!$C$21, $C$9, 100%, $E$9)</f>
        <v>39.186399999999999</v>
      </c>
      <c r="I659" s="14">
        <f>CHOOSE(CONTROL!$C$42, 39.217, 39.217)* CHOOSE(CONTROL!$C$21, $C$9, 100%, $E$9)</f>
        <v>39.216999999999999</v>
      </c>
      <c r="J659" s="14">
        <f>CHOOSE(CONTROL!$C$42, 39.0956, 39.0956)* CHOOSE(CONTROL!$C$21, $C$9, 100%, $E$9)</f>
        <v>39.095599999999997</v>
      </c>
      <c r="K659" s="52">
        <f>CHOOSE(CONTROL!$C$42, 39.2131, 39.2131) * CHOOSE(CONTROL!$C$21, $C$9, 100%, $E$9)</f>
        <v>39.213099999999997</v>
      </c>
      <c r="L659" s="14">
        <f>CHOOSE(CONTROL!$C$42, 39.7734, 39.7734) * CHOOSE(CONTROL!$C$21, $C$9, 100%, $E$9)</f>
        <v>39.773400000000002</v>
      </c>
      <c r="M659" s="14">
        <f>CHOOSE(CONTROL!$C$42, 38.4001, 38.4001) * CHOOSE(CONTROL!$C$21, $C$9, 100%, $E$9)</f>
        <v>38.400100000000002</v>
      </c>
      <c r="N659" s="14">
        <f>CHOOSE(CONTROL!$C$42, 38.4171, 38.4171) * CHOOSE(CONTROL!$C$21, $C$9, 100%, $E$9)</f>
        <v>38.417099999999998</v>
      </c>
      <c r="O659" s="14">
        <f>CHOOSE(CONTROL!$C$42, 38.4893, 38.4893) * CHOOSE(CONTROL!$C$21, $C$9, 100%, $E$9)</f>
        <v>38.4893</v>
      </c>
      <c r="P659" s="14">
        <f>CHOOSE(CONTROL!$C$42, 38.5172, 38.5172) * CHOOSE(CONTROL!$C$21, $C$9, 100%, $E$9)</f>
        <v>38.517200000000003</v>
      </c>
      <c r="Q659" s="14">
        <f>CHOOSE(CONTROL!$C$42, 39.084, 39.084) * CHOOSE(CONTROL!$C$21, $C$9, 100%, $E$9)</f>
        <v>39.084000000000003</v>
      </c>
      <c r="R659" s="14">
        <f>CHOOSE(CONTROL!$C$42, 39.7687, 39.7687) * CHOOSE(CONTROL!$C$21, $C$9, 100%, $E$9)</f>
        <v>39.768700000000003</v>
      </c>
      <c r="S659" s="14">
        <f>CHOOSE(CONTROL!$C$42, 37.5386, 37.5386) * CHOOSE(CONTROL!$C$21, $C$9, 100%, $E$9)</f>
        <v>37.538600000000002</v>
      </c>
      <c r="T6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659" s="56">
        <f>(1000*CHOOSE(CONTROL!$C$42, 695, 695)*CHOOSE(CONTROL!$C$42, 0.5599, 0.5599)*CHOOSE(CONTROL!$C$42, 30, 30))/1000000</f>
        <v>11.673914999999997</v>
      </c>
      <c r="V659" s="56">
        <f>(1000*CHOOSE(CONTROL!$C$42, 500, 500)*CHOOSE(CONTROL!$C$42, 0.275, 0.275)*CHOOSE(CONTROL!$C$42, 30, 30))/1000000</f>
        <v>4.125</v>
      </c>
      <c r="W659" s="56">
        <f>(1000*CHOOSE(CONTROL!$C$42, 0.1146, 0.1146)*CHOOSE(CONTROL!$C$42, 121.5, 121.5)*CHOOSE(CONTROL!$C$42, 30, 30))/1000000</f>
        <v>0.417717</v>
      </c>
      <c r="X659" s="56">
        <f>(30*0.1790888*100000/1000000)+(30*0.2374*100000/1000000)</f>
        <v>1.2494664</v>
      </c>
      <c r="Y659" s="56"/>
      <c r="Z659" s="14"/>
      <c r="AA659" s="55"/>
      <c r="AB659" s="49">
        <f>(B659*122.58+C659*297.941+D659*89.177+E659*40.302+F659*40+G659*160+H659*0+I659*100+J659*300)/(122.58+297.941+89.177+40.302+0+40+160+100+300)</f>
        <v>39.112352263565214</v>
      </c>
      <c r="AC659" s="45">
        <f>(M659*'RAP TEMPLATE-GAS AVAILABILITY'!O658+N659*'RAP TEMPLATE-GAS AVAILABILITY'!P658+O659*'RAP TEMPLATE-GAS AVAILABILITY'!Q658+P659*'RAP TEMPLATE-GAS AVAILABILITY'!R658)/('RAP TEMPLATE-GAS AVAILABILITY'!O658+'RAP TEMPLATE-GAS AVAILABILITY'!P658+'RAP TEMPLATE-GAS AVAILABILITY'!Q658+'RAP TEMPLATE-GAS AVAILABILITY'!R658)</f>
        <v>38.458356115107918</v>
      </c>
    </row>
    <row r="660" spans="1:29" ht="15.75" x14ac:dyDescent="0.25">
      <c r="A660" s="32">
        <v>60997</v>
      </c>
      <c r="B660" s="14">
        <f>CHOOSE(CONTROL!$C$42, 41.7384, 41.7384) * CHOOSE(CONTROL!$C$21, $C$9, 100%, $E$9)</f>
        <v>41.738399999999999</v>
      </c>
      <c r="C660" s="14">
        <f>CHOOSE(CONTROL!$C$42, 41.7435, 41.7435) * CHOOSE(CONTROL!$C$21, $C$9, 100%, $E$9)</f>
        <v>41.743499999999997</v>
      </c>
      <c r="D660" s="14">
        <f>CHOOSE(CONTROL!$C$42, 41.8266, 41.8266) * CHOOSE(CONTROL!$C$21, $C$9, 100%, $E$9)</f>
        <v>41.826599999999999</v>
      </c>
      <c r="E660" s="14">
        <f>CHOOSE(CONTROL!$C$42, 41.8607, 41.8607) * CHOOSE(CONTROL!$C$21, $C$9, 100%, $E$9)</f>
        <v>41.860700000000001</v>
      </c>
      <c r="F660" s="14">
        <f>CHOOSE(CONTROL!$C$42, 41.7685, 41.7685)*CHOOSE(CONTROL!$C$21, $C$9, 100%, $E$9)</f>
        <v>41.768500000000003</v>
      </c>
      <c r="G660" s="14">
        <f>CHOOSE(CONTROL!$C$42, 41.7865, 41.7865)*CHOOSE(CONTROL!$C$21, $C$9, 100%, $E$9)</f>
        <v>41.786499999999997</v>
      </c>
      <c r="H660" s="14">
        <f>CHOOSE(CONTROL!$C$42, 41.8499, 41.8499) * CHOOSE(CONTROL!$C$21, $C$9, 100%, $E$9)</f>
        <v>41.849899999999998</v>
      </c>
      <c r="I660" s="14">
        <f>CHOOSE(CONTROL!$C$42, 41.8888, 41.8888)* CHOOSE(CONTROL!$C$21, $C$9, 100%, $E$9)</f>
        <v>41.888800000000003</v>
      </c>
      <c r="J660" s="14">
        <f>CHOOSE(CONTROL!$C$42, 41.7615, 41.7615)* CHOOSE(CONTROL!$C$21, $C$9, 100%, $E$9)</f>
        <v>41.761499999999998</v>
      </c>
      <c r="K660" s="52">
        <f>CHOOSE(CONTROL!$C$42, 41.8849, 41.8849) * CHOOSE(CONTROL!$C$21, $C$9, 100%, $E$9)</f>
        <v>41.884900000000002</v>
      </c>
      <c r="L660" s="14">
        <f>CHOOSE(CONTROL!$C$42, 42.4369, 42.4369) * CHOOSE(CONTROL!$C$21, $C$9, 100%, $E$9)</f>
        <v>42.436900000000001</v>
      </c>
      <c r="M660" s="14">
        <f>CHOOSE(CONTROL!$C$42, 41.018, 41.018) * CHOOSE(CONTROL!$C$21, $C$9, 100%, $E$9)</f>
        <v>41.018000000000001</v>
      </c>
      <c r="N660" s="14">
        <f>CHOOSE(CONTROL!$C$42, 41.0357, 41.0357) * CHOOSE(CONTROL!$C$21, $C$9, 100%, $E$9)</f>
        <v>41.035699999999999</v>
      </c>
      <c r="O660" s="14">
        <f>CHOOSE(CONTROL!$C$42, 41.1048, 41.1048) * CHOOSE(CONTROL!$C$21, $C$9, 100%, $E$9)</f>
        <v>41.104799999999997</v>
      </c>
      <c r="P660" s="14">
        <f>CHOOSE(CONTROL!$C$42, 41.1408, 41.1408) * CHOOSE(CONTROL!$C$21, $C$9, 100%, $E$9)</f>
        <v>41.140799999999999</v>
      </c>
      <c r="Q660" s="14">
        <f>CHOOSE(CONTROL!$C$42, 41.6995, 41.6995) * CHOOSE(CONTROL!$C$21, $C$9, 100%, $E$9)</f>
        <v>41.6995</v>
      </c>
      <c r="R660" s="14">
        <f>CHOOSE(CONTROL!$C$42, 42.3908, 42.3908) * CHOOSE(CONTROL!$C$21, $C$9, 100%, $E$9)</f>
        <v>42.390799999999999</v>
      </c>
      <c r="S660" s="14">
        <f>CHOOSE(CONTROL!$C$42, 40.0979, 40.0979) * CHOOSE(CONTROL!$C$21, $C$9, 100%, $E$9)</f>
        <v>40.097900000000003</v>
      </c>
      <c r="T6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60" s="56">
        <f>(1000*CHOOSE(CONTROL!$C$42, 695, 695)*CHOOSE(CONTROL!$C$42, 0.5599, 0.5599)*CHOOSE(CONTROL!$C$42, 31, 31))/1000000</f>
        <v>12.063045499999998</v>
      </c>
      <c r="V660" s="56">
        <f>(1000*CHOOSE(CONTROL!$C$42, 500, 500)*CHOOSE(CONTROL!$C$42, 0.275, 0.275)*CHOOSE(CONTROL!$C$42, 31, 31))/1000000</f>
        <v>4.2625000000000002</v>
      </c>
      <c r="W660" s="56">
        <f>(1000*CHOOSE(CONTROL!$C$42, 0.1146, 0.1146)*CHOOSE(CONTROL!$C$42, 121.5, 121.5)*CHOOSE(CONTROL!$C$42, 31, 31))/1000000</f>
        <v>0.43164089999999994</v>
      </c>
      <c r="X660" s="56">
        <f>(31*0.1790888*100000/1000000)+(31*0.2374*100000/1000000)</f>
        <v>1.2911152800000001</v>
      </c>
      <c r="Y660" s="56"/>
      <c r="Z660" s="14"/>
      <c r="AA660" s="55"/>
      <c r="AB660" s="49">
        <f>(B660*122.58+C660*297.941+D660*89.177+E660*40.302+F660*40+G660*160+H660*0+I660*100+J660*300)/(122.58+297.941+89.177+40.302+0+40+160+100+300)</f>
        <v>41.777690300086952</v>
      </c>
      <c r="AC660" s="45">
        <f>(M660*'RAP TEMPLATE-GAS AVAILABILITY'!O659+N660*'RAP TEMPLATE-GAS AVAILABILITY'!P659+O660*'RAP TEMPLATE-GAS AVAILABILITY'!Q659+P660*'RAP TEMPLATE-GAS AVAILABILITY'!R659)/('RAP TEMPLATE-GAS AVAILABILITY'!O659+'RAP TEMPLATE-GAS AVAILABILITY'!P659+'RAP TEMPLATE-GAS AVAILABILITY'!Q659+'RAP TEMPLATE-GAS AVAILABILITY'!R659)</f>
        <v>41.076028776978411</v>
      </c>
    </row>
    <row r="661" spans="1:29" ht="15.75" x14ac:dyDescent="0.25">
      <c r="A661" s="32">
        <v>61028</v>
      </c>
      <c r="B661" s="14">
        <f>CHOOSE(CONTROL!$C$42, 45.1978, 45.1978) * CHOOSE(CONTROL!$C$21, $C$9, 100%, $E$9)</f>
        <v>45.197800000000001</v>
      </c>
      <c r="C661" s="14">
        <f>CHOOSE(CONTROL!$C$42, 45.2029, 45.2029) * CHOOSE(CONTROL!$C$21, $C$9, 100%, $E$9)</f>
        <v>45.2029</v>
      </c>
      <c r="D661" s="14">
        <f>CHOOSE(CONTROL!$C$42, 45.2963, 45.2963) * CHOOSE(CONTROL!$C$21, $C$9, 100%, $E$9)</f>
        <v>45.296300000000002</v>
      </c>
      <c r="E661" s="14">
        <f>CHOOSE(CONTROL!$C$42, 45.3304, 45.3304) * CHOOSE(CONTROL!$C$21, $C$9, 100%, $E$9)</f>
        <v>45.330399999999997</v>
      </c>
      <c r="F661" s="14">
        <f>CHOOSE(CONTROL!$C$42, 45.2251, 45.2251)*CHOOSE(CONTROL!$C$21, $C$9, 100%, $E$9)</f>
        <v>45.225099999999998</v>
      </c>
      <c r="G661" s="14">
        <f>CHOOSE(CONTROL!$C$42, 45.2431, 45.2431)*CHOOSE(CONTROL!$C$21, $C$9, 100%, $E$9)</f>
        <v>45.243099999999998</v>
      </c>
      <c r="H661" s="14">
        <f>CHOOSE(CONTROL!$C$42, 45.3196, 45.3196) * CHOOSE(CONTROL!$C$21, $C$9, 100%, $E$9)</f>
        <v>45.319600000000001</v>
      </c>
      <c r="I661" s="14">
        <f>CHOOSE(CONTROL!$C$42, 45.3652, 45.3652)* CHOOSE(CONTROL!$C$21, $C$9, 100%, $E$9)</f>
        <v>45.365200000000002</v>
      </c>
      <c r="J661" s="14">
        <f>CHOOSE(CONTROL!$C$42, 45.2181, 45.2181)* CHOOSE(CONTROL!$C$21, $C$9, 100%, $E$9)</f>
        <v>45.2181</v>
      </c>
      <c r="K661" s="52">
        <f>CHOOSE(CONTROL!$C$42, 45.3613, 45.3613) * CHOOSE(CONTROL!$C$21, $C$9, 100%, $E$9)</f>
        <v>45.3613</v>
      </c>
      <c r="L661" s="14">
        <f>CHOOSE(CONTROL!$C$42, 45.9066, 45.9066) * CHOOSE(CONTROL!$C$21, $C$9, 100%, $E$9)</f>
        <v>45.906599999999997</v>
      </c>
      <c r="M661" s="14">
        <f>CHOOSE(CONTROL!$C$42, 44.4125, 44.4125) * CHOOSE(CONTROL!$C$21, $C$9, 100%, $E$9)</f>
        <v>44.412500000000001</v>
      </c>
      <c r="N661" s="14">
        <f>CHOOSE(CONTROL!$C$42, 44.4301, 44.4301) * CHOOSE(CONTROL!$C$21, $C$9, 100%, $E$9)</f>
        <v>44.430100000000003</v>
      </c>
      <c r="O661" s="14">
        <f>CHOOSE(CONTROL!$C$42, 44.5122, 44.5122) * CHOOSE(CONTROL!$C$21, $C$9, 100%, $E$9)</f>
        <v>44.5122</v>
      </c>
      <c r="P661" s="14">
        <f>CHOOSE(CONTROL!$C$42, 44.5545, 44.5545) * CHOOSE(CONTROL!$C$21, $C$9, 100%, $E$9)</f>
        <v>44.554499999999997</v>
      </c>
      <c r="Q661" s="14">
        <f>CHOOSE(CONTROL!$C$42, 45.1069, 45.1069) * CHOOSE(CONTROL!$C$21, $C$9, 100%, $E$9)</f>
        <v>45.106900000000003</v>
      </c>
      <c r="R661" s="14">
        <f>CHOOSE(CONTROL!$C$42, 45.8066, 45.8066) * CHOOSE(CONTROL!$C$21, $C$9, 100%, $E$9)</f>
        <v>45.806600000000003</v>
      </c>
      <c r="S661" s="14">
        <f>CHOOSE(CONTROL!$C$42, 43.422, 43.422) * CHOOSE(CONTROL!$C$21, $C$9, 100%, $E$9)</f>
        <v>43.421999999999997</v>
      </c>
      <c r="T6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61" s="56">
        <f>(1000*CHOOSE(CONTROL!$C$42, 695, 695)*CHOOSE(CONTROL!$C$42, 0.5599, 0.5599)*CHOOSE(CONTROL!$C$42, 31, 31))/1000000</f>
        <v>12.063045499999998</v>
      </c>
      <c r="V661" s="56">
        <f>(1000*CHOOSE(CONTROL!$C$42, 500, 500)*CHOOSE(CONTROL!$C$42, 0.275, 0.275)*CHOOSE(CONTROL!$C$42, 31, 31))/1000000</f>
        <v>4.2625000000000002</v>
      </c>
      <c r="W661" s="56">
        <f>(1000*CHOOSE(CONTROL!$C$42, 0.1146, 0.1146)*CHOOSE(CONTROL!$C$42, 121.5, 121.5)*CHOOSE(CONTROL!$C$42, 31, 31))/1000000</f>
        <v>0.43164089999999994</v>
      </c>
      <c r="X661" s="56">
        <f>(31*0.1790888*100000/1000000)+(31*0.2374*100000/1000000)</f>
        <v>1.2911152800000001</v>
      </c>
      <c r="Y661" s="56"/>
      <c r="Z661" s="14"/>
      <c r="AA661" s="55"/>
      <c r="AB661" s="49">
        <f>(B661*122.58+C661*297.941+D661*89.177+E661*40.302+F661*40+G661*160+H661*0+I661*100+J661*300)/(122.58+297.941+89.177+40.302+0+40+160+100+300)</f>
        <v>45.238510851130435</v>
      </c>
      <c r="AC661" s="45">
        <f>(M661*'RAP TEMPLATE-GAS AVAILABILITY'!O660+N661*'RAP TEMPLATE-GAS AVAILABILITY'!P660+O661*'RAP TEMPLATE-GAS AVAILABILITY'!Q660+P661*'RAP TEMPLATE-GAS AVAILABILITY'!R660)/('RAP TEMPLATE-GAS AVAILABILITY'!O660+'RAP TEMPLATE-GAS AVAILABILITY'!P660+'RAP TEMPLATE-GAS AVAILABILITY'!Q660+'RAP TEMPLATE-GAS AVAILABILITY'!R660)</f>
        <v>44.479132374100722</v>
      </c>
    </row>
    <row r="662" spans="1:29" ht="15.75" x14ac:dyDescent="0.25">
      <c r="A662" s="32">
        <v>61056</v>
      </c>
      <c r="B662" s="14">
        <f>CHOOSE(CONTROL!$C$42, 46.0022, 46.0022) * CHOOSE(CONTROL!$C$21, $C$9, 100%, $E$9)</f>
        <v>46.002200000000002</v>
      </c>
      <c r="C662" s="14">
        <f>CHOOSE(CONTROL!$C$42, 46.0073, 46.0073) * CHOOSE(CONTROL!$C$21, $C$9, 100%, $E$9)</f>
        <v>46.007300000000001</v>
      </c>
      <c r="D662" s="14">
        <f>CHOOSE(CONTROL!$C$42, 46.1007, 46.1007) * CHOOSE(CONTROL!$C$21, $C$9, 100%, $E$9)</f>
        <v>46.100700000000003</v>
      </c>
      <c r="E662" s="14">
        <f>CHOOSE(CONTROL!$C$42, 46.1348, 46.1348) * CHOOSE(CONTROL!$C$21, $C$9, 100%, $E$9)</f>
        <v>46.134799999999998</v>
      </c>
      <c r="F662" s="14">
        <f>CHOOSE(CONTROL!$C$42, 46.0292, 46.0292)*CHOOSE(CONTROL!$C$21, $C$9, 100%, $E$9)</f>
        <v>46.029200000000003</v>
      </c>
      <c r="G662" s="14">
        <f>CHOOSE(CONTROL!$C$42, 46.047, 46.047)*CHOOSE(CONTROL!$C$21, $C$9, 100%, $E$9)</f>
        <v>46.046999999999997</v>
      </c>
      <c r="H662" s="14">
        <f>CHOOSE(CONTROL!$C$42, 46.124, 46.124) * CHOOSE(CONTROL!$C$21, $C$9, 100%, $E$9)</f>
        <v>46.124000000000002</v>
      </c>
      <c r="I662" s="14">
        <f>CHOOSE(CONTROL!$C$42, 46.1722, 46.1722)* CHOOSE(CONTROL!$C$21, $C$9, 100%, $E$9)</f>
        <v>46.172199999999997</v>
      </c>
      <c r="J662" s="14">
        <f>CHOOSE(CONTROL!$C$42, 46.0222, 46.0222)* CHOOSE(CONTROL!$C$21, $C$9, 100%, $E$9)</f>
        <v>46.022199999999998</v>
      </c>
      <c r="K662" s="52">
        <f>CHOOSE(CONTROL!$C$42, 46.1683, 46.1683) * CHOOSE(CONTROL!$C$21, $C$9, 100%, $E$9)</f>
        <v>46.168300000000002</v>
      </c>
      <c r="L662" s="14">
        <f>CHOOSE(CONTROL!$C$42, 46.711, 46.711) * CHOOSE(CONTROL!$C$21, $C$9, 100%, $E$9)</f>
        <v>46.710999999999999</v>
      </c>
      <c r="M662" s="14">
        <f>CHOOSE(CONTROL!$C$42, 45.2021, 45.2021) * CHOOSE(CONTROL!$C$21, $C$9, 100%, $E$9)</f>
        <v>45.202100000000002</v>
      </c>
      <c r="N662" s="14">
        <f>CHOOSE(CONTROL!$C$42, 45.2196, 45.2196) * CHOOSE(CONTROL!$C$21, $C$9, 100%, $E$9)</f>
        <v>45.2196</v>
      </c>
      <c r="O662" s="14">
        <f>CHOOSE(CONTROL!$C$42, 45.3021, 45.3021) * CHOOSE(CONTROL!$C$21, $C$9, 100%, $E$9)</f>
        <v>45.302100000000003</v>
      </c>
      <c r="P662" s="14">
        <f>CHOOSE(CONTROL!$C$42, 45.3469, 45.3469) * CHOOSE(CONTROL!$C$21, $C$9, 100%, $E$9)</f>
        <v>45.346899999999998</v>
      </c>
      <c r="Q662" s="14">
        <f>CHOOSE(CONTROL!$C$42, 45.8968, 45.8968) * CHOOSE(CONTROL!$C$21, $C$9, 100%, $E$9)</f>
        <v>45.896799999999999</v>
      </c>
      <c r="R662" s="14">
        <f>CHOOSE(CONTROL!$C$42, 46.5986, 46.5986) * CHOOSE(CONTROL!$C$21, $C$9, 100%, $E$9)</f>
        <v>46.598599999999998</v>
      </c>
      <c r="S662" s="14">
        <f>CHOOSE(CONTROL!$C$42, 44.195, 44.195) * CHOOSE(CONTROL!$C$21, $C$9, 100%, $E$9)</f>
        <v>44.195</v>
      </c>
      <c r="T66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62" s="56">
        <f>(1000*CHOOSE(CONTROL!$C$42, 695, 695)*CHOOSE(CONTROL!$C$42, 0.5599, 0.5599)*CHOOSE(CONTROL!$C$42, 28, 28))/1000000</f>
        <v>10.895653999999999</v>
      </c>
      <c r="V662" s="56">
        <f>(1000*CHOOSE(CONTROL!$C$42, 500, 500)*CHOOSE(CONTROL!$C$42, 0.275, 0.275)*CHOOSE(CONTROL!$C$42, 28, 28))/1000000</f>
        <v>3.85</v>
      </c>
      <c r="W662" s="56">
        <f>(1000*CHOOSE(CONTROL!$C$42, 0.1146, 0.1146)*CHOOSE(CONTROL!$C$42, 121.5, 121.5)*CHOOSE(CONTROL!$C$42, 28, 28))/1000000</f>
        <v>0.38986920000000003</v>
      </c>
      <c r="X662" s="56">
        <f>(28*0.1790888*100000/1000000)+(28*0.2374*100000/1000000)</f>
        <v>1.16616864</v>
      </c>
      <c r="Y662" s="56"/>
      <c r="Z662" s="14"/>
      <c r="AA662" s="55"/>
      <c r="AB662" s="49">
        <f>(B662*122.58+C662*297.941+D662*89.177+E662*40.302+F662*40+G662*160+H662*0+I662*100+J662*300)/(122.58+297.941+89.177+40.302+0+40+160+100+300)</f>
        <v>46.042978677217391</v>
      </c>
      <c r="AC662" s="45">
        <f>(M662*'RAP TEMPLATE-GAS AVAILABILITY'!O661+N662*'RAP TEMPLATE-GAS AVAILABILITY'!P661+O662*'RAP TEMPLATE-GAS AVAILABILITY'!Q661+P662*'RAP TEMPLATE-GAS AVAILABILITY'!R661)/('RAP TEMPLATE-GAS AVAILABILITY'!O661+'RAP TEMPLATE-GAS AVAILABILITY'!P661+'RAP TEMPLATE-GAS AVAILABILITY'!Q661+'RAP TEMPLATE-GAS AVAILABILITY'!R661)</f>
        <v>45.2692654676259</v>
      </c>
    </row>
    <row r="663" spans="1:29" ht="15.75" x14ac:dyDescent="0.25">
      <c r="A663" s="32">
        <v>61087</v>
      </c>
      <c r="B663" s="14">
        <f>CHOOSE(CONTROL!$C$42, 44.6964, 44.6964) * CHOOSE(CONTROL!$C$21, $C$9, 100%, $E$9)</f>
        <v>44.696399999999997</v>
      </c>
      <c r="C663" s="14">
        <f>CHOOSE(CONTROL!$C$42, 44.7015, 44.7015) * CHOOSE(CONTROL!$C$21, $C$9, 100%, $E$9)</f>
        <v>44.701500000000003</v>
      </c>
      <c r="D663" s="14">
        <f>CHOOSE(CONTROL!$C$42, 44.795, 44.795) * CHOOSE(CONTROL!$C$21, $C$9, 100%, $E$9)</f>
        <v>44.795000000000002</v>
      </c>
      <c r="E663" s="14">
        <f>CHOOSE(CONTROL!$C$42, 44.8291, 44.8291) * CHOOSE(CONTROL!$C$21, $C$9, 100%, $E$9)</f>
        <v>44.829099999999997</v>
      </c>
      <c r="F663" s="14">
        <f>CHOOSE(CONTROL!$C$42, 44.7225, 44.7225)*CHOOSE(CONTROL!$C$21, $C$9, 100%, $E$9)</f>
        <v>44.722499999999997</v>
      </c>
      <c r="G663" s="14">
        <f>CHOOSE(CONTROL!$C$42, 44.7402, 44.7402)*CHOOSE(CONTROL!$C$21, $C$9, 100%, $E$9)</f>
        <v>44.740200000000002</v>
      </c>
      <c r="H663" s="14">
        <f>CHOOSE(CONTROL!$C$42, 44.8183, 44.8183) * CHOOSE(CONTROL!$C$21, $C$9, 100%, $E$9)</f>
        <v>44.818300000000001</v>
      </c>
      <c r="I663" s="14">
        <f>CHOOSE(CONTROL!$C$42, 44.8623, 44.8623)* CHOOSE(CONTROL!$C$21, $C$9, 100%, $E$9)</f>
        <v>44.862299999999998</v>
      </c>
      <c r="J663" s="14">
        <f>CHOOSE(CONTROL!$C$42, 44.7155, 44.7155)* CHOOSE(CONTROL!$C$21, $C$9, 100%, $E$9)</f>
        <v>44.715499999999999</v>
      </c>
      <c r="K663" s="52">
        <f>CHOOSE(CONTROL!$C$42, 44.8584, 44.8584) * CHOOSE(CONTROL!$C$21, $C$9, 100%, $E$9)</f>
        <v>44.858400000000003</v>
      </c>
      <c r="L663" s="14">
        <f>CHOOSE(CONTROL!$C$42, 45.4053, 45.4053) * CHOOSE(CONTROL!$C$21, $C$9, 100%, $E$9)</f>
        <v>45.405299999999997</v>
      </c>
      <c r="M663" s="14">
        <f>CHOOSE(CONTROL!$C$42, 43.9189, 43.9189) * CHOOSE(CONTROL!$C$21, $C$9, 100%, $E$9)</f>
        <v>43.918900000000001</v>
      </c>
      <c r="N663" s="14">
        <f>CHOOSE(CONTROL!$C$42, 43.9362, 43.9362) * CHOOSE(CONTROL!$C$21, $C$9, 100%, $E$9)</f>
        <v>43.936199999999999</v>
      </c>
      <c r="O663" s="14">
        <f>CHOOSE(CONTROL!$C$42, 44.0198, 44.0198) * CHOOSE(CONTROL!$C$21, $C$9, 100%, $E$9)</f>
        <v>44.019799999999996</v>
      </c>
      <c r="P663" s="14">
        <f>CHOOSE(CONTROL!$C$42, 44.0607, 44.0607) * CHOOSE(CONTROL!$C$21, $C$9, 100%, $E$9)</f>
        <v>44.060699999999997</v>
      </c>
      <c r="Q663" s="14">
        <f>CHOOSE(CONTROL!$C$42, 44.6145, 44.6145) * CHOOSE(CONTROL!$C$21, $C$9, 100%, $E$9)</f>
        <v>44.6145</v>
      </c>
      <c r="R663" s="14">
        <f>CHOOSE(CONTROL!$C$42, 45.3131, 45.3131) * CHOOSE(CONTROL!$C$21, $C$9, 100%, $E$9)</f>
        <v>45.313099999999999</v>
      </c>
      <c r="S663" s="14">
        <f>CHOOSE(CONTROL!$C$42, 42.9403, 42.9403) * CHOOSE(CONTROL!$C$21, $C$9, 100%, $E$9)</f>
        <v>42.940300000000001</v>
      </c>
      <c r="T6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63" s="56">
        <f>(1000*CHOOSE(CONTROL!$C$42, 695, 695)*CHOOSE(CONTROL!$C$42, 0.5599, 0.5599)*CHOOSE(CONTROL!$C$42, 31, 31))/1000000</f>
        <v>12.063045499999998</v>
      </c>
      <c r="V663" s="56">
        <f>(1000*CHOOSE(CONTROL!$C$42, 500, 500)*CHOOSE(CONTROL!$C$42, 0.275, 0.275)*CHOOSE(CONTROL!$C$42, 31, 31))/1000000</f>
        <v>4.2625000000000002</v>
      </c>
      <c r="W663" s="56">
        <f>(1000*CHOOSE(CONTROL!$C$42, 0.1146, 0.1146)*CHOOSE(CONTROL!$C$42, 121.5, 121.5)*CHOOSE(CONTROL!$C$42, 31, 31))/1000000</f>
        <v>0.43164089999999994</v>
      </c>
      <c r="X663" s="56">
        <f>(31*0.1790888*100000/1000000)+(31*0.2374*100000/1000000)</f>
        <v>1.2911152800000001</v>
      </c>
      <c r="Y663" s="56"/>
      <c r="Z663" s="14"/>
      <c r="AA663" s="55"/>
      <c r="AB663" s="49">
        <f>(B663*122.58+C663*297.941+D663*89.177+E663*40.302+F663*40+G663*160+H663*0+I663*100+J663*300)/(122.58+297.941+89.177+40.302+0+40+160+100+300)</f>
        <v>44.736428197130437</v>
      </c>
      <c r="AC663" s="45">
        <f>(M663*'RAP TEMPLATE-GAS AVAILABILITY'!O662+N663*'RAP TEMPLATE-GAS AVAILABILITY'!P662+O663*'RAP TEMPLATE-GAS AVAILABILITY'!Q662+P663*'RAP TEMPLATE-GAS AVAILABILITY'!R662)/('RAP TEMPLATE-GAS AVAILABILITY'!O662+'RAP TEMPLATE-GAS AVAILABILITY'!P662+'RAP TEMPLATE-GAS AVAILABILITY'!Q662+'RAP TEMPLATE-GAS AVAILABILITY'!R662)</f>
        <v>43.986030215827334</v>
      </c>
    </row>
    <row r="664" spans="1:29" ht="15.75" x14ac:dyDescent="0.25">
      <c r="A664" s="32">
        <v>61117</v>
      </c>
      <c r="B664" s="14">
        <f>CHOOSE(CONTROL!$C$42, 44.5637, 44.5637) * CHOOSE(CONTROL!$C$21, $C$9, 100%, $E$9)</f>
        <v>44.563699999999997</v>
      </c>
      <c r="C664" s="14">
        <f>CHOOSE(CONTROL!$C$42, 44.5681, 44.5681) * CHOOSE(CONTROL!$C$21, $C$9, 100%, $E$9)</f>
        <v>44.568100000000001</v>
      </c>
      <c r="D664" s="14">
        <f>CHOOSE(CONTROL!$C$42, 44.8304, 44.8304) * CHOOSE(CONTROL!$C$21, $C$9, 100%, $E$9)</f>
        <v>44.830399999999997</v>
      </c>
      <c r="E664" s="14">
        <f>CHOOSE(CONTROL!$C$42, 44.8625, 44.8625) * CHOOSE(CONTROL!$C$21, $C$9, 100%, $E$9)</f>
        <v>44.862499999999997</v>
      </c>
      <c r="F664" s="14">
        <f>CHOOSE(CONTROL!$C$42, 44.5865, 44.5865)*CHOOSE(CONTROL!$C$21, $C$9, 100%, $E$9)</f>
        <v>44.586500000000001</v>
      </c>
      <c r="G664" s="14">
        <f>CHOOSE(CONTROL!$C$42, 44.6032, 44.6032)*CHOOSE(CONTROL!$C$21, $C$9, 100%, $E$9)</f>
        <v>44.603200000000001</v>
      </c>
      <c r="H664" s="14">
        <f>CHOOSE(CONTROL!$C$42, 44.8523, 44.8523) * CHOOSE(CONTROL!$C$21, $C$9, 100%, $E$9)</f>
        <v>44.8523</v>
      </c>
      <c r="I664" s="14">
        <f>CHOOSE(CONTROL!$C$42, 44.7257, 44.7257)* CHOOSE(CONTROL!$C$21, $C$9, 100%, $E$9)</f>
        <v>44.725700000000003</v>
      </c>
      <c r="J664" s="14">
        <f>CHOOSE(CONTROL!$C$42, 44.5795, 44.5795)* CHOOSE(CONTROL!$C$21, $C$9, 100%, $E$9)</f>
        <v>44.579500000000003</v>
      </c>
      <c r="K664" s="52">
        <f>CHOOSE(CONTROL!$C$42, 44.7218, 44.7218) * CHOOSE(CONTROL!$C$21, $C$9, 100%, $E$9)</f>
        <v>44.721800000000002</v>
      </c>
      <c r="L664" s="14">
        <f>CHOOSE(CONTROL!$C$42, 45.4393, 45.4393) * CHOOSE(CONTROL!$C$21, $C$9, 100%, $E$9)</f>
        <v>45.439300000000003</v>
      </c>
      <c r="M664" s="14">
        <f>CHOOSE(CONTROL!$C$42, 43.7853, 43.7853) * CHOOSE(CONTROL!$C$21, $C$9, 100%, $E$9)</f>
        <v>43.785299999999999</v>
      </c>
      <c r="N664" s="14">
        <f>CHOOSE(CONTROL!$C$42, 43.8017, 43.8017) * CHOOSE(CONTROL!$C$21, $C$9, 100%, $E$9)</f>
        <v>43.801699999999997</v>
      </c>
      <c r="O664" s="14">
        <f>CHOOSE(CONTROL!$C$42, 44.0532, 44.0532) * CHOOSE(CONTROL!$C$21, $C$9, 100%, $E$9)</f>
        <v>44.053199999999997</v>
      </c>
      <c r="P664" s="14">
        <f>CHOOSE(CONTROL!$C$42, 43.9265, 43.9265) * CHOOSE(CONTROL!$C$21, $C$9, 100%, $E$9)</f>
        <v>43.926499999999997</v>
      </c>
      <c r="Q664" s="14">
        <f>CHOOSE(CONTROL!$C$42, 44.6479, 44.6479) * CHOOSE(CONTROL!$C$21, $C$9, 100%, $E$9)</f>
        <v>44.6479</v>
      </c>
      <c r="R664" s="14">
        <f>CHOOSE(CONTROL!$C$42, 45.3465, 45.3465) * CHOOSE(CONTROL!$C$21, $C$9, 100%, $E$9)</f>
        <v>45.346499999999999</v>
      </c>
      <c r="S664" s="14">
        <f>CHOOSE(CONTROL!$C$42, 42.8119, 42.8119) * CHOOSE(CONTROL!$C$21, $C$9, 100%, $E$9)</f>
        <v>42.811900000000001</v>
      </c>
      <c r="T6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64" s="56">
        <f>(1000*CHOOSE(CONTROL!$C$42, 695, 695)*CHOOSE(CONTROL!$C$42, 0.5599, 0.5599)*CHOOSE(CONTROL!$C$42, 30, 30))/1000000</f>
        <v>11.673914999999997</v>
      </c>
      <c r="V664" s="56">
        <f>(1000*CHOOSE(CONTROL!$C$42, 500, 500)*CHOOSE(CONTROL!$C$42, 0.275, 0.275)*CHOOSE(CONTROL!$C$42, 30, 30))/1000000</f>
        <v>4.125</v>
      </c>
      <c r="W664" s="56">
        <f>(1000*CHOOSE(CONTROL!$C$42, 0.1146, 0.1146)*CHOOSE(CONTROL!$C$42, 121.5, 121.5)*CHOOSE(CONTROL!$C$42, 30, 30))/1000000</f>
        <v>0.417717</v>
      </c>
      <c r="X664" s="56">
        <f>(30*0.1790888*245000/1000000)+(30*0.2374*100000/1000000)</f>
        <v>2.0285026799999999</v>
      </c>
      <c r="Y664" s="56"/>
      <c r="Z664" s="14"/>
      <c r="AA664" s="55"/>
      <c r="AB664" s="49">
        <f>(B664*141.293+C664*267.993+D664*115.016+E664*89.698+F664*40+G664*185+H664*0+I664*100+J664*300)/(141.293+267.993+115.016+89.698+0+40+185+100+300)</f>
        <v>44.634575866666665</v>
      </c>
      <c r="AC664" s="45">
        <f>(M664*'RAP TEMPLATE-GAS AVAILABILITY'!O663+N664*'RAP TEMPLATE-GAS AVAILABILITY'!P663+O664*'RAP TEMPLATE-GAS AVAILABILITY'!Q663+P664*'RAP TEMPLATE-GAS AVAILABILITY'!R663)/('RAP TEMPLATE-GAS AVAILABILITY'!O663+'RAP TEMPLATE-GAS AVAILABILITY'!P663+'RAP TEMPLATE-GAS AVAILABILITY'!Q663+'RAP TEMPLATE-GAS AVAILABILITY'!R663)</f>
        <v>43.927982733812946</v>
      </c>
    </row>
    <row r="665" spans="1:29" ht="15.75" x14ac:dyDescent="0.25">
      <c r="A665" s="32">
        <v>61148</v>
      </c>
      <c r="B665" s="14">
        <f>CHOOSE(CONTROL!$C$42, 44.9583, 44.9583) * CHOOSE(CONTROL!$C$21, $C$9, 100%, $E$9)</f>
        <v>44.958300000000001</v>
      </c>
      <c r="C665" s="14">
        <f>CHOOSE(CONTROL!$C$42, 44.9663, 44.9663) * CHOOSE(CONTROL!$C$21, $C$9, 100%, $E$9)</f>
        <v>44.966299999999997</v>
      </c>
      <c r="D665" s="14">
        <f>CHOOSE(CONTROL!$C$42, 45.2254, 45.2254) * CHOOSE(CONTROL!$C$21, $C$9, 100%, $E$9)</f>
        <v>45.2254</v>
      </c>
      <c r="E665" s="14">
        <f>CHOOSE(CONTROL!$C$42, 45.2569, 45.2569) * CHOOSE(CONTROL!$C$21, $C$9, 100%, $E$9)</f>
        <v>45.256900000000002</v>
      </c>
      <c r="F665" s="14">
        <f>CHOOSE(CONTROL!$C$42, 44.9798, 44.9798)*CHOOSE(CONTROL!$C$21, $C$9, 100%, $E$9)</f>
        <v>44.979799999999997</v>
      </c>
      <c r="G665" s="14">
        <f>CHOOSE(CONTROL!$C$42, 44.9968, 44.9968)*CHOOSE(CONTROL!$C$21, $C$9, 100%, $E$9)</f>
        <v>44.9968</v>
      </c>
      <c r="H665" s="14">
        <f>CHOOSE(CONTROL!$C$42, 45.2455, 45.2455) * CHOOSE(CONTROL!$C$21, $C$9, 100%, $E$9)</f>
        <v>45.2455</v>
      </c>
      <c r="I665" s="14">
        <f>CHOOSE(CONTROL!$C$42, 45.1202, 45.1202)* CHOOSE(CONTROL!$C$21, $C$9, 100%, $E$9)</f>
        <v>45.120199999999997</v>
      </c>
      <c r="J665" s="14">
        <f>CHOOSE(CONTROL!$C$42, 44.9728, 44.9728)* CHOOSE(CONTROL!$C$21, $C$9, 100%, $E$9)</f>
        <v>44.972799999999999</v>
      </c>
      <c r="K665" s="52">
        <f>CHOOSE(CONTROL!$C$42, 45.1163, 45.1163) * CHOOSE(CONTROL!$C$21, $C$9, 100%, $E$9)</f>
        <v>45.116300000000003</v>
      </c>
      <c r="L665" s="14">
        <f>CHOOSE(CONTROL!$C$42, 45.8325, 45.8325) * CHOOSE(CONTROL!$C$21, $C$9, 100%, $E$9)</f>
        <v>45.832500000000003</v>
      </c>
      <c r="M665" s="14">
        <f>CHOOSE(CONTROL!$C$42, 44.1716, 44.1716) * CHOOSE(CONTROL!$C$21, $C$9, 100%, $E$9)</f>
        <v>44.171599999999998</v>
      </c>
      <c r="N665" s="14">
        <f>CHOOSE(CONTROL!$C$42, 44.1882, 44.1882) * CHOOSE(CONTROL!$C$21, $C$9, 100%, $E$9)</f>
        <v>44.188200000000002</v>
      </c>
      <c r="O665" s="14">
        <f>CHOOSE(CONTROL!$C$42, 44.4394, 44.4394) * CHOOSE(CONTROL!$C$21, $C$9, 100%, $E$9)</f>
        <v>44.439399999999999</v>
      </c>
      <c r="P665" s="14">
        <f>CHOOSE(CONTROL!$C$42, 44.3139, 44.3139) * CHOOSE(CONTROL!$C$21, $C$9, 100%, $E$9)</f>
        <v>44.313899999999997</v>
      </c>
      <c r="Q665" s="14">
        <f>CHOOSE(CONTROL!$C$42, 45.0341, 45.0341) * CHOOSE(CONTROL!$C$21, $C$9, 100%, $E$9)</f>
        <v>45.034100000000002</v>
      </c>
      <c r="R665" s="14">
        <f>CHOOSE(CONTROL!$C$42, 45.7337, 45.7337) * CHOOSE(CONTROL!$C$21, $C$9, 100%, $E$9)</f>
        <v>45.733699999999999</v>
      </c>
      <c r="S665" s="14">
        <f>CHOOSE(CONTROL!$C$42, 43.1898, 43.1898) * CHOOSE(CONTROL!$C$21, $C$9, 100%, $E$9)</f>
        <v>43.189799999999998</v>
      </c>
      <c r="T6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65" s="56">
        <f>(1000*CHOOSE(CONTROL!$C$42, 695, 695)*CHOOSE(CONTROL!$C$42, 0.5599, 0.5599)*CHOOSE(CONTROL!$C$42, 31, 31))/1000000</f>
        <v>12.063045499999998</v>
      </c>
      <c r="V665" s="56">
        <f>(1000*CHOOSE(CONTROL!$C$42, 500, 500)*CHOOSE(CONTROL!$C$42, 0.275, 0.275)*CHOOSE(CONTROL!$C$42, 31, 31))/1000000</f>
        <v>4.2625000000000002</v>
      </c>
      <c r="W665" s="56">
        <f>(1000*CHOOSE(CONTROL!$C$42, 0.1146, 0.1146)*CHOOSE(CONTROL!$C$42, 121.5, 121.5)*CHOOSE(CONTROL!$C$42, 31, 31))/1000000</f>
        <v>0.43164089999999994</v>
      </c>
      <c r="X665" s="56">
        <f>(31*0.1790888*245000/1000000)+(31*0.2374*100000/1000000)</f>
        <v>2.0961194359999999</v>
      </c>
      <c r="Y665" s="56"/>
      <c r="Z665" s="14"/>
      <c r="AA665" s="55"/>
      <c r="AB665" s="49">
        <f>(B665*194.205+C665*267.466+D665*133.845+E665*53.484+F665*40+G665*185+H665*0+I665*100+J665*300)/(194.205+267.466+133.845+53.484+0+40+185+100+300)</f>
        <v>45.022964481868129</v>
      </c>
      <c r="AC665" s="45">
        <f>(M665*'RAP TEMPLATE-GAS AVAILABILITY'!O664+N665*'RAP TEMPLATE-GAS AVAILABILITY'!P664+O665*'RAP TEMPLATE-GAS AVAILABILITY'!Q664+P665*'RAP TEMPLATE-GAS AVAILABILITY'!R664)/('RAP TEMPLATE-GAS AVAILABILITY'!O664+'RAP TEMPLATE-GAS AVAILABILITY'!P664+'RAP TEMPLATE-GAS AVAILABILITY'!Q664+'RAP TEMPLATE-GAS AVAILABILITY'!R664)</f>
        <v>44.314407194244602</v>
      </c>
    </row>
    <row r="666" spans="1:29" ht="15.75" x14ac:dyDescent="0.25">
      <c r="A666" s="32">
        <v>61178</v>
      </c>
      <c r="B666" s="14">
        <f>CHOOSE(CONTROL!$C$42, 46.2332, 46.2332) * CHOOSE(CONTROL!$C$21, $C$9, 100%, $E$9)</f>
        <v>46.233199999999997</v>
      </c>
      <c r="C666" s="14">
        <f>CHOOSE(CONTROL!$C$42, 46.2413, 46.2413) * CHOOSE(CONTROL!$C$21, $C$9, 100%, $E$9)</f>
        <v>46.241300000000003</v>
      </c>
      <c r="D666" s="14">
        <f>CHOOSE(CONTROL!$C$42, 46.5004, 46.5004) * CHOOSE(CONTROL!$C$21, $C$9, 100%, $E$9)</f>
        <v>46.500399999999999</v>
      </c>
      <c r="E666" s="14">
        <f>CHOOSE(CONTROL!$C$42, 46.5318, 46.5318) * CHOOSE(CONTROL!$C$21, $C$9, 100%, $E$9)</f>
        <v>46.531799999999997</v>
      </c>
      <c r="F666" s="14">
        <f>CHOOSE(CONTROL!$C$42, 46.255, 46.255)*CHOOSE(CONTROL!$C$21, $C$9, 100%, $E$9)</f>
        <v>46.255000000000003</v>
      </c>
      <c r="G666" s="14">
        <f>CHOOSE(CONTROL!$C$42, 46.2721, 46.2721)*CHOOSE(CONTROL!$C$21, $C$9, 100%, $E$9)</f>
        <v>46.272100000000002</v>
      </c>
      <c r="H666" s="14">
        <f>CHOOSE(CONTROL!$C$42, 46.5205, 46.5205) * CHOOSE(CONTROL!$C$21, $C$9, 100%, $E$9)</f>
        <v>46.520499999999998</v>
      </c>
      <c r="I666" s="14">
        <f>CHOOSE(CONTROL!$C$42, 46.3991, 46.3991)* CHOOSE(CONTROL!$C$21, $C$9, 100%, $E$9)</f>
        <v>46.399099999999997</v>
      </c>
      <c r="J666" s="14">
        <f>CHOOSE(CONTROL!$C$42, 46.248, 46.248)* CHOOSE(CONTROL!$C$21, $C$9, 100%, $E$9)</f>
        <v>46.247999999999998</v>
      </c>
      <c r="K666" s="52">
        <f>CHOOSE(CONTROL!$C$42, 46.3953, 46.3953) * CHOOSE(CONTROL!$C$21, $C$9, 100%, $E$9)</f>
        <v>46.395299999999999</v>
      </c>
      <c r="L666" s="14">
        <f>CHOOSE(CONTROL!$C$42, 47.1075, 47.1075) * CHOOSE(CONTROL!$C$21, $C$9, 100%, $E$9)</f>
        <v>47.107500000000002</v>
      </c>
      <c r="M666" s="14">
        <f>CHOOSE(CONTROL!$C$42, 45.4239, 45.4239) * CHOOSE(CONTROL!$C$21, $C$9, 100%, $E$9)</f>
        <v>45.423900000000003</v>
      </c>
      <c r="N666" s="14">
        <f>CHOOSE(CONTROL!$C$42, 45.4406, 45.4406) * CHOOSE(CONTROL!$C$21, $C$9, 100%, $E$9)</f>
        <v>45.440600000000003</v>
      </c>
      <c r="O666" s="14">
        <f>CHOOSE(CONTROL!$C$42, 45.6914, 45.6914) * CHOOSE(CONTROL!$C$21, $C$9, 100%, $E$9)</f>
        <v>45.691400000000002</v>
      </c>
      <c r="P666" s="14">
        <f>CHOOSE(CONTROL!$C$42, 45.5698, 45.5698) * CHOOSE(CONTROL!$C$21, $C$9, 100%, $E$9)</f>
        <v>45.569800000000001</v>
      </c>
      <c r="Q666" s="14">
        <f>CHOOSE(CONTROL!$C$42, 46.2861, 46.2861) * CHOOSE(CONTROL!$C$21, $C$9, 100%, $E$9)</f>
        <v>46.286099999999998</v>
      </c>
      <c r="R666" s="14">
        <f>CHOOSE(CONTROL!$C$42, 46.9888, 46.9888) * CHOOSE(CONTROL!$C$21, $C$9, 100%, $E$9)</f>
        <v>46.988799999999998</v>
      </c>
      <c r="S666" s="14">
        <f>CHOOSE(CONTROL!$C$42, 44.4149, 44.4149) * CHOOSE(CONTROL!$C$21, $C$9, 100%, $E$9)</f>
        <v>44.414900000000003</v>
      </c>
      <c r="T6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66" s="56">
        <f>(1000*CHOOSE(CONTROL!$C$42, 695, 695)*CHOOSE(CONTROL!$C$42, 0.5599, 0.5599)*CHOOSE(CONTROL!$C$42, 30, 30))/1000000</f>
        <v>11.673914999999997</v>
      </c>
      <c r="V666" s="56">
        <f>(1000*CHOOSE(CONTROL!$C$42, 500, 500)*CHOOSE(CONTROL!$C$42, 0.275, 0.275)*CHOOSE(CONTROL!$C$42, 30, 30))/1000000</f>
        <v>4.125</v>
      </c>
      <c r="W666" s="56">
        <f>(1000*CHOOSE(CONTROL!$C$42, 0.1146, 0.1146)*CHOOSE(CONTROL!$C$42, 121.5, 121.5)*CHOOSE(CONTROL!$C$42, 30, 30))/1000000</f>
        <v>0.417717</v>
      </c>
      <c r="X666" s="56">
        <f>(30*0.1790888*245000/1000000)+(30*0.2374*100000/1000000)</f>
        <v>2.0285026799999999</v>
      </c>
      <c r="Y666" s="56"/>
      <c r="Z666" s="14"/>
      <c r="AA666" s="55"/>
      <c r="AB666" s="49">
        <f>(B666*194.205+C666*267.466+D666*133.845+E666*53.484+F666*40+G666*185+H666*0+I666*100+J666*300)/(194.205+267.466+133.845+53.484+0+40+185+100+300)</f>
        <v>46.29834810125589</v>
      </c>
      <c r="AC666" s="45">
        <f>(M666*'RAP TEMPLATE-GAS AVAILABILITY'!O665+N666*'RAP TEMPLATE-GAS AVAILABILITY'!P665+O666*'RAP TEMPLATE-GAS AVAILABILITY'!Q665+P666*'RAP TEMPLATE-GAS AVAILABILITY'!R665)/('RAP TEMPLATE-GAS AVAILABILITY'!O665+'RAP TEMPLATE-GAS AVAILABILITY'!P665+'RAP TEMPLATE-GAS AVAILABILITY'!Q665+'RAP TEMPLATE-GAS AVAILABILITY'!R665)</f>
        <v>45.567094964028776</v>
      </c>
    </row>
    <row r="667" spans="1:29" ht="15.75" x14ac:dyDescent="0.25">
      <c r="A667" s="32">
        <v>61209</v>
      </c>
      <c r="B667" s="14">
        <f>CHOOSE(CONTROL!$C$42, 45.3465, 45.3465) * CHOOSE(CONTROL!$C$21, $C$9, 100%, $E$9)</f>
        <v>45.346499999999999</v>
      </c>
      <c r="C667" s="14">
        <f>CHOOSE(CONTROL!$C$42, 45.3545, 45.3545) * CHOOSE(CONTROL!$C$21, $C$9, 100%, $E$9)</f>
        <v>45.354500000000002</v>
      </c>
      <c r="D667" s="14">
        <f>CHOOSE(CONTROL!$C$42, 45.6136, 45.6136) * CHOOSE(CONTROL!$C$21, $C$9, 100%, $E$9)</f>
        <v>45.613599999999998</v>
      </c>
      <c r="E667" s="14">
        <f>CHOOSE(CONTROL!$C$42, 45.6451, 45.6451) * CHOOSE(CONTROL!$C$21, $C$9, 100%, $E$9)</f>
        <v>45.645099999999999</v>
      </c>
      <c r="F667" s="14">
        <f>CHOOSE(CONTROL!$C$42, 45.3687, 45.3687)*CHOOSE(CONTROL!$C$21, $C$9, 100%, $E$9)</f>
        <v>45.368699999999997</v>
      </c>
      <c r="G667" s="14">
        <f>CHOOSE(CONTROL!$C$42, 45.3859, 45.3859)*CHOOSE(CONTROL!$C$21, $C$9, 100%, $E$9)</f>
        <v>45.385899999999999</v>
      </c>
      <c r="H667" s="14">
        <f>CHOOSE(CONTROL!$C$42, 45.6337, 45.6337) * CHOOSE(CONTROL!$C$21, $C$9, 100%, $E$9)</f>
        <v>45.633699999999997</v>
      </c>
      <c r="I667" s="14">
        <f>CHOOSE(CONTROL!$C$42, 45.5096, 45.5096)* CHOOSE(CONTROL!$C$21, $C$9, 100%, $E$9)</f>
        <v>45.509599999999999</v>
      </c>
      <c r="J667" s="14">
        <f>CHOOSE(CONTROL!$C$42, 45.3617, 45.3617)* CHOOSE(CONTROL!$C$21, $C$9, 100%, $E$9)</f>
        <v>45.361699999999999</v>
      </c>
      <c r="K667" s="52">
        <f>CHOOSE(CONTROL!$C$42, 45.5057, 45.5057) * CHOOSE(CONTROL!$C$21, $C$9, 100%, $E$9)</f>
        <v>45.505699999999997</v>
      </c>
      <c r="L667" s="14">
        <f>CHOOSE(CONTROL!$C$42, 46.2207, 46.2207) * CHOOSE(CONTROL!$C$21, $C$9, 100%, $E$9)</f>
        <v>46.220700000000001</v>
      </c>
      <c r="M667" s="14">
        <f>CHOOSE(CONTROL!$C$42, 44.5535, 44.5535) * CHOOSE(CONTROL!$C$21, $C$9, 100%, $E$9)</f>
        <v>44.5535</v>
      </c>
      <c r="N667" s="14">
        <f>CHOOSE(CONTROL!$C$42, 44.5703, 44.5703) * CHOOSE(CONTROL!$C$21, $C$9, 100%, $E$9)</f>
        <v>44.570300000000003</v>
      </c>
      <c r="O667" s="14">
        <f>CHOOSE(CONTROL!$C$42, 44.8206, 44.8206) * CHOOSE(CONTROL!$C$21, $C$9, 100%, $E$9)</f>
        <v>44.820599999999999</v>
      </c>
      <c r="P667" s="14">
        <f>CHOOSE(CONTROL!$C$42, 44.6963, 44.6963) * CHOOSE(CONTROL!$C$21, $C$9, 100%, $E$9)</f>
        <v>44.696300000000001</v>
      </c>
      <c r="Q667" s="14">
        <f>CHOOSE(CONTROL!$C$42, 45.4153, 45.4153) * CHOOSE(CONTROL!$C$21, $C$9, 100%, $E$9)</f>
        <v>45.415300000000002</v>
      </c>
      <c r="R667" s="14">
        <f>CHOOSE(CONTROL!$C$42, 46.1158, 46.1158) * CHOOSE(CONTROL!$C$21, $C$9, 100%, $E$9)</f>
        <v>46.1158</v>
      </c>
      <c r="S667" s="14">
        <f>CHOOSE(CONTROL!$C$42, 43.5628, 43.5628) * CHOOSE(CONTROL!$C$21, $C$9, 100%, $E$9)</f>
        <v>43.562800000000003</v>
      </c>
      <c r="T6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67" s="56">
        <f>(1000*CHOOSE(CONTROL!$C$42, 695, 695)*CHOOSE(CONTROL!$C$42, 0.5599, 0.5599)*CHOOSE(CONTROL!$C$42, 31, 31))/1000000</f>
        <v>12.063045499999998</v>
      </c>
      <c r="V667" s="56">
        <f>(1000*CHOOSE(CONTROL!$C$42, 500, 500)*CHOOSE(CONTROL!$C$42, 0.275, 0.275)*CHOOSE(CONTROL!$C$42, 31, 31))/1000000</f>
        <v>4.2625000000000002</v>
      </c>
      <c r="W667" s="56">
        <f>(1000*CHOOSE(CONTROL!$C$42, 0.1146, 0.1146)*CHOOSE(CONTROL!$C$42, 121.5, 121.5)*CHOOSE(CONTROL!$C$42, 31, 31))/1000000</f>
        <v>0.43164089999999994</v>
      </c>
      <c r="X667" s="56">
        <f>(31*0.1790888*245000/1000000)+(31*0.2374*100000/1000000)</f>
        <v>2.0961194359999999</v>
      </c>
      <c r="Y667" s="56"/>
      <c r="Z667" s="14"/>
      <c r="AA667" s="55"/>
      <c r="AB667" s="49">
        <f>(B667*194.205+C667*267.466+D667*133.845+E667*53.484+F667*40+G667*185+H667*0+I667*100+J667*300)/(194.205+267.466+133.845+53.484+0+40+185+100+300)</f>
        <v>45.411576177315538</v>
      </c>
      <c r="AC667" s="45">
        <f>(M667*'RAP TEMPLATE-GAS AVAILABILITY'!O666+N667*'RAP TEMPLATE-GAS AVAILABILITY'!P666+O667*'RAP TEMPLATE-GAS AVAILABILITY'!Q666+P667*'RAP TEMPLATE-GAS AVAILABILITY'!R666)/('RAP TEMPLATE-GAS AVAILABILITY'!O666+'RAP TEMPLATE-GAS AVAILABILITY'!P666+'RAP TEMPLATE-GAS AVAILABILITY'!Q666+'RAP TEMPLATE-GAS AVAILABILITY'!R666)</f>
        <v>44.696073381294966</v>
      </c>
    </row>
    <row r="668" spans="1:29" ht="15.75" x14ac:dyDescent="0.25">
      <c r="A668" s="32">
        <v>61240</v>
      </c>
      <c r="B668" s="14">
        <f>CHOOSE(CONTROL!$C$42, 43.1072, 43.1072) * CHOOSE(CONTROL!$C$21, $C$9, 100%, $E$9)</f>
        <v>43.107199999999999</v>
      </c>
      <c r="C668" s="14">
        <f>CHOOSE(CONTROL!$C$42, 43.1152, 43.1152) * CHOOSE(CONTROL!$C$21, $C$9, 100%, $E$9)</f>
        <v>43.115200000000002</v>
      </c>
      <c r="D668" s="14">
        <f>CHOOSE(CONTROL!$C$42, 43.3743, 43.3743) * CHOOSE(CONTROL!$C$21, $C$9, 100%, $E$9)</f>
        <v>43.374299999999998</v>
      </c>
      <c r="E668" s="14">
        <f>CHOOSE(CONTROL!$C$42, 43.4058, 43.4058) * CHOOSE(CONTROL!$C$21, $C$9, 100%, $E$9)</f>
        <v>43.405799999999999</v>
      </c>
      <c r="F668" s="14">
        <f>CHOOSE(CONTROL!$C$42, 43.1296, 43.1296)*CHOOSE(CONTROL!$C$21, $C$9, 100%, $E$9)</f>
        <v>43.129600000000003</v>
      </c>
      <c r="G668" s="14">
        <f>CHOOSE(CONTROL!$C$42, 43.1468, 43.1468)*CHOOSE(CONTROL!$C$21, $C$9, 100%, $E$9)</f>
        <v>43.146799999999999</v>
      </c>
      <c r="H668" s="14">
        <f>CHOOSE(CONTROL!$C$42, 43.3944, 43.3944) * CHOOSE(CONTROL!$C$21, $C$9, 100%, $E$9)</f>
        <v>43.394399999999997</v>
      </c>
      <c r="I668" s="14">
        <f>CHOOSE(CONTROL!$C$42, 43.2633, 43.2633)* CHOOSE(CONTROL!$C$21, $C$9, 100%, $E$9)</f>
        <v>43.263300000000001</v>
      </c>
      <c r="J668" s="14">
        <f>CHOOSE(CONTROL!$C$42, 43.1226, 43.1226)* CHOOSE(CONTROL!$C$21, $C$9, 100%, $E$9)</f>
        <v>43.122599999999998</v>
      </c>
      <c r="K668" s="52">
        <f>CHOOSE(CONTROL!$C$42, 43.2594, 43.2594) * CHOOSE(CONTROL!$C$21, $C$9, 100%, $E$9)</f>
        <v>43.259399999999999</v>
      </c>
      <c r="L668" s="14">
        <f>CHOOSE(CONTROL!$C$42, 43.9814, 43.9814) * CHOOSE(CONTROL!$C$21, $C$9, 100%, $E$9)</f>
        <v>43.981400000000001</v>
      </c>
      <c r="M668" s="14">
        <f>CHOOSE(CONTROL!$C$42, 42.3547, 42.3547) * CHOOSE(CONTROL!$C$21, $C$9, 100%, $E$9)</f>
        <v>42.354700000000001</v>
      </c>
      <c r="N668" s="14">
        <f>CHOOSE(CONTROL!$C$42, 42.3715, 42.3715) * CHOOSE(CONTROL!$C$21, $C$9, 100%, $E$9)</f>
        <v>42.371499999999997</v>
      </c>
      <c r="O668" s="14">
        <f>CHOOSE(CONTROL!$C$42, 42.6216, 42.6216) * CHOOSE(CONTROL!$C$21, $C$9, 100%, $E$9)</f>
        <v>42.621600000000001</v>
      </c>
      <c r="P668" s="14">
        <f>CHOOSE(CONTROL!$C$42, 42.4905, 42.4905) * CHOOSE(CONTROL!$C$21, $C$9, 100%, $E$9)</f>
        <v>42.490499999999997</v>
      </c>
      <c r="Q668" s="14">
        <f>CHOOSE(CONTROL!$C$42, 43.2163, 43.2163) * CHOOSE(CONTROL!$C$21, $C$9, 100%, $E$9)</f>
        <v>43.216299999999997</v>
      </c>
      <c r="R668" s="14">
        <f>CHOOSE(CONTROL!$C$42, 43.9113, 43.9113) * CHOOSE(CONTROL!$C$21, $C$9, 100%, $E$9)</f>
        <v>43.911299999999997</v>
      </c>
      <c r="S668" s="14">
        <f>CHOOSE(CONTROL!$C$42, 41.4111, 41.4111) * CHOOSE(CONTROL!$C$21, $C$9, 100%, $E$9)</f>
        <v>41.411099999999998</v>
      </c>
      <c r="T6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68" s="56">
        <f>(1000*CHOOSE(CONTROL!$C$42, 695, 695)*CHOOSE(CONTROL!$C$42, 0.5599, 0.5599)*CHOOSE(CONTROL!$C$42, 31, 31))/1000000</f>
        <v>12.063045499999998</v>
      </c>
      <c r="V668" s="56">
        <f>(1000*CHOOSE(CONTROL!$C$42, 500, 500)*CHOOSE(CONTROL!$C$42, 0.275, 0.275)*CHOOSE(CONTROL!$C$42, 31, 31))/1000000</f>
        <v>4.2625000000000002</v>
      </c>
      <c r="W668" s="56">
        <f>(1000*CHOOSE(CONTROL!$C$42, 0.1146, 0.1146)*CHOOSE(CONTROL!$C$42, 121.5, 121.5)*CHOOSE(CONTROL!$C$42, 31, 31))/1000000</f>
        <v>0.43164089999999994</v>
      </c>
      <c r="X668" s="56">
        <f>(31*0.1790888*245000/1000000)+(31*0.2374*100000/1000000)</f>
        <v>2.0961194359999999</v>
      </c>
      <c r="Y668" s="56"/>
      <c r="Z668" s="14"/>
      <c r="AA668" s="55"/>
      <c r="AB668" s="49">
        <f>(B668*194.205+C668*267.466+D668*133.845+E668*53.484+F668*40+G668*185+H668*0+I668*100+J668*300)/(194.205+267.466+133.845+53.484+0+40+185+100+300)</f>
        <v>43.171809144348508</v>
      </c>
      <c r="AC668" s="45">
        <f>(M668*'RAP TEMPLATE-GAS AVAILABILITY'!O667+N668*'RAP TEMPLATE-GAS AVAILABILITY'!P667+O668*'RAP TEMPLATE-GAS AVAILABILITY'!Q667+P668*'RAP TEMPLATE-GAS AVAILABILITY'!R667)/('RAP TEMPLATE-GAS AVAILABILITY'!O667+'RAP TEMPLATE-GAS AVAILABILITY'!P667+'RAP TEMPLATE-GAS AVAILABILITY'!Q667+'RAP TEMPLATE-GAS AVAILABILITY'!R667)</f>
        <v>42.496175539568348</v>
      </c>
    </row>
    <row r="669" spans="1:29" ht="15.75" x14ac:dyDescent="0.25">
      <c r="A669" s="32">
        <v>61270</v>
      </c>
      <c r="B669" s="14">
        <f>CHOOSE(CONTROL!$C$42, 40.3709, 40.3709) * CHOOSE(CONTROL!$C$21, $C$9, 100%, $E$9)</f>
        <v>40.370899999999999</v>
      </c>
      <c r="C669" s="14">
        <f>CHOOSE(CONTROL!$C$42, 40.379, 40.379) * CHOOSE(CONTROL!$C$21, $C$9, 100%, $E$9)</f>
        <v>40.378999999999998</v>
      </c>
      <c r="D669" s="14">
        <f>CHOOSE(CONTROL!$C$42, 40.638, 40.638) * CHOOSE(CONTROL!$C$21, $C$9, 100%, $E$9)</f>
        <v>40.637999999999998</v>
      </c>
      <c r="E669" s="14">
        <f>CHOOSE(CONTROL!$C$42, 40.6695, 40.6695) * CHOOSE(CONTROL!$C$21, $C$9, 100%, $E$9)</f>
        <v>40.669499999999999</v>
      </c>
      <c r="F669" s="14">
        <f>CHOOSE(CONTROL!$C$42, 40.3934, 40.3934)*CHOOSE(CONTROL!$C$21, $C$9, 100%, $E$9)</f>
        <v>40.3934</v>
      </c>
      <c r="G669" s="14">
        <f>CHOOSE(CONTROL!$C$42, 40.4106, 40.4106)*CHOOSE(CONTROL!$C$21, $C$9, 100%, $E$9)</f>
        <v>40.410600000000002</v>
      </c>
      <c r="H669" s="14">
        <f>CHOOSE(CONTROL!$C$42, 40.6581, 40.6581) * CHOOSE(CONTROL!$C$21, $C$9, 100%, $E$9)</f>
        <v>40.658099999999997</v>
      </c>
      <c r="I669" s="14">
        <f>CHOOSE(CONTROL!$C$42, 40.5185, 40.5185)* CHOOSE(CONTROL!$C$21, $C$9, 100%, $E$9)</f>
        <v>40.518500000000003</v>
      </c>
      <c r="J669" s="14">
        <f>CHOOSE(CONTROL!$C$42, 40.3864, 40.3864)* CHOOSE(CONTROL!$C$21, $C$9, 100%, $E$9)</f>
        <v>40.386400000000002</v>
      </c>
      <c r="K669" s="52">
        <f>CHOOSE(CONTROL!$C$42, 40.5146, 40.5146) * CHOOSE(CONTROL!$C$21, $C$9, 100%, $E$9)</f>
        <v>40.514600000000002</v>
      </c>
      <c r="L669" s="14">
        <f>CHOOSE(CONTROL!$C$42, 41.2451, 41.2451) * CHOOSE(CONTROL!$C$21, $C$9, 100%, $E$9)</f>
        <v>41.245100000000001</v>
      </c>
      <c r="M669" s="14">
        <f>CHOOSE(CONTROL!$C$42, 39.6677, 39.6677) * CHOOSE(CONTROL!$C$21, $C$9, 100%, $E$9)</f>
        <v>39.667700000000004</v>
      </c>
      <c r="N669" s="14">
        <f>CHOOSE(CONTROL!$C$42, 39.6846, 39.6846) * CHOOSE(CONTROL!$C$21, $C$9, 100%, $E$9)</f>
        <v>39.684600000000003</v>
      </c>
      <c r="O669" s="14">
        <f>CHOOSE(CONTROL!$C$42, 39.9345, 39.9345) * CHOOSE(CONTROL!$C$21, $C$9, 100%, $E$9)</f>
        <v>39.9345</v>
      </c>
      <c r="P669" s="14">
        <f>CHOOSE(CONTROL!$C$42, 39.7952, 39.7952) * CHOOSE(CONTROL!$C$21, $C$9, 100%, $E$9)</f>
        <v>39.795200000000001</v>
      </c>
      <c r="Q669" s="14">
        <f>CHOOSE(CONTROL!$C$42, 40.5292, 40.5292) * CHOOSE(CONTROL!$C$21, $C$9, 100%, $E$9)</f>
        <v>40.529200000000003</v>
      </c>
      <c r="R669" s="14">
        <f>CHOOSE(CONTROL!$C$42, 41.2176, 41.2176) * CHOOSE(CONTROL!$C$21, $C$9, 100%, $E$9)</f>
        <v>41.217599999999997</v>
      </c>
      <c r="S669" s="14">
        <f>CHOOSE(CONTROL!$C$42, 38.7818, 38.7818) * CHOOSE(CONTROL!$C$21, $C$9, 100%, $E$9)</f>
        <v>38.781799999999997</v>
      </c>
      <c r="T6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69" s="56">
        <f>(1000*CHOOSE(CONTROL!$C$42, 695, 695)*CHOOSE(CONTROL!$C$42, 0.5599, 0.5599)*CHOOSE(CONTROL!$C$42, 30, 30))/1000000</f>
        <v>11.673914999999997</v>
      </c>
      <c r="V669" s="56">
        <f>(1000*CHOOSE(CONTROL!$C$42, 500, 500)*CHOOSE(CONTROL!$C$42, 0.275, 0.275)*CHOOSE(CONTROL!$C$42, 30, 30))/1000000</f>
        <v>4.125</v>
      </c>
      <c r="W669" s="56">
        <f>(1000*CHOOSE(CONTROL!$C$42, 0.1146, 0.1146)*CHOOSE(CONTROL!$C$42, 121.5, 121.5)*CHOOSE(CONTROL!$C$42, 30, 30))/1000000</f>
        <v>0.417717</v>
      </c>
      <c r="X669" s="56">
        <f>(30*0.1790888*245000/1000000)+(30*0.2374*100000/1000000)</f>
        <v>2.0285026799999999</v>
      </c>
      <c r="Y669" s="56"/>
      <c r="Z669" s="14"/>
      <c r="AA669" s="55"/>
      <c r="AB669" s="49">
        <f>(B669*194.205+C669*267.466+D669*133.845+E669*53.484+F669*40+G669*185+H669*0+I669*100+J669*300)/(194.205+267.466+133.845+53.484+0+40+185+100+300)</f>
        <v>40.434904157378341</v>
      </c>
      <c r="AC669" s="45">
        <f>(M669*'RAP TEMPLATE-GAS AVAILABILITY'!O668+N669*'RAP TEMPLATE-GAS AVAILABILITY'!P668+O669*'RAP TEMPLATE-GAS AVAILABILITY'!Q668+P669*'RAP TEMPLATE-GAS AVAILABILITY'!R668)/('RAP TEMPLATE-GAS AVAILABILITY'!O668+'RAP TEMPLATE-GAS AVAILABILITY'!P668+'RAP TEMPLATE-GAS AVAILABILITY'!Q668+'RAP TEMPLATE-GAS AVAILABILITY'!R668)</f>
        <v>39.807941726618708</v>
      </c>
    </row>
    <row r="670" spans="1:29" ht="15.75" x14ac:dyDescent="0.25">
      <c r="A670" s="32">
        <v>61301</v>
      </c>
      <c r="B670" s="14">
        <f>CHOOSE(CONTROL!$C$42, 39.5497, 39.5497) * CHOOSE(CONTROL!$C$21, $C$9, 100%, $E$9)</f>
        <v>39.549700000000001</v>
      </c>
      <c r="C670" s="14">
        <f>CHOOSE(CONTROL!$C$42, 39.555, 39.555) * CHOOSE(CONTROL!$C$21, $C$9, 100%, $E$9)</f>
        <v>39.555</v>
      </c>
      <c r="D670" s="14">
        <f>CHOOSE(CONTROL!$C$42, 39.8191, 39.8191) * CHOOSE(CONTROL!$C$21, $C$9, 100%, $E$9)</f>
        <v>39.819099999999999</v>
      </c>
      <c r="E670" s="14">
        <f>CHOOSE(CONTROL!$C$42, 39.8482, 39.8482) * CHOOSE(CONTROL!$C$21, $C$9, 100%, $E$9)</f>
        <v>39.848199999999999</v>
      </c>
      <c r="F670" s="14">
        <f>CHOOSE(CONTROL!$C$42, 39.5744, 39.5744)*CHOOSE(CONTROL!$C$21, $C$9, 100%, $E$9)</f>
        <v>39.574399999999997</v>
      </c>
      <c r="G670" s="14">
        <f>CHOOSE(CONTROL!$C$42, 39.5914, 39.5914)*CHOOSE(CONTROL!$C$21, $C$9, 100%, $E$9)</f>
        <v>39.5914</v>
      </c>
      <c r="H670" s="14">
        <f>CHOOSE(CONTROL!$C$42, 39.8387, 39.8387) * CHOOSE(CONTROL!$C$21, $C$9, 100%, $E$9)</f>
        <v>39.838700000000003</v>
      </c>
      <c r="I670" s="14">
        <f>CHOOSE(CONTROL!$C$42, 39.6964, 39.6964)* CHOOSE(CONTROL!$C$21, $C$9, 100%, $E$9)</f>
        <v>39.696399999999997</v>
      </c>
      <c r="J670" s="14">
        <f>CHOOSE(CONTROL!$C$42, 39.5674, 39.5674)* CHOOSE(CONTROL!$C$21, $C$9, 100%, $E$9)</f>
        <v>39.567399999999999</v>
      </c>
      <c r="K670" s="52">
        <f>CHOOSE(CONTROL!$C$42, 39.6926, 39.6926) * CHOOSE(CONTROL!$C$21, $C$9, 100%, $E$9)</f>
        <v>39.692599999999999</v>
      </c>
      <c r="L670" s="14">
        <f>CHOOSE(CONTROL!$C$42, 40.4257, 40.4257) * CHOOSE(CONTROL!$C$21, $C$9, 100%, $E$9)</f>
        <v>40.425699999999999</v>
      </c>
      <c r="M670" s="14">
        <f>CHOOSE(CONTROL!$C$42, 38.8634, 38.8634) * CHOOSE(CONTROL!$C$21, $C$9, 100%, $E$9)</f>
        <v>38.863399999999999</v>
      </c>
      <c r="N670" s="14">
        <f>CHOOSE(CONTROL!$C$42, 38.8801, 38.8801) * CHOOSE(CONTROL!$C$21, $C$9, 100%, $E$9)</f>
        <v>38.880099999999999</v>
      </c>
      <c r="O670" s="14">
        <f>CHOOSE(CONTROL!$C$42, 39.1298, 39.1298) * CHOOSE(CONTROL!$C$21, $C$9, 100%, $E$9)</f>
        <v>39.129800000000003</v>
      </c>
      <c r="P670" s="14">
        <f>CHOOSE(CONTROL!$C$42, 38.988, 38.988) * CHOOSE(CONTROL!$C$21, $C$9, 100%, $E$9)</f>
        <v>38.988</v>
      </c>
      <c r="Q670" s="14">
        <f>CHOOSE(CONTROL!$C$42, 39.7245, 39.7245) * CHOOSE(CONTROL!$C$21, $C$9, 100%, $E$9)</f>
        <v>39.724499999999999</v>
      </c>
      <c r="R670" s="14">
        <f>CHOOSE(CONTROL!$C$42, 40.4108, 40.4108) * CHOOSE(CONTROL!$C$21, $C$9, 100%, $E$9)</f>
        <v>40.410800000000002</v>
      </c>
      <c r="S670" s="14">
        <f>CHOOSE(CONTROL!$C$42, 37.9944, 37.9944) * CHOOSE(CONTROL!$C$21, $C$9, 100%, $E$9)</f>
        <v>37.994399999999999</v>
      </c>
      <c r="T6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670" s="56">
        <f>(1000*CHOOSE(CONTROL!$C$42, 695, 695)*CHOOSE(CONTROL!$C$42, 0.5599, 0.5599)*CHOOSE(CONTROL!$C$42, 31, 31))/1000000</f>
        <v>12.063045499999998</v>
      </c>
      <c r="V670" s="56">
        <f>(1000*CHOOSE(CONTROL!$C$42, 500, 500)*CHOOSE(CONTROL!$C$42, 0.275, 0.275)*CHOOSE(CONTROL!$C$42, 31, 31))/1000000</f>
        <v>4.2625000000000002</v>
      </c>
      <c r="W670" s="56">
        <f>(1000*CHOOSE(CONTROL!$C$42, 0.1146, 0.1146)*CHOOSE(CONTROL!$C$42, 121.5, 121.5)*CHOOSE(CONTROL!$C$42, 31, 31))/1000000</f>
        <v>0.43164089999999994</v>
      </c>
      <c r="X670" s="56">
        <f>(31*0.1790888*245000/1000000)+(31*0.2374*100000/1000000)</f>
        <v>2.0961194359999999</v>
      </c>
      <c r="Y670" s="56"/>
      <c r="Z670" s="14"/>
      <c r="AA670" s="55"/>
      <c r="AB670" s="49">
        <f>(B670*131.881+C670*277.167+D670*79.08+E670*125.872+F670*40+G670*185+H670*0+I670*100+J670*300)/(131.881+277.167+79.08+125.872+0+40+185+100+300)</f>
        <v>39.621555067877317</v>
      </c>
      <c r="AC670" s="45">
        <f>(M670*'RAP TEMPLATE-GAS AVAILABILITY'!O669+N670*'RAP TEMPLATE-GAS AVAILABILITY'!P669+O670*'RAP TEMPLATE-GAS AVAILABILITY'!Q669+P670*'RAP TEMPLATE-GAS AVAILABILITY'!R669)/('RAP TEMPLATE-GAS AVAILABILITY'!O669+'RAP TEMPLATE-GAS AVAILABILITY'!P669+'RAP TEMPLATE-GAS AVAILABILITY'!Q669+'RAP TEMPLATE-GAS AVAILABILITY'!R669)</f>
        <v>39.003031654676256</v>
      </c>
    </row>
    <row r="671" spans="1:29" ht="15.75" x14ac:dyDescent="0.25">
      <c r="A671" s="32">
        <v>61331</v>
      </c>
      <c r="B671" s="14">
        <f>CHOOSE(CONTROL!$C$42, 40.591, 40.591) * CHOOSE(CONTROL!$C$21, $C$9, 100%, $E$9)</f>
        <v>40.591000000000001</v>
      </c>
      <c r="C671" s="14">
        <f>CHOOSE(CONTROL!$C$42, 40.596, 40.596) * CHOOSE(CONTROL!$C$21, $C$9, 100%, $E$9)</f>
        <v>40.595999999999997</v>
      </c>
      <c r="D671" s="14">
        <f>CHOOSE(CONTROL!$C$42, 40.6791, 40.6791) * CHOOSE(CONTROL!$C$21, $C$9, 100%, $E$9)</f>
        <v>40.679099999999998</v>
      </c>
      <c r="E671" s="14">
        <f>CHOOSE(CONTROL!$C$42, 40.7132, 40.7132) * CHOOSE(CONTROL!$C$21, $C$9, 100%, $E$9)</f>
        <v>40.713200000000001</v>
      </c>
      <c r="F671" s="14">
        <f>CHOOSE(CONTROL!$C$42, 40.6186, 40.6186)*CHOOSE(CONTROL!$C$21, $C$9, 100%, $E$9)</f>
        <v>40.618600000000001</v>
      </c>
      <c r="G671" s="14">
        <f>CHOOSE(CONTROL!$C$42, 40.636, 40.636)*CHOOSE(CONTROL!$C$21, $C$9, 100%, $E$9)</f>
        <v>40.636000000000003</v>
      </c>
      <c r="H671" s="14">
        <f>CHOOSE(CONTROL!$C$42, 40.7024, 40.7024) * CHOOSE(CONTROL!$C$21, $C$9, 100%, $E$9)</f>
        <v>40.702399999999997</v>
      </c>
      <c r="I671" s="14">
        <f>CHOOSE(CONTROL!$C$42, 40.7377, 40.7377)* CHOOSE(CONTROL!$C$21, $C$9, 100%, $E$9)</f>
        <v>40.737699999999997</v>
      </c>
      <c r="J671" s="14">
        <f>CHOOSE(CONTROL!$C$42, 40.6116, 40.6116)* CHOOSE(CONTROL!$C$21, $C$9, 100%, $E$9)</f>
        <v>40.611600000000003</v>
      </c>
      <c r="K671" s="52">
        <f>CHOOSE(CONTROL!$C$42, 40.7338, 40.7338) * CHOOSE(CONTROL!$C$21, $C$9, 100%, $E$9)</f>
        <v>40.733800000000002</v>
      </c>
      <c r="L671" s="14">
        <f>CHOOSE(CONTROL!$C$42, 41.2894, 41.2894) * CHOOSE(CONTROL!$C$21, $C$9, 100%, $E$9)</f>
        <v>41.289400000000001</v>
      </c>
      <c r="M671" s="14">
        <f>CHOOSE(CONTROL!$C$42, 39.8888, 39.8888) * CHOOSE(CONTROL!$C$21, $C$9, 100%, $E$9)</f>
        <v>39.888800000000003</v>
      </c>
      <c r="N671" s="14">
        <f>CHOOSE(CONTROL!$C$42, 39.9059, 39.9059) * CHOOSE(CONTROL!$C$21, $C$9, 100%, $E$9)</f>
        <v>39.905900000000003</v>
      </c>
      <c r="O671" s="14">
        <f>CHOOSE(CONTROL!$C$42, 39.978, 39.978) * CHOOSE(CONTROL!$C$21, $C$9, 100%, $E$9)</f>
        <v>39.978000000000002</v>
      </c>
      <c r="P671" s="14">
        <f>CHOOSE(CONTROL!$C$42, 40.0105, 40.0105) * CHOOSE(CONTROL!$C$21, $C$9, 100%, $E$9)</f>
        <v>40.0105</v>
      </c>
      <c r="Q671" s="14">
        <f>CHOOSE(CONTROL!$C$42, 40.5727, 40.5727) * CHOOSE(CONTROL!$C$21, $C$9, 100%, $E$9)</f>
        <v>40.572699999999998</v>
      </c>
      <c r="R671" s="14">
        <f>CHOOSE(CONTROL!$C$42, 41.2611, 41.2611) * CHOOSE(CONTROL!$C$21, $C$9, 100%, $E$9)</f>
        <v>41.261099999999999</v>
      </c>
      <c r="S671" s="14">
        <f>CHOOSE(CONTROL!$C$42, 38.9953, 38.9953) * CHOOSE(CONTROL!$C$21, $C$9, 100%, $E$9)</f>
        <v>38.9953</v>
      </c>
      <c r="T6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671" s="56">
        <f>(1000*CHOOSE(CONTROL!$C$42, 695, 695)*CHOOSE(CONTROL!$C$42, 0.5599, 0.5599)*CHOOSE(CONTROL!$C$42, 30, 30))/1000000</f>
        <v>11.673914999999997</v>
      </c>
      <c r="V671" s="56">
        <f>(1000*CHOOSE(CONTROL!$C$42, 500, 500)*CHOOSE(CONTROL!$C$42, 0.275, 0.275)*CHOOSE(CONTROL!$C$42, 30, 30))/1000000</f>
        <v>4.125</v>
      </c>
      <c r="W671" s="56">
        <f>(1000*CHOOSE(CONTROL!$C$42, 0.1146, 0.1146)*CHOOSE(CONTROL!$C$42, 121.5, 121.5)*CHOOSE(CONTROL!$C$42, 30, 30))/1000000</f>
        <v>0.417717</v>
      </c>
      <c r="X671" s="56">
        <f>(30*0.1790888*100000/1000000)+(30*0.2374*100000/1000000)</f>
        <v>1.2494664</v>
      </c>
      <c r="Y671" s="56"/>
      <c r="Z671" s="14"/>
      <c r="AA671" s="55"/>
      <c r="AB671" s="49">
        <f>(B671*122.58+C671*297.941+D671*89.177+E671*40.302+F671*40+G671*160+H671*0+I671*100+J671*300)/(122.58+297.941+89.177+40.302+0+40+160+100+300)</f>
        <v>40.628760959217388</v>
      </c>
      <c r="AC671" s="45">
        <f>(M671*'RAP TEMPLATE-GAS AVAILABILITY'!O670+N671*'RAP TEMPLATE-GAS AVAILABILITY'!P670+O671*'RAP TEMPLATE-GAS AVAILABILITY'!Q670+P671*'RAP TEMPLATE-GAS AVAILABILITY'!R670)/('RAP TEMPLATE-GAS AVAILABILITY'!O670+'RAP TEMPLATE-GAS AVAILABILITY'!P670+'RAP TEMPLATE-GAS AVAILABILITY'!Q670+'RAP TEMPLATE-GAS AVAILABILITY'!R670)</f>
        <v>39.947723741007195</v>
      </c>
    </row>
    <row r="672" spans="1:29" ht="15.75" x14ac:dyDescent="0.25">
      <c r="A672" s="32">
        <v>61362</v>
      </c>
      <c r="B672" s="14">
        <f>CHOOSE(CONTROL!$C$42, 43.3578, 43.3578) * CHOOSE(CONTROL!$C$21, $C$9, 100%, $E$9)</f>
        <v>43.357799999999997</v>
      </c>
      <c r="C672" s="14">
        <f>CHOOSE(CONTROL!$C$42, 43.3628, 43.3628) * CHOOSE(CONTROL!$C$21, $C$9, 100%, $E$9)</f>
        <v>43.3628</v>
      </c>
      <c r="D672" s="14">
        <f>CHOOSE(CONTROL!$C$42, 43.4459, 43.4459) * CHOOSE(CONTROL!$C$21, $C$9, 100%, $E$9)</f>
        <v>43.445900000000002</v>
      </c>
      <c r="E672" s="14">
        <f>CHOOSE(CONTROL!$C$42, 43.48, 43.48) * CHOOSE(CONTROL!$C$21, $C$9, 100%, $E$9)</f>
        <v>43.48</v>
      </c>
      <c r="F672" s="14">
        <f>CHOOSE(CONTROL!$C$42, 43.3878, 43.3878)*CHOOSE(CONTROL!$C$21, $C$9, 100%, $E$9)</f>
        <v>43.387799999999999</v>
      </c>
      <c r="G672" s="14">
        <f>CHOOSE(CONTROL!$C$42, 43.4059, 43.4059)*CHOOSE(CONTROL!$C$21, $C$9, 100%, $E$9)</f>
        <v>43.405900000000003</v>
      </c>
      <c r="H672" s="14">
        <f>CHOOSE(CONTROL!$C$42, 43.4692, 43.4692) * CHOOSE(CONTROL!$C$21, $C$9, 100%, $E$9)</f>
        <v>43.469200000000001</v>
      </c>
      <c r="I672" s="14">
        <f>CHOOSE(CONTROL!$C$42, 43.5132, 43.5132)* CHOOSE(CONTROL!$C$21, $C$9, 100%, $E$9)</f>
        <v>43.513199999999998</v>
      </c>
      <c r="J672" s="14">
        <f>CHOOSE(CONTROL!$C$42, 43.3808, 43.3808)* CHOOSE(CONTROL!$C$21, $C$9, 100%, $E$9)</f>
        <v>43.380800000000001</v>
      </c>
      <c r="K672" s="52">
        <f>CHOOSE(CONTROL!$C$42, 43.5093, 43.5093) * CHOOSE(CONTROL!$C$21, $C$9, 100%, $E$9)</f>
        <v>43.509300000000003</v>
      </c>
      <c r="L672" s="14">
        <f>CHOOSE(CONTROL!$C$42, 44.0562, 44.0562) * CHOOSE(CONTROL!$C$21, $C$9, 100%, $E$9)</f>
        <v>44.056199999999997</v>
      </c>
      <c r="M672" s="14">
        <f>CHOOSE(CONTROL!$C$42, 42.6083, 42.6083) * CHOOSE(CONTROL!$C$21, $C$9, 100%, $E$9)</f>
        <v>42.6083</v>
      </c>
      <c r="N672" s="14">
        <f>CHOOSE(CONTROL!$C$42, 42.6259, 42.6259) * CHOOSE(CONTROL!$C$21, $C$9, 100%, $E$9)</f>
        <v>42.625900000000001</v>
      </c>
      <c r="O672" s="14">
        <f>CHOOSE(CONTROL!$C$42, 42.695, 42.695) * CHOOSE(CONTROL!$C$21, $C$9, 100%, $E$9)</f>
        <v>42.695</v>
      </c>
      <c r="P672" s="14">
        <f>CHOOSE(CONTROL!$C$42, 42.7359, 42.7359) * CHOOSE(CONTROL!$C$21, $C$9, 100%, $E$9)</f>
        <v>42.735900000000001</v>
      </c>
      <c r="Q672" s="14">
        <f>CHOOSE(CONTROL!$C$42, 43.2897, 43.2897) * CHOOSE(CONTROL!$C$21, $C$9, 100%, $E$9)</f>
        <v>43.289700000000003</v>
      </c>
      <c r="R672" s="14">
        <f>CHOOSE(CONTROL!$C$42, 43.985, 43.985) * CHOOSE(CONTROL!$C$21, $C$9, 100%, $E$9)</f>
        <v>43.984999999999999</v>
      </c>
      <c r="S672" s="14">
        <f>CHOOSE(CONTROL!$C$42, 41.654, 41.654) * CHOOSE(CONTROL!$C$21, $C$9, 100%, $E$9)</f>
        <v>41.654000000000003</v>
      </c>
      <c r="T6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72" s="56">
        <f>(1000*CHOOSE(CONTROL!$C$42, 695, 695)*CHOOSE(CONTROL!$C$42, 0.5599, 0.5599)*CHOOSE(CONTROL!$C$42, 31, 31))/1000000</f>
        <v>12.063045499999998</v>
      </c>
      <c r="V672" s="56">
        <f>(1000*CHOOSE(CONTROL!$C$42, 500, 500)*CHOOSE(CONTROL!$C$42, 0.275, 0.275)*CHOOSE(CONTROL!$C$42, 31, 31))/1000000</f>
        <v>4.2625000000000002</v>
      </c>
      <c r="W672" s="56">
        <f>(1000*CHOOSE(CONTROL!$C$42, 0.1146, 0.1146)*CHOOSE(CONTROL!$C$42, 121.5, 121.5)*CHOOSE(CONTROL!$C$42, 31, 31))/1000000</f>
        <v>0.43164089999999994</v>
      </c>
      <c r="X672" s="56">
        <f>(31*0.1790888*100000/1000000)+(31*0.2374*100000/1000000)</f>
        <v>1.2911152800000001</v>
      </c>
      <c r="Y672" s="56"/>
      <c r="Z672" s="14"/>
      <c r="AA672" s="55"/>
      <c r="AB672" s="49">
        <f>(B672*122.58+C672*297.941+D672*89.177+E672*40.302+F672*40+G672*160+H672*0+I672*100+J672*300)/(122.58+297.941+89.177+40.302+0+40+160+100+300)</f>
        <v>43.397458350521738</v>
      </c>
      <c r="AC672" s="45">
        <f>(M672*'RAP TEMPLATE-GAS AVAILABILITY'!O671+N672*'RAP TEMPLATE-GAS AVAILABILITY'!P671+O672*'RAP TEMPLATE-GAS AVAILABILITY'!Q671+P672*'RAP TEMPLATE-GAS AVAILABILITY'!R671)/('RAP TEMPLATE-GAS AVAILABILITY'!O671+'RAP TEMPLATE-GAS AVAILABILITY'!P671+'RAP TEMPLATE-GAS AVAILABILITY'!Q671+'RAP TEMPLATE-GAS AVAILABILITY'!R671)</f>
        <v>42.666968345323745</v>
      </c>
    </row>
    <row r="673" spans="1:29" ht="15.75" x14ac:dyDescent="0.25">
      <c r="A673" s="32">
        <v>61393</v>
      </c>
      <c r="B673" s="14">
        <f>CHOOSE(CONTROL!$C$42, 46.9514, 46.9514) * CHOOSE(CONTROL!$C$21, $C$9, 100%, $E$9)</f>
        <v>46.9514</v>
      </c>
      <c r="C673" s="14">
        <f>CHOOSE(CONTROL!$C$42, 46.9564, 46.9564) * CHOOSE(CONTROL!$C$21, $C$9, 100%, $E$9)</f>
        <v>46.956400000000002</v>
      </c>
      <c r="D673" s="14">
        <f>CHOOSE(CONTROL!$C$42, 47.0499, 47.0499) * CHOOSE(CONTROL!$C$21, $C$9, 100%, $E$9)</f>
        <v>47.049900000000001</v>
      </c>
      <c r="E673" s="14">
        <f>CHOOSE(CONTROL!$C$42, 47.084, 47.084) * CHOOSE(CONTROL!$C$21, $C$9, 100%, $E$9)</f>
        <v>47.084000000000003</v>
      </c>
      <c r="F673" s="14">
        <f>CHOOSE(CONTROL!$C$42, 46.9787, 46.9787)*CHOOSE(CONTROL!$C$21, $C$9, 100%, $E$9)</f>
        <v>46.978700000000003</v>
      </c>
      <c r="G673" s="14">
        <f>CHOOSE(CONTROL!$C$42, 46.9967, 46.9967)*CHOOSE(CONTROL!$C$21, $C$9, 100%, $E$9)</f>
        <v>46.996699999999997</v>
      </c>
      <c r="H673" s="14">
        <f>CHOOSE(CONTROL!$C$42, 47.0732, 47.0732) * CHOOSE(CONTROL!$C$21, $C$9, 100%, $E$9)</f>
        <v>47.0732</v>
      </c>
      <c r="I673" s="14">
        <f>CHOOSE(CONTROL!$C$42, 47.1243, 47.1243)* CHOOSE(CONTROL!$C$21, $C$9, 100%, $E$9)</f>
        <v>47.124299999999998</v>
      </c>
      <c r="J673" s="14">
        <f>CHOOSE(CONTROL!$C$42, 46.9717, 46.9717)* CHOOSE(CONTROL!$C$21, $C$9, 100%, $E$9)</f>
        <v>46.971699999999998</v>
      </c>
      <c r="K673" s="52">
        <f>CHOOSE(CONTROL!$C$42, 47.1204, 47.1204) * CHOOSE(CONTROL!$C$21, $C$9, 100%, $E$9)</f>
        <v>47.120399999999997</v>
      </c>
      <c r="L673" s="14">
        <f>CHOOSE(CONTROL!$C$42, 47.6602, 47.6602) * CHOOSE(CONTROL!$C$21, $C$9, 100%, $E$9)</f>
        <v>47.660200000000003</v>
      </c>
      <c r="M673" s="14">
        <f>CHOOSE(CONTROL!$C$42, 46.1345, 46.1345) * CHOOSE(CONTROL!$C$21, $C$9, 100%, $E$9)</f>
        <v>46.134500000000003</v>
      </c>
      <c r="N673" s="14">
        <f>CHOOSE(CONTROL!$C$42, 46.1522, 46.1522) * CHOOSE(CONTROL!$C$21, $C$9, 100%, $E$9)</f>
        <v>46.152200000000001</v>
      </c>
      <c r="O673" s="14">
        <f>CHOOSE(CONTROL!$C$42, 46.2342, 46.2342) * CHOOSE(CONTROL!$C$21, $C$9, 100%, $E$9)</f>
        <v>46.234200000000001</v>
      </c>
      <c r="P673" s="14">
        <f>CHOOSE(CONTROL!$C$42, 46.2819, 46.2819) * CHOOSE(CONTROL!$C$21, $C$9, 100%, $E$9)</f>
        <v>46.2819</v>
      </c>
      <c r="Q673" s="14">
        <f>CHOOSE(CONTROL!$C$42, 46.8289, 46.8289) * CHOOSE(CONTROL!$C$21, $C$9, 100%, $E$9)</f>
        <v>46.828899999999997</v>
      </c>
      <c r="R673" s="14">
        <f>CHOOSE(CONTROL!$C$42, 47.533, 47.533) * CHOOSE(CONTROL!$C$21, $C$9, 100%, $E$9)</f>
        <v>47.533000000000001</v>
      </c>
      <c r="S673" s="14">
        <f>CHOOSE(CONTROL!$C$42, 45.107, 45.107) * CHOOSE(CONTROL!$C$21, $C$9, 100%, $E$9)</f>
        <v>45.106999999999999</v>
      </c>
      <c r="T6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73" s="56">
        <f>(1000*CHOOSE(CONTROL!$C$42, 695, 695)*CHOOSE(CONTROL!$C$42, 0.5599, 0.5599)*CHOOSE(CONTROL!$C$42, 31, 31))/1000000</f>
        <v>12.063045499999998</v>
      </c>
      <c r="V673" s="56">
        <f>(1000*CHOOSE(CONTROL!$C$42, 500, 500)*CHOOSE(CONTROL!$C$42, 0.275, 0.275)*CHOOSE(CONTROL!$C$42, 31, 31))/1000000</f>
        <v>4.2625000000000002</v>
      </c>
      <c r="W673" s="56">
        <f>(1000*CHOOSE(CONTROL!$C$42, 0.1146, 0.1146)*CHOOSE(CONTROL!$C$42, 121.5, 121.5)*CHOOSE(CONTROL!$C$42, 31, 31))/1000000</f>
        <v>0.43164089999999994</v>
      </c>
      <c r="X673" s="56">
        <f>(31*0.1790888*100000/1000000)+(31*0.2374*100000/1000000)</f>
        <v>1.2911152800000001</v>
      </c>
      <c r="Y673" s="56"/>
      <c r="Z673" s="14"/>
      <c r="AA673" s="55"/>
      <c r="AB673" s="49">
        <f>(B673*122.58+C673*297.941+D673*89.177+E673*40.302+F673*40+G673*160+H673*0+I673*100+J673*300)/(122.58+297.941+89.177+40.302+0+40+160+100+300)</f>
        <v>46.992563204086963</v>
      </c>
      <c r="AC673" s="45">
        <f>(M673*'RAP TEMPLATE-GAS AVAILABILITY'!O672+N673*'RAP TEMPLATE-GAS AVAILABILITY'!P672+O673*'RAP TEMPLATE-GAS AVAILABILITY'!Q672+P673*'RAP TEMPLATE-GAS AVAILABILITY'!R672)/('RAP TEMPLATE-GAS AVAILABILITY'!O672+'RAP TEMPLATE-GAS AVAILABILITY'!P672+'RAP TEMPLATE-GAS AVAILABILITY'!Q672+'RAP TEMPLATE-GAS AVAILABILITY'!R672)</f>
        <v>46.201915107913671</v>
      </c>
    </row>
    <row r="674" spans="1:29" ht="15.75" x14ac:dyDescent="0.25">
      <c r="A674" s="32">
        <v>61422</v>
      </c>
      <c r="B674" s="14">
        <f>CHOOSE(CONTROL!$C$42, 47.787, 47.787) * CHOOSE(CONTROL!$C$21, $C$9, 100%, $E$9)</f>
        <v>47.786999999999999</v>
      </c>
      <c r="C674" s="14">
        <f>CHOOSE(CONTROL!$C$42, 47.7921, 47.7921) * CHOOSE(CONTROL!$C$21, $C$9, 100%, $E$9)</f>
        <v>47.792099999999998</v>
      </c>
      <c r="D674" s="14">
        <f>CHOOSE(CONTROL!$C$42, 47.8856, 47.8856) * CHOOSE(CONTROL!$C$21, $C$9, 100%, $E$9)</f>
        <v>47.885599999999997</v>
      </c>
      <c r="E674" s="14">
        <f>CHOOSE(CONTROL!$C$42, 47.9197, 47.9197) * CHOOSE(CONTROL!$C$21, $C$9, 100%, $E$9)</f>
        <v>47.919699999999999</v>
      </c>
      <c r="F674" s="14">
        <f>CHOOSE(CONTROL!$C$42, 47.814, 47.814)*CHOOSE(CONTROL!$C$21, $C$9, 100%, $E$9)</f>
        <v>47.814</v>
      </c>
      <c r="G674" s="14">
        <f>CHOOSE(CONTROL!$C$42, 47.8318, 47.8318)*CHOOSE(CONTROL!$C$21, $C$9, 100%, $E$9)</f>
        <v>47.831800000000001</v>
      </c>
      <c r="H674" s="14">
        <f>CHOOSE(CONTROL!$C$42, 47.9089, 47.9089) * CHOOSE(CONTROL!$C$21, $C$9, 100%, $E$9)</f>
        <v>47.908900000000003</v>
      </c>
      <c r="I674" s="14">
        <f>CHOOSE(CONTROL!$C$42, 47.9626, 47.9626)* CHOOSE(CONTROL!$C$21, $C$9, 100%, $E$9)</f>
        <v>47.962600000000002</v>
      </c>
      <c r="J674" s="14">
        <f>CHOOSE(CONTROL!$C$42, 47.807, 47.807)* CHOOSE(CONTROL!$C$21, $C$9, 100%, $E$9)</f>
        <v>47.807000000000002</v>
      </c>
      <c r="K674" s="52">
        <f>CHOOSE(CONTROL!$C$42, 47.9587, 47.9587) * CHOOSE(CONTROL!$C$21, $C$9, 100%, $E$9)</f>
        <v>47.9587</v>
      </c>
      <c r="L674" s="14">
        <f>CHOOSE(CONTROL!$C$42, 48.4959, 48.4959) * CHOOSE(CONTROL!$C$21, $C$9, 100%, $E$9)</f>
        <v>48.495899999999999</v>
      </c>
      <c r="M674" s="14">
        <f>CHOOSE(CONTROL!$C$42, 46.9548, 46.9548) * CHOOSE(CONTROL!$C$21, $C$9, 100%, $E$9)</f>
        <v>46.954799999999999</v>
      </c>
      <c r="N674" s="14">
        <f>CHOOSE(CONTROL!$C$42, 46.9723, 46.9723) * CHOOSE(CONTROL!$C$21, $C$9, 100%, $E$9)</f>
        <v>46.972299999999997</v>
      </c>
      <c r="O674" s="14">
        <f>CHOOSE(CONTROL!$C$42, 47.0548, 47.0548) * CHOOSE(CONTROL!$C$21, $C$9, 100%, $E$9)</f>
        <v>47.0548</v>
      </c>
      <c r="P674" s="14">
        <f>CHOOSE(CONTROL!$C$42, 47.105, 47.105) * CHOOSE(CONTROL!$C$21, $C$9, 100%, $E$9)</f>
        <v>47.104999999999997</v>
      </c>
      <c r="Q674" s="14">
        <f>CHOOSE(CONTROL!$C$42, 47.6495, 47.6495) * CHOOSE(CONTROL!$C$21, $C$9, 100%, $E$9)</f>
        <v>47.649500000000003</v>
      </c>
      <c r="R674" s="14">
        <f>CHOOSE(CONTROL!$C$42, 48.3556, 48.3556) * CHOOSE(CONTROL!$C$21, $C$9, 100%, $E$9)</f>
        <v>48.355600000000003</v>
      </c>
      <c r="S674" s="14">
        <f>CHOOSE(CONTROL!$C$42, 45.91, 45.91) * CHOOSE(CONTROL!$C$21, $C$9, 100%, $E$9)</f>
        <v>45.91</v>
      </c>
      <c r="T67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674" s="56">
        <f>(1000*CHOOSE(CONTROL!$C$42, 695, 695)*CHOOSE(CONTROL!$C$42, 0.5599, 0.5599)*CHOOSE(CONTROL!$C$42, 29, 29))/1000000</f>
        <v>11.284784499999999</v>
      </c>
      <c r="V674" s="56">
        <f>(1000*CHOOSE(CONTROL!$C$42, 500, 500)*CHOOSE(CONTROL!$C$42, 0.275, 0.275)*CHOOSE(CONTROL!$C$42, 29, 29))/1000000</f>
        <v>3.9874999999999998</v>
      </c>
      <c r="W674" s="56">
        <f>(1000*CHOOSE(CONTROL!$C$42, 0.1146, 0.1146)*CHOOSE(CONTROL!$C$42, 121.5, 121.5)*CHOOSE(CONTROL!$C$42, 29, 29))/1000000</f>
        <v>0.40379309999999996</v>
      </c>
      <c r="X674" s="56">
        <f>(29*0.1790888*100000/1000000)+(29*0.2374*100000/1000000)</f>
        <v>1.2078175199999999</v>
      </c>
      <c r="Y674" s="56"/>
      <c r="Z674" s="14"/>
      <c r="AA674" s="55"/>
      <c r="AB674" s="49">
        <f>(B674*122.58+C674*297.941+D674*89.177+E674*40.302+F674*40+G674*160+H674*0+I674*100+J674*300)/(122.58+297.941+89.177+40.302+0+40+160+100+300)</f>
        <v>47.828276892782611</v>
      </c>
      <c r="AC674" s="45">
        <f>(M674*'RAP TEMPLATE-GAS AVAILABILITY'!O673+N674*'RAP TEMPLATE-GAS AVAILABILITY'!P673+O674*'RAP TEMPLATE-GAS AVAILABILITY'!Q673+P674*'RAP TEMPLATE-GAS AVAILABILITY'!R673)/('RAP TEMPLATE-GAS AVAILABILITY'!O673+'RAP TEMPLATE-GAS AVAILABILITY'!P673+'RAP TEMPLATE-GAS AVAILABILITY'!Q673+'RAP TEMPLATE-GAS AVAILABILITY'!R673)</f>
        <v>47.022742446043168</v>
      </c>
    </row>
    <row r="675" spans="1:29" ht="15.75" x14ac:dyDescent="0.25">
      <c r="A675" s="32">
        <v>61453</v>
      </c>
      <c r="B675" s="14">
        <f>CHOOSE(CONTROL!$C$42, 46.4306, 46.4306) * CHOOSE(CONTROL!$C$21, $C$9, 100%, $E$9)</f>
        <v>46.430599999999998</v>
      </c>
      <c r="C675" s="14">
        <f>CHOOSE(CONTROL!$C$42, 46.4356, 46.4356) * CHOOSE(CONTROL!$C$21, $C$9, 100%, $E$9)</f>
        <v>46.435600000000001</v>
      </c>
      <c r="D675" s="14">
        <f>CHOOSE(CONTROL!$C$42, 46.5291, 46.5291) * CHOOSE(CONTROL!$C$21, $C$9, 100%, $E$9)</f>
        <v>46.5291</v>
      </c>
      <c r="E675" s="14">
        <f>CHOOSE(CONTROL!$C$42, 46.5632, 46.5632) * CHOOSE(CONTROL!$C$21, $C$9, 100%, $E$9)</f>
        <v>46.563200000000002</v>
      </c>
      <c r="F675" s="14">
        <f>CHOOSE(CONTROL!$C$42, 46.4567, 46.4567)*CHOOSE(CONTROL!$C$21, $C$9, 100%, $E$9)</f>
        <v>46.456699999999998</v>
      </c>
      <c r="G675" s="14">
        <f>CHOOSE(CONTROL!$C$42, 46.4743, 46.4743)*CHOOSE(CONTROL!$C$21, $C$9, 100%, $E$9)</f>
        <v>46.474299999999999</v>
      </c>
      <c r="H675" s="14">
        <f>CHOOSE(CONTROL!$C$42, 46.5524, 46.5524) * CHOOSE(CONTROL!$C$21, $C$9, 100%, $E$9)</f>
        <v>46.552399999999999</v>
      </c>
      <c r="I675" s="14">
        <f>CHOOSE(CONTROL!$C$42, 46.6019, 46.6019)* CHOOSE(CONTROL!$C$21, $C$9, 100%, $E$9)</f>
        <v>46.601900000000001</v>
      </c>
      <c r="J675" s="14">
        <f>CHOOSE(CONTROL!$C$42, 46.4497, 46.4497)* CHOOSE(CONTROL!$C$21, $C$9, 100%, $E$9)</f>
        <v>46.4497</v>
      </c>
      <c r="K675" s="52">
        <f>CHOOSE(CONTROL!$C$42, 46.598, 46.598) * CHOOSE(CONTROL!$C$21, $C$9, 100%, $E$9)</f>
        <v>46.597999999999999</v>
      </c>
      <c r="L675" s="14">
        <f>CHOOSE(CONTROL!$C$42, 47.1394, 47.1394) * CHOOSE(CONTROL!$C$21, $C$9, 100%, $E$9)</f>
        <v>47.139400000000002</v>
      </c>
      <c r="M675" s="14">
        <f>CHOOSE(CONTROL!$C$42, 45.6219, 45.6219) * CHOOSE(CONTROL!$C$21, $C$9, 100%, $E$9)</f>
        <v>45.621899999999997</v>
      </c>
      <c r="N675" s="14">
        <f>CHOOSE(CONTROL!$C$42, 45.6392, 45.6392) * CHOOSE(CONTROL!$C$21, $C$9, 100%, $E$9)</f>
        <v>45.639200000000002</v>
      </c>
      <c r="O675" s="14">
        <f>CHOOSE(CONTROL!$C$42, 45.7228, 45.7228) * CHOOSE(CONTROL!$C$21, $C$9, 100%, $E$9)</f>
        <v>45.722799999999999</v>
      </c>
      <c r="P675" s="14">
        <f>CHOOSE(CONTROL!$C$42, 45.7689, 45.7689) * CHOOSE(CONTROL!$C$21, $C$9, 100%, $E$9)</f>
        <v>45.768900000000002</v>
      </c>
      <c r="Q675" s="14">
        <f>CHOOSE(CONTROL!$C$42, 46.3175, 46.3175) * CHOOSE(CONTROL!$C$21, $C$9, 100%, $E$9)</f>
        <v>46.317500000000003</v>
      </c>
      <c r="R675" s="14">
        <f>CHOOSE(CONTROL!$C$42, 47.0203, 47.0203) * CHOOSE(CONTROL!$C$21, $C$9, 100%, $E$9)</f>
        <v>47.020299999999999</v>
      </c>
      <c r="S675" s="14">
        <f>CHOOSE(CONTROL!$C$42, 44.6066, 44.6066) * CHOOSE(CONTROL!$C$21, $C$9, 100%, $E$9)</f>
        <v>44.6066</v>
      </c>
      <c r="T6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75" s="56">
        <f>(1000*CHOOSE(CONTROL!$C$42, 695, 695)*CHOOSE(CONTROL!$C$42, 0.5599, 0.5599)*CHOOSE(CONTROL!$C$42, 31, 31))/1000000</f>
        <v>12.063045499999998</v>
      </c>
      <c r="V675" s="56">
        <f>(1000*CHOOSE(CONTROL!$C$42, 500, 500)*CHOOSE(CONTROL!$C$42, 0.275, 0.275)*CHOOSE(CONTROL!$C$42, 31, 31))/1000000</f>
        <v>4.2625000000000002</v>
      </c>
      <c r="W675" s="56">
        <f>(1000*CHOOSE(CONTROL!$C$42, 0.1146, 0.1146)*CHOOSE(CONTROL!$C$42, 121.5, 121.5)*CHOOSE(CONTROL!$C$42, 31, 31))/1000000</f>
        <v>0.43164089999999994</v>
      </c>
      <c r="X675" s="56">
        <f>(31*0.1790888*100000/1000000)+(31*0.2374*100000/1000000)</f>
        <v>1.2911152800000001</v>
      </c>
      <c r="Y675" s="56"/>
      <c r="Z675" s="14"/>
      <c r="AA675" s="55"/>
      <c r="AB675" s="49">
        <f>(B675*122.58+C675*297.941+D675*89.177+E675*40.302+F675*40+G675*160+H675*0+I675*100+J675*300)/(122.58+297.941+89.177+40.302+0+40+160+100+300)</f>
        <v>46.471046682347826</v>
      </c>
      <c r="AC675" s="45">
        <f>(M675*'RAP TEMPLATE-GAS AVAILABILITY'!O674+N675*'RAP TEMPLATE-GAS AVAILABILITY'!P674+O675*'RAP TEMPLATE-GAS AVAILABILITY'!Q674+P675*'RAP TEMPLATE-GAS AVAILABILITY'!R674)/('RAP TEMPLATE-GAS AVAILABILITY'!O674+'RAP TEMPLATE-GAS AVAILABILITY'!P674+'RAP TEMPLATE-GAS AVAILABILITY'!Q674+'RAP TEMPLATE-GAS AVAILABILITY'!R674)</f>
        <v>45.68977841726619</v>
      </c>
    </row>
    <row r="676" spans="1:29" ht="15.75" x14ac:dyDescent="0.25">
      <c r="A676" s="32">
        <v>61483</v>
      </c>
      <c r="B676" s="14">
        <f>CHOOSE(CONTROL!$C$42, 46.2926, 46.2926) * CHOOSE(CONTROL!$C$21, $C$9, 100%, $E$9)</f>
        <v>46.2926</v>
      </c>
      <c r="C676" s="14">
        <f>CHOOSE(CONTROL!$C$42, 46.2971, 46.2971) * CHOOSE(CONTROL!$C$21, $C$9, 100%, $E$9)</f>
        <v>46.2971</v>
      </c>
      <c r="D676" s="14">
        <f>CHOOSE(CONTROL!$C$42, 46.5593, 46.5593) * CHOOSE(CONTROL!$C$21, $C$9, 100%, $E$9)</f>
        <v>46.5593</v>
      </c>
      <c r="E676" s="14">
        <f>CHOOSE(CONTROL!$C$42, 46.5914, 46.5914) * CHOOSE(CONTROL!$C$21, $C$9, 100%, $E$9)</f>
        <v>46.5914</v>
      </c>
      <c r="F676" s="14">
        <f>CHOOSE(CONTROL!$C$42, 46.3154, 46.3154)*CHOOSE(CONTROL!$C$21, $C$9, 100%, $E$9)</f>
        <v>46.315399999999997</v>
      </c>
      <c r="G676" s="14">
        <f>CHOOSE(CONTROL!$C$42, 46.3321, 46.3321)*CHOOSE(CONTROL!$C$21, $C$9, 100%, $E$9)</f>
        <v>46.332099999999997</v>
      </c>
      <c r="H676" s="14">
        <f>CHOOSE(CONTROL!$C$42, 46.5812, 46.5812) * CHOOSE(CONTROL!$C$21, $C$9, 100%, $E$9)</f>
        <v>46.581200000000003</v>
      </c>
      <c r="I676" s="14">
        <f>CHOOSE(CONTROL!$C$42, 46.4601, 46.4601)* CHOOSE(CONTROL!$C$21, $C$9, 100%, $E$9)</f>
        <v>46.460099999999997</v>
      </c>
      <c r="J676" s="14">
        <f>CHOOSE(CONTROL!$C$42, 46.3084, 46.3084)* CHOOSE(CONTROL!$C$21, $C$9, 100%, $E$9)</f>
        <v>46.308399999999999</v>
      </c>
      <c r="K676" s="52">
        <f>CHOOSE(CONTROL!$C$42, 46.4562, 46.4562) * CHOOSE(CONTROL!$C$21, $C$9, 100%, $E$9)</f>
        <v>46.456200000000003</v>
      </c>
      <c r="L676" s="14">
        <f>CHOOSE(CONTROL!$C$42, 47.1682, 47.1682) * CHOOSE(CONTROL!$C$21, $C$9, 100%, $E$9)</f>
        <v>47.168199999999999</v>
      </c>
      <c r="M676" s="14">
        <f>CHOOSE(CONTROL!$C$42, 45.4832, 45.4832) * CHOOSE(CONTROL!$C$21, $C$9, 100%, $E$9)</f>
        <v>45.483199999999997</v>
      </c>
      <c r="N676" s="14">
        <f>CHOOSE(CONTROL!$C$42, 45.4996, 45.4996) * CHOOSE(CONTROL!$C$21, $C$9, 100%, $E$9)</f>
        <v>45.499600000000001</v>
      </c>
      <c r="O676" s="14">
        <f>CHOOSE(CONTROL!$C$42, 45.7511, 45.7511) * CHOOSE(CONTROL!$C$21, $C$9, 100%, $E$9)</f>
        <v>45.751100000000001</v>
      </c>
      <c r="P676" s="14">
        <f>CHOOSE(CONTROL!$C$42, 45.6296, 45.6296) * CHOOSE(CONTROL!$C$21, $C$9, 100%, $E$9)</f>
        <v>45.629600000000003</v>
      </c>
      <c r="Q676" s="14">
        <f>CHOOSE(CONTROL!$C$42, 46.3458, 46.3458) * CHOOSE(CONTROL!$C$21, $C$9, 100%, $E$9)</f>
        <v>46.345799999999997</v>
      </c>
      <c r="R676" s="14">
        <f>CHOOSE(CONTROL!$C$42, 47.0486, 47.0486) * CHOOSE(CONTROL!$C$21, $C$9, 100%, $E$9)</f>
        <v>47.0486</v>
      </c>
      <c r="S676" s="14">
        <f>CHOOSE(CONTROL!$C$42, 44.4733, 44.4733) * CHOOSE(CONTROL!$C$21, $C$9, 100%, $E$9)</f>
        <v>44.473300000000002</v>
      </c>
      <c r="T6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76" s="56">
        <f>(1000*CHOOSE(CONTROL!$C$42, 695, 695)*CHOOSE(CONTROL!$C$42, 0.5599, 0.5599)*CHOOSE(CONTROL!$C$42, 30, 30))/1000000</f>
        <v>11.673914999999997</v>
      </c>
      <c r="V676" s="56">
        <f>(1000*CHOOSE(CONTROL!$C$42, 500, 500)*CHOOSE(CONTROL!$C$42, 0.275, 0.275)*CHOOSE(CONTROL!$C$42, 30, 30))/1000000</f>
        <v>4.125</v>
      </c>
      <c r="W676" s="56">
        <f>(1000*CHOOSE(CONTROL!$C$42, 0.1146, 0.1146)*CHOOSE(CONTROL!$C$42, 121.5, 121.5)*CHOOSE(CONTROL!$C$42, 30, 30))/1000000</f>
        <v>0.417717</v>
      </c>
      <c r="X676" s="56">
        <f>(30*0.1790888*245000/1000000)+(30*0.2374*100000/1000000)</f>
        <v>2.0285026799999999</v>
      </c>
      <c r="Y676" s="56"/>
      <c r="Z676" s="14"/>
      <c r="AA676" s="55"/>
      <c r="AB676" s="49">
        <f>(B676*141.293+C676*267.993+D676*115.016+E676*89.698+F676*40+G676*185+H676*0+I676*100+J676*300)/(141.293+267.993+115.016+89.698+0+40+185+100+300)</f>
        <v>46.363941402824857</v>
      </c>
      <c r="AC676" s="45">
        <f>(M676*'RAP TEMPLATE-GAS AVAILABILITY'!O675+N676*'RAP TEMPLATE-GAS AVAILABILITY'!P675+O676*'RAP TEMPLATE-GAS AVAILABILITY'!Q675+P676*'RAP TEMPLATE-GAS AVAILABILITY'!R675)/('RAP TEMPLATE-GAS AVAILABILITY'!O675+'RAP TEMPLATE-GAS AVAILABILITY'!P675+'RAP TEMPLATE-GAS AVAILABILITY'!Q675+'RAP TEMPLATE-GAS AVAILABILITY'!R675)</f>
        <v>45.626630935251796</v>
      </c>
    </row>
    <row r="677" spans="1:29" ht="15.75" x14ac:dyDescent="0.25">
      <c r="A677" s="32">
        <v>61514</v>
      </c>
      <c r="B677" s="14">
        <f>CHOOSE(CONTROL!$C$42, 46.7025, 46.7025) * CHOOSE(CONTROL!$C$21, $C$9, 100%, $E$9)</f>
        <v>46.702500000000001</v>
      </c>
      <c r="C677" s="14">
        <f>CHOOSE(CONTROL!$C$42, 46.7105, 46.7105) * CHOOSE(CONTROL!$C$21, $C$9, 100%, $E$9)</f>
        <v>46.710500000000003</v>
      </c>
      <c r="D677" s="14">
        <f>CHOOSE(CONTROL!$C$42, 46.9696, 46.9696) * CHOOSE(CONTROL!$C$21, $C$9, 100%, $E$9)</f>
        <v>46.9696</v>
      </c>
      <c r="E677" s="14">
        <f>CHOOSE(CONTROL!$C$42, 47.0011, 47.0011) * CHOOSE(CONTROL!$C$21, $C$9, 100%, $E$9)</f>
        <v>47.001100000000001</v>
      </c>
      <c r="F677" s="14">
        <f>CHOOSE(CONTROL!$C$42, 46.724, 46.724)*CHOOSE(CONTROL!$C$21, $C$9, 100%, $E$9)</f>
        <v>46.723999999999997</v>
      </c>
      <c r="G677" s="14">
        <f>CHOOSE(CONTROL!$C$42, 46.741, 46.741)*CHOOSE(CONTROL!$C$21, $C$9, 100%, $E$9)</f>
        <v>46.741</v>
      </c>
      <c r="H677" s="14">
        <f>CHOOSE(CONTROL!$C$42, 46.9897, 46.9897) * CHOOSE(CONTROL!$C$21, $C$9, 100%, $E$9)</f>
        <v>46.989699999999999</v>
      </c>
      <c r="I677" s="14">
        <f>CHOOSE(CONTROL!$C$42, 46.8698, 46.8698)* CHOOSE(CONTROL!$C$21, $C$9, 100%, $E$9)</f>
        <v>46.869799999999998</v>
      </c>
      <c r="J677" s="14">
        <f>CHOOSE(CONTROL!$C$42, 46.717, 46.717)* CHOOSE(CONTROL!$C$21, $C$9, 100%, $E$9)</f>
        <v>46.716999999999999</v>
      </c>
      <c r="K677" s="52">
        <f>CHOOSE(CONTROL!$C$42, 46.866, 46.866) * CHOOSE(CONTROL!$C$21, $C$9, 100%, $E$9)</f>
        <v>46.866</v>
      </c>
      <c r="L677" s="14">
        <f>CHOOSE(CONTROL!$C$42, 47.5767, 47.5767) * CHOOSE(CONTROL!$C$21, $C$9, 100%, $E$9)</f>
        <v>47.576700000000002</v>
      </c>
      <c r="M677" s="14">
        <f>CHOOSE(CONTROL!$C$42, 45.8844, 45.8844) * CHOOSE(CONTROL!$C$21, $C$9, 100%, $E$9)</f>
        <v>45.884399999999999</v>
      </c>
      <c r="N677" s="14">
        <f>CHOOSE(CONTROL!$C$42, 45.9011, 45.9011) * CHOOSE(CONTROL!$C$21, $C$9, 100%, $E$9)</f>
        <v>45.9011</v>
      </c>
      <c r="O677" s="14">
        <f>CHOOSE(CONTROL!$C$42, 46.1522, 46.1522) * CHOOSE(CONTROL!$C$21, $C$9, 100%, $E$9)</f>
        <v>46.152200000000001</v>
      </c>
      <c r="P677" s="14">
        <f>CHOOSE(CONTROL!$C$42, 46.032, 46.032) * CHOOSE(CONTROL!$C$21, $C$9, 100%, $E$9)</f>
        <v>46.031999999999996</v>
      </c>
      <c r="Q677" s="14">
        <f>CHOOSE(CONTROL!$C$42, 46.7469, 46.7469) * CHOOSE(CONTROL!$C$21, $C$9, 100%, $E$9)</f>
        <v>46.746899999999997</v>
      </c>
      <c r="R677" s="14">
        <f>CHOOSE(CONTROL!$C$42, 47.4508, 47.4508) * CHOOSE(CONTROL!$C$21, $C$9, 100%, $E$9)</f>
        <v>47.450800000000001</v>
      </c>
      <c r="S677" s="14">
        <f>CHOOSE(CONTROL!$C$42, 44.8658, 44.8658) * CHOOSE(CONTROL!$C$21, $C$9, 100%, $E$9)</f>
        <v>44.8658</v>
      </c>
      <c r="T6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77" s="56">
        <f>(1000*CHOOSE(CONTROL!$C$42, 695, 695)*CHOOSE(CONTROL!$C$42, 0.5599, 0.5599)*CHOOSE(CONTROL!$C$42, 31, 31))/1000000</f>
        <v>12.063045499999998</v>
      </c>
      <c r="V677" s="56">
        <f>(1000*CHOOSE(CONTROL!$C$42, 500, 500)*CHOOSE(CONTROL!$C$42, 0.275, 0.275)*CHOOSE(CONTROL!$C$42, 31, 31))/1000000</f>
        <v>4.2625000000000002</v>
      </c>
      <c r="W677" s="56">
        <f>(1000*CHOOSE(CONTROL!$C$42, 0.1146, 0.1146)*CHOOSE(CONTROL!$C$42, 121.5, 121.5)*CHOOSE(CONTROL!$C$42, 31, 31))/1000000</f>
        <v>0.43164089999999994</v>
      </c>
      <c r="X677" s="56">
        <f>(31*0.1790888*245000/1000000)+(31*0.2374*100000/1000000)</f>
        <v>2.0961194359999999</v>
      </c>
      <c r="Y677" s="56"/>
      <c r="Z677" s="14"/>
      <c r="AA677" s="55"/>
      <c r="AB677" s="49">
        <f>(B677*194.205+C677*267.466+D677*133.845+E677*53.484+F677*40+G677*185+H677*0+I677*100+J677*300)/(194.205+267.466+133.845+53.484+0+40+185+100+300)</f>
        <v>46.767588343720561</v>
      </c>
      <c r="AC677" s="45">
        <f>(M677*'RAP TEMPLATE-GAS AVAILABILITY'!O676+N677*'RAP TEMPLATE-GAS AVAILABILITY'!P676+O677*'RAP TEMPLATE-GAS AVAILABILITY'!Q676+P677*'RAP TEMPLATE-GAS AVAILABILITY'!R676)/('RAP TEMPLATE-GAS AVAILABILITY'!O676+'RAP TEMPLATE-GAS AVAILABILITY'!P676+'RAP TEMPLATE-GAS AVAILABILITY'!Q676+'RAP TEMPLATE-GAS AVAILABILITY'!R676)</f>
        <v>46.027975539568345</v>
      </c>
    </row>
    <row r="678" spans="1:29" ht="15.75" x14ac:dyDescent="0.25">
      <c r="A678" s="32">
        <v>61544</v>
      </c>
      <c r="B678" s="14">
        <f>CHOOSE(CONTROL!$C$42, 48.0269, 48.0269) * CHOOSE(CONTROL!$C$21, $C$9, 100%, $E$9)</f>
        <v>48.026899999999998</v>
      </c>
      <c r="C678" s="14">
        <f>CHOOSE(CONTROL!$C$42, 48.035, 48.035) * CHOOSE(CONTROL!$C$21, $C$9, 100%, $E$9)</f>
        <v>48.034999999999997</v>
      </c>
      <c r="D678" s="14">
        <f>CHOOSE(CONTROL!$C$42, 48.294, 48.294) * CHOOSE(CONTROL!$C$21, $C$9, 100%, $E$9)</f>
        <v>48.293999999999997</v>
      </c>
      <c r="E678" s="14">
        <f>CHOOSE(CONTROL!$C$42, 48.3255, 48.3255) * CHOOSE(CONTROL!$C$21, $C$9, 100%, $E$9)</f>
        <v>48.325499999999998</v>
      </c>
      <c r="F678" s="14">
        <f>CHOOSE(CONTROL!$C$42, 48.0487, 48.0487)*CHOOSE(CONTROL!$C$21, $C$9, 100%, $E$9)</f>
        <v>48.048699999999997</v>
      </c>
      <c r="G678" s="14">
        <f>CHOOSE(CONTROL!$C$42, 48.0657, 48.0657)*CHOOSE(CONTROL!$C$21, $C$9, 100%, $E$9)</f>
        <v>48.0657</v>
      </c>
      <c r="H678" s="14">
        <f>CHOOSE(CONTROL!$C$42, 48.3141, 48.3141) * CHOOSE(CONTROL!$C$21, $C$9, 100%, $E$9)</f>
        <v>48.314100000000003</v>
      </c>
      <c r="I678" s="14">
        <f>CHOOSE(CONTROL!$C$42, 48.1984, 48.1984)* CHOOSE(CONTROL!$C$21, $C$9, 100%, $E$9)</f>
        <v>48.198399999999999</v>
      </c>
      <c r="J678" s="14">
        <f>CHOOSE(CONTROL!$C$42, 48.0417, 48.0417)* CHOOSE(CONTROL!$C$21, $C$9, 100%, $E$9)</f>
        <v>48.041699999999999</v>
      </c>
      <c r="K678" s="52">
        <f>CHOOSE(CONTROL!$C$42, 48.1946, 48.1946) * CHOOSE(CONTROL!$C$21, $C$9, 100%, $E$9)</f>
        <v>48.194600000000001</v>
      </c>
      <c r="L678" s="14">
        <f>CHOOSE(CONTROL!$C$42, 48.9011, 48.9011) * CHOOSE(CONTROL!$C$21, $C$9, 100%, $E$9)</f>
        <v>48.9011</v>
      </c>
      <c r="M678" s="14">
        <f>CHOOSE(CONTROL!$C$42, 47.1853, 47.1853) * CHOOSE(CONTROL!$C$21, $C$9, 100%, $E$9)</f>
        <v>47.185299999999998</v>
      </c>
      <c r="N678" s="14">
        <f>CHOOSE(CONTROL!$C$42, 47.202, 47.202) * CHOOSE(CONTROL!$C$21, $C$9, 100%, $E$9)</f>
        <v>47.201999999999998</v>
      </c>
      <c r="O678" s="14">
        <f>CHOOSE(CONTROL!$C$42, 47.4528, 47.4528) * CHOOSE(CONTROL!$C$21, $C$9, 100%, $E$9)</f>
        <v>47.452800000000003</v>
      </c>
      <c r="P678" s="14">
        <f>CHOOSE(CONTROL!$C$42, 47.3366, 47.3366) * CHOOSE(CONTROL!$C$21, $C$9, 100%, $E$9)</f>
        <v>47.336599999999997</v>
      </c>
      <c r="Q678" s="14">
        <f>CHOOSE(CONTROL!$C$42, 48.0475, 48.0475) * CHOOSE(CONTROL!$C$21, $C$9, 100%, $E$9)</f>
        <v>48.047499999999999</v>
      </c>
      <c r="R678" s="14">
        <f>CHOOSE(CONTROL!$C$42, 48.7546, 48.7546) * CHOOSE(CONTROL!$C$21, $C$9, 100%, $E$9)</f>
        <v>48.754600000000003</v>
      </c>
      <c r="S678" s="14">
        <f>CHOOSE(CONTROL!$C$42, 46.1384, 46.1384) * CHOOSE(CONTROL!$C$21, $C$9, 100%, $E$9)</f>
        <v>46.138399999999997</v>
      </c>
      <c r="T6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78" s="56">
        <f>(1000*CHOOSE(CONTROL!$C$42, 695, 695)*CHOOSE(CONTROL!$C$42, 0.5599, 0.5599)*CHOOSE(CONTROL!$C$42, 30, 30))/1000000</f>
        <v>11.673914999999997</v>
      </c>
      <c r="V678" s="56">
        <f>(1000*CHOOSE(CONTROL!$C$42, 500, 500)*CHOOSE(CONTROL!$C$42, 0.275, 0.275)*CHOOSE(CONTROL!$C$42, 30, 30))/1000000</f>
        <v>4.125</v>
      </c>
      <c r="W678" s="56">
        <f>(1000*CHOOSE(CONTROL!$C$42, 0.1146, 0.1146)*CHOOSE(CONTROL!$C$42, 121.5, 121.5)*CHOOSE(CONTROL!$C$42, 30, 30))/1000000</f>
        <v>0.417717</v>
      </c>
      <c r="X678" s="56">
        <f>(30*0.1790888*245000/1000000)+(30*0.2374*100000/1000000)</f>
        <v>2.0285026799999999</v>
      </c>
      <c r="Y678" s="56"/>
      <c r="Z678" s="14"/>
      <c r="AA678" s="55"/>
      <c r="AB678" s="49">
        <f>(B678*194.205+C678*267.466+D678*133.845+E678*53.484+F678*40+G678*185+H678*0+I678*100+J678*300)/(194.205+267.466+133.845+53.484+0+40+185+100+300)</f>
        <v>48.09246263461538</v>
      </c>
      <c r="AC678" s="45">
        <f>(M678*'RAP TEMPLATE-GAS AVAILABILITY'!O677+N678*'RAP TEMPLATE-GAS AVAILABILITY'!P677+O678*'RAP TEMPLATE-GAS AVAILABILITY'!Q677+P678*'RAP TEMPLATE-GAS AVAILABILITY'!R677)/('RAP TEMPLATE-GAS AVAILABILITY'!O677+'RAP TEMPLATE-GAS AVAILABILITY'!P677+'RAP TEMPLATE-GAS AVAILABILITY'!Q677+'RAP TEMPLATE-GAS AVAILABILITY'!R677)</f>
        <v>47.329271942446042</v>
      </c>
    </row>
    <row r="679" spans="1:29" ht="15.75" x14ac:dyDescent="0.25">
      <c r="A679" s="32">
        <v>61575</v>
      </c>
      <c r="B679" s="14">
        <f>CHOOSE(CONTROL!$C$42, 47.1058, 47.1058) * CHOOSE(CONTROL!$C$21, $C$9, 100%, $E$9)</f>
        <v>47.105800000000002</v>
      </c>
      <c r="C679" s="14">
        <f>CHOOSE(CONTROL!$C$42, 47.1138, 47.1138) * CHOOSE(CONTROL!$C$21, $C$9, 100%, $E$9)</f>
        <v>47.113799999999998</v>
      </c>
      <c r="D679" s="14">
        <f>CHOOSE(CONTROL!$C$42, 47.3729, 47.3729) * CHOOSE(CONTROL!$C$21, $C$9, 100%, $E$9)</f>
        <v>47.372900000000001</v>
      </c>
      <c r="E679" s="14">
        <f>CHOOSE(CONTROL!$C$42, 47.4044, 47.4044) * CHOOSE(CONTROL!$C$21, $C$9, 100%, $E$9)</f>
        <v>47.404400000000003</v>
      </c>
      <c r="F679" s="14">
        <f>CHOOSE(CONTROL!$C$42, 47.128, 47.128)*CHOOSE(CONTROL!$C$21, $C$9, 100%, $E$9)</f>
        <v>47.128</v>
      </c>
      <c r="G679" s="14">
        <f>CHOOSE(CONTROL!$C$42, 47.1451, 47.1451)*CHOOSE(CONTROL!$C$21, $C$9, 100%, $E$9)</f>
        <v>47.145099999999999</v>
      </c>
      <c r="H679" s="14">
        <f>CHOOSE(CONTROL!$C$42, 47.393, 47.393) * CHOOSE(CONTROL!$C$21, $C$9, 100%, $E$9)</f>
        <v>47.393000000000001</v>
      </c>
      <c r="I679" s="14">
        <f>CHOOSE(CONTROL!$C$42, 47.2744, 47.2744)* CHOOSE(CONTROL!$C$21, $C$9, 100%, $E$9)</f>
        <v>47.2744</v>
      </c>
      <c r="J679" s="14">
        <f>CHOOSE(CONTROL!$C$42, 47.121, 47.121)* CHOOSE(CONTROL!$C$21, $C$9, 100%, $E$9)</f>
        <v>47.121000000000002</v>
      </c>
      <c r="K679" s="52">
        <f>CHOOSE(CONTROL!$C$42, 47.2705, 47.2705) * CHOOSE(CONTROL!$C$21, $C$9, 100%, $E$9)</f>
        <v>47.270499999999998</v>
      </c>
      <c r="L679" s="14">
        <f>CHOOSE(CONTROL!$C$42, 47.98, 47.98) * CHOOSE(CONTROL!$C$21, $C$9, 100%, $E$9)</f>
        <v>47.98</v>
      </c>
      <c r="M679" s="14">
        <f>CHOOSE(CONTROL!$C$42, 46.2811, 46.2811) * CHOOSE(CONTROL!$C$21, $C$9, 100%, $E$9)</f>
        <v>46.281100000000002</v>
      </c>
      <c r="N679" s="14">
        <f>CHOOSE(CONTROL!$C$42, 46.298, 46.298) * CHOOSE(CONTROL!$C$21, $C$9, 100%, $E$9)</f>
        <v>46.298000000000002</v>
      </c>
      <c r="O679" s="14">
        <f>CHOOSE(CONTROL!$C$42, 46.5482, 46.5482) * CHOOSE(CONTROL!$C$21, $C$9, 100%, $E$9)</f>
        <v>46.548200000000001</v>
      </c>
      <c r="P679" s="14">
        <f>CHOOSE(CONTROL!$C$42, 46.4292, 46.4292) * CHOOSE(CONTROL!$C$21, $C$9, 100%, $E$9)</f>
        <v>46.429200000000002</v>
      </c>
      <c r="Q679" s="14">
        <f>CHOOSE(CONTROL!$C$42, 47.1429, 47.1429) * CHOOSE(CONTROL!$C$21, $C$9, 100%, $E$9)</f>
        <v>47.142899999999997</v>
      </c>
      <c r="R679" s="14">
        <f>CHOOSE(CONTROL!$C$42, 47.8478, 47.8478) * CHOOSE(CONTROL!$C$21, $C$9, 100%, $E$9)</f>
        <v>47.847799999999999</v>
      </c>
      <c r="S679" s="14">
        <f>CHOOSE(CONTROL!$C$42, 45.2533, 45.2533) * CHOOSE(CONTROL!$C$21, $C$9, 100%, $E$9)</f>
        <v>45.253300000000003</v>
      </c>
      <c r="T6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79" s="56">
        <f>(1000*CHOOSE(CONTROL!$C$42, 695, 695)*CHOOSE(CONTROL!$C$42, 0.5599, 0.5599)*CHOOSE(CONTROL!$C$42, 31, 31))/1000000</f>
        <v>12.063045499999998</v>
      </c>
      <c r="V679" s="56">
        <f>(1000*CHOOSE(CONTROL!$C$42, 500, 500)*CHOOSE(CONTROL!$C$42, 0.275, 0.275)*CHOOSE(CONTROL!$C$42, 31, 31))/1000000</f>
        <v>4.2625000000000002</v>
      </c>
      <c r="W679" s="56">
        <f>(1000*CHOOSE(CONTROL!$C$42, 0.1146, 0.1146)*CHOOSE(CONTROL!$C$42, 121.5, 121.5)*CHOOSE(CONTROL!$C$42, 31, 31))/1000000</f>
        <v>0.43164089999999994</v>
      </c>
      <c r="X679" s="56">
        <f>(31*0.1790888*245000/1000000)+(31*0.2374*100000/1000000)</f>
        <v>2.0961194359999999</v>
      </c>
      <c r="Y679" s="56"/>
      <c r="Z679" s="14"/>
      <c r="AA679" s="55"/>
      <c r="AB679" s="49">
        <f>(B679*194.205+C679*267.466+D679*133.845+E679*53.484+F679*40+G679*185+H679*0+I679*100+J679*300)/(194.205+267.466+133.845+53.484+0+40+185+100+300)</f>
        <v>47.171293367268447</v>
      </c>
      <c r="AC679" s="45">
        <f>(M679*'RAP TEMPLATE-GAS AVAILABILITY'!O678+N679*'RAP TEMPLATE-GAS AVAILABILITY'!P678+O679*'RAP TEMPLATE-GAS AVAILABILITY'!Q678+P679*'RAP TEMPLATE-GAS AVAILABILITY'!R678)/('RAP TEMPLATE-GAS AVAILABILITY'!O678+'RAP TEMPLATE-GAS AVAILABILITY'!P678+'RAP TEMPLATE-GAS AVAILABILITY'!Q678+'RAP TEMPLATE-GAS AVAILABILITY'!R678)</f>
        <v>46.42444172661871</v>
      </c>
    </row>
    <row r="680" spans="1:29" ht="15.75" x14ac:dyDescent="0.25">
      <c r="A680" s="32">
        <v>61606</v>
      </c>
      <c r="B680" s="14">
        <f>CHOOSE(CONTROL!$C$42, 44.7796, 44.7796) * CHOOSE(CONTROL!$C$21, $C$9, 100%, $E$9)</f>
        <v>44.779600000000002</v>
      </c>
      <c r="C680" s="14">
        <f>CHOOSE(CONTROL!$C$42, 44.7876, 44.7876) * CHOOSE(CONTROL!$C$21, $C$9, 100%, $E$9)</f>
        <v>44.787599999999998</v>
      </c>
      <c r="D680" s="14">
        <f>CHOOSE(CONTROL!$C$42, 45.0467, 45.0467) * CHOOSE(CONTROL!$C$21, $C$9, 100%, $E$9)</f>
        <v>45.046700000000001</v>
      </c>
      <c r="E680" s="14">
        <f>CHOOSE(CONTROL!$C$42, 45.0781, 45.0781) * CHOOSE(CONTROL!$C$21, $C$9, 100%, $E$9)</f>
        <v>45.078099999999999</v>
      </c>
      <c r="F680" s="14">
        <f>CHOOSE(CONTROL!$C$42, 44.802, 44.802)*CHOOSE(CONTROL!$C$21, $C$9, 100%, $E$9)</f>
        <v>44.802</v>
      </c>
      <c r="G680" s="14">
        <f>CHOOSE(CONTROL!$C$42, 44.8192, 44.8192)*CHOOSE(CONTROL!$C$21, $C$9, 100%, $E$9)</f>
        <v>44.819200000000002</v>
      </c>
      <c r="H680" s="14">
        <f>CHOOSE(CONTROL!$C$42, 45.0668, 45.0668) * CHOOSE(CONTROL!$C$21, $C$9, 100%, $E$9)</f>
        <v>45.066800000000001</v>
      </c>
      <c r="I680" s="14">
        <f>CHOOSE(CONTROL!$C$42, 44.9409, 44.9409)* CHOOSE(CONTROL!$C$21, $C$9, 100%, $E$9)</f>
        <v>44.940899999999999</v>
      </c>
      <c r="J680" s="14">
        <f>CHOOSE(CONTROL!$C$42, 44.795, 44.795)* CHOOSE(CONTROL!$C$21, $C$9, 100%, $E$9)</f>
        <v>44.795000000000002</v>
      </c>
      <c r="K680" s="52">
        <f>CHOOSE(CONTROL!$C$42, 44.937, 44.937) * CHOOSE(CONTROL!$C$21, $C$9, 100%, $E$9)</f>
        <v>44.936999999999998</v>
      </c>
      <c r="L680" s="14">
        <f>CHOOSE(CONTROL!$C$42, 45.6538, 45.6538) * CHOOSE(CONTROL!$C$21, $C$9, 100%, $E$9)</f>
        <v>45.653799999999997</v>
      </c>
      <c r="M680" s="14">
        <f>CHOOSE(CONTROL!$C$42, 43.9969, 43.9969) * CHOOSE(CONTROL!$C$21, $C$9, 100%, $E$9)</f>
        <v>43.996899999999997</v>
      </c>
      <c r="N680" s="14">
        <f>CHOOSE(CONTROL!$C$42, 44.0138, 44.0138) * CHOOSE(CONTROL!$C$21, $C$9, 100%, $E$9)</f>
        <v>44.013800000000003</v>
      </c>
      <c r="O680" s="14">
        <f>CHOOSE(CONTROL!$C$42, 44.2639, 44.2639) * CHOOSE(CONTROL!$C$21, $C$9, 100%, $E$9)</f>
        <v>44.2639</v>
      </c>
      <c r="P680" s="14">
        <f>CHOOSE(CONTROL!$C$42, 44.1378, 44.1378) * CHOOSE(CONTROL!$C$21, $C$9, 100%, $E$9)</f>
        <v>44.137799999999999</v>
      </c>
      <c r="Q680" s="14">
        <f>CHOOSE(CONTROL!$C$42, 44.8586, 44.8586) * CHOOSE(CONTROL!$C$21, $C$9, 100%, $E$9)</f>
        <v>44.858600000000003</v>
      </c>
      <c r="R680" s="14">
        <f>CHOOSE(CONTROL!$C$42, 45.5577, 45.5577) * CHOOSE(CONTROL!$C$21, $C$9, 100%, $E$9)</f>
        <v>45.557699999999997</v>
      </c>
      <c r="S680" s="14">
        <f>CHOOSE(CONTROL!$C$42, 43.018, 43.018) * CHOOSE(CONTROL!$C$21, $C$9, 100%, $E$9)</f>
        <v>43.018000000000001</v>
      </c>
      <c r="T6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80" s="56">
        <f>(1000*CHOOSE(CONTROL!$C$42, 695, 695)*CHOOSE(CONTROL!$C$42, 0.5599, 0.5599)*CHOOSE(CONTROL!$C$42, 31, 31))/1000000</f>
        <v>12.063045499999998</v>
      </c>
      <c r="V680" s="56">
        <f>(1000*CHOOSE(CONTROL!$C$42, 500, 500)*CHOOSE(CONTROL!$C$42, 0.275, 0.275)*CHOOSE(CONTROL!$C$42, 31, 31))/1000000</f>
        <v>4.2625000000000002</v>
      </c>
      <c r="W680" s="56">
        <f>(1000*CHOOSE(CONTROL!$C$42, 0.1146, 0.1146)*CHOOSE(CONTROL!$C$42, 121.5, 121.5)*CHOOSE(CONTROL!$C$42, 31, 31))/1000000</f>
        <v>0.43164089999999994</v>
      </c>
      <c r="X680" s="56">
        <f>(31*0.1790888*245000/1000000)+(31*0.2374*100000/1000000)</f>
        <v>2.0961194359999999</v>
      </c>
      <c r="Y680" s="56"/>
      <c r="Z680" s="14"/>
      <c r="AA680" s="55"/>
      <c r="AB680" s="49">
        <f>(B680*194.205+C680*267.466+D680*133.845+E680*53.484+F680*40+G680*185+H680*0+I680*100+J680*300)/(194.205+267.466+133.845+53.484+0+40+185+100+300)</f>
        <v>44.844613109497644</v>
      </c>
      <c r="AC680" s="45">
        <f>(M680*'RAP TEMPLATE-GAS AVAILABILITY'!O679+N680*'RAP TEMPLATE-GAS AVAILABILITY'!P679+O680*'RAP TEMPLATE-GAS AVAILABILITY'!Q679+P680*'RAP TEMPLATE-GAS AVAILABILITY'!R679)/('RAP TEMPLATE-GAS AVAILABILITY'!O679+'RAP TEMPLATE-GAS AVAILABILITY'!P679+'RAP TEMPLATE-GAS AVAILABILITY'!Q679+'RAP TEMPLATE-GAS AVAILABILITY'!R679)</f>
        <v>44.139160431654673</v>
      </c>
    </row>
    <row r="681" spans="1:29" ht="15.75" x14ac:dyDescent="0.25">
      <c r="A681" s="32">
        <v>61636</v>
      </c>
      <c r="B681" s="14">
        <f>CHOOSE(CONTROL!$C$42, 41.9371, 41.9371) * CHOOSE(CONTROL!$C$21, $C$9, 100%, $E$9)</f>
        <v>41.937100000000001</v>
      </c>
      <c r="C681" s="14">
        <f>CHOOSE(CONTROL!$C$42, 41.9452, 41.9452) * CHOOSE(CONTROL!$C$21, $C$9, 100%, $E$9)</f>
        <v>41.9452</v>
      </c>
      <c r="D681" s="14">
        <f>CHOOSE(CONTROL!$C$42, 42.2042, 42.2042) * CHOOSE(CONTROL!$C$21, $C$9, 100%, $E$9)</f>
        <v>42.2042</v>
      </c>
      <c r="E681" s="14">
        <f>CHOOSE(CONTROL!$C$42, 42.2357, 42.2357) * CHOOSE(CONTROL!$C$21, $C$9, 100%, $E$9)</f>
        <v>42.235700000000001</v>
      </c>
      <c r="F681" s="14">
        <f>CHOOSE(CONTROL!$C$42, 41.9596, 41.9596)*CHOOSE(CONTROL!$C$21, $C$9, 100%, $E$9)</f>
        <v>41.959600000000002</v>
      </c>
      <c r="G681" s="14">
        <f>CHOOSE(CONTROL!$C$42, 41.9768, 41.9768)*CHOOSE(CONTROL!$C$21, $C$9, 100%, $E$9)</f>
        <v>41.976799999999997</v>
      </c>
      <c r="H681" s="14">
        <f>CHOOSE(CONTROL!$C$42, 42.2243, 42.2243) * CHOOSE(CONTROL!$C$21, $C$9, 100%, $E$9)</f>
        <v>42.224299999999999</v>
      </c>
      <c r="I681" s="14">
        <f>CHOOSE(CONTROL!$C$42, 42.0896, 42.0896)* CHOOSE(CONTROL!$C$21, $C$9, 100%, $E$9)</f>
        <v>42.089599999999997</v>
      </c>
      <c r="J681" s="14">
        <f>CHOOSE(CONTROL!$C$42, 41.9526, 41.9526)* CHOOSE(CONTROL!$C$21, $C$9, 100%, $E$9)</f>
        <v>41.952599999999997</v>
      </c>
      <c r="K681" s="52">
        <f>CHOOSE(CONTROL!$C$42, 42.0857, 42.0857) * CHOOSE(CONTROL!$C$21, $C$9, 100%, $E$9)</f>
        <v>42.085700000000003</v>
      </c>
      <c r="L681" s="14">
        <f>CHOOSE(CONTROL!$C$42, 42.8113, 42.8113) * CHOOSE(CONTROL!$C$21, $C$9, 100%, $E$9)</f>
        <v>42.811300000000003</v>
      </c>
      <c r="M681" s="14">
        <f>CHOOSE(CONTROL!$C$42, 41.2057, 41.2057) * CHOOSE(CONTROL!$C$21, $C$9, 100%, $E$9)</f>
        <v>41.2057</v>
      </c>
      <c r="N681" s="14">
        <f>CHOOSE(CONTROL!$C$42, 41.2226, 41.2226) * CHOOSE(CONTROL!$C$21, $C$9, 100%, $E$9)</f>
        <v>41.2226</v>
      </c>
      <c r="O681" s="14">
        <f>CHOOSE(CONTROL!$C$42, 41.4726, 41.4726) * CHOOSE(CONTROL!$C$21, $C$9, 100%, $E$9)</f>
        <v>41.4726</v>
      </c>
      <c r="P681" s="14">
        <f>CHOOSE(CONTROL!$C$42, 41.3379, 41.3379) * CHOOSE(CONTROL!$C$21, $C$9, 100%, $E$9)</f>
        <v>41.337899999999998</v>
      </c>
      <c r="Q681" s="14">
        <f>CHOOSE(CONTROL!$C$42, 42.0673, 42.0673) * CHOOSE(CONTROL!$C$21, $C$9, 100%, $E$9)</f>
        <v>42.067300000000003</v>
      </c>
      <c r="R681" s="14">
        <f>CHOOSE(CONTROL!$C$42, 42.7594, 42.7594) * CHOOSE(CONTROL!$C$21, $C$9, 100%, $E$9)</f>
        <v>42.759399999999999</v>
      </c>
      <c r="S681" s="14">
        <f>CHOOSE(CONTROL!$C$42, 40.2868, 40.2868) * CHOOSE(CONTROL!$C$21, $C$9, 100%, $E$9)</f>
        <v>40.286799999999999</v>
      </c>
      <c r="T6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81" s="56">
        <f>(1000*CHOOSE(CONTROL!$C$42, 695, 695)*CHOOSE(CONTROL!$C$42, 0.5599, 0.5599)*CHOOSE(CONTROL!$C$42, 30, 30))/1000000</f>
        <v>11.673914999999997</v>
      </c>
      <c r="V681" s="56">
        <f>(1000*CHOOSE(CONTROL!$C$42, 500, 500)*CHOOSE(CONTROL!$C$42, 0.275, 0.275)*CHOOSE(CONTROL!$C$42, 30, 30))/1000000</f>
        <v>4.125</v>
      </c>
      <c r="W681" s="56">
        <f>(1000*CHOOSE(CONTROL!$C$42, 0.1146, 0.1146)*CHOOSE(CONTROL!$C$42, 121.5, 121.5)*CHOOSE(CONTROL!$C$42, 30, 30))/1000000</f>
        <v>0.417717</v>
      </c>
      <c r="X681" s="56">
        <f>(30*0.1790888*245000/1000000)+(30*0.2374*100000/1000000)</f>
        <v>2.0285026799999999</v>
      </c>
      <c r="Y681" s="56"/>
      <c r="Z681" s="14"/>
      <c r="AA681" s="55"/>
      <c r="AB681" s="49">
        <f>(B681*194.205+C681*267.466+D681*133.845+E681*53.484+F681*40+G681*185+H681*0+I681*100+J681*300)/(194.205+267.466+133.845+53.484+0+40+185+100+300)</f>
        <v>42.001488772762947</v>
      </c>
      <c r="AC681" s="45">
        <f>(M681*'RAP TEMPLATE-GAS AVAILABILITY'!O680+N681*'RAP TEMPLATE-GAS AVAILABILITY'!P680+O681*'RAP TEMPLATE-GAS AVAILABILITY'!Q680+P681*'RAP TEMPLATE-GAS AVAILABILITY'!R680)/('RAP TEMPLATE-GAS AVAILABILITY'!O680+'RAP TEMPLATE-GAS AVAILABILITY'!P680+'RAP TEMPLATE-GAS AVAILABILITY'!Q680+'RAP TEMPLATE-GAS AVAILABILITY'!R680)</f>
        <v>41.346663309352522</v>
      </c>
    </row>
    <row r="682" spans="1:29" ht="15.75" x14ac:dyDescent="0.25">
      <c r="A682" s="32">
        <v>61667</v>
      </c>
      <c r="B682" s="14">
        <f>CHOOSE(CONTROL!$C$42, 41.0841, 41.0841) * CHOOSE(CONTROL!$C$21, $C$9, 100%, $E$9)</f>
        <v>41.084099999999999</v>
      </c>
      <c r="C682" s="14">
        <f>CHOOSE(CONTROL!$C$42, 41.0894, 41.0894) * CHOOSE(CONTROL!$C$21, $C$9, 100%, $E$9)</f>
        <v>41.089399999999998</v>
      </c>
      <c r="D682" s="14">
        <f>CHOOSE(CONTROL!$C$42, 41.3535, 41.3535) * CHOOSE(CONTROL!$C$21, $C$9, 100%, $E$9)</f>
        <v>41.353499999999997</v>
      </c>
      <c r="E682" s="14">
        <f>CHOOSE(CONTROL!$C$42, 41.3826, 41.3826) * CHOOSE(CONTROL!$C$21, $C$9, 100%, $E$9)</f>
        <v>41.382599999999996</v>
      </c>
      <c r="F682" s="14">
        <f>CHOOSE(CONTROL!$C$42, 41.1087, 41.1087)*CHOOSE(CONTROL!$C$21, $C$9, 100%, $E$9)</f>
        <v>41.108699999999999</v>
      </c>
      <c r="G682" s="14">
        <f>CHOOSE(CONTROL!$C$42, 41.1258, 41.1258)*CHOOSE(CONTROL!$C$21, $C$9, 100%, $E$9)</f>
        <v>41.125799999999998</v>
      </c>
      <c r="H682" s="14">
        <f>CHOOSE(CONTROL!$C$42, 41.3731, 41.3731) * CHOOSE(CONTROL!$C$21, $C$9, 100%, $E$9)</f>
        <v>41.373100000000001</v>
      </c>
      <c r="I682" s="14">
        <f>CHOOSE(CONTROL!$C$42, 41.2356, 41.2356)* CHOOSE(CONTROL!$C$21, $C$9, 100%, $E$9)</f>
        <v>41.235599999999998</v>
      </c>
      <c r="J682" s="14">
        <f>CHOOSE(CONTROL!$C$42, 41.1017, 41.1017)* CHOOSE(CONTROL!$C$21, $C$9, 100%, $E$9)</f>
        <v>41.101700000000001</v>
      </c>
      <c r="K682" s="52">
        <f>CHOOSE(CONTROL!$C$42, 41.2318, 41.2318) * CHOOSE(CONTROL!$C$21, $C$9, 100%, $E$9)</f>
        <v>41.2318</v>
      </c>
      <c r="L682" s="14">
        <f>CHOOSE(CONTROL!$C$42, 41.9601, 41.9601) * CHOOSE(CONTROL!$C$21, $C$9, 100%, $E$9)</f>
        <v>41.960099999999997</v>
      </c>
      <c r="M682" s="14">
        <f>CHOOSE(CONTROL!$C$42, 40.3702, 40.3702) * CHOOSE(CONTROL!$C$21, $C$9, 100%, $E$9)</f>
        <v>40.370199999999997</v>
      </c>
      <c r="N682" s="14">
        <f>CHOOSE(CONTROL!$C$42, 40.3869, 40.3869) * CHOOSE(CONTROL!$C$21, $C$9, 100%, $E$9)</f>
        <v>40.386899999999997</v>
      </c>
      <c r="O682" s="14">
        <f>CHOOSE(CONTROL!$C$42, 40.6366, 40.6366) * CHOOSE(CONTROL!$C$21, $C$9, 100%, $E$9)</f>
        <v>40.636600000000001</v>
      </c>
      <c r="P682" s="14">
        <f>CHOOSE(CONTROL!$C$42, 40.4994, 40.4994) * CHOOSE(CONTROL!$C$21, $C$9, 100%, $E$9)</f>
        <v>40.499400000000001</v>
      </c>
      <c r="Q682" s="14">
        <f>CHOOSE(CONTROL!$C$42, 41.2313, 41.2313) * CHOOSE(CONTROL!$C$21, $C$9, 100%, $E$9)</f>
        <v>41.231299999999997</v>
      </c>
      <c r="R682" s="14">
        <f>CHOOSE(CONTROL!$C$42, 41.9214, 41.9214) * CHOOSE(CONTROL!$C$21, $C$9, 100%, $E$9)</f>
        <v>41.921399999999998</v>
      </c>
      <c r="S682" s="14">
        <f>CHOOSE(CONTROL!$C$42, 39.4688, 39.4688) * CHOOSE(CONTROL!$C$21, $C$9, 100%, $E$9)</f>
        <v>39.468800000000002</v>
      </c>
      <c r="T6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682" s="56">
        <f>(1000*CHOOSE(CONTROL!$C$42, 695, 695)*CHOOSE(CONTROL!$C$42, 0.5599, 0.5599)*CHOOSE(CONTROL!$C$42, 31, 31))/1000000</f>
        <v>12.063045499999998</v>
      </c>
      <c r="V682" s="56">
        <f>(1000*CHOOSE(CONTROL!$C$42, 500, 500)*CHOOSE(CONTROL!$C$42, 0.275, 0.275)*CHOOSE(CONTROL!$C$42, 31, 31))/1000000</f>
        <v>4.2625000000000002</v>
      </c>
      <c r="W682" s="56">
        <f>(1000*CHOOSE(CONTROL!$C$42, 0.1146, 0.1146)*CHOOSE(CONTROL!$C$42, 121.5, 121.5)*CHOOSE(CONTROL!$C$42, 31, 31))/1000000</f>
        <v>0.43164089999999994</v>
      </c>
      <c r="X682" s="56">
        <f>(31*0.1790888*245000/1000000)+(31*0.2374*100000/1000000)</f>
        <v>2.0961194359999999</v>
      </c>
      <c r="Y682" s="56"/>
      <c r="Z682" s="14"/>
      <c r="AA682" s="55"/>
      <c r="AB682" s="49">
        <f>(B682*131.881+C682*277.167+D682*79.08+E682*125.872+F682*40+G682*185+H682*0+I682*100+J682*300)/(131.881+277.167+79.08+125.872+0+40+185+100+300)</f>
        <v>41.156315035593217</v>
      </c>
      <c r="AC682" s="45">
        <f>(M682*'RAP TEMPLATE-GAS AVAILABILITY'!O681+N682*'RAP TEMPLATE-GAS AVAILABILITY'!P681+O682*'RAP TEMPLATE-GAS AVAILABILITY'!Q681+P682*'RAP TEMPLATE-GAS AVAILABILITY'!R681)/('RAP TEMPLATE-GAS AVAILABILITY'!O681+'RAP TEMPLATE-GAS AVAILABILITY'!P681+'RAP TEMPLATE-GAS AVAILABILITY'!Q681+'RAP TEMPLATE-GAS AVAILABILITY'!R681)</f>
        <v>40.510493525179861</v>
      </c>
    </row>
    <row r="683" spans="1:29" ht="15.75" x14ac:dyDescent="0.25">
      <c r="A683" s="32">
        <v>61697</v>
      </c>
      <c r="B683" s="14">
        <f>CHOOSE(CONTROL!$C$42, 42.1658, 42.1658) * CHOOSE(CONTROL!$C$21, $C$9, 100%, $E$9)</f>
        <v>42.165799999999997</v>
      </c>
      <c r="C683" s="14">
        <f>CHOOSE(CONTROL!$C$42, 42.1708, 42.1708) * CHOOSE(CONTROL!$C$21, $C$9, 100%, $E$9)</f>
        <v>42.1708</v>
      </c>
      <c r="D683" s="14">
        <f>CHOOSE(CONTROL!$C$42, 42.2539, 42.2539) * CHOOSE(CONTROL!$C$21, $C$9, 100%, $E$9)</f>
        <v>42.253900000000002</v>
      </c>
      <c r="E683" s="14">
        <f>CHOOSE(CONTROL!$C$42, 42.288, 42.288) * CHOOSE(CONTROL!$C$21, $C$9, 100%, $E$9)</f>
        <v>42.287999999999997</v>
      </c>
      <c r="F683" s="14">
        <f>CHOOSE(CONTROL!$C$42, 42.1934, 42.1934)*CHOOSE(CONTROL!$C$21, $C$9, 100%, $E$9)</f>
        <v>42.193399999999997</v>
      </c>
      <c r="G683" s="14">
        <f>CHOOSE(CONTROL!$C$42, 42.2108, 42.2108)*CHOOSE(CONTROL!$C$21, $C$9, 100%, $E$9)</f>
        <v>42.210799999999999</v>
      </c>
      <c r="H683" s="14">
        <f>CHOOSE(CONTROL!$C$42, 42.2772, 42.2772) * CHOOSE(CONTROL!$C$21, $C$9, 100%, $E$9)</f>
        <v>42.277200000000001</v>
      </c>
      <c r="I683" s="14">
        <f>CHOOSE(CONTROL!$C$42, 42.3175, 42.3175)* CHOOSE(CONTROL!$C$21, $C$9, 100%, $E$9)</f>
        <v>42.317500000000003</v>
      </c>
      <c r="J683" s="14">
        <f>CHOOSE(CONTROL!$C$42, 42.1864, 42.1864)* CHOOSE(CONTROL!$C$21, $C$9, 100%, $E$9)</f>
        <v>42.186399999999999</v>
      </c>
      <c r="K683" s="52">
        <f>CHOOSE(CONTROL!$C$42, 42.3136, 42.3136) * CHOOSE(CONTROL!$C$21, $C$9, 100%, $E$9)</f>
        <v>42.313600000000001</v>
      </c>
      <c r="L683" s="14">
        <f>CHOOSE(CONTROL!$C$42, 42.8642, 42.8642) * CHOOSE(CONTROL!$C$21, $C$9, 100%, $E$9)</f>
        <v>42.864199999999997</v>
      </c>
      <c r="M683" s="14">
        <f>CHOOSE(CONTROL!$C$42, 41.4353, 41.4353) * CHOOSE(CONTROL!$C$21, $C$9, 100%, $E$9)</f>
        <v>41.435299999999998</v>
      </c>
      <c r="N683" s="14">
        <f>CHOOSE(CONTROL!$C$42, 41.4524, 41.4524) * CHOOSE(CONTROL!$C$21, $C$9, 100%, $E$9)</f>
        <v>41.452399999999997</v>
      </c>
      <c r="O683" s="14">
        <f>CHOOSE(CONTROL!$C$42, 41.5245, 41.5245) * CHOOSE(CONTROL!$C$21, $C$9, 100%, $E$9)</f>
        <v>41.524500000000003</v>
      </c>
      <c r="P683" s="14">
        <f>CHOOSE(CONTROL!$C$42, 41.5617, 41.5617) * CHOOSE(CONTROL!$C$21, $C$9, 100%, $E$9)</f>
        <v>41.561700000000002</v>
      </c>
      <c r="Q683" s="14">
        <f>CHOOSE(CONTROL!$C$42, 42.1192, 42.1192) * CHOOSE(CONTROL!$C$21, $C$9, 100%, $E$9)</f>
        <v>42.119199999999999</v>
      </c>
      <c r="R683" s="14">
        <f>CHOOSE(CONTROL!$C$42, 42.8115, 42.8115) * CHOOSE(CONTROL!$C$21, $C$9, 100%, $E$9)</f>
        <v>42.811500000000002</v>
      </c>
      <c r="S683" s="14">
        <f>CHOOSE(CONTROL!$C$42, 40.5086, 40.5086) * CHOOSE(CONTROL!$C$21, $C$9, 100%, $E$9)</f>
        <v>40.508600000000001</v>
      </c>
      <c r="T6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683" s="56">
        <f>(1000*CHOOSE(CONTROL!$C$42, 695, 695)*CHOOSE(CONTROL!$C$42, 0.5599, 0.5599)*CHOOSE(CONTROL!$C$42, 30, 30))/1000000</f>
        <v>11.673914999999997</v>
      </c>
      <c r="V683" s="56">
        <f>(1000*CHOOSE(CONTROL!$C$42, 500, 500)*CHOOSE(CONTROL!$C$42, 0.275, 0.275)*CHOOSE(CONTROL!$C$42, 30, 30))/1000000</f>
        <v>4.125</v>
      </c>
      <c r="W683" s="56">
        <f>(1000*CHOOSE(CONTROL!$C$42, 0.1146, 0.1146)*CHOOSE(CONTROL!$C$42, 121.5, 121.5)*CHOOSE(CONTROL!$C$42, 30, 30))/1000000</f>
        <v>0.417717</v>
      </c>
      <c r="X683" s="56">
        <f>(30*0.1790888*100000/1000000)+(30*0.2374*100000/1000000)</f>
        <v>1.2494664</v>
      </c>
      <c r="Y683" s="56"/>
      <c r="Z683" s="14"/>
      <c r="AA683" s="55"/>
      <c r="AB683" s="49">
        <f>(B683*122.58+C683*297.941+D683*89.177+E683*40.302+F683*40+G683*160+H683*0+I683*100+J683*300)/(122.58+297.941+89.177+40.302+0+40+160+100+300)</f>
        <v>42.203995741826084</v>
      </c>
      <c r="AC683" s="45">
        <f>(M683*'RAP TEMPLATE-GAS AVAILABILITY'!O682+N683*'RAP TEMPLATE-GAS AVAILABILITY'!P682+O683*'RAP TEMPLATE-GAS AVAILABILITY'!Q682+P683*'RAP TEMPLATE-GAS AVAILABILITY'!R682)/('RAP TEMPLATE-GAS AVAILABILITY'!O682+'RAP TEMPLATE-GAS AVAILABILITY'!P682+'RAP TEMPLATE-GAS AVAILABILITY'!Q682+'RAP TEMPLATE-GAS AVAILABILITY'!R682)</f>
        <v>41.494899999999994</v>
      </c>
    </row>
    <row r="684" spans="1:29" ht="15.75" x14ac:dyDescent="0.25">
      <c r="A684" s="32">
        <v>61728</v>
      </c>
      <c r="B684" s="14">
        <f>CHOOSE(CONTROL!$C$42, 45.04, 45.04) * CHOOSE(CONTROL!$C$21, $C$9, 100%, $E$9)</f>
        <v>45.04</v>
      </c>
      <c r="C684" s="14">
        <f>CHOOSE(CONTROL!$C$42, 45.045, 45.045) * CHOOSE(CONTROL!$C$21, $C$9, 100%, $E$9)</f>
        <v>45.045000000000002</v>
      </c>
      <c r="D684" s="14">
        <f>CHOOSE(CONTROL!$C$42, 45.1281, 45.1281) * CHOOSE(CONTROL!$C$21, $C$9, 100%, $E$9)</f>
        <v>45.128100000000003</v>
      </c>
      <c r="E684" s="14">
        <f>CHOOSE(CONTROL!$C$42, 45.1622, 45.1622) * CHOOSE(CONTROL!$C$21, $C$9, 100%, $E$9)</f>
        <v>45.162199999999999</v>
      </c>
      <c r="F684" s="14">
        <f>CHOOSE(CONTROL!$C$42, 45.07, 45.07)*CHOOSE(CONTROL!$C$21, $C$9, 100%, $E$9)</f>
        <v>45.07</v>
      </c>
      <c r="G684" s="14">
        <f>CHOOSE(CONTROL!$C$42, 45.088, 45.088)*CHOOSE(CONTROL!$C$21, $C$9, 100%, $E$9)</f>
        <v>45.088000000000001</v>
      </c>
      <c r="H684" s="14">
        <f>CHOOSE(CONTROL!$C$42, 45.1514, 45.1514) * CHOOSE(CONTROL!$C$21, $C$9, 100%, $E$9)</f>
        <v>45.151400000000002</v>
      </c>
      <c r="I684" s="14">
        <f>CHOOSE(CONTROL!$C$42, 45.2007, 45.2007)* CHOOSE(CONTROL!$C$21, $C$9, 100%, $E$9)</f>
        <v>45.200699999999998</v>
      </c>
      <c r="J684" s="14">
        <f>CHOOSE(CONTROL!$C$42, 45.063, 45.063)* CHOOSE(CONTROL!$C$21, $C$9, 100%, $E$9)</f>
        <v>45.063000000000002</v>
      </c>
      <c r="K684" s="52">
        <f>CHOOSE(CONTROL!$C$42, 45.1968, 45.1968) * CHOOSE(CONTROL!$C$21, $C$9, 100%, $E$9)</f>
        <v>45.196800000000003</v>
      </c>
      <c r="L684" s="14">
        <f>CHOOSE(CONTROL!$C$42, 45.7384, 45.7384) * CHOOSE(CONTROL!$C$21, $C$9, 100%, $E$9)</f>
        <v>45.738399999999999</v>
      </c>
      <c r="M684" s="14">
        <f>CHOOSE(CONTROL!$C$42, 44.2602, 44.2602) * CHOOSE(CONTROL!$C$21, $C$9, 100%, $E$9)</f>
        <v>44.260199999999998</v>
      </c>
      <c r="N684" s="14">
        <f>CHOOSE(CONTROL!$C$42, 44.2779, 44.2779) * CHOOSE(CONTROL!$C$21, $C$9, 100%, $E$9)</f>
        <v>44.277900000000002</v>
      </c>
      <c r="O684" s="14">
        <f>CHOOSE(CONTROL!$C$42, 44.347, 44.347) * CHOOSE(CONTROL!$C$21, $C$9, 100%, $E$9)</f>
        <v>44.347000000000001</v>
      </c>
      <c r="P684" s="14">
        <f>CHOOSE(CONTROL!$C$42, 44.3929, 44.3929) * CHOOSE(CONTROL!$C$21, $C$9, 100%, $E$9)</f>
        <v>44.392899999999997</v>
      </c>
      <c r="Q684" s="14">
        <f>CHOOSE(CONTROL!$C$42, 44.9417, 44.9417) * CHOOSE(CONTROL!$C$21, $C$9, 100%, $E$9)</f>
        <v>44.941699999999997</v>
      </c>
      <c r="R684" s="14">
        <f>CHOOSE(CONTROL!$C$42, 45.641, 45.641) * CHOOSE(CONTROL!$C$21, $C$9, 100%, $E$9)</f>
        <v>45.640999999999998</v>
      </c>
      <c r="S684" s="14">
        <f>CHOOSE(CONTROL!$C$42, 43.2704, 43.2704) * CHOOSE(CONTROL!$C$21, $C$9, 100%, $E$9)</f>
        <v>43.270400000000002</v>
      </c>
      <c r="T6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84" s="56">
        <f>(1000*CHOOSE(CONTROL!$C$42, 695, 695)*CHOOSE(CONTROL!$C$42, 0.5599, 0.5599)*CHOOSE(CONTROL!$C$42, 31, 31))/1000000</f>
        <v>12.063045499999998</v>
      </c>
      <c r="V684" s="56">
        <f>(1000*CHOOSE(CONTROL!$C$42, 500, 500)*CHOOSE(CONTROL!$C$42, 0.275, 0.275)*CHOOSE(CONTROL!$C$42, 31, 31))/1000000</f>
        <v>4.2625000000000002</v>
      </c>
      <c r="W684" s="56">
        <f>(1000*CHOOSE(CONTROL!$C$42, 0.1146, 0.1146)*CHOOSE(CONTROL!$C$42, 121.5, 121.5)*CHOOSE(CONTROL!$C$42, 31, 31))/1000000</f>
        <v>0.43164089999999994</v>
      </c>
      <c r="X684" s="56">
        <f>(31*0.1790888*100000/1000000)+(31*0.2374*100000/1000000)</f>
        <v>1.2911152800000001</v>
      </c>
      <c r="Y684" s="56"/>
      <c r="Z684" s="14"/>
      <c r="AA684" s="55"/>
      <c r="AB684" s="49">
        <f>(B684*122.58+C684*297.941+D684*89.177+E684*40.302+F684*40+G684*160+H684*0+I684*100+J684*300)/(122.58+297.941+89.177+40.302+0+40+160+100+300)</f>
        <v>45.080105307043475</v>
      </c>
      <c r="AC684" s="45">
        <f>(M684*'RAP TEMPLATE-GAS AVAILABILITY'!O683+N684*'RAP TEMPLATE-GAS AVAILABILITY'!P683+O684*'RAP TEMPLATE-GAS AVAILABILITY'!Q683+P684*'RAP TEMPLATE-GAS AVAILABILITY'!R683)/('RAP TEMPLATE-GAS AVAILABILITY'!O683+'RAP TEMPLATE-GAS AVAILABILITY'!P683+'RAP TEMPLATE-GAS AVAILABILITY'!Q683+'RAP TEMPLATE-GAS AVAILABILITY'!R683)</f>
        <v>44.319653237410073</v>
      </c>
    </row>
    <row r="685" spans="1:29" ht="15.75" x14ac:dyDescent="0.25">
      <c r="A685" s="32">
        <v>61759</v>
      </c>
      <c r="B685" s="14">
        <f>CHOOSE(CONTROL!$C$42, 48.773, 48.773) * CHOOSE(CONTROL!$C$21, $C$9, 100%, $E$9)</f>
        <v>48.773000000000003</v>
      </c>
      <c r="C685" s="14">
        <f>CHOOSE(CONTROL!$C$42, 48.7781, 48.7781) * CHOOSE(CONTROL!$C$21, $C$9, 100%, $E$9)</f>
        <v>48.778100000000002</v>
      </c>
      <c r="D685" s="14">
        <f>CHOOSE(CONTROL!$C$42, 48.8716, 48.8716) * CHOOSE(CONTROL!$C$21, $C$9, 100%, $E$9)</f>
        <v>48.871600000000001</v>
      </c>
      <c r="E685" s="14">
        <f>CHOOSE(CONTROL!$C$42, 48.9057, 48.9057) * CHOOSE(CONTROL!$C$21, $C$9, 100%, $E$9)</f>
        <v>48.905700000000003</v>
      </c>
      <c r="F685" s="14">
        <f>CHOOSE(CONTROL!$C$42, 48.8003, 48.8003)*CHOOSE(CONTROL!$C$21, $C$9, 100%, $E$9)</f>
        <v>48.8003</v>
      </c>
      <c r="G685" s="14">
        <f>CHOOSE(CONTROL!$C$42, 48.8183, 48.8183)*CHOOSE(CONTROL!$C$21, $C$9, 100%, $E$9)</f>
        <v>48.818300000000001</v>
      </c>
      <c r="H685" s="14">
        <f>CHOOSE(CONTROL!$C$42, 48.8949, 48.8949) * CHOOSE(CONTROL!$C$21, $C$9, 100%, $E$9)</f>
        <v>48.8949</v>
      </c>
      <c r="I685" s="14">
        <f>CHOOSE(CONTROL!$C$42, 48.9517, 48.9517)* CHOOSE(CONTROL!$C$21, $C$9, 100%, $E$9)</f>
        <v>48.951700000000002</v>
      </c>
      <c r="J685" s="14">
        <f>CHOOSE(CONTROL!$C$42, 48.7933, 48.7933)* CHOOSE(CONTROL!$C$21, $C$9, 100%, $E$9)</f>
        <v>48.793300000000002</v>
      </c>
      <c r="K685" s="52">
        <f>CHOOSE(CONTROL!$C$42, 48.9478, 48.9478) * CHOOSE(CONTROL!$C$21, $C$9, 100%, $E$9)</f>
        <v>48.947800000000001</v>
      </c>
      <c r="L685" s="14">
        <f>CHOOSE(CONTROL!$C$42, 49.4819, 49.4819) * CHOOSE(CONTROL!$C$21, $C$9, 100%, $E$9)</f>
        <v>49.481900000000003</v>
      </c>
      <c r="M685" s="14">
        <f>CHOOSE(CONTROL!$C$42, 47.9234, 47.9234) * CHOOSE(CONTROL!$C$21, $C$9, 100%, $E$9)</f>
        <v>47.923400000000001</v>
      </c>
      <c r="N685" s="14">
        <f>CHOOSE(CONTROL!$C$42, 47.941, 47.941) * CHOOSE(CONTROL!$C$21, $C$9, 100%, $E$9)</f>
        <v>47.941000000000003</v>
      </c>
      <c r="O685" s="14">
        <f>CHOOSE(CONTROL!$C$42, 48.0231, 48.0231) * CHOOSE(CONTROL!$C$21, $C$9, 100%, $E$9)</f>
        <v>48.023099999999999</v>
      </c>
      <c r="P685" s="14">
        <f>CHOOSE(CONTROL!$C$42, 48.0762, 48.0762) * CHOOSE(CONTROL!$C$21, $C$9, 100%, $E$9)</f>
        <v>48.0762</v>
      </c>
      <c r="Q685" s="14">
        <f>CHOOSE(CONTROL!$C$42, 48.6178, 48.6178) * CHOOSE(CONTROL!$C$21, $C$9, 100%, $E$9)</f>
        <v>48.617800000000003</v>
      </c>
      <c r="R685" s="14">
        <f>CHOOSE(CONTROL!$C$42, 49.3263, 49.3263) * CHOOSE(CONTROL!$C$21, $C$9, 100%, $E$9)</f>
        <v>49.326300000000003</v>
      </c>
      <c r="S685" s="14">
        <f>CHOOSE(CONTROL!$C$42, 46.8575, 46.8575) * CHOOSE(CONTROL!$C$21, $C$9, 100%, $E$9)</f>
        <v>46.857500000000002</v>
      </c>
      <c r="T6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85" s="56">
        <f>(1000*CHOOSE(CONTROL!$C$42, 695, 695)*CHOOSE(CONTROL!$C$42, 0.5599, 0.5599)*CHOOSE(CONTROL!$C$42, 31, 31))/1000000</f>
        <v>12.063045499999998</v>
      </c>
      <c r="V685" s="56">
        <f>(1000*CHOOSE(CONTROL!$C$42, 500, 500)*CHOOSE(CONTROL!$C$42, 0.275, 0.275)*CHOOSE(CONTROL!$C$42, 31, 31))/1000000</f>
        <v>4.2625000000000002</v>
      </c>
      <c r="W685" s="56">
        <f>(1000*CHOOSE(CONTROL!$C$42, 0.1146, 0.1146)*CHOOSE(CONTROL!$C$42, 121.5, 121.5)*CHOOSE(CONTROL!$C$42, 31, 31))/1000000</f>
        <v>0.43164089999999994</v>
      </c>
      <c r="X685" s="56">
        <f>(31*0.1790888*100000/1000000)+(31*0.2374*100000/1000000)</f>
        <v>1.2911152800000001</v>
      </c>
      <c r="Y685" s="56"/>
      <c r="Z685" s="14"/>
      <c r="AA685" s="55"/>
      <c r="AB685" s="49">
        <f>(B685*122.58+C685*297.941+D685*89.177+E685*40.302+F685*40+G685*160+H685*0+I685*100+J685*300)/(122.58+297.941+89.177+40.302+0+40+160+100+300)</f>
        <v>48.814704718869564</v>
      </c>
      <c r="AC685" s="45">
        <f>(M685*'RAP TEMPLATE-GAS AVAILABILITY'!O684+N685*'RAP TEMPLATE-GAS AVAILABILITY'!P684+O685*'RAP TEMPLATE-GAS AVAILABILITY'!Q684+P685*'RAP TEMPLATE-GAS AVAILABILITY'!R684)/('RAP TEMPLATE-GAS AVAILABILITY'!O684+'RAP TEMPLATE-GAS AVAILABILITY'!P684+'RAP TEMPLATE-GAS AVAILABILITY'!Q684+'RAP TEMPLATE-GAS AVAILABILITY'!R684)</f>
        <v>47.991586330935256</v>
      </c>
    </row>
    <row r="686" spans="1:29" ht="15.75" x14ac:dyDescent="0.25">
      <c r="A686" s="32">
        <v>61787</v>
      </c>
      <c r="B686" s="14">
        <f>CHOOSE(CONTROL!$C$42, 49.6411, 49.6411) * CHOOSE(CONTROL!$C$21, $C$9, 100%, $E$9)</f>
        <v>49.641100000000002</v>
      </c>
      <c r="C686" s="14">
        <f>CHOOSE(CONTROL!$C$42, 49.6462, 49.6462) * CHOOSE(CONTROL!$C$21, $C$9, 100%, $E$9)</f>
        <v>49.6462</v>
      </c>
      <c r="D686" s="14">
        <f>CHOOSE(CONTROL!$C$42, 49.7396, 49.7396) * CHOOSE(CONTROL!$C$21, $C$9, 100%, $E$9)</f>
        <v>49.739600000000003</v>
      </c>
      <c r="E686" s="14">
        <f>CHOOSE(CONTROL!$C$42, 49.7737, 49.7737) * CHOOSE(CONTROL!$C$21, $C$9, 100%, $E$9)</f>
        <v>49.773699999999998</v>
      </c>
      <c r="F686" s="14">
        <f>CHOOSE(CONTROL!$C$42, 49.668, 49.668)*CHOOSE(CONTROL!$C$21, $C$9, 100%, $E$9)</f>
        <v>49.667999999999999</v>
      </c>
      <c r="G686" s="14">
        <f>CHOOSE(CONTROL!$C$42, 49.6859, 49.6859)*CHOOSE(CONTROL!$C$21, $C$9, 100%, $E$9)</f>
        <v>49.685899999999997</v>
      </c>
      <c r="H686" s="14">
        <f>CHOOSE(CONTROL!$C$42, 49.7629, 49.7629) * CHOOSE(CONTROL!$C$21, $C$9, 100%, $E$9)</f>
        <v>49.762900000000002</v>
      </c>
      <c r="I686" s="14">
        <f>CHOOSE(CONTROL!$C$42, 49.8225, 49.8225)* CHOOSE(CONTROL!$C$21, $C$9, 100%, $E$9)</f>
        <v>49.822499999999998</v>
      </c>
      <c r="J686" s="14">
        <f>CHOOSE(CONTROL!$C$42, 49.661, 49.661)* CHOOSE(CONTROL!$C$21, $C$9, 100%, $E$9)</f>
        <v>49.661000000000001</v>
      </c>
      <c r="K686" s="52">
        <f>CHOOSE(CONTROL!$C$42, 49.8186, 49.8186) * CHOOSE(CONTROL!$C$21, $C$9, 100%, $E$9)</f>
        <v>49.818600000000004</v>
      </c>
      <c r="L686" s="14">
        <f>CHOOSE(CONTROL!$C$42, 50.3499, 50.3499) * CHOOSE(CONTROL!$C$21, $C$9, 100%, $E$9)</f>
        <v>50.349899999999998</v>
      </c>
      <c r="M686" s="14">
        <f>CHOOSE(CONTROL!$C$42, 48.7755, 48.7755) * CHOOSE(CONTROL!$C$21, $C$9, 100%, $E$9)</f>
        <v>48.775500000000001</v>
      </c>
      <c r="N686" s="14">
        <f>CHOOSE(CONTROL!$C$42, 48.793, 48.793) * CHOOSE(CONTROL!$C$21, $C$9, 100%, $E$9)</f>
        <v>48.792999999999999</v>
      </c>
      <c r="O686" s="14">
        <f>CHOOSE(CONTROL!$C$42, 48.8755, 48.8755) * CHOOSE(CONTROL!$C$21, $C$9, 100%, $E$9)</f>
        <v>48.875500000000002</v>
      </c>
      <c r="P686" s="14">
        <f>CHOOSE(CONTROL!$C$42, 48.9313, 48.9313) * CHOOSE(CONTROL!$C$21, $C$9, 100%, $E$9)</f>
        <v>48.9313</v>
      </c>
      <c r="Q686" s="14">
        <f>CHOOSE(CONTROL!$C$42, 49.4702, 49.4702) * CHOOSE(CONTROL!$C$21, $C$9, 100%, $E$9)</f>
        <v>49.470199999999998</v>
      </c>
      <c r="R686" s="14">
        <f>CHOOSE(CONTROL!$C$42, 50.1809, 50.1809) * CHOOSE(CONTROL!$C$21, $C$9, 100%, $E$9)</f>
        <v>50.180900000000001</v>
      </c>
      <c r="S686" s="14">
        <f>CHOOSE(CONTROL!$C$42, 47.6916, 47.6916) * CHOOSE(CONTROL!$C$21, $C$9, 100%, $E$9)</f>
        <v>47.691600000000001</v>
      </c>
      <c r="T68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86" s="56">
        <f>(1000*CHOOSE(CONTROL!$C$42, 695, 695)*CHOOSE(CONTROL!$C$42, 0.5599, 0.5599)*CHOOSE(CONTROL!$C$42, 28, 28))/1000000</f>
        <v>10.895653999999999</v>
      </c>
      <c r="V686" s="56">
        <f>(1000*CHOOSE(CONTROL!$C$42, 500, 500)*CHOOSE(CONTROL!$C$42, 0.275, 0.275)*CHOOSE(CONTROL!$C$42, 28, 28))/1000000</f>
        <v>3.85</v>
      </c>
      <c r="W686" s="56">
        <f>(1000*CHOOSE(CONTROL!$C$42, 0.1146, 0.1146)*CHOOSE(CONTROL!$C$42, 121.5, 121.5)*CHOOSE(CONTROL!$C$42, 28, 28))/1000000</f>
        <v>0.38986920000000003</v>
      </c>
      <c r="X686" s="56">
        <f>(28*0.1790888*100000/1000000)+(28*0.2374*100000/1000000)</f>
        <v>1.16616864</v>
      </c>
      <c r="Y686" s="56"/>
      <c r="Z686" s="14"/>
      <c r="AA686" s="55"/>
      <c r="AB686" s="49">
        <f>(B686*122.58+C686*297.941+D686*89.177+E686*40.302+F686*40+G686*160+H686*0+I686*100+J686*300)/(122.58+297.941+89.177+40.302+0+40+160+100+300)</f>
        <v>49.68284041634783</v>
      </c>
      <c r="AC686" s="45">
        <f>(M686*'RAP TEMPLATE-GAS AVAILABILITY'!O685+N686*'RAP TEMPLATE-GAS AVAILABILITY'!P685+O686*'RAP TEMPLATE-GAS AVAILABILITY'!Q685+P686*'RAP TEMPLATE-GAS AVAILABILITY'!R685)/('RAP TEMPLATE-GAS AVAILABILITY'!O685+'RAP TEMPLATE-GAS AVAILABILITY'!P685+'RAP TEMPLATE-GAS AVAILABILITY'!Q685+'RAP TEMPLATE-GAS AVAILABILITY'!R685)</f>
        <v>48.844248201438852</v>
      </c>
    </row>
    <row r="687" spans="1:29" ht="15.75" x14ac:dyDescent="0.25">
      <c r="A687" s="32">
        <v>61818</v>
      </c>
      <c r="B687" s="14">
        <f>CHOOSE(CONTROL!$C$42, 48.232, 48.232) * CHOOSE(CONTROL!$C$21, $C$9, 100%, $E$9)</f>
        <v>48.231999999999999</v>
      </c>
      <c r="C687" s="14">
        <f>CHOOSE(CONTROL!$C$42, 48.2371, 48.2371) * CHOOSE(CONTROL!$C$21, $C$9, 100%, $E$9)</f>
        <v>48.237099999999998</v>
      </c>
      <c r="D687" s="14">
        <f>CHOOSE(CONTROL!$C$42, 48.3306, 48.3306) * CHOOSE(CONTROL!$C$21, $C$9, 100%, $E$9)</f>
        <v>48.330599999999997</v>
      </c>
      <c r="E687" s="14">
        <f>CHOOSE(CONTROL!$C$42, 48.3647, 48.3647) * CHOOSE(CONTROL!$C$21, $C$9, 100%, $E$9)</f>
        <v>48.364699999999999</v>
      </c>
      <c r="F687" s="14">
        <f>CHOOSE(CONTROL!$C$42, 48.2581, 48.2581)*CHOOSE(CONTROL!$C$21, $C$9, 100%, $E$9)</f>
        <v>48.258099999999999</v>
      </c>
      <c r="G687" s="14">
        <f>CHOOSE(CONTROL!$C$42, 48.2757, 48.2757)*CHOOSE(CONTROL!$C$21, $C$9, 100%, $E$9)</f>
        <v>48.275700000000001</v>
      </c>
      <c r="H687" s="14">
        <f>CHOOSE(CONTROL!$C$42, 48.3539, 48.3539) * CHOOSE(CONTROL!$C$21, $C$9, 100%, $E$9)</f>
        <v>48.353900000000003</v>
      </c>
      <c r="I687" s="14">
        <f>CHOOSE(CONTROL!$C$42, 48.409, 48.409)* CHOOSE(CONTROL!$C$21, $C$9, 100%, $E$9)</f>
        <v>48.408999999999999</v>
      </c>
      <c r="J687" s="14">
        <f>CHOOSE(CONTROL!$C$42, 48.2511, 48.2511)* CHOOSE(CONTROL!$C$21, $C$9, 100%, $E$9)</f>
        <v>48.251100000000001</v>
      </c>
      <c r="K687" s="52">
        <f>CHOOSE(CONTROL!$C$42, 48.4051, 48.4051) * CHOOSE(CONTROL!$C$21, $C$9, 100%, $E$9)</f>
        <v>48.405099999999997</v>
      </c>
      <c r="L687" s="14">
        <f>CHOOSE(CONTROL!$C$42, 48.9409, 48.9409) * CHOOSE(CONTROL!$C$21, $C$9, 100%, $E$9)</f>
        <v>48.940899999999999</v>
      </c>
      <c r="M687" s="14">
        <f>CHOOSE(CONTROL!$C$42, 47.3909, 47.3909) * CHOOSE(CONTROL!$C$21, $C$9, 100%, $E$9)</f>
        <v>47.390900000000002</v>
      </c>
      <c r="N687" s="14">
        <f>CHOOSE(CONTROL!$C$42, 47.4082, 47.4082) * CHOOSE(CONTROL!$C$21, $C$9, 100%, $E$9)</f>
        <v>47.408200000000001</v>
      </c>
      <c r="O687" s="14">
        <f>CHOOSE(CONTROL!$C$42, 47.4918, 47.4918) * CHOOSE(CONTROL!$C$21, $C$9, 100%, $E$9)</f>
        <v>47.491799999999998</v>
      </c>
      <c r="P687" s="14">
        <f>CHOOSE(CONTROL!$C$42, 47.5433, 47.5433) * CHOOSE(CONTROL!$C$21, $C$9, 100%, $E$9)</f>
        <v>47.543300000000002</v>
      </c>
      <c r="Q687" s="14">
        <f>CHOOSE(CONTROL!$C$42, 48.0865, 48.0865) * CHOOSE(CONTROL!$C$21, $C$9, 100%, $E$9)</f>
        <v>48.086500000000001</v>
      </c>
      <c r="R687" s="14">
        <f>CHOOSE(CONTROL!$C$42, 48.7937, 48.7937) * CHOOSE(CONTROL!$C$21, $C$9, 100%, $E$9)</f>
        <v>48.793700000000001</v>
      </c>
      <c r="S687" s="14">
        <f>CHOOSE(CONTROL!$C$42, 46.3376, 46.3376) * CHOOSE(CONTROL!$C$21, $C$9, 100%, $E$9)</f>
        <v>46.337600000000002</v>
      </c>
      <c r="T6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87" s="56">
        <f>(1000*CHOOSE(CONTROL!$C$42, 695, 695)*CHOOSE(CONTROL!$C$42, 0.5599, 0.5599)*CHOOSE(CONTROL!$C$42, 31, 31))/1000000</f>
        <v>12.063045499999998</v>
      </c>
      <c r="V687" s="56">
        <f>(1000*CHOOSE(CONTROL!$C$42, 500, 500)*CHOOSE(CONTROL!$C$42, 0.275, 0.275)*CHOOSE(CONTROL!$C$42, 31, 31))/1000000</f>
        <v>4.2625000000000002</v>
      </c>
      <c r="W687" s="56">
        <f>(1000*CHOOSE(CONTROL!$C$42, 0.1146, 0.1146)*CHOOSE(CONTROL!$C$42, 121.5, 121.5)*CHOOSE(CONTROL!$C$42, 31, 31))/1000000</f>
        <v>0.43164089999999994</v>
      </c>
      <c r="X687" s="56">
        <f>(31*0.1790888*100000/1000000)+(31*0.2374*100000/1000000)</f>
        <v>1.2911152800000001</v>
      </c>
      <c r="Y687" s="56"/>
      <c r="Z687" s="14"/>
      <c r="AA687" s="55"/>
      <c r="AB687" s="49">
        <f>(B687*122.58+C687*297.941+D687*89.177+E687*40.302+F687*40+G687*160+H687*0+I687*100+J687*300)/(122.58+297.941+89.177+40.302+0+40+160+100+300)</f>
        <v>48.272979501478261</v>
      </c>
      <c r="AC687" s="45">
        <f>(M687*'RAP TEMPLATE-GAS AVAILABILITY'!O686+N687*'RAP TEMPLATE-GAS AVAILABILITY'!P686+O687*'RAP TEMPLATE-GAS AVAILABILITY'!Q686+P687*'RAP TEMPLATE-GAS AVAILABILITY'!R686)/('RAP TEMPLATE-GAS AVAILABILITY'!O686+'RAP TEMPLATE-GAS AVAILABILITY'!P686+'RAP TEMPLATE-GAS AVAILABILITY'!Q686+'RAP TEMPLATE-GAS AVAILABILITY'!R686)</f>
        <v>47.459555395683459</v>
      </c>
    </row>
    <row r="688" spans="1:29" ht="15.75" x14ac:dyDescent="0.25">
      <c r="A688" s="32">
        <v>61848</v>
      </c>
      <c r="B688" s="14">
        <f>CHOOSE(CONTROL!$C$42, 48.0886, 48.0886) * CHOOSE(CONTROL!$C$21, $C$9, 100%, $E$9)</f>
        <v>48.0886</v>
      </c>
      <c r="C688" s="14">
        <f>CHOOSE(CONTROL!$C$42, 48.0931, 48.0931) * CHOOSE(CONTROL!$C$21, $C$9, 100%, $E$9)</f>
        <v>48.0931</v>
      </c>
      <c r="D688" s="14">
        <f>CHOOSE(CONTROL!$C$42, 48.3554, 48.3554) * CHOOSE(CONTROL!$C$21, $C$9, 100%, $E$9)</f>
        <v>48.355400000000003</v>
      </c>
      <c r="E688" s="14">
        <f>CHOOSE(CONTROL!$C$42, 48.3875, 48.3875) * CHOOSE(CONTROL!$C$21, $C$9, 100%, $E$9)</f>
        <v>48.387500000000003</v>
      </c>
      <c r="F688" s="14">
        <f>CHOOSE(CONTROL!$C$42, 48.1115, 48.1115)*CHOOSE(CONTROL!$C$21, $C$9, 100%, $E$9)</f>
        <v>48.111499999999999</v>
      </c>
      <c r="G688" s="14">
        <f>CHOOSE(CONTROL!$C$42, 48.1282, 48.1282)*CHOOSE(CONTROL!$C$21, $C$9, 100%, $E$9)</f>
        <v>48.1282</v>
      </c>
      <c r="H688" s="14">
        <f>CHOOSE(CONTROL!$C$42, 48.3772, 48.3772) * CHOOSE(CONTROL!$C$21, $C$9, 100%, $E$9)</f>
        <v>48.377200000000002</v>
      </c>
      <c r="I688" s="14">
        <f>CHOOSE(CONTROL!$C$42, 48.2617, 48.2617)* CHOOSE(CONTROL!$C$21, $C$9, 100%, $E$9)</f>
        <v>48.261699999999998</v>
      </c>
      <c r="J688" s="14">
        <f>CHOOSE(CONTROL!$C$42, 48.1045, 48.1045)* CHOOSE(CONTROL!$C$21, $C$9, 100%, $E$9)</f>
        <v>48.104500000000002</v>
      </c>
      <c r="K688" s="52">
        <f>CHOOSE(CONTROL!$C$42, 48.2579, 48.2579) * CHOOSE(CONTROL!$C$21, $C$9, 100%, $E$9)</f>
        <v>48.257899999999999</v>
      </c>
      <c r="L688" s="14">
        <f>CHOOSE(CONTROL!$C$42, 48.9642, 48.9642) * CHOOSE(CONTROL!$C$21, $C$9, 100%, $E$9)</f>
        <v>48.964199999999998</v>
      </c>
      <c r="M688" s="14">
        <f>CHOOSE(CONTROL!$C$42, 47.2469, 47.2469) * CHOOSE(CONTROL!$C$21, $C$9, 100%, $E$9)</f>
        <v>47.246899999999997</v>
      </c>
      <c r="N688" s="14">
        <f>CHOOSE(CONTROL!$C$42, 47.2633, 47.2633) * CHOOSE(CONTROL!$C$21, $C$9, 100%, $E$9)</f>
        <v>47.263300000000001</v>
      </c>
      <c r="O688" s="14">
        <f>CHOOSE(CONTROL!$C$42, 47.5148, 47.5148) * CHOOSE(CONTROL!$C$21, $C$9, 100%, $E$9)</f>
        <v>47.514800000000001</v>
      </c>
      <c r="P688" s="14">
        <f>CHOOSE(CONTROL!$C$42, 47.3988, 47.3988) * CHOOSE(CONTROL!$C$21, $C$9, 100%, $E$9)</f>
        <v>47.398800000000001</v>
      </c>
      <c r="Q688" s="14">
        <f>CHOOSE(CONTROL!$C$42, 48.1095, 48.1095) * CHOOSE(CONTROL!$C$21, $C$9, 100%, $E$9)</f>
        <v>48.109499999999997</v>
      </c>
      <c r="R688" s="14">
        <f>CHOOSE(CONTROL!$C$42, 48.8168, 48.8168) * CHOOSE(CONTROL!$C$21, $C$9, 100%, $E$9)</f>
        <v>48.816800000000001</v>
      </c>
      <c r="S688" s="14">
        <f>CHOOSE(CONTROL!$C$42, 46.1991, 46.1991) * CHOOSE(CONTROL!$C$21, $C$9, 100%, $E$9)</f>
        <v>46.199100000000001</v>
      </c>
      <c r="T6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88" s="56">
        <f>(1000*CHOOSE(CONTROL!$C$42, 695, 695)*CHOOSE(CONTROL!$C$42, 0.5599, 0.5599)*CHOOSE(CONTROL!$C$42, 30, 30))/1000000</f>
        <v>11.673914999999997</v>
      </c>
      <c r="V688" s="56">
        <f>(1000*CHOOSE(CONTROL!$C$42, 500, 500)*CHOOSE(CONTROL!$C$42, 0.275, 0.275)*CHOOSE(CONTROL!$C$42, 30, 30))/1000000</f>
        <v>4.125</v>
      </c>
      <c r="W688" s="56">
        <f>(1000*CHOOSE(CONTROL!$C$42, 0.1146, 0.1146)*CHOOSE(CONTROL!$C$42, 121.5, 121.5)*CHOOSE(CONTROL!$C$42, 30, 30))/1000000</f>
        <v>0.417717</v>
      </c>
      <c r="X688" s="56">
        <f>(30*0.1790888*245000/1000000)+(30*0.2374*100000/1000000)</f>
        <v>2.0285026799999999</v>
      </c>
      <c r="Y688" s="56"/>
      <c r="Z688" s="14"/>
      <c r="AA688" s="55"/>
      <c r="AB688" s="49">
        <f>(B688*141.293+C688*267.993+D688*115.016+E688*89.698+F688*40+G688*185+H688*0+I688*100+J688*300)/(141.293+267.993+115.016+89.698+0+40+185+100+300)</f>
        <v>48.160452275625502</v>
      </c>
      <c r="AC688" s="45">
        <f>(M688*'RAP TEMPLATE-GAS AVAILABILITY'!O687+N688*'RAP TEMPLATE-GAS AVAILABILITY'!P687+O688*'RAP TEMPLATE-GAS AVAILABILITY'!Q687+P688*'RAP TEMPLATE-GAS AVAILABILITY'!R687)/('RAP TEMPLATE-GAS AVAILABILITY'!O687+'RAP TEMPLATE-GAS AVAILABILITY'!P687+'RAP TEMPLATE-GAS AVAILABILITY'!Q687+'RAP TEMPLATE-GAS AVAILABILITY'!R687)</f>
        <v>47.391122302158273</v>
      </c>
    </row>
    <row r="689" spans="1:29" ht="15.75" x14ac:dyDescent="0.25">
      <c r="A689" s="32">
        <v>61879</v>
      </c>
      <c r="B689" s="14">
        <f>CHOOSE(CONTROL!$C$42, 48.5144, 48.5144) * CHOOSE(CONTROL!$C$21, $C$9, 100%, $E$9)</f>
        <v>48.514400000000002</v>
      </c>
      <c r="C689" s="14">
        <f>CHOOSE(CONTROL!$C$42, 48.5224, 48.5224) * CHOOSE(CONTROL!$C$21, $C$9, 100%, $E$9)</f>
        <v>48.522399999999998</v>
      </c>
      <c r="D689" s="14">
        <f>CHOOSE(CONTROL!$C$42, 48.7815, 48.7815) * CHOOSE(CONTROL!$C$21, $C$9, 100%, $E$9)</f>
        <v>48.781500000000001</v>
      </c>
      <c r="E689" s="14">
        <f>CHOOSE(CONTROL!$C$42, 48.813, 48.813) * CHOOSE(CONTROL!$C$21, $C$9, 100%, $E$9)</f>
        <v>48.813000000000002</v>
      </c>
      <c r="F689" s="14">
        <f>CHOOSE(CONTROL!$C$42, 48.5359, 48.5359)*CHOOSE(CONTROL!$C$21, $C$9, 100%, $E$9)</f>
        <v>48.535899999999998</v>
      </c>
      <c r="G689" s="14">
        <f>CHOOSE(CONTROL!$C$42, 48.5529, 48.5529)*CHOOSE(CONTROL!$C$21, $C$9, 100%, $E$9)</f>
        <v>48.552900000000001</v>
      </c>
      <c r="H689" s="14">
        <f>CHOOSE(CONTROL!$C$42, 48.8016, 48.8016) * CHOOSE(CONTROL!$C$21, $C$9, 100%, $E$9)</f>
        <v>48.801600000000001</v>
      </c>
      <c r="I689" s="14">
        <f>CHOOSE(CONTROL!$C$42, 48.6874, 48.6874)* CHOOSE(CONTROL!$C$21, $C$9, 100%, $E$9)</f>
        <v>48.687399999999997</v>
      </c>
      <c r="J689" s="14">
        <f>CHOOSE(CONTROL!$C$42, 48.5289, 48.5289)* CHOOSE(CONTROL!$C$21, $C$9, 100%, $E$9)</f>
        <v>48.5289</v>
      </c>
      <c r="K689" s="52">
        <f>CHOOSE(CONTROL!$C$42, 48.6835, 48.6835) * CHOOSE(CONTROL!$C$21, $C$9, 100%, $E$9)</f>
        <v>48.683500000000002</v>
      </c>
      <c r="L689" s="14">
        <f>CHOOSE(CONTROL!$C$42, 49.3886, 49.3886) * CHOOSE(CONTROL!$C$21, $C$9, 100%, $E$9)</f>
        <v>49.388599999999997</v>
      </c>
      <c r="M689" s="14">
        <f>CHOOSE(CONTROL!$C$42, 47.6637, 47.6637) * CHOOSE(CONTROL!$C$21, $C$9, 100%, $E$9)</f>
        <v>47.663699999999999</v>
      </c>
      <c r="N689" s="14">
        <f>CHOOSE(CONTROL!$C$42, 47.6804, 47.6804) * CHOOSE(CONTROL!$C$21, $C$9, 100%, $E$9)</f>
        <v>47.680399999999999</v>
      </c>
      <c r="O689" s="14">
        <f>CHOOSE(CONTROL!$C$42, 47.9315, 47.9315) * CHOOSE(CONTROL!$C$21, $C$9, 100%, $E$9)</f>
        <v>47.9315</v>
      </c>
      <c r="P689" s="14">
        <f>CHOOSE(CONTROL!$C$42, 47.8168, 47.8168) * CHOOSE(CONTROL!$C$21, $C$9, 100%, $E$9)</f>
        <v>47.816800000000001</v>
      </c>
      <c r="Q689" s="14">
        <f>CHOOSE(CONTROL!$C$42, 48.5262, 48.5262) * CHOOSE(CONTROL!$C$21, $C$9, 100%, $E$9)</f>
        <v>48.526200000000003</v>
      </c>
      <c r="R689" s="14">
        <f>CHOOSE(CONTROL!$C$42, 49.2345, 49.2345) * CHOOSE(CONTROL!$C$21, $C$9, 100%, $E$9)</f>
        <v>49.234499999999997</v>
      </c>
      <c r="S689" s="14">
        <f>CHOOSE(CONTROL!$C$42, 46.6068, 46.6068) * CHOOSE(CONTROL!$C$21, $C$9, 100%, $E$9)</f>
        <v>46.6068</v>
      </c>
      <c r="T6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89" s="56">
        <f>(1000*CHOOSE(CONTROL!$C$42, 695, 695)*CHOOSE(CONTROL!$C$42, 0.5599, 0.5599)*CHOOSE(CONTROL!$C$42, 31, 31))/1000000</f>
        <v>12.063045499999998</v>
      </c>
      <c r="V689" s="56">
        <f>(1000*CHOOSE(CONTROL!$C$42, 500, 500)*CHOOSE(CONTROL!$C$42, 0.275, 0.275)*CHOOSE(CONTROL!$C$42, 31, 31))/1000000</f>
        <v>4.2625000000000002</v>
      </c>
      <c r="W689" s="56">
        <f>(1000*CHOOSE(CONTROL!$C$42, 0.1146, 0.1146)*CHOOSE(CONTROL!$C$42, 121.5, 121.5)*CHOOSE(CONTROL!$C$42, 31, 31))/1000000</f>
        <v>0.43164089999999994</v>
      </c>
      <c r="X689" s="56">
        <f>(31*0.1790888*245000/1000000)+(31*0.2374*100000/1000000)</f>
        <v>2.0961194359999999</v>
      </c>
      <c r="Y689" s="56"/>
      <c r="Z689" s="14"/>
      <c r="AA689" s="55"/>
      <c r="AB689" s="49">
        <f>(B689*194.205+C689*267.466+D689*133.845+E689*53.484+F689*40+G689*185+H689*0+I689*100+J689*300)/(194.205+267.466+133.845+53.484+0+40+185+100+300)</f>
        <v>48.57993575345369</v>
      </c>
      <c r="AC689" s="45">
        <f>(M689*'RAP TEMPLATE-GAS AVAILABILITY'!O688+N689*'RAP TEMPLATE-GAS AVAILABILITY'!P688+O689*'RAP TEMPLATE-GAS AVAILABILITY'!Q688+P689*'RAP TEMPLATE-GAS AVAILABILITY'!R688)/('RAP TEMPLATE-GAS AVAILABILITY'!O688+'RAP TEMPLATE-GAS AVAILABILITY'!P688+'RAP TEMPLATE-GAS AVAILABILITY'!Q688+'RAP TEMPLATE-GAS AVAILABILITY'!R688)</f>
        <v>47.808066906474821</v>
      </c>
    </row>
    <row r="690" spans="1:29" ht="15.75" x14ac:dyDescent="0.25">
      <c r="A690" s="32">
        <v>61909</v>
      </c>
      <c r="B690" s="14">
        <f>CHOOSE(CONTROL!$C$42, 49.8902, 49.8902) * CHOOSE(CONTROL!$C$21, $C$9, 100%, $E$9)</f>
        <v>49.8902</v>
      </c>
      <c r="C690" s="14">
        <f>CHOOSE(CONTROL!$C$42, 49.8982, 49.8982) * CHOOSE(CONTROL!$C$21, $C$9, 100%, $E$9)</f>
        <v>49.898200000000003</v>
      </c>
      <c r="D690" s="14">
        <f>CHOOSE(CONTROL!$C$42, 50.1573, 50.1573) * CHOOSE(CONTROL!$C$21, $C$9, 100%, $E$9)</f>
        <v>50.157299999999999</v>
      </c>
      <c r="E690" s="14">
        <f>CHOOSE(CONTROL!$C$42, 50.1888, 50.1888) * CHOOSE(CONTROL!$C$21, $C$9, 100%, $E$9)</f>
        <v>50.188800000000001</v>
      </c>
      <c r="F690" s="14">
        <f>CHOOSE(CONTROL!$C$42, 49.912, 49.912)*CHOOSE(CONTROL!$C$21, $C$9, 100%, $E$9)</f>
        <v>49.911999999999999</v>
      </c>
      <c r="G690" s="14">
        <f>CHOOSE(CONTROL!$C$42, 49.929, 49.929)*CHOOSE(CONTROL!$C$21, $C$9, 100%, $E$9)</f>
        <v>49.929000000000002</v>
      </c>
      <c r="H690" s="14">
        <f>CHOOSE(CONTROL!$C$42, 50.1774, 50.1774) * CHOOSE(CONTROL!$C$21, $C$9, 100%, $E$9)</f>
        <v>50.177399999999999</v>
      </c>
      <c r="I690" s="14">
        <f>CHOOSE(CONTROL!$C$42, 50.0676, 50.0676)* CHOOSE(CONTROL!$C$21, $C$9, 100%, $E$9)</f>
        <v>50.067599999999999</v>
      </c>
      <c r="J690" s="14">
        <f>CHOOSE(CONTROL!$C$42, 49.905, 49.905)* CHOOSE(CONTROL!$C$21, $C$9, 100%, $E$9)</f>
        <v>49.905000000000001</v>
      </c>
      <c r="K690" s="52">
        <f>CHOOSE(CONTROL!$C$42, 50.0637, 50.0637) * CHOOSE(CONTROL!$C$21, $C$9, 100%, $E$9)</f>
        <v>50.063699999999997</v>
      </c>
      <c r="L690" s="14">
        <f>CHOOSE(CONTROL!$C$42, 50.7644, 50.7644) * CHOOSE(CONTROL!$C$21, $C$9, 100%, $E$9)</f>
        <v>50.764400000000002</v>
      </c>
      <c r="M690" s="14">
        <f>CHOOSE(CONTROL!$C$42, 49.0151, 49.0151) * CHOOSE(CONTROL!$C$21, $C$9, 100%, $E$9)</f>
        <v>49.015099999999997</v>
      </c>
      <c r="N690" s="14">
        <f>CHOOSE(CONTROL!$C$42, 49.0318, 49.0318) * CHOOSE(CONTROL!$C$21, $C$9, 100%, $E$9)</f>
        <v>49.031799999999997</v>
      </c>
      <c r="O690" s="14">
        <f>CHOOSE(CONTROL!$C$42, 49.2826, 49.2826) * CHOOSE(CONTROL!$C$21, $C$9, 100%, $E$9)</f>
        <v>49.282600000000002</v>
      </c>
      <c r="P690" s="14">
        <f>CHOOSE(CONTROL!$C$42, 49.172, 49.172) * CHOOSE(CONTROL!$C$21, $C$9, 100%, $E$9)</f>
        <v>49.171999999999997</v>
      </c>
      <c r="Q690" s="14">
        <f>CHOOSE(CONTROL!$C$42, 49.8773, 49.8773) * CHOOSE(CONTROL!$C$21, $C$9, 100%, $E$9)</f>
        <v>49.877299999999998</v>
      </c>
      <c r="R690" s="14">
        <f>CHOOSE(CONTROL!$C$42, 50.589, 50.589) * CHOOSE(CONTROL!$C$21, $C$9, 100%, $E$9)</f>
        <v>50.588999999999999</v>
      </c>
      <c r="S690" s="14">
        <f>CHOOSE(CONTROL!$C$42, 47.9289, 47.9289) * CHOOSE(CONTROL!$C$21, $C$9, 100%, $E$9)</f>
        <v>47.928899999999999</v>
      </c>
      <c r="T6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90" s="56">
        <f>(1000*CHOOSE(CONTROL!$C$42, 695, 695)*CHOOSE(CONTROL!$C$42, 0.5599, 0.5599)*CHOOSE(CONTROL!$C$42, 30, 30))/1000000</f>
        <v>11.673914999999997</v>
      </c>
      <c r="V690" s="56">
        <f>(1000*CHOOSE(CONTROL!$C$42, 500, 500)*CHOOSE(CONTROL!$C$42, 0.275, 0.275)*CHOOSE(CONTROL!$C$42, 30, 30))/1000000</f>
        <v>4.125</v>
      </c>
      <c r="W690" s="56">
        <f>(1000*CHOOSE(CONTROL!$C$42, 0.1146, 0.1146)*CHOOSE(CONTROL!$C$42, 121.5, 121.5)*CHOOSE(CONTROL!$C$42, 30, 30))/1000000</f>
        <v>0.417717</v>
      </c>
      <c r="X690" s="56">
        <f>(30*0.1790888*245000/1000000)+(30*0.2374*100000/1000000)</f>
        <v>2.0285026799999999</v>
      </c>
      <c r="Y690" s="56"/>
      <c r="Z690" s="14"/>
      <c r="AA690" s="55"/>
      <c r="AB690" s="49">
        <f>(B690*194.205+C690*267.466+D690*133.845+E690*53.484+F690*40+G690*185+H690*0+I690*100+J690*300)/(194.205+267.466+133.845+53.484+0+40+185+100+300)</f>
        <v>49.956204748744113</v>
      </c>
      <c r="AC690" s="45">
        <f>(M690*'RAP TEMPLATE-GAS AVAILABILITY'!O689+N690*'RAP TEMPLATE-GAS AVAILABILITY'!P689+O690*'RAP TEMPLATE-GAS AVAILABILITY'!Q689+P690*'RAP TEMPLATE-GAS AVAILABILITY'!R689)/('RAP TEMPLATE-GAS AVAILABILITY'!O689+'RAP TEMPLATE-GAS AVAILABILITY'!P689+'RAP TEMPLATE-GAS AVAILABILITY'!Q689+'RAP TEMPLATE-GAS AVAILABILITY'!R689)</f>
        <v>49.159877697841722</v>
      </c>
    </row>
    <row r="691" spans="1:29" ht="15.75" x14ac:dyDescent="0.25">
      <c r="A691" s="32">
        <v>61940</v>
      </c>
      <c r="B691" s="14">
        <f>CHOOSE(CONTROL!$C$42, 48.9333, 48.9333) * CHOOSE(CONTROL!$C$21, $C$9, 100%, $E$9)</f>
        <v>48.933300000000003</v>
      </c>
      <c r="C691" s="14">
        <f>CHOOSE(CONTROL!$C$42, 48.9413, 48.9413) * CHOOSE(CONTROL!$C$21, $C$9, 100%, $E$9)</f>
        <v>48.941299999999998</v>
      </c>
      <c r="D691" s="14">
        <f>CHOOSE(CONTROL!$C$42, 49.2004, 49.2004) * CHOOSE(CONTROL!$C$21, $C$9, 100%, $E$9)</f>
        <v>49.200400000000002</v>
      </c>
      <c r="E691" s="14">
        <f>CHOOSE(CONTROL!$C$42, 49.2319, 49.2319) * CHOOSE(CONTROL!$C$21, $C$9, 100%, $E$9)</f>
        <v>49.231900000000003</v>
      </c>
      <c r="F691" s="14">
        <f>CHOOSE(CONTROL!$C$42, 48.9555, 48.9555)*CHOOSE(CONTROL!$C$21, $C$9, 100%, $E$9)</f>
        <v>48.955500000000001</v>
      </c>
      <c r="G691" s="14">
        <f>CHOOSE(CONTROL!$C$42, 48.9727, 48.9727)*CHOOSE(CONTROL!$C$21, $C$9, 100%, $E$9)</f>
        <v>48.972700000000003</v>
      </c>
      <c r="H691" s="14">
        <f>CHOOSE(CONTROL!$C$42, 49.2205, 49.2205) * CHOOSE(CONTROL!$C$21, $C$9, 100%, $E$9)</f>
        <v>49.220500000000001</v>
      </c>
      <c r="I691" s="14">
        <f>CHOOSE(CONTROL!$C$42, 49.1077, 49.1077)* CHOOSE(CONTROL!$C$21, $C$9, 100%, $E$9)</f>
        <v>49.107700000000001</v>
      </c>
      <c r="J691" s="14">
        <f>CHOOSE(CONTROL!$C$42, 48.9485, 48.9485)* CHOOSE(CONTROL!$C$21, $C$9, 100%, $E$9)</f>
        <v>48.948500000000003</v>
      </c>
      <c r="K691" s="52">
        <f>CHOOSE(CONTROL!$C$42, 49.1038, 49.1038) * CHOOSE(CONTROL!$C$21, $C$9, 100%, $E$9)</f>
        <v>49.1038</v>
      </c>
      <c r="L691" s="14">
        <f>CHOOSE(CONTROL!$C$42, 49.8075, 49.8075) * CHOOSE(CONTROL!$C$21, $C$9, 100%, $E$9)</f>
        <v>49.807499999999997</v>
      </c>
      <c r="M691" s="14">
        <f>CHOOSE(CONTROL!$C$42, 48.0758, 48.0758) * CHOOSE(CONTROL!$C$21, $C$9, 100%, $E$9)</f>
        <v>48.075800000000001</v>
      </c>
      <c r="N691" s="14">
        <f>CHOOSE(CONTROL!$C$42, 48.0926, 48.0926) * CHOOSE(CONTROL!$C$21, $C$9, 100%, $E$9)</f>
        <v>48.092599999999997</v>
      </c>
      <c r="O691" s="14">
        <f>CHOOSE(CONTROL!$C$42, 48.3429, 48.3429) * CHOOSE(CONTROL!$C$21, $C$9, 100%, $E$9)</f>
        <v>48.3429</v>
      </c>
      <c r="P691" s="14">
        <f>CHOOSE(CONTROL!$C$42, 48.2294, 48.2294) * CHOOSE(CONTROL!$C$21, $C$9, 100%, $E$9)</f>
        <v>48.229399999999998</v>
      </c>
      <c r="Q691" s="14">
        <f>CHOOSE(CONTROL!$C$42, 48.9376, 48.9376) * CHOOSE(CONTROL!$C$21, $C$9, 100%, $E$9)</f>
        <v>48.937600000000003</v>
      </c>
      <c r="R691" s="14">
        <f>CHOOSE(CONTROL!$C$42, 49.6469, 49.6469) * CHOOSE(CONTROL!$C$21, $C$9, 100%, $E$9)</f>
        <v>49.646900000000002</v>
      </c>
      <c r="S691" s="14">
        <f>CHOOSE(CONTROL!$C$42, 47.0094, 47.0094) * CHOOSE(CONTROL!$C$21, $C$9, 100%, $E$9)</f>
        <v>47.009399999999999</v>
      </c>
      <c r="T6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91" s="56">
        <f>(1000*CHOOSE(CONTROL!$C$42, 695, 695)*CHOOSE(CONTROL!$C$42, 0.5599, 0.5599)*CHOOSE(CONTROL!$C$42, 31, 31))/1000000</f>
        <v>12.063045499999998</v>
      </c>
      <c r="V691" s="56">
        <f>(1000*CHOOSE(CONTROL!$C$42, 500, 500)*CHOOSE(CONTROL!$C$42, 0.275, 0.275)*CHOOSE(CONTROL!$C$42, 31, 31))/1000000</f>
        <v>4.2625000000000002</v>
      </c>
      <c r="W691" s="56">
        <f>(1000*CHOOSE(CONTROL!$C$42, 0.1146, 0.1146)*CHOOSE(CONTROL!$C$42, 121.5, 121.5)*CHOOSE(CONTROL!$C$42, 31, 31))/1000000</f>
        <v>0.43164089999999994</v>
      </c>
      <c r="X691" s="56">
        <f>(31*0.1790888*245000/1000000)+(31*0.2374*100000/1000000)</f>
        <v>2.0961194359999999</v>
      </c>
      <c r="Y691" s="56"/>
      <c r="Z691" s="14"/>
      <c r="AA691" s="55"/>
      <c r="AB691" s="49">
        <f>(B691*194.205+C691*267.466+D691*133.845+E691*53.484+F691*40+G691*185+H691*0+I691*100+J691*300)/(194.205+267.466+133.845+53.484+0+40+185+100+300)</f>
        <v>48.999263147488222</v>
      </c>
      <c r="AC691" s="45">
        <f>(M691*'RAP TEMPLATE-GAS AVAILABILITY'!O690+N691*'RAP TEMPLATE-GAS AVAILABILITY'!P690+O691*'RAP TEMPLATE-GAS AVAILABILITY'!Q690+P691*'RAP TEMPLATE-GAS AVAILABILITY'!R690)/('RAP TEMPLATE-GAS AVAILABILITY'!O690+'RAP TEMPLATE-GAS AVAILABILITY'!P690+'RAP TEMPLATE-GAS AVAILABILITY'!Q690+'RAP TEMPLATE-GAS AVAILABILITY'!R690)</f>
        <v>48.219927338129501</v>
      </c>
    </row>
    <row r="692" spans="1:29" ht="15.75" x14ac:dyDescent="0.25">
      <c r="A692" s="32">
        <v>61971</v>
      </c>
      <c r="B692" s="14">
        <f>CHOOSE(CONTROL!$C$42, 46.5168, 46.5168) * CHOOSE(CONTROL!$C$21, $C$9, 100%, $E$9)</f>
        <v>46.516800000000003</v>
      </c>
      <c r="C692" s="14">
        <f>CHOOSE(CONTROL!$C$42, 46.5249, 46.5249) * CHOOSE(CONTROL!$C$21, $C$9, 100%, $E$9)</f>
        <v>46.524900000000002</v>
      </c>
      <c r="D692" s="14">
        <f>CHOOSE(CONTROL!$C$42, 46.7839, 46.7839) * CHOOSE(CONTROL!$C$21, $C$9, 100%, $E$9)</f>
        <v>46.783900000000003</v>
      </c>
      <c r="E692" s="14">
        <f>CHOOSE(CONTROL!$C$42, 46.8154, 46.8154) * CHOOSE(CONTROL!$C$21, $C$9, 100%, $E$9)</f>
        <v>46.815399999999997</v>
      </c>
      <c r="F692" s="14">
        <f>CHOOSE(CONTROL!$C$42, 46.5392, 46.5392)*CHOOSE(CONTROL!$C$21, $C$9, 100%, $E$9)</f>
        <v>46.539200000000001</v>
      </c>
      <c r="G692" s="14">
        <f>CHOOSE(CONTROL!$C$42, 46.5564, 46.5564)*CHOOSE(CONTROL!$C$21, $C$9, 100%, $E$9)</f>
        <v>46.556399999999996</v>
      </c>
      <c r="H692" s="14">
        <f>CHOOSE(CONTROL!$C$42, 46.804, 46.804) * CHOOSE(CONTROL!$C$21, $C$9, 100%, $E$9)</f>
        <v>46.804000000000002</v>
      </c>
      <c r="I692" s="14">
        <f>CHOOSE(CONTROL!$C$42, 46.6836, 46.6836)* CHOOSE(CONTROL!$C$21, $C$9, 100%, $E$9)</f>
        <v>46.683599999999998</v>
      </c>
      <c r="J692" s="14">
        <f>CHOOSE(CONTROL!$C$42, 46.5322, 46.5322)* CHOOSE(CONTROL!$C$21, $C$9, 100%, $E$9)</f>
        <v>46.532200000000003</v>
      </c>
      <c r="K692" s="52">
        <f>CHOOSE(CONTROL!$C$42, 46.6797, 46.6797) * CHOOSE(CONTROL!$C$21, $C$9, 100%, $E$9)</f>
        <v>46.679699999999997</v>
      </c>
      <c r="L692" s="14">
        <f>CHOOSE(CONTROL!$C$42, 47.391, 47.391) * CHOOSE(CONTROL!$C$21, $C$9, 100%, $E$9)</f>
        <v>47.390999999999998</v>
      </c>
      <c r="M692" s="14">
        <f>CHOOSE(CONTROL!$C$42, 45.703, 45.703) * CHOOSE(CONTROL!$C$21, $C$9, 100%, $E$9)</f>
        <v>45.703000000000003</v>
      </c>
      <c r="N692" s="14">
        <f>CHOOSE(CONTROL!$C$42, 45.7199, 45.7199) * CHOOSE(CONTROL!$C$21, $C$9, 100%, $E$9)</f>
        <v>45.719900000000003</v>
      </c>
      <c r="O692" s="14">
        <f>CHOOSE(CONTROL!$C$42, 45.9699, 45.9699) * CHOOSE(CONTROL!$C$21, $C$9, 100%, $E$9)</f>
        <v>45.969900000000003</v>
      </c>
      <c r="P692" s="14">
        <f>CHOOSE(CONTROL!$C$42, 45.8491, 45.8491) * CHOOSE(CONTROL!$C$21, $C$9, 100%, $E$9)</f>
        <v>45.8491</v>
      </c>
      <c r="Q692" s="14">
        <f>CHOOSE(CONTROL!$C$42, 46.5646, 46.5646) * CHOOSE(CONTROL!$C$21, $C$9, 100%, $E$9)</f>
        <v>46.564599999999999</v>
      </c>
      <c r="R692" s="14">
        <f>CHOOSE(CONTROL!$C$42, 47.268, 47.268) * CHOOSE(CONTROL!$C$21, $C$9, 100%, $E$9)</f>
        <v>47.268000000000001</v>
      </c>
      <c r="S692" s="14">
        <f>CHOOSE(CONTROL!$C$42, 44.6874, 44.6874) * CHOOSE(CONTROL!$C$21, $C$9, 100%, $E$9)</f>
        <v>44.687399999999997</v>
      </c>
      <c r="T6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92" s="56">
        <f>(1000*CHOOSE(CONTROL!$C$42, 695, 695)*CHOOSE(CONTROL!$C$42, 0.5599, 0.5599)*CHOOSE(CONTROL!$C$42, 31, 31))/1000000</f>
        <v>12.063045499999998</v>
      </c>
      <c r="V692" s="56">
        <f>(1000*CHOOSE(CONTROL!$C$42, 500, 500)*CHOOSE(CONTROL!$C$42, 0.275, 0.275)*CHOOSE(CONTROL!$C$42, 31, 31))/1000000</f>
        <v>4.2625000000000002</v>
      </c>
      <c r="W692" s="56">
        <f>(1000*CHOOSE(CONTROL!$C$42, 0.1146, 0.1146)*CHOOSE(CONTROL!$C$42, 121.5, 121.5)*CHOOSE(CONTROL!$C$42, 31, 31))/1000000</f>
        <v>0.43164089999999994</v>
      </c>
      <c r="X692" s="56">
        <f>(31*0.1790888*245000/1000000)+(31*0.2374*100000/1000000)</f>
        <v>2.0961194359999999</v>
      </c>
      <c r="Y692" s="56"/>
      <c r="Z692" s="14"/>
      <c r="AA692" s="55"/>
      <c r="AB692" s="49">
        <f>(B692*194.205+C692*267.466+D692*133.845+E692*53.484+F692*40+G692*185+H692*0+I692*100+J692*300)/(194.205+267.466+133.845+53.484+0+40+185+100+300)</f>
        <v>46.582270012951334</v>
      </c>
      <c r="AC692" s="45">
        <f>(M692*'RAP TEMPLATE-GAS AVAILABILITY'!O691+N692*'RAP TEMPLATE-GAS AVAILABILITY'!P691+O692*'RAP TEMPLATE-GAS AVAILABILITY'!Q691+P692*'RAP TEMPLATE-GAS AVAILABILITY'!R691)/('RAP TEMPLATE-GAS AVAILABILITY'!O691+'RAP TEMPLATE-GAS AVAILABILITY'!P691+'RAP TEMPLATE-GAS AVAILABILITY'!Q691+'RAP TEMPLATE-GAS AVAILABILITY'!R691)</f>
        <v>45.84596330935252</v>
      </c>
    </row>
    <row r="693" spans="1:29" ht="15.75" x14ac:dyDescent="0.25">
      <c r="A693" s="32">
        <v>62001</v>
      </c>
      <c r="B693" s="14">
        <f>CHOOSE(CONTROL!$C$42, 43.5641, 43.5641) * CHOOSE(CONTROL!$C$21, $C$9, 100%, $E$9)</f>
        <v>43.564100000000003</v>
      </c>
      <c r="C693" s="14">
        <f>CHOOSE(CONTROL!$C$42, 43.5721, 43.5721) * CHOOSE(CONTROL!$C$21, $C$9, 100%, $E$9)</f>
        <v>43.572099999999999</v>
      </c>
      <c r="D693" s="14">
        <f>CHOOSE(CONTROL!$C$42, 43.8312, 43.8312) * CHOOSE(CONTROL!$C$21, $C$9, 100%, $E$9)</f>
        <v>43.831200000000003</v>
      </c>
      <c r="E693" s="14">
        <f>CHOOSE(CONTROL!$C$42, 43.8627, 43.8627) * CHOOSE(CONTROL!$C$21, $C$9, 100%, $E$9)</f>
        <v>43.862699999999997</v>
      </c>
      <c r="F693" s="14">
        <f>CHOOSE(CONTROL!$C$42, 43.5866, 43.5866)*CHOOSE(CONTROL!$C$21, $C$9, 100%, $E$9)</f>
        <v>43.586599999999997</v>
      </c>
      <c r="G693" s="14">
        <f>CHOOSE(CONTROL!$C$42, 43.6038, 43.6038)*CHOOSE(CONTROL!$C$21, $C$9, 100%, $E$9)</f>
        <v>43.6038</v>
      </c>
      <c r="H693" s="14">
        <f>CHOOSE(CONTROL!$C$42, 43.8513, 43.8513) * CHOOSE(CONTROL!$C$21, $C$9, 100%, $E$9)</f>
        <v>43.851300000000002</v>
      </c>
      <c r="I693" s="14">
        <f>CHOOSE(CONTROL!$C$42, 43.7216, 43.7216)* CHOOSE(CONTROL!$C$21, $C$9, 100%, $E$9)</f>
        <v>43.721600000000002</v>
      </c>
      <c r="J693" s="14">
        <f>CHOOSE(CONTROL!$C$42, 43.5796, 43.5796)* CHOOSE(CONTROL!$C$21, $C$9, 100%, $E$9)</f>
        <v>43.579599999999999</v>
      </c>
      <c r="K693" s="52">
        <f>CHOOSE(CONTROL!$C$42, 43.7177, 43.7177) * CHOOSE(CONTROL!$C$21, $C$9, 100%, $E$9)</f>
        <v>43.717700000000001</v>
      </c>
      <c r="L693" s="14">
        <f>CHOOSE(CONTROL!$C$42, 44.4383, 44.4383) * CHOOSE(CONTROL!$C$21, $C$9, 100%, $E$9)</f>
        <v>44.438299999999998</v>
      </c>
      <c r="M693" s="14">
        <f>CHOOSE(CONTROL!$C$42, 42.8034, 42.8034) * CHOOSE(CONTROL!$C$21, $C$9, 100%, $E$9)</f>
        <v>42.803400000000003</v>
      </c>
      <c r="N693" s="14">
        <f>CHOOSE(CONTROL!$C$42, 42.8203, 42.8203) * CHOOSE(CONTROL!$C$21, $C$9, 100%, $E$9)</f>
        <v>42.820300000000003</v>
      </c>
      <c r="O693" s="14">
        <f>CHOOSE(CONTROL!$C$42, 43.0703, 43.0703) * CHOOSE(CONTROL!$C$21, $C$9, 100%, $E$9)</f>
        <v>43.070300000000003</v>
      </c>
      <c r="P693" s="14">
        <f>CHOOSE(CONTROL!$C$42, 42.9406, 42.9406) * CHOOSE(CONTROL!$C$21, $C$9, 100%, $E$9)</f>
        <v>42.940600000000003</v>
      </c>
      <c r="Q693" s="14">
        <f>CHOOSE(CONTROL!$C$42, 43.665, 43.665) * CHOOSE(CONTROL!$C$21, $C$9, 100%, $E$9)</f>
        <v>43.664999999999999</v>
      </c>
      <c r="R693" s="14">
        <f>CHOOSE(CONTROL!$C$42, 44.3611, 44.3611) * CHOOSE(CONTROL!$C$21, $C$9, 100%, $E$9)</f>
        <v>44.3611</v>
      </c>
      <c r="S693" s="14">
        <f>CHOOSE(CONTROL!$C$42, 41.8501, 41.8501) * CHOOSE(CONTROL!$C$21, $C$9, 100%, $E$9)</f>
        <v>41.850099999999998</v>
      </c>
      <c r="T6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93" s="56">
        <f>(1000*CHOOSE(CONTROL!$C$42, 695, 695)*CHOOSE(CONTROL!$C$42, 0.5599, 0.5599)*CHOOSE(CONTROL!$C$42, 30, 30))/1000000</f>
        <v>11.673914999999997</v>
      </c>
      <c r="V693" s="56">
        <f>(1000*CHOOSE(CONTROL!$C$42, 500, 500)*CHOOSE(CONTROL!$C$42, 0.275, 0.275)*CHOOSE(CONTROL!$C$42, 30, 30))/1000000</f>
        <v>4.125</v>
      </c>
      <c r="W693" s="56">
        <f>(1000*CHOOSE(CONTROL!$C$42, 0.1146, 0.1146)*CHOOSE(CONTROL!$C$42, 121.5, 121.5)*CHOOSE(CONTROL!$C$42, 30, 30))/1000000</f>
        <v>0.417717</v>
      </c>
      <c r="X693" s="56">
        <f>(30*0.1790888*245000/1000000)+(30*0.2374*100000/1000000)</f>
        <v>2.0285026799999999</v>
      </c>
      <c r="Y693" s="56"/>
      <c r="Z693" s="14"/>
      <c r="AA693" s="55"/>
      <c r="AB693" s="49">
        <f>(B693*194.205+C693*267.466+D693*133.845+E693*53.484+F693*40+G693*185+H693*0+I693*100+J693*300)/(194.205+267.466+133.845+53.484+0+40+185+100+300)</f>
        <v>43.628860243249605</v>
      </c>
      <c r="AC693" s="45">
        <f>(M693*'RAP TEMPLATE-GAS AVAILABILITY'!O692+N693*'RAP TEMPLATE-GAS AVAILABILITY'!P692+O693*'RAP TEMPLATE-GAS AVAILABILITY'!Q692+P693*'RAP TEMPLATE-GAS AVAILABILITY'!R692)/('RAP TEMPLATE-GAS AVAILABILITY'!O692+'RAP TEMPLATE-GAS AVAILABILITY'!P692+'RAP TEMPLATE-GAS AVAILABILITY'!Q692+'RAP TEMPLATE-GAS AVAILABILITY'!R692)</f>
        <v>42.945082733812953</v>
      </c>
    </row>
    <row r="694" spans="1:29" ht="15.75" x14ac:dyDescent="0.25">
      <c r="A694" s="32">
        <v>62032</v>
      </c>
      <c r="B694" s="14">
        <f>CHOOSE(CONTROL!$C$42, 42.6781, 42.6781) * CHOOSE(CONTROL!$C$21, $C$9, 100%, $E$9)</f>
        <v>42.678100000000001</v>
      </c>
      <c r="C694" s="14">
        <f>CHOOSE(CONTROL!$C$42, 42.6834, 42.6834) * CHOOSE(CONTROL!$C$21, $C$9, 100%, $E$9)</f>
        <v>42.683399999999999</v>
      </c>
      <c r="D694" s="14">
        <f>CHOOSE(CONTROL!$C$42, 42.9474, 42.9474) * CHOOSE(CONTROL!$C$21, $C$9, 100%, $E$9)</f>
        <v>42.947400000000002</v>
      </c>
      <c r="E694" s="14">
        <f>CHOOSE(CONTROL!$C$42, 42.9766, 42.9766) * CHOOSE(CONTROL!$C$21, $C$9, 100%, $E$9)</f>
        <v>42.976599999999998</v>
      </c>
      <c r="F694" s="14">
        <f>CHOOSE(CONTROL!$C$42, 42.7027, 42.7027)*CHOOSE(CONTROL!$C$21, $C$9, 100%, $E$9)</f>
        <v>42.7027</v>
      </c>
      <c r="G694" s="14">
        <f>CHOOSE(CONTROL!$C$42, 42.7198, 42.7198)*CHOOSE(CONTROL!$C$21, $C$9, 100%, $E$9)</f>
        <v>42.719799999999999</v>
      </c>
      <c r="H694" s="14">
        <f>CHOOSE(CONTROL!$C$42, 42.967, 42.967) * CHOOSE(CONTROL!$C$21, $C$9, 100%, $E$9)</f>
        <v>42.966999999999999</v>
      </c>
      <c r="I694" s="14">
        <f>CHOOSE(CONTROL!$C$42, 42.8346, 42.8346)* CHOOSE(CONTROL!$C$21, $C$9, 100%, $E$9)</f>
        <v>42.834600000000002</v>
      </c>
      <c r="J694" s="14">
        <f>CHOOSE(CONTROL!$C$42, 42.6957, 42.6957)* CHOOSE(CONTROL!$C$21, $C$9, 100%, $E$9)</f>
        <v>42.695700000000002</v>
      </c>
      <c r="K694" s="52">
        <f>CHOOSE(CONTROL!$C$42, 42.8307, 42.8307) * CHOOSE(CONTROL!$C$21, $C$9, 100%, $E$9)</f>
        <v>42.8307</v>
      </c>
      <c r="L694" s="14">
        <f>CHOOSE(CONTROL!$C$42, 43.554, 43.554) * CHOOSE(CONTROL!$C$21, $C$9, 100%, $E$9)</f>
        <v>43.554000000000002</v>
      </c>
      <c r="M694" s="14">
        <f>CHOOSE(CONTROL!$C$42, 41.9354, 41.9354) * CHOOSE(CONTROL!$C$21, $C$9, 100%, $E$9)</f>
        <v>41.935400000000001</v>
      </c>
      <c r="N694" s="14">
        <f>CHOOSE(CONTROL!$C$42, 41.9522, 41.9522) * CHOOSE(CONTROL!$C$21, $C$9, 100%, $E$9)</f>
        <v>41.952199999999998</v>
      </c>
      <c r="O694" s="14">
        <f>CHOOSE(CONTROL!$C$42, 42.2019, 42.2019) * CHOOSE(CONTROL!$C$21, $C$9, 100%, $E$9)</f>
        <v>42.201900000000002</v>
      </c>
      <c r="P694" s="14">
        <f>CHOOSE(CONTROL!$C$42, 42.0695, 42.0695) * CHOOSE(CONTROL!$C$21, $C$9, 100%, $E$9)</f>
        <v>42.069499999999998</v>
      </c>
      <c r="Q694" s="14">
        <f>CHOOSE(CONTROL!$C$42, 42.7966, 42.7966) * CHOOSE(CONTROL!$C$21, $C$9, 100%, $E$9)</f>
        <v>42.796599999999998</v>
      </c>
      <c r="R694" s="14">
        <f>CHOOSE(CONTROL!$C$42, 43.4906, 43.4906) * CHOOSE(CONTROL!$C$21, $C$9, 100%, $E$9)</f>
        <v>43.490600000000001</v>
      </c>
      <c r="S694" s="14">
        <f>CHOOSE(CONTROL!$C$42, 41.0004, 41.0004) * CHOOSE(CONTROL!$C$21, $C$9, 100%, $E$9)</f>
        <v>41.000399999999999</v>
      </c>
      <c r="T6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694" s="56">
        <f>(1000*CHOOSE(CONTROL!$C$42, 695, 695)*CHOOSE(CONTROL!$C$42, 0.5599, 0.5599)*CHOOSE(CONTROL!$C$42, 31, 31))/1000000</f>
        <v>12.063045499999998</v>
      </c>
      <c r="V694" s="56">
        <f>(1000*CHOOSE(CONTROL!$C$42, 500, 500)*CHOOSE(CONTROL!$C$42, 0.275, 0.275)*CHOOSE(CONTROL!$C$42, 31, 31))/1000000</f>
        <v>4.2625000000000002</v>
      </c>
      <c r="W694" s="56">
        <f>(1000*CHOOSE(CONTROL!$C$42, 0.1146, 0.1146)*CHOOSE(CONTROL!$C$42, 121.5, 121.5)*CHOOSE(CONTROL!$C$42, 31, 31))/1000000</f>
        <v>0.43164089999999994</v>
      </c>
      <c r="X694" s="56">
        <f>(31*0.1790888*245000/1000000)+(31*0.2374*100000/1000000)</f>
        <v>2.0961194359999999</v>
      </c>
      <c r="Y694" s="56"/>
      <c r="Z694" s="14"/>
      <c r="AA694" s="55"/>
      <c r="AB694" s="49">
        <f>(B694*131.881+C694*277.167+D694*79.08+E694*125.872+F694*40+G694*185+H694*0+I694*100+J694*300)/(131.881+277.167+79.08+125.872+0+40+185+100+300)</f>
        <v>42.75071220427764</v>
      </c>
      <c r="AC694" s="45">
        <f>(M694*'RAP TEMPLATE-GAS AVAILABILITY'!O693+N694*'RAP TEMPLATE-GAS AVAILABILITY'!P693+O694*'RAP TEMPLATE-GAS AVAILABILITY'!Q693+P694*'RAP TEMPLATE-GAS AVAILABILITY'!R693)/('RAP TEMPLATE-GAS AVAILABILITY'!O693+'RAP TEMPLATE-GAS AVAILABILITY'!P693+'RAP TEMPLATE-GAS AVAILABILITY'!Q693+'RAP TEMPLATE-GAS AVAILABILITY'!R693)</f>
        <v>42.076449640287777</v>
      </c>
    </row>
    <row r="695" spans="1:29" ht="15.75" x14ac:dyDescent="0.25">
      <c r="A695" s="32">
        <v>62062</v>
      </c>
      <c r="B695" s="14">
        <f>CHOOSE(CONTROL!$C$42, 43.8017, 43.8017) * CHOOSE(CONTROL!$C$21, $C$9, 100%, $E$9)</f>
        <v>43.801699999999997</v>
      </c>
      <c r="C695" s="14">
        <f>CHOOSE(CONTROL!$C$42, 43.8068, 43.8068) * CHOOSE(CONTROL!$C$21, $C$9, 100%, $E$9)</f>
        <v>43.806800000000003</v>
      </c>
      <c r="D695" s="14">
        <f>CHOOSE(CONTROL!$C$42, 43.8898, 43.8898) * CHOOSE(CONTROL!$C$21, $C$9, 100%, $E$9)</f>
        <v>43.889800000000001</v>
      </c>
      <c r="E695" s="14">
        <f>CHOOSE(CONTROL!$C$42, 43.924, 43.924) * CHOOSE(CONTROL!$C$21, $C$9, 100%, $E$9)</f>
        <v>43.923999999999999</v>
      </c>
      <c r="F695" s="14">
        <f>CHOOSE(CONTROL!$C$42, 43.8293, 43.8293)*CHOOSE(CONTROL!$C$21, $C$9, 100%, $E$9)</f>
        <v>43.829300000000003</v>
      </c>
      <c r="G695" s="14">
        <f>CHOOSE(CONTROL!$C$42, 43.8467, 43.8467)*CHOOSE(CONTROL!$C$21, $C$9, 100%, $E$9)</f>
        <v>43.846699999999998</v>
      </c>
      <c r="H695" s="14">
        <f>CHOOSE(CONTROL!$C$42, 43.9131, 43.9131) * CHOOSE(CONTROL!$C$21, $C$9, 100%, $E$9)</f>
        <v>43.9131</v>
      </c>
      <c r="I695" s="14">
        <f>CHOOSE(CONTROL!$C$42, 43.9585, 43.9585)* CHOOSE(CONTROL!$C$21, $C$9, 100%, $E$9)</f>
        <v>43.958500000000001</v>
      </c>
      <c r="J695" s="14">
        <f>CHOOSE(CONTROL!$C$42, 43.8223, 43.8223)* CHOOSE(CONTROL!$C$21, $C$9, 100%, $E$9)</f>
        <v>43.822299999999998</v>
      </c>
      <c r="K695" s="52">
        <f>CHOOSE(CONTROL!$C$42, 43.9546, 43.9546) * CHOOSE(CONTROL!$C$21, $C$9, 100%, $E$9)</f>
        <v>43.954599999999999</v>
      </c>
      <c r="L695" s="14">
        <f>CHOOSE(CONTROL!$C$42, 44.5001, 44.5001) * CHOOSE(CONTROL!$C$21, $C$9, 100%, $E$9)</f>
        <v>44.500100000000003</v>
      </c>
      <c r="M695" s="14">
        <f>CHOOSE(CONTROL!$C$42, 43.0418, 43.0418) * CHOOSE(CONTROL!$C$21, $C$9, 100%, $E$9)</f>
        <v>43.041800000000002</v>
      </c>
      <c r="N695" s="14">
        <f>CHOOSE(CONTROL!$C$42, 43.0589, 43.0589) * CHOOSE(CONTROL!$C$21, $C$9, 100%, $E$9)</f>
        <v>43.058900000000001</v>
      </c>
      <c r="O695" s="14">
        <f>CHOOSE(CONTROL!$C$42, 43.131, 43.131) * CHOOSE(CONTROL!$C$21, $C$9, 100%, $E$9)</f>
        <v>43.131</v>
      </c>
      <c r="P695" s="14">
        <f>CHOOSE(CONTROL!$C$42, 43.1732, 43.1732) * CHOOSE(CONTROL!$C$21, $C$9, 100%, $E$9)</f>
        <v>43.173200000000001</v>
      </c>
      <c r="Q695" s="14">
        <f>CHOOSE(CONTROL!$C$42, 43.7257, 43.7257) * CHOOSE(CONTROL!$C$21, $C$9, 100%, $E$9)</f>
        <v>43.725700000000003</v>
      </c>
      <c r="R695" s="14">
        <f>CHOOSE(CONTROL!$C$42, 44.422, 44.422) * CHOOSE(CONTROL!$C$21, $C$9, 100%, $E$9)</f>
        <v>44.421999999999997</v>
      </c>
      <c r="S695" s="14">
        <f>CHOOSE(CONTROL!$C$42, 42.0805, 42.0805) * CHOOSE(CONTROL!$C$21, $C$9, 100%, $E$9)</f>
        <v>42.080500000000001</v>
      </c>
      <c r="T6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695" s="56">
        <f>(1000*CHOOSE(CONTROL!$C$42, 695, 695)*CHOOSE(CONTROL!$C$42, 0.5599, 0.5599)*CHOOSE(CONTROL!$C$42, 30, 30))/1000000</f>
        <v>11.673914999999997</v>
      </c>
      <c r="V695" s="56">
        <f>(1000*CHOOSE(CONTROL!$C$42, 500, 500)*CHOOSE(CONTROL!$C$42, 0.275, 0.275)*CHOOSE(CONTROL!$C$42, 30, 30))/1000000</f>
        <v>4.125</v>
      </c>
      <c r="W695" s="56">
        <f>(1000*CHOOSE(CONTROL!$C$42, 0.1146, 0.1146)*CHOOSE(CONTROL!$C$42, 121.5, 121.5)*CHOOSE(CONTROL!$C$42, 30, 30))/1000000</f>
        <v>0.417717</v>
      </c>
      <c r="X695" s="56">
        <f>(30*0.1790888*100000/1000000)+(30*0.2374*100000/1000000)</f>
        <v>1.2494664</v>
      </c>
      <c r="Y695" s="56"/>
      <c r="Z695" s="14"/>
      <c r="AA695" s="55"/>
      <c r="AB695" s="49">
        <f>(B695*122.58+C695*297.941+D695*89.177+E695*40.302+F695*40+G695*160+H695*0+I695*100+J695*300)/(122.58+297.941+89.177+40.302+0+40+160+100+300)</f>
        <v>43.840368632521738</v>
      </c>
      <c r="AC695" s="45">
        <f>(M695*'RAP TEMPLATE-GAS AVAILABILITY'!O694+N695*'RAP TEMPLATE-GAS AVAILABILITY'!P694+O695*'RAP TEMPLATE-GAS AVAILABILITY'!Q694+P695*'RAP TEMPLATE-GAS AVAILABILITY'!R694)/('RAP TEMPLATE-GAS AVAILABILITY'!O694+'RAP TEMPLATE-GAS AVAILABILITY'!P694+'RAP TEMPLATE-GAS AVAILABILITY'!Q694+'RAP TEMPLATE-GAS AVAILABILITY'!R694)</f>
        <v>43.102119424460426</v>
      </c>
    </row>
    <row r="696" spans="1:29" ht="15.75" x14ac:dyDescent="0.25">
      <c r="A696" s="32">
        <v>62093</v>
      </c>
      <c r="B696" s="14">
        <f>CHOOSE(CONTROL!$C$42, 46.7874, 46.7874) * CHOOSE(CONTROL!$C$21, $C$9, 100%, $E$9)</f>
        <v>46.787399999999998</v>
      </c>
      <c r="C696" s="14">
        <f>CHOOSE(CONTROL!$C$42, 46.7925, 46.7925) * CHOOSE(CONTROL!$C$21, $C$9, 100%, $E$9)</f>
        <v>46.792499999999997</v>
      </c>
      <c r="D696" s="14">
        <f>CHOOSE(CONTROL!$C$42, 46.8756, 46.8756) * CHOOSE(CONTROL!$C$21, $C$9, 100%, $E$9)</f>
        <v>46.875599999999999</v>
      </c>
      <c r="E696" s="14">
        <f>CHOOSE(CONTROL!$C$42, 46.9097, 46.9097) * CHOOSE(CONTROL!$C$21, $C$9, 100%, $E$9)</f>
        <v>46.909700000000001</v>
      </c>
      <c r="F696" s="14">
        <f>CHOOSE(CONTROL!$C$42, 46.8175, 46.8175)*CHOOSE(CONTROL!$C$21, $C$9, 100%, $E$9)</f>
        <v>46.817500000000003</v>
      </c>
      <c r="G696" s="14">
        <f>CHOOSE(CONTROL!$C$42, 46.8355, 46.8355)*CHOOSE(CONTROL!$C$21, $C$9, 100%, $E$9)</f>
        <v>46.835500000000003</v>
      </c>
      <c r="H696" s="14">
        <f>CHOOSE(CONTROL!$C$42, 46.8989, 46.8989) * CHOOSE(CONTROL!$C$21, $C$9, 100%, $E$9)</f>
        <v>46.898899999999998</v>
      </c>
      <c r="I696" s="14">
        <f>CHOOSE(CONTROL!$C$42, 46.9536, 46.9536)* CHOOSE(CONTROL!$C$21, $C$9, 100%, $E$9)</f>
        <v>46.953600000000002</v>
      </c>
      <c r="J696" s="14">
        <f>CHOOSE(CONTROL!$C$42, 46.8105, 46.8105)* CHOOSE(CONTROL!$C$21, $C$9, 100%, $E$9)</f>
        <v>46.810499999999998</v>
      </c>
      <c r="K696" s="52">
        <f>CHOOSE(CONTROL!$C$42, 46.9497, 46.9497) * CHOOSE(CONTROL!$C$21, $C$9, 100%, $E$9)</f>
        <v>46.9497</v>
      </c>
      <c r="L696" s="14">
        <f>CHOOSE(CONTROL!$C$42, 47.4859, 47.4859) * CHOOSE(CONTROL!$C$21, $C$9, 100%, $E$9)</f>
        <v>47.485900000000001</v>
      </c>
      <c r="M696" s="14">
        <f>CHOOSE(CONTROL!$C$42, 45.9762, 45.9762) * CHOOSE(CONTROL!$C$21, $C$9, 100%, $E$9)</f>
        <v>45.976199999999999</v>
      </c>
      <c r="N696" s="14">
        <f>CHOOSE(CONTROL!$C$42, 45.9939, 45.9939) * CHOOSE(CONTROL!$C$21, $C$9, 100%, $E$9)</f>
        <v>45.993899999999996</v>
      </c>
      <c r="O696" s="14">
        <f>CHOOSE(CONTROL!$C$42, 46.063, 46.063) * CHOOSE(CONTROL!$C$21, $C$9, 100%, $E$9)</f>
        <v>46.063000000000002</v>
      </c>
      <c r="P696" s="14">
        <f>CHOOSE(CONTROL!$C$42, 46.1142, 46.1142) * CHOOSE(CONTROL!$C$21, $C$9, 100%, $E$9)</f>
        <v>46.114199999999997</v>
      </c>
      <c r="Q696" s="14">
        <f>CHOOSE(CONTROL!$C$42, 46.6577, 46.6577) * CHOOSE(CONTROL!$C$21, $C$9, 100%, $E$9)</f>
        <v>46.657699999999998</v>
      </c>
      <c r="R696" s="14">
        <f>CHOOSE(CONTROL!$C$42, 47.3614, 47.3614) * CHOOSE(CONTROL!$C$21, $C$9, 100%, $E$9)</f>
        <v>47.361400000000003</v>
      </c>
      <c r="S696" s="14">
        <f>CHOOSE(CONTROL!$C$42, 44.9495, 44.9495) * CHOOSE(CONTROL!$C$21, $C$9, 100%, $E$9)</f>
        <v>44.9495</v>
      </c>
      <c r="T6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96" s="56">
        <f>(1000*CHOOSE(CONTROL!$C$42, 695, 695)*CHOOSE(CONTROL!$C$42, 0.5599, 0.5599)*CHOOSE(CONTROL!$C$42, 31, 31))/1000000</f>
        <v>12.063045499999998</v>
      </c>
      <c r="V696" s="56">
        <f>(1000*CHOOSE(CONTROL!$C$42, 500, 500)*CHOOSE(CONTROL!$C$42, 0.275, 0.275)*CHOOSE(CONTROL!$C$42, 31, 31))/1000000</f>
        <v>4.2625000000000002</v>
      </c>
      <c r="W696" s="56">
        <f>(1000*CHOOSE(CONTROL!$C$42, 0.1146, 0.1146)*CHOOSE(CONTROL!$C$42, 121.5, 121.5)*CHOOSE(CONTROL!$C$42, 31, 31))/1000000</f>
        <v>0.43164089999999994</v>
      </c>
      <c r="X696" s="56">
        <f>(31*0.1790888*100000/1000000)+(31*0.2374*100000/1000000)</f>
        <v>1.2911152800000001</v>
      </c>
      <c r="Y696" s="56"/>
      <c r="Z696" s="14"/>
      <c r="AA696" s="55"/>
      <c r="AB696" s="49">
        <f>(B696*122.58+C696*297.941+D696*89.177+E696*40.302+F696*40+G696*160+H696*0+I696*100+J696*300)/(122.58+297.941+89.177+40.302+0+40+160+100+300)</f>
        <v>46.828064213130432</v>
      </c>
      <c r="AC696" s="45">
        <f>(M696*'RAP TEMPLATE-GAS AVAILABILITY'!O695+N696*'RAP TEMPLATE-GAS AVAILABILITY'!P695+O696*'RAP TEMPLATE-GAS AVAILABILITY'!Q695+P696*'RAP TEMPLATE-GAS AVAILABILITY'!R695)/('RAP TEMPLATE-GAS AVAILABILITY'!O695+'RAP TEMPLATE-GAS AVAILABILITY'!P695+'RAP TEMPLATE-GAS AVAILABILITY'!Q695+'RAP TEMPLATE-GAS AVAILABILITY'!R695)</f>
        <v>46.036415827338132</v>
      </c>
    </row>
    <row r="697" spans="1:29" ht="15.75" x14ac:dyDescent="0.25">
      <c r="A697" s="32">
        <v>62124</v>
      </c>
      <c r="B697" s="14">
        <f>CHOOSE(CONTROL!$C$42, 50.6654, 50.6654) * CHOOSE(CONTROL!$C$21, $C$9, 100%, $E$9)</f>
        <v>50.665399999999998</v>
      </c>
      <c r="C697" s="14">
        <f>CHOOSE(CONTROL!$C$42, 50.6704, 50.6704) * CHOOSE(CONTROL!$C$21, $C$9, 100%, $E$9)</f>
        <v>50.670400000000001</v>
      </c>
      <c r="D697" s="14">
        <f>CHOOSE(CONTROL!$C$42, 50.7639, 50.7639) * CHOOSE(CONTROL!$C$21, $C$9, 100%, $E$9)</f>
        <v>50.7639</v>
      </c>
      <c r="E697" s="14">
        <f>CHOOSE(CONTROL!$C$42, 50.798, 50.798) * CHOOSE(CONTROL!$C$21, $C$9, 100%, $E$9)</f>
        <v>50.798000000000002</v>
      </c>
      <c r="F697" s="14">
        <f>CHOOSE(CONTROL!$C$42, 50.6927, 50.6927)*CHOOSE(CONTROL!$C$21, $C$9, 100%, $E$9)</f>
        <v>50.692700000000002</v>
      </c>
      <c r="G697" s="14">
        <f>CHOOSE(CONTROL!$C$42, 50.7106, 50.7106)*CHOOSE(CONTROL!$C$21, $C$9, 100%, $E$9)</f>
        <v>50.710599999999999</v>
      </c>
      <c r="H697" s="14">
        <f>CHOOSE(CONTROL!$C$42, 50.7872, 50.7872) * CHOOSE(CONTROL!$C$21, $C$9, 100%, $E$9)</f>
        <v>50.787199999999999</v>
      </c>
      <c r="I697" s="14">
        <f>CHOOSE(CONTROL!$C$42, 50.8499, 50.8499)* CHOOSE(CONTROL!$C$21, $C$9, 100%, $E$9)</f>
        <v>50.849899999999998</v>
      </c>
      <c r="J697" s="14">
        <f>CHOOSE(CONTROL!$C$42, 50.6857, 50.6857)* CHOOSE(CONTROL!$C$21, $C$9, 100%, $E$9)</f>
        <v>50.685699999999997</v>
      </c>
      <c r="K697" s="52">
        <f>CHOOSE(CONTROL!$C$42, 50.846, 50.846) * CHOOSE(CONTROL!$C$21, $C$9, 100%, $E$9)</f>
        <v>50.845999999999997</v>
      </c>
      <c r="L697" s="14">
        <f>CHOOSE(CONTROL!$C$42, 51.3742, 51.3742) * CHOOSE(CONTROL!$C$21, $C$9, 100%, $E$9)</f>
        <v>51.374200000000002</v>
      </c>
      <c r="M697" s="14">
        <f>CHOOSE(CONTROL!$C$42, 49.7817, 49.7817) * CHOOSE(CONTROL!$C$21, $C$9, 100%, $E$9)</f>
        <v>49.781700000000001</v>
      </c>
      <c r="N697" s="14">
        <f>CHOOSE(CONTROL!$C$42, 49.7993, 49.7993) * CHOOSE(CONTROL!$C$21, $C$9, 100%, $E$9)</f>
        <v>49.799300000000002</v>
      </c>
      <c r="O697" s="14">
        <f>CHOOSE(CONTROL!$C$42, 49.8814, 49.8814) * CHOOSE(CONTROL!$C$21, $C$9, 100%, $E$9)</f>
        <v>49.881399999999999</v>
      </c>
      <c r="P697" s="14">
        <f>CHOOSE(CONTROL!$C$42, 49.9403, 49.9403) * CHOOSE(CONTROL!$C$21, $C$9, 100%, $E$9)</f>
        <v>49.940300000000001</v>
      </c>
      <c r="Q697" s="14">
        <f>CHOOSE(CONTROL!$C$42, 50.4761, 50.4761) * CHOOSE(CONTROL!$C$21, $C$9, 100%, $E$9)</f>
        <v>50.476100000000002</v>
      </c>
      <c r="R697" s="14">
        <f>CHOOSE(CONTROL!$C$42, 51.1893, 51.1893) * CHOOSE(CONTROL!$C$21, $C$9, 100%, $E$9)</f>
        <v>51.189300000000003</v>
      </c>
      <c r="S697" s="14">
        <f>CHOOSE(CONTROL!$C$42, 48.6758, 48.6758) * CHOOSE(CONTROL!$C$21, $C$9, 100%, $E$9)</f>
        <v>48.675800000000002</v>
      </c>
      <c r="T6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97" s="56">
        <f>(1000*CHOOSE(CONTROL!$C$42, 695, 695)*CHOOSE(CONTROL!$C$42, 0.5599, 0.5599)*CHOOSE(CONTROL!$C$42, 31, 31))/1000000</f>
        <v>12.063045499999998</v>
      </c>
      <c r="V697" s="56">
        <f>(1000*CHOOSE(CONTROL!$C$42, 500, 500)*CHOOSE(CONTROL!$C$42, 0.275, 0.275)*CHOOSE(CONTROL!$C$42, 31, 31))/1000000</f>
        <v>4.2625000000000002</v>
      </c>
      <c r="W697" s="56">
        <f>(1000*CHOOSE(CONTROL!$C$42, 0.1146, 0.1146)*CHOOSE(CONTROL!$C$42, 121.5, 121.5)*CHOOSE(CONTROL!$C$42, 31, 31))/1000000</f>
        <v>0.43164089999999994</v>
      </c>
      <c r="X697" s="56">
        <f>(31*0.1790888*100000/1000000)+(31*0.2374*100000/1000000)</f>
        <v>1.2911152800000001</v>
      </c>
      <c r="Y697" s="56"/>
      <c r="Z697" s="14"/>
      <c r="AA697" s="55"/>
      <c r="AB697" s="49">
        <f>(B697*122.58+C697*297.941+D697*89.177+E697*40.302+F697*40+G697*160+H697*0+I697*100+J697*300)/(122.58+297.941+89.177+40.302+0+40+160+100+300)</f>
        <v>50.707557986695647</v>
      </c>
      <c r="AC697" s="45">
        <f>(M697*'RAP TEMPLATE-GAS AVAILABILITY'!O696+N697*'RAP TEMPLATE-GAS AVAILABILITY'!P696+O697*'RAP TEMPLATE-GAS AVAILABILITY'!Q696+P697*'RAP TEMPLATE-GAS AVAILABILITY'!R696)/('RAP TEMPLATE-GAS AVAILABILITY'!O696+'RAP TEMPLATE-GAS AVAILABILITY'!P696+'RAP TEMPLATE-GAS AVAILABILITY'!Q696+'RAP TEMPLATE-GAS AVAILABILITY'!R696)</f>
        <v>49.850720863309348</v>
      </c>
    </row>
    <row r="698" spans="1:29" ht="15.75" x14ac:dyDescent="0.25">
      <c r="A698" s="32">
        <v>62152</v>
      </c>
      <c r="B698" s="14">
        <f>CHOOSE(CONTROL!$C$42, 51.5671, 51.5671) * CHOOSE(CONTROL!$C$21, $C$9, 100%, $E$9)</f>
        <v>51.567100000000003</v>
      </c>
      <c r="C698" s="14">
        <f>CHOOSE(CONTROL!$C$42, 51.5722, 51.5722) * CHOOSE(CONTROL!$C$21, $C$9, 100%, $E$9)</f>
        <v>51.572200000000002</v>
      </c>
      <c r="D698" s="14">
        <f>CHOOSE(CONTROL!$C$42, 51.6657, 51.6657) * CHOOSE(CONTROL!$C$21, $C$9, 100%, $E$9)</f>
        <v>51.665700000000001</v>
      </c>
      <c r="E698" s="14">
        <f>CHOOSE(CONTROL!$C$42, 51.6998, 51.6998) * CHOOSE(CONTROL!$C$21, $C$9, 100%, $E$9)</f>
        <v>51.699800000000003</v>
      </c>
      <c r="F698" s="14">
        <f>CHOOSE(CONTROL!$C$42, 51.5941, 51.5941)*CHOOSE(CONTROL!$C$21, $C$9, 100%, $E$9)</f>
        <v>51.594099999999997</v>
      </c>
      <c r="G698" s="14">
        <f>CHOOSE(CONTROL!$C$42, 51.6119, 51.6119)*CHOOSE(CONTROL!$C$21, $C$9, 100%, $E$9)</f>
        <v>51.611899999999999</v>
      </c>
      <c r="H698" s="14">
        <f>CHOOSE(CONTROL!$C$42, 51.689, 51.689) * CHOOSE(CONTROL!$C$21, $C$9, 100%, $E$9)</f>
        <v>51.689</v>
      </c>
      <c r="I698" s="14">
        <f>CHOOSE(CONTROL!$C$42, 51.7545, 51.7545)* CHOOSE(CONTROL!$C$21, $C$9, 100%, $E$9)</f>
        <v>51.7545</v>
      </c>
      <c r="J698" s="14">
        <f>CHOOSE(CONTROL!$C$42, 51.5871, 51.5871)* CHOOSE(CONTROL!$C$21, $C$9, 100%, $E$9)</f>
        <v>51.5871</v>
      </c>
      <c r="K698" s="52">
        <f>CHOOSE(CONTROL!$C$42, 51.7506, 51.7506) * CHOOSE(CONTROL!$C$21, $C$9, 100%, $E$9)</f>
        <v>51.750599999999999</v>
      </c>
      <c r="L698" s="14">
        <f>CHOOSE(CONTROL!$C$42, 52.276, 52.276) * CHOOSE(CONTROL!$C$21, $C$9, 100%, $E$9)</f>
        <v>52.276000000000003</v>
      </c>
      <c r="M698" s="14">
        <f>CHOOSE(CONTROL!$C$42, 50.6669, 50.6669) * CHOOSE(CONTROL!$C$21, $C$9, 100%, $E$9)</f>
        <v>50.666899999999998</v>
      </c>
      <c r="N698" s="14">
        <f>CHOOSE(CONTROL!$C$42, 50.6844, 50.6844) * CHOOSE(CONTROL!$C$21, $C$9, 100%, $E$9)</f>
        <v>50.684399999999997</v>
      </c>
      <c r="O698" s="14">
        <f>CHOOSE(CONTROL!$C$42, 50.7669, 50.7669) * CHOOSE(CONTROL!$C$21, $C$9, 100%, $E$9)</f>
        <v>50.7669</v>
      </c>
      <c r="P698" s="14">
        <f>CHOOSE(CONTROL!$C$42, 50.8285, 50.8285) * CHOOSE(CONTROL!$C$21, $C$9, 100%, $E$9)</f>
        <v>50.828499999999998</v>
      </c>
      <c r="Q698" s="14">
        <f>CHOOSE(CONTROL!$C$42, 51.3616, 51.3616) * CHOOSE(CONTROL!$C$21, $C$9, 100%, $E$9)</f>
        <v>51.361600000000003</v>
      </c>
      <c r="R698" s="14">
        <f>CHOOSE(CONTROL!$C$42, 52.077, 52.077) * CHOOSE(CONTROL!$C$21, $C$9, 100%, $E$9)</f>
        <v>52.076999999999998</v>
      </c>
      <c r="S698" s="14">
        <f>CHOOSE(CONTROL!$C$42, 49.5423, 49.5423) * CHOOSE(CONTROL!$C$21, $C$9, 100%, $E$9)</f>
        <v>49.542299999999997</v>
      </c>
      <c r="T69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98" s="56">
        <f>(1000*CHOOSE(CONTROL!$C$42, 695, 695)*CHOOSE(CONTROL!$C$42, 0.5599, 0.5599)*CHOOSE(CONTROL!$C$42, 28, 28))/1000000</f>
        <v>10.895653999999999</v>
      </c>
      <c r="V698" s="56">
        <f>(1000*CHOOSE(CONTROL!$C$42, 500, 500)*CHOOSE(CONTROL!$C$42, 0.275, 0.275)*CHOOSE(CONTROL!$C$42, 28, 28))/1000000</f>
        <v>3.85</v>
      </c>
      <c r="W698" s="56">
        <f>(1000*CHOOSE(CONTROL!$C$42, 0.1146, 0.1146)*CHOOSE(CONTROL!$C$42, 121.5, 121.5)*CHOOSE(CONTROL!$C$42, 28, 28))/1000000</f>
        <v>0.38986920000000003</v>
      </c>
      <c r="X698" s="56">
        <f>(28*0.1790888*100000/1000000)+(28*0.2374*100000/1000000)</f>
        <v>1.16616864</v>
      </c>
      <c r="Y698" s="56"/>
      <c r="Z698" s="14"/>
      <c r="AA698" s="55"/>
      <c r="AB698" s="49">
        <f>(B698*122.58+C698*297.941+D698*89.177+E698*40.302+F698*40+G698*160+H698*0+I698*100+J698*300)/(122.58+297.941+89.177+40.302+0+40+160+100+300)</f>
        <v>51.609402979739123</v>
      </c>
      <c r="AC698" s="45">
        <f>(M698*'RAP TEMPLATE-GAS AVAILABILITY'!O697+N698*'RAP TEMPLATE-GAS AVAILABILITY'!P697+O698*'RAP TEMPLATE-GAS AVAILABILITY'!Q697+P698*'RAP TEMPLATE-GAS AVAILABILITY'!R697)/('RAP TEMPLATE-GAS AVAILABILITY'!O697+'RAP TEMPLATE-GAS AVAILABILITY'!P697+'RAP TEMPLATE-GAS AVAILABILITY'!Q697+'RAP TEMPLATE-GAS AVAILABILITY'!R697)</f>
        <v>50.736482733812949</v>
      </c>
    </row>
    <row r="699" spans="1:29" ht="15.75" x14ac:dyDescent="0.25">
      <c r="A699" s="32">
        <v>62183</v>
      </c>
      <c r="B699" s="14">
        <f>CHOOSE(CONTROL!$C$42, 50.1034, 50.1034) * CHOOSE(CONTROL!$C$21, $C$9, 100%, $E$9)</f>
        <v>50.103400000000001</v>
      </c>
      <c r="C699" s="14">
        <f>CHOOSE(CONTROL!$C$42, 50.1084, 50.1084) * CHOOSE(CONTROL!$C$21, $C$9, 100%, $E$9)</f>
        <v>50.108400000000003</v>
      </c>
      <c r="D699" s="14">
        <f>CHOOSE(CONTROL!$C$42, 50.2019, 50.2019) * CHOOSE(CONTROL!$C$21, $C$9, 100%, $E$9)</f>
        <v>50.201900000000002</v>
      </c>
      <c r="E699" s="14">
        <f>CHOOSE(CONTROL!$C$42, 50.236, 50.236) * CHOOSE(CONTROL!$C$21, $C$9, 100%, $E$9)</f>
        <v>50.235999999999997</v>
      </c>
      <c r="F699" s="14">
        <f>CHOOSE(CONTROL!$C$42, 50.1294, 50.1294)*CHOOSE(CONTROL!$C$21, $C$9, 100%, $E$9)</f>
        <v>50.129399999999997</v>
      </c>
      <c r="G699" s="14">
        <f>CHOOSE(CONTROL!$C$42, 50.1471, 50.1471)*CHOOSE(CONTROL!$C$21, $C$9, 100%, $E$9)</f>
        <v>50.147100000000002</v>
      </c>
      <c r="H699" s="14">
        <f>CHOOSE(CONTROL!$C$42, 50.2252, 50.2252) * CHOOSE(CONTROL!$C$21, $C$9, 100%, $E$9)</f>
        <v>50.225200000000001</v>
      </c>
      <c r="I699" s="14">
        <f>CHOOSE(CONTROL!$C$42, 50.2862, 50.2862)* CHOOSE(CONTROL!$C$21, $C$9, 100%, $E$9)</f>
        <v>50.286200000000001</v>
      </c>
      <c r="J699" s="14">
        <f>CHOOSE(CONTROL!$C$42, 50.1224, 50.1224)* CHOOSE(CONTROL!$C$21, $C$9, 100%, $E$9)</f>
        <v>50.122399999999999</v>
      </c>
      <c r="K699" s="52">
        <f>CHOOSE(CONTROL!$C$42, 50.2823, 50.2823) * CHOOSE(CONTROL!$C$21, $C$9, 100%, $E$9)</f>
        <v>50.282299999999999</v>
      </c>
      <c r="L699" s="14">
        <f>CHOOSE(CONTROL!$C$42, 50.8122, 50.8122) * CHOOSE(CONTROL!$C$21, $C$9, 100%, $E$9)</f>
        <v>50.812199999999997</v>
      </c>
      <c r="M699" s="14">
        <f>CHOOSE(CONTROL!$C$42, 49.2286, 49.2286) * CHOOSE(CONTROL!$C$21, $C$9, 100%, $E$9)</f>
        <v>49.2286</v>
      </c>
      <c r="N699" s="14">
        <f>CHOOSE(CONTROL!$C$42, 49.2459, 49.2459) * CHOOSE(CONTROL!$C$21, $C$9, 100%, $E$9)</f>
        <v>49.245899999999999</v>
      </c>
      <c r="O699" s="14">
        <f>CHOOSE(CONTROL!$C$42, 49.3295, 49.3295) * CHOOSE(CONTROL!$C$21, $C$9, 100%, $E$9)</f>
        <v>49.329500000000003</v>
      </c>
      <c r="P699" s="14">
        <f>CHOOSE(CONTROL!$C$42, 49.3867, 49.3867) * CHOOSE(CONTROL!$C$21, $C$9, 100%, $E$9)</f>
        <v>49.386699999999998</v>
      </c>
      <c r="Q699" s="14">
        <f>CHOOSE(CONTROL!$C$42, 49.9242, 49.9242) * CHOOSE(CONTROL!$C$21, $C$9, 100%, $E$9)</f>
        <v>49.924199999999999</v>
      </c>
      <c r="R699" s="14">
        <f>CHOOSE(CONTROL!$C$42, 50.636, 50.636) * CHOOSE(CONTROL!$C$21, $C$9, 100%, $E$9)</f>
        <v>50.636000000000003</v>
      </c>
      <c r="S699" s="14">
        <f>CHOOSE(CONTROL!$C$42, 48.1358, 48.1358) * CHOOSE(CONTROL!$C$21, $C$9, 100%, $E$9)</f>
        <v>48.135800000000003</v>
      </c>
      <c r="T6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99" s="56">
        <f>(1000*CHOOSE(CONTROL!$C$42, 695, 695)*CHOOSE(CONTROL!$C$42, 0.5599, 0.5599)*CHOOSE(CONTROL!$C$42, 31, 31))/1000000</f>
        <v>12.063045499999998</v>
      </c>
      <c r="V699" s="56">
        <f>(1000*CHOOSE(CONTROL!$C$42, 500, 500)*CHOOSE(CONTROL!$C$42, 0.275, 0.275)*CHOOSE(CONTROL!$C$42, 31, 31))/1000000</f>
        <v>4.2625000000000002</v>
      </c>
      <c r="W699" s="56">
        <f>(1000*CHOOSE(CONTROL!$C$42, 0.1146, 0.1146)*CHOOSE(CONTROL!$C$42, 121.5, 121.5)*CHOOSE(CONTROL!$C$42, 31, 31))/1000000</f>
        <v>0.43164089999999994</v>
      </c>
      <c r="X699" s="56">
        <f>(31*0.1790888*100000/1000000)+(31*0.2374*100000/1000000)</f>
        <v>1.2911152800000001</v>
      </c>
      <c r="Y699" s="56"/>
      <c r="Z699" s="14"/>
      <c r="AA699" s="55"/>
      <c r="AB699" s="49">
        <f>(B699*122.58+C699*297.941+D699*89.177+E699*40.302+F699*40+G699*160+H699*0+I699*100+J699*300)/(122.58+297.941+89.177+40.302+0+40+160+100+300)</f>
        <v>50.144817117130437</v>
      </c>
      <c r="AC699" s="45">
        <f>(M699*'RAP TEMPLATE-GAS AVAILABILITY'!O698+N699*'RAP TEMPLATE-GAS AVAILABILITY'!P698+O699*'RAP TEMPLATE-GAS AVAILABILITY'!Q698+P699*'RAP TEMPLATE-GAS AVAILABILITY'!R698)/('RAP TEMPLATE-GAS AVAILABILITY'!O698+'RAP TEMPLATE-GAS AVAILABILITY'!P698+'RAP TEMPLATE-GAS AVAILABILITY'!Q698+'RAP TEMPLATE-GAS AVAILABILITY'!R698)</f>
        <v>49.298075539568345</v>
      </c>
    </row>
    <row r="700" spans="1:29" ht="15.75" x14ac:dyDescent="0.25">
      <c r="A700" s="32">
        <v>62213</v>
      </c>
      <c r="B700" s="14">
        <f>CHOOSE(CONTROL!$C$42, 49.9544, 49.9544) * CHOOSE(CONTROL!$C$21, $C$9, 100%, $E$9)</f>
        <v>49.9544</v>
      </c>
      <c r="C700" s="14">
        <f>CHOOSE(CONTROL!$C$42, 49.9589, 49.9589) * CHOOSE(CONTROL!$C$21, $C$9, 100%, $E$9)</f>
        <v>49.9589</v>
      </c>
      <c r="D700" s="14">
        <f>CHOOSE(CONTROL!$C$42, 50.2211, 50.2211) * CHOOSE(CONTROL!$C$21, $C$9, 100%, $E$9)</f>
        <v>50.2211</v>
      </c>
      <c r="E700" s="14">
        <f>CHOOSE(CONTROL!$C$42, 50.2532, 50.2532) * CHOOSE(CONTROL!$C$21, $C$9, 100%, $E$9)</f>
        <v>50.2532</v>
      </c>
      <c r="F700" s="14">
        <f>CHOOSE(CONTROL!$C$42, 49.9772, 49.9772)*CHOOSE(CONTROL!$C$21, $C$9, 100%, $E$9)</f>
        <v>49.977200000000003</v>
      </c>
      <c r="G700" s="14">
        <f>CHOOSE(CONTROL!$C$42, 49.9939, 49.9939)*CHOOSE(CONTROL!$C$21, $C$9, 100%, $E$9)</f>
        <v>49.993899999999996</v>
      </c>
      <c r="H700" s="14">
        <f>CHOOSE(CONTROL!$C$42, 50.243, 50.243) * CHOOSE(CONTROL!$C$21, $C$9, 100%, $E$9)</f>
        <v>50.243000000000002</v>
      </c>
      <c r="I700" s="14">
        <f>CHOOSE(CONTROL!$C$42, 50.1333, 50.1333)* CHOOSE(CONTROL!$C$21, $C$9, 100%, $E$9)</f>
        <v>50.133299999999998</v>
      </c>
      <c r="J700" s="14">
        <f>CHOOSE(CONTROL!$C$42, 49.9702, 49.9702)* CHOOSE(CONTROL!$C$21, $C$9, 100%, $E$9)</f>
        <v>49.970199999999998</v>
      </c>
      <c r="K700" s="52">
        <f>CHOOSE(CONTROL!$C$42, 50.1294, 50.1294) * CHOOSE(CONTROL!$C$21, $C$9, 100%, $E$9)</f>
        <v>50.129399999999997</v>
      </c>
      <c r="L700" s="14">
        <f>CHOOSE(CONTROL!$C$42, 50.83, 50.83) * CHOOSE(CONTROL!$C$21, $C$9, 100%, $E$9)</f>
        <v>50.83</v>
      </c>
      <c r="M700" s="14">
        <f>CHOOSE(CONTROL!$C$42, 49.0791, 49.0791) * CHOOSE(CONTROL!$C$21, $C$9, 100%, $E$9)</f>
        <v>49.079099999999997</v>
      </c>
      <c r="N700" s="14">
        <f>CHOOSE(CONTROL!$C$42, 49.0955, 49.0955) * CHOOSE(CONTROL!$C$21, $C$9, 100%, $E$9)</f>
        <v>49.095500000000001</v>
      </c>
      <c r="O700" s="14">
        <f>CHOOSE(CONTROL!$C$42, 49.347, 49.347) * CHOOSE(CONTROL!$C$21, $C$9, 100%, $E$9)</f>
        <v>49.347000000000001</v>
      </c>
      <c r="P700" s="14">
        <f>CHOOSE(CONTROL!$C$42, 49.2366, 49.2366) * CHOOSE(CONTROL!$C$21, $C$9, 100%, $E$9)</f>
        <v>49.236600000000003</v>
      </c>
      <c r="Q700" s="14">
        <f>CHOOSE(CONTROL!$C$42, 49.9417, 49.9417) * CHOOSE(CONTROL!$C$21, $C$9, 100%, $E$9)</f>
        <v>49.941699999999997</v>
      </c>
      <c r="R700" s="14">
        <f>CHOOSE(CONTROL!$C$42, 50.6535, 50.6535) * CHOOSE(CONTROL!$C$21, $C$9, 100%, $E$9)</f>
        <v>50.653500000000001</v>
      </c>
      <c r="S700" s="14">
        <f>CHOOSE(CONTROL!$C$42, 47.9919, 47.9919) * CHOOSE(CONTROL!$C$21, $C$9, 100%, $E$9)</f>
        <v>47.991900000000001</v>
      </c>
      <c r="T7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00" s="56">
        <f>(1000*CHOOSE(CONTROL!$C$42, 695, 695)*CHOOSE(CONTROL!$C$42, 0.5599, 0.5599)*CHOOSE(CONTROL!$C$42, 30, 30))/1000000</f>
        <v>11.673914999999997</v>
      </c>
      <c r="V700" s="56">
        <f>(1000*CHOOSE(CONTROL!$C$42, 500, 500)*CHOOSE(CONTROL!$C$42, 0.275, 0.275)*CHOOSE(CONTROL!$C$42, 30, 30))/1000000</f>
        <v>4.125</v>
      </c>
      <c r="W700" s="56">
        <f>(1000*CHOOSE(CONTROL!$C$42, 0.1146, 0.1146)*CHOOSE(CONTROL!$C$42, 121.5, 121.5)*CHOOSE(CONTROL!$C$42, 30, 30))/1000000</f>
        <v>0.417717</v>
      </c>
      <c r="X700" s="56">
        <f>(30*0.1790888*245000/1000000)+(30*0.2374*100000/1000000)</f>
        <v>2.0285026799999999</v>
      </c>
      <c r="Y700" s="56"/>
      <c r="Z700" s="14"/>
      <c r="AA700" s="55"/>
      <c r="AB700" s="49">
        <f>(B700*141.293+C700*267.993+D700*115.016+E700*89.698+F700*40+G700*185+H700*0+I700*100+J700*300)/(141.293+267.993+115.016+89.698+0+40+185+100+300)</f>
        <v>50.026661499677154</v>
      </c>
      <c r="AC700" s="45">
        <f>(M700*'RAP TEMPLATE-GAS AVAILABILITY'!O699+N700*'RAP TEMPLATE-GAS AVAILABILITY'!P699+O700*'RAP TEMPLATE-GAS AVAILABILITY'!Q699+P700*'RAP TEMPLATE-GAS AVAILABILITY'!R699)/('RAP TEMPLATE-GAS AVAILABILITY'!O699+'RAP TEMPLATE-GAS AVAILABILITY'!P699+'RAP TEMPLATE-GAS AVAILABILITY'!Q699+'RAP TEMPLATE-GAS AVAILABILITY'!R699)</f>
        <v>49.224128057553955</v>
      </c>
    </row>
    <row r="701" spans="1:29" ht="15.75" x14ac:dyDescent="0.25">
      <c r="A701" s="32">
        <v>62244</v>
      </c>
      <c r="B701" s="14">
        <f>CHOOSE(CONTROL!$C$42, 50.3966, 50.3966) * CHOOSE(CONTROL!$C$21, $C$9, 100%, $E$9)</f>
        <v>50.396599999999999</v>
      </c>
      <c r="C701" s="14">
        <f>CHOOSE(CONTROL!$C$42, 50.4046, 50.4046) * CHOOSE(CONTROL!$C$21, $C$9, 100%, $E$9)</f>
        <v>50.404600000000002</v>
      </c>
      <c r="D701" s="14">
        <f>CHOOSE(CONTROL!$C$42, 50.6637, 50.6637) * CHOOSE(CONTROL!$C$21, $C$9, 100%, $E$9)</f>
        <v>50.663699999999999</v>
      </c>
      <c r="E701" s="14">
        <f>CHOOSE(CONTROL!$C$42, 50.6952, 50.6952) * CHOOSE(CONTROL!$C$21, $C$9, 100%, $E$9)</f>
        <v>50.6952</v>
      </c>
      <c r="F701" s="14">
        <f>CHOOSE(CONTROL!$C$42, 50.4181, 50.4181)*CHOOSE(CONTROL!$C$21, $C$9, 100%, $E$9)</f>
        <v>50.418100000000003</v>
      </c>
      <c r="G701" s="14">
        <f>CHOOSE(CONTROL!$C$42, 50.4351, 50.4351)*CHOOSE(CONTROL!$C$21, $C$9, 100%, $E$9)</f>
        <v>50.435099999999998</v>
      </c>
      <c r="H701" s="14">
        <f>CHOOSE(CONTROL!$C$42, 50.6838, 50.6838) * CHOOSE(CONTROL!$C$21, $C$9, 100%, $E$9)</f>
        <v>50.683799999999998</v>
      </c>
      <c r="I701" s="14">
        <f>CHOOSE(CONTROL!$C$42, 50.5755, 50.5755)* CHOOSE(CONTROL!$C$21, $C$9, 100%, $E$9)</f>
        <v>50.575499999999998</v>
      </c>
      <c r="J701" s="14">
        <f>CHOOSE(CONTROL!$C$42, 50.4111, 50.4111)* CHOOSE(CONTROL!$C$21, $C$9, 100%, $E$9)</f>
        <v>50.411099999999998</v>
      </c>
      <c r="K701" s="52">
        <f>CHOOSE(CONTROL!$C$42, 50.5716, 50.5716) * CHOOSE(CONTROL!$C$21, $C$9, 100%, $E$9)</f>
        <v>50.571599999999997</v>
      </c>
      <c r="L701" s="14">
        <f>CHOOSE(CONTROL!$C$42, 51.2708, 51.2708) * CHOOSE(CONTROL!$C$21, $C$9, 100%, $E$9)</f>
        <v>51.270800000000001</v>
      </c>
      <c r="M701" s="14">
        <f>CHOOSE(CONTROL!$C$42, 49.5121, 49.5121) * CHOOSE(CONTROL!$C$21, $C$9, 100%, $E$9)</f>
        <v>49.512099999999997</v>
      </c>
      <c r="N701" s="14">
        <f>CHOOSE(CONTROL!$C$42, 49.5287, 49.5287) * CHOOSE(CONTROL!$C$21, $C$9, 100%, $E$9)</f>
        <v>49.528700000000001</v>
      </c>
      <c r="O701" s="14">
        <f>CHOOSE(CONTROL!$C$42, 49.7799, 49.7799) * CHOOSE(CONTROL!$C$21, $C$9, 100%, $E$9)</f>
        <v>49.779899999999998</v>
      </c>
      <c r="P701" s="14">
        <f>CHOOSE(CONTROL!$C$42, 49.6708, 49.6708) * CHOOSE(CONTROL!$C$21, $C$9, 100%, $E$9)</f>
        <v>49.6708</v>
      </c>
      <c r="Q701" s="14">
        <f>CHOOSE(CONTROL!$C$42, 50.3746, 50.3746) * CHOOSE(CONTROL!$C$21, $C$9, 100%, $E$9)</f>
        <v>50.374600000000001</v>
      </c>
      <c r="R701" s="14">
        <f>CHOOSE(CONTROL!$C$42, 51.0875, 51.0875) * CHOOSE(CONTROL!$C$21, $C$9, 100%, $E$9)</f>
        <v>51.087499999999999</v>
      </c>
      <c r="S701" s="14">
        <f>CHOOSE(CONTROL!$C$42, 48.4154, 48.4154) * CHOOSE(CONTROL!$C$21, $C$9, 100%, $E$9)</f>
        <v>48.415399999999998</v>
      </c>
      <c r="T7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01" s="56">
        <f>(1000*CHOOSE(CONTROL!$C$42, 695, 695)*CHOOSE(CONTROL!$C$42, 0.5599, 0.5599)*CHOOSE(CONTROL!$C$42, 31, 31))/1000000</f>
        <v>12.063045499999998</v>
      </c>
      <c r="V701" s="56">
        <f>(1000*CHOOSE(CONTROL!$C$42, 500, 500)*CHOOSE(CONTROL!$C$42, 0.275, 0.275)*CHOOSE(CONTROL!$C$42, 31, 31))/1000000</f>
        <v>4.2625000000000002</v>
      </c>
      <c r="W701" s="56">
        <f>(1000*CHOOSE(CONTROL!$C$42, 0.1146, 0.1146)*CHOOSE(CONTROL!$C$42, 121.5, 121.5)*CHOOSE(CONTROL!$C$42, 31, 31))/1000000</f>
        <v>0.43164089999999994</v>
      </c>
      <c r="X701" s="56">
        <f>(31*0.1790888*245000/1000000)+(31*0.2374*100000/1000000)</f>
        <v>2.0961194359999999</v>
      </c>
      <c r="Y701" s="56"/>
      <c r="Z701" s="14"/>
      <c r="AA701" s="55"/>
      <c r="AB701" s="49">
        <f>(B701*194.205+C701*267.466+D701*133.845+E701*53.484+F701*40+G701*185+H701*0+I701*100+J701*300)/(194.205+267.466+133.845+53.484+0+40+185+100+300)</f>
        <v>50.462598861773948</v>
      </c>
      <c r="AC701" s="45">
        <f>(M701*'RAP TEMPLATE-GAS AVAILABILITY'!O700+N701*'RAP TEMPLATE-GAS AVAILABILITY'!P700+O701*'RAP TEMPLATE-GAS AVAILABILITY'!Q700+P701*'RAP TEMPLATE-GAS AVAILABILITY'!R700)/('RAP TEMPLATE-GAS AVAILABILITY'!O700+'RAP TEMPLATE-GAS AVAILABILITY'!P700+'RAP TEMPLATE-GAS AVAILABILITY'!Q700+'RAP TEMPLATE-GAS AVAILABILITY'!R700)</f>
        <v>49.657266906474817</v>
      </c>
    </row>
    <row r="702" spans="1:29" ht="15.75" x14ac:dyDescent="0.25">
      <c r="A702" s="32">
        <v>62274</v>
      </c>
      <c r="B702" s="14">
        <f>CHOOSE(CONTROL!$C$42, 51.8258, 51.8258) * CHOOSE(CONTROL!$C$21, $C$9, 100%, $E$9)</f>
        <v>51.825800000000001</v>
      </c>
      <c r="C702" s="14">
        <f>CHOOSE(CONTROL!$C$42, 51.8338, 51.8338) * CHOOSE(CONTROL!$C$21, $C$9, 100%, $E$9)</f>
        <v>51.833799999999997</v>
      </c>
      <c r="D702" s="14">
        <f>CHOOSE(CONTROL!$C$42, 52.0929, 52.0929) * CHOOSE(CONTROL!$C$21, $C$9, 100%, $E$9)</f>
        <v>52.0929</v>
      </c>
      <c r="E702" s="14">
        <f>CHOOSE(CONTROL!$C$42, 52.1244, 52.1244) * CHOOSE(CONTROL!$C$21, $C$9, 100%, $E$9)</f>
        <v>52.124400000000001</v>
      </c>
      <c r="F702" s="14">
        <f>CHOOSE(CONTROL!$C$42, 51.8476, 51.8476)*CHOOSE(CONTROL!$C$21, $C$9, 100%, $E$9)</f>
        <v>51.8476</v>
      </c>
      <c r="G702" s="14">
        <f>CHOOSE(CONTROL!$C$42, 51.8646, 51.8646)*CHOOSE(CONTROL!$C$21, $C$9, 100%, $E$9)</f>
        <v>51.864600000000003</v>
      </c>
      <c r="H702" s="14">
        <f>CHOOSE(CONTROL!$C$42, 52.113, 52.113) * CHOOSE(CONTROL!$C$21, $C$9, 100%, $E$9)</f>
        <v>52.113</v>
      </c>
      <c r="I702" s="14">
        <f>CHOOSE(CONTROL!$C$42, 52.0092, 52.0092)* CHOOSE(CONTROL!$C$21, $C$9, 100%, $E$9)</f>
        <v>52.0092</v>
      </c>
      <c r="J702" s="14">
        <f>CHOOSE(CONTROL!$C$42, 51.8406, 51.8406)* CHOOSE(CONTROL!$C$21, $C$9, 100%, $E$9)</f>
        <v>51.840600000000002</v>
      </c>
      <c r="K702" s="52">
        <f>CHOOSE(CONTROL!$C$42, 52.0053, 52.0053) * CHOOSE(CONTROL!$C$21, $C$9, 100%, $E$9)</f>
        <v>52.005299999999998</v>
      </c>
      <c r="L702" s="14">
        <f>CHOOSE(CONTROL!$C$42, 52.7, 52.7) * CHOOSE(CONTROL!$C$21, $C$9, 100%, $E$9)</f>
        <v>52.7</v>
      </c>
      <c r="M702" s="14">
        <f>CHOOSE(CONTROL!$C$42, 50.9158, 50.9158) * CHOOSE(CONTROL!$C$21, $C$9, 100%, $E$9)</f>
        <v>50.915799999999997</v>
      </c>
      <c r="N702" s="14">
        <f>CHOOSE(CONTROL!$C$42, 50.9326, 50.9326) * CHOOSE(CONTROL!$C$21, $C$9, 100%, $E$9)</f>
        <v>50.932600000000001</v>
      </c>
      <c r="O702" s="14">
        <f>CHOOSE(CONTROL!$C$42, 51.1834, 51.1834) * CHOOSE(CONTROL!$C$21, $C$9, 100%, $E$9)</f>
        <v>51.183399999999999</v>
      </c>
      <c r="P702" s="14">
        <f>CHOOSE(CONTROL!$C$42, 51.0786, 51.0786) * CHOOSE(CONTROL!$C$21, $C$9, 100%, $E$9)</f>
        <v>51.078600000000002</v>
      </c>
      <c r="Q702" s="14">
        <f>CHOOSE(CONTROL!$C$42, 51.7781, 51.7781) * CHOOSE(CONTROL!$C$21, $C$9, 100%, $E$9)</f>
        <v>51.778100000000002</v>
      </c>
      <c r="R702" s="14">
        <f>CHOOSE(CONTROL!$C$42, 52.4945, 52.4945) * CHOOSE(CONTROL!$C$21, $C$9, 100%, $E$9)</f>
        <v>52.494500000000002</v>
      </c>
      <c r="S702" s="14">
        <f>CHOOSE(CONTROL!$C$42, 49.7888, 49.7888) * CHOOSE(CONTROL!$C$21, $C$9, 100%, $E$9)</f>
        <v>49.788800000000002</v>
      </c>
      <c r="T7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02" s="56">
        <f>(1000*CHOOSE(CONTROL!$C$42, 695, 695)*CHOOSE(CONTROL!$C$42, 0.5599, 0.5599)*CHOOSE(CONTROL!$C$42, 30, 30))/1000000</f>
        <v>11.673914999999997</v>
      </c>
      <c r="V702" s="56">
        <f>(1000*CHOOSE(CONTROL!$C$42, 500, 500)*CHOOSE(CONTROL!$C$42, 0.275, 0.275)*CHOOSE(CONTROL!$C$42, 30, 30))/1000000</f>
        <v>4.125</v>
      </c>
      <c r="W702" s="56">
        <f>(1000*CHOOSE(CONTROL!$C$42, 0.1146, 0.1146)*CHOOSE(CONTROL!$C$42, 121.5, 121.5)*CHOOSE(CONTROL!$C$42, 30, 30))/1000000</f>
        <v>0.417717</v>
      </c>
      <c r="X702" s="56">
        <f>(30*0.1790888*245000/1000000)+(30*0.2374*100000/1000000)</f>
        <v>2.0285026799999999</v>
      </c>
      <c r="Y702" s="56"/>
      <c r="Z702" s="14"/>
      <c r="AA702" s="55"/>
      <c r="AB702" s="49">
        <f>(B702*194.205+C702*267.466+D702*133.845+E702*53.484+F702*40+G702*185+H702*0+I702*100+J702*300)/(194.205+267.466+133.845+53.484+0+40+185+100+300)</f>
        <v>51.892275706357928</v>
      </c>
      <c r="AC702" s="45">
        <f>(M702*'RAP TEMPLATE-GAS AVAILABILITY'!O701+N702*'RAP TEMPLATE-GAS AVAILABILITY'!P701+O702*'RAP TEMPLATE-GAS AVAILABILITY'!Q701+P702*'RAP TEMPLATE-GAS AVAILABILITY'!R701)/('RAP TEMPLATE-GAS AVAILABILITY'!O701+'RAP TEMPLATE-GAS AVAILABILITY'!P701+'RAP TEMPLATE-GAS AVAILABILITY'!Q701+'RAP TEMPLATE-GAS AVAILABILITY'!R701)</f>
        <v>51.061477697841724</v>
      </c>
    </row>
    <row r="703" spans="1:29" ht="15.75" x14ac:dyDescent="0.25">
      <c r="A703" s="32">
        <v>62305</v>
      </c>
      <c r="B703" s="14">
        <f>CHOOSE(CONTROL!$C$42, 50.8318, 50.8318) * CHOOSE(CONTROL!$C$21, $C$9, 100%, $E$9)</f>
        <v>50.831800000000001</v>
      </c>
      <c r="C703" s="14">
        <f>CHOOSE(CONTROL!$C$42, 50.8398, 50.8398) * CHOOSE(CONTROL!$C$21, $C$9, 100%, $E$9)</f>
        <v>50.839799999999997</v>
      </c>
      <c r="D703" s="14">
        <f>CHOOSE(CONTROL!$C$42, 51.0989, 51.0989) * CHOOSE(CONTROL!$C$21, $C$9, 100%, $E$9)</f>
        <v>51.0989</v>
      </c>
      <c r="E703" s="14">
        <f>CHOOSE(CONTROL!$C$42, 51.1304, 51.1304) * CHOOSE(CONTROL!$C$21, $C$9, 100%, $E$9)</f>
        <v>51.130400000000002</v>
      </c>
      <c r="F703" s="14">
        <f>CHOOSE(CONTROL!$C$42, 50.854, 50.854)*CHOOSE(CONTROL!$C$21, $C$9, 100%, $E$9)</f>
        <v>50.853999999999999</v>
      </c>
      <c r="G703" s="14">
        <f>CHOOSE(CONTROL!$C$42, 50.8711, 50.8711)*CHOOSE(CONTROL!$C$21, $C$9, 100%, $E$9)</f>
        <v>50.871099999999998</v>
      </c>
      <c r="H703" s="14">
        <f>CHOOSE(CONTROL!$C$42, 51.119, 51.119) * CHOOSE(CONTROL!$C$21, $C$9, 100%, $E$9)</f>
        <v>51.119</v>
      </c>
      <c r="I703" s="14">
        <f>CHOOSE(CONTROL!$C$42, 51.0121, 51.0121)* CHOOSE(CONTROL!$C$21, $C$9, 100%, $E$9)</f>
        <v>51.012099999999997</v>
      </c>
      <c r="J703" s="14">
        <f>CHOOSE(CONTROL!$C$42, 50.847, 50.847)* CHOOSE(CONTROL!$C$21, $C$9, 100%, $E$9)</f>
        <v>50.847000000000001</v>
      </c>
      <c r="K703" s="52">
        <f>CHOOSE(CONTROL!$C$42, 51.0082, 51.0082) * CHOOSE(CONTROL!$C$21, $C$9, 100%, $E$9)</f>
        <v>51.008200000000002</v>
      </c>
      <c r="L703" s="14">
        <f>CHOOSE(CONTROL!$C$42, 51.706, 51.706) * CHOOSE(CONTROL!$C$21, $C$9, 100%, $E$9)</f>
        <v>51.706000000000003</v>
      </c>
      <c r="M703" s="14">
        <f>CHOOSE(CONTROL!$C$42, 49.9401, 49.9401) * CHOOSE(CONTROL!$C$21, $C$9, 100%, $E$9)</f>
        <v>49.940100000000001</v>
      </c>
      <c r="N703" s="14">
        <f>CHOOSE(CONTROL!$C$42, 49.9569, 49.9569) * CHOOSE(CONTROL!$C$21, $C$9, 100%, $E$9)</f>
        <v>49.956899999999997</v>
      </c>
      <c r="O703" s="14">
        <f>CHOOSE(CONTROL!$C$42, 50.2072, 50.2072) * CHOOSE(CONTROL!$C$21, $C$9, 100%, $E$9)</f>
        <v>50.2072</v>
      </c>
      <c r="P703" s="14">
        <f>CHOOSE(CONTROL!$C$42, 50.0995, 50.0995) * CHOOSE(CONTROL!$C$21, $C$9, 100%, $E$9)</f>
        <v>50.099499999999999</v>
      </c>
      <c r="Q703" s="14">
        <f>CHOOSE(CONTROL!$C$42, 50.8019, 50.8019) * CHOOSE(CONTROL!$C$21, $C$9, 100%, $E$9)</f>
        <v>50.801900000000003</v>
      </c>
      <c r="R703" s="14">
        <f>CHOOSE(CONTROL!$C$42, 51.5159, 51.5159) * CHOOSE(CONTROL!$C$21, $C$9, 100%, $E$9)</f>
        <v>51.515900000000002</v>
      </c>
      <c r="S703" s="14">
        <f>CHOOSE(CONTROL!$C$42, 48.8336, 48.8336) * CHOOSE(CONTROL!$C$21, $C$9, 100%, $E$9)</f>
        <v>48.833599999999997</v>
      </c>
      <c r="T7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03" s="56">
        <f>(1000*CHOOSE(CONTROL!$C$42, 695, 695)*CHOOSE(CONTROL!$C$42, 0.5599, 0.5599)*CHOOSE(CONTROL!$C$42, 31, 31))/1000000</f>
        <v>12.063045499999998</v>
      </c>
      <c r="V703" s="56">
        <f>(1000*CHOOSE(CONTROL!$C$42, 500, 500)*CHOOSE(CONTROL!$C$42, 0.275, 0.275)*CHOOSE(CONTROL!$C$42, 31, 31))/1000000</f>
        <v>4.2625000000000002</v>
      </c>
      <c r="W703" s="56">
        <f>(1000*CHOOSE(CONTROL!$C$42, 0.1146, 0.1146)*CHOOSE(CONTROL!$C$42, 121.5, 121.5)*CHOOSE(CONTROL!$C$42, 31, 31))/1000000</f>
        <v>0.43164089999999994</v>
      </c>
      <c r="X703" s="56">
        <f>(31*0.1790888*245000/1000000)+(31*0.2374*100000/1000000)</f>
        <v>2.0961194359999999</v>
      </c>
      <c r="Y703" s="56"/>
      <c r="Z703" s="14"/>
      <c r="AA703" s="55"/>
      <c r="AB703" s="49">
        <f>(B703*194.205+C703*267.466+D703*133.845+E703*53.484+F703*40+G703*185+H703*0+I703*100+J703*300)/(194.205+267.466+133.845+53.484+0+40+185+100+300)</f>
        <v>50.898211734615387</v>
      </c>
      <c r="AC703" s="45">
        <f>(M703*'RAP TEMPLATE-GAS AVAILABILITY'!O702+N703*'RAP TEMPLATE-GAS AVAILABILITY'!P702+O703*'RAP TEMPLATE-GAS AVAILABILITY'!Q702+P703*'RAP TEMPLATE-GAS AVAILABILITY'!R702)/('RAP TEMPLATE-GAS AVAILABILITY'!O702+'RAP TEMPLATE-GAS AVAILABILITY'!P702+'RAP TEMPLATE-GAS AVAILABILITY'!Q702+'RAP TEMPLATE-GAS AVAILABILITY'!R702)</f>
        <v>50.085061870503587</v>
      </c>
    </row>
    <row r="704" spans="1:29" ht="15.75" x14ac:dyDescent="0.25">
      <c r="A704" s="32">
        <v>62336</v>
      </c>
      <c r="B704" s="14">
        <f>CHOOSE(CONTROL!$C$42, 48.3215, 48.3215) * CHOOSE(CONTROL!$C$21, $C$9, 100%, $E$9)</f>
        <v>48.3215</v>
      </c>
      <c r="C704" s="14">
        <f>CHOOSE(CONTROL!$C$42, 48.3295, 48.3295) * CHOOSE(CONTROL!$C$21, $C$9, 100%, $E$9)</f>
        <v>48.329500000000003</v>
      </c>
      <c r="D704" s="14">
        <f>CHOOSE(CONTROL!$C$42, 48.5886, 48.5886) * CHOOSE(CONTROL!$C$21, $C$9, 100%, $E$9)</f>
        <v>48.5886</v>
      </c>
      <c r="E704" s="14">
        <f>CHOOSE(CONTROL!$C$42, 48.6201, 48.6201) * CHOOSE(CONTROL!$C$21, $C$9, 100%, $E$9)</f>
        <v>48.620100000000001</v>
      </c>
      <c r="F704" s="14">
        <f>CHOOSE(CONTROL!$C$42, 48.3439, 48.3439)*CHOOSE(CONTROL!$C$21, $C$9, 100%, $E$9)</f>
        <v>48.343899999999998</v>
      </c>
      <c r="G704" s="14">
        <f>CHOOSE(CONTROL!$C$42, 48.3611, 48.3611)*CHOOSE(CONTROL!$C$21, $C$9, 100%, $E$9)</f>
        <v>48.3611</v>
      </c>
      <c r="H704" s="14">
        <f>CHOOSE(CONTROL!$C$42, 48.6087, 48.6087) * CHOOSE(CONTROL!$C$21, $C$9, 100%, $E$9)</f>
        <v>48.608699999999999</v>
      </c>
      <c r="I704" s="14">
        <f>CHOOSE(CONTROL!$C$42, 48.494, 48.494)* CHOOSE(CONTROL!$C$21, $C$9, 100%, $E$9)</f>
        <v>48.494</v>
      </c>
      <c r="J704" s="14">
        <f>CHOOSE(CONTROL!$C$42, 48.3369, 48.3369)* CHOOSE(CONTROL!$C$21, $C$9, 100%, $E$9)</f>
        <v>48.3369</v>
      </c>
      <c r="K704" s="52">
        <f>CHOOSE(CONTROL!$C$42, 48.4901, 48.4901) * CHOOSE(CONTROL!$C$21, $C$9, 100%, $E$9)</f>
        <v>48.490099999999998</v>
      </c>
      <c r="L704" s="14">
        <f>CHOOSE(CONTROL!$C$42, 49.1957, 49.1957) * CHOOSE(CONTROL!$C$21, $C$9, 100%, $E$9)</f>
        <v>49.195700000000002</v>
      </c>
      <c r="M704" s="14">
        <f>CHOOSE(CONTROL!$C$42, 47.4752, 47.4752) * CHOOSE(CONTROL!$C$21, $C$9, 100%, $E$9)</f>
        <v>47.475200000000001</v>
      </c>
      <c r="N704" s="14">
        <f>CHOOSE(CONTROL!$C$42, 47.4921, 47.4921) * CHOOSE(CONTROL!$C$21, $C$9, 100%, $E$9)</f>
        <v>47.492100000000001</v>
      </c>
      <c r="O704" s="14">
        <f>CHOOSE(CONTROL!$C$42, 47.7421, 47.7421) * CHOOSE(CONTROL!$C$21, $C$9, 100%, $E$9)</f>
        <v>47.742100000000001</v>
      </c>
      <c r="P704" s="14">
        <f>CHOOSE(CONTROL!$C$42, 47.6268, 47.6268) * CHOOSE(CONTROL!$C$21, $C$9, 100%, $E$9)</f>
        <v>47.626800000000003</v>
      </c>
      <c r="Q704" s="14">
        <f>CHOOSE(CONTROL!$C$42, 48.3368, 48.3368) * CHOOSE(CONTROL!$C$21, $C$9, 100%, $E$9)</f>
        <v>48.336799999999997</v>
      </c>
      <c r="R704" s="14">
        <f>CHOOSE(CONTROL!$C$42, 49.0447, 49.0447) * CHOOSE(CONTROL!$C$21, $C$9, 100%, $E$9)</f>
        <v>49.044699999999999</v>
      </c>
      <c r="S704" s="14">
        <f>CHOOSE(CONTROL!$C$42, 46.4215, 46.4215) * CHOOSE(CONTROL!$C$21, $C$9, 100%, $E$9)</f>
        <v>46.421500000000002</v>
      </c>
      <c r="T7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704" s="56">
        <f>(1000*CHOOSE(CONTROL!$C$42, 695, 695)*CHOOSE(CONTROL!$C$42, 0.5599, 0.5599)*CHOOSE(CONTROL!$C$42, 31, 31))/1000000</f>
        <v>12.063045499999998</v>
      </c>
      <c r="V704" s="56">
        <f>(1000*CHOOSE(CONTROL!$C$42, 500, 500)*CHOOSE(CONTROL!$C$42, 0.275, 0.275)*CHOOSE(CONTROL!$C$42, 31, 31))/1000000</f>
        <v>4.2625000000000002</v>
      </c>
      <c r="W704" s="56">
        <f>(1000*CHOOSE(CONTROL!$C$42, 0.1146, 0.1146)*CHOOSE(CONTROL!$C$42, 121.5, 121.5)*CHOOSE(CONTROL!$C$42, 31, 31))/1000000</f>
        <v>0.43164089999999994</v>
      </c>
      <c r="X704" s="56">
        <f>(31*0.1790888*245000/1000000)+(31*0.2374*100000/1000000)</f>
        <v>2.0961194359999999</v>
      </c>
      <c r="Y704" s="56"/>
      <c r="Z704" s="14"/>
      <c r="AA704" s="55"/>
      <c r="AB704" s="49">
        <f>(B704*194.205+C704*267.466+D704*133.845+E704*53.484+F704*40+G704*185+H704*0+I704*100+J704*300)/(194.205+267.466+133.845+53.484+0+40+185+100+300)</f>
        <v>48.387396428492941</v>
      </c>
      <c r="AC704" s="45">
        <f>(M704*'RAP TEMPLATE-GAS AVAILABILITY'!O703+N704*'RAP TEMPLATE-GAS AVAILABILITY'!P703+O704*'RAP TEMPLATE-GAS AVAILABILITY'!Q703+P704*'RAP TEMPLATE-GAS AVAILABILITY'!R703)/('RAP TEMPLATE-GAS AVAILABILITY'!O703+'RAP TEMPLATE-GAS AVAILABILITY'!P703+'RAP TEMPLATE-GAS AVAILABILITY'!Q703+'RAP TEMPLATE-GAS AVAILABILITY'!R703)</f>
        <v>47.618954676259001</v>
      </c>
    </row>
    <row r="705" spans="1:29" ht="15.75" x14ac:dyDescent="0.25">
      <c r="A705" s="32">
        <v>62366</v>
      </c>
      <c r="B705" s="14">
        <f>CHOOSE(CONTROL!$C$42, 45.2542, 45.2542) * CHOOSE(CONTROL!$C$21, $C$9, 100%, $E$9)</f>
        <v>45.254199999999997</v>
      </c>
      <c r="C705" s="14">
        <f>CHOOSE(CONTROL!$C$42, 45.2622, 45.2622) * CHOOSE(CONTROL!$C$21, $C$9, 100%, $E$9)</f>
        <v>45.2622</v>
      </c>
      <c r="D705" s="14">
        <f>CHOOSE(CONTROL!$C$42, 45.5213, 45.5213) * CHOOSE(CONTROL!$C$21, $C$9, 100%, $E$9)</f>
        <v>45.521299999999997</v>
      </c>
      <c r="E705" s="14">
        <f>CHOOSE(CONTROL!$C$42, 45.5528, 45.5528) * CHOOSE(CONTROL!$C$21, $C$9, 100%, $E$9)</f>
        <v>45.552799999999998</v>
      </c>
      <c r="F705" s="14">
        <f>CHOOSE(CONTROL!$C$42, 45.2767, 45.2767)*CHOOSE(CONTROL!$C$21, $C$9, 100%, $E$9)</f>
        <v>45.276699999999998</v>
      </c>
      <c r="G705" s="14">
        <f>CHOOSE(CONTROL!$C$42, 45.2939, 45.2939)*CHOOSE(CONTROL!$C$21, $C$9, 100%, $E$9)</f>
        <v>45.293900000000001</v>
      </c>
      <c r="H705" s="14">
        <f>CHOOSE(CONTROL!$C$42, 45.5414, 45.5414) * CHOOSE(CONTROL!$C$21, $C$9, 100%, $E$9)</f>
        <v>45.541400000000003</v>
      </c>
      <c r="I705" s="14">
        <f>CHOOSE(CONTROL!$C$42, 45.417, 45.417)* CHOOSE(CONTROL!$C$21, $C$9, 100%, $E$9)</f>
        <v>45.417000000000002</v>
      </c>
      <c r="J705" s="14">
        <f>CHOOSE(CONTROL!$C$42, 45.2697, 45.2697)* CHOOSE(CONTROL!$C$21, $C$9, 100%, $E$9)</f>
        <v>45.2697</v>
      </c>
      <c r="K705" s="52">
        <f>CHOOSE(CONTROL!$C$42, 45.4132, 45.4132) * CHOOSE(CONTROL!$C$21, $C$9, 100%, $E$9)</f>
        <v>45.413200000000003</v>
      </c>
      <c r="L705" s="14">
        <f>CHOOSE(CONTROL!$C$42, 46.1284, 46.1284) * CHOOSE(CONTROL!$C$21, $C$9, 100%, $E$9)</f>
        <v>46.128399999999999</v>
      </c>
      <c r="M705" s="14">
        <f>CHOOSE(CONTROL!$C$42, 44.4631, 44.4631) * CHOOSE(CONTROL!$C$21, $C$9, 100%, $E$9)</f>
        <v>44.463099999999997</v>
      </c>
      <c r="N705" s="14">
        <f>CHOOSE(CONTROL!$C$42, 44.48, 44.48) * CHOOSE(CONTROL!$C$21, $C$9, 100%, $E$9)</f>
        <v>44.48</v>
      </c>
      <c r="O705" s="14">
        <f>CHOOSE(CONTROL!$C$42, 44.73, 44.73) * CHOOSE(CONTROL!$C$21, $C$9, 100%, $E$9)</f>
        <v>44.73</v>
      </c>
      <c r="P705" s="14">
        <f>CHOOSE(CONTROL!$C$42, 44.6054, 44.6054) * CHOOSE(CONTROL!$C$21, $C$9, 100%, $E$9)</f>
        <v>44.605400000000003</v>
      </c>
      <c r="Q705" s="14">
        <f>CHOOSE(CONTROL!$C$42, 45.3247, 45.3247) * CHOOSE(CONTROL!$C$21, $C$9, 100%, $E$9)</f>
        <v>45.3247</v>
      </c>
      <c r="R705" s="14">
        <f>CHOOSE(CONTROL!$C$42, 46.025, 46.025) * CHOOSE(CONTROL!$C$21, $C$9, 100%, $E$9)</f>
        <v>46.024999999999999</v>
      </c>
      <c r="S705" s="14">
        <f>CHOOSE(CONTROL!$C$42, 43.4741, 43.4741) * CHOOSE(CONTROL!$C$21, $C$9, 100%, $E$9)</f>
        <v>43.4741</v>
      </c>
      <c r="T7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705" s="56">
        <f>(1000*CHOOSE(CONTROL!$C$42, 695, 695)*CHOOSE(CONTROL!$C$42, 0.5599, 0.5599)*CHOOSE(CONTROL!$C$42, 30, 30))/1000000</f>
        <v>11.673914999999997</v>
      </c>
      <c r="V705" s="56">
        <f>(1000*CHOOSE(CONTROL!$C$42, 500, 500)*CHOOSE(CONTROL!$C$42, 0.275, 0.275)*CHOOSE(CONTROL!$C$42, 30, 30))/1000000</f>
        <v>4.125</v>
      </c>
      <c r="W705" s="56">
        <f>(1000*CHOOSE(CONTROL!$C$42, 0.1146, 0.1146)*CHOOSE(CONTROL!$C$42, 121.5, 121.5)*CHOOSE(CONTROL!$C$42, 30, 30))/1000000</f>
        <v>0.417717</v>
      </c>
      <c r="X705" s="56">
        <f>(30*0.1790888*245000/1000000)+(30*0.2374*100000/1000000)</f>
        <v>2.0285026799999999</v>
      </c>
      <c r="Y705" s="56"/>
      <c r="Z705" s="14"/>
      <c r="AA705" s="55"/>
      <c r="AB705" s="49">
        <f>(B705*194.205+C705*267.466+D705*133.845+E705*53.484+F705*40+G705*185+H705*0+I705*100+J705*300)/(194.205+267.466+133.845+53.484+0+40+185+100+300)</f>
        <v>45.319376255808471</v>
      </c>
      <c r="AC705" s="45">
        <f>(M705*'RAP TEMPLATE-GAS AVAILABILITY'!O704+N705*'RAP TEMPLATE-GAS AVAILABILITY'!P704+O705*'RAP TEMPLATE-GAS AVAILABILITY'!Q704+P705*'RAP TEMPLATE-GAS AVAILABILITY'!R704)/('RAP TEMPLATE-GAS AVAILABILITY'!O704+'RAP TEMPLATE-GAS AVAILABILITY'!P704+'RAP TEMPLATE-GAS AVAILABILITY'!Q704+'RAP TEMPLATE-GAS AVAILABILITY'!R704)</f>
        <v>44.605516546762594</v>
      </c>
    </row>
    <row r="706" spans="1:29" ht="15.75" x14ac:dyDescent="0.25">
      <c r="A706" s="32">
        <v>62397</v>
      </c>
      <c r="B706" s="14">
        <f>CHOOSE(CONTROL!$C$42, 44.3339, 44.3339) * CHOOSE(CONTROL!$C$21, $C$9, 100%, $E$9)</f>
        <v>44.3339</v>
      </c>
      <c r="C706" s="14">
        <f>CHOOSE(CONTROL!$C$42, 44.3392, 44.3392) * CHOOSE(CONTROL!$C$21, $C$9, 100%, $E$9)</f>
        <v>44.339199999999998</v>
      </c>
      <c r="D706" s="14">
        <f>CHOOSE(CONTROL!$C$42, 44.6032, 44.6032) * CHOOSE(CONTROL!$C$21, $C$9, 100%, $E$9)</f>
        <v>44.603200000000001</v>
      </c>
      <c r="E706" s="14">
        <f>CHOOSE(CONTROL!$C$42, 44.6324, 44.6324) * CHOOSE(CONTROL!$C$21, $C$9, 100%, $E$9)</f>
        <v>44.632399999999997</v>
      </c>
      <c r="F706" s="14">
        <f>CHOOSE(CONTROL!$C$42, 44.3585, 44.3585)*CHOOSE(CONTROL!$C$21, $C$9, 100%, $E$9)</f>
        <v>44.358499999999999</v>
      </c>
      <c r="G706" s="14">
        <f>CHOOSE(CONTROL!$C$42, 44.3756, 44.3756)*CHOOSE(CONTROL!$C$21, $C$9, 100%, $E$9)</f>
        <v>44.375599999999999</v>
      </c>
      <c r="H706" s="14">
        <f>CHOOSE(CONTROL!$C$42, 44.6228, 44.6228) * CHOOSE(CONTROL!$C$21, $C$9, 100%, $E$9)</f>
        <v>44.622799999999998</v>
      </c>
      <c r="I706" s="14">
        <f>CHOOSE(CONTROL!$C$42, 44.4956, 44.4956)* CHOOSE(CONTROL!$C$21, $C$9, 100%, $E$9)</f>
        <v>44.495600000000003</v>
      </c>
      <c r="J706" s="14">
        <f>CHOOSE(CONTROL!$C$42, 44.3515, 44.3515)* CHOOSE(CONTROL!$C$21, $C$9, 100%, $E$9)</f>
        <v>44.351500000000001</v>
      </c>
      <c r="K706" s="52">
        <f>CHOOSE(CONTROL!$C$42, 44.4917, 44.4917) * CHOOSE(CONTROL!$C$21, $C$9, 100%, $E$9)</f>
        <v>44.491700000000002</v>
      </c>
      <c r="L706" s="14">
        <f>CHOOSE(CONTROL!$C$42, 45.2098, 45.2098) * CHOOSE(CONTROL!$C$21, $C$9, 100%, $E$9)</f>
        <v>45.209800000000001</v>
      </c>
      <c r="M706" s="14">
        <f>CHOOSE(CONTROL!$C$42, 43.5614, 43.5614) * CHOOSE(CONTROL!$C$21, $C$9, 100%, $E$9)</f>
        <v>43.561399999999999</v>
      </c>
      <c r="N706" s="14">
        <f>CHOOSE(CONTROL!$C$42, 43.5782, 43.5782) * CHOOSE(CONTROL!$C$21, $C$9, 100%, $E$9)</f>
        <v>43.578200000000002</v>
      </c>
      <c r="O706" s="14">
        <f>CHOOSE(CONTROL!$C$42, 43.8279, 43.8279) * CHOOSE(CONTROL!$C$21, $C$9, 100%, $E$9)</f>
        <v>43.8279</v>
      </c>
      <c r="P706" s="14">
        <f>CHOOSE(CONTROL!$C$42, 43.7005, 43.7005) * CHOOSE(CONTROL!$C$21, $C$9, 100%, $E$9)</f>
        <v>43.700499999999998</v>
      </c>
      <c r="Q706" s="14">
        <f>CHOOSE(CONTROL!$C$42, 44.4226, 44.4226) * CHOOSE(CONTROL!$C$21, $C$9, 100%, $E$9)</f>
        <v>44.422600000000003</v>
      </c>
      <c r="R706" s="14">
        <f>CHOOSE(CONTROL!$C$42, 45.1207, 45.1207) * CHOOSE(CONTROL!$C$21, $C$9, 100%, $E$9)</f>
        <v>45.120699999999999</v>
      </c>
      <c r="S706" s="14">
        <f>CHOOSE(CONTROL!$C$42, 42.5915, 42.5915) * CHOOSE(CONTROL!$C$21, $C$9, 100%, $E$9)</f>
        <v>42.591500000000003</v>
      </c>
      <c r="T7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06" s="56">
        <f>(1000*CHOOSE(CONTROL!$C$42, 695, 695)*CHOOSE(CONTROL!$C$42, 0.5599, 0.5599)*CHOOSE(CONTROL!$C$42, 31, 31))/1000000</f>
        <v>12.063045499999998</v>
      </c>
      <c r="V706" s="56">
        <f>(1000*CHOOSE(CONTROL!$C$42, 500, 500)*CHOOSE(CONTROL!$C$42, 0.275, 0.275)*CHOOSE(CONTROL!$C$42, 31, 31))/1000000</f>
        <v>4.2625000000000002</v>
      </c>
      <c r="W706" s="56">
        <f>(1000*CHOOSE(CONTROL!$C$42, 0.1146, 0.1146)*CHOOSE(CONTROL!$C$42, 121.5, 121.5)*CHOOSE(CONTROL!$C$42, 31, 31))/1000000</f>
        <v>0.43164089999999994</v>
      </c>
      <c r="X706" s="56">
        <f>(31*0.1790888*245000/1000000)+(31*0.2374*100000/1000000)</f>
        <v>2.0961194359999999</v>
      </c>
      <c r="Y706" s="56"/>
      <c r="Z706" s="14"/>
      <c r="AA706" s="55"/>
      <c r="AB706" s="49">
        <f>(B706*131.881+C706*277.167+D706*79.08+E706*125.872+F706*40+G706*185+H706*0+I706*100+J706*300)/(131.881+277.167+79.08+125.872+0+40+185+100+300)</f>
        <v>44.406931897578687</v>
      </c>
      <c r="AC706" s="45">
        <f>(M706*'RAP TEMPLATE-GAS AVAILABILITY'!O705+N706*'RAP TEMPLATE-GAS AVAILABILITY'!P705+O706*'RAP TEMPLATE-GAS AVAILABILITY'!Q705+P706*'RAP TEMPLATE-GAS AVAILABILITY'!R705)/('RAP TEMPLATE-GAS AVAILABILITY'!O705+'RAP TEMPLATE-GAS AVAILABILITY'!P705+'RAP TEMPLATE-GAS AVAILABILITY'!Q705+'RAP TEMPLATE-GAS AVAILABILITY'!R705)</f>
        <v>43.703169064748202</v>
      </c>
    </row>
    <row r="707" spans="1:29" ht="15.75" x14ac:dyDescent="0.25">
      <c r="A707" s="32">
        <v>62427</v>
      </c>
      <c r="B707" s="14">
        <f>CHOOSE(CONTROL!$C$42, 45.5011, 45.5011) * CHOOSE(CONTROL!$C$21, $C$9, 100%, $E$9)</f>
        <v>45.501100000000001</v>
      </c>
      <c r="C707" s="14">
        <f>CHOOSE(CONTROL!$C$42, 45.5062, 45.5062) * CHOOSE(CONTROL!$C$21, $C$9, 100%, $E$9)</f>
        <v>45.5062</v>
      </c>
      <c r="D707" s="14">
        <f>CHOOSE(CONTROL!$C$42, 45.5893, 45.5893) * CHOOSE(CONTROL!$C$21, $C$9, 100%, $E$9)</f>
        <v>45.589300000000001</v>
      </c>
      <c r="E707" s="14">
        <f>CHOOSE(CONTROL!$C$42, 45.6234, 45.6234) * CHOOSE(CONTROL!$C$21, $C$9, 100%, $E$9)</f>
        <v>45.623399999999997</v>
      </c>
      <c r="F707" s="14">
        <f>CHOOSE(CONTROL!$C$42, 45.5288, 45.5288)*CHOOSE(CONTROL!$C$21, $C$9, 100%, $E$9)</f>
        <v>45.528799999999997</v>
      </c>
      <c r="G707" s="14">
        <f>CHOOSE(CONTROL!$C$42, 45.5461, 45.5461)*CHOOSE(CONTROL!$C$21, $C$9, 100%, $E$9)</f>
        <v>45.546100000000003</v>
      </c>
      <c r="H707" s="14">
        <f>CHOOSE(CONTROL!$C$42, 45.6126, 45.6126) * CHOOSE(CONTROL!$C$21, $C$9, 100%, $E$9)</f>
        <v>45.6126</v>
      </c>
      <c r="I707" s="14">
        <f>CHOOSE(CONTROL!$C$42, 45.6633, 45.6633)* CHOOSE(CONTROL!$C$21, $C$9, 100%, $E$9)</f>
        <v>45.6633</v>
      </c>
      <c r="J707" s="14">
        <f>CHOOSE(CONTROL!$C$42, 45.5218, 45.5218)* CHOOSE(CONTROL!$C$21, $C$9, 100%, $E$9)</f>
        <v>45.521799999999999</v>
      </c>
      <c r="K707" s="52">
        <f>CHOOSE(CONTROL!$C$42, 45.6594, 45.6594) * CHOOSE(CONTROL!$C$21, $C$9, 100%, $E$9)</f>
        <v>45.659399999999998</v>
      </c>
      <c r="L707" s="14">
        <f>CHOOSE(CONTROL!$C$42, 46.1996, 46.1996) * CHOOSE(CONTROL!$C$21, $C$9, 100%, $E$9)</f>
        <v>46.199599999999997</v>
      </c>
      <c r="M707" s="14">
        <f>CHOOSE(CONTROL!$C$42, 44.7107, 44.7107) * CHOOSE(CONTROL!$C$21, $C$9, 100%, $E$9)</f>
        <v>44.710700000000003</v>
      </c>
      <c r="N707" s="14">
        <f>CHOOSE(CONTROL!$C$42, 44.7277, 44.7277) * CHOOSE(CONTROL!$C$21, $C$9, 100%, $E$9)</f>
        <v>44.727699999999999</v>
      </c>
      <c r="O707" s="14">
        <f>CHOOSE(CONTROL!$C$42, 44.7998, 44.7998) * CHOOSE(CONTROL!$C$21, $C$9, 100%, $E$9)</f>
        <v>44.799799999999998</v>
      </c>
      <c r="P707" s="14">
        <f>CHOOSE(CONTROL!$C$42, 44.8472, 44.8472) * CHOOSE(CONTROL!$C$21, $C$9, 100%, $E$9)</f>
        <v>44.847200000000001</v>
      </c>
      <c r="Q707" s="14">
        <f>CHOOSE(CONTROL!$C$42, 45.3945, 45.3945) * CHOOSE(CONTROL!$C$21, $C$9, 100%, $E$9)</f>
        <v>45.394500000000001</v>
      </c>
      <c r="R707" s="14">
        <f>CHOOSE(CONTROL!$C$42, 46.095, 46.095) * CHOOSE(CONTROL!$C$21, $C$9, 100%, $E$9)</f>
        <v>46.094999999999999</v>
      </c>
      <c r="S707" s="14">
        <f>CHOOSE(CONTROL!$C$42, 43.7135, 43.7135) * CHOOSE(CONTROL!$C$21, $C$9, 100%, $E$9)</f>
        <v>43.713500000000003</v>
      </c>
      <c r="T7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07" s="56">
        <f>(1000*CHOOSE(CONTROL!$C$42, 695, 695)*CHOOSE(CONTROL!$C$42, 0.5599, 0.5599)*CHOOSE(CONTROL!$C$42, 30, 30))/1000000</f>
        <v>11.673914999999997</v>
      </c>
      <c r="V707" s="56">
        <f>(1000*CHOOSE(CONTROL!$C$42, 500, 500)*CHOOSE(CONTROL!$C$42, 0.275, 0.275)*CHOOSE(CONTROL!$C$42, 30, 30))/1000000</f>
        <v>4.125</v>
      </c>
      <c r="W707" s="56">
        <f>(1000*CHOOSE(CONTROL!$C$42, 0.1146, 0.1146)*CHOOSE(CONTROL!$C$42, 121.5, 121.5)*CHOOSE(CONTROL!$C$42, 30, 30))/1000000</f>
        <v>0.417717</v>
      </c>
      <c r="X707" s="56">
        <f>(30*0.1790888*100000/1000000)+(30*0.2374*100000/1000000)</f>
        <v>1.2494664</v>
      </c>
      <c r="Y707" s="56"/>
      <c r="Z707" s="14"/>
      <c r="AA707" s="55"/>
      <c r="AB707" s="49">
        <f>(B707*122.58+C707*297.941+D707*89.177+E707*40.302+F707*40+G707*160+H707*0+I707*100+J707*300)/(122.58+297.941+89.177+40.302+0+40+160+100+300)</f>
        <v>45.540275517478264</v>
      </c>
      <c r="AC707" s="45">
        <f>(M707*'RAP TEMPLATE-GAS AVAILABILITY'!O706+N707*'RAP TEMPLATE-GAS AVAILABILITY'!P706+O707*'RAP TEMPLATE-GAS AVAILABILITY'!Q706+P707*'RAP TEMPLATE-GAS AVAILABILITY'!R706)/('RAP TEMPLATE-GAS AVAILABILITY'!O706+'RAP TEMPLATE-GAS AVAILABILITY'!P706+'RAP TEMPLATE-GAS AVAILABILITY'!Q706+'RAP TEMPLATE-GAS AVAILABILITY'!R706)</f>
        <v>44.771702158273385</v>
      </c>
    </row>
    <row r="708" spans="1:29" ht="15.75" x14ac:dyDescent="0.25">
      <c r="A708" s="32">
        <v>62458</v>
      </c>
      <c r="B708" s="14">
        <f>CHOOSE(CONTROL!$C$42, 48.6027, 48.6027) * CHOOSE(CONTROL!$C$21, $C$9, 100%, $E$9)</f>
        <v>48.602699999999999</v>
      </c>
      <c r="C708" s="14">
        <f>CHOOSE(CONTROL!$C$42, 48.6078, 48.6078) * CHOOSE(CONTROL!$C$21, $C$9, 100%, $E$9)</f>
        <v>48.607799999999997</v>
      </c>
      <c r="D708" s="14">
        <f>CHOOSE(CONTROL!$C$42, 48.6909, 48.6909) * CHOOSE(CONTROL!$C$21, $C$9, 100%, $E$9)</f>
        <v>48.690899999999999</v>
      </c>
      <c r="E708" s="14">
        <f>CHOOSE(CONTROL!$C$42, 48.725, 48.725) * CHOOSE(CONTROL!$C$21, $C$9, 100%, $E$9)</f>
        <v>48.725000000000001</v>
      </c>
      <c r="F708" s="14">
        <f>CHOOSE(CONTROL!$C$42, 48.6328, 48.6328)*CHOOSE(CONTROL!$C$21, $C$9, 100%, $E$9)</f>
        <v>48.632800000000003</v>
      </c>
      <c r="G708" s="14">
        <f>CHOOSE(CONTROL!$C$42, 48.6508, 48.6508)*CHOOSE(CONTROL!$C$21, $C$9, 100%, $E$9)</f>
        <v>48.650799999999997</v>
      </c>
      <c r="H708" s="14">
        <f>CHOOSE(CONTROL!$C$42, 48.7142, 48.7142) * CHOOSE(CONTROL!$C$21, $C$9, 100%, $E$9)</f>
        <v>48.714199999999998</v>
      </c>
      <c r="I708" s="14">
        <f>CHOOSE(CONTROL!$C$42, 48.7746, 48.7746)* CHOOSE(CONTROL!$C$21, $C$9, 100%, $E$9)</f>
        <v>48.7746</v>
      </c>
      <c r="J708" s="14">
        <f>CHOOSE(CONTROL!$C$42, 48.6258, 48.6258)* CHOOSE(CONTROL!$C$21, $C$9, 100%, $E$9)</f>
        <v>48.625799999999998</v>
      </c>
      <c r="K708" s="52">
        <f>CHOOSE(CONTROL!$C$42, 48.7707, 48.7707) * CHOOSE(CONTROL!$C$21, $C$9, 100%, $E$9)</f>
        <v>48.770699999999998</v>
      </c>
      <c r="L708" s="14">
        <f>CHOOSE(CONTROL!$C$42, 49.3012, 49.3012) * CHOOSE(CONTROL!$C$21, $C$9, 100%, $E$9)</f>
        <v>49.301200000000001</v>
      </c>
      <c r="M708" s="14">
        <f>CHOOSE(CONTROL!$C$42, 47.7589, 47.7589) * CHOOSE(CONTROL!$C$21, $C$9, 100%, $E$9)</f>
        <v>47.758899999999997</v>
      </c>
      <c r="N708" s="14">
        <f>CHOOSE(CONTROL!$C$42, 47.7765, 47.7765) * CHOOSE(CONTROL!$C$21, $C$9, 100%, $E$9)</f>
        <v>47.776499999999999</v>
      </c>
      <c r="O708" s="14">
        <f>CHOOSE(CONTROL!$C$42, 47.8456, 47.8456) * CHOOSE(CONTROL!$C$21, $C$9, 100%, $E$9)</f>
        <v>47.845599999999997</v>
      </c>
      <c r="P708" s="14">
        <f>CHOOSE(CONTROL!$C$42, 47.9023, 47.9023) * CHOOSE(CONTROL!$C$21, $C$9, 100%, $E$9)</f>
        <v>47.902299999999997</v>
      </c>
      <c r="Q708" s="14">
        <f>CHOOSE(CONTROL!$C$42, 48.4403, 48.4403) * CHOOSE(CONTROL!$C$21, $C$9, 100%, $E$9)</f>
        <v>48.440300000000001</v>
      </c>
      <c r="R708" s="14">
        <f>CHOOSE(CONTROL!$C$42, 49.1484, 49.1484) * CHOOSE(CONTROL!$C$21, $C$9, 100%, $E$9)</f>
        <v>49.148400000000002</v>
      </c>
      <c r="S708" s="14">
        <f>CHOOSE(CONTROL!$C$42, 46.6938, 46.6938) * CHOOSE(CONTROL!$C$21, $C$9, 100%, $E$9)</f>
        <v>46.693800000000003</v>
      </c>
      <c r="T7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08" s="56">
        <f>(1000*CHOOSE(CONTROL!$C$42, 695, 695)*CHOOSE(CONTROL!$C$42, 0.5599, 0.5599)*CHOOSE(CONTROL!$C$42, 31, 31))/1000000</f>
        <v>12.063045499999998</v>
      </c>
      <c r="V708" s="56">
        <f>(1000*CHOOSE(CONTROL!$C$42, 500, 500)*CHOOSE(CONTROL!$C$42, 0.275, 0.275)*CHOOSE(CONTROL!$C$42, 31, 31))/1000000</f>
        <v>4.2625000000000002</v>
      </c>
      <c r="W708" s="56">
        <f>(1000*CHOOSE(CONTROL!$C$42, 0.1146, 0.1146)*CHOOSE(CONTROL!$C$42, 121.5, 121.5)*CHOOSE(CONTROL!$C$42, 31, 31))/1000000</f>
        <v>0.43164089999999994</v>
      </c>
      <c r="X708" s="56">
        <f>(31*0.1790888*100000/1000000)+(31*0.2374*100000/1000000)</f>
        <v>1.2911152800000001</v>
      </c>
      <c r="Y708" s="56"/>
      <c r="Z708" s="14"/>
      <c r="AA708" s="55"/>
      <c r="AB708" s="49">
        <f>(B708*122.58+C708*297.941+D708*89.177+E708*40.302+F708*40+G708*160+H708*0+I708*100+J708*300)/(122.58+297.941+89.177+40.302+0+40+160+100+300)</f>
        <v>48.643859865304343</v>
      </c>
      <c r="AC708" s="45">
        <f>(M708*'RAP TEMPLATE-GAS AVAILABILITY'!O707+N708*'RAP TEMPLATE-GAS AVAILABILITY'!P707+O708*'RAP TEMPLATE-GAS AVAILABILITY'!Q707+P708*'RAP TEMPLATE-GAS AVAILABILITY'!R707)/('RAP TEMPLATE-GAS AVAILABILITY'!O707+'RAP TEMPLATE-GAS AVAILABILITY'!P707+'RAP TEMPLATE-GAS AVAILABILITY'!Q707+'RAP TEMPLATE-GAS AVAILABILITY'!R707)</f>
        <v>47.819841726618698</v>
      </c>
    </row>
    <row r="709" spans="1:29" ht="15.75" x14ac:dyDescent="0.25">
      <c r="A709" s="32">
        <v>62489</v>
      </c>
      <c r="B709" s="14">
        <f>CHOOSE(CONTROL!$C$42, 52.6311, 52.6311) * CHOOSE(CONTROL!$C$21, $C$9, 100%, $E$9)</f>
        <v>52.631100000000004</v>
      </c>
      <c r="C709" s="14">
        <f>CHOOSE(CONTROL!$C$42, 52.6362, 52.6362) * CHOOSE(CONTROL!$C$21, $C$9, 100%, $E$9)</f>
        <v>52.636200000000002</v>
      </c>
      <c r="D709" s="14">
        <f>CHOOSE(CONTROL!$C$42, 52.7297, 52.7297) * CHOOSE(CONTROL!$C$21, $C$9, 100%, $E$9)</f>
        <v>52.729700000000001</v>
      </c>
      <c r="E709" s="14">
        <f>CHOOSE(CONTROL!$C$42, 52.7638, 52.7638) * CHOOSE(CONTROL!$C$21, $C$9, 100%, $E$9)</f>
        <v>52.763800000000003</v>
      </c>
      <c r="F709" s="14">
        <f>CHOOSE(CONTROL!$C$42, 52.6584, 52.6584)*CHOOSE(CONTROL!$C$21, $C$9, 100%, $E$9)</f>
        <v>52.6584</v>
      </c>
      <c r="G709" s="14">
        <f>CHOOSE(CONTROL!$C$42, 52.6764, 52.6764)*CHOOSE(CONTROL!$C$21, $C$9, 100%, $E$9)</f>
        <v>52.676400000000001</v>
      </c>
      <c r="H709" s="14">
        <f>CHOOSE(CONTROL!$C$42, 52.753, 52.753) * CHOOSE(CONTROL!$C$21, $C$9, 100%, $E$9)</f>
        <v>52.753</v>
      </c>
      <c r="I709" s="14">
        <f>CHOOSE(CONTROL!$C$42, 52.8219, 52.8219)* CHOOSE(CONTROL!$C$21, $C$9, 100%, $E$9)</f>
        <v>52.821899999999999</v>
      </c>
      <c r="J709" s="14">
        <f>CHOOSE(CONTROL!$C$42, 52.6514, 52.6514)* CHOOSE(CONTROL!$C$21, $C$9, 100%, $E$9)</f>
        <v>52.651400000000002</v>
      </c>
      <c r="K709" s="52">
        <f>CHOOSE(CONTROL!$C$42, 52.818, 52.818) * CHOOSE(CONTROL!$C$21, $C$9, 100%, $E$9)</f>
        <v>52.817999999999998</v>
      </c>
      <c r="L709" s="14">
        <f>CHOOSE(CONTROL!$C$42, 53.34, 53.34) * CHOOSE(CONTROL!$C$21, $C$9, 100%, $E$9)</f>
        <v>53.34</v>
      </c>
      <c r="M709" s="14">
        <f>CHOOSE(CONTROL!$C$42, 51.7121, 51.7121) * CHOOSE(CONTROL!$C$21, $C$9, 100%, $E$9)</f>
        <v>51.7121</v>
      </c>
      <c r="N709" s="14">
        <f>CHOOSE(CONTROL!$C$42, 51.7298, 51.7298) * CHOOSE(CONTROL!$C$21, $C$9, 100%, $E$9)</f>
        <v>51.729799999999997</v>
      </c>
      <c r="O709" s="14">
        <f>CHOOSE(CONTROL!$C$42, 51.8118, 51.8118) * CHOOSE(CONTROL!$C$21, $C$9, 100%, $E$9)</f>
        <v>51.811799999999998</v>
      </c>
      <c r="P709" s="14">
        <f>CHOOSE(CONTROL!$C$42, 51.8766, 51.8766) * CHOOSE(CONTROL!$C$21, $C$9, 100%, $E$9)</f>
        <v>51.876600000000003</v>
      </c>
      <c r="Q709" s="14">
        <f>CHOOSE(CONTROL!$C$42, 52.4065, 52.4065) * CHOOSE(CONTROL!$C$21, $C$9, 100%, $E$9)</f>
        <v>52.406500000000001</v>
      </c>
      <c r="R709" s="14">
        <f>CHOOSE(CONTROL!$C$42, 53.1245, 53.1245) * CHOOSE(CONTROL!$C$21, $C$9, 100%, $E$9)</f>
        <v>53.124499999999998</v>
      </c>
      <c r="S709" s="14">
        <f>CHOOSE(CONTROL!$C$42, 50.5647, 50.5647) * CHOOSE(CONTROL!$C$21, $C$9, 100%, $E$9)</f>
        <v>50.564700000000002</v>
      </c>
      <c r="T7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09" s="56">
        <f>(1000*CHOOSE(CONTROL!$C$42, 695, 695)*CHOOSE(CONTROL!$C$42, 0.5599, 0.5599)*CHOOSE(CONTROL!$C$42, 31, 31))/1000000</f>
        <v>12.063045499999998</v>
      </c>
      <c r="V709" s="56">
        <f>(1000*CHOOSE(CONTROL!$C$42, 500, 500)*CHOOSE(CONTROL!$C$42, 0.275, 0.275)*CHOOSE(CONTROL!$C$42, 31, 31))/1000000</f>
        <v>4.2625000000000002</v>
      </c>
      <c r="W709" s="56">
        <f>(1000*CHOOSE(CONTROL!$C$42, 0.1146, 0.1146)*CHOOSE(CONTROL!$C$42, 121.5, 121.5)*CHOOSE(CONTROL!$C$42, 31, 31))/1000000</f>
        <v>0.43164089999999994</v>
      </c>
      <c r="X709" s="56">
        <f>(31*0.1790888*100000/1000000)+(31*0.2374*100000/1000000)</f>
        <v>1.2911152800000001</v>
      </c>
      <c r="Y709" s="56"/>
      <c r="Z709" s="14"/>
      <c r="AA709" s="55"/>
      <c r="AB709" s="49">
        <f>(B709*122.58+C709*297.941+D709*89.177+E709*40.302+F709*40+G709*160+H709*0+I709*100+J709*300)/(122.58+297.941+89.177+40.302+0+40+160+100+300)</f>
        <v>52.673856892782602</v>
      </c>
      <c r="AC709" s="45">
        <f>(M709*'RAP TEMPLATE-GAS AVAILABILITY'!O708+N709*'RAP TEMPLATE-GAS AVAILABILITY'!P708+O709*'RAP TEMPLATE-GAS AVAILABILITY'!Q708+P709*'RAP TEMPLATE-GAS AVAILABILITY'!R708)/('RAP TEMPLATE-GAS AVAILABILITY'!O708+'RAP TEMPLATE-GAS AVAILABILITY'!P708+'RAP TEMPLATE-GAS AVAILABILITY'!Q708+'RAP TEMPLATE-GAS AVAILABILITY'!R708)</f>
        <v>51.78197553956835</v>
      </c>
    </row>
    <row r="710" spans="1:29" ht="15.75" x14ac:dyDescent="0.25">
      <c r="A710" s="32">
        <v>62517</v>
      </c>
      <c r="B710" s="14">
        <f>CHOOSE(CONTROL!$C$42, 53.5679, 53.5679) * CHOOSE(CONTROL!$C$21, $C$9, 100%, $E$9)</f>
        <v>53.567900000000002</v>
      </c>
      <c r="C710" s="14">
        <f>CHOOSE(CONTROL!$C$42, 53.5729, 53.5729) * CHOOSE(CONTROL!$C$21, $C$9, 100%, $E$9)</f>
        <v>53.572899999999997</v>
      </c>
      <c r="D710" s="14">
        <f>CHOOSE(CONTROL!$C$42, 53.6664, 53.6664) * CHOOSE(CONTROL!$C$21, $C$9, 100%, $E$9)</f>
        <v>53.666400000000003</v>
      </c>
      <c r="E710" s="14">
        <f>CHOOSE(CONTROL!$C$42, 53.7005, 53.7005) * CHOOSE(CONTROL!$C$21, $C$9, 100%, $E$9)</f>
        <v>53.700499999999998</v>
      </c>
      <c r="F710" s="14">
        <f>CHOOSE(CONTROL!$C$42, 53.5948, 53.5948)*CHOOSE(CONTROL!$C$21, $C$9, 100%, $E$9)</f>
        <v>53.594799999999999</v>
      </c>
      <c r="G710" s="14">
        <f>CHOOSE(CONTROL!$C$42, 53.6127, 53.6127)*CHOOSE(CONTROL!$C$21, $C$9, 100%, $E$9)</f>
        <v>53.612699999999997</v>
      </c>
      <c r="H710" s="14">
        <f>CHOOSE(CONTROL!$C$42, 53.6897, 53.6897) * CHOOSE(CONTROL!$C$21, $C$9, 100%, $E$9)</f>
        <v>53.689700000000002</v>
      </c>
      <c r="I710" s="14">
        <f>CHOOSE(CONTROL!$C$42, 53.7615, 53.7615)* CHOOSE(CONTROL!$C$21, $C$9, 100%, $E$9)</f>
        <v>53.761499999999998</v>
      </c>
      <c r="J710" s="14">
        <f>CHOOSE(CONTROL!$C$42, 53.5878, 53.5878)* CHOOSE(CONTROL!$C$21, $C$9, 100%, $E$9)</f>
        <v>53.587800000000001</v>
      </c>
      <c r="K710" s="52">
        <f>CHOOSE(CONTROL!$C$42, 53.7576, 53.7576) * CHOOSE(CONTROL!$C$21, $C$9, 100%, $E$9)</f>
        <v>53.757599999999996</v>
      </c>
      <c r="L710" s="14">
        <f>CHOOSE(CONTROL!$C$42, 54.2767, 54.2767) * CHOOSE(CONTROL!$C$21, $C$9, 100%, $E$9)</f>
        <v>54.276699999999998</v>
      </c>
      <c r="M710" s="14">
        <f>CHOOSE(CONTROL!$C$42, 52.6316, 52.6316) * CHOOSE(CONTROL!$C$21, $C$9, 100%, $E$9)</f>
        <v>52.631599999999999</v>
      </c>
      <c r="N710" s="14">
        <f>CHOOSE(CONTROL!$C$42, 52.6492, 52.6492) * CHOOSE(CONTROL!$C$21, $C$9, 100%, $E$9)</f>
        <v>52.6492</v>
      </c>
      <c r="O710" s="14">
        <f>CHOOSE(CONTROL!$C$42, 52.7317, 52.7317) * CHOOSE(CONTROL!$C$21, $C$9, 100%, $E$9)</f>
        <v>52.731699999999996</v>
      </c>
      <c r="P710" s="14">
        <f>CHOOSE(CONTROL!$C$42, 52.7993, 52.7993) * CHOOSE(CONTROL!$C$21, $C$9, 100%, $E$9)</f>
        <v>52.799300000000002</v>
      </c>
      <c r="Q710" s="14">
        <f>CHOOSE(CONTROL!$C$42, 53.3264, 53.3264) * CHOOSE(CONTROL!$C$21, $C$9, 100%, $E$9)</f>
        <v>53.3264</v>
      </c>
      <c r="R710" s="14">
        <f>CHOOSE(CONTROL!$C$42, 54.0467, 54.0467) * CHOOSE(CONTROL!$C$21, $C$9, 100%, $E$9)</f>
        <v>54.046700000000001</v>
      </c>
      <c r="S710" s="14">
        <f>CHOOSE(CONTROL!$C$42, 51.4648, 51.4648) * CHOOSE(CONTROL!$C$21, $C$9, 100%, $E$9)</f>
        <v>51.464799999999997</v>
      </c>
      <c r="T71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10" s="56">
        <f>(1000*CHOOSE(CONTROL!$C$42, 695, 695)*CHOOSE(CONTROL!$C$42, 0.5599, 0.5599)*CHOOSE(CONTROL!$C$42, 28, 28))/1000000</f>
        <v>10.895653999999999</v>
      </c>
      <c r="V710" s="56">
        <f>(1000*CHOOSE(CONTROL!$C$42, 500, 500)*CHOOSE(CONTROL!$C$42, 0.275, 0.275)*CHOOSE(CONTROL!$C$42, 28, 28))/1000000</f>
        <v>3.85</v>
      </c>
      <c r="W710" s="56">
        <f>(1000*CHOOSE(CONTROL!$C$42, 0.1146, 0.1146)*CHOOSE(CONTROL!$C$42, 121.5, 121.5)*CHOOSE(CONTROL!$C$42, 28, 28))/1000000</f>
        <v>0.38986920000000003</v>
      </c>
      <c r="X710" s="56">
        <f>(28*0.1790888*100000/1000000)+(28*0.2374*100000/1000000)</f>
        <v>1.16616864</v>
      </c>
      <c r="Y710" s="56"/>
      <c r="Z710" s="14"/>
      <c r="AA710" s="55"/>
      <c r="AB710" s="49">
        <f>(B710*122.58+C710*297.941+D710*89.177+E710*40.302+F710*40+G710*160+H710*0+I710*100+J710*300)/(122.58+297.941+89.177+40.302+0+40+160+100+300)</f>
        <v>53.610675378000003</v>
      </c>
      <c r="AC710" s="45">
        <f>(M710*'RAP TEMPLATE-GAS AVAILABILITY'!O709+N710*'RAP TEMPLATE-GAS AVAILABILITY'!P709+O710*'RAP TEMPLATE-GAS AVAILABILITY'!Q709+P710*'RAP TEMPLATE-GAS AVAILABILITY'!R709)/('RAP TEMPLATE-GAS AVAILABILITY'!O709+'RAP TEMPLATE-GAS AVAILABILITY'!P709+'RAP TEMPLATE-GAS AVAILABILITY'!Q709+'RAP TEMPLATE-GAS AVAILABILITY'!R709)</f>
        <v>52.702111510791369</v>
      </c>
    </row>
    <row r="711" spans="1:29" ht="15.75" x14ac:dyDescent="0.25">
      <c r="A711" s="32">
        <v>62548</v>
      </c>
      <c r="B711" s="14">
        <f>CHOOSE(CONTROL!$C$42, 52.0473, 52.0473) * CHOOSE(CONTROL!$C$21, $C$9, 100%, $E$9)</f>
        <v>52.0473</v>
      </c>
      <c r="C711" s="14">
        <f>CHOOSE(CONTROL!$C$42, 52.0524, 52.0524) * CHOOSE(CONTROL!$C$21, $C$9, 100%, $E$9)</f>
        <v>52.052399999999999</v>
      </c>
      <c r="D711" s="14">
        <f>CHOOSE(CONTROL!$C$42, 52.1459, 52.1459) * CHOOSE(CONTROL!$C$21, $C$9, 100%, $E$9)</f>
        <v>52.145899999999997</v>
      </c>
      <c r="E711" s="14">
        <f>CHOOSE(CONTROL!$C$42, 52.18, 52.18) * CHOOSE(CONTROL!$C$21, $C$9, 100%, $E$9)</f>
        <v>52.18</v>
      </c>
      <c r="F711" s="14">
        <f>CHOOSE(CONTROL!$C$42, 52.0734, 52.0734)*CHOOSE(CONTROL!$C$21, $C$9, 100%, $E$9)</f>
        <v>52.073399999999999</v>
      </c>
      <c r="G711" s="14">
        <f>CHOOSE(CONTROL!$C$42, 52.091, 52.091)*CHOOSE(CONTROL!$C$21, $C$9, 100%, $E$9)</f>
        <v>52.091000000000001</v>
      </c>
      <c r="H711" s="14">
        <f>CHOOSE(CONTROL!$C$42, 52.1692, 52.1692) * CHOOSE(CONTROL!$C$21, $C$9, 100%, $E$9)</f>
        <v>52.169199999999996</v>
      </c>
      <c r="I711" s="14">
        <f>CHOOSE(CONTROL!$C$42, 52.2362, 52.2362)* CHOOSE(CONTROL!$C$21, $C$9, 100%, $E$9)</f>
        <v>52.236199999999997</v>
      </c>
      <c r="J711" s="14">
        <f>CHOOSE(CONTROL!$C$42, 52.0664, 52.0664)* CHOOSE(CONTROL!$C$21, $C$9, 100%, $E$9)</f>
        <v>52.066400000000002</v>
      </c>
      <c r="K711" s="52">
        <f>CHOOSE(CONTROL!$C$42, 52.2323, 52.2323) * CHOOSE(CONTROL!$C$21, $C$9, 100%, $E$9)</f>
        <v>52.232300000000002</v>
      </c>
      <c r="L711" s="14">
        <f>CHOOSE(CONTROL!$C$42, 52.7562, 52.7562) * CHOOSE(CONTROL!$C$21, $C$9, 100%, $E$9)</f>
        <v>52.7562</v>
      </c>
      <c r="M711" s="14">
        <f>CHOOSE(CONTROL!$C$42, 51.1376, 51.1376) * CHOOSE(CONTROL!$C$21, $C$9, 100%, $E$9)</f>
        <v>51.137599999999999</v>
      </c>
      <c r="N711" s="14">
        <f>CHOOSE(CONTROL!$C$42, 51.1549, 51.1549) * CHOOSE(CONTROL!$C$21, $C$9, 100%, $E$9)</f>
        <v>51.154899999999998</v>
      </c>
      <c r="O711" s="14">
        <f>CHOOSE(CONTROL!$C$42, 51.2385, 51.2385) * CHOOSE(CONTROL!$C$21, $C$9, 100%, $E$9)</f>
        <v>51.238500000000002</v>
      </c>
      <c r="P711" s="14">
        <f>CHOOSE(CONTROL!$C$42, 51.3015, 51.3015) * CHOOSE(CONTROL!$C$21, $C$9, 100%, $E$9)</f>
        <v>51.301499999999997</v>
      </c>
      <c r="Q711" s="14">
        <f>CHOOSE(CONTROL!$C$42, 51.8332, 51.8332) * CHOOSE(CONTROL!$C$21, $C$9, 100%, $E$9)</f>
        <v>51.833199999999998</v>
      </c>
      <c r="R711" s="14">
        <f>CHOOSE(CONTROL!$C$42, 52.5498, 52.5498) * CHOOSE(CONTROL!$C$21, $C$9, 100%, $E$9)</f>
        <v>52.549799999999998</v>
      </c>
      <c r="S711" s="14">
        <f>CHOOSE(CONTROL!$C$42, 50.0037, 50.0037) * CHOOSE(CONTROL!$C$21, $C$9, 100%, $E$9)</f>
        <v>50.003700000000002</v>
      </c>
      <c r="T7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11" s="56">
        <f>(1000*CHOOSE(CONTROL!$C$42, 695, 695)*CHOOSE(CONTROL!$C$42, 0.5599, 0.5599)*CHOOSE(CONTROL!$C$42, 31, 31))/1000000</f>
        <v>12.063045499999998</v>
      </c>
      <c r="V711" s="56">
        <f>(1000*CHOOSE(CONTROL!$C$42, 500, 500)*CHOOSE(CONTROL!$C$42, 0.275, 0.275)*CHOOSE(CONTROL!$C$42, 31, 31))/1000000</f>
        <v>4.2625000000000002</v>
      </c>
      <c r="W711" s="56">
        <f>(1000*CHOOSE(CONTROL!$C$42, 0.1146, 0.1146)*CHOOSE(CONTROL!$C$42, 121.5, 121.5)*CHOOSE(CONTROL!$C$42, 31, 31))/1000000</f>
        <v>0.43164089999999994</v>
      </c>
      <c r="X711" s="56">
        <f>(31*0.1790888*100000/1000000)+(31*0.2374*100000/1000000)</f>
        <v>1.2911152800000001</v>
      </c>
      <c r="Y711" s="56"/>
      <c r="Z711" s="14"/>
      <c r="AA711" s="55"/>
      <c r="AB711" s="49">
        <f>(B711*122.58+C711*297.941+D711*89.177+E711*40.302+F711*40+G711*160+H711*0+I711*100+J711*300)/(122.58+297.941+89.177+40.302+0+40+160+100+300)</f>
        <v>52.089314284086953</v>
      </c>
      <c r="AC711" s="45">
        <f>(M711*'RAP TEMPLATE-GAS AVAILABILITY'!O710+N711*'RAP TEMPLATE-GAS AVAILABILITY'!P710+O711*'RAP TEMPLATE-GAS AVAILABILITY'!Q710+P711*'RAP TEMPLATE-GAS AVAILABILITY'!R710)/('RAP TEMPLATE-GAS AVAILABILITY'!O710+'RAP TEMPLATE-GAS AVAILABILITY'!P710+'RAP TEMPLATE-GAS AVAILABILITY'!Q710+'RAP TEMPLATE-GAS AVAILABILITY'!R710)</f>
        <v>51.207910071942443</v>
      </c>
    </row>
    <row r="712" spans="1:29" ht="15.75" x14ac:dyDescent="0.25">
      <c r="A712" s="32">
        <v>62578</v>
      </c>
      <c r="B712" s="14">
        <f>CHOOSE(CONTROL!$C$42, 51.8925, 51.8925) * CHOOSE(CONTROL!$C$21, $C$9, 100%, $E$9)</f>
        <v>51.892499999999998</v>
      </c>
      <c r="C712" s="14">
        <f>CHOOSE(CONTROL!$C$42, 51.897, 51.897) * CHOOSE(CONTROL!$C$21, $C$9, 100%, $E$9)</f>
        <v>51.896999999999998</v>
      </c>
      <c r="D712" s="14">
        <f>CHOOSE(CONTROL!$C$42, 52.1592, 52.1592) * CHOOSE(CONTROL!$C$21, $C$9, 100%, $E$9)</f>
        <v>52.159199999999998</v>
      </c>
      <c r="E712" s="14">
        <f>CHOOSE(CONTROL!$C$42, 52.1913, 52.1913) * CHOOSE(CONTROL!$C$21, $C$9, 100%, $E$9)</f>
        <v>52.191299999999998</v>
      </c>
      <c r="F712" s="14">
        <f>CHOOSE(CONTROL!$C$42, 51.9153, 51.9153)*CHOOSE(CONTROL!$C$21, $C$9, 100%, $E$9)</f>
        <v>51.915300000000002</v>
      </c>
      <c r="G712" s="14">
        <f>CHOOSE(CONTROL!$C$42, 51.9321, 51.9321)*CHOOSE(CONTROL!$C$21, $C$9, 100%, $E$9)</f>
        <v>51.932099999999998</v>
      </c>
      <c r="H712" s="14">
        <f>CHOOSE(CONTROL!$C$42, 52.1811, 52.1811) * CHOOSE(CONTROL!$C$21, $C$9, 100%, $E$9)</f>
        <v>52.181100000000001</v>
      </c>
      <c r="I712" s="14">
        <f>CHOOSE(CONTROL!$C$42, 52.0775, 52.0775)* CHOOSE(CONTROL!$C$21, $C$9, 100%, $E$9)</f>
        <v>52.077500000000001</v>
      </c>
      <c r="J712" s="14">
        <f>CHOOSE(CONTROL!$C$42, 51.9083, 51.9083)* CHOOSE(CONTROL!$C$21, $C$9, 100%, $E$9)</f>
        <v>51.908299999999997</v>
      </c>
      <c r="K712" s="52">
        <f>CHOOSE(CONTROL!$C$42, 52.0736, 52.0736) * CHOOSE(CONTROL!$C$21, $C$9, 100%, $E$9)</f>
        <v>52.073599999999999</v>
      </c>
      <c r="L712" s="14">
        <f>CHOOSE(CONTROL!$C$42, 52.7681, 52.7681) * CHOOSE(CONTROL!$C$21, $C$9, 100%, $E$9)</f>
        <v>52.768099999999997</v>
      </c>
      <c r="M712" s="14">
        <f>CHOOSE(CONTROL!$C$42, 50.9824, 50.9824) * CHOOSE(CONTROL!$C$21, $C$9, 100%, $E$9)</f>
        <v>50.982399999999998</v>
      </c>
      <c r="N712" s="14">
        <f>CHOOSE(CONTROL!$C$42, 50.9988, 50.9988) * CHOOSE(CONTROL!$C$21, $C$9, 100%, $E$9)</f>
        <v>50.998800000000003</v>
      </c>
      <c r="O712" s="14">
        <f>CHOOSE(CONTROL!$C$42, 51.2503, 51.2503) * CHOOSE(CONTROL!$C$21, $C$9, 100%, $E$9)</f>
        <v>51.250300000000003</v>
      </c>
      <c r="P712" s="14">
        <f>CHOOSE(CONTROL!$C$42, 51.1457, 51.1457) * CHOOSE(CONTROL!$C$21, $C$9, 100%, $E$9)</f>
        <v>51.145699999999998</v>
      </c>
      <c r="Q712" s="14">
        <f>CHOOSE(CONTROL!$C$42, 51.845, 51.845) * CHOOSE(CONTROL!$C$21, $C$9, 100%, $E$9)</f>
        <v>51.844999999999999</v>
      </c>
      <c r="R712" s="14">
        <f>CHOOSE(CONTROL!$C$42, 52.5616, 52.5616) * CHOOSE(CONTROL!$C$21, $C$9, 100%, $E$9)</f>
        <v>52.561599999999999</v>
      </c>
      <c r="S712" s="14">
        <f>CHOOSE(CONTROL!$C$42, 49.8542, 49.8542) * CHOOSE(CONTROL!$C$21, $C$9, 100%, $E$9)</f>
        <v>49.854199999999999</v>
      </c>
      <c r="T7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12" s="56">
        <f>(1000*CHOOSE(CONTROL!$C$42, 695, 695)*CHOOSE(CONTROL!$C$42, 0.5599, 0.5599)*CHOOSE(CONTROL!$C$42, 30, 30))/1000000</f>
        <v>11.673914999999997</v>
      </c>
      <c r="V712" s="56">
        <f>(1000*CHOOSE(CONTROL!$C$42, 500, 500)*CHOOSE(CONTROL!$C$42, 0.275, 0.275)*CHOOSE(CONTROL!$C$42, 30, 30))/1000000</f>
        <v>4.125</v>
      </c>
      <c r="W712" s="56">
        <f>(1000*CHOOSE(CONTROL!$C$42, 0.1146, 0.1146)*CHOOSE(CONTROL!$C$42, 121.5, 121.5)*CHOOSE(CONTROL!$C$42, 30, 30))/1000000</f>
        <v>0.417717</v>
      </c>
      <c r="X712" s="56">
        <f>(30*0.1790888*245000/1000000)+(30*0.2374*100000/1000000)</f>
        <v>2.0285026799999999</v>
      </c>
      <c r="Y712" s="56"/>
      <c r="Z712" s="14"/>
      <c r="AA712" s="55"/>
      <c r="AB712" s="49">
        <f>(B712*141.293+C712*267.993+D712*115.016+E712*89.698+F712*40+G712*185+H712*0+I712*100+J712*300)/(141.293+267.993+115.016+89.698+0+40+185+100+300)</f>
        <v>51.965268763599681</v>
      </c>
      <c r="AC712" s="45">
        <f>(M712*'RAP TEMPLATE-GAS AVAILABILITY'!O711+N712*'RAP TEMPLATE-GAS AVAILABILITY'!P711+O712*'RAP TEMPLATE-GAS AVAILABILITY'!Q711+P712*'RAP TEMPLATE-GAS AVAILABILITY'!R711)/('RAP TEMPLATE-GAS AVAILABILITY'!O711+'RAP TEMPLATE-GAS AVAILABILITY'!P711+'RAP TEMPLATE-GAS AVAILABILITY'!Q711+'RAP TEMPLATE-GAS AVAILABILITY'!R711)</f>
        <v>51.128262589928063</v>
      </c>
    </row>
    <row r="713" spans="1:29" ht="15.75" x14ac:dyDescent="0.25">
      <c r="A713" s="32">
        <v>62609</v>
      </c>
      <c r="B713" s="14">
        <f>CHOOSE(CONTROL!$C$42, 52.3518, 52.3518) * CHOOSE(CONTROL!$C$21, $C$9, 100%, $E$9)</f>
        <v>52.351799999999997</v>
      </c>
      <c r="C713" s="14">
        <f>CHOOSE(CONTROL!$C$42, 52.3599, 52.3599) * CHOOSE(CONTROL!$C$21, $C$9, 100%, $E$9)</f>
        <v>52.359900000000003</v>
      </c>
      <c r="D713" s="14">
        <f>CHOOSE(CONTROL!$C$42, 52.6189, 52.6189) * CHOOSE(CONTROL!$C$21, $C$9, 100%, $E$9)</f>
        <v>52.618899999999996</v>
      </c>
      <c r="E713" s="14">
        <f>CHOOSE(CONTROL!$C$42, 52.6504, 52.6504) * CHOOSE(CONTROL!$C$21, $C$9, 100%, $E$9)</f>
        <v>52.650399999999998</v>
      </c>
      <c r="F713" s="14">
        <f>CHOOSE(CONTROL!$C$42, 52.3734, 52.3734)*CHOOSE(CONTROL!$C$21, $C$9, 100%, $E$9)</f>
        <v>52.373399999999997</v>
      </c>
      <c r="G713" s="14">
        <f>CHOOSE(CONTROL!$C$42, 52.3903, 52.3903)*CHOOSE(CONTROL!$C$21, $C$9, 100%, $E$9)</f>
        <v>52.390300000000003</v>
      </c>
      <c r="H713" s="14">
        <f>CHOOSE(CONTROL!$C$42, 52.639, 52.639) * CHOOSE(CONTROL!$C$21, $C$9, 100%, $E$9)</f>
        <v>52.639000000000003</v>
      </c>
      <c r="I713" s="14">
        <f>CHOOSE(CONTROL!$C$42, 52.5369, 52.5369)* CHOOSE(CONTROL!$C$21, $C$9, 100%, $E$9)</f>
        <v>52.536900000000003</v>
      </c>
      <c r="J713" s="14">
        <f>CHOOSE(CONTROL!$C$42, 52.3664, 52.3664)* CHOOSE(CONTROL!$C$21, $C$9, 100%, $E$9)</f>
        <v>52.366399999999999</v>
      </c>
      <c r="K713" s="52">
        <f>CHOOSE(CONTROL!$C$42, 52.533, 52.533) * CHOOSE(CONTROL!$C$21, $C$9, 100%, $E$9)</f>
        <v>52.533000000000001</v>
      </c>
      <c r="L713" s="14">
        <f>CHOOSE(CONTROL!$C$42, 53.226, 53.226) * CHOOSE(CONTROL!$C$21, $C$9, 100%, $E$9)</f>
        <v>53.225999999999999</v>
      </c>
      <c r="M713" s="14">
        <f>CHOOSE(CONTROL!$C$42, 51.4322, 51.4322) * CHOOSE(CONTROL!$C$21, $C$9, 100%, $E$9)</f>
        <v>51.432200000000002</v>
      </c>
      <c r="N713" s="14">
        <f>CHOOSE(CONTROL!$C$42, 51.4488, 51.4488) * CHOOSE(CONTROL!$C$21, $C$9, 100%, $E$9)</f>
        <v>51.448799999999999</v>
      </c>
      <c r="O713" s="14">
        <f>CHOOSE(CONTROL!$C$42, 51.6999, 51.6999) * CHOOSE(CONTROL!$C$21, $C$9, 100%, $E$9)</f>
        <v>51.6999</v>
      </c>
      <c r="P713" s="14">
        <f>CHOOSE(CONTROL!$C$42, 51.5968, 51.5968) * CHOOSE(CONTROL!$C$21, $C$9, 100%, $E$9)</f>
        <v>51.596800000000002</v>
      </c>
      <c r="Q713" s="14">
        <f>CHOOSE(CONTROL!$C$42, 52.2946, 52.2946) * CHOOSE(CONTROL!$C$21, $C$9, 100%, $E$9)</f>
        <v>52.294600000000003</v>
      </c>
      <c r="R713" s="14">
        <f>CHOOSE(CONTROL!$C$42, 53.0124, 53.0124) * CHOOSE(CONTROL!$C$21, $C$9, 100%, $E$9)</f>
        <v>53.0124</v>
      </c>
      <c r="S713" s="14">
        <f>CHOOSE(CONTROL!$C$42, 50.2942, 50.2942) * CHOOSE(CONTROL!$C$21, $C$9, 100%, $E$9)</f>
        <v>50.294199999999996</v>
      </c>
      <c r="T7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13" s="56">
        <f>(1000*CHOOSE(CONTROL!$C$42, 695, 695)*CHOOSE(CONTROL!$C$42, 0.5599, 0.5599)*CHOOSE(CONTROL!$C$42, 31, 31))/1000000</f>
        <v>12.063045499999998</v>
      </c>
      <c r="V713" s="56">
        <f>(1000*CHOOSE(CONTROL!$C$42, 500, 500)*CHOOSE(CONTROL!$C$42, 0.275, 0.275)*CHOOSE(CONTROL!$C$42, 31, 31))/1000000</f>
        <v>4.2625000000000002</v>
      </c>
      <c r="W713" s="56">
        <f>(1000*CHOOSE(CONTROL!$C$42, 0.1146, 0.1146)*CHOOSE(CONTROL!$C$42, 121.5, 121.5)*CHOOSE(CONTROL!$C$42, 31, 31))/1000000</f>
        <v>0.43164089999999994</v>
      </c>
      <c r="X713" s="56">
        <f>(31*0.1790888*245000/1000000)+(31*0.2374*100000/1000000)</f>
        <v>2.0961194359999999</v>
      </c>
      <c r="Y713" s="56"/>
      <c r="Z713" s="14"/>
      <c r="AA713" s="55"/>
      <c r="AB713" s="49">
        <f>(B713*194.205+C713*267.466+D713*133.845+E713*53.484+F713*40+G713*185+H713*0+I713*100+J713*300)/(194.205+267.466+133.845+53.484+0+40+185+100+300)</f>
        <v>52.418333199764525</v>
      </c>
      <c r="AC713" s="45">
        <f>(M713*'RAP TEMPLATE-GAS AVAILABILITY'!O712+N713*'RAP TEMPLATE-GAS AVAILABILITY'!P712+O713*'RAP TEMPLATE-GAS AVAILABILITY'!Q712+P713*'RAP TEMPLATE-GAS AVAILABILITY'!R712)/('RAP TEMPLATE-GAS AVAILABILITY'!O712+'RAP TEMPLATE-GAS AVAILABILITY'!P712+'RAP TEMPLATE-GAS AVAILABILITY'!Q712+'RAP TEMPLATE-GAS AVAILABILITY'!R712)</f>
        <v>51.578170503597129</v>
      </c>
    </row>
    <row r="714" spans="1:29" ht="15.75" x14ac:dyDescent="0.25">
      <c r="A714" s="32">
        <v>62639</v>
      </c>
      <c r="B714" s="14">
        <f>CHOOSE(CONTROL!$C$42, 53.8365, 53.8365) * CHOOSE(CONTROL!$C$21, $C$9, 100%, $E$9)</f>
        <v>53.836500000000001</v>
      </c>
      <c r="C714" s="14">
        <f>CHOOSE(CONTROL!$C$42, 53.8446, 53.8446) * CHOOSE(CONTROL!$C$21, $C$9, 100%, $E$9)</f>
        <v>53.8446</v>
      </c>
      <c r="D714" s="14">
        <f>CHOOSE(CONTROL!$C$42, 54.1036, 54.1036) * CHOOSE(CONTROL!$C$21, $C$9, 100%, $E$9)</f>
        <v>54.1036</v>
      </c>
      <c r="E714" s="14">
        <f>CHOOSE(CONTROL!$C$42, 54.1351, 54.1351) * CHOOSE(CONTROL!$C$21, $C$9, 100%, $E$9)</f>
        <v>54.135100000000001</v>
      </c>
      <c r="F714" s="14">
        <f>CHOOSE(CONTROL!$C$42, 53.8583, 53.8583)*CHOOSE(CONTROL!$C$21, $C$9, 100%, $E$9)</f>
        <v>53.8583</v>
      </c>
      <c r="G714" s="14">
        <f>CHOOSE(CONTROL!$C$42, 53.8753, 53.8753)*CHOOSE(CONTROL!$C$21, $C$9, 100%, $E$9)</f>
        <v>53.875300000000003</v>
      </c>
      <c r="H714" s="14">
        <f>CHOOSE(CONTROL!$C$42, 54.1237, 54.1237) * CHOOSE(CONTROL!$C$21, $C$9, 100%, $E$9)</f>
        <v>54.123699999999999</v>
      </c>
      <c r="I714" s="14">
        <f>CHOOSE(CONTROL!$C$42, 54.0262, 54.0262)* CHOOSE(CONTROL!$C$21, $C$9, 100%, $E$9)</f>
        <v>54.026200000000003</v>
      </c>
      <c r="J714" s="14">
        <f>CHOOSE(CONTROL!$C$42, 53.8513, 53.8513)* CHOOSE(CONTROL!$C$21, $C$9, 100%, $E$9)</f>
        <v>53.851300000000002</v>
      </c>
      <c r="K714" s="52">
        <f>CHOOSE(CONTROL!$C$42, 54.0223, 54.0223) * CHOOSE(CONTROL!$C$21, $C$9, 100%, $E$9)</f>
        <v>54.022300000000001</v>
      </c>
      <c r="L714" s="14">
        <f>CHOOSE(CONTROL!$C$42, 54.7107, 54.7107) * CHOOSE(CONTROL!$C$21, $C$9, 100%, $E$9)</f>
        <v>54.710700000000003</v>
      </c>
      <c r="M714" s="14">
        <f>CHOOSE(CONTROL!$C$42, 52.8904, 52.8904) * CHOOSE(CONTROL!$C$21, $C$9, 100%, $E$9)</f>
        <v>52.8904</v>
      </c>
      <c r="N714" s="14">
        <f>CHOOSE(CONTROL!$C$42, 52.9071, 52.9071) * CHOOSE(CONTROL!$C$21, $C$9, 100%, $E$9)</f>
        <v>52.9071</v>
      </c>
      <c r="O714" s="14">
        <f>CHOOSE(CONTROL!$C$42, 53.1579, 53.1579) * CHOOSE(CONTROL!$C$21, $C$9, 100%, $E$9)</f>
        <v>53.157899999999998</v>
      </c>
      <c r="P714" s="14">
        <f>CHOOSE(CONTROL!$C$42, 53.0593, 53.0593) * CHOOSE(CONTROL!$C$21, $C$9, 100%, $E$9)</f>
        <v>53.0593</v>
      </c>
      <c r="Q714" s="14">
        <f>CHOOSE(CONTROL!$C$42, 53.7526, 53.7526) * CHOOSE(CONTROL!$C$21, $C$9, 100%, $E$9)</f>
        <v>53.752600000000001</v>
      </c>
      <c r="R714" s="14">
        <f>CHOOSE(CONTROL!$C$42, 54.474, 54.474) * CHOOSE(CONTROL!$C$21, $C$9, 100%, $E$9)</f>
        <v>54.473999999999997</v>
      </c>
      <c r="S714" s="14">
        <f>CHOOSE(CONTROL!$C$42, 51.7209, 51.7209) * CHOOSE(CONTROL!$C$21, $C$9, 100%, $E$9)</f>
        <v>51.7209</v>
      </c>
      <c r="T7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14" s="56">
        <f>(1000*CHOOSE(CONTROL!$C$42, 695, 695)*CHOOSE(CONTROL!$C$42, 0.5599, 0.5599)*CHOOSE(CONTROL!$C$42, 30, 30))/1000000</f>
        <v>11.673914999999997</v>
      </c>
      <c r="V714" s="56">
        <f>(1000*CHOOSE(CONTROL!$C$42, 500, 500)*CHOOSE(CONTROL!$C$42, 0.275, 0.275)*CHOOSE(CONTROL!$C$42, 30, 30))/1000000</f>
        <v>4.125</v>
      </c>
      <c r="W714" s="56">
        <f>(1000*CHOOSE(CONTROL!$C$42, 0.1146, 0.1146)*CHOOSE(CONTROL!$C$42, 121.5, 121.5)*CHOOSE(CONTROL!$C$42, 30, 30))/1000000</f>
        <v>0.417717</v>
      </c>
      <c r="X714" s="56">
        <f>(30*0.1790888*245000/1000000)+(30*0.2374*100000/1000000)</f>
        <v>2.0285026799999999</v>
      </c>
      <c r="Y714" s="56"/>
      <c r="Z714" s="14"/>
      <c r="AA714" s="55"/>
      <c r="AB714" s="49">
        <f>(B714*194.205+C714*267.466+D714*133.845+E714*53.484+F714*40+G714*185+H714*0+I714*100+J714*300)/(194.205+267.466+133.845+53.484+0+40+185+100+300)</f>
        <v>53.903491206043967</v>
      </c>
      <c r="AC714" s="45">
        <f>(M714*'RAP TEMPLATE-GAS AVAILABILITY'!O713+N714*'RAP TEMPLATE-GAS AVAILABILITY'!P713+O714*'RAP TEMPLATE-GAS AVAILABILITY'!Q713+P714*'RAP TEMPLATE-GAS AVAILABILITY'!R713)/('RAP TEMPLATE-GAS AVAILABILITY'!O713+'RAP TEMPLATE-GAS AVAILABILITY'!P713+'RAP TEMPLATE-GAS AVAILABILITY'!Q713+'RAP TEMPLATE-GAS AVAILABILITY'!R713)</f>
        <v>53.036904316546753</v>
      </c>
    </row>
    <row r="715" spans="1:29" ht="15.75" x14ac:dyDescent="0.25">
      <c r="A715" s="32">
        <v>62670</v>
      </c>
      <c r="B715" s="14">
        <f>CHOOSE(CONTROL!$C$42, 52.8039, 52.8039) * CHOOSE(CONTROL!$C$21, $C$9, 100%, $E$9)</f>
        <v>52.803899999999999</v>
      </c>
      <c r="C715" s="14">
        <f>CHOOSE(CONTROL!$C$42, 52.8119, 52.8119) * CHOOSE(CONTROL!$C$21, $C$9, 100%, $E$9)</f>
        <v>52.811900000000001</v>
      </c>
      <c r="D715" s="14">
        <f>CHOOSE(CONTROL!$C$42, 53.071, 53.071) * CHOOSE(CONTROL!$C$21, $C$9, 100%, $E$9)</f>
        <v>53.070999999999998</v>
      </c>
      <c r="E715" s="14">
        <f>CHOOSE(CONTROL!$C$42, 53.1025, 53.1025) * CHOOSE(CONTROL!$C$21, $C$9, 100%, $E$9)</f>
        <v>53.102499999999999</v>
      </c>
      <c r="F715" s="14">
        <f>CHOOSE(CONTROL!$C$42, 52.8261, 52.8261)*CHOOSE(CONTROL!$C$21, $C$9, 100%, $E$9)</f>
        <v>52.826099999999997</v>
      </c>
      <c r="G715" s="14">
        <f>CHOOSE(CONTROL!$C$42, 52.8433, 52.8433)*CHOOSE(CONTROL!$C$21, $C$9, 100%, $E$9)</f>
        <v>52.843299999999999</v>
      </c>
      <c r="H715" s="14">
        <f>CHOOSE(CONTROL!$C$42, 53.0911, 53.0911) * CHOOSE(CONTROL!$C$21, $C$9, 100%, $E$9)</f>
        <v>53.091099999999997</v>
      </c>
      <c r="I715" s="14">
        <f>CHOOSE(CONTROL!$C$42, 52.9904, 52.9904)* CHOOSE(CONTROL!$C$21, $C$9, 100%, $E$9)</f>
        <v>52.990400000000001</v>
      </c>
      <c r="J715" s="14">
        <f>CHOOSE(CONTROL!$C$42, 52.8191, 52.8191)* CHOOSE(CONTROL!$C$21, $C$9, 100%, $E$9)</f>
        <v>52.819099999999999</v>
      </c>
      <c r="K715" s="52">
        <f>CHOOSE(CONTROL!$C$42, 52.9865, 52.9865) * CHOOSE(CONTROL!$C$21, $C$9, 100%, $E$9)</f>
        <v>52.986499999999999</v>
      </c>
      <c r="L715" s="14">
        <f>CHOOSE(CONTROL!$C$42, 53.6781, 53.6781) * CHOOSE(CONTROL!$C$21, $C$9, 100%, $E$9)</f>
        <v>53.678100000000001</v>
      </c>
      <c r="M715" s="14">
        <f>CHOOSE(CONTROL!$C$42, 51.8768, 51.8768) * CHOOSE(CONTROL!$C$21, $C$9, 100%, $E$9)</f>
        <v>51.876800000000003</v>
      </c>
      <c r="N715" s="14">
        <f>CHOOSE(CONTROL!$C$42, 51.8936, 51.8936) * CHOOSE(CONTROL!$C$21, $C$9, 100%, $E$9)</f>
        <v>51.893599999999999</v>
      </c>
      <c r="O715" s="14">
        <f>CHOOSE(CONTROL!$C$42, 52.1439, 52.1439) * CHOOSE(CONTROL!$C$21, $C$9, 100%, $E$9)</f>
        <v>52.143900000000002</v>
      </c>
      <c r="P715" s="14">
        <f>CHOOSE(CONTROL!$C$42, 52.0421, 52.0421) * CHOOSE(CONTROL!$C$21, $C$9, 100%, $E$9)</f>
        <v>52.042099999999998</v>
      </c>
      <c r="Q715" s="14">
        <f>CHOOSE(CONTROL!$C$42, 52.7386, 52.7386) * CHOOSE(CONTROL!$C$21, $C$9, 100%, $E$9)</f>
        <v>52.738599999999998</v>
      </c>
      <c r="R715" s="14">
        <f>CHOOSE(CONTROL!$C$42, 53.4574, 53.4574) * CHOOSE(CONTROL!$C$21, $C$9, 100%, $E$9)</f>
        <v>53.4574</v>
      </c>
      <c r="S715" s="14">
        <f>CHOOSE(CONTROL!$C$42, 50.7286, 50.7286) * CHOOSE(CONTROL!$C$21, $C$9, 100%, $E$9)</f>
        <v>50.7286</v>
      </c>
      <c r="T7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15" s="56">
        <f>(1000*CHOOSE(CONTROL!$C$42, 695, 695)*CHOOSE(CONTROL!$C$42, 0.5599, 0.5599)*CHOOSE(CONTROL!$C$42, 31, 31))/1000000</f>
        <v>12.063045499999998</v>
      </c>
      <c r="V715" s="56">
        <f>(1000*CHOOSE(CONTROL!$C$42, 500, 500)*CHOOSE(CONTROL!$C$42, 0.275, 0.275)*CHOOSE(CONTROL!$C$42, 31, 31))/1000000</f>
        <v>4.2625000000000002</v>
      </c>
      <c r="W715" s="56">
        <f>(1000*CHOOSE(CONTROL!$C$42, 0.1146, 0.1146)*CHOOSE(CONTROL!$C$42, 121.5, 121.5)*CHOOSE(CONTROL!$C$42, 31, 31))/1000000</f>
        <v>0.43164089999999994</v>
      </c>
      <c r="X715" s="56">
        <f>(31*0.1790888*245000/1000000)+(31*0.2374*100000/1000000)</f>
        <v>2.0961194359999999</v>
      </c>
      <c r="Y715" s="56"/>
      <c r="Z715" s="14"/>
      <c r="AA715" s="55"/>
      <c r="AB715" s="49">
        <f>(B715*194.205+C715*267.466+D715*133.845+E715*53.484+F715*40+G715*185+H715*0+I715*100+J715*300)/(194.205+267.466+133.845+53.484+0+40+185+100+300)</f>
        <v>52.870812912009427</v>
      </c>
      <c r="AC715" s="45">
        <f>(M715*'RAP TEMPLATE-GAS AVAILABILITY'!O714+N715*'RAP TEMPLATE-GAS AVAILABILITY'!P714+O715*'RAP TEMPLATE-GAS AVAILABILITY'!Q714+P715*'RAP TEMPLATE-GAS AVAILABILITY'!R714)/('RAP TEMPLATE-GAS AVAILABILITY'!O714+'RAP TEMPLATE-GAS AVAILABILITY'!P714+'RAP TEMPLATE-GAS AVAILABILITY'!Q714+'RAP TEMPLATE-GAS AVAILABILITY'!R714)</f>
        <v>52.022610791366908</v>
      </c>
    </row>
    <row r="716" spans="1:29" ht="15.75" x14ac:dyDescent="0.25">
      <c r="A716" s="32">
        <v>62701</v>
      </c>
      <c r="B716" s="14">
        <f>CHOOSE(CONTROL!$C$42, 50.1962, 50.1962) * CHOOSE(CONTROL!$C$21, $C$9, 100%, $E$9)</f>
        <v>50.196199999999997</v>
      </c>
      <c r="C716" s="14">
        <f>CHOOSE(CONTROL!$C$42, 50.2043, 50.2043) * CHOOSE(CONTROL!$C$21, $C$9, 100%, $E$9)</f>
        <v>50.204300000000003</v>
      </c>
      <c r="D716" s="14">
        <f>CHOOSE(CONTROL!$C$42, 50.4634, 50.4634) * CHOOSE(CONTROL!$C$21, $C$9, 100%, $E$9)</f>
        <v>50.4634</v>
      </c>
      <c r="E716" s="14">
        <f>CHOOSE(CONTROL!$C$42, 50.4948, 50.4948) * CHOOSE(CONTROL!$C$21, $C$9, 100%, $E$9)</f>
        <v>50.494799999999998</v>
      </c>
      <c r="F716" s="14">
        <f>CHOOSE(CONTROL!$C$42, 50.2186, 50.2186)*CHOOSE(CONTROL!$C$21, $C$9, 100%, $E$9)</f>
        <v>50.218600000000002</v>
      </c>
      <c r="G716" s="14">
        <f>CHOOSE(CONTROL!$C$42, 50.2358, 50.2358)*CHOOSE(CONTROL!$C$21, $C$9, 100%, $E$9)</f>
        <v>50.235799999999998</v>
      </c>
      <c r="H716" s="14">
        <f>CHOOSE(CONTROL!$C$42, 50.4835, 50.4835) * CHOOSE(CONTROL!$C$21, $C$9, 100%, $E$9)</f>
        <v>50.483499999999999</v>
      </c>
      <c r="I716" s="14">
        <f>CHOOSE(CONTROL!$C$42, 50.3745, 50.3745)* CHOOSE(CONTROL!$C$21, $C$9, 100%, $E$9)</f>
        <v>50.374499999999998</v>
      </c>
      <c r="J716" s="14">
        <f>CHOOSE(CONTROL!$C$42, 50.2116, 50.2116)* CHOOSE(CONTROL!$C$21, $C$9, 100%, $E$9)</f>
        <v>50.211599999999997</v>
      </c>
      <c r="K716" s="52">
        <f>CHOOSE(CONTROL!$C$42, 50.3707, 50.3707) * CHOOSE(CONTROL!$C$21, $C$9, 100%, $E$9)</f>
        <v>50.370699999999999</v>
      </c>
      <c r="L716" s="14">
        <f>CHOOSE(CONTROL!$C$42, 51.0705, 51.0705) * CHOOSE(CONTROL!$C$21, $C$9, 100%, $E$9)</f>
        <v>51.070500000000003</v>
      </c>
      <c r="M716" s="14">
        <f>CHOOSE(CONTROL!$C$42, 49.3162, 49.3162) * CHOOSE(CONTROL!$C$21, $C$9, 100%, $E$9)</f>
        <v>49.316200000000002</v>
      </c>
      <c r="N716" s="14">
        <f>CHOOSE(CONTROL!$C$42, 49.3331, 49.3331) * CHOOSE(CONTROL!$C$21, $C$9, 100%, $E$9)</f>
        <v>49.333100000000002</v>
      </c>
      <c r="O716" s="14">
        <f>CHOOSE(CONTROL!$C$42, 49.5831, 49.5831) * CHOOSE(CONTROL!$C$21, $C$9, 100%, $E$9)</f>
        <v>49.583100000000002</v>
      </c>
      <c r="P716" s="14">
        <f>CHOOSE(CONTROL!$C$42, 49.4734, 49.4734) * CHOOSE(CONTROL!$C$21, $C$9, 100%, $E$9)</f>
        <v>49.473399999999998</v>
      </c>
      <c r="Q716" s="14">
        <f>CHOOSE(CONTROL!$C$42, 50.1778, 50.1778) * CHOOSE(CONTROL!$C$21, $C$9, 100%, $E$9)</f>
        <v>50.177799999999998</v>
      </c>
      <c r="R716" s="14">
        <f>CHOOSE(CONTROL!$C$42, 50.8903, 50.8903) * CHOOSE(CONTROL!$C$21, $C$9, 100%, $E$9)</f>
        <v>50.890300000000003</v>
      </c>
      <c r="S716" s="14">
        <f>CHOOSE(CONTROL!$C$42, 48.2229, 48.2229) * CHOOSE(CONTROL!$C$21, $C$9, 100%, $E$9)</f>
        <v>48.222900000000003</v>
      </c>
      <c r="T7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716" s="56">
        <f>(1000*CHOOSE(CONTROL!$C$42, 695, 695)*CHOOSE(CONTROL!$C$42, 0.5599, 0.5599)*CHOOSE(CONTROL!$C$42, 31, 31))/1000000</f>
        <v>12.063045499999998</v>
      </c>
      <c r="V716" s="56">
        <f>(1000*CHOOSE(CONTROL!$C$42, 500, 500)*CHOOSE(CONTROL!$C$42, 0.275, 0.275)*CHOOSE(CONTROL!$C$42, 31, 31))/1000000</f>
        <v>4.2625000000000002</v>
      </c>
      <c r="W716" s="56">
        <f>(1000*CHOOSE(CONTROL!$C$42, 0.1146, 0.1146)*CHOOSE(CONTROL!$C$42, 121.5, 121.5)*CHOOSE(CONTROL!$C$42, 31, 31))/1000000</f>
        <v>0.43164089999999994</v>
      </c>
      <c r="X716" s="56">
        <f>(31*0.1790888*245000/1000000)+(31*0.2374*100000/1000000)</f>
        <v>2.0961194359999999</v>
      </c>
      <c r="Y716" s="56"/>
      <c r="Z716" s="14"/>
      <c r="AA716" s="55"/>
      <c r="AB716" s="49">
        <f>(B716*194.205+C716*267.466+D716*133.845+E716*53.484+F716*40+G716*185+H716*0+I716*100+J716*300)/(194.205+267.466+133.845+53.484+0+40+185+100+300)</f>
        <v>50.262583187598118</v>
      </c>
      <c r="AC716" s="45">
        <f>(M716*'RAP TEMPLATE-GAS AVAILABILITY'!O715+N716*'RAP TEMPLATE-GAS AVAILABILITY'!P715+O716*'RAP TEMPLATE-GAS AVAILABILITY'!Q715+P716*'RAP TEMPLATE-GAS AVAILABILITY'!R715)/('RAP TEMPLATE-GAS AVAILABILITY'!O715+'RAP TEMPLATE-GAS AVAILABILITY'!P715+'RAP TEMPLATE-GAS AVAILABILITY'!Q715+'RAP TEMPLATE-GAS AVAILABILITY'!R715)</f>
        <v>49.46076043165467</v>
      </c>
    </row>
    <row r="717" spans="1:29" ht="15.75" x14ac:dyDescent="0.25">
      <c r="A717" s="32">
        <v>62731</v>
      </c>
      <c r="B717" s="14">
        <f>CHOOSE(CONTROL!$C$42, 47.0099, 47.0099) * CHOOSE(CONTROL!$C$21, $C$9, 100%, $E$9)</f>
        <v>47.009900000000002</v>
      </c>
      <c r="C717" s="14">
        <f>CHOOSE(CONTROL!$C$42, 47.0179, 47.0179) * CHOOSE(CONTROL!$C$21, $C$9, 100%, $E$9)</f>
        <v>47.017899999999997</v>
      </c>
      <c r="D717" s="14">
        <f>CHOOSE(CONTROL!$C$42, 47.277, 47.277) * CHOOSE(CONTROL!$C$21, $C$9, 100%, $E$9)</f>
        <v>47.277000000000001</v>
      </c>
      <c r="E717" s="14">
        <f>CHOOSE(CONTROL!$C$42, 47.3085, 47.3085) * CHOOSE(CONTROL!$C$21, $C$9, 100%, $E$9)</f>
        <v>47.308500000000002</v>
      </c>
      <c r="F717" s="14">
        <f>CHOOSE(CONTROL!$C$42, 47.0324, 47.0324)*CHOOSE(CONTROL!$C$21, $C$9, 100%, $E$9)</f>
        <v>47.032400000000003</v>
      </c>
      <c r="G717" s="14">
        <f>CHOOSE(CONTROL!$C$42, 47.0496, 47.0496)*CHOOSE(CONTROL!$C$21, $C$9, 100%, $E$9)</f>
        <v>47.049599999999998</v>
      </c>
      <c r="H717" s="14">
        <f>CHOOSE(CONTROL!$C$42, 47.2971, 47.2971) * CHOOSE(CONTROL!$C$21, $C$9, 100%, $E$9)</f>
        <v>47.2971</v>
      </c>
      <c r="I717" s="14">
        <f>CHOOSE(CONTROL!$C$42, 47.1782, 47.1782)* CHOOSE(CONTROL!$C$21, $C$9, 100%, $E$9)</f>
        <v>47.178199999999997</v>
      </c>
      <c r="J717" s="14">
        <f>CHOOSE(CONTROL!$C$42, 47.0254, 47.0254)* CHOOSE(CONTROL!$C$21, $C$9, 100%, $E$9)</f>
        <v>47.025399999999998</v>
      </c>
      <c r="K717" s="52">
        <f>CHOOSE(CONTROL!$C$42, 47.1744, 47.1744) * CHOOSE(CONTROL!$C$21, $C$9, 100%, $E$9)</f>
        <v>47.174399999999999</v>
      </c>
      <c r="L717" s="14">
        <f>CHOOSE(CONTROL!$C$42, 47.8841, 47.8841) * CHOOSE(CONTROL!$C$21, $C$9, 100%, $E$9)</f>
        <v>47.884099999999997</v>
      </c>
      <c r="M717" s="14">
        <f>CHOOSE(CONTROL!$C$42, 46.1873, 46.1873) * CHOOSE(CONTROL!$C$21, $C$9, 100%, $E$9)</f>
        <v>46.1873</v>
      </c>
      <c r="N717" s="14">
        <f>CHOOSE(CONTROL!$C$42, 46.2042, 46.2042) * CHOOSE(CONTROL!$C$21, $C$9, 100%, $E$9)</f>
        <v>46.2042</v>
      </c>
      <c r="O717" s="14">
        <f>CHOOSE(CONTROL!$C$42, 46.4541, 46.4541) * CHOOSE(CONTROL!$C$21, $C$9, 100%, $E$9)</f>
        <v>46.454099999999997</v>
      </c>
      <c r="P717" s="14">
        <f>CHOOSE(CONTROL!$C$42, 46.3348, 46.3348) * CHOOSE(CONTROL!$C$21, $C$9, 100%, $E$9)</f>
        <v>46.334800000000001</v>
      </c>
      <c r="Q717" s="14">
        <f>CHOOSE(CONTROL!$C$42, 47.0488, 47.0488) * CHOOSE(CONTROL!$C$21, $C$9, 100%, $E$9)</f>
        <v>47.0488</v>
      </c>
      <c r="R717" s="14">
        <f>CHOOSE(CONTROL!$C$42, 47.7534, 47.7534) * CHOOSE(CONTROL!$C$21, $C$9, 100%, $E$9)</f>
        <v>47.753399999999999</v>
      </c>
      <c r="S717" s="14">
        <f>CHOOSE(CONTROL!$C$42, 45.1612, 45.1612) * CHOOSE(CONTROL!$C$21, $C$9, 100%, $E$9)</f>
        <v>45.161200000000001</v>
      </c>
      <c r="T7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717" s="56">
        <f>(1000*CHOOSE(CONTROL!$C$42, 695, 695)*CHOOSE(CONTROL!$C$42, 0.5599, 0.5599)*CHOOSE(CONTROL!$C$42, 30, 30))/1000000</f>
        <v>11.673914999999997</v>
      </c>
      <c r="V717" s="56">
        <f>(1000*CHOOSE(CONTROL!$C$42, 500, 500)*CHOOSE(CONTROL!$C$42, 0.275, 0.275)*CHOOSE(CONTROL!$C$42, 30, 30))/1000000</f>
        <v>4.125</v>
      </c>
      <c r="W717" s="56">
        <f>(1000*CHOOSE(CONTROL!$C$42, 0.1146, 0.1146)*CHOOSE(CONTROL!$C$42, 121.5, 121.5)*CHOOSE(CONTROL!$C$42, 30, 30))/1000000</f>
        <v>0.417717</v>
      </c>
      <c r="X717" s="56">
        <f>(30*0.1790888*245000/1000000)+(30*0.2374*100000/1000000)</f>
        <v>2.0285026799999999</v>
      </c>
      <c r="Y717" s="56"/>
      <c r="Z717" s="14"/>
      <c r="AA717" s="55"/>
      <c r="AB717" s="49">
        <f>(B717*194.205+C717*267.466+D717*133.845+E717*53.484+F717*40+G717*185+H717*0+I717*100+J717*300)/(194.205+267.466+133.845+53.484+0+40+185+100+300)</f>
        <v>47.075507966954483</v>
      </c>
      <c r="AC717" s="45">
        <f>(M717*'RAP TEMPLATE-GAS AVAILABILITY'!O716+N717*'RAP TEMPLATE-GAS AVAILABILITY'!P716+O717*'RAP TEMPLATE-GAS AVAILABILITY'!Q716+P717*'RAP TEMPLATE-GAS AVAILABILITY'!R716)/('RAP TEMPLATE-GAS AVAILABILITY'!O716+'RAP TEMPLATE-GAS AVAILABILITY'!P716+'RAP TEMPLATE-GAS AVAILABILITY'!Q716+'RAP TEMPLATE-GAS AVAILABILITY'!R716)</f>
        <v>46.33041942446043</v>
      </c>
    </row>
    <row r="718" spans="1:29" ht="15.75" x14ac:dyDescent="0.25">
      <c r="A718" s="32">
        <v>62762</v>
      </c>
      <c r="B718" s="14">
        <f>CHOOSE(CONTROL!$C$42, 46.0539, 46.0539) * CHOOSE(CONTROL!$C$21, $C$9, 100%, $E$9)</f>
        <v>46.053899999999999</v>
      </c>
      <c r="C718" s="14">
        <f>CHOOSE(CONTROL!$C$42, 46.0592, 46.0592) * CHOOSE(CONTROL!$C$21, $C$9, 100%, $E$9)</f>
        <v>46.059199999999997</v>
      </c>
      <c r="D718" s="14">
        <f>CHOOSE(CONTROL!$C$42, 46.3233, 46.3233) * CHOOSE(CONTROL!$C$21, $C$9, 100%, $E$9)</f>
        <v>46.323300000000003</v>
      </c>
      <c r="E718" s="14">
        <f>CHOOSE(CONTROL!$C$42, 46.3524, 46.3524) * CHOOSE(CONTROL!$C$21, $C$9, 100%, $E$9)</f>
        <v>46.352400000000003</v>
      </c>
      <c r="F718" s="14">
        <f>CHOOSE(CONTROL!$C$42, 46.0785, 46.0785)*CHOOSE(CONTROL!$C$21, $C$9, 100%, $E$9)</f>
        <v>46.078499999999998</v>
      </c>
      <c r="G718" s="14">
        <f>CHOOSE(CONTROL!$C$42, 46.0956, 46.0956)*CHOOSE(CONTROL!$C$21, $C$9, 100%, $E$9)</f>
        <v>46.095599999999997</v>
      </c>
      <c r="H718" s="14">
        <f>CHOOSE(CONTROL!$C$42, 46.3429, 46.3429) * CHOOSE(CONTROL!$C$21, $C$9, 100%, $E$9)</f>
        <v>46.3429</v>
      </c>
      <c r="I718" s="14">
        <f>CHOOSE(CONTROL!$C$42, 46.221, 46.221)* CHOOSE(CONTROL!$C$21, $C$9, 100%, $E$9)</f>
        <v>46.220999999999997</v>
      </c>
      <c r="J718" s="14">
        <f>CHOOSE(CONTROL!$C$42, 46.0715, 46.0715)* CHOOSE(CONTROL!$C$21, $C$9, 100%, $E$9)</f>
        <v>46.0715</v>
      </c>
      <c r="K718" s="52">
        <f>CHOOSE(CONTROL!$C$42, 46.2171, 46.2171) * CHOOSE(CONTROL!$C$21, $C$9, 100%, $E$9)</f>
        <v>46.217100000000002</v>
      </c>
      <c r="L718" s="14">
        <f>CHOOSE(CONTROL!$C$42, 46.9299, 46.9299) * CHOOSE(CONTROL!$C$21, $C$9, 100%, $E$9)</f>
        <v>46.929900000000004</v>
      </c>
      <c r="M718" s="14">
        <f>CHOOSE(CONTROL!$C$42, 45.2506, 45.2506) * CHOOSE(CONTROL!$C$21, $C$9, 100%, $E$9)</f>
        <v>45.250599999999999</v>
      </c>
      <c r="N718" s="14">
        <f>CHOOSE(CONTROL!$C$42, 45.2673, 45.2673) * CHOOSE(CONTROL!$C$21, $C$9, 100%, $E$9)</f>
        <v>45.267299999999999</v>
      </c>
      <c r="O718" s="14">
        <f>CHOOSE(CONTROL!$C$42, 45.517, 45.517) * CHOOSE(CONTROL!$C$21, $C$9, 100%, $E$9)</f>
        <v>45.517000000000003</v>
      </c>
      <c r="P718" s="14">
        <f>CHOOSE(CONTROL!$C$42, 45.3948, 45.3948) * CHOOSE(CONTROL!$C$21, $C$9, 100%, $E$9)</f>
        <v>45.394799999999996</v>
      </c>
      <c r="Q718" s="14">
        <f>CHOOSE(CONTROL!$C$42, 46.1117, 46.1117) * CHOOSE(CONTROL!$C$21, $C$9, 100%, $E$9)</f>
        <v>46.111699999999999</v>
      </c>
      <c r="R718" s="14">
        <f>CHOOSE(CONTROL!$C$42, 46.814, 46.814) * CHOOSE(CONTROL!$C$21, $C$9, 100%, $E$9)</f>
        <v>46.814</v>
      </c>
      <c r="S718" s="14">
        <f>CHOOSE(CONTROL!$C$42, 44.2443, 44.2443) * CHOOSE(CONTROL!$C$21, $C$9, 100%, $E$9)</f>
        <v>44.244300000000003</v>
      </c>
      <c r="T7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18" s="56">
        <f>(1000*CHOOSE(CONTROL!$C$42, 695, 695)*CHOOSE(CONTROL!$C$42, 0.5599, 0.5599)*CHOOSE(CONTROL!$C$42, 31, 31))/1000000</f>
        <v>12.063045499999998</v>
      </c>
      <c r="V718" s="56">
        <f>(1000*CHOOSE(CONTROL!$C$42, 500, 500)*CHOOSE(CONTROL!$C$42, 0.275, 0.275)*CHOOSE(CONTROL!$C$42, 31, 31))/1000000</f>
        <v>4.2625000000000002</v>
      </c>
      <c r="W718" s="56">
        <f>(1000*CHOOSE(CONTROL!$C$42, 0.1146, 0.1146)*CHOOSE(CONTROL!$C$42, 121.5, 121.5)*CHOOSE(CONTROL!$C$42, 31, 31))/1000000</f>
        <v>0.43164089999999994</v>
      </c>
      <c r="X718" s="56">
        <f>(31*0.1790888*245000/1000000)+(31*0.2374*100000/1000000)</f>
        <v>2.0961194359999999</v>
      </c>
      <c r="Y718" s="56"/>
      <c r="Z718" s="14"/>
      <c r="AA718" s="55"/>
      <c r="AB718" s="49">
        <f>(B718*131.881+C718*277.167+D718*79.08+E718*125.872+F718*40+G718*185+H718*0+I718*100+J718*300)/(131.881+277.167+79.08+125.872+0+40+185+100+300)</f>
        <v>46.127374115496373</v>
      </c>
      <c r="AC718" s="45">
        <f>(M718*'RAP TEMPLATE-GAS AVAILABILITY'!O717+N718*'RAP TEMPLATE-GAS AVAILABILITY'!P717+O718*'RAP TEMPLATE-GAS AVAILABILITY'!Q717+P718*'RAP TEMPLATE-GAS AVAILABILITY'!R717)/('RAP TEMPLATE-GAS AVAILABILITY'!O717+'RAP TEMPLATE-GAS AVAILABILITY'!P717+'RAP TEMPLATE-GAS AVAILABILITY'!Q717+'RAP TEMPLATE-GAS AVAILABILITY'!R717)</f>
        <v>45.393051798561146</v>
      </c>
    </row>
    <row r="719" spans="1:29" ht="15.75" x14ac:dyDescent="0.25">
      <c r="A719" s="32">
        <v>62792</v>
      </c>
      <c r="B719" s="14">
        <f>CHOOSE(CONTROL!$C$42, 47.2665, 47.2665) * CHOOSE(CONTROL!$C$21, $C$9, 100%, $E$9)</f>
        <v>47.266500000000001</v>
      </c>
      <c r="C719" s="14">
        <f>CHOOSE(CONTROL!$C$42, 47.2716, 47.2716) * CHOOSE(CONTROL!$C$21, $C$9, 100%, $E$9)</f>
        <v>47.271599999999999</v>
      </c>
      <c r="D719" s="14">
        <f>CHOOSE(CONTROL!$C$42, 47.3546, 47.3546) * CHOOSE(CONTROL!$C$21, $C$9, 100%, $E$9)</f>
        <v>47.354599999999998</v>
      </c>
      <c r="E719" s="14">
        <f>CHOOSE(CONTROL!$C$42, 47.3887, 47.3887) * CHOOSE(CONTROL!$C$21, $C$9, 100%, $E$9)</f>
        <v>47.3887</v>
      </c>
      <c r="F719" s="14">
        <f>CHOOSE(CONTROL!$C$42, 47.2941, 47.2941)*CHOOSE(CONTROL!$C$21, $C$9, 100%, $E$9)</f>
        <v>47.2941</v>
      </c>
      <c r="G719" s="14">
        <f>CHOOSE(CONTROL!$C$42, 47.3115, 47.3115)*CHOOSE(CONTROL!$C$21, $C$9, 100%, $E$9)</f>
        <v>47.311500000000002</v>
      </c>
      <c r="H719" s="14">
        <f>CHOOSE(CONTROL!$C$42, 47.3779, 47.3779) * CHOOSE(CONTROL!$C$21, $C$9, 100%, $E$9)</f>
        <v>47.377899999999997</v>
      </c>
      <c r="I719" s="14">
        <f>CHOOSE(CONTROL!$C$42, 47.4342, 47.4342)* CHOOSE(CONTROL!$C$21, $C$9, 100%, $E$9)</f>
        <v>47.434199999999997</v>
      </c>
      <c r="J719" s="14">
        <f>CHOOSE(CONTROL!$C$42, 47.2871, 47.2871)* CHOOSE(CONTROL!$C$21, $C$9, 100%, $E$9)</f>
        <v>47.287100000000002</v>
      </c>
      <c r="K719" s="52">
        <f>CHOOSE(CONTROL!$C$42, 47.4303, 47.4303) * CHOOSE(CONTROL!$C$21, $C$9, 100%, $E$9)</f>
        <v>47.430300000000003</v>
      </c>
      <c r="L719" s="14">
        <f>CHOOSE(CONTROL!$C$42, 47.9649, 47.9649) * CHOOSE(CONTROL!$C$21, $C$9, 100%, $E$9)</f>
        <v>47.9649</v>
      </c>
      <c r="M719" s="14">
        <f>CHOOSE(CONTROL!$C$42, 46.4443, 46.4443) * CHOOSE(CONTROL!$C$21, $C$9, 100%, $E$9)</f>
        <v>46.444299999999998</v>
      </c>
      <c r="N719" s="14">
        <f>CHOOSE(CONTROL!$C$42, 46.4613, 46.4613) * CHOOSE(CONTROL!$C$21, $C$9, 100%, $E$9)</f>
        <v>46.461300000000001</v>
      </c>
      <c r="O719" s="14">
        <f>CHOOSE(CONTROL!$C$42, 46.5335, 46.5335) * CHOOSE(CONTROL!$C$21, $C$9, 100%, $E$9)</f>
        <v>46.533499999999997</v>
      </c>
      <c r="P719" s="14">
        <f>CHOOSE(CONTROL!$C$42, 46.5861, 46.5861) * CHOOSE(CONTROL!$C$21, $C$9, 100%, $E$9)</f>
        <v>46.586100000000002</v>
      </c>
      <c r="Q719" s="14">
        <f>CHOOSE(CONTROL!$C$42, 47.1282, 47.1282) * CHOOSE(CONTROL!$C$21, $C$9, 100%, $E$9)</f>
        <v>47.1282</v>
      </c>
      <c r="R719" s="14">
        <f>CHOOSE(CONTROL!$C$42, 47.833, 47.833) * CHOOSE(CONTROL!$C$21, $C$9, 100%, $E$9)</f>
        <v>47.832999999999998</v>
      </c>
      <c r="S719" s="14">
        <f>CHOOSE(CONTROL!$C$42, 45.4098, 45.4098) * CHOOSE(CONTROL!$C$21, $C$9, 100%, $E$9)</f>
        <v>45.409799999999997</v>
      </c>
      <c r="T7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19" s="56">
        <f>(1000*CHOOSE(CONTROL!$C$42, 695, 695)*CHOOSE(CONTROL!$C$42, 0.5599, 0.5599)*CHOOSE(CONTROL!$C$42, 30, 30))/1000000</f>
        <v>11.673914999999997</v>
      </c>
      <c r="V719" s="56">
        <f>(1000*CHOOSE(CONTROL!$C$42, 500, 500)*CHOOSE(CONTROL!$C$42, 0.275, 0.275)*CHOOSE(CONTROL!$C$42, 30, 30))/1000000</f>
        <v>4.125</v>
      </c>
      <c r="W719" s="56">
        <f>(1000*CHOOSE(CONTROL!$C$42, 0.1146, 0.1146)*CHOOSE(CONTROL!$C$42, 121.5, 121.5)*CHOOSE(CONTROL!$C$42, 30, 30))/1000000</f>
        <v>0.417717</v>
      </c>
      <c r="X719" s="56">
        <f>(30*0.1790888*100000/1000000)+(30*0.2374*100000/1000000)</f>
        <v>1.2494664</v>
      </c>
      <c r="Y719" s="56"/>
      <c r="Z719" s="14"/>
      <c r="AA719" s="55"/>
      <c r="AB719" s="49">
        <f>(B719*122.58+C719*297.941+D719*89.177+E719*40.302+F719*40+G719*160+H719*0+I719*100+J719*300)/(122.58+297.941+89.177+40.302+0+40+160+100+300)</f>
        <v>47.306112954086956</v>
      </c>
      <c r="AC719" s="45">
        <f>(M719*'RAP TEMPLATE-GAS AVAILABILITY'!O718+N719*'RAP TEMPLATE-GAS AVAILABILITY'!P718+O719*'RAP TEMPLATE-GAS AVAILABILITY'!Q718+P719*'RAP TEMPLATE-GAS AVAILABILITY'!R718)/('RAP TEMPLATE-GAS AVAILABILITY'!O718+'RAP TEMPLATE-GAS AVAILABILITY'!P718+'RAP TEMPLATE-GAS AVAILABILITY'!Q718+'RAP TEMPLATE-GAS AVAILABILITY'!R718)</f>
        <v>46.506110071942445</v>
      </c>
    </row>
    <row r="720" spans="1:29" ht="15.75" x14ac:dyDescent="0.25">
      <c r="A720" s="32">
        <v>62823</v>
      </c>
      <c r="B720" s="14">
        <f>CHOOSE(CONTROL!$C$42, 50.4885, 50.4885) * CHOOSE(CONTROL!$C$21, $C$9, 100%, $E$9)</f>
        <v>50.488500000000002</v>
      </c>
      <c r="C720" s="14">
        <f>CHOOSE(CONTROL!$C$42, 50.4935, 50.4935) * CHOOSE(CONTROL!$C$21, $C$9, 100%, $E$9)</f>
        <v>50.493499999999997</v>
      </c>
      <c r="D720" s="14">
        <f>CHOOSE(CONTROL!$C$42, 50.5766, 50.5766) * CHOOSE(CONTROL!$C$21, $C$9, 100%, $E$9)</f>
        <v>50.576599999999999</v>
      </c>
      <c r="E720" s="14">
        <f>CHOOSE(CONTROL!$C$42, 50.6107, 50.6107) * CHOOSE(CONTROL!$C$21, $C$9, 100%, $E$9)</f>
        <v>50.610700000000001</v>
      </c>
      <c r="F720" s="14">
        <f>CHOOSE(CONTROL!$C$42, 50.5185, 50.5185)*CHOOSE(CONTROL!$C$21, $C$9, 100%, $E$9)</f>
        <v>50.518500000000003</v>
      </c>
      <c r="G720" s="14">
        <f>CHOOSE(CONTROL!$C$42, 50.5365, 50.5365)*CHOOSE(CONTROL!$C$21, $C$9, 100%, $E$9)</f>
        <v>50.536499999999997</v>
      </c>
      <c r="H720" s="14">
        <f>CHOOSE(CONTROL!$C$42, 50.5999, 50.5999) * CHOOSE(CONTROL!$C$21, $C$9, 100%, $E$9)</f>
        <v>50.599899999999998</v>
      </c>
      <c r="I720" s="14">
        <f>CHOOSE(CONTROL!$C$42, 50.6662, 50.6662)* CHOOSE(CONTROL!$C$21, $C$9, 100%, $E$9)</f>
        <v>50.666200000000003</v>
      </c>
      <c r="J720" s="14">
        <f>CHOOSE(CONTROL!$C$42, 50.5115, 50.5115)* CHOOSE(CONTROL!$C$21, $C$9, 100%, $E$9)</f>
        <v>50.511499999999998</v>
      </c>
      <c r="K720" s="52">
        <f>CHOOSE(CONTROL!$C$42, 50.6623, 50.6623) * CHOOSE(CONTROL!$C$21, $C$9, 100%, $E$9)</f>
        <v>50.662300000000002</v>
      </c>
      <c r="L720" s="14">
        <f>CHOOSE(CONTROL!$C$42, 51.1869, 51.1869) * CHOOSE(CONTROL!$C$21, $C$9, 100%, $E$9)</f>
        <v>51.186900000000001</v>
      </c>
      <c r="M720" s="14">
        <f>CHOOSE(CONTROL!$C$42, 49.6107, 49.6107) * CHOOSE(CONTROL!$C$21, $C$9, 100%, $E$9)</f>
        <v>49.610700000000001</v>
      </c>
      <c r="N720" s="14">
        <f>CHOOSE(CONTROL!$C$42, 49.6284, 49.6284) * CHOOSE(CONTROL!$C$21, $C$9, 100%, $E$9)</f>
        <v>49.628399999999999</v>
      </c>
      <c r="O720" s="14">
        <f>CHOOSE(CONTROL!$C$42, 49.6975, 49.6975) * CHOOSE(CONTROL!$C$21, $C$9, 100%, $E$9)</f>
        <v>49.697499999999998</v>
      </c>
      <c r="P720" s="14">
        <f>CHOOSE(CONTROL!$C$42, 49.7599, 49.7599) * CHOOSE(CONTROL!$C$21, $C$9, 100%, $E$9)</f>
        <v>49.759900000000002</v>
      </c>
      <c r="Q720" s="14">
        <f>CHOOSE(CONTROL!$C$42, 50.2922, 50.2922) * CHOOSE(CONTROL!$C$21, $C$9, 100%, $E$9)</f>
        <v>50.292200000000001</v>
      </c>
      <c r="R720" s="14">
        <f>CHOOSE(CONTROL!$C$42, 51.0049, 51.0049) * CHOOSE(CONTROL!$C$21, $C$9, 100%, $E$9)</f>
        <v>51.004899999999999</v>
      </c>
      <c r="S720" s="14">
        <f>CHOOSE(CONTROL!$C$42, 48.5058, 48.5058) * CHOOSE(CONTROL!$C$21, $C$9, 100%, $E$9)</f>
        <v>48.505800000000001</v>
      </c>
      <c r="T7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20" s="56">
        <f>(1000*CHOOSE(CONTROL!$C$42, 695, 695)*CHOOSE(CONTROL!$C$42, 0.5599, 0.5599)*CHOOSE(CONTROL!$C$42, 31, 31))/1000000</f>
        <v>12.063045499999998</v>
      </c>
      <c r="V720" s="56">
        <f>(1000*CHOOSE(CONTROL!$C$42, 500, 500)*CHOOSE(CONTROL!$C$42, 0.275, 0.275)*CHOOSE(CONTROL!$C$42, 31, 31))/1000000</f>
        <v>4.2625000000000002</v>
      </c>
      <c r="W720" s="56">
        <f>(1000*CHOOSE(CONTROL!$C$42, 0.1146, 0.1146)*CHOOSE(CONTROL!$C$42, 121.5, 121.5)*CHOOSE(CONTROL!$C$42, 31, 31))/1000000</f>
        <v>0.43164089999999994</v>
      </c>
      <c r="X720" s="56">
        <f>(31*0.1790888*100000/1000000)+(31*0.2374*100000/1000000)</f>
        <v>1.2911152800000001</v>
      </c>
      <c r="Y720" s="56"/>
      <c r="Z720" s="14"/>
      <c r="AA720" s="55"/>
      <c r="AB720" s="49">
        <f>(B720*122.58+C720*297.941+D720*89.177+E720*40.302+F720*40+G720*160+H720*0+I720*100+J720*300)/(122.58+297.941+89.177+40.302+0+40+160+100+300)</f>
        <v>50.530083567913039</v>
      </c>
      <c r="AC720" s="45">
        <f>(M720*'RAP TEMPLATE-GAS AVAILABILITY'!O719+N720*'RAP TEMPLATE-GAS AVAILABILITY'!P719+O720*'RAP TEMPLATE-GAS AVAILABILITY'!Q719+P720*'RAP TEMPLATE-GAS AVAILABILITY'!R719)/('RAP TEMPLATE-GAS AVAILABILITY'!O719+'RAP TEMPLATE-GAS AVAILABILITY'!P719+'RAP TEMPLATE-GAS AVAILABILITY'!Q719+'RAP TEMPLATE-GAS AVAILABILITY'!R719)</f>
        <v>49.672527338129491</v>
      </c>
    </row>
    <row r="721" spans="1:29" ht="15.75" x14ac:dyDescent="0.25">
      <c r="A721" s="32">
        <v>62854</v>
      </c>
      <c r="B721" s="14">
        <f>CHOOSE(CONTROL!$C$42, 54.6732, 54.6732) * CHOOSE(CONTROL!$C$21, $C$9, 100%, $E$9)</f>
        <v>54.673200000000001</v>
      </c>
      <c r="C721" s="14">
        <f>CHOOSE(CONTROL!$C$42, 54.6783, 54.6783) * CHOOSE(CONTROL!$C$21, $C$9, 100%, $E$9)</f>
        <v>54.6783</v>
      </c>
      <c r="D721" s="14">
        <f>CHOOSE(CONTROL!$C$42, 54.7717, 54.7717) * CHOOSE(CONTROL!$C$21, $C$9, 100%, $E$9)</f>
        <v>54.771700000000003</v>
      </c>
      <c r="E721" s="14">
        <f>CHOOSE(CONTROL!$C$42, 54.8058, 54.8058) * CHOOSE(CONTROL!$C$21, $C$9, 100%, $E$9)</f>
        <v>54.805799999999998</v>
      </c>
      <c r="F721" s="14">
        <f>CHOOSE(CONTROL!$C$42, 54.7005, 54.7005)*CHOOSE(CONTROL!$C$21, $C$9, 100%, $E$9)</f>
        <v>54.700499999999998</v>
      </c>
      <c r="G721" s="14">
        <f>CHOOSE(CONTROL!$C$42, 54.7185, 54.7185)*CHOOSE(CONTROL!$C$21, $C$9, 100%, $E$9)</f>
        <v>54.718499999999999</v>
      </c>
      <c r="H721" s="14">
        <f>CHOOSE(CONTROL!$C$42, 54.795, 54.795) * CHOOSE(CONTROL!$C$21, $C$9, 100%, $E$9)</f>
        <v>54.795000000000002</v>
      </c>
      <c r="I721" s="14">
        <f>CHOOSE(CONTROL!$C$42, 54.8703, 54.8703)* CHOOSE(CONTROL!$C$21, $C$9, 100%, $E$9)</f>
        <v>54.8703</v>
      </c>
      <c r="J721" s="14">
        <f>CHOOSE(CONTROL!$C$42, 54.6935, 54.6935)* CHOOSE(CONTROL!$C$21, $C$9, 100%, $E$9)</f>
        <v>54.6935</v>
      </c>
      <c r="K721" s="52">
        <f>CHOOSE(CONTROL!$C$42, 54.8664, 54.8664) * CHOOSE(CONTROL!$C$21, $C$9, 100%, $E$9)</f>
        <v>54.866399999999999</v>
      </c>
      <c r="L721" s="14">
        <f>CHOOSE(CONTROL!$C$42, 55.382, 55.382) * CHOOSE(CONTROL!$C$21, $C$9, 100%, $E$9)</f>
        <v>55.381999999999998</v>
      </c>
      <c r="M721" s="14">
        <f>CHOOSE(CONTROL!$C$42, 53.7174, 53.7174) * CHOOSE(CONTROL!$C$21, $C$9, 100%, $E$9)</f>
        <v>53.717399999999998</v>
      </c>
      <c r="N721" s="14">
        <f>CHOOSE(CONTROL!$C$42, 53.7351, 53.7351) * CHOOSE(CONTROL!$C$21, $C$9, 100%, $E$9)</f>
        <v>53.735100000000003</v>
      </c>
      <c r="O721" s="14">
        <f>CHOOSE(CONTROL!$C$42, 53.8171, 53.8171) * CHOOSE(CONTROL!$C$21, $C$9, 100%, $E$9)</f>
        <v>53.817100000000003</v>
      </c>
      <c r="P721" s="14">
        <f>CHOOSE(CONTROL!$C$42, 53.8881, 53.8881) * CHOOSE(CONTROL!$C$21, $C$9, 100%, $E$9)</f>
        <v>53.888100000000001</v>
      </c>
      <c r="Q721" s="14">
        <f>CHOOSE(CONTROL!$C$42, 54.4118, 54.4118) * CHOOSE(CONTROL!$C$21, $C$9, 100%, $E$9)</f>
        <v>54.411799999999999</v>
      </c>
      <c r="R721" s="14">
        <f>CHOOSE(CONTROL!$C$42, 55.1349, 55.1349) * CHOOSE(CONTROL!$C$21, $C$9, 100%, $E$9)</f>
        <v>55.134900000000002</v>
      </c>
      <c r="S721" s="14">
        <f>CHOOSE(CONTROL!$C$42, 52.5269, 52.5269) * CHOOSE(CONTROL!$C$21, $C$9, 100%, $E$9)</f>
        <v>52.526899999999998</v>
      </c>
      <c r="T7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21" s="56">
        <f>(1000*CHOOSE(CONTROL!$C$42, 695, 695)*CHOOSE(CONTROL!$C$42, 0.5599, 0.5599)*CHOOSE(CONTROL!$C$42, 31, 31))/1000000</f>
        <v>12.063045499999998</v>
      </c>
      <c r="V721" s="56">
        <f>(1000*CHOOSE(CONTROL!$C$42, 500, 500)*CHOOSE(CONTROL!$C$42, 0.275, 0.275)*CHOOSE(CONTROL!$C$42, 31, 31))/1000000</f>
        <v>4.2625000000000002</v>
      </c>
      <c r="W721" s="56">
        <f>(1000*CHOOSE(CONTROL!$C$42, 0.1146, 0.1146)*CHOOSE(CONTROL!$C$42, 121.5, 121.5)*CHOOSE(CONTROL!$C$42, 31, 31))/1000000</f>
        <v>0.43164089999999994</v>
      </c>
      <c r="X721" s="56">
        <f>(31*0.1790888*100000/1000000)+(31*0.2374*100000/1000000)</f>
        <v>1.2911152800000001</v>
      </c>
      <c r="Y721" s="56"/>
      <c r="Z721" s="14"/>
      <c r="AA721" s="55"/>
      <c r="AB721" s="49">
        <f>(B721*122.58+C721*297.941+D721*89.177+E721*40.302+F721*40+G721*160+H721*0+I721*100+J721*300)/(122.58+297.941+89.177+40.302+0+40+160+100+300)</f>
        <v>54.716493459826083</v>
      </c>
      <c r="AC721" s="45">
        <f>(M721*'RAP TEMPLATE-GAS AVAILABILITY'!O720+N721*'RAP TEMPLATE-GAS AVAILABILITY'!P720+O721*'RAP TEMPLATE-GAS AVAILABILITY'!Q720+P721*'RAP TEMPLATE-GAS AVAILABILITY'!R720)/('RAP TEMPLATE-GAS AVAILABILITY'!O720+'RAP TEMPLATE-GAS AVAILABILITY'!P720+'RAP TEMPLATE-GAS AVAILABILITY'!Q720+'RAP TEMPLATE-GAS AVAILABILITY'!R720)</f>
        <v>53.788167625899284</v>
      </c>
    </row>
    <row r="722" spans="1:29" ht="15.75" x14ac:dyDescent="0.25">
      <c r="A722" s="32">
        <v>62883</v>
      </c>
      <c r="B722" s="14">
        <f>CHOOSE(CONTROL!$C$42, 55.6463, 55.6463) * CHOOSE(CONTROL!$C$21, $C$9, 100%, $E$9)</f>
        <v>55.646299999999997</v>
      </c>
      <c r="C722" s="14">
        <f>CHOOSE(CONTROL!$C$42, 55.6514, 55.6514) * CHOOSE(CONTROL!$C$21, $C$9, 100%, $E$9)</f>
        <v>55.651400000000002</v>
      </c>
      <c r="D722" s="14">
        <f>CHOOSE(CONTROL!$C$42, 55.7448, 55.7448) * CHOOSE(CONTROL!$C$21, $C$9, 100%, $E$9)</f>
        <v>55.744799999999998</v>
      </c>
      <c r="E722" s="14">
        <f>CHOOSE(CONTROL!$C$42, 55.7789, 55.7789) * CHOOSE(CONTROL!$C$21, $C$9, 100%, $E$9)</f>
        <v>55.7789</v>
      </c>
      <c r="F722" s="14">
        <f>CHOOSE(CONTROL!$C$42, 55.6732, 55.6732)*CHOOSE(CONTROL!$C$21, $C$9, 100%, $E$9)</f>
        <v>55.673200000000001</v>
      </c>
      <c r="G722" s="14">
        <f>CHOOSE(CONTROL!$C$42, 55.6911, 55.6911)*CHOOSE(CONTROL!$C$21, $C$9, 100%, $E$9)</f>
        <v>55.691099999999999</v>
      </c>
      <c r="H722" s="14">
        <f>CHOOSE(CONTROL!$C$42, 55.7681, 55.7681) * CHOOSE(CONTROL!$C$21, $C$9, 100%, $E$9)</f>
        <v>55.768099999999997</v>
      </c>
      <c r="I722" s="14">
        <f>CHOOSE(CONTROL!$C$42, 55.8465, 55.8465)* CHOOSE(CONTROL!$C$21, $C$9, 100%, $E$9)</f>
        <v>55.846499999999999</v>
      </c>
      <c r="J722" s="14">
        <f>CHOOSE(CONTROL!$C$42, 55.6662, 55.6662)* CHOOSE(CONTROL!$C$21, $C$9, 100%, $E$9)</f>
        <v>55.666200000000003</v>
      </c>
      <c r="K722" s="52">
        <f>CHOOSE(CONTROL!$C$42, 55.8426, 55.8426) * CHOOSE(CONTROL!$C$21, $C$9, 100%, $E$9)</f>
        <v>55.842599999999997</v>
      </c>
      <c r="L722" s="14">
        <f>CHOOSE(CONTROL!$C$42, 56.3551, 56.3551) * CHOOSE(CONTROL!$C$21, $C$9, 100%, $E$9)</f>
        <v>56.3551</v>
      </c>
      <c r="M722" s="14">
        <f>CHOOSE(CONTROL!$C$42, 54.6727, 54.6727) * CHOOSE(CONTROL!$C$21, $C$9, 100%, $E$9)</f>
        <v>54.672699999999999</v>
      </c>
      <c r="N722" s="14">
        <f>CHOOSE(CONTROL!$C$42, 54.6902, 54.6902) * CHOOSE(CONTROL!$C$21, $C$9, 100%, $E$9)</f>
        <v>54.690199999999997</v>
      </c>
      <c r="O722" s="14">
        <f>CHOOSE(CONTROL!$C$42, 54.7727, 54.7727) * CHOOSE(CONTROL!$C$21, $C$9, 100%, $E$9)</f>
        <v>54.7727</v>
      </c>
      <c r="P722" s="14">
        <f>CHOOSE(CONTROL!$C$42, 54.8466, 54.8466) * CHOOSE(CONTROL!$C$21, $C$9, 100%, $E$9)</f>
        <v>54.846600000000002</v>
      </c>
      <c r="Q722" s="14">
        <f>CHOOSE(CONTROL!$C$42, 55.3674, 55.3674) * CHOOSE(CONTROL!$C$21, $C$9, 100%, $E$9)</f>
        <v>55.367400000000004</v>
      </c>
      <c r="R722" s="14">
        <f>CHOOSE(CONTROL!$C$42, 56.0929, 56.0929) * CHOOSE(CONTROL!$C$21, $C$9, 100%, $E$9)</f>
        <v>56.0929</v>
      </c>
      <c r="S722" s="14">
        <f>CHOOSE(CONTROL!$C$42, 53.462, 53.462) * CHOOSE(CONTROL!$C$21, $C$9, 100%, $E$9)</f>
        <v>53.462000000000003</v>
      </c>
      <c r="T72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722" s="56">
        <f>(1000*CHOOSE(CONTROL!$C$42, 695, 695)*CHOOSE(CONTROL!$C$42, 0.5599, 0.5599)*CHOOSE(CONTROL!$C$42, 29, 29))/1000000</f>
        <v>11.284784499999999</v>
      </c>
      <c r="V722" s="56">
        <f>(1000*CHOOSE(CONTROL!$C$42, 500, 500)*CHOOSE(CONTROL!$C$42, 0.275, 0.275)*CHOOSE(CONTROL!$C$42, 29, 29))/1000000</f>
        <v>3.9874999999999998</v>
      </c>
      <c r="W722" s="56">
        <f>(1000*CHOOSE(CONTROL!$C$42, 0.1146, 0.1146)*CHOOSE(CONTROL!$C$42, 121.5, 121.5)*CHOOSE(CONTROL!$C$42, 29, 29))/1000000</f>
        <v>0.40379309999999996</v>
      </c>
      <c r="X722" s="56">
        <f>(29*0.1790888*100000/1000000)+(29*0.2374*100000/1000000)</f>
        <v>1.2078175199999999</v>
      </c>
      <c r="Y722" s="56"/>
      <c r="Z722" s="14"/>
      <c r="AA722" s="55"/>
      <c r="AB722" s="49">
        <f>(B722*122.58+C722*297.941+D722*89.177+E722*40.302+F722*40+G722*160+H722*0+I722*100+J722*300)/(122.58+297.941+89.177+40.302+0+40+160+100+300)</f>
        <v>55.689675198956529</v>
      </c>
      <c r="AC722" s="45">
        <f>(M722*'RAP TEMPLATE-GAS AVAILABILITY'!O721+N722*'RAP TEMPLATE-GAS AVAILABILITY'!P721+O722*'RAP TEMPLATE-GAS AVAILABILITY'!Q721+P722*'RAP TEMPLATE-GAS AVAILABILITY'!R721)/('RAP TEMPLATE-GAS AVAILABILITY'!O721+'RAP TEMPLATE-GAS AVAILABILITY'!P721+'RAP TEMPLATE-GAS AVAILABILITY'!Q721+'RAP TEMPLATE-GAS AVAILABILITY'!R721)</f>
        <v>54.744052517985615</v>
      </c>
    </row>
    <row r="723" spans="1:29" ht="15.75" x14ac:dyDescent="0.25">
      <c r="A723" s="32">
        <v>62914</v>
      </c>
      <c r="B723" s="14">
        <f>CHOOSE(CONTROL!$C$42, 54.0667, 54.0667) * CHOOSE(CONTROL!$C$21, $C$9, 100%, $E$9)</f>
        <v>54.066699999999997</v>
      </c>
      <c r="C723" s="14">
        <f>CHOOSE(CONTROL!$C$42, 54.0718, 54.0718) * CHOOSE(CONTROL!$C$21, $C$9, 100%, $E$9)</f>
        <v>54.071800000000003</v>
      </c>
      <c r="D723" s="14">
        <f>CHOOSE(CONTROL!$C$42, 54.1653, 54.1653) * CHOOSE(CONTROL!$C$21, $C$9, 100%, $E$9)</f>
        <v>54.165300000000002</v>
      </c>
      <c r="E723" s="14">
        <f>CHOOSE(CONTROL!$C$42, 54.1994, 54.1994) * CHOOSE(CONTROL!$C$21, $C$9, 100%, $E$9)</f>
        <v>54.199399999999997</v>
      </c>
      <c r="F723" s="14">
        <f>CHOOSE(CONTROL!$C$42, 54.0928, 54.0928)*CHOOSE(CONTROL!$C$21, $C$9, 100%, $E$9)</f>
        <v>54.092799999999997</v>
      </c>
      <c r="G723" s="14">
        <f>CHOOSE(CONTROL!$C$42, 54.1104, 54.1104)*CHOOSE(CONTROL!$C$21, $C$9, 100%, $E$9)</f>
        <v>54.110399999999998</v>
      </c>
      <c r="H723" s="14">
        <f>CHOOSE(CONTROL!$C$42, 54.1886, 54.1886) * CHOOSE(CONTROL!$C$21, $C$9, 100%, $E$9)</f>
        <v>54.188600000000001</v>
      </c>
      <c r="I723" s="14">
        <f>CHOOSE(CONTROL!$C$42, 54.2619, 54.2619)* CHOOSE(CONTROL!$C$21, $C$9, 100%, $E$9)</f>
        <v>54.261899999999997</v>
      </c>
      <c r="J723" s="14">
        <f>CHOOSE(CONTROL!$C$42, 54.0858, 54.0858)* CHOOSE(CONTROL!$C$21, $C$9, 100%, $E$9)</f>
        <v>54.085799999999999</v>
      </c>
      <c r="K723" s="52">
        <f>CHOOSE(CONTROL!$C$42, 54.2581, 54.2581) * CHOOSE(CONTROL!$C$21, $C$9, 100%, $E$9)</f>
        <v>54.258099999999999</v>
      </c>
      <c r="L723" s="14">
        <f>CHOOSE(CONTROL!$C$42, 54.7756, 54.7756) * CHOOSE(CONTROL!$C$21, $C$9, 100%, $E$9)</f>
        <v>54.775599999999997</v>
      </c>
      <c r="M723" s="14">
        <f>CHOOSE(CONTROL!$C$42, 53.1207, 53.1207) * CHOOSE(CONTROL!$C$21, $C$9, 100%, $E$9)</f>
        <v>53.120699999999999</v>
      </c>
      <c r="N723" s="14">
        <f>CHOOSE(CONTROL!$C$42, 53.138, 53.138) * CHOOSE(CONTROL!$C$21, $C$9, 100%, $E$9)</f>
        <v>53.137999999999998</v>
      </c>
      <c r="O723" s="14">
        <f>CHOOSE(CONTROL!$C$42, 53.2216, 53.2216) * CHOOSE(CONTROL!$C$21, $C$9, 100%, $E$9)</f>
        <v>53.221600000000002</v>
      </c>
      <c r="P723" s="14">
        <f>CHOOSE(CONTROL!$C$42, 53.2907, 53.2907) * CHOOSE(CONTROL!$C$21, $C$9, 100%, $E$9)</f>
        <v>53.290700000000001</v>
      </c>
      <c r="Q723" s="14">
        <f>CHOOSE(CONTROL!$C$42, 53.8163, 53.8163) * CHOOSE(CONTROL!$C$21, $C$9, 100%, $E$9)</f>
        <v>53.816299999999998</v>
      </c>
      <c r="R723" s="14">
        <f>CHOOSE(CONTROL!$C$42, 54.5378, 54.5378) * CHOOSE(CONTROL!$C$21, $C$9, 100%, $E$9)</f>
        <v>54.537799999999997</v>
      </c>
      <c r="S723" s="14">
        <f>CHOOSE(CONTROL!$C$42, 51.9442, 51.9442) * CHOOSE(CONTROL!$C$21, $C$9, 100%, $E$9)</f>
        <v>51.944200000000002</v>
      </c>
      <c r="T7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23" s="56">
        <f>(1000*CHOOSE(CONTROL!$C$42, 695, 695)*CHOOSE(CONTROL!$C$42, 0.5599, 0.5599)*CHOOSE(CONTROL!$C$42, 31, 31))/1000000</f>
        <v>12.063045499999998</v>
      </c>
      <c r="V723" s="56">
        <f>(1000*CHOOSE(CONTROL!$C$42, 500, 500)*CHOOSE(CONTROL!$C$42, 0.275, 0.275)*CHOOSE(CONTROL!$C$42, 31, 31))/1000000</f>
        <v>4.2625000000000002</v>
      </c>
      <c r="W723" s="56">
        <f>(1000*CHOOSE(CONTROL!$C$42, 0.1146, 0.1146)*CHOOSE(CONTROL!$C$42, 121.5, 121.5)*CHOOSE(CONTROL!$C$42, 31, 31))/1000000</f>
        <v>0.43164089999999994</v>
      </c>
      <c r="X723" s="56">
        <f>(31*0.1790888*100000/1000000)+(31*0.2374*100000/1000000)</f>
        <v>1.2911152800000001</v>
      </c>
      <c r="Y723" s="56"/>
      <c r="Z723" s="14"/>
      <c r="AA723" s="55"/>
      <c r="AB723" s="49">
        <f>(B723*122.58+C723*297.941+D723*89.177+E723*40.302+F723*40+G723*160+H723*0+I723*100+J723*300)/(122.58+297.941+89.177+40.302+0+40+160+100+300)</f>
        <v>54.109262110173916</v>
      </c>
      <c r="AC723" s="45">
        <f>(M723*'RAP TEMPLATE-GAS AVAILABILITY'!O722+N723*'RAP TEMPLATE-GAS AVAILABILITY'!P722+O723*'RAP TEMPLATE-GAS AVAILABILITY'!Q722+P723*'RAP TEMPLATE-GAS AVAILABILITY'!R722)/('RAP TEMPLATE-GAS AVAILABILITY'!O722+'RAP TEMPLATE-GAS AVAILABILITY'!P722+'RAP TEMPLATE-GAS AVAILABILITY'!Q722+'RAP TEMPLATE-GAS AVAILABILITY'!R722)</f>
        <v>53.191887769784174</v>
      </c>
    </row>
    <row r="724" spans="1:29" ht="15.75" x14ac:dyDescent="0.25">
      <c r="A724" s="32">
        <v>62944</v>
      </c>
      <c r="B724" s="14">
        <f>CHOOSE(CONTROL!$C$42, 53.9059, 53.9059) * CHOOSE(CONTROL!$C$21, $C$9, 100%, $E$9)</f>
        <v>53.905900000000003</v>
      </c>
      <c r="C724" s="14">
        <f>CHOOSE(CONTROL!$C$42, 53.9104, 53.9104) * CHOOSE(CONTROL!$C$21, $C$9, 100%, $E$9)</f>
        <v>53.910400000000003</v>
      </c>
      <c r="D724" s="14">
        <f>CHOOSE(CONTROL!$C$42, 54.1726, 54.1726) * CHOOSE(CONTROL!$C$21, $C$9, 100%, $E$9)</f>
        <v>54.172600000000003</v>
      </c>
      <c r="E724" s="14">
        <f>CHOOSE(CONTROL!$C$42, 54.2047, 54.2047) * CHOOSE(CONTROL!$C$21, $C$9, 100%, $E$9)</f>
        <v>54.204700000000003</v>
      </c>
      <c r="F724" s="14">
        <f>CHOOSE(CONTROL!$C$42, 53.9287, 53.9287)*CHOOSE(CONTROL!$C$21, $C$9, 100%, $E$9)</f>
        <v>53.928699999999999</v>
      </c>
      <c r="G724" s="14">
        <f>CHOOSE(CONTROL!$C$42, 53.9454, 53.9454)*CHOOSE(CONTROL!$C$21, $C$9, 100%, $E$9)</f>
        <v>53.945399999999999</v>
      </c>
      <c r="H724" s="14">
        <f>CHOOSE(CONTROL!$C$42, 54.1945, 54.1945) * CHOOSE(CONTROL!$C$21, $C$9, 100%, $E$9)</f>
        <v>54.194499999999998</v>
      </c>
      <c r="I724" s="14">
        <f>CHOOSE(CONTROL!$C$42, 54.0972, 54.0972)* CHOOSE(CONTROL!$C$21, $C$9, 100%, $E$9)</f>
        <v>54.097200000000001</v>
      </c>
      <c r="J724" s="14">
        <f>CHOOSE(CONTROL!$C$42, 53.9217, 53.9217)* CHOOSE(CONTROL!$C$21, $C$9, 100%, $E$9)</f>
        <v>53.921700000000001</v>
      </c>
      <c r="K724" s="52">
        <f>CHOOSE(CONTROL!$C$42, 54.0933, 54.0933) * CHOOSE(CONTROL!$C$21, $C$9, 100%, $E$9)</f>
        <v>54.093299999999999</v>
      </c>
      <c r="L724" s="14">
        <f>CHOOSE(CONTROL!$C$42, 54.7815, 54.7815) * CHOOSE(CONTROL!$C$21, $C$9, 100%, $E$9)</f>
        <v>54.781500000000001</v>
      </c>
      <c r="M724" s="14">
        <f>CHOOSE(CONTROL!$C$42, 52.9595, 52.9595) * CHOOSE(CONTROL!$C$21, $C$9, 100%, $E$9)</f>
        <v>52.959499999999998</v>
      </c>
      <c r="N724" s="14">
        <f>CHOOSE(CONTROL!$C$42, 52.9759, 52.9759) * CHOOSE(CONTROL!$C$21, $C$9, 100%, $E$9)</f>
        <v>52.975900000000003</v>
      </c>
      <c r="O724" s="14">
        <f>CHOOSE(CONTROL!$C$42, 53.2274, 53.2274) * CHOOSE(CONTROL!$C$21, $C$9, 100%, $E$9)</f>
        <v>53.227400000000003</v>
      </c>
      <c r="P724" s="14">
        <f>CHOOSE(CONTROL!$C$42, 53.1289, 53.1289) * CHOOSE(CONTROL!$C$21, $C$9, 100%, $E$9)</f>
        <v>53.128900000000002</v>
      </c>
      <c r="Q724" s="14">
        <f>CHOOSE(CONTROL!$C$42, 53.8221, 53.8221) * CHOOSE(CONTROL!$C$21, $C$9, 100%, $E$9)</f>
        <v>53.822099999999999</v>
      </c>
      <c r="R724" s="14">
        <f>CHOOSE(CONTROL!$C$42, 54.5436, 54.5436) * CHOOSE(CONTROL!$C$21, $C$9, 100%, $E$9)</f>
        <v>54.543599999999998</v>
      </c>
      <c r="S724" s="14">
        <f>CHOOSE(CONTROL!$C$42, 51.7889, 51.7889) * CHOOSE(CONTROL!$C$21, $C$9, 100%, $E$9)</f>
        <v>51.788899999999998</v>
      </c>
      <c r="T7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24" s="56">
        <f>(1000*CHOOSE(CONTROL!$C$42, 695, 695)*CHOOSE(CONTROL!$C$42, 0.5599, 0.5599)*CHOOSE(CONTROL!$C$42, 30, 30))/1000000</f>
        <v>11.673914999999997</v>
      </c>
      <c r="V724" s="56">
        <f>(1000*CHOOSE(CONTROL!$C$42, 500, 500)*CHOOSE(CONTROL!$C$42, 0.275, 0.275)*CHOOSE(CONTROL!$C$42, 30, 30))/1000000</f>
        <v>4.125</v>
      </c>
      <c r="W724" s="56">
        <f>(1000*CHOOSE(CONTROL!$C$42, 0.1146, 0.1146)*CHOOSE(CONTROL!$C$42, 121.5, 121.5)*CHOOSE(CONTROL!$C$42, 30, 30))/1000000</f>
        <v>0.417717</v>
      </c>
      <c r="X724" s="56">
        <f>(30*0.1790888*245000/1000000)+(30*0.2374*100000/1000000)</f>
        <v>2.0285026799999999</v>
      </c>
      <c r="Y724" s="56"/>
      <c r="Z724" s="14"/>
      <c r="AA724" s="55"/>
      <c r="AB724" s="49">
        <f>(B724*141.293+C724*267.993+D724*115.016+E724*89.698+F724*40+G724*185+H724*0+I724*100+J724*300)/(141.293+267.993+115.016+89.698+0+40+185+100+300)</f>
        <v>53.979162306779664</v>
      </c>
      <c r="AC724" s="45">
        <f>(M724*'RAP TEMPLATE-GAS AVAILABILITY'!O723+N724*'RAP TEMPLATE-GAS AVAILABILITY'!P723+O724*'RAP TEMPLATE-GAS AVAILABILITY'!Q723+P724*'RAP TEMPLATE-GAS AVAILABILITY'!R723)/('RAP TEMPLATE-GAS AVAILABILITY'!O723+'RAP TEMPLATE-GAS AVAILABILITY'!P723+'RAP TEMPLATE-GAS AVAILABILITY'!Q723+'RAP TEMPLATE-GAS AVAILABILITY'!R723)</f>
        <v>53.106240287769786</v>
      </c>
    </row>
    <row r="725" spans="1:29" ht="15.75" x14ac:dyDescent="0.25">
      <c r="A725" s="32">
        <v>62975</v>
      </c>
      <c r="B725" s="14">
        <f>CHOOSE(CONTROL!$C$42, 54.383, 54.383) * CHOOSE(CONTROL!$C$21, $C$9, 100%, $E$9)</f>
        <v>54.383000000000003</v>
      </c>
      <c r="C725" s="14">
        <f>CHOOSE(CONTROL!$C$42, 54.391, 54.391) * CHOOSE(CONTROL!$C$21, $C$9, 100%, $E$9)</f>
        <v>54.390999999999998</v>
      </c>
      <c r="D725" s="14">
        <f>CHOOSE(CONTROL!$C$42, 54.6501, 54.6501) * CHOOSE(CONTROL!$C$21, $C$9, 100%, $E$9)</f>
        <v>54.650100000000002</v>
      </c>
      <c r="E725" s="14">
        <f>CHOOSE(CONTROL!$C$42, 54.6815, 54.6815) * CHOOSE(CONTROL!$C$21, $C$9, 100%, $E$9)</f>
        <v>54.6815</v>
      </c>
      <c r="F725" s="14">
        <f>CHOOSE(CONTROL!$C$42, 54.4045, 54.4045)*CHOOSE(CONTROL!$C$21, $C$9, 100%, $E$9)</f>
        <v>54.404499999999999</v>
      </c>
      <c r="G725" s="14">
        <f>CHOOSE(CONTROL!$C$42, 54.4215, 54.4215)*CHOOSE(CONTROL!$C$21, $C$9, 100%, $E$9)</f>
        <v>54.421500000000002</v>
      </c>
      <c r="H725" s="14">
        <f>CHOOSE(CONTROL!$C$42, 54.6702, 54.6702) * CHOOSE(CONTROL!$C$21, $C$9, 100%, $E$9)</f>
        <v>54.670200000000001</v>
      </c>
      <c r="I725" s="14">
        <f>CHOOSE(CONTROL!$C$42, 54.5744, 54.5744)* CHOOSE(CONTROL!$C$21, $C$9, 100%, $E$9)</f>
        <v>54.574399999999997</v>
      </c>
      <c r="J725" s="14">
        <f>CHOOSE(CONTROL!$C$42, 54.3975, 54.3975)* CHOOSE(CONTROL!$C$21, $C$9, 100%, $E$9)</f>
        <v>54.397500000000001</v>
      </c>
      <c r="K725" s="52">
        <f>CHOOSE(CONTROL!$C$42, 54.5705, 54.5705) * CHOOSE(CONTROL!$C$21, $C$9, 100%, $E$9)</f>
        <v>54.570500000000003</v>
      </c>
      <c r="L725" s="14">
        <f>CHOOSE(CONTROL!$C$42, 55.2572, 55.2572) * CHOOSE(CONTROL!$C$21, $C$9, 100%, $E$9)</f>
        <v>55.257199999999997</v>
      </c>
      <c r="M725" s="14">
        <f>CHOOSE(CONTROL!$C$42, 53.4267, 53.4267) * CHOOSE(CONTROL!$C$21, $C$9, 100%, $E$9)</f>
        <v>53.426699999999997</v>
      </c>
      <c r="N725" s="14">
        <f>CHOOSE(CONTROL!$C$42, 53.4434, 53.4434) * CHOOSE(CONTROL!$C$21, $C$9, 100%, $E$9)</f>
        <v>53.443399999999997</v>
      </c>
      <c r="O725" s="14">
        <f>CHOOSE(CONTROL!$C$42, 53.6945, 53.6945) * CHOOSE(CONTROL!$C$21, $C$9, 100%, $E$9)</f>
        <v>53.694499999999998</v>
      </c>
      <c r="P725" s="14">
        <f>CHOOSE(CONTROL!$C$42, 53.5975, 53.5975) * CHOOSE(CONTROL!$C$21, $C$9, 100%, $E$9)</f>
        <v>53.597499999999997</v>
      </c>
      <c r="Q725" s="14">
        <f>CHOOSE(CONTROL!$C$42, 54.2892, 54.2892) * CHOOSE(CONTROL!$C$21, $C$9, 100%, $E$9)</f>
        <v>54.289200000000001</v>
      </c>
      <c r="R725" s="14">
        <f>CHOOSE(CONTROL!$C$42, 55.0119, 55.0119) * CHOOSE(CONTROL!$C$21, $C$9, 100%, $E$9)</f>
        <v>55.011899999999997</v>
      </c>
      <c r="S725" s="14">
        <f>CHOOSE(CONTROL!$C$42, 52.246, 52.246) * CHOOSE(CONTROL!$C$21, $C$9, 100%, $E$9)</f>
        <v>52.246000000000002</v>
      </c>
      <c r="T7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25" s="56">
        <f>(1000*CHOOSE(CONTROL!$C$42, 695, 695)*CHOOSE(CONTROL!$C$42, 0.5599, 0.5599)*CHOOSE(CONTROL!$C$42, 31, 31))/1000000</f>
        <v>12.063045499999998</v>
      </c>
      <c r="V725" s="56">
        <f>(1000*CHOOSE(CONTROL!$C$42, 500, 500)*CHOOSE(CONTROL!$C$42, 0.275, 0.275)*CHOOSE(CONTROL!$C$42, 31, 31))/1000000</f>
        <v>4.2625000000000002</v>
      </c>
      <c r="W725" s="56">
        <f>(1000*CHOOSE(CONTROL!$C$42, 0.1146, 0.1146)*CHOOSE(CONTROL!$C$42, 121.5, 121.5)*CHOOSE(CONTROL!$C$42, 31, 31))/1000000</f>
        <v>0.43164089999999994</v>
      </c>
      <c r="X725" s="56">
        <f>(31*0.1790888*245000/1000000)+(31*0.2374*100000/1000000)</f>
        <v>2.0961194359999999</v>
      </c>
      <c r="Y725" s="56"/>
      <c r="Z725" s="14"/>
      <c r="AA725" s="55"/>
      <c r="AB725" s="49">
        <f>(B725*194.205+C725*267.466+D725*133.845+E725*53.484+F725*40+G725*185+H725*0+I725*100+J725*300)/(194.205+267.466+133.845+53.484+0+40+185+100+300)</f>
        <v>54.449975825353221</v>
      </c>
      <c r="AC725" s="45">
        <f>(M725*'RAP TEMPLATE-GAS AVAILABILITY'!O724+N725*'RAP TEMPLATE-GAS AVAILABILITY'!P724+O725*'RAP TEMPLATE-GAS AVAILABILITY'!Q724+P725*'RAP TEMPLATE-GAS AVAILABILITY'!R724)/('RAP TEMPLATE-GAS AVAILABILITY'!O724+'RAP TEMPLATE-GAS AVAILABILITY'!P724+'RAP TEMPLATE-GAS AVAILABILITY'!Q724+'RAP TEMPLATE-GAS AVAILABILITY'!R724)</f>
        <v>53.573613669064748</v>
      </c>
    </row>
    <row r="726" spans="1:29" ht="15.75" x14ac:dyDescent="0.25">
      <c r="A726" s="32">
        <v>63005</v>
      </c>
      <c r="B726" s="14">
        <f>CHOOSE(CONTROL!$C$42, 55.9253, 55.9253) * CHOOSE(CONTROL!$C$21, $C$9, 100%, $E$9)</f>
        <v>55.9253</v>
      </c>
      <c r="C726" s="14">
        <f>CHOOSE(CONTROL!$C$42, 55.9333, 55.9333) * CHOOSE(CONTROL!$C$21, $C$9, 100%, $E$9)</f>
        <v>55.933300000000003</v>
      </c>
      <c r="D726" s="14">
        <f>CHOOSE(CONTROL!$C$42, 56.1924, 56.1924) * CHOOSE(CONTROL!$C$21, $C$9, 100%, $E$9)</f>
        <v>56.192399999999999</v>
      </c>
      <c r="E726" s="14">
        <f>CHOOSE(CONTROL!$C$42, 56.2239, 56.2239) * CHOOSE(CONTROL!$C$21, $C$9, 100%, $E$9)</f>
        <v>56.2239</v>
      </c>
      <c r="F726" s="14">
        <f>CHOOSE(CONTROL!$C$42, 55.947, 55.947)*CHOOSE(CONTROL!$C$21, $C$9, 100%, $E$9)</f>
        <v>55.947000000000003</v>
      </c>
      <c r="G726" s="14">
        <f>CHOOSE(CONTROL!$C$42, 55.9641, 55.9641)*CHOOSE(CONTROL!$C$21, $C$9, 100%, $E$9)</f>
        <v>55.964100000000002</v>
      </c>
      <c r="H726" s="14">
        <f>CHOOSE(CONTROL!$C$42, 56.2125, 56.2125) * CHOOSE(CONTROL!$C$21, $C$9, 100%, $E$9)</f>
        <v>56.212499999999999</v>
      </c>
      <c r="I726" s="14">
        <f>CHOOSE(CONTROL!$C$42, 56.1215, 56.1215)* CHOOSE(CONTROL!$C$21, $C$9, 100%, $E$9)</f>
        <v>56.121499999999997</v>
      </c>
      <c r="J726" s="14">
        <f>CHOOSE(CONTROL!$C$42, 55.94, 55.94)* CHOOSE(CONTROL!$C$21, $C$9, 100%, $E$9)</f>
        <v>55.94</v>
      </c>
      <c r="K726" s="52">
        <f>CHOOSE(CONTROL!$C$42, 56.1176, 56.1176) * CHOOSE(CONTROL!$C$21, $C$9, 100%, $E$9)</f>
        <v>56.117600000000003</v>
      </c>
      <c r="L726" s="14">
        <f>CHOOSE(CONTROL!$C$42, 56.7995, 56.7995) * CHOOSE(CONTROL!$C$21, $C$9, 100%, $E$9)</f>
        <v>56.799500000000002</v>
      </c>
      <c r="M726" s="14">
        <f>CHOOSE(CONTROL!$C$42, 54.9416, 54.9416) * CHOOSE(CONTROL!$C$21, $C$9, 100%, $E$9)</f>
        <v>54.941600000000001</v>
      </c>
      <c r="N726" s="14">
        <f>CHOOSE(CONTROL!$C$42, 54.9583, 54.9583) * CHOOSE(CONTROL!$C$21, $C$9, 100%, $E$9)</f>
        <v>54.958300000000001</v>
      </c>
      <c r="O726" s="14">
        <f>CHOOSE(CONTROL!$C$42, 55.2091, 55.2091) * CHOOSE(CONTROL!$C$21, $C$9, 100%, $E$9)</f>
        <v>55.209099999999999</v>
      </c>
      <c r="P726" s="14">
        <f>CHOOSE(CONTROL!$C$42, 55.1167, 55.1167) * CHOOSE(CONTROL!$C$21, $C$9, 100%, $E$9)</f>
        <v>55.116700000000002</v>
      </c>
      <c r="Q726" s="14">
        <f>CHOOSE(CONTROL!$C$42, 55.8038, 55.8038) * CHOOSE(CONTROL!$C$21, $C$9, 100%, $E$9)</f>
        <v>55.803800000000003</v>
      </c>
      <c r="R726" s="14">
        <f>CHOOSE(CONTROL!$C$42, 56.5303, 56.5303) * CHOOSE(CONTROL!$C$21, $C$9, 100%, $E$9)</f>
        <v>56.530299999999997</v>
      </c>
      <c r="S726" s="14">
        <f>CHOOSE(CONTROL!$C$42, 53.728, 53.728) * CHOOSE(CONTROL!$C$21, $C$9, 100%, $E$9)</f>
        <v>53.728000000000002</v>
      </c>
      <c r="T7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26" s="56">
        <f>(1000*CHOOSE(CONTROL!$C$42, 695, 695)*CHOOSE(CONTROL!$C$42, 0.5599, 0.5599)*CHOOSE(CONTROL!$C$42, 30, 30))/1000000</f>
        <v>11.673914999999997</v>
      </c>
      <c r="V726" s="56">
        <f>(1000*CHOOSE(CONTROL!$C$42, 500, 500)*CHOOSE(CONTROL!$C$42, 0.275, 0.275)*CHOOSE(CONTROL!$C$42, 30, 30))/1000000</f>
        <v>4.125</v>
      </c>
      <c r="W726" s="56">
        <f>(1000*CHOOSE(CONTROL!$C$42, 0.1146, 0.1146)*CHOOSE(CONTROL!$C$42, 121.5, 121.5)*CHOOSE(CONTROL!$C$42, 30, 30))/1000000</f>
        <v>0.417717</v>
      </c>
      <c r="X726" s="56">
        <f>(30*0.1790888*245000/1000000)+(30*0.2374*100000/1000000)</f>
        <v>2.0285026799999999</v>
      </c>
      <c r="Y726" s="56"/>
      <c r="Z726" s="14"/>
      <c r="AA726" s="55"/>
      <c r="AB726" s="49">
        <f>(B726*194.205+C726*267.466+D726*133.845+E726*53.484+F726*40+G726*185+H726*0+I726*100+J726*300)/(194.205+267.466+133.845+53.484+0+40+185+100+300)</f>
        <v>55.992753728335956</v>
      </c>
      <c r="AC726" s="45">
        <f>(M726*'RAP TEMPLATE-GAS AVAILABILITY'!O725+N726*'RAP TEMPLATE-GAS AVAILABILITY'!P725+O726*'RAP TEMPLATE-GAS AVAILABILITY'!Q725+P726*'RAP TEMPLATE-GAS AVAILABILITY'!R725)/('RAP TEMPLATE-GAS AVAILABILITY'!O725+'RAP TEMPLATE-GAS AVAILABILITY'!P725+'RAP TEMPLATE-GAS AVAILABILITY'!Q725+'RAP TEMPLATE-GAS AVAILABILITY'!R725)</f>
        <v>55.088996402877697</v>
      </c>
    </row>
    <row r="727" spans="1:29" ht="15.75" x14ac:dyDescent="0.25">
      <c r="A727" s="32">
        <v>63036</v>
      </c>
      <c r="B727" s="14">
        <f>CHOOSE(CONTROL!$C$42, 54.8526, 54.8526) * CHOOSE(CONTROL!$C$21, $C$9, 100%, $E$9)</f>
        <v>54.852600000000002</v>
      </c>
      <c r="C727" s="14">
        <f>CHOOSE(CONTROL!$C$42, 54.8606, 54.8606) * CHOOSE(CONTROL!$C$21, $C$9, 100%, $E$9)</f>
        <v>54.860599999999998</v>
      </c>
      <c r="D727" s="14">
        <f>CHOOSE(CONTROL!$C$42, 55.1197, 55.1197) * CHOOSE(CONTROL!$C$21, $C$9, 100%, $E$9)</f>
        <v>55.119700000000002</v>
      </c>
      <c r="E727" s="14">
        <f>CHOOSE(CONTROL!$C$42, 55.1512, 55.1512) * CHOOSE(CONTROL!$C$21, $C$9, 100%, $E$9)</f>
        <v>55.151200000000003</v>
      </c>
      <c r="F727" s="14">
        <f>CHOOSE(CONTROL!$C$42, 54.8748, 54.8748)*CHOOSE(CONTROL!$C$21, $C$9, 100%, $E$9)</f>
        <v>54.8748</v>
      </c>
      <c r="G727" s="14">
        <f>CHOOSE(CONTROL!$C$42, 54.8919, 54.8919)*CHOOSE(CONTROL!$C$21, $C$9, 100%, $E$9)</f>
        <v>54.8919</v>
      </c>
      <c r="H727" s="14">
        <f>CHOOSE(CONTROL!$C$42, 55.1398, 55.1398) * CHOOSE(CONTROL!$C$21, $C$9, 100%, $E$9)</f>
        <v>55.139800000000001</v>
      </c>
      <c r="I727" s="14">
        <f>CHOOSE(CONTROL!$C$42, 55.0455, 55.0455)* CHOOSE(CONTROL!$C$21, $C$9, 100%, $E$9)</f>
        <v>55.045499999999997</v>
      </c>
      <c r="J727" s="14">
        <f>CHOOSE(CONTROL!$C$42, 54.8678, 54.8678)* CHOOSE(CONTROL!$C$21, $C$9, 100%, $E$9)</f>
        <v>54.867800000000003</v>
      </c>
      <c r="K727" s="52">
        <f>CHOOSE(CONTROL!$C$42, 55.0416, 55.0416) * CHOOSE(CONTROL!$C$21, $C$9, 100%, $E$9)</f>
        <v>55.041600000000003</v>
      </c>
      <c r="L727" s="14">
        <f>CHOOSE(CONTROL!$C$42, 55.7268, 55.7268) * CHOOSE(CONTROL!$C$21, $C$9, 100%, $E$9)</f>
        <v>55.726799999999997</v>
      </c>
      <c r="M727" s="14">
        <f>CHOOSE(CONTROL!$C$42, 53.8886, 53.8886) * CHOOSE(CONTROL!$C$21, $C$9, 100%, $E$9)</f>
        <v>53.888599999999997</v>
      </c>
      <c r="N727" s="14">
        <f>CHOOSE(CONTROL!$C$42, 53.9054, 53.9054) * CHOOSE(CONTROL!$C$21, $C$9, 100%, $E$9)</f>
        <v>53.9054</v>
      </c>
      <c r="O727" s="14">
        <f>CHOOSE(CONTROL!$C$42, 54.1557, 54.1557) * CHOOSE(CONTROL!$C$21, $C$9, 100%, $E$9)</f>
        <v>54.155700000000003</v>
      </c>
      <c r="P727" s="14">
        <f>CHOOSE(CONTROL!$C$42, 54.0601, 54.0601) * CHOOSE(CONTROL!$C$21, $C$9, 100%, $E$9)</f>
        <v>54.060099999999998</v>
      </c>
      <c r="Q727" s="14">
        <f>CHOOSE(CONTROL!$C$42, 54.7504, 54.7504) * CHOOSE(CONTROL!$C$21, $C$9, 100%, $E$9)</f>
        <v>54.750399999999999</v>
      </c>
      <c r="R727" s="14">
        <f>CHOOSE(CONTROL!$C$42, 55.4743, 55.4743) * CHOOSE(CONTROL!$C$21, $C$9, 100%, $E$9)</f>
        <v>55.474299999999999</v>
      </c>
      <c r="S727" s="14">
        <f>CHOOSE(CONTROL!$C$42, 52.6972, 52.6972) * CHOOSE(CONTROL!$C$21, $C$9, 100%, $E$9)</f>
        <v>52.697200000000002</v>
      </c>
      <c r="T7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27" s="56">
        <f>(1000*CHOOSE(CONTROL!$C$42, 695, 695)*CHOOSE(CONTROL!$C$42, 0.5599, 0.5599)*CHOOSE(CONTROL!$C$42, 31, 31))/1000000</f>
        <v>12.063045499999998</v>
      </c>
      <c r="V727" s="56">
        <f>(1000*CHOOSE(CONTROL!$C$42, 500, 500)*CHOOSE(CONTROL!$C$42, 0.275, 0.275)*CHOOSE(CONTROL!$C$42, 31, 31))/1000000</f>
        <v>4.2625000000000002</v>
      </c>
      <c r="W727" s="56">
        <f>(1000*CHOOSE(CONTROL!$C$42, 0.1146, 0.1146)*CHOOSE(CONTROL!$C$42, 121.5, 121.5)*CHOOSE(CONTROL!$C$42, 31, 31))/1000000</f>
        <v>0.43164089999999994</v>
      </c>
      <c r="X727" s="56">
        <f>(31*0.1790888*245000/1000000)+(31*0.2374*100000/1000000)</f>
        <v>2.0961194359999999</v>
      </c>
      <c r="Y727" s="56"/>
      <c r="Z727" s="14"/>
      <c r="AA727" s="55"/>
      <c r="AB727" s="49">
        <f>(B727*194.205+C727*267.466+D727*133.845+E727*53.484+F727*40+G727*185+H727*0+I727*100+J727*300)/(194.205+267.466+133.845+53.484+0+40+185+100+300)</f>
        <v>54.920000745604383</v>
      </c>
      <c r="AC727" s="45">
        <f>(M727*'RAP TEMPLATE-GAS AVAILABILITY'!O726+N727*'RAP TEMPLATE-GAS AVAILABILITY'!P726+O727*'RAP TEMPLATE-GAS AVAILABILITY'!Q726+P727*'RAP TEMPLATE-GAS AVAILABILITY'!R726)/('RAP TEMPLATE-GAS AVAILABILITY'!O726+'RAP TEMPLATE-GAS AVAILABILITY'!P726+'RAP TEMPLATE-GAS AVAILABILITY'!Q726+'RAP TEMPLATE-GAS AVAILABILITY'!R726)</f>
        <v>54.035302877697838</v>
      </c>
    </row>
    <row r="728" spans="1:29" ht="15.75" x14ac:dyDescent="0.25">
      <c r="A728" s="32">
        <v>63067</v>
      </c>
      <c r="B728" s="14">
        <f>CHOOSE(CONTROL!$C$42, 52.1437, 52.1437) * CHOOSE(CONTROL!$C$21, $C$9, 100%, $E$9)</f>
        <v>52.143700000000003</v>
      </c>
      <c r="C728" s="14">
        <f>CHOOSE(CONTROL!$C$42, 52.1517, 52.1517) * CHOOSE(CONTROL!$C$21, $C$9, 100%, $E$9)</f>
        <v>52.151699999999998</v>
      </c>
      <c r="D728" s="14">
        <f>CHOOSE(CONTROL!$C$42, 52.4108, 52.4108) * CHOOSE(CONTROL!$C$21, $C$9, 100%, $E$9)</f>
        <v>52.410800000000002</v>
      </c>
      <c r="E728" s="14">
        <f>CHOOSE(CONTROL!$C$42, 52.4423, 52.4423) * CHOOSE(CONTROL!$C$21, $C$9, 100%, $E$9)</f>
        <v>52.442300000000003</v>
      </c>
      <c r="F728" s="14">
        <f>CHOOSE(CONTROL!$C$42, 52.1661, 52.1661)*CHOOSE(CONTROL!$C$21, $C$9, 100%, $E$9)</f>
        <v>52.1661</v>
      </c>
      <c r="G728" s="14">
        <f>CHOOSE(CONTROL!$C$42, 52.1833, 52.1833)*CHOOSE(CONTROL!$C$21, $C$9, 100%, $E$9)</f>
        <v>52.183300000000003</v>
      </c>
      <c r="H728" s="14">
        <f>CHOOSE(CONTROL!$C$42, 52.4309, 52.4309) * CHOOSE(CONTROL!$C$21, $C$9, 100%, $E$9)</f>
        <v>52.430900000000001</v>
      </c>
      <c r="I728" s="14">
        <f>CHOOSE(CONTROL!$C$42, 52.3281, 52.3281)* CHOOSE(CONTROL!$C$21, $C$9, 100%, $E$9)</f>
        <v>52.328099999999999</v>
      </c>
      <c r="J728" s="14">
        <f>CHOOSE(CONTROL!$C$42, 52.1591, 52.1591)* CHOOSE(CONTROL!$C$21, $C$9, 100%, $E$9)</f>
        <v>52.159100000000002</v>
      </c>
      <c r="K728" s="52">
        <f>CHOOSE(CONTROL!$C$42, 52.3242, 52.3242) * CHOOSE(CONTROL!$C$21, $C$9, 100%, $E$9)</f>
        <v>52.324199999999998</v>
      </c>
      <c r="L728" s="14">
        <f>CHOOSE(CONTROL!$C$42, 53.0179, 53.0179) * CHOOSE(CONTROL!$C$21, $C$9, 100%, $E$9)</f>
        <v>53.017899999999997</v>
      </c>
      <c r="M728" s="14">
        <f>CHOOSE(CONTROL!$C$42, 51.2286, 51.2286) * CHOOSE(CONTROL!$C$21, $C$9, 100%, $E$9)</f>
        <v>51.2286</v>
      </c>
      <c r="N728" s="14">
        <f>CHOOSE(CONTROL!$C$42, 51.2455, 51.2455) * CHOOSE(CONTROL!$C$21, $C$9, 100%, $E$9)</f>
        <v>51.2455</v>
      </c>
      <c r="O728" s="14">
        <f>CHOOSE(CONTROL!$C$42, 51.4956, 51.4956) * CHOOSE(CONTROL!$C$21, $C$9, 100%, $E$9)</f>
        <v>51.495600000000003</v>
      </c>
      <c r="P728" s="14">
        <f>CHOOSE(CONTROL!$C$42, 51.3918, 51.3918) * CHOOSE(CONTROL!$C$21, $C$9, 100%, $E$9)</f>
        <v>51.391800000000003</v>
      </c>
      <c r="Q728" s="14">
        <f>CHOOSE(CONTROL!$C$42, 52.0903, 52.0903) * CHOOSE(CONTROL!$C$21, $C$9, 100%, $E$9)</f>
        <v>52.090299999999999</v>
      </c>
      <c r="R728" s="14">
        <f>CHOOSE(CONTROL!$C$42, 52.8075, 52.8075) * CHOOSE(CONTROL!$C$21, $C$9, 100%, $E$9)</f>
        <v>52.807499999999997</v>
      </c>
      <c r="S728" s="14">
        <f>CHOOSE(CONTROL!$C$42, 50.0943, 50.0943) * CHOOSE(CONTROL!$C$21, $C$9, 100%, $E$9)</f>
        <v>50.094299999999997</v>
      </c>
      <c r="T7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728" s="56">
        <f>(1000*CHOOSE(CONTROL!$C$42, 695, 695)*CHOOSE(CONTROL!$C$42, 0.5599, 0.5599)*CHOOSE(CONTROL!$C$42, 31, 31))/1000000</f>
        <v>12.063045499999998</v>
      </c>
      <c r="V728" s="56">
        <f>(1000*CHOOSE(CONTROL!$C$42, 500, 500)*CHOOSE(CONTROL!$C$42, 0.275, 0.275)*CHOOSE(CONTROL!$C$42, 31, 31))/1000000</f>
        <v>4.2625000000000002</v>
      </c>
      <c r="W728" s="56">
        <f>(1000*CHOOSE(CONTROL!$C$42, 0.1146, 0.1146)*CHOOSE(CONTROL!$C$42, 121.5, 121.5)*CHOOSE(CONTROL!$C$42, 31, 31))/1000000</f>
        <v>0.43164089999999994</v>
      </c>
      <c r="X728" s="56">
        <f>(31*0.1790888*245000/1000000)+(31*0.2374*100000/1000000)</f>
        <v>2.0961194359999999</v>
      </c>
      <c r="Y728" s="56"/>
      <c r="Z728" s="14"/>
      <c r="AA728" s="55"/>
      <c r="AB728" s="49">
        <f>(B728*194.205+C728*267.466+D728*133.845+E728*53.484+F728*40+G728*185+H728*0+I728*100+J728*300)/(194.205+267.466+133.845+53.484+0+40+185+100+300)</f>
        <v>52.210530494426997</v>
      </c>
      <c r="AC728" s="45">
        <f>(M728*'RAP TEMPLATE-GAS AVAILABILITY'!O727+N728*'RAP TEMPLATE-GAS AVAILABILITY'!P727+O728*'RAP TEMPLATE-GAS AVAILABILITY'!Q727+P728*'RAP TEMPLATE-GAS AVAILABILITY'!R727)/('RAP TEMPLATE-GAS AVAILABILITY'!O727+'RAP TEMPLATE-GAS AVAILABILITY'!P727+'RAP TEMPLATE-GAS AVAILABILITY'!Q727+'RAP TEMPLATE-GAS AVAILABILITY'!R727)</f>
        <v>51.374069064748205</v>
      </c>
    </row>
    <row r="729" spans="1:29" ht="15.75" x14ac:dyDescent="0.25">
      <c r="A729" s="32">
        <v>63097</v>
      </c>
      <c r="B729" s="14">
        <f>CHOOSE(CONTROL!$C$42, 48.8337, 48.8337) * CHOOSE(CONTROL!$C$21, $C$9, 100%, $E$9)</f>
        <v>48.8337</v>
      </c>
      <c r="C729" s="14">
        <f>CHOOSE(CONTROL!$C$42, 48.8418, 48.8418) * CHOOSE(CONTROL!$C$21, $C$9, 100%, $E$9)</f>
        <v>48.841799999999999</v>
      </c>
      <c r="D729" s="14">
        <f>CHOOSE(CONTROL!$C$42, 49.1009, 49.1009) * CHOOSE(CONTROL!$C$21, $C$9, 100%, $E$9)</f>
        <v>49.100900000000003</v>
      </c>
      <c r="E729" s="14">
        <f>CHOOSE(CONTROL!$C$42, 49.1323, 49.1323) * CHOOSE(CONTROL!$C$21, $C$9, 100%, $E$9)</f>
        <v>49.132300000000001</v>
      </c>
      <c r="F729" s="14">
        <f>CHOOSE(CONTROL!$C$42, 48.8562, 48.8562)*CHOOSE(CONTROL!$C$21, $C$9, 100%, $E$9)</f>
        <v>48.856200000000001</v>
      </c>
      <c r="G729" s="14">
        <f>CHOOSE(CONTROL!$C$42, 48.8734, 48.8734)*CHOOSE(CONTROL!$C$21, $C$9, 100%, $E$9)</f>
        <v>48.873399999999997</v>
      </c>
      <c r="H729" s="14">
        <f>CHOOSE(CONTROL!$C$42, 49.121, 49.121) * CHOOSE(CONTROL!$C$21, $C$9, 100%, $E$9)</f>
        <v>49.121000000000002</v>
      </c>
      <c r="I729" s="14">
        <f>CHOOSE(CONTROL!$C$42, 49.0078, 49.0078)* CHOOSE(CONTROL!$C$21, $C$9, 100%, $E$9)</f>
        <v>49.007800000000003</v>
      </c>
      <c r="J729" s="14">
        <f>CHOOSE(CONTROL!$C$42, 48.8492, 48.8492)* CHOOSE(CONTROL!$C$21, $C$9, 100%, $E$9)</f>
        <v>48.849200000000003</v>
      </c>
      <c r="K729" s="52">
        <f>CHOOSE(CONTROL!$C$42, 49.0039, 49.0039) * CHOOSE(CONTROL!$C$21, $C$9, 100%, $E$9)</f>
        <v>49.003900000000002</v>
      </c>
      <c r="L729" s="14">
        <f>CHOOSE(CONTROL!$C$42, 49.708, 49.708) * CHOOSE(CONTROL!$C$21, $C$9, 100%, $E$9)</f>
        <v>49.707999999999998</v>
      </c>
      <c r="M729" s="14">
        <f>CHOOSE(CONTROL!$C$42, 47.9783, 47.9783) * CHOOSE(CONTROL!$C$21, $C$9, 100%, $E$9)</f>
        <v>47.978299999999997</v>
      </c>
      <c r="N729" s="14">
        <f>CHOOSE(CONTROL!$C$42, 47.9952, 47.9952) * CHOOSE(CONTROL!$C$21, $C$9, 100%, $E$9)</f>
        <v>47.995199999999997</v>
      </c>
      <c r="O729" s="14">
        <f>CHOOSE(CONTROL!$C$42, 48.2451, 48.2451) * CHOOSE(CONTROL!$C$21, $C$9, 100%, $E$9)</f>
        <v>48.245100000000001</v>
      </c>
      <c r="P729" s="14">
        <f>CHOOSE(CONTROL!$C$42, 48.1313, 48.1313) * CHOOSE(CONTROL!$C$21, $C$9, 100%, $E$9)</f>
        <v>48.131300000000003</v>
      </c>
      <c r="Q729" s="14">
        <f>CHOOSE(CONTROL!$C$42, 48.8398, 48.8398) * CHOOSE(CONTROL!$C$21, $C$9, 100%, $E$9)</f>
        <v>48.839799999999997</v>
      </c>
      <c r="R729" s="14">
        <f>CHOOSE(CONTROL!$C$42, 49.5489, 49.5489) * CHOOSE(CONTROL!$C$21, $C$9, 100%, $E$9)</f>
        <v>49.548900000000003</v>
      </c>
      <c r="S729" s="14">
        <f>CHOOSE(CONTROL!$C$42, 46.9137, 46.9137) * CHOOSE(CONTROL!$C$21, $C$9, 100%, $E$9)</f>
        <v>46.913699999999999</v>
      </c>
      <c r="T7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729" s="56">
        <f>(1000*CHOOSE(CONTROL!$C$42, 695, 695)*CHOOSE(CONTROL!$C$42, 0.5599, 0.5599)*CHOOSE(CONTROL!$C$42, 30, 30))/1000000</f>
        <v>11.673914999999997</v>
      </c>
      <c r="V729" s="56">
        <f>(1000*CHOOSE(CONTROL!$C$42, 500, 500)*CHOOSE(CONTROL!$C$42, 0.275, 0.275)*CHOOSE(CONTROL!$C$42, 30, 30))/1000000</f>
        <v>4.125</v>
      </c>
      <c r="W729" s="56">
        <f>(1000*CHOOSE(CONTROL!$C$42, 0.1146, 0.1146)*CHOOSE(CONTROL!$C$42, 121.5, 121.5)*CHOOSE(CONTROL!$C$42, 30, 30))/1000000</f>
        <v>0.417717</v>
      </c>
      <c r="X729" s="56">
        <f>(30*0.1790888*245000/1000000)+(30*0.2374*100000/1000000)</f>
        <v>2.0285026799999999</v>
      </c>
      <c r="Y729" s="56"/>
      <c r="Z729" s="14"/>
      <c r="AA729" s="55"/>
      <c r="AB729" s="49">
        <f>(B729*194.205+C729*267.466+D729*133.845+E729*53.484+F729*40+G729*185+H729*0+I729*100+J729*300)/(194.205+267.466+133.845+53.484+0+40+185+100+300)</f>
        <v>48.899794726059653</v>
      </c>
      <c r="AC729" s="45">
        <f>(M729*'RAP TEMPLATE-GAS AVAILABILITY'!O728+N729*'RAP TEMPLATE-GAS AVAILABILITY'!P728+O729*'RAP TEMPLATE-GAS AVAILABILITY'!Q728+P729*'RAP TEMPLATE-GAS AVAILABILITY'!R728)/('RAP TEMPLATE-GAS AVAILABILITY'!O728+'RAP TEMPLATE-GAS AVAILABILITY'!P728+'RAP TEMPLATE-GAS AVAILABILITY'!Q728+'RAP TEMPLATE-GAS AVAILABILITY'!R728)</f>
        <v>48.122210791366903</v>
      </c>
    </row>
    <row r="730" spans="1:29" ht="15.75" x14ac:dyDescent="0.25">
      <c r="A730" s="32">
        <v>63128</v>
      </c>
      <c r="B730" s="14">
        <f>CHOOSE(CONTROL!$C$42, 47.8407, 47.8407) * CHOOSE(CONTROL!$C$21, $C$9, 100%, $E$9)</f>
        <v>47.840699999999998</v>
      </c>
      <c r="C730" s="14">
        <f>CHOOSE(CONTROL!$C$42, 47.846, 47.846) * CHOOSE(CONTROL!$C$21, $C$9, 100%, $E$9)</f>
        <v>47.845999999999997</v>
      </c>
      <c r="D730" s="14">
        <f>CHOOSE(CONTROL!$C$42, 48.1101, 48.1101) * CHOOSE(CONTROL!$C$21, $C$9, 100%, $E$9)</f>
        <v>48.110100000000003</v>
      </c>
      <c r="E730" s="14">
        <f>CHOOSE(CONTROL!$C$42, 48.1392, 48.1392) * CHOOSE(CONTROL!$C$21, $C$9, 100%, $E$9)</f>
        <v>48.139200000000002</v>
      </c>
      <c r="F730" s="14">
        <f>CHOOSE(CONTROL!$C$42, 47.8653, 47.8653)*CHOOSE(CONTROL!$C$21, $C$9, 100%, $E$9)</f>
        <v>47.865299999999998</v>
      </c>
      <c r="G730" s="14">
        <f>CHOOSE(CONTROL!$C$42, 47.8824, 47.8824)*CHOOSE(CONTROL!$C$21, $C$9, 100%, $E$9)</f>
        <v>47.882399999999997</v>
      </c>
      <c r="H730" s="14">
        <f>CHOOSE(CONTROL!$C$42, 48.1297, 48.1297) * CHOOSE(CONTROL!$C$21, $C$9, 100%, $E$9)</f>
        <v>48.1297</v>
      </c>
      <c r="I730" s="14">
        <f>CHOOSE(CONTROL!$C$42, 48.0134, 48.0134)* CHOOSE(CONTROL!$C$21, $C$9, 100%, $E$9)</f>
        <v>48.013399999999997</v>
      </c>
      <c r="J730" s="14">
        <f>CHOOSE(CONTROL!$C$42, 47.8583, 47.8583)* CHOOSE(CONTROL!$C$21, $C$9, 100%, $E$9)</f>
        <v>47.8583</v>
      </c>
      <c r="K730" s="52">
        <f>CHOOSE(CONTROL!$C$42, 48.0095, 48.0095) * CHOOSE(CONTROL!$C$21, $C$9, 100%, $E$9)</f>
        <v>48.009500000000003</v>
      </c>
      <c r="L730" s="14">
        <f>CHOOSE(CONTROL!$C$42, 48.7167, 48.7167) * CHOOSE(CONTROL!$C$21, $C$9, 100%, $E$9)</f>
        <v>48.716700000000003</v>
      </c>
      <c r="M730" s="14">
        <f>CHOOSE(CONTROL!$C$42, 47.0052, 47.0052) * CHOOSE(CONTROL!$C$21, $C$9, 100%, $E$9)</f>
        <v>47.005200000000002</v>
      </c>
      <c r="N730" s="14">
        <f>CHOOSE(CONTROL!$C$42, 47.022, 47.022) * CHOOSE(CONTROL!$C$21, $C$9, 100%, $E$9)</f>
        <v>47.021999999999998</v>
      </c>
      <c r="O730" s="14">
        <f>CHOOSE(CONTROL!$C$42, 47.2717, 47.2717) * CHOOSE(CONTROL!$C$21, $C$9, 100%, $E$9)</f>
        <v>47.271700000000003</v>
      </c>
      <c r="P730" s="14">
        <f>CHOOSE(CONTROL!$C$42, 47.1549, 47.1549) * CHOOSE(CONTROL!$C$21, $C$9, 100%, $E$9)</f>
        <v>47.154899999999998</v>
      </c>
      <c r="Q730" s="14">
        <f>CHOOSE(CONTROL!$C$42, 47.8664, 47.8664) * CHOOSE(CONTROL!$C$21, $C$9, 100%, $E$9)</f>
        <v>47.866399999999999</v>
      </c>
      <c r="R730" s="14">
        <f>CHOOSE(CONTROL!$C$42, 48.573, 48.573) * CHOOSE(CONTROL!$C$21, $C$9, 100%, $E$9)</f>
        <v>48.573</v>
      </c>
      <c r="S730" s="14">
        <f>CHOOSE(CONTROL!$C$42, 45.9612, 45.9612) * CHOOSE(CONTROL!$C$21, $C$9, 100%, $E$9)</f>
        <v>45.961199999999998</v>
      </c>
      <c r="T7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30" s="56">
        <f>(1000*CHOOSE(CONTROL!$C$42, 695, 695)*CHOOSE(CONTROL!$C$42, 0.5599, 0.5599)*CHOOSE(CONTROL!$C$42, 31, 31))/1000000</f>
        <v>12.063045499999998</v>
      </c>
      <c r="V730" s="56">
        <f>(1000*CHOOSE(CONTROL!$C$42, 500, 500)*CHOOSE(CONTROL!$C$42, 0.275, 0.275)*CHOOSE(CONTROL!$C$42, 31, 31))/1000000</f>
        <v>4.2625000000000002</v>
      </c>
      <c r="W730" s="56">
        <f>(1000*CHOOSE(CONTROL!$C$42, 0.1146, 0.1146)*CHOOSE(CONTROL!$C$42, 121.5, 121.5)*CHOOSE(CONTROL!$C$42, 31, 31))/1000000</f>
        <v>0.43164089999999994</v>
      </c>
      <c r="X730" s="56">
        <f>(31*0.1790888*245000/1000000)+(31*0.2374*100000/1000000)</f>
        <v>2.0961194359999999</v>
      </c>
      <c r="Y730" s="56"/>
      <c r="Z730" s="14"/>
      <c r="AA730" s="55"/>
      <c r="AB730" s="49">
        <f>(B730*131.881+C730*277.167+D730*79.08+E730*125.872+F730*40+G730*185+H730*0+I730*100+J730*300)/(131.881+277.167+79.08+125.872+0+40+185+100+300)</f>
        <v>47.914626092897493</v>
      </c>
      <c r="AC730" s="45">
        <f>(M730*'RAP TEMPLATE-GAS AVAILABILITY'!O729+N730*'RAP TEMPLATE-GAS AVAILABILITY'!P729+O730*'RAP TEMPLATE-GAS AVAILABILITY'!Q729+P730*'RAP TEMPLATE-GAS AVAILABILITY'!R729)/('RAP TEMPLATE-GAS AVAILABILITY'!O729+'RAP TEMPLATE-GAS AVAILABILITY'!P729+'RAP TEMPLATE-GAS AVAILABILITY'!Q729+'RAP TEMPLATE-GAS AVAILABILITY'!R729)</f>
        <v>47.148494244604308</v>
      </c>
    </row>
    <row r="731" spans="1:29" ht="15.75" x14ac:dyDescent="0.25">
      <c r="A731" s="32">
        <v>63158</v>
      </c>
      <c r="B731" s="14">
        <f>CHOOSE(CONTROL!$C$42, 49.1004, 49.1004) * CHOOSE(CONTROL!$C$21, $C$9, 100%, $E$9)</f>
        <v>49.1004</v>
      </c>
      <c r="C731" s="14">
        <f>CHOOSE(CONTROL!$C$42, 49.1054, 49.1054) * CHOOSE(CONTROL!$C$21, $C$9, 100%, $E$9)</f>
        <v>49.105400000000003</v>
      </c>
      <c r="D731" s="14">
        <f>CHOOSE(CONTROL!$C$42, 49.1885, 49.1885) * CHOOSE(CONTROL!$C$21, $C$9, 100%, $E$9)</f>
        <v>49.188499999999998</v>
      </c>
      <c r="E731" s="14">
        <f>CHOOSE(CONTROL!$C$42, 49.2226, 49.2226) * CHOOSE(CONTROL!$C$21, $C$9, 100%, $E$9)</f>
        <v>49.2226</v>
      </c>
      <c r="F731" s="14">
        <f>CHOOSE(CONTROL!$C$42, 49.128, 49.128)*CHOOSE(CONTROL!$C$21, $C$9, 100%, $E$9)</f>
        <v>49.128</v>
      </c>
      <c r="G731" s="14">
        <f>CHOOSE(CONTROL!$C$42, 49.1454, 49.1454)*CHOOSE(CONTROL!$C$21, $C$9, 100%, $E$9)</f>
        <v>49.145400000000002</v>
      </c>
      <c r="H731" s="14">
        <f>CHOOSE(CONTROL!$C$42, 49.2118, 49.2118) * CHOOSE(CONTROL!$C$21, $C$9, 100%, $E$9)</f>
        <v>49.211799999999997</v>
      </c>
      <c r="I731" s="14">
        <f>CHOOSE(CONTROL!$C$42, 49.2738, 49.2738)* CHOOSE(CONTROL!$C$21, $C$9, 100%, $E$9)</f>
        <v>49.273800000000001</v>
      </c>
      <c r="J731" s="14">
        <f>CHOOSE(CONTROL!$C$42, 49.121, 49.121)* CHOOSE(CONTROL!$C$21, $C$9, 100%, $E$9)</f>
        <v>49.121000000000002</v>
      </c>
      <c r="K731" s="52">
        <f>CHOOSE(CONTROL!$C$42, 49.2699, 49.2699) * CHOOSE(CONTROL!$C$21, $C$9, 100%, $E$9)</f>
        <v>49.2699</v>
      </c>
      <c r="L731" s="14">
        <f>CHOOSE(CONTROL!$C$42, 49.7988, 49.7988) * CHOOSE(CONTROL!$C$21, $C$9, 100%, $E$9)</f>
        <v>49.7988</v>
      </c>
      <c r="M731" s="14">
        <f>CHOOSE(CONTROL!$C$42, 48.2452, 48.2452) * CHOOSE(CONTROL!$C$21, $C$9, 100%, $E$9)</f>
        <v>48.245199999999997</v>
      </c>
      <c r="N731" s="14">
        <f>CHOOSE(CONTROL!$C$42, 48.2622, 48.2622) * CHOOSE(CONTROL!$C$21, $C$9, 100%, $E$9)</f>
        <v>48.2622</v>
      </c>
      <c r="O731" s="14">
        <f>CHOOSE(CONTROL!$C$42, 48.3343, 48.3343) * CHOOSE(CONTROL!$C$21, $C$9, 100%, $E$9)</f>
        <v>48.334299999999999</v>
      </c>
      <c r="P731" s="14">
        <f>CHOOSE(CONTROL!$C$42, 48.3925, 48.3925) * CHOOSE(CONTROL!$C$21, $C$9, 100%, $E$9)</f>
        <v>48.392499999999998</v>
      </c>
      <c r="Q731" s="14">
        <f>CHOOSE(CONTROL!$C$42, 48.929, 48.929) * CHOOSE(CONTROL!$C$21, $C$9, 100%, $E$9)</f>
        <v>48.929000000000002</v>
      </c>
      <c r="R731" s="14">
        <f>CHOOSE(CONTROL!$C$42, 49.6384, 49.6384) * CHOOSE(CONTROL!$C$21, $C$9, 100%, $E$9)</f>
        <v>49.638399999999997</v>
      </c>
      <c r="S731" s="14">
        <f>CHOOSE(CONTROL!$C$42, 47.172, 47.172) * CHOOSE(CONTROL!$C$21, $C$9, 100%, $E$9)</f>
        <v>47.171999999999997</v>
      </c>
      <c r="T7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31" s="56">
        <f>(1000*CHOOSE(CONTROL!$C$42, 695, 695)*CHOOSE(CONTROL!$C$42, 0.5599, 0.5599)*CHOOSE(CONTROL!$C$42, 30, 30))/1000000</f>
        <v>11.673914999999997</v>
      </c>
      <c r="V731" s="56">
        <f>(1000*CHOOSE(CONTROL!$C$42, 500, 500)*CHOOSE(CONTROL!$C$42, 0.275, 0.275)*CHOOSE(CONTROL!$C$42, 30, 30))/1000000</f>
        <v>4.125</v>
      </c>
      <c r="W731" s="56">
        <f>(1000*CHOOSE(CONTROL!$C$42, 0.1146, 0.1146)*CHOOSE(CONTROL!$C$42, 121.5, 121.5)*CHOOSE(CONTROL!$C$42, 30, 30))/1000000</f>
        <v>0.417717</v>
      </c>
      <c r="X731" s="56">
        <f>(30*0.1790888*100000/1000000)+(30*0.2374*100000/1000000)</f>
        <v>1.2494664</v>
      </c>
      <c r="Y731" s="56"/>
      <c r="Z731" s="14"/>
      <c r="AA731" s="55"/>
      <c r="AB731" s="49">
        <f>(B731*122.58+C731*297.941+D731*89.177+E731*40.302+F731*40+G731*160+H731*0+I731*100+J731*300)/(122.58+297.941+89.177+40.302+0+40+160+100+300)</f>
        <v>49.140482698347824</v>
      </c>
      <c r="AC731" s="45">
        <f>(M731*'RAP TEMPLATE-GAS AVAILABILITY'!O730+N731*'RAP TEMPLATE-GAS AVAILABILITY'!P730+O731*'RAP TEMPLATE-GAS AVAILABILITY'!Q730+P731*'RAP TEMPLATE-GAS AVAILABILITY'!R730)/('RAP TEMPLATE-GAS AVAILABILITY'!O730+'RAP TEMPLATE-GAS AVAILABILITY'!P730+'RAP TEMPLATE-GAS AVAILABILITY'!Q730+'RAP TEMPLATE-GAS AVAILABILITY'!R730)</f>
        <v>48.307756115107914</v>
      </c>
    </row>
    <row r="732" spans="1:29" ht="15.75" x14ac:dyDescent="0.25">
      <c r="A732" s="32">
        <v>63189</v>
      </c>
      <c r="B732" s="14">
        <f>CHOOSE(CONTROL!$C$42, 52.4474, 52.4474) * CHOOSE(CONTROL!$C$21, $C$9, 100%, $E$9)</f>
        <v>52.447400000000002</v>
      </c>
      <c r="C732" s="14">
        <f>CHOOSE(CONTROL!$C$42, 52.4524, 52.4524) * CHOOSE(CONTROL!$C$21, $C$9, 100%, $E$9)</f>
        <v>52.452399999999997</v>
      </c>
      <c r="D732" s="14">
        <f>CHOOSE(CONTROL!$C$42, 52.5355, 52.5355) * CHOOSE(CONTROL!$C$21, $C$9, 100%, $E$9)</f>
        <v>52.535499999999999</v>
      </c>
      <c r="E732" s="14">
        <f>CHOOSE(CONTROL!$C$42, 52.5696, 52.5696) * CHOOSE(CONTROL!$C$21, $C$9, 100%, $E$9)</f>
        <v>52.569600000000001</v>
      </c>
      <c r="F732" s="14">
        <f>CHOOSE(CONTROL!$C$42, 52.4774, 52.4774)*CHOOSE(CONTROL!$C$21, $C$9, 100%, $E$9)</f>
        <v>52.477400000000003</v>
      </c>
      <c r="G732" s="14">
        <f>CHOOSE(CONTROL!$C$42, 52.4954, 52.4954)*CHOOSE(CONTROL!$C$21, $C$9, 100%, $E$9)</f>
        <v>52.495399999999997</v>
      </c>
      <c r="H732" s="14">
        <f>CHOOSE(CONTROL!$C$42, 52.5588, 52.5588) * CHOOSE(CONTROL!$C$21, $C$9, 100%, $E$9)</f>
        <v>52.558799999999998</v>
      </c>
      <c r="I732" s="14">
        <f>CHOOSE(CONTROL!$C$42, 52.6313, 52.6313)* CHOOSE(CONTROL!$C$21, $C$9, 100%, $E$9)</f>
        <v>52.631300000000003</v>
      </c>
      <c r="J732" s="14">
        <f>CHOOSE(CONTROL!$C$42, 52.4704, 52.4704)* CHOOSE(CONTROL!$C$21, $C$9, 100%, $E$9)</f>
        <v>52.470399999999998</v>
      </c>
      <c r="K732" s="52">
        <f>CHOOSE(CONTROL!$C$42, 52.6274, 52.6274) * CHOOSE(CONTROL!$C$21, $C$9, 100%, $E$9)</f>
        <v>52.627400000000002</v>
      </c>
      <c r="L732" s="14">
        <f>CHOOSE(CONTROL!$C$42, 53.1458, 53.1458) * CHOOSE(CONTROL!$C$21, $C$9, 100%, $E$9)</f>
        <v>53.145800000000001</v>
      </c>
      <c r="M732" s="14">
        <f>CHOOSE(CONTROL!$C$42, 51.5343, 51.5343) * CHOOSE(CONTROL!$C$21, $C$9, 100%, $E$9)</f>
        <v>51.534300000000002</v>
      </c>
      <c r="N732" s="14">
        <f>CHOOSE(CONTROL!$C$42, 51.552, 51.552) * CHOOSE(CONTROL!$C$21, $C$9, 100%, $E$9)</f>
        <v>51.552</v>
      </c>
      <c r="O732" s="14">
        <f>CHOOSE(CONTROL!$C$42, 51.6211, 51.6211) * CHOOSE(CONTROL!$C$21, $C$9, 100%, $E$9)</f>
        <v>51.621099999999998</v>
      </c>
      <c r="P732" s="14">
        <f>CHOOSE(CONTROL!$C$42, 51.6894, 51.6894) * CHOOSE(CONTROL!$C$21, $C$9, 100%, $E$9)</f>
        <v>51.689399999999999</v>
      </c>
      <c r="Q732" s="14">
        <f>CHOOSE(CONTROL!$C$42, 52.2158, 52.2158) * CHOOSE(CONTROL!$C$21, $C$9, 100%, $E$9)</f>
        <v>52.215800000000002</v>
      </c>
      <c r="R732" s="14">
        <f>CHOOSE(CONTROL!$C$42, 52.9334, 52.9334) * CHOOSE(CONTROL!$C$21, $C$9, 100%, $E$9)</f>
        <v>52.933399999999999</v>
      </c>
      <c r="S732" s="14">
        <f>CHOOSE(CONTROL!$C$42, 50.3881, 50.3881) * CHOOSE(CONTROL!$C$21, $C$9, 100%, $E$9)</f>
        <v>50.388100000000001</v>
      </c>
      <c r="T7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32" s="56">
        <f>(1000*CHOOSE(CONTROL!$C$42, 695, 695)*CHOOSE(CONTROL!$C$42, 0.5599, 0.5599)*CHOOSE(CONTROL!$C$42, 31, 31))/1000000</f>
        <v>12.063045499999998</v>
      </c>
      <c r="V732" s="56">
        <f>(1000*CHOOSE(CONTROL!$C$42, 500, 500)*CHOOSE(CONTROL!$C$42, 0.275, 0.275)*CHOOSE(CONTROL!$C$42, 31, 31))/1000000</f>
        <v>4.2625000000000002</v>
      </c>
      <c r="W732" s="56">
        <f>(1000*CHOOSE(CONTROL!$C$42, 0.1146, 0.1146)*CHOOSE(CONTROL!$C$42, 121.5, 121.5)*CHOOSE(CONTROL!$C$42, 31, 31))/1000000</f>
        <v>0.43164089999999994</v>
      </c>
      <c r="X732" s="56">
        <f>(31*0.1790888*100000/1000000)+(31*0.2374*100000/1000000)</f>
        <v>1.2911152800000001</v>
      </c>
      <c r="Y732" s="56"/>
      <c r="Z732" s="14"/>
      <c r="AA732" s="55"/>
      <c r="AB732" s="49">
        <f>(B732*122.58+C732*297.941+D732*89.177+E732*40.302+F732*40+G732*160+H732*0+I732*100+J732*300)/(122.58+297.941+89.177+40.302+0+40+160+100+300)</f>
        <v>52.489522698347827</v>
      </c>
      <c r="AC732" s="45">
        <f>(M732*'RAP TEMPLATE-GAS AVAILABILITY'!O731+N732*'RAP TEMPLATE-GAS AVAILABILITY'!P731+O732*'RAP TEMPLATE-GAS AVAILABILITY'!Q731+P732*'RAP TEMPLATE-GAS AVAILABILITY'!R731)/('RAP TEMPLATE-GAS AVAILABILITY'!O731+'RAP TEMPLATE-GAS AVAILABILITY'!P731+'RAP TEMPLATE-GAS AVAILABILITY'!Q731+'RAP TEMPLATE-GAS AVAILABILITY'!R731)</f>
        <v>51.596976258992811</v>
      </c>
    </row>
    <row r="733" spans="1:29" ht="15.75" x14ac:dyDescent="0.25">
      <c r="A733" s="32">
        <v>63220</v>
      </c>
      <c r="B733" s="14">
        <f>CHOOSE(CONTROL!$C$42, 56.7945, 56.7945) * CHOOSE(CONTROL!$C$21, $C$9, 100%, $E$9)</f>
        <v>56.794499999999999</v>
      </c>
      <c r="C733" s="14">
        <f>CHOOSE(CONTROL!$C$42, 56.7996, 56.7996) * CHOOSE(CONTROL!$C$21, $C$9, 100%, $E$9)</f>
        <v>56.799599999999998</v>
      </c>
      <c r="D733" s="14">
        <f>CHOOSE(CONTROL!$C$42, 56.893, 56.893) * CHOOSE(CONTROL!$C$21, $C$9, 100%, $E$9)</f>
        <v>56.893000000000001</v>
      </c>
      <c r="E733" s="14">
        <f>CHOOSE(CONTROL!$C$42, 56.9271, 56.9271) * CHOOSE(CONTROL!$C$21, $C$9, 100%, $E$9)</f>
        <v>56.927100000000003</v>
      </c>
      <c r="F733" s="14">
        <f>CHOOSE(CONTROL!$C$42, 56.8218, 56.8218)*CHOOSE(CONTROL!$C$21, $C$9, 100%, $E$9)</f>
        <v>56.821800000000003</v>
      </c>
      <c r="G733" s="14">
        <f>CHOOSE(CONTROL!$C$42, 56.8398, 56.8398)*CHOOSE(CONTROL!$C$21, $C$9, 100%, $E$9)</f>
        <v>56.839799999999997</v>
      </c>
      <c r="H733" s="14">
        <f>CHOOSE(CONTROL!$C$42, 56.9163, 56.9163) * CHOOSE(CONTROL!$C$21, $C$9, 100%, $E$9)</f>
        <v>56.9163</v>
      </c>
      <c r="I733" s="14">
        <f>CHOOSE(CONTROL!$C$42, 56.9983, 56.9983)* CHOOSE(CONTROL!$C$21, $C$9, 100%, $E$9)</f>
        <v>56.9983</v>
      </c>
      <c r="J733" s="14">
        <f>CHOOSE(CONTROL!$C$42, 56.8148, 56.8148)* CHOOSE(CONTROL!$C$21, $C$9, 100%, $E$9)</f>
        <v>56.814799999999998</v>
      </c>
      <c r="K733" s="52">
        <f>CHOOSE(CONTROL!$C$42, 56.9944, 56.9944) * CHOOSE(CONTROL!$C$21, $C$9, 100%, $E$9)</f>
        <v>56.994399999999999</v>
      </c>
      <c r="L733" s="14">
        <f>CHOOSE(CONTROL!$C$42, 57.5033, 57.5033) * CHOOSE(CONTROL!$C$21, $C$9, 100%, $E$9)</f>
        <v>57.503300000000003</v>
      </c>
      <c r="M733" s="14">
        <f>CHOOSE(CONTROL!$C$42, 55.8006, 55.8006) * CHOOSE(CONTROL!$C$21, $C$9, 100%, $E$9)</f>
        <v>55.800600000000003</v>
      </c>
      <c r="N733" s="14">
        <f>CHOOSE(CONTROL!$C$42, 55.8182, 55.8182) * CHOOSE(CONTROL!$C$21, $C$9, 100%, $E$9)</f>
        <v>55.818199999999997</v>
      </c>
      <c r="O733" s="14">
        <f>CHOOSE(CONTROL!$C$42, 55.9003, 55.9003) * CHOOSE(CONTROL!$C$21, $C$9, 100%, $E$9)</f>
        <v>55.900300000000001</v>
      </c>
      <c r="P733" s="14">
        <f>CHOOSE(CONTROL!$C$42, 55.9777, 55.9777) * CHOOSE(CONTROL!$C$21, $C$9, 100%, $E$9)</f>
        <v>55.977699999999999</v>
      </c>
      <c r="Q733" s="14">
        <f>CHOOSE(CONTROL!$C$42, 56.495, 56.495) * CHOOSE(CONTROL!$C$21, $C$9, 100%, $E$9)</f>
        <v>56.494999999999997</v>
      </c>
      <c r="R733" s="14">
        <f>CHOOSE(CONTROL!$C$42, 57.2232, 57.2232) * CHOOSE(CONTROL!$C$21, $C$9, 100%, $E$9)</f>
        <v>57.223199999999999</v>
      </c>
      <c r="S733" s="14">
        <f>CHOOSE(CONTROL!$C$42, 54.5653, 54.5653) * CHOOSE(CONTROL!$C$21, $C$9, 100%, $E$9)</f>
        <v>54.565300000000001</v>
      </c>
      <c r="T7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33" s="56">
        <f>(1000*CHOOSE(CONTROL!$C$42, 695, 695)*CHOOSE(CONTROL!$C$42, 0.5599, 0.5599)*CHOOSE(CONTROL!$C$42, 31, 31))/1000000</f>
        <v>12.063045499999998</v>
      </c>
      <c r="V733" s="56">
        <f>(1000*CHOOSE(CONTROL!$C$42, 500, 500)*CHOOSE(CONTROL!$C$42, 0.275, 0.275)*CHOOSE(CONTROL!$C$42, 31, 31))/1000000</f>
        <v>4.2625000000000002</v>
      </c>
      <c r="W733" s="56">
        <f>(1000*CHOOSE(CONTROL!$C$42, 0.1146, 0.1146)*CHOOSE(CONTROL!$C$42, 121.5, 121.5)*CHOOSE(CONTROL!$C$42, 31, 31))/1000000</f>
        <v>0.43164089999999994</v>
      </c>
      <c r="X733" s="56">
        <f>(31*0.1790888*100000/1000000)+(31*0.2374*100000/1000000)</f>
        <v>1.2911152800000001</v>
      </c>
      <c r="Y733" s="56"/>
      <c r="Z733" s="14"/>
      <c r="AA733" s="55"/>
      <c r="AB733" s="49">
        <f>(B733*122.58+C733*297.941+D733*89.177+E733*40.302+F733*40+G733*160+H733*0+I733*100+J733*300)/(122.58+297.941+89.177+40.302+0+40+160+100+300)</f>
        <v>56.838376068521747</v>
      </c>
      <c r="AC733" s="45">
        <f>(M733*'RAP TEMPLATE-GAS AVAILABILITY'!O732+N733*'RAP TEMPLATE-GAS AVAILABILITY'!P732+O733*'RAP TEMPLATE-GAS AVAILABILITY'!Q732+P733*'RAP TEMPLATE-GAS AVAILABILITY'!R732)/('RAP TEMPLATE-GAS AVAILABILITY'!O732+'RAP TEMPLATE-GAS AVAILABILITY'!P732+'RAP TEMPLATE-GAS AVAILABILITY'!Q732+'RAP TEMPLATE-GAS AVAILABILITY'!R732)</f>
        <v>55.872282733812938</v>
      </c>
    </row>
    <row r="734" spans="1:29" ht="15.75" x14ac:dyDescent="0.25">
      <c r="A734" s="32">
        <v>63248</v>
      </c>
      <c r="B734" s="14">
        <f>CHOOSE(CONTROL!$C$42, 57.8054, 57.8054) * CHOOSE(CONTROL!$C$21, $C$9, 100%, $E$9)</f>
        <v>57.805399999999999</v>
      </c>
      <c r="C734" s="14">
        <f>CHOOSE(CONTROL!$C$42, 57.8104, 57.8104) * CHOOSE(CONTROL!$C$21, $C$9, 100%, $E$9)</f>
        <v>57.810400000000001</v>
      </c>
      <c r="D734" s="14">
        <f>CHOOSE(CONTROL!$C$42, 57.9039, 57.9039) * CHOOSE(CONTROL!$C$21, $C$9, 100%, $E$9)</f>
        <v>57.9039</v>
      </c>
      <c r="E734" s="14">
        <f>CHOOSE(CONTROL!$C$42, 57.938, 57.938) * CHOOSE(CONTROL!$C$21, $C$9, 100%, $E$9)</f>
        <v>57.938000000000002</v>
      </c>
      <c r="F734" s="14">
        <f>CHOOSE(CONTROL!$C$42, 57.8323, 57.8323)*CHOOSE(CONTROL!$C$21, $C$9, 100%, $E$9)</f>
        <v>57.832299999999996</v>
      </c>
      <c r="G734" s="14">
        <f>CHOOSE(CONTROL!$C$42, 57.8502, 57.8502)*CHOOSE(CONTROL!$C$21, $C$9, 100%, $E$9)</f>
        <v>57.850200000000001</v>
      </c>
      <c r="H734" s="14">
        <f>CHOOSE(CONTROL!$C$42, 57.9272, 57.9272) * CHOOSE(CONTROL!$C$21, $C$9, 100%, $E$9)</f>
        <v>57.927199999999999</v>
      </c>
      <c r="I734" s="14">
        <f>CHOOSE(CONTROL!$C$42, 58.0123, 58.0123)* CHOOSE(CONTROL!$C$21, $C$9, 100%, $E$9)</f>
        <v>58.012300000000003</v>
      </c>
      <c r="J734" s="14">
        <f>CHOOSE(CONTROL!$C$42, 57.8253, 57.8253)* CHOOSE(CONTROL!$C$21, $C$9, 100%, $E$9)</f>
        <v>57.825299999999999</v>
      </c>
      <c r="K734" s="52">
        <f>CHOOSE(CONTROL!$C$42, 58.0084, 58.0084) * CHOOSE(CONTROL!$C$21, $C$9, 100%, $E$9)</f>
        <v>58.008400000000002</v>
      </c>
      <c r="L734" s="14">
        <f>CHOOSE(CONTROL!$C$42, 58.5142, 58.5142) * CHOOSE(CONTROL!$C$21, $C$9, 100%, $E$9)</f>
        <v>58.514200000000002</v>
      </c>
      <c r="M734" s="14">
        <f>CHOOSE(CONTROL!$C$42, 56.7929, 56.7929) * CHOOSE(CONTROL!$C$21, $C$9, 100%, $E$9)</f>
        <v>56.792900000000003</v>
      </c>
      <c r="N734" s="14">
        <f>CHOOSE(CONTROL!$C$42, 56.8105, 56.8105) * CHOOSE(CONTROL!$C$21, $C$9, 100%, $E$9)</f>
        <v>56.810499999999998</v>
      </c>
      <c r="O734" s="14">
        <f>CHOOSE(CONTROL!$C$42, 56.893, 56.893) * CHOOSE(CONTROL!$C$21, $C$9, 100%, $E$9)</f>
        <v>56.893000000000001</v>
      </c>
      <c r="P734" s="14">
        <f>CHOOSE(CONTROL!$C$42, 56.9734, 56.9734) * CHOOSE(CONTROL!$C$21, $C$9, 100%, $E$9)</f>
        <v>56.973399999999998</v>
      </c>
      <c r="Q734" s="14">
        <f>CHOOSE(CONTROL!$C$42, 57.4877, 57.4877) * CHOOSE(CONTROL!$C$21, $C$9, 100%, $E$9)</f>
        <v>57.487699999999997</v>
      </c>
      <c r="R734" s="14">
        <f>CHOOSE(CONTROL!$C$42, 58.2184, 58.2184) * CHOOSE(CONTROL!$C$21, $C$9, 100%, $E$9)</f>
        <v>58.218400000000003</v>
      </c>
      <c r="S734" s="14">
        <f>CHOOSE(CONTROL!$C$42, 55.5366, 55.5366) * CHOOSE(CONTROL!$C$21, $C$9, 100%, $E$9)</f>
        <v>55.5366</v>
      </c>
      <c r="T73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34" s="56">
        <f>(1000*CHOOSE(CONTROL!$C$42, 695, 695)*CHOOSE(CONTROL!$C$42, 0.5599, 0.5599)*CHOOSE(CONTROL!$C$42, 28, 28))/1000000</f>
        <v>10.895653999999999</v>
      </c>
      <c r="V734" s="56">
        <f>(1000*CHOOSE(CONTROL!$C$42, 500, 500)*CHOOSE(CONTROL!$C$42, 0.275, 0.275)*CHOOSE(CONTROL!$C$42, 28, 28))/1000000</f>
        <v>3.85</v>
      </c>
      <c r="W734" s="56">
        <f>(1000*CHOOSE(CONTROL!$C$42, 0.1146, 0.1146)*CHOOSE(CONTROL!$C$42, 121.5, 121.5)*CHOOSE(CONTROL!$C$42, 28, 28))/1000000</f>
        <v>0.38986920000000003</v>
      </c>
      <c r="X734" s="56">
        <f>(28*0.1790888*100000/1000000)+(28*0.2374*100000/1000000)</f>
        <v>1.16616864</v>
      </c>
      <c r="Y734" s="56"/>
      <c r="Z734" s="14"/>
      <c r="AA734" s="55"/>
      <c r="AB734" s="49">
        <f>(B734*122.58+C734*297.941+D734*89.177+E734*40.302+F734*40+G734*160+H734*0+I734*100+J734*300)/(122.58+297.941+89.177+40.302+0+40+160+100+300)</f>
        <v>57.849331899739134</v>
      </c>
      <c r="AC734" s="45">
        <f>(M734*'RAP TEMPLATE-GAS AVAILABILITY'!O733+N734*'RAP TEMPLATE-GAS AVAILABILITY'!P733+O734*'RAP TEMPLATE-GAS AVAILABILITY'!Q733+P734*'RAP TEMPLATE-GAS AVAILABILITY'!R733)/('RAP TEMPLATE-GAS AVAILABILITY'!O733+'RAP TEMPLATE-GAS AVAILABILITY'!P733+'RAP TEMPLATE-GAS AVAILABILITY'!Q733+'RAP TEMPLATE-GAS AVAILABILITY'!R733)</f>
        <v>56.865253237410066</v>
      </c>
    </row>
    <row r="735" spans="1:29" ht="15.75" x14ac:dyDescent="0.25">
      <c r="A735" s="32">
        <v>63279</v>
      </c>
      <c r="B735" s="14">
        <f>CHOOSE(CONTROL!$C$42, 56.1645, 56.1645) * CHOOSE(CONTROL!$C$21, $C$9, 100%, $E$9)</f>
        <v>56.164499999999997</v>
      </c>
      <c r="C735" s="14">
        <f>CHOOSE(CONTROL!$C$42, 56.1696, 56.1696) * CHOOSE(CONTROL!$C$21, $C$9, 100%, $E$9)</f>
        <v>56.169600000000003</v>
      </c>
      <c r="D735" s="14">
        <f>CHOOSE(CONTROL!$C$42, 56.263, 56.263) * CHOOSE(CONTROL!$C$21, $C$9, 100%, $E$9)</f>
        <v>56.262999999999998</v>
      </c>
      <c r="E735" s="14">
        <f>CHOOSE(CONTROL!$C$42, 56.2971, 56.2971) * CHOOSE(CONTROL!$C$21, $C$9, 100%, $E$9)</f>
        <v>56.2971</v>
      </c>
      <c r="F735" s="14">
        <f>CHOOSE(CONTROL!$C$42, 56.1906, 56.1906)*CHOOSE(CONTROL!$C$21, $C$9, 100%, $E$9)</f>
        <v>56.190600000000003</v>
      </c>
      <c r="G735" s="14">
        <f>CHOOSE(CONTROL!$C$42, 56.2082, 56.2082)*CHOOSE(CONTROL!$C$21, $C$9, 100%, $E$9)</f>
        <v>56.208199999999998</v>
      </c>
      <c r="H735" s="14">
        <f>CHOOSE(CONTROL!$C$42, 56.2863, 56.2863) * CHOOSE(CONTROL!$C$21, $C$9, 100%, $E$9)</f>
        <v>56.286299999999997</v>
      </c>
      <c r="I735" s="14">
        <f>CHOOSE(CONTROL!$C$42, 56.3663, 56.3663)* CHOOSE(CONTROL!$C$21, $C$9, 100%, $E$9)</f>
        <v>56.366300000000003</v>
      </c>
      <c r="J735" s="14">
        <f>CHOOSE(CONTROL!$C$42, 56.1836, 56.1836)* CHOOSE(CONTROL!$C$21, $C$9, 100%, $E$9)</f>
        <v>56.183599999999998</v>
      </c>
      <c r="K735" s="52">
        <f>CHOOSE(CONTROL!$C$42, 56.3624, 56.3624) * CHOOSE(CONTROL!$C$21, $C$9, 100%, $E$9)</f>
        <v>56.362400000000001</v>
      </c>
      <c r="L735" s="14">
        <f>CHOOSE(CONTROL!$C$42, 56.8733, 56.8733) * CHOOSE(CONTROL!$C$21, $C$9, 100%, $E$9)</f>
        <v>56.8733</v>
      </c>
      <c r="M735" s="14">
        <f>CHOOSE(CONTROL!$C$42, 55.1807, 55.1807) * CHOOSE(CONTROL!$C$21, $C$9, 100%, $E$9)</f>
        <v>55.180700000000002</v>
      </c>
      <c r="N735" s="14">
        <f>CHOOSE(CONTROL!$C$42, 55.198, 55.198) * CHOOSE(CONTROL!$C$21, $C$9, 100%, $E$9)</f>
        <v>55.198</v>
      </c>
      <c r="O735" s="14">
        <f>CHOOSE(CONTROL!$C$42, 55.2816, 55.2816) * CHOOSE(CONTROL!$C$21, $C$9, 100%, $E$9)</f>
        <v>55.281599999999997</v>
      </c>
      <c r="P735" s="14">
        <f>CHOOSE(CONTROL!$C$42, 55.3571, 55.3571) * CHOOSE(CONTROL!$C$21, $C$9, 100%, $E$9)</f>
        <v>55.357100000000003</v>
      </c>
      <c r="Q735" s="14">
        <f>CHOOSE(CONTROL!$C$42, 55.8763, 55.8763) * CHOOSE(CONTROL!$C$21, $C$9, 100%, $E$9)</f>
        <v>55.876300000000001</v>
      </c>
      <c r="R735" s="14">
        <f>CHOOSE(CONTROL!$C$42, 56.603, 56.603) * CHOOSE(CONTROL!$C$21, $C$9, 100%, $E$9)</f>
        <v>56.603000000000002</v>
      </c>
      <c r="S735" s="14">
        <f>CHOOSE(CONTROL!$C$42, 53.9599, 53.9599) * CHOOSE(CONTROL!$C$21, $C$9, 100%, $E$9)</f>
        <v>53.959899999999998</v>
      </c>
      <c r="T7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35" s="56">
        <f>(1000*CHOOSE(CONTROL!$C$42, 695, 695)*CHOOSE(CONTROL!$C$42, 0.5599, 0.5599)*CHOOSE(CONTROL!$C$42, 31, 31))/1000000</f>
        <v>12.063045499999998</v>
      </c>
      <c r="V735" s="56">
        <f>(1000*CHOOSE(CONTROL!$C$42, 500, 500)*CHOOSE(CONTROL!$C$42, 0.275, 0.275)*CHOOSE(CONTROL!$C$42, 31, 31))/1000000</f>
        <v>4.2625000000000002</v>
      </c>
      <c r="W735" s="56">
        <f>(1000*CHOOSE(CONTROL!$C$42, 0.1146, 0.1146)*CHOOSE(CONTROL!$C$42, 121.5, 121.5)*CHOOSE(CONTROL!$C$42, 31, 31))/1000000</f>
        <v>0.43164089999999994</v>
      </c>
      <c r="X735" s="56">
        <f>(31*0.1790888*100000/1000000)+(31*0.2374*100000/1000000)</f>
        <v>1.2911152800000001</v>
      </c>
      <c r="Y735" s="56"/>
      <c r="Z735" s="14"/>
      <c r="AA735" s="55"/>
      <c r="AB735" s="49">
        <f>(B735*122.58+C735*297.941+D735*89.177+E735*40.302+F735*40+G735*160+H735*0+I735*100+J735*300)/(122.58+297.941+89.177+40.302+0+40+160+100+300)</f>
        <v>56.207624764173907</v>
      </c>
      <c r="AC735" s="45">
        <f>(M735*'RAP TEMPLATE-GAS AVAILABILITY'!O734+N735*'RAP TEMPLATE-GAS AVAILABILITY'!P734+O735*'RAP TEMPLATE-GAS AVAILABILITY'!Q734+P735*'RAP TEMPLATE-GAS AVAILABILITY'!R734)/('RAP TEMPLATE-GAS AVAILABILITY'!O734+'RAP TEMPLATE-GAS AVAILABILITY'!P734+'RAP TEMPLATE-GAS AVAILABILITY'!Q734+'RAP TEMPLATE-GAS AVAILABILITY'!R734)</f>
        <v>55.252808633093522</v>
      </c>
    </row>
    <row r="736" spans="1:29" ht="15.75" x14ac:dyDescent="0.25">
      <c r="A736" s="32">
        <v>63309</v>
      </c>
      <c r="B736" s="14">
        <f>CHOOSE(CONTROL!$C$42, 55.9974, 55.9974) * CHOOSE(CONTROL!$C$21, $C$9, 100%, $E$9)</f>
        <v>55.997399999999999</v>
      </c>
      <c r="C736" s="14">
        <f>CHOOSE(CONTROL!$C$42, 56.0018, 56.0018) * CHOOSE(CONTROL!$C$21, $C$9, 100%, $E$9)</f>
        <v>56.001800000000003</v>
      </c>
      <c r="D736" s="14">
        <f>CHOOSE(CONTROL!$C$42, 56.2641, 56.2641) * CHOOSE(CONTROL!$C$21, $C$9, 100%, $E$9)</f>
        <v>56.264099999999999</v>
      </c>
      <c r="E736" s="14">
        <f>CHOOSE(CONTROL!$C$42, 56.2962, 56.2962) * CHOOSE(CONTROL!$C$21, $C$9, 100%, $E$9)</f>
        <v>56.296199999999999</v>
      </c>
      <c r="F736" s="14">
        <f>CHOOSE(CONTROL!$C$42, 56.0202, 56.0202)*CHOOSE(CONTROL!$C$21, $C$9, 100%, $E$9)</f>
        <v>56.020200000000003</v>
      </c>
      <c r="G736" s="14">
        <f>CHOOSE(CONTROL!$C$42, 56.0369, 56.0369)*CHOOSE(CONTROL!$C$21, $C$9, 100%, $E$9)</f>
        <v>56.036900000000003</v>
      </c>
      <c r="H736" s="14">
        <f>CHOOSE(CONTROL!$C$42, 56.286, 56.286) * CHOOSE(CONTROL!$C$21, $C$9, 100%, $E$9)</f>
        <v>56.286000000000001</v>
      </c>
      <c r="I736" s="14">
        <f>CHOOSE(CONTROL!$C$42, 56.1952, 56.1952)* CHOOSE(CONTROL!$C$21, $C$9, 100%, $E$9)</f>
        <v>56.1952</v>
      </c>
      <c r="J736" s="14">
        <f>CHOOSE(CONTROL!$C$42, 56.0132, 56.0132)* CHOOSE(CONTROL!$C$21, $C$9, 100%, $E$9)</f>
        <v>56.013199999999998</v>
      </c>
      <c r="K736" s="52">
        <f>CHOOSE(CONTROL!$C$42, 56.1913, 56.1913) * CHOOSE(CONTROL!$C$21, $C$9, 100%, $E$9)</f>
        <v>56.191299999999998</v>
      </c>
      <c r="L736" s="14">
        <f>CHOOSE(CONTROL!$C$42, 56.873, 56.873) * CHOOSE(CONTROL!$C$21, $C$9, 100%, $E$9)</f>
        <v>56.872999999999998</v>
      </c>
      <c r="M736" s="14">
        <f>CHOOSE(CONTROL!$C$42, 55.0134, 55.0134) * CHOOSE(CONTROL!$C$21, $C$9, 100%, $E$9)</f>
        <v>55.013399999999997</v>
      </c>
      <c r="N736" s="14">
        <f>CHOOSE(CONTROL!$C$42, 55.0298, 55.0298) * CHOOSE(CONTROL!$C$21, $C$9, 100%, $E$9)</f>
        <v>55.029800000000002</v>
      </c>
      <c r="O736" s="14">
        <f>CHOOSE(CONTROL!$C$42, 55.2813, 55.2813) * CHOOSE(CONTROL!$C$21, $C$9, 100%, $E$9)</f>
        <v>55.281300000000002</v>
      </c>
      <c r="P736" s="14">
        <f>CHOOSE(CONTROL!$C$42, 55.1891, 55.1891) * CHOOSE(CONTROL!$C$21, $C$9, 100%, $E$9)</f>
        <v>55.189100000000003</v>
      </c>
      <c r="Q736" s="14">
        <f>CHOOSE(CONTROL!$C$42, 55.876, 55.876) * CHOOSE(CONTROL!$C$21, $C$9, 100%, $E$9)</f>
        <v>55.875999999999998</v>
      </c>
      <c r="R736" s="14">
        <f>CHOOSE(CONTROL!$C$42, 56.6027, 56.6027) * CHOOSE(CONTROL!$C$21, $C$9, 100%, $E$9)</f>
        <v>56.602699999999999</v>
      </c>
      <c r="S736" s="14">
        <f>CHOOSE(CONTROL!$C$42, 53.7986, 53.7986) * CHOOSE(CONTROL!$C$21, $C$9, 100%, $E$9)</f>
        <v>53.7986</v>
      </c>
      <c r="T7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36" s="56">
        <f>(1000*CHOOSE(CONTROL!$C$42, 695, 695)*CHOOSE(CONTROL!$C$42, 0.5599, 0.5599)*CHOOSE(CONTROL!$C$42, 30, 30))/1000000</f>
        <v>11.673914999999997</v>
      </c>
      <c r="V736" s="56">
        <f>(1000*CHOOSE(CONTROL!$C$42, 500, 500)*CHOOSE(CONTROL!$C$42, 0.275, 0.275)*CHOOSE(CONTROL!$C$42, 30, 30))/1000000</f>
        <v>4.125</v>
      </c>
      <c r="W736" s="56">
        <f>(1000*CHOOSE(CONTROL!$C$42, 0.1146, 0.1146)*CHOOSE(CONTROL!$C$42, 121.5, 121.5)*CHOOSE(CONTROL!$C$42, 30, 30))/1000000</f>
        <v>0.417717</v>
      </c>
      <c r="X736" s="56">
        <f>(30*0.1790888*245000/1000000)+(30*0.2374*100000/1000000)</f>
        <v>2.0285026799999999</v>
      </c>
      <c r="Y736" s="56"/>
      <c r="Z736" s="14"/>
      <c r="AA736" s="55"/>
      <c r="AB736" s="49">
        <f>(B736*141.293+C736*267.993+D736*115.016+E736*89.698+F736*40+G736*185+H736*0+I736*100+J736*300)/(141.293+267.993+115.016+89.698+0+40+185+100+300)</f>
        <v>56.071165293623899</v>
      </c>
      <c r="AC736" s="45">
        <f>(M736*'RAP TEMPLATE-GAS AVAILABILITY'!O735+N736*'RAP TEMPLATE-GAS AVAILABILITY'!P735+O736*'RAP TEMPLATE-GAS AVAILABILITY'!Q735+P736*'RAP TEMPLATE-GAS AVAILABILITY'!R735)/('RAP TEMPLATE-GAS AVAILABILITY'!O735+'RAP TEMPLATE-GAS AVAILABILITY'!P735+'RAP TEMPLATE-GAS AVAILABILITY'!Q735+'RAP TEMPLATE-GAS AVAILABILITY'!R735)</f>
        <v>55.161046762589933</v>
      </c>
    </row>
    <row r="737" spans="1:29" ht="15.75" x14ac:dyDescent="0.25">
      <c r="A737" s="32">
        <v>63340</v>
      </c>
      <c r="B737" s="14">
        <f>CHOOSE(CONTROL!$C$42, 56.4929, 56.4929) * CHOOSE(CONTROL!$C$21, $C$9, 100%, $E$9)</f>
        <v>56.492899999999999</v>
      </c>
      <c r="C737" s="14">
        <f>CHOOSE(CONTROL!$C$42, 56.5009, 56.5009) * CHOOSE(CONTROL!$C$21, $C$9, 100%, $E$9)</f>
        <v>56.500900000000001</v>
      </c>
      <c r="D737" s="14">
        <f>CHOOSE(CONTROL!$C$42, 56.76, 56.76) * CHOOSE(CONTROL!$C$21, $C$9, 100%, $E$9)</f>
        <v>56.76</v>
      </c>
      <c r="E737" s="14">
        <f>CHOOSE(CONTROL!$C$42, 56.7915, 56.7915) * CHOOSE(CONTROL!$C$21, $C$9, 100%, $E$9)</f>
        <v>56.791499999999999</v>
      </c>
      <c r="F737" s="14">
        <f>CHOOSE(CONTROL!$C$42, 56.5144, 56.5144)*CHOOSE(CONTROL!$C$21, $C$9, 100%, $E$9)</f>
        <v>56.514400000000002</v>
      </c>
      <c r="G737" s="14">
        <f>CHOOSE(CONTROL!$C$42, 56.5314, 56.5314)*CHOOSE(CONTROL!$C$21, $C$9, 100%, $E$9)</f>
        <v>56.531399999999998</v>
      </c>
      <c r="H737" s="14">
        <f>CHOOSE(CONTROL!$C$42, 56.7801, 56.7801) * CHOOSE(CONTROL!$C$21, $C$9, 100%, $E$9)</f>
        <v>56.780099999999997</v>
      </c>
      <c r="I737" s="14">
        <f>CHOOSE(CONTROL!$C$42, 56.6909, 56.6909)* CHOOSE(CONTROL!$C$21, $C$9, 100%, $E$9)</f>
        <v>56.690899999999999</v>
      </c>
      <c r="J737" s="14">
        <f>CHOOSE(CONTROL!$C$42, 56.5074, 56.5074)* CHOOSE(CONTROL!$C$21, $C$9, 100%, $E$9)</f>
        <v>56.507399999999997</v>
      </c>
      <c r="K737" s="52">
        <f>CHOOSE(CONTROL!$C$42, 56.687, 56.687) * CHOOSE(CONTROL!$C$21, $C$9, 100%, $E$9)</f>
        <v>56.686999999999998</v>
      </c>
      <c r="L737" s="14">
        <f>CHOOSE(CONTROL!$C$42, 57.3671, 57.3671) * CHOOSE(CONTROL!$C$21, $C$9, 100%, $E$9)</f>
        <v>57.367100000000001</v>
      </c>
      <c r="M737" s="14">
        <f>CHOOSE(CONTROL!$C$42, 55.4987, 55.4987) * CHOOSE(CONTROL!$C$21, $C$9, 100%, $E$9)</f>
        <v>55.498699999999999</v>
      </c>
      <c r="N737" s="14">
        <f>CHOOSE(CONTROL!$C$42, 55.5154, 55.5154) * CHOOSE(CONTROL!$C$21, $C$9, 100%, $E$9)</f>
        <v>55.5154</v>
      </c>
      <c r="O737" s="14">
        <f>CHOOSE(CONTROL!$C$42, 55.7665, 55.7665) * CHOOSE(CONTROL!$C$21, $C$9, 100%, $E$9)</f>
        <v>55.766500000000001</v>
      </c>
      <c r="P737" s="14">
        <f>CHOOSE(CONTROL!$C$42, 55.6759, 55.6759) * CHOOSE(CONTROL!$C$21, $C$9, 100%, $E$9)</f>
        <v>55.675899999999999</v>
      </c>
      <c r="Q737" s="14">
        <f>CHOOSE(CONTROL!$C$42, 56.3612, 56.3612) * CHOOSE(CONTROL!$C$21, $C$9, 100%, $E$9)</f>
        <v>56.361199999999997</v>
      </c>
      <c r="R737" s="14">
        <f>CHOOSE(CONTROL!$C$42, 57.0891, 57.0891) * CHOOSE(CONTROL!$C$21, $C$9, 100%, $E$9)</f>
        <v>57.089100000000002</v>
      </c>
      <c r="S737" s="14">
        <f>CHOOSE(CONTROL!$C$42, 54.2734, 54.2734) * CHOOSE(CONTROL!$C$21, $C$9, 100%, $E$9)</f>
        <v>54.273400000000002</v>
      </c>
      <c r="T7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37" s="56">
        <f>(1000*CHOOSE(CONTROL!$C$42, 695, 695)*CHOOSE(CONTROL!$C$42, 0.5599, 0.5599)*CHOOSE(CONTROL!$C$42, 31, 31))/1000000</f>
        <v>12.063045499999998</v>
      </c>
      <c r="V737" s="56">
        <f>(1000*CHOOSE(CONTROL!$C$42, 500, 500)*CHOOSE(CONTROL!$C$42, 0.275, 0.275)*CHOOSE(CONTROL!$C$42, 31, 31))/1000000</f>
        <v>4.2625000000000002</v>
      </c>
      <c r="W737" s="56">
        <f>(1000*CHOOSE(CONTROL!$C$42, 0.1146, 0.1146)*CHOOSE(CONTROL!$C$42, 121.5, 121.5)*CHOOSE(CONTROL!$C$42, 31, 31))/1000000</f>
        <v>0.43164089999999994</v>
      </c>
      <c r="X737" s="56">
        <f>(31*0.1790888*245000/1000000)+(31*0.2374*100000/1000000)</f>
        <v>2.0961194359999999</v>
      </c>
      <c r="Y737" s="56"/>
      <c r="Z737" s="14"/>
      <c r="AA737" s="55"/>
      <c r="AB737" s="49">
        <f>(B737*194.205+C737*267.466+D737*133.845+E737*53.484+F737*40+G737*185+H737*0+I737*100+J737*300)/(194.205+267.466+133.845+53.484+0+40+185+100+300)</f>
        <v>56.560398076844592</v>
      </c>
      <c r="AC737" s="45">
        <f>(M737*'RAP TEMPLATE-GAS AVAILABILITY'!O736+N737*'RAP TEMPLATE-GAS AVAILABILITY'!P736+O737*'RAP TEMPLATE-GAS AVAILABILITY'!Q736+P737*'RAP TEMPLATE-GAS AVAILABILITY'!R736)/('RAP TEMPLATE-GAS AVAILABILITY'!O736+'RAP TEMPLATE-GAS AVAILABILITY'!P736+'RAP TEMPLATE-GAS AVAILABILITY'!Q736+'RAP TEMPLATE-GAS AVAILABILITY'!R736)</f>
        <v>55.646534532374091</v>
      </c>
    </row>
    <row r="738" spans="1:29" ht="15.75" x14ac:dyDescent="0.25">
      <c r="A738" s="32">
        <v>63370</v>
      </c>
      <c r="B738" s="14">
        <f>CHOOSE(CONTROL!$C$42, 58.0951, 58.0951) * CHOOSE(CONTROL!$C$21, $C$9, 100%, $E$9)</f>
        <v>58.095100000000002</v>
      </c>
      <c r="C738" s="14">
        <f>CHOOSE(CONTROL!$C$42, 58.1031, 58.1031) * CHOOSE(CONTROL!$C$21, $C$9, 100%, $E$9)</f>
        <v>58.103099999999998</v>
      </c>
      <c r="D738" s="14">
        <f>CHOOSE(CONTROL!$C$42, 58.3622, 58.3622) * CHOOSE(CONTROL!$C$21, $C$9, 100%, $E$9)</f>
        <v>58.362200000000001</v>
      </c>
      <c r="E738" s="14">
        <f>CHOOSE(CONTROL!$C$42, 58.3936, 58.3936) * CHOOSE(CONTROL!$C$21, $C$9, 100%, $E$9)</f>
        <v>58.393599999999999</v>
      </c>
      <c r="F738" s="14">
        <f>CHOOSE(CONTROL!$C$42, 58.1168, 58.1168)*CHOOSE(CONTROL!$C$21, $C$9, 100%, $E$9)</f>
        <v>58.116799999999998</v>
      </c>
      <c r="G738" s="14">
        <f>CHOOSE(CONTROL!$C$42, 58.1339, 58.1339)*CHOOSE(CONTROL!$C$21, $C$9, 100%, $E$9)</f>
        <v>58.133899999999997</v>
      </c>
      <c r="H738" s="14">
        <f>CHOOSE(CONTROL!$C$42, 58.3823, 58.3823) * CHOOSE(CONTROL!$C$21, $C$9, 100%, $E$9)</f>
        <v>58.382300000000001</v>
      </c>
      <c r="I738" s="14">
        <f>CHOOSE(CONTROL!$C$42, 58.2981, 58.2981)* CHOOSE(CONTROL!$C$21, $C$9, 100%, $E$9)</f>
        <v>58.298099999999998</v>
      </c>
      <c r="J738" s="14">
        <f>CHOOSE(CONTROL!$C$42, 58.1098, 58.1098)* CHOOSE(CONTROL!$C$21, $C$9, 100%, $E$9)</f>
        <v>58.1098</v>
      </c>
      <c r="K738" s="52">
        <f>CHOOSE(CONTROL!$C$42, 58.2942, 58.2942) * CHOOSE(CONTROL!$C$21, $C$9, 100%, $E$9)</f>
        <v>58.294199999999996</v>
      </c>
      <c r="L738" s="14">
        <f>CHOOSE(CONTROL!$C$42, 58.9693, 58.9693) * CHOOSE(CONTROL!$C$21, $C$9, 100%, $E$9)</f>
        <v>58.969299999999997</v>
      </c>
      <c r="M738" s="14">
        <f>CHOOSE(CONTROL!$C$42, 57.0723, 57.0723) * CHOOSE(CONTROL!$C$21, $C$9, 100%, $E$9)</f>
        <v>57.072299999999998</v>
      </c>
      <c r="N738" s="14">
        <f>CHOOSE(CONTROL!$C$42, 57.0891, 57.0891) * CHOOSE(CONTROL!$C$21, $C$9, 100%, $E$9)</f>
        <v>57.089100000000002</v>
      </c>
      <c r="O738" s="14">
        <f>CHOOSE(CONTROL!$C$42, 57.3399, 57.3399) * CHOOSE(CONTROL!$C$21, $C$9, 100%, $E$9)</f>
        <v>57.3399</v>
      </c>
      <c r="P738" s="14">
        <f>CHOOSE(CONTROL!$C$42, 57.2541, 57.2541) * CHOOSE(CONTROL!$C$21, $C$9, 100%, $E$9)</f>
        <v>57.254100000000001</v>
      </c>
      <c r="Q738" s="14">
        <f>CHOOSE(CONTROL!$C$42, 57.9346, 57.9346) * CHOOSE(CONTROL!$C$21, $C$9, 100%, $E$9)</f>
        <v>57.934600000000003</v>
      </c>
      <c r="R738" s="14">
        <f>CHOOSE(CONTROL!$C$42, 58.6664, 58.6664) * CHOOSE(CONTROL!$C$21, $C$9, 100%, $E$9)</f>
        <v>58.666400000000003</v>
      </c>
      <c r="S738" s="14">
        <f>CHOOSE(CONTROL!$C$42, 55.8129, 55.8129) * CHOOSE(CONTROL!$C$21, $C$9, 100%, $E$9)</f>
        <v>55.812899999999999</v>
      </c>
      <c r="T7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38" s="56">
        <f>(1000*CHOOSE(CONTROL!$C$42, 695, 695)*CHOOSE(CONTROL!$C$42, 0.5599, 0.5599)*CHOOSE(CONTROL!$C$42, 30, 30))/1000000</f>
        <v>11.673914999999997</v>
      </c>
      <c r="V738" s="56">
        <f>(1000*CHOOSE(CONTROL!$C$42, 500, 500)*CHOOSE(CONTROL!$C$42, 0.275, 0.275)*CHOOSE(CONTROL!$C$42, 30, 30))/1000000</f>
        <v>4.125</v>
      </c>
      <c r="W738" s="56">
        <f>(1000*CHOOSE(CONTROL!$C$42, 0.1146, 0.1146)*CHOOSE(CONTROL!$C$42, 121.5, 121.5)*CHOOSE(CONTROL!$C$42, 30, 30))/1000000</f>
        <v>0.417717</v>
      </c>
      <c r="X738" s="56">
        <f>(30*0.1790888*245000/1000000)+(30*0.2374*100000/1000000)</f>
        <v>2.0285026799999999</v>
      </c>
      <c r="Y738" s="56"/>
      <c r="Z738" s="14"/>
      <c r="AA738" s="55"/>
      <c r="AB738" s="49">
        <f>(B738*194.205+C738*267.466+D738*133.845+E738*53.484+F738*40+G738*185+H738*0+I738*100+J738*300)/(194.205+267.466+133.845+53.484+0+40+185+100+300)</f>
        <v>58.1630832821821</v>
      </c>
      <c r="AC738" s="45">
        <f>(M738*'RAP TEMPLATE-GAS AVAILABILITY'!O737+N738*'RAP TEMPLATE-GAS AVAILABILITY'!P737+O738*'RAP TEMPLATE-GAS AVAILABILITY'!Q737+P738*'RAP TEMPLATE-GAS AVAILABILITY'!R737)/('RAP TEMPLATE-GAS AVAILABILITY'!O737+'RAP TEMPLATE-GAS AVAILABILITY'!P737+'RAP TEMPLATE-GAS AVAILABILITY'!Q737+'RAP TEMPLATE-GAS AVAILABILITY'!R737)</f>
        <v>57.220711510791361</v>
      </c>
    </row>
    <row r="739" spans="1:29" ht="15.75" x14ac:dyDescent="0.25">
      <c r="A739" s="32">
        <v>63401</v>
      </c>
      <c r="B739" s="14">
        <f>CHOOSE(CONTROL!$C$42, 56.9808, 56.9808) * CHOOSE(CONTROL!$C$21, $C$9, 100%, $E$9)</f>
        <v>56.980800000000002</v>
      </c>
      <c r="C739" s="14">
        <f>CHOOSE(CONTROL!$C$42, 56.9888, 56.9888) * CHOOSE(CONTROL!$C$21, $C$9, 100%, $E$9)</f>
        <v>56.988799999999998</v>
      </c>
      <c r="D739" s="14">
        <f>CHOOSE(CONTROL!$C$42, 57.2479, 57.2479) * CHOOSE(CONTROL!$C$21, $C$9, 100%, $E$9)</f>
        <v>57.247900000000001</v>
      </c>
      <c r="E739" s="14">
        <f>CHOOSE(CONTROL!$C$42, 57.2793, 57.2793) * CHOOSE(CONTROL!$C$21, $C$9, 100%, $E$9)</f>
        <v>57.279299999999999</v>
      </c>
      <c r="F739" s="14">
        <f>CHOOSE(CONTROL!$C$42, 57.003, 57.003)*CHOOSE(CONTROL!$C$21, $C$9, 100%, $E$9)</f>
        <v>57.003</v>
      </c>
      <c r="G739" s="14">
        <f>CHOOSE(CONTROL!$C$42, 57.0201, 57.0201)*CHOOSE(CONTROL!$C$21, $C$9, 100%, $E$9)</f>
        <v>57.020099999999999</v>
      </c>
      <c r="H739" s="14">
        <f>CHOOSE(CONTROL!$C$42, 57.268, 57.268) * CHOOSE(CONTROL!$C$21, $C$9, 100%, $E$9)</f>
        <v>57.268000000000001</v>
      </c>
      <c r="I739" s="14">
        <f>CHOOSE(CONTROL!$C$42, 57.1803, 57.1803)* CHOOSE(CONTROL!$C$21, $C$9, 100%, $E$9)</f>
        <v>57.180300000000003</v>
      </c>
      <c r="J739" s="14">
        <f>CHOOSE(CONTROL!$C$42, 56.996, 56.996)* CHOOSE(CONTROL!$C$21, $C$9, 100%, $E$9)</f>
        <v>56.996000000000002</v>
      </c>
      <c r="K739" s="52">
        <f>CHOOSE(CONTROL!$C$42, 57.1764, 57.1764) * CHOOSE(CONTROL!$C$21, $C$9, 100%, $E$9)</f>
        <v>57.176400000000001</v>
      </c>
      <c r="L739" s="14">
        <f>CHOOSE(CONTROL!$C$42, 57.855, 57.855) * CHOOSE(CONTROL!$C$21, $C$9, 100%, $E$9)</f>
        <v>57.854999999999997</v>
      </c>
      <c r="M739" s="14">
        <f>CHOOSE(CONTROL!$C$42, 55.9785, 55.9785) * CHOOSE(CONTROL!$C$21, $C$9, 100%, $E$9)</f>
        <v>55.978499999999997</v>
      </c>
      <c r="N739" s="14">
        <f>CHOOSE(CONTROL!$C$42, 55.9953, 55.9953) * CHOOSE(CONTROL!$C$21, $C$9, 100%, $E$9)</f>
        <v>55.9953</v>
      </c>
      <c r="O739" s="14">
        <f>CHOOSE(CONTROL!$C$42, 56.2456, 56.2456) * CHOOSE(CONTROL!$C$21, $C$9, 100%, $E$9)</f>
        <v>56.245600000000003</v>
      </c>
      <c r="P739" s="14">
        <f>CHOOSE(CONTROL!$C$42, 56.1564, 56.1564) * CHOOSE(CONTROL!$C$21, $C$9, 100%, $E$9)</f>
        <v>56.156399999999998</v>
      </c>
      <c r="Q739" s="14">
        <f>CHOOSE(CONTROL!$C$42, 56.8403, 56.8403) * CHOOSE(CONTROL!$C$21, $C$9, 100%, $E$9)</f>
        <v>56.840299999999999</v>
      </c>
      <c r="R739" s="14">
        <f>CHOOSE(CONTROL!$C$42, 57.5694, 57.5694) * CHOOSE(CONTROL!$C$21, $C$9, 100%, $E$9)</f>
        <v>57.569400000000002</v>
      </c>
      <c r="S739" s="14">
        <f>CHOOSE(CONTROL!$C$42, 54.7422, 54.7422) * CHOOSE(CONTROL!$C$21, $C$9, 100%, $E$9)</f>
        <v>54.742199999999997</v>
      </c>
      <c r="T7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39" s="56">
        <f>(1000*CHOOSE(CONTROL!$C$42, 695, 695)*CHOOSE(CONTROL!$C$42, 0.5599, 0.5599)*CHOOSE(CONTROL!$C$42, 31, 31))/1000000</f>
        <v>12.063045499999998</v>
      </c>
      <c r="V739" s="56">
        <f>(1000*CHOOSE(CONTROL!$C$42, 500, 500)*CHOOSE(CONTROL!$C$42, 0.275, 0.275)*CHOOSE(CONTROL!$C$42, 31, 31))/1000000</f>
        <v>4.2625000000000002</v>
      </c>
      <c r="W739" s="56">
        <f>(1000*CHOOSE(CONTROL!$C$42, 0.1146, 0.1146)*CHOOSE(CONTROL!$C$42, 121.5, 121.5)*CHOOSE(CONTROL!$C$42, 31, 31))/1000000</f>
        <v>0.43164089999999994</v>
      </c>
      <c r="X739" s="56">
        <f>(31*0.1790888*245000/1000000)+(31*0.2374*100000/1000000)</f>
        <v>2.0961194359999999</v>
      </c>
      <c r="Y739" s="56"/>
      <c r="Z739" s="14"/>
      <c r="AA739" s="55"/>
      <c r="AB739" s="49">
        <f>(B739*194.205+C739*267.466+D739*133.845+E739*53.484+F739*40+G739*185+H739*0+I739*100+J739*300)/(194.205+267.466+133.845+53.484+0+40+185+100+300)</f>
        <v>57.048714600863427</v>
      </c>
      <c r="AC739" s="45">
        <f>(M739*'RAP TEMPLATE-GAS AVAILABILITY'!O738+N739*'RAP TEMPLATE-GAS AVAILABILITY'!P738+O739*'RAP TEMPLATE-GAS AVAILABILITY'!Q738+P739*'RAP TEMPLATE-GAS AVAILABILITY'!R738)/('RAP TEMPLATE-GAS AVAILABILITY'!O738+'RAP TEMPLATE-GAS AVAILABILITY'!P738+'RAP TEMPLATE-GAS AVAILABILITY'!Q738+'RAP TEMPLATE-GAS AVAILABILITY'!R738)</f>
        <v>56.126123741007198</v>
      </c>
    </row>
    <row r="740" spans="1:29" ht="15.75" x14ac:dyDescent="0.25">
      <c r="A740" s="32">
        <v>63432</v>
      </c>
      <c r="B740" s="14">
        <f>CHOOSE(CONTROL!$C$42, 54.1668, 54.1668) * CHOOSE(CONTROL!$C$21, $C$9, 100%, $E$9)</f>
        <v>54.166800000000002</v>
      </c>
      <c r="C740" s="14">
        <f>CHOOSE(CONTROL!$C$42, 54.1748, 54.1748) * CHOOSE(CONTROL!$C$21, $C$9, 100%, $E$9)</f>
        <v>54.174799999999998</v>
      </c>
      <c r="D740" s="14">
        <f>CHOOSE(CONTROL!$C$42, 54.4339, 54.4339) * CHOOSE(CONTROL!$C$21, $C$9, 100%, $E$9)</f>
        <v>54.433900000000001</v>
      </c>
      <c r="E740" s="14">
        <f>CHOOSE(CONTROL!$C$42, 54.4653, 54.4653) * CHOOSE(CONTROL!$C$21, $C$9, 100%, $E$9)</f>
        <v>54.465299999999999</v>
      </c>
      <c r="F740" s="14">
        <f>CHOOSE(CONTROL!$C$42, 54.1892, 54.1892)*CHOOSE(CONTROL!$C$21, $C$9, 100%, $E$9)</f>
        <v>54.1892</v>
      </c>
      <c r="G740" s="14">
        <f>CHOOSE(CONTROL!$C$42, 54.2064, 54.2064)*CHOOSE(CONTROL!$C$21, $C$9, 100%, $E$9)</f>
        <v>54.206400000000002</v>
      </c>
      <c r="H740" s="14">
        <f>CHOOSE(CONTROL!$C$42, 54.454, 54.454) * CHOOSE(CONTROL!$C$21, $C$9, 100%, $E$9)</f>
        <v>54.454000000000001</v>
      </c>
      <c r="I740" s="14">
        <f>CHOOSE(CONTROL!$C$42, 54.3575, 54.3575)* CHOOSE(CONTROL!$C$21, $C$9, 100%, $E$9)</f>
        <v>54.357500000000002</v>
      </c>
      <c r="J740" s="14">
        <f>CHOOSE(CONTROL!$C$42, 54.1822, 54.1822)* CHOOSE(CONTROL!$C$21, $C$9, 100%, $E$9)</f>
        <v>54.182200000000002</v>
      </c>
      <c r="K740" s="52">
        <f>CHOOSE(CONTROL!$C$42, 54.3536, 54.3536) * CHOOSE(CONTROL!$C$21, $C$9, 100%, $E$9)</f>
        <v>54.3536</v>
      </c>
      <c r="L740" s="14">
        <f>CHOOSE(CONTROL!$C$42, 55.041, 55.041) * CHOOSE(CONTROL!$C$21, $C$9, 100%, $E$9)</f>
        <v>55.040999999999997</v>
      </c>
      <c r="M740" s="14">
        <f>CHOOSE(CONTROL!$C$42, 53.2153, 53.2153) * CHOOSE(CONTROL!$C$21, $C$9, 100%, $E$9)</f>
        <v>53.215299999999999</v>
      </c>
      <c r="N740" s="14">
        <f>CHOOSE(CONTROL!$C$42, 53.2322, 53.2322) * CHOOSE(CONTROL!$C$21, $C$9, 100%, $E$9)</f>
        <v>53.232199999999999</v>
      </c>
      <c r="O740" s="14">
        <f>CHOOSE(CONTROL!$C$42, 53.4822, 53.4822) * CHOOSE(CONTROL!$C$21, $C$9, 100%, $E$9)</f>
        <v>53.482199999999999</v>
      </c>
      <c r="P740" s="14">
        <f>CHOOSE(CONTROL!$C$42, 53.3845, 53.3845) * CHOOSE(CONTROL!$C$21, $C$9, 100%, $E$9)</f>
        <v>53.384500000000003</v>
      </c>
      <c r="Q740" s="14">
        <f>CHOOSE(CONTROL!$C$42, 54.0769, 54.0769) * CHOOSE(CONTROL!$C$21, $C$9, 100%, $E$9)</f>
        <v>54.076900000000002</v>
      </c>
      <c r="R740" s="14">
        <f>CHOOSE(CONTROL!$C$42, 54.7991, 54.7991) * CHOOSE(CONTROL!$C$21, $C$9, 100%, $E$9)</f>
        <v>54.799100000000003</v>
      </c>
      <c r="S740" s="14">
        <f>CHOOSE(CONTROL!$C$42, 52.0382, 52.0382) * CHOOSE(CONTROL!$C$21, $C$9, 100%, $E$9)</f>
        <v>52.038200000000003</v>
      </c>
      <c r="T7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740" s="56">
        <f>(1000*CHOOSE(CONTROL!$C$42, 695, 695)*CHOOSE(CONTROL!$C$42, 0.5599, 0.5599)*CHOOSE(CONTROL!$C$42, 31, 31))/1000000</f>
        <v>12.063045499999998</v>
      </c>
      <c r="V740" s="56">
        <f>(1000*CHOOSE(CONTROL!$C$42, 500, 500)*CHOOSE(CONTROL!$C$42, 0.275, 0.275)*CHOOSE(CONTROL!$C$42, 31, 31))/1000000</f>
        <v>4.2625000000000002</v>
      </c>
      <c r="W740" s="56">
        <f>(1000*CHOOSE(CONTROL!$C$42, 0.1146, 0.1146)*CHOOSE(CONTROL!$C$42, 121.5, 121.5)*CHOOSE(CONTROL!$C$42, 31, 31))/1000000</f>
        <v>0.43164089999999994</v>
      </c>
      <c r="X740" s="56">
        <f>(31*0.1790888*245000/1000000)+(31*0.2374*100000/1000000)</f>
        <v>2.0961194359999999</v>
      </c>
      <c r="Y740" s="56"/>
      <c r="Z740" s="14"/>
      <c r="AA740" s="55"/>
      <c r="AB740" s="49">
        <f>(B740*194.205+C740*267.466+D740*133.845+E740*53.484+F740*40+G740*185+H740*0+I740*100+J740*300)/(194.205+267.466+133.845+53.484+0+40+185+100+300)</f>
        <v>54.234120801805332</v>
      </c>
      <c r="AC740" s="45">
        <f>(M740*'RAP TEMPLATE-GAS AVAILABILITY'!O739+N740*'RAP TEMPLATE-GAS AVAILABILITY'!P739+O740*'RAP TEMPLATE-GAS AVAILABILITY'!Q739+P740*'RAP TEMPLATE-GAS AVAILABILITY'!R739)/('RAP TEMPLATE-GAS AVAILABILITY'!O739+'RAP TEMPLATE-GAS AVAILABILITY'!P739+'RAP TEMPLATE-GAS AVAILABILITY'!Q739+'RAP TEMPLATE-GAS AVAILABILITY'!R739)</f>
        <v>53.361587050359709</v>
      </c>
    </row>
    <row r="741" spans="1:29" ht="15.75" x14ac:dyDescent="0.25">
      <c r="A741" s="32">
        <v>63462</v>
      </c>
      <c r="B741" s="14">
        <f>CHOOSE(CONTROL!$C$42, 50.7284, 50.7284) * CHOOSE(CONTROL!$C$21, $C$9, 100%, $E$9)</f>
        <v>50.728400000000001</v>
      </c>
      <c r="C741" s="14">
        <f>CHOOSE(CONTROL!$C$42, 50.7364, 50.7364) * CHOOSE(CONTROL!$C$21, $C$9, 100%, $E$9)</f>
        <v>50.736400000000003</v>
      </c>
      <c r="D741" s="14">
        <f>CHOOSE(CONTROL!$C$42, 50.9955, 50.9955) * CHOOSE(CONTROL!$C$21, $C$9, 100%, $E$9)</f>
        <v>50.9955</v>
      </c>
      <c r="E741" s="14">
        <f>CHOOSE(CONTROL!$C$42, 51.0269, 51.0269) * CHOOSE(CONTROL!$C$21, $C$9, 100%, $E$9)</f>
        <v>51.026899999999998</v>
      </c>
      <c r="F741" s="14">
        <f>CHOOSE(CONTROL!$C$42, 50.7508, 50.7508)*CHOOSE(CONTROL!$C$21, $C$9, 100%, $E$9)</f>
        <v>50.750799999999998</v>
      </c>
      <c r="G741" s="14">
        <f>CHOOSE(CONTROL!$C$42, 50.7681, 50.7681)*CHOOSE(CONTROL!$C$21, $C$9, 100%, $E$9)</f>
        <v>50.768099999999997</v>
      </c>
      <c r="H741" s="14">
        <f>CHOOSE(CONTROL!$C$42, 51.0156, 51.0156) * CHOOSE(CONTROL!$C$21, $C$9, 100%, $E$9)</f>
        <v>51.015599999999999</v>
      </c>
      <c r="I741" s="14">
        <f>CHOOSE(CONTROL!$C$42, 50.9083, 50.9083)* CHOOSE(CONTROL!$C$21, $C$9, 100%, $E$9)</f>
        <v>50.908299999999997</v>
      </c>
      <c r="J741" s="14">
        <f>CHOOSE(CONTROL!$C$42, 50.7438, 50.7438)* CHOOSE(CONTROL!$C$21, $C$9, 100%, $E$9)</f>
        <v>50.7438</v>
      </c>
      <c r="K741" s="52">
        <f>CHOOSE(CONTROL!$C$42, 50.9044, 50.9044) * CHOOSE(CONTROL!$C$21, $C$9, 100%, $E$9)</f>
        <v>50.904400000000003</v>
      </c>
      <c r="L741" s="14">
        <f>CHOOSE(CONTROL!$C$42, 51.6026, 51.6026) * CHOOSE(CONTROL!$C$21, $C$9, 100%, $E$9)</f>
        <v>51.602600000000002</v>
      </c>
      <c r="M741" s="14">
        <f>CHOOSE(CONTROL!$C$42, 49.8388, 49.8388) * CHOOSE(CONTROL!$C$21, $C$9, 100%, $E$9)</f>
        <v>49.838799999999999</v>
      </c>
      <c r="N741" s="14">
        <f>CHOOSE(CONTROL!$C$42, 49.8557, 49.8557) * CHOOSE(CONTROL!$C$21, $C$9, 100%, $E$9)</f>
        <v>49.855699999999999</v>
      </c>
      <c r="O741" s="14">
        <f>CHOOSE(CONTROL!$C$42, 50.1057, 50.1057) * CHOOSE(CONTROL!$C$21, $C$9, 100%, $E$9)</f>
        <v>50.105699999999999</v>
      </c>
      <c r="P741" s="14">
        <f>CHOOSE(CONTROL!$C$42, 49.9976, 49.9976) * CHOOSE(CONTROL!$C$21, $C$9, 100%, $E$9)</f>
        <v>49.997599999999998</v>
      </c>
      <c r="Q741" s="14">
        <f>CHOOSE(CONTROL!$C$42, 50.7004, 50.7004) * CHOOSE(CONTROL!$C$21, $C$9, 100%, $E$9)</f>
        <v>50.700400000000002</v>
      </c>
      <c r="R741" s="14">
        <f>CHOOSE(CONTROL!$C$42, 51.4141, 51.4141) * CHOOSE(CONTROL!$C$21, $C$9, 100%, $E$9)</f>
        <v>51.414099999999998</v>
      </c>
      <c r="S741" s="14">
        <f>CHOOSE(CONTROL!$C$42, 48.7342, 48.7342) * CHOOSE(CONTROL!$C$21, $C$9, 100%, $E$9)</f>
        <v>48.734200000000001</v>
      </c>
      <c r="T7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741" s="56">
        <f>(1000*CHOOSE(CONTROL!$C$42, 695, 695)*CHOOSE(CONTROL!$C$42, 0.5599, 0.5599)*CHOOSE(CONTROL!$C$42, 30, 30))/1000000</f>
        <v>11.673914999999997</v>
      </c>
      <c r="V741" s="56">
        <f>(1000*CHOOSE(CONTROL!$C$42, 500, 500)*CHOOSE(CONTROL!$C$42, 0.275, 0.275)*CHOOSE(CONTROL!$C$42, 30, 30))/1000000</f>
        <v>4.125</v>
      </c>
      <c r="W741" s="56">
        <f>(1000*CHOOSE(CONTROL!$C$42, 0.1146, 0.1146)*CHOOSE(CONTROL!$C$42, 121.5, 121.5)*CHOOSE(CONTROL!$C$42, 30, 30))/1000000</f>
        <v>0.417717</v>
      </c>
      <c r="X741" s="56">
        <f>(30*0.1790888*245000/1000000)+(30*0.2374*100000/1000000)</f>
        <v>2.0285026799999999</v>
      </c>
      <c r="Y741" s="56"/>
      <c r="Z741" s="14"/>
      <c r="AA741" s="55"/>
      <c r="AB741" s="49">
        <f>(B741*194.205+C741*267.466+D741*133.845+E741*53.484+F741*40+G741*185+H741*0+I741*100+J741*300)/(194.205+267.466+133.845+53.484+0+40+185+100+300)</f>
        <v>50.794887599293567</v>
      </c>
      <c r="AC741" s="45">
        <f>(M741*'RAP TEMPLATE-GAS AVAILABILITY'!O740+N741*'RAP TEMPLATE-GAS AVAILABILITY'!P740+O741*'RAP TEMPLATE-GAS AVAILABILITY'!Q740+P741*'RAP TEMPLATE-GAS AVAILABILITY'!R740)/('RAP TEMPLATE-GAS AVAILABILITY'!O740+'RAP TEMPLATE-GAS AVAILABILITY'!P740+'RAP TEMPLATE-GAS AVAILABILITY'!Q740+'RAP TEMPLATE-GAS AVAILABILITY'!R740)</f>
        <v>49.983590647482018</v>
      </c>
    </row>
    <row r="742" spans="1:29" ht="15.75" x14ac:dyDescent="0.25">
      <c r="A742" s="32">
        <v>63493</v>
      </c>
      <c r="B742" s="14">
        <f>CHOOSE(CONTROL!$C$42, 49.6968, 49.6968) * CHOOSE(CONTROL!$C$21, $C$9, 100%, $E$9)</f>
        <v>49.696800000000003</v>
      </c>
      <c r="C742" s="14">
        <f>CHOOSE(CONTROL!$C$42, 49.7022, 49.7022) * CHOOSE(CONTROL!$C$21, $C$9, 100%, $E$9)</f>
        <v>49.702199999999998</v>
      </c>
      <c r="D742" s="14">
        <f>CHOOSE(CONTROL!$C$42, 49.9662, 49.9662) * CHOOSE(CONTROL!$C$21, $C$9, 100%, $E$9)</f>
        <v>49.966200000000001</v>
      </c>
      <c r="E742" s="14">
        <f>CHOOSE(CONTROL!$C$42, 49.9953, 49.9953) * CHOOSE(CONTROL!$C$21, $C$9, 100%, $E$9)</f>
        <v>49.9953</v>
      </c>
      <c r="F742" s="14">
        <f>CHOOSE(CONTROL!$C$42, 49.7215, 49.7215)*CHOOSE(CONTROL!$C$21, $C$9, 100%, $E$9)</f>
        <v>49.721499999999999</v>
      </c>
      <c r="G742" s="14">
        <f>CHOOSE(CONTROL!$C$42, 49.7386, 49.7386)*CHOOSE(CONTROL!$C$21, $C$9, 100%, $E$9)</f>
        <v>49.738599999999998</v>
      </c>
      <c r="H742" s="14">
        <f>CHOOSE(CONTROL!$C$42, 49.9858, 49.9858) * CHOOSE(CONTROL!$C$21, $C$9, 100%, $E$9)</f>
        <v>49.985799999999998</v>
      </c>
      <c r="I742" s="14">
        <f>CHOOSE(CONTROL!$C$42, 49.8754, 49.8754)* CHOOSE(CONTROL!$C$21, $C$9, 100%, $E$9)</f>
        <v>49.875399999999999</v>
      </c>
      <c r="J742" s="14">
        <f>CHOOSE(CONTROL!$C$42, 49.7145, 49.7145)* CHOOSE(CONTROL!$C$21, $C$9, 100%, $E$9)</f>
        <v>49.714500000000001</v>
      </c>
      <c r="K742" s="52">
        <f>CHOOSE(CONTROL!$C$42, 49.8715, 49.8715) * CHOOSE(CONTROL!$C$21, $C$9, 100%, $E$9)</f>
        <v>49.871499999999997</v>
      </c>
      <c r="L742" s="14">
        <f>CHOOSE(CONTROL!$C$42, 50.5728, 50.5728) * CHOOSE(CONTROL!$C$21, $C$9, 100%, $E$9)</f>
        <v>50.572800000000001</v>
      </c>
      <c r="M742" s="14">
        <f>CHOOSE(CONTROL!$C$42, 48.828, 48.828) * CHOOSE(CONTROL!$C$21, $C$9, 100%, $E$9)</f>
        <v>48.828000000000003</v>
      </c>
      <c r="N742" s="14">
        <f>CHOOSE(CONTROL!$C$42, 48.8448, 48.8448) * CHOOSE(CONTROL!$C$21, $C$9, 100%, $E$9)</f>
        <v>48.844799999999999</v>
      </c>
      <c r="O742" s="14">
        <f>CHOOSE(CONTROL!$C$42, 49.0944, 49.0944) * CHOOSE(CONTROL!$C$21, $C$9, 100%, $E$9)</f>
        <v>49.0944</v>
      </c>
      <c r="P742" s="14">
        <f>CHOOSE(CONTROL!$C$42, 48.9833, 48.9833) * CHOOSE(CONTROL!$C$21, $C$9, 100%, $E$9)</f>
        <v>48.9833</v>
      </c>
      <c r="Q742" s="14">
        <f>CHOOSE(CONTROL!$C$42, 49.6891, 49.6891) * CHOOSE(CONTROL!$C$21, $C$9, 100%, $E$9)</f>
        <v>49.689100000000003</v>
      </c>
      <c r="R742" s="14">
        <f>CHOOSE(CONTROL!$C$42, 50.4004, 50.4004) * CHOOSE(CONTROL!$C$21, $C$9, 100%, $E$9)</f>
        <v>50.400399999999998</v>
      </c>
      <c r="S742" s="14">
        <f>CHOOSE(CONTROL!$C$42, 47.7448, 47.7448) * CHOOSE(CONTROL!$C$21, $C$9, 100%, $E$9)</f>
        <v>47.744799999999998</v>
      </c>
      <c r="T7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42" s="56">
        <f>(1000*CHOOSE(CONTROL!$C$42, 695, 695)*CHOOSE(CONTROL!$C$42, 0.5599, 0.5599)*CHOOSE(CONTROL!$C$42, 31, 31))/1000000</f>
        <v>12.063045499999998</v>
      </c>
      <c r="V742" s="56">
        <f>(1000*CHOOSE(CONTROL!$C$42, 500, 500)*CHOOSE(CONTROL!$C$42, 0.275, 0.275)*CHOOSE(CONTROL!$C$42, 31, 31))/1000000</f>
        <v>4.2625000000000002</v>
      </c>
      <c r="W742" s="56">
        <f>(1000*CHOOSE(CONTROL!$C$42, 0.1146, 0.1146)*CHOOSE(CONTROL!$C$42, 121.5, 121.5)*CHOOSE(CONTROL!$C$42, 31, 31))/1000000</f>
        <v>0.43164089999999994</v>
      </c>
      <c r="X742" s="56">
        <f>(31*0.1790888*245000/1000000)+(31*0.2374*100000/1000000)</f>
        <v>2.0961194359999999</v>
      </c>
      <c r="Y742" s="56"/>
      <c r="Z742" s="14"/>
      <c r="AA742" s="55"/>
      <c r="AB742" s="49">
        <f>(B742*131.881+C742*277.167+D742*79.08+E742*125.872+F742*40+G742*185+H742*0+I742*100+J742*300)/(131.881+277.167+79.08+125.872+0+40+185+100+300)</f>
        <v>49.771267026472955</v>
      </c>
      <c r="AC742" s="45">
        <f>(M742*'RAP TEMPLATE-GAS AVAILABILITY'!O741+N742*'RAP TEMPLATE-GAS AVAILABILITY'!P741+O742*'RAP TEMPLATE-GAS AVAILABILITY'!Q741+P742*'RAP TEMPLATE-GAS AVAILABILITY'!R741)/('RAP TEMPLATE-GAS AVAILABILITY'!O741+'RAP TEMPLATE-GAS AVAILABILITY'!P741+'RAP TEMPLATE-GAS AVAILABILITY'!Q741+'RAP TEMPLATE-GAS AVAILABILITY'!R741)</f>
        <v>48.972054676258992</v>
      </c>
    </row>
    <row r="743" spans="1:29" ht="15.75" x14ac:dyDescent="0.25">
      <c r="A743" s="32">
        <v>63523</v>
      </c>
      <c r="B743" s="14">
        <f>CHOOSE(CONTROL!$C$42, 51.0054, 51.0054) * CHOOSE(CONTROL!$C$21, $C$9, 100%, $E$9)</f>
        <v>51.005400000000002</v>
      </c>
      <c r="C743" s="14">
        <f>CHOOSE(CONTROL!$C$42, 51.0105, 51.0105) * CHOOSE(CONTROL!$C$21, $C$9, 100%, $E$9)</f>
        <v>51.0105</v>
      </c>
      <c r="D743" s="14">
        <f>CHOOSE(CONTROL!$C$42, 51.0935, 51.0935) * CHOOSE(CONTROL!$C$21, $C$9, 100%, $E$9)</f>
        <v>51.093499999999999</v>
      </c>
      <c r="E743" s="14">
        <f>CHOOSE(CONTROL!$C$42, 51.1277, 51.1277) * CHOOSE(CONTROL!$C$21, $C$9, 100%, $E$9)</f>
        <v>51.127699999999997</v>
      </c>
      <c r="F743" s="14">
        <f>CHOOSE(CONTROL!$C$42, 51.033, 51.033)*CHOOSE(CONTROL!$C$21, $C$9, 100%, $E$9)</f>
        <v>51.033000000000001</v>
      </c>
      <c r="G743" s="14">
        <f>CHOOSE(CONTROL!$C$42, 51.0504, 51.0504)*CHOOSE(CONTROL!$C$21, $C$9, 100%, $E$9)</f>
        <v>51.050400000000003</v>
      </c>
      <c r="H743" s="14">
        <f>CHOOSE(CONTROL!$C$42, 51.1168, 51.1168) * CHOOSE(CONTROL!$C$21, $C$9, 100%, $E$9)</f>
        <v>51.116799999999998</v>
      </c>
      <c r="I743" s="14">
        <f>CHOOSE(CONTROL!$C$42, 51.1848, 51.1848)* CHOOSE(CONTROL!$C$21, $C$9, 100%, $E$9)</f>
        <v>51.184800000000003</v>
      </c>
      <c r="J743" s="14">
        <f>CHOOSE(CONTROL!$C$42, 51.026, 51.026)* CHOOSE(CONTROL!$C$21, $C$9, 100%, $E$9)</f>
        <v>51.026000000000003</v>
      </c>
      <c r="K743" s="52">
        <f>CHOOSE(CONTROL!$C$42, 51.1809, 51.1809) * CHOOSE(CONTROL!$C$21, $C$9, 100%, $E$9)</f>
        <v>51.180900000000001</v>
      </c>
      <c r="L743" s="14">
        <f>CHOOSE(CONTROL!$C$42, 51.7038, 51.7038) * CHOOSE(CONTROL!$C$21, $C$9, 100%, $E$9)</f>
        <v>51.703800000000001</v>
      </c>
      <c r="M743" s="14">
        <f>CHOOSE(CONTROL!$C$42, 50.1159, 50.1159) * CHOOSE(CONTROL!$C$21, $C$9, 100%, $E$9)</f>
        <v>50.115900000000003</v>
      </c>
      <c r="N743" s="14">
        <f>CHOOSE(CONTROL!$C$42, 50.133, 50.133) * CHOOSE(CONTROL!$C$21, $C$9, 100%, $E$9)</f>
        <v>50.133000000000003</v>
      </c>
      <c r="O743" s="14">
        <f>CHOOSE(CONTROL!$C$42, 50.2051, 50.2051) * CHOOSE(CONTROL!$C$21, $C$9, 100%, $E$9)</f>
        <v>50.205100000000002</v>
      </c>
      <c r="P743" s="14">
        <f>CHOOSE(CONTROL!$C$42, 50.2691, 50.2691) * CHOOSE(CONTROL!$C$21, $C$9, 100%, $E$9)</f>
        <v>50.269100000000002</v>
      </c>
      <c r="Q743" s="14">
        <f>CHOOSE(CONTROL!$C$42, 50.7998, 50.7998) * CHOOSE(CONTROL!$C$21, $C$9, 100%, $E$9)</f>
        <v>50.799799999999998</v>
      </c>
      <c r="R743" s="14">
        <f>CHOOSE(CONTROL!$C$42, 51.5138, 51.5138) * CHOOSE(CONTROL!$C$21, $C$9, 100%, $E$9)</f>
        <v>51.513800000000003</v>
      </c>
      <c r="S743" s="14">
        <f>CHOOSE(CONTROL!$C$42, 49.0026, 49.0026) * CHOOSE(CONTROL!$C$21, $C$9, 100%, $E$9)</f>
        <v>49.002600000000001</v>
      </c>
      <c r="T7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43" s="56">
        <f>(1000*CHOOSE(CONTROL!$C$42, 695, 695)*CHOOSE(CONTROL!$C$42, 0.5599, 0.5599)*CHOOSE(CONTROL!$C$42, 30, 30))/1000000</f>
        <v>11.673914999999997</v>
      </c>
      <c r="V743" s="56">
        <f>(1000*CHOOSE(CONTROL!$C$42, 500, 500)*CHOOSE(CONTROL!$C$42, 0.275, 0.275)*CHOOSE(CONTROL!$C$42, 30, 30))/1000000</f>
        <v>4.125</v>
      </c>
      <c r="W743" s="56">
        <f>(1000*CHOOSE(CONTROL!$C$42, 0.1146, 0.1146)*CHOOSE(CONTROL!$C$42, 121.5, 121.5)*CHOOSE(CONTROL!$C$42, 30, 30))/1000000</f>
        <v>0.417717</v>
      </c>
      <c r="X743" s="56">
        <f>(30*0.1790888*100000/1000000)+(30*0.2374*100000/1000000)</f>
        <v>1.2494664</v>
      </c>
      <c r="Y743" s="56"/>
      <c r="Z743" s="14"/>
      <c r="AA743" s="55"/>
      <c r="AB743" s="49">
        <f>(B743*122.58+C743*297.941+D743*89.177+E743*40.302+F743*40+G743*160+H743*0+I743*100+J743*300)/(122.58+297.941+89.177+40.302+0+40+160+100+300)</f>
        <v>51.046033849913051</v>
      </c>
      <c r="AC743" s="45">
        <f>(M743*'RAP TEMPLATE-GAS AVAILABILITY'!O742+N743*'RAP TEMPLATE-GAS AVAILABILITY'!P742+O743*'RAP TEMPLATE-GAS AVAILABILITY'!Q742+P743*'RAP TEMPLATE-GAS AVAILABILITY'!R742)/('RAP TEMPLATE-GAS AVAILABILITY'!O742+'RAP TEMPLATE-GAS AVAILABILITY'!P742+'RAP TEMPLATE-GAS AVAILABILITY'!Q742+'RAP TEMPLATE-GAS AVAILABILITY'!R742)</f>
        <v>50.179356115107907</v>
      </c>
    </row>
    <row r="744" spans="1:29" ht="15.75" x14ac:dyDescent="0.25">
      <c r="A744" s="32">
        <v>63554</v>
      </c>
      <c r="B744" s="14">
        <f>CHOOSE(CONTROL!$C$42, 54.4823, 54.4823) * CHOOSE(CONTROL!$C$21, $C$9, 100%, $E$9)</f>
        <v>54.482300000000002</v>
      </c>
      <c r="C744" s="14">
        <f>CHOOSE(CONTROL!$C$42, 54.4874, 54.4874) * CHOOSE(CONTROL!$C$21, $C$9, 100%, $E$9)</f>
        <v>54.487400000000001</v>
      </c>
      <c r="D744" s="14">
        <f>CHOOSE(CONTROL!$C$42, 54.5704, 54.5704) * CHOOSE(CONTROL!$C$21, $C$9, 100%, $E$9)</f>
        <v>54.570399999999999</v>
      </c>
      <c r="E744" s="14">
        <f>CHOOSE(CONTROL!$C$42, 54.6045, 54.6045) * CHOOSE(CONTROL!$C$21, $C$9, 100%, $E$9)</f>
        <v>54.604500000000002</v>
      </c>
      <c r="F744" s="14">
        <f>CHOOSE(CONTROL!$C$42, 54.5124, 54.5124)*CHOOSE(CONTROL!$C$21, $C$9, 100%, $E$9)</f>
        <v>54.5124</v>
      </c>
      <c r="G744" s="14">
        <f>CHOOSE(CONTROL!$C$42, 54.5304, 54.5304)*CHOOSE(CONTROL!$C$21, $C$9, 100%, $E$9)</f>
        <v>54.5304</v>
      </c>
      <c r="H744" s="14">
        <f>CHOOSE(CONTROL!$C$42, 54.5937, 54.5937) * CHOOSE(CONTROL!$C$21, $C$9, 100%, $E$9)</f>
        <v>54.593699999999998</v>
      </c>
      <c r="I744" s="14">
        <f>CHOOSE(CONTROL!$C$42, 54.6725, 54.6725)* CHOOSE(CONTROL!$C$21, $C$9, 100%, $E$9)</f>
        <v>54.672499999999999</v>
      </c>
      <c r="J744" s="14">
        <f>CHOOSE(CONTROL!$C$42, 54.5054, 54.5054)* CHOOSE(CONTROL!$C$21, $C$9, 100%, $E$9)</f>
        <v>54.505400000000002</v>
      </c>
      <c r="K744" s="52">
        <f>CHOOSE(CONTROL!$C$42, 54.6687, 54.6687) * CHOOSE(CONTROL!$C$21, $C$9, 100%, $E$9)</f>
        <v>54.668700000000001</v>
      </c>
      <c r="L744" s="14">
        <f>CHOOSE(CONTROL!$C$42, 55.1807, 55.1807) * CHOOSE(CONTROL!$C$21, $C$9, 100%, $E$9)</f>
        <v>55.180700000000002</v>
      </c>
      <c r="M744" s="14">
        <f>CHOOSE(CONTROL!$C$42, 53.5327, 53.5327) * CHOOSE(CONTROL!$C$21, $C$9, 100%, $E$9)</f>
        <v>53.532699999999998</v>
      </c>
      <c r="N744" s="14">
        <f>CHOOSE(CONTROL!$C$42, 53.5504, 53.5504) * CHOOSE(CONTROL!$C$21, $C$9, 100%, $E$9)</f>
        <v>53.550400000000003</v>
      </c>
      <c r="O744" s="14">
        <f>CHOOSE(CONTROL!$C$42, 53.6195, 53.6195) * CHOOSE(CONTROL!$C$21, $C$9, 100%, $E$9)</f>
        <v>53.619500000000002</v>
      </c>
      <c r="P744" s="14">
        <f>CHOOSE(CONTROL!$C$42, 53.6939, 53.6939) * CHOOSE(CONTROL!$C$21, $C$9, 100%, $E$9)</f>
        <v>53.693899999999999</v>
      </c>
      <c r="Q744" s="14">
        <f>CHOOSE(CONTROL!$C$42, 54.2142, 54.2142) * CHOOSE(CONTROL!$C$21, $C$9, 100%, $E$9)</f>
        <v>54.214199999999998</v>
      </c>
      <c r="R744" s="14">
        <f>CHOOSE(CONTROL!$C$42, 54.9367, 54.9367) * CHOOSE(CONTROL!$C$21, $C$9, 100%, $E$9)</f>
        <v>54.936700000000002</v>
      </c>
      <c r="S744" s="14">
        <f>CHOOSE(CONTROL!$C$42, 52.3435, 52.3435) * CHOOSE(CONTROL!$C$21, $C$9, 100%, $E$9)</f>
        <v>52.343499999999999</v>
      </c>
      <c r="T7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44" s="56">
        <f>(1000*CHOOSE(CONTROL!$C$42, 695, 695)*CHOOSE(CONTROL!$C$42, 0.5599, 0.5599)*CHOOSE(CONTROL!$C$42, 31, 31))/1000000</f>
        <v>12.063045499999998</v>
      </c>
      <c r="V744" s="56">
        <f>(1000*CHOOSE(CONTROL!$C$42, 500, 500)*CHOOSE(CONTROL!$C$42, 0.275, 0.275)*CHOOSE(CONTROL!$C$42, 31, 31))/1000000</f>
        <v>4.2625000000000002</v>
      </c>
      <c r="W744" s="56">
        <f>(1000*CHOOSE(CONTROL!$C$42, 0.1146, 0.1146)*CHOOSE(CONTROL!$C$42, 121.5, 121.5)*CHOOSE(CONTROL!$C$42, 31, 31))/1000000</f>
        <v>0.43164089999999994</v>
      </c>
      <c r="X744" s="56">
        <f>(31*0.1790888*100000/1000000)+(31*0.2374*100000/1000000)</f>
        <v>1.2911152800000001</v>
      </c>
      <c r="Y744" s="56"/>
      <c r="Z744" s="14"/>
      <c r="AA744" s="55"/>
      <c r="AB744" s="49">
        <f>(B744*122.58+C744*297.941+D744*89.177+E744*40.302+F744*40+G744*160+H744*0+I744*100+J744*300)/(122.58+297.941+89.177+40.302+0+40+160+100+300)</f>
        <v>54.52503991060869</v>
      </c>
      <c r="AC744" s="45">
        <f>(M744*'RAP TEMPLATE-GAS AVAILABILITY'!O743+N744*'RAP TEMPLATE-GAS AVAILABILITY'!P743+O744*'RAP TEMPLATE-GAS AVAILABILITY'!Q743+P744*'RAP TEMPLATE-GAS AVAILABILITY'!R743)/('RAP TEMPLATE-GAS AVAILABILITY'!O743+'RAP TEMPLATE-GAS AVAILABILITY'!P743+'RAP TEMPLATE-GAS AVAILABILITY'!Q743+'RAP TEMPLATE-GAS AVAILABILITY'!R743)</f>
        <v>53.596253956834538</v>
      </c>
    </row>
    <row r="745" spans="1:29" ht="15.75" x14ac:dyDescent="0.25">
      <c r="A745" s="32">
        <v>63585</v>
      </c>
      <c r="B745" s="14">
        <f>CHOOSE(CONTROL!$C$42, 58.9981, 58.9981) * CHOOSE(CONTROL!$C$21, $C$9, 100%, $E$9)</f>
        <v>58.998100000000001</v>
      </c>
      <c r="C745" s="14">
        <f>CHOOSE(CONTROL!$C$42, 59.0032, 59.0032) * CHOOSE(CONTROL!$C$21, $C$9, 100%, $E$9)</f>
        <v>59.0032</v>
      </c>
      <c r="D745" s="14">
        <f>CHOOSE(CONTROL!$C$42, 59.0967, 59.0967) * CHOOSE(CONTROL!$C$21, $C$9, 100%, $E$9)</f>
        <v>59.096699999999998</v>
      </c>
      <c r="E745" s="14">
        <f>CHOOSE(CONTROL!$C$42, 59.1308, 59.1308) * CHOOSE(CONTROL!$C$21, $C$9, 100%, $E$9)</f>
        <v>59.130800000000001</v>
      </c>
      <c r="F745" s="14">
        <f>CHOOSE(CONTROL!$C$42, 59.0254, 59.0254)*CHOOSE(CONTROL!$C$21, $C$9, 100%, $E$9)</f>
        <v>59.025399999999998</v>
      </c>
      <c r="G745" s="14">
        <f>CHOOSE(CONTROL!$C$42, 59.0434, 59.0434)*CHOOSE(CONTROL!$C$21, $C$9, 100%, $E$9)</f>
        <v>59.043399999999998</v>
      </c>
      <c r="H745" s="14">
        <f>CHOOSE(CONTROL!$C$42, 59.12, 59.12) * CHOOSE(CONTROL!$C$21, $C$9, 100%, $E$9)</f>
        <v>59.12</v>
      </c>
      <c r="I745" s="14">
        <f>CHOOSE(CONTROL!$C$42, 59.2088, 59.2088)* CHOOSE(CONTROL!$C$21, $C$9, 100%, $E$9)</f>
        <v>59.208799999999997</v>
      </c>
      <c r="J745" s="14">
        <f>CHOOSE(CONTROL!$C$42, 59.0184, 59.0184)* CHOOSE(CONTROL!$C$21, $C$9, 100%, $E$9)</f>
        <v>59.0184</v>
      </c>
      <c r="K745" s="52">
        <f>CHOOSE(CONTROL!$C$42, 59.2049, 59.2049) * CHOOSE(CONTROL!$C$21, $C$9, 100%, $E$9)</f>
        <v>59.204900000000002</v>
      </c>
      <c r="L745" s="14">
        <f>CHOOSE(CONTROL!$C$42, 59.707, 59.707) * CHOOSE(CONTROL!$C$21, $C$9, 100%, $E$9)</f>
        <v>59.707000000000001</v>
      </c>
      <c r="M745" s="14">
        <f>CHOOSE(CONTROL!$C$42, 57.9646, 57.9646) * CHOOSE(CONTROL!$C$21, $C$9, 100%, $E$9)</f>
        <v>57.964599999999997</v>
      </c>
      <c r="N745" s="14">
        <f>CHOOSE(CONTROL!$C$42, 57.9822, 57.9822) * CHOOSE(CONTROL!$C$21, $C$9, 100%, $E$9)</f>
        <v>57.982199999999999</v>
      </c>
      <c r="O745" s="14">
        <f>CHOOSE(CONTROL!$C$42, 58.0643, 58.0643) * CHOOSE(CONTROL!$C$21, $C$9, 100%, $E$9)</f>
        <v>58.064300000000003</v>
      </c>
      <c r="P745" s="14">
        <f>CHOOSE(CONTROL!$C$42, 58.1483, 58.1483) * CHOOSE(CONTROL!$C$21, $C$9, 100%, $E$9)</f>
        <v>58.148299999999999</v>
      </c>
      <c r="Q745" s="14">
        <f>CHOOSE(CONTROL!$C$42, 58.659, 58.659) * CHOOSE(CONTROL!$C$21, $C$9, 100%, $E$9)</f>
        <v>58.658999999999999</v>
      </c>
      <c r="R745" s="14">
        <f>CHOOSE(CONTROL!$C$42, 59.3926, 59.3926) * CHOOSE(CONTROL!$C$21, $C$9, 100%, $E$9)</f>
        <v>59.392600000000002</v>
      </c>
      <c r="S745" s="14">
        <f>CHOOSE(CONTROL!$C$42, 56.6828, 56.6828) * CHOOSE(CONTROL!$C$21, $C$9, 100%, $E$9)</f>
        <v>56.6828</v>
      </c>
      <c r="T7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45" s="56">
        <f>(1000*CHOOSE(CONTROL!$C$42, 695, 695)*CHOOSE(CONTROL!$C$42, 0.5599, 0.5599)*CHOOSE(CONTROL!$C$42, 31, 31))/1000000</f>
        <v>12.063045499999998</v>
      </c>
      <c r="V745" s="56">
        <f>(1000*CHOOSE(CONTROL!$C$42, 500, 500)*CHOOSE(CONTROL!$C$42, 0.275, 0.275)*CHOOSE(CONTROL!$C$42, 31, 31))/1000000</f>
        <v>4.2625000000000002</v>
      </c>
      <c r="W745" s="56">
        <f>(1000*CHOOSE(CONTROL!$C$42, 0.1146, 0.1146)*CHOOSE(CONTROL!$C$42, 121.5, 121.5)*CHOOSE(CONTROL!$C$42, 31, 31))/1000000</f>
        <v>0.43164089999999994</v>
      </c>
      <c r="X745" s="56">
        <f>(31*0.1790888*100000/1000000)+(31*0.2374*100000/1000000)</f>
        <v>1.2911152800000001</v>
      </c>
      <c r="Y745" s="56"/>
      <c r="Z745" s="14"/>
      <c r="AA745" s="55"/>
      <c r="AB745" s="49">
        <f>(B745*122.58+C745*297.941+D745*89.177+E745*40.302+F745*40+G745*160+H745*0+I745*100+J745*300)/(122.58+297.941+89.177+40.302+0+40+160+100+300)</f>
        <v>59.042587327565215</v>
      </c>
      <c r="AC745" s="45">
        <f>(M745*'RAP TEMPLATE-GAS AVAILABILITY'!O744+N745*'RAP TEMPLATE-GAS AVAILABILITY'!P744+O745*'RAP TEMPLATE-GAS AVAILABILITY'!Q744+P745*'RAP TEMPLATE-GAS AVAILABILITY'!R744)/('RAP TEMPLATE-GAS AVAILABILITY'!O744+'RAP TEMPLATE-GAS AVAILABILITY'!P744+'RAP TEMPLATE-GAS AVAILABILITY'!Q744+'RAP TEMPLATE-GAS AVAILABILITY'!R744)</f>
        <v>58.037232374100725</v>
      </c>
    </row>
    <row r="746" spans="1:29" ht="15.75" x14ac:dyDescent="0.25">
      <c r="A746" s="32">
        <v>63613</v>
      </c>
      <c r="B746" s="14">
        <f>CHOOSE(CONTROL!$C$42, 60.0482, 60.0482) * CHOOSE(CONTROL!$C$21, $C$9, 100%, $E$9)</f>
        <v>60.048200000000001</v>
      </c>
      <c r="C746" s="14">
        <f>CHOOSE(CONTROL!$C$42, 60.0533, 60.0533) * CHOOSE(CONTROL!$C$21, $C$9, 100%, $E$9)</f>
        <v>60.0533</v>
      </c>
      <c r="D746" s="14">
        <f>CHOOSE(CONTROL!$C$42, 60.1467, 60.1467) * CHOOSE(CONTROL!$C$21, $C$9, 100%, $E$9)</f>
        <v>60.146700000000003</v>
      </c>
      <c r="E746" s="14">
        <f>CHOOSE(CONTROL!$C$42, 60.1808, 60.1808) * CHOOSE(CONTROL!$C$21, $C$9, 100%, $E$9)</f>
        <v>60.180799999999998</v>
      </c>
      <c r="F746" s="14">
        <f>CHOOSE(CONTROL!$C$42, 60.0751, 60.0751)*CHOOSE(CONTROL!$C$21, $C$9, 100%, $E$9)</f>
        <v>60.075099999999999</v>
      </c>
      <c r="G746" s="14">
        <f>CHOOSE(CONTROL!$C$42, 60.093, 60.093)*CHOOSE(CONTROL!$C$21, $C$9, 100%, $E$9)</f>
        <v>60.093000000000004</v>
      </c>
      <c r="H746" s="14">
        <f>CHOOSE(CONTROL!$C$42, 60.17, 60.17) * CHOOSE(CONTROL!$C$21, $C$9, 100%, $E$9)</f>
        <v>60.17</v>
      </c>
      <c r="I746" s="14">
        <f>CHOOSE(CONTROL!$C$42, 60.2622, 60.2622)* CHOOSE(CONTROL!$C$21, $C$9, 100%, $E$9)</f>
        <v>60.2622</v>
      </c>
      <c r="J746" s="14">
        <f>CHOOSE(CONTROL!$C$42, 60.0681, 60.0681)* CHOOSE(CONTROL!$C$21, $C$9, 100%, $E$9)</f>
        <v>60.068100000000001</v>
      </c>
      <c r="K746" s="52">
        <f>CHOOSE(CONTROL!$C$42, 60.2583, 60.2583) * CHOOSE(CONTROL!$C$21, $C$9, 100%, $E$9)</f>
        <v>60.258299999999998</v>
      </c>
      <c r="L746" s="14">
        <f>CHOOSE(CONTROL!$C$42, 60.757, 60.757) * CHOOSE(CONTROL!$C$21, $C$9, 100%, $E$9)</f>
        <v>60.756999999999998</v>
      </c>
      <c r="M746" s="14">
        <f>CHOOSE(CONTROL!$C$42, 58.9954, 58.9954) * CHOOSE(CONTROL!$C$21, $C$9, 100%, $E$9)</f>
        <v>58.995399999999997</v>
      </c>
      <c r="N746" s="14">
        <f>CHOOSE(CONTROL!$C$42, 59.013, 59.013) * CHOOSE(CONTROL!$C$21, $C$9, 100%, $E$9)</f>
        <v>59.012999999999998</v>
      </c>
      <c r="O746" s="14">
        <f>CHOOSE(CONTROL!$C$42, 59.0955, 59.0955) * CHOOSE(CONTROL!$C$21, $C$9, 100%, $E$9)</f>
        <v>59.095500000000001</v>
      </c>
      <c r="P746" s="14">
        <f>CHOOSE(CONTROL!$C$42, 59.1827, 59.1827) * CHOOSE(CONTROL!$C$21, $C$9, 100%, $E$9)</f>
        <v>59.182699999999997</v>
      </c>
      <c r="Q746" s="14">
        <f>CHOOSE(CONTROL!$C$42, 59.6902, 59.6902) * CHOOSE(CONTROL!$C$21, $C$9, 100%, $E$9)</f>
        <v>59.690199999999997</v>
      </c>
      <c r="R746" s="14">
        <f>CHOOSE(CONTROL!$C$42, 60.4264, 60.4264) * CHOOSE(CONTROL!$C$21, $C$9, 100%, $E$9)</f>
        <v>60.426400000000001</v>
      </c>
      <c r="S746" s="14">
        <f>CHOOSE(CONTROL!$C$42, 57.6918, 57.6918) * CHOOSE(CONTROL!$C$21, $C$9, 100%, $E$9)</f>
        <v>57.691800000000001</v>
      </c>
      <c r="T74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46" s="56">
        <f>(1000*CHOOSE(CONTROL!$C$42, 695, 695)*CHOOSE(CONTROL!$C$42, 0.5599, 0.5599)*CHOOSE(CONTROL!$C$42, 28, 28))/1000000</f>
        <v>10.895653999999999</v>
      </c>
      <c r="V746" s="56">
        <f>(1000*CHOOSE(CONTROL!$C$42, 500, 500)*CHOOSE(CONTROL!$C$42, 0.275, 0.275)*CHOOSE(CONTROL!$C$42, 28, 28))/1000000</f>
        <v>3.85</v>
      </c>
      <c r="W746" s="56">
        <f>(1000*CHOOSE(CONTROL!$C$42, 0.1146, 0.1146)*CHOOSE(CONTROL!$C$42, 121.5, 121.5)*CHOOSE(CONTROL!$C$42, 28, 28))/1000000</f>
        <v>0.38986920000000003</v>
      </c>
      <c r="X746" s="56">
        <f>(28*0.1790888*100000/1000000)+(28*0.2374*100000/1000000)</f>
        <v>1.16616864</v>
      </c>
      <c r="Y746" s="56"/>
      <c r="Z746" s="14"/>
      <c r="AA746" s="55"/>
      <c r="AB746" s="49">
        <f>(B746*122.58+C746*297.941+D746*89.177+E746*40.302+F746*40+G746*160+H746*0+I746*100+J746*300)/(122.58+297.941+89.177+40.302+0+40+160+100+300)</f>
        <v>60.092775198956524</v>
      </c>
      <c r="AC746" s="45">
        <f>(M746*'RAP TEMPLATE-GAS AVAILABILITY'!O745+N746*'RAP TEMPLATE-GAS AVAILABILITY'!P745+O746*'RAP TEMPLATE-GAS AVAILABILITY'!Q745+P746*'RAP TEMPLATE-GAS AVAILABILITY'!R745)/('RAP TEMPLATE-GAS AVAILABILITY'!O745+'RAP TEMPLATE-GAS AVAILABILITY'!P745+'RAP TEMPLATE-GAS AVAILABILITY'!Q745+'RAP TEMPLATE-GAS AVAILABILITY'!R745)</f>
        <v>59.068731654676256</v>
      </c>
    </row>
    <row r="747" spans="1:29" ht="15.75" x14ac:dyDescent="0.25">
      <c r="A747" s="32">
        <v>63644</v>
      </c>
      <c r="B747" s="14">
        <f>CHOOSE(CONTROL!$C$42, 58.3437, 58.3437) * CHOOSE(CONTROL!$C$21, $C$9, 100%, $E$9)</f>
        <v>58.343699999999998</v>
      </c>
      <c r="C747" s="14">
        <f>CHOOSE(CONTROL!$C$42, 58.3487, 58.3487) * CHOOSE(CONTROL!$C$21, $C$9, 100%, $E$9)</f>
        <v>58.348700000000001</v>
      </c>
      <c r="D747" s="14">
        <f>CHOOSE(CONTROL!$C$42, 58.4422, 58.4422) * CHOOSE(CONTROL!$C$21, $C$9, 100%, $E$9)</f>
        <v>58.4422</v>
      </c>
      <c r="E747" s="14">
        <f>CHOOSE(CONTROL!$C$42, 58.4763, 58.4763) * CHOOSE(CONTROL!$C$21, $C$9, 100%, $E$9)</f>
        <v>58.476300000000002</v>
      </c>
      <c r="F747" s="14">
        <f>CHOOSE(CONTROL!$C$42, 58.3697, 58.3697)*CHOOSE(CONTROL!$C$21, $C$9, 100%, $E$9)</f>
        <v>58.369700000000002</v>
      </c>
      <c r="G747" s="14">
        <f>CHOOSE(CONTROL!$C$42, 58.3874, 58.3874)*CHOOSE(CONTROL!$C$21, $C$9, 100%, $E$9)</f>
        <v>58.3874</v>
      </c>
      <c r="H747" s="14">
        <f>CHOOSE(CONTROL!$C$42, 58.4655, 58.4655) * CHOOSE(CONTROL!$C$21, $C$9, 100%, $E$9)</f>
        <v>58.465499999999999</v>
      </c>
      <c r="I747" s="14">
        <f>CHOOSE(CONTROL!$C$42, 58.5523, 58.5523)* CHOOSE(CONTROL!$C$21, $C$9, 100%, $E$9)</f>
        <v>58.552300000000002</v>
      </c>
      <c r="J747" s="14">
        <f>CHOOSE(CONTROL!$C$42, 58.3627, 58.3627)* CHOOSE(CONTROL!$C$21, $C$9, 100%, $E$9)</f>
        <v>58.362699999999997</v>
      </c>
      <c r="K747" s="52">
        <f>CHOOSE(CONTROL!$C$42, 58.5484, 58.5484) * CHOOSE(CONTROL!$C$21, $C$9, 100%, $E$9)</f>
        <v>58.548400000000001</v>
      </c>
      <c r="L747" s="14">
        <f>CHOOSE(CONTROL!$C$42, 59.0525, 59.0525) * CHOOSE(CONTROL!$C$21, $C$9, 100%, $E$9)</f>
        <v>59.052500000000002</v>
      </c>
      <c r="M747" s="14">
        <f>CHOOSE(CONTROL!$C$42, 57.3207, 57.3207) * CHOOSE(CONTROL!$C$21, $C$9, 100%, $E$9)</f>
        <v>57.320700000000002</v>
      </c>
      <c r="N747" s="14">
        <f>CHOOSE(CONTROL!$C$42, 57.338, 57.338) * CHOOSE(CONTROL!$C$21, $C$9, 100%, $E$9)</f>
        <v>57.338000000000001</v>
      </c>
      <c r="O747" s="14">
        <f>CHOOSE(CONTROL!$C$42, 57.4216, 57.4216) * CHOOSE(CONTROL!$C$21, $C$9, 100%, $E$9)</f>
        <v>57.421599999999998</v>
      </c>
      <c r="P747" s="14">
        <f>CHOOSE(CONTROL!$C$42, 57.5036, 57.5036) * CHOOSE(CONTROL!$C$21, $C$9, 100%, $E$9)</f>
        <v>57.503599999999999</v>
      </c>
      <c r="Q747" s="14">
        <f>CHOOSE(CONTROL!$C$42, 58.0163, 58.0163) * CHOOSE(CONTROL!$C$21, $C$9, 100%, $E$9)</f>
        <v>58.016300000000001</v>
      </c>
      <c r="R747" s="14">
        <f>CHOOSE(CONTROL!$C$42, 58.7483, 58.7483) * CHOOSE(CONTROL!$C$21, $C$9, 100%, $E$9)</f>
        <v>58.7483</v>
      </c>
      <c r="S747" s="14">
        <f>CHOOSE(CONTROL!$C$42, 56.0539, 56.0539) * CHOOSE(CONTROL!$C$21, $C$9, 100%, $E$9)</f>
        <v>56.053899999999999</v>
      </c>
      <c r="T7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47" s="56">
        <f>(1000*CHOOSE(CONTROL!$C$42, 695, 695)*CHOOSE(CONTROL!$C$42, 0.5599, 0.5599)*CHOOSE(CONTROL!$C$42, 31, 31))/1000000</f>
        <v>12.063045499999998</v>
      </c>
      <c r="V747" s="56">
        <f>(1000*CHOOSE(CONTROL!$C$42, 500, 500)*CHOOSE(CONTROL!$C$42, 0.275, 0.275)*CHOOSE(CONTROL!$C$42, 31, 31))/1000000</f>
        <v>4.2625000000000002</v>
      </c>
      <c r="W747" s="56">
        <f>(1000*CHOOSE(CONTROL!$C$42, 0.1146, 0.1146)*CHOOSE(CONTROL!$C$42, 121.5, 121.5)*CHOOSE(CONTROL!$C$42, 31, 31))/1000000</f>
        <v>0.43164089999999994</v>
      </c>
      <c r="X747" s="56">
        <f>(31*0.1790888*100000/1000000)+(31*0.2374*100000/1000000)</f>
        <v>1.2911152800000001</v>
      </c>
      <c r="Y747" s="56"/>
      <c r="Z747" s="14"/>
      <c r="AA747" s="55"/>
      <c r="AB747" s="49">
        <f>(B747*122.58+C747*297.941+D747*89.177+E747*40.302+F747*40+G747*160+H747*0+I747*100+J747*300)/(122.58+297.941+89.177+40.302+0+40+160+100+300)</f>
        <v>58.387360595391314</v>
      </c>
      <c r="AC747" s="45">
        <f>(M747*'RAP TEMPLATE-GAS AVAILABILITY'!O746+N747*'RAP TEMPLATE-GAS AVAILABILITY'!P746+O747*'RAP TEMPLATE-GAS AVAILABILITY'!Q746+P747*'RAP TEMPLATE-GAS AVAILABILITY'!R746)/('RAP TEMPLATE-GAS AVAILABILITY'!O746+'RAP TEMPLATE-GAS AVAILABILITY'!P746+'RAP TEMPLATE-GAS AVAILABILITY'!Q746+'RAP TEMPLATE-GAS AVAILABILITY'!R746)</f>
        <v>57.393743884892089</v>
      </c>
    </row>
    <row r="748" spans="1:29" ht="15.75" x14ac:dyDescent="0.25">
      <c r="A748" s="32">
        <v>63674</v>
      </c>
      <c r="B748" s="14">
        <f>CHOOSE(CONTROL!$C$42, 58.17, 58.17) * CHOOSE(CONTROL!$C$21, $C$9, 100%, $E$9)</f>
        <v>58.17</v>
      </c>
      <c r="C748" s="14">
        <f>CHOOSE(CONTROL!$C$42, 58.1745, 58.1745) * CHOOSE(CONTROL!$C$21, $C$9, 100%, $E$9)</f>
        <v>58.174500000000002</v>
      </c>
      <c r="D748" s="14">
        <f>CHOOSE(CONTROL!$C$42, 58.4367, 58.4367) * CHOOSE(CONTROL!$C$21, $C$9, 100%, $E$9)</f>
        <v>58.436700000000002</v>
      </c>
      <c r="E748" s="14">
        <f>CHOOSE(CONTROL!$C$42, 58.4688, 58.4688) * CHOOSE(CONTROL!$C$21, $C$9, 100%, $E$9)</f>
        <v>58.468800000000002</v>
      </c>
      <c r="F748" s="14">
        <f>CHOOSE(CONTROL!$C$42, 58.1928, 58.1928)*CHOOSE(CONTROL!$C$21, $C$9, 100%, $E$9)</f>
        <v>58.192799999999998</v>
      </c>
      <c r="G748" s="14">
        <f>CHOOSE(CONTROL!$C$42, 58.2095, 58.2095)*CHOOSE(CONTROL!$C$21, $C$9, 100%, $E$9)</f>
        <v>58.209499999999998</v>
      </c>
      <c r="H748" s="14">
        <f>CHOOSE(CONTROL!$C$42, 58.4586, 58.4586) * CHOOSE(CONTROL!$C$21, $C$9, 100%, $E$9)</f>
        <v>58.458599999999997</v>
      </c>
      <c r="I748" s="14">
        <f>CHOOSE(CONTROL!$C$42, 58.3747, 58.3747)* CHOOSE(CONTROL!$C$21, $C$9, 100%, $E$9)</f>
        <v>58.374699999999997</v>
      </c>
      <c r="J748" s="14">
        <f>CHOOSE(CONTROL!$C$42, 58.1858, 58.1858)* CHOOSE(CONTROL!$C$21, $C$9, 100%, $E$9)</f>
        <v>58.1858</v>
      </c>
      <c r="K748" s="52">
        <f>CHOOSE(CONTROL!$C$42, 58.3708, 58.3708) * CHOOSE(CONTROL!$C$21, $C$9, 100%, $E$9)</f>
        <v>58.370800000000003</v>
      </c>
      <c r="L748" s="14">
        <f>CHOOSE(CONTROL!$C$42, 59.0456, 59.0456) * CHOOSE(CONTROL!$C$21, $C$9, 100%, $E$9)</f>
        <v>59.0456</v>
      </c>
      <c r="M748" s="14">
        <f>CHOOSE(CONTROL!$C$42, 57.147, 57.147) * CHOOSE(CONTROL!$C$21, $C$9, 100%, $E$9)</f>
        <v>57.146999999999998</v>
      </c>
      <c r="N748" s="14">
        <f>CHOOSE(CONTROL!$C$42, 57.1634, 57.1634) * CHOOSE(CONTROL!$C$21, $C$9, 100%, $E$9)</f>
        <v>57.163400000000003</v>
      </c>
      <c r="O748" s="14">
        <f>CHOOSE(CONTROL!$C$42, 57.4148, 57.4148) * CHOOSE(CONTROL!$C$21, $C$9, 100%, $E$9)</f>
        <v>57.4148</v>
      </c>
      <c r="P748" s="14">
        <f>CHOOSE(CONTROL!$C$42, 57.3293, 57.3293) * CHOOSE(CONTROL!$C$21, $C$9, 100%, $E$9)</f>
        <v>57.329300000000003</v>
      </c>
      <c r="Q748" s="14">
        <f>CHOOSE(CONTROL!$C$42, 58.0095, 58.0095) * CHOOSE(CONTROL!$C$21, $C$9, 100%, $E$9)</f>
        <v>58.009500000000003</v>
      </c>
      <c r="R748" s="14">
        <f>CHOOSE(CONTROL!$C$42, 58.7416, 58.7416) * CHOOSE(CONTROL!$C$21, $C$9, 100%, $E$9)</f>
        <v>58.741599999999998</v>
      </c>
      <c r="S748" s="14">
        <f>CHOOSE(CONTROL!$C$42, 55.8863, 55.8863) * CHOOSE(CONTROL!$C$21, $C$9, 100%, $E$9)</f>
        <v>55.886299999999999</v>
      </c>
      <c r="T7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48" s="56">
        <f>(1000*CHOOSE(CONTROL!$C$42, 695, 695)*CHOOSE(CONTROL!$C$42, 0.5599, 0.5599)*CHOOSE(CONTROL!$C$42, 30, 30))/1000000</f>
        <v>11.673914999999997</v>
      </c>
      <c r="V748" s="56">
        <f>(1000*CHOOSE(CONTROL!$C$42, 500, 500)*CHOOSE(CONTROL!$C$42, 0.275, 0.275)*CHOOSE(CONTROL!$C$42, 30, 30))/1000000</f>
        <v>4.125</v>
      </c>
      <c r="W748" s="56">
        <f>(1000*CHOOSE(CONTROL!$C$42, 0.1146, 0.1146)*CHOOSE(CONTROL!$C$42, 121.5, 121.5)*CHOOSE(CONTROL!$C$42, 30, 30))/1000000</f>
        <v>0.417717</v>
      </c>
      <c r="X748" s="56">
        <f>(30*0.1790888*245000/1000000)+(30*0.2374*100000/1000000)</f>
        <v>2.0285026799999999</v>
      </c>
      <c r="Y748" s="56"/>
      <c r="Z748" s="14"/>
      <c r="AA748" s="55"/>
      <c r="AB748" s="49">
        <f>(B748*141.293+C748*267.993+D748*115.016+E748*89.698+F748*40+G748*185+H748*0+I748*100+J748*300)/(141.293+267.993+115.016+89.698+0+40+185+100+300)</f>
        <v>58.244343824132365</v>
      </c>
      <c r="AC748" s="45">
        <f>(M748*'RAP TEMPLATE-GAS AVAILABILITY'!O747+N748*'RAP TEMPLATE-GAS AVAILABILITY'!P747+O748*'RAP TEMPLATE-GAS AVAILABILITY'!Q747+P748*'RAP TEMPLATE-GAS AVAILABILITY'!R747)/('RAP TEMPLATE-GAS AVAILABILITY'!O747+'RAP TEMPLATE-GAS AVAILABILITY'!P747+'RAP TEMPLATE-GAS AVAILABILITY'!Q747+'RAP TEMPLATE-GAS AVAILABILITY'!R747)</f>
        <v>57.295551079136693</v>
      </c>
    </row>
    <row r="749" spans="1:29" ht="15.75" x14ac:dyDescent="0.25">
      <c r="A749" s="32">
        <v>63705</v>
      </c>
      <c r="B749" s="14">
        <f>CHOOSE(CONTROL!$C$42, 58.6847, 58.6847) * CHOOSE(CONTROL!$C$21, $C$9, 100%, $E$9)</f>
        <v>58.684699999999999</v>
      </c>
      <c r="C749" s="14">
        <f>CHOOSE(CONTROL!$C$42, 58.6928, 58.6928) * CHOOSE(CONTROL!$C$21, $C$9, 100%, $E$9)</f>
        <v>58.692799999999998</v>
      </c>
      <c r="D749" s="14">
        <f>CHOOSE(CONTROL!$C$42, 58.9518, 58.9518) * CHOOSE(CONTROL!$C$21, $C$9, 100%, $E$9)</f>
        <v>58.951799999999999</v>
      </c>
      <c r="E749" s="14">
        <f>CHOOSE(CONTROL!$C$42, 58.9833, 58.9833) * CHOOSE(CONTROL!$C$21, $C$9, 100%, $E$9)</f>
        <v>58.9833</v>
      </c>
      <c r="F749" s="14">
        <f>CHOOSE(CONTROL!$C$42, 58.7063, 58.7063)*CHOOSE(CONTROL!$C$21, $C$9, 100%, $E$9)</f>
        <v>58.706299999999999</v>
      </c>
      <c r="G749" s="14">
        <f>CHOOSE(CONTROL!$C$42, 58.7232, 58.7232)*CHOOSE(CONTROL!$C$21, $C$9, 100%, $E$9)</f>
        <v>58.723199999999999</v>
      </c>
      <c r="H749" s="14">
        <f>CHOOSE(CONTROL!$C$42, 58.9719, 58.9719) * CHOOSE(CONTROL!$C$21, $C$9, 100%, $E$9)</f>
        <v>58.971899999999998</v>
      </c>
      <c r="I749" s="14">
        <f>CHOOSE(CONTROL!$C$42, 58.8896, 58.8896)* CHOOSE(CONTROL!$C$21, $C$9, 100%, $E$9)</f>
        <v>58.889600000000002</v>
      </c>
      <c r="J749" s="14">
        <f>CHOOSE(CONTROL!$C$42, 58.6993, 58.6993)* CHOOSE(CONTROL!$C$21, $C$9, 100%, $E$9)</f>
        <v>58.699300000000001</v>
      </c>
      <c r="K749" s="52">
        <f>CHOOSE(CONTROL!$C$42, 58.8857, 58.8857) * CHOOSE(CONTROL!$C$21, $C$9, 100%, $E$9)</f>
        <v>58.8857</v>
      </c>
      <c r="L749" s="14">
        <f>CHOOSE(CONTROL!$C$42, 59.5589, 59.5589) * CHOOSE(CONTROL!$C$21, $C$9, 100%, $E$9)</f>
        <v>59.558900000000001</v>
      </c>
      <c r="M749" s="14">
        <f>CHOOSE(CONTROL!$C$42, 57.6511, 57.6511) * CHOOSE(CONTROL!$C$21, $C$9, 100%, $E$9)</f>
        <v>57.6511</v>
      </c>
      <c r="N749" s="14">
        <f>CHOOSE(CONTROL!$C$42, 57.6678, 57.6678) * CHOOSE(CONTROL!$C$21, $C$9, 100%, $E$9)</f>
        <v>57.6678</v>
      </c>
      <c r="O749" s="14">
        <f>CHOOSE(CONTROL!$C$42, 57.9189, 57.9189) * CHOOSE(CONTROL!$C$21, $C$9, 100%, $E$9)</f>
        <v>57.918900000000001</v>
      </c>
      <c r="P749" s="14">
        <f>CHOOSE(CONTROL!$C$42, 57.8349, 57.8349) * CHOOSE(CONTROL!$C$21, $C$9, 100%, $E$9)</f>
        <v>57.834899999999998</v>
      </c>
      <c r="Q749" s="14">
        <f>CHOOSE(CONTROL!$C$42, 58.5136, 58.5136) * CHOOSE(CONTROL!$C$21, $C$9, 100%, $E$9)</f>
        <v>58.513599999999997</v>
      </c>
      <c r="R749" s="14">
        <f>CHOOSE(CONTROL!$C$42, 59.2469, 59.2469) * CHOOSE(CONTROL!$C$21, $C$9, 100%, $E$9)</f>
        <v>59.246899999999997</v>
      </c>
      <c r="S749" s="14">
        <f>CHOOSE(CONTROL!$C$42, 56.3795, 56.3795) * CHOOSE(CONTROL!$C$21, $C$9, 100%, $E$9)</f>
        <v>56.3795</v>
      </c>
      <c r="T7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49" s="56">
        <f>(1000*CHOOSE(CONTROL!$C$42, 695, 695)*CHOOSE(CONTROL!$C$42, 0.5599, 0.5599)*CHOOSE(CONTROL!$C$42, 31, 31))/1000000</f>
        <v>12.063045499999998</v>
      </c>
      <c r="V749" s="56">
        <f>(1000*CHOOSE(CONTROL!$C$42, 500, 500)*CHOOSE(CONTROL!$C$42, 0.275, 0.275)*CHOOSE(CONTROL!$C$42, 31, 31))/1000000</f>
        <v>4.2625000000000002</v>
      </c>
      <c r="W749" s="56">
        <f>(1000*CHOOSE(CONTROL!$C$42, 0.1146, 0.1146)*CHOOSE(CONTROL!$C$42, 121.5, 121.5)*CHOOSE(CONTROL!$C$42, 31, 31))/1000000</f>
        <v>0.43164089999999994</v>
      </c>
      <c r="X749" s="56">
        <f>(31*0.1790888*245000/1000000)+(31*0.2374*100000/1000000)</f>
        <v>2.0961194359999999</v>
      </c>
      <c r="Y749" s="56"/>
      <c r="Z749" s="14"/>
      <c r="AA749" s="55"/>
      <c r="AB749" s="49">
        <f>(B749*194.205+C749*267.466+D749*133.845+E749*53.484+F749*40+G749*185+H749*0+I749*100+J749*300)/(194.205+267.466+133.845+53.484+0+40+185+100+300)</f>
        <v>58.752787359890107</v>
      </c>
      <c r="AC749" s="45">
        <f>(M749*'RAP TEMPLATE-GAS AVAILABILITY'!O748+N749*'RAP TEMPLATE-GAS AVAILABILITY'!P748+O749*'RAP TEMPLATE-GAS AVAILABILITY'!Q748+P749*'RAP TEMPLATE-GAS AVAILABILITY'!R748)/('RAP TEMPLATE-GAS AVAILABILITY'!O748+'RAP TEMPLATE-GAS AVAILABILITY'!P748+'RAP TEMPLATE-GAS AVAILABILITY'!Q748+'RAP TEMPLATE-GAS AVAILABILITY'!R748)</f>
        <v>57.799884172661862</v>
      </c>
    </row>
    <row r="750" spans="1:29" ht="15.75" x14ac:dyDescent="0.25">
      <c r="A750" s="32">
        <v>63735</v>
      </c>
      <c r="B750" s="14">
        <f>CHOOSE(CONTROL!$C$42, 60.3491, 60.3491) * CHOOSE(CONTROL!$C$21, $C$9, 100%, $E$9)</f>
        <v>60.3491</v>
      </c>
      <c r="C750" s="14">
        <f>CHOOSE(CONTROL!$C$42, 60.3571, 60.3571) * CHOOSE(CONTROL!$C$21, $C$9, 100%, $E$9)</f>
        <v>60.357100000000003</v>
      </c>
      <c r="D750" s="14">
        <f>CHOOSE(CONTROL!$C$42, 60.6162, 60.6162) * CHOOSE(CONTROL!$C$21, $C$9, 100%, $E$9)</f>
        <v>60.616199999999999</v>
      </c>
      <c r="E750" s="14">
        <f>CHOOSE(CONTROL!$C$42, 60.6476, 60.6476) * CHOOSE(CONTROL!$C$21, $C$9, 100%, $E$9)</f>
        <v>60.647599999999997</v>
      </c>
      <c r="F750" s="14">
        <f>CHOOSE(CONTROL!$C$42, 60.3708, 60.3708)*CHOOSE(CONTROL!$C$21, $C$9, 100%, $E$9)</f>
        <v>60.370800000000003</v>
      </c>
      <c r="G750" s="14">
        <f>CHOOSE(CONTROL!$C$42, 60.3879, 60.3879)*CHOOSE(CONTROL!$C$21, $C$9, 100%, $E$9)</f>
        <v>60.387900000000002</v>
      </c>
      <c r="H750" s="14">
        <f>CHOOSE(CONTROL!$C$42, 60.6363, 60.6363) * CHOOSE(CONTROL!$C$21, $C$9, 100%, $E$9)</f>
        <v>60.636299999999999</v>
      </c>
      <c r="I750" s="14">
        <f>CHOOSE(CONTROL!$C$42, 60.5592, 60.5592)* CHOOSE(CONTROL!$C$21, $C$9, 100%, $E$9)</f>
        <v>60.559199999999997</v>
      </c>
      <c r="J750" s="14">
        <f>CHOOSE(CONTROL!$C$42, 60.3638, 60.3638)* CHOOSE(CONTROL!$C$21, $C$9, 100%, $E$9)</f>
        <v>60.363799999999998</v>
      </c>
      <c r="K750" s="52">
        <f>CHOOSE(CONTROL!$C$42, 60.5553, 60.5553) * CHOOSE(CONTROL!$C$21, $C$9, 100%, $E$9)</f>
        <v>60.555300000000003</v>
      </c>
      <c r="L750" s="14">
        <f>CHOOSE(CONTROL!$C$42, 61.2233, 61.2233) * CHOOSE(CONTROL!$C$21, $C$9, 100%, $E$9)</f>
        <v>61.223300000000002</v>
      </c>
      <c r="M750" s="14">
        <f>CHOOSE(CONTROL!$C$42, 59.2858, 59.2858) * CHOOSE(CONTROL!$C$21, $C$9, 100%, $E$9)</f>
        <v>59.285800000000002</v>
      </c>
      <c r="N750" s="14">
        <f>CHOOSE(CONTROL!$C$42, 59.3025, 59.3025) * CHOOSE(CONTROL!$C$21, $C$9, 100%, $E$9)</f>
        <v>59.302500000000002</v>
      </c>
      <c r="O750" s="14">
        <f>CHOOSE(CONTROL!$C$42, 59.5533, 59.5533) * CHOOSE(CONTROL!$C$21, $C$9, 100%, $E$9)</f>
        <v>59.5533</v>
      </c>
      <c r="P750" s="14">
        <f>CHOOSE(CONTROL!$C$42, 59.4743, 59.4743) * CHOOSE(CONTROL!$C$21, $C$9, 100%, $E$9)</f>
        <v>59.474299999999999</v>
      </c>
      <c r="Q750" s="14">
        <f>CHOOSE(CONTROL!$C$42, 60.148, 60.148) * CHOOSE(CONTROL!$C$21, $C$9, 100%, $E$9)</f>
        <v>60.148000000000003</v>
      </c>
      <c r="R750" s="14">
        <f>CHOOSE(CONTROL!$C$42, 60.8854, 60.8854) * CHOOSE(CONTROL!$C$21, $C$9, 100%, $E$9)</f>
        <v>60.885399999999997</v>
      </c>
      <c r="S750" s="14">
        <f>CHOOSE(CONTROL!$C$42, 57.9788, 57.9788) * CHOOSE(CONTROL!$C$21, $C$9, 100%, $E$9)</f>
        <v>57.9788</v>
      </c>
      <c r="T7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50" s="56">
        <f>(1000*CHOOSE(CONTROL!$C$42, 695, 695)*CHOOSE(CONTROL!$C$42, 0.5599, 0.5599)*CHOOSE(CONTROL!$C$42, 30, 30))/1000000</f>
        <v>11.673914999999997</v>
      </c>
      <c r="V750" s="56">
        <f>(1000*CHOOSE(CONTROL!$C$42, 500, 500)*CHOOSE(CONTROL!$C$42, 0.275, 0.275)*CHOOSE(CONTROL!$C$42, 30, 30))/1000000</f>
        <v>4.125</v>
      </c>
      <c r="W750" s="56">
        <f>(1000*CHOOSE(CONTROL!$C$42, 0.1146, 0.1146)*CHOOSE(CONTROL!$C$42, 121.5, 121.5)*CHOOSE(CONTROL!$C$42, 30, 30))/1000000</f>
        <v>0.417717</v>
      </c>
      <c r="X750" s="56">
        <f>(30*0.1790888*245000/1000000)+(30*0.2374*100000/1000000)</f>
        <v>2.0285026799999999</v>
      </c>
      <c r="Y750" s="56"/>
      <c r="Z750" s="14"/>
      <c r="AA750" s="55"/>
      <c r="AB750" s="49">
        <f>(B750*194.205+C750*267.466+D750*133.845+E750*53.484+F750*40+G750*185+H750*0+I750*100+J750*300)/(194.205+267.466+133.845+53.484+0+40+185+100+300)</f>
        <v>60.417640582025122</v>
      </c>
      <c r="AC750" s="45">
        <f>(M750*'RAP TEMPLATE-GAS AVAILABILITY'!O749+N750*'RAP TEMPLATE-GAS AVAILABILITY'!P749+O750*'RAP TEMPLATE-GAS AVAILABILITY'!Q749+P750*'RAP TEMPLATE-GAS AVAILABILITY'!R749)/('RAP TEMPLATE-GAS AVAILABILITY'!O749+'RAP TEMPLATE-GAS AVAILABILITY'!P749+'RAP TEMPLATE-GAS AVAILABILITY'!Q749+'RAP TEMPLATE-GAS AVAILABILITY'!R749)</f>
        <v>59.435124460431645</v>
      </c>
    </row>
    <row r="751" spans="1:29" ht="15.75" x14ac:dyDescent="0.25">
      <c r="A751" s="32">
        <v>63766</v>
      </c>
      <c r="B751" s="14">
        <f>CHOOSE(CONTROL!$C$42, 59.1915, 59.1915) * CHOOSE(CONTROL!$C$21, $C$9, 100%, $E$9)</f>
        <v>59.191499999999998</v>
      </c>
      <c r="C751" s="14">
        <f>CHOOSE(CONTROL!$C$42, 59.1995, 59.1995) * CHOOSE(CONTROL!$C$21, $C$9, 100%, $E$9)</f>
        <v>59.1995</v>
      </c>
      <c r="D751" s="14">
        <f>CHOOSE(CONTROL!$C$42, 59.4586, 59.4586) * CHOOSE(CONTROL!$C$21, $C$9, 100%, $E$9)</f>
        <v>59.458599999999997</v>
      </c>
      <c r="E751" s="14">
        <f>CHOOSE(CONTROL!$C$42, 59.4901, 59.4901) * CHOOSE(CONTROL!$C$21, $C$9, 100%, $E$9)</f>
        <v>59.490099999999998</v>
      </c>
      <c r="F751" s="14">
        <f>CHOOSE(CONTROL!$C$42, 59.2137, 59.2137)*CHOOSE(CONTROL!$C$21, $C$9, 100%, $E$9)</f>
        <v>59.213700000000003</v>
      </c>
      <c r="G751" s="14">
        <f>CHOOSE(CONTROL!$C$42, 59.2309, 59.2309)*CHOOSE(CONTROL!$C$21, $C$9, 100%, $E$9)</f>
        <v>59.230899999999998</v>
      </c>
      <c r="H751" s="14">
        <f>CHOOSE(CONTROL!$C$42, 59.4787, 59.4787) * CHOOSE(CONTROL!$C$21, $C$9, 100%, $E$9)</f>
        <v>59.478700000000003</v>
      </c>
      <c r="I751" s="14">
        <f>CHOOSE(CONTROL!$C$42, 59.398, 59.398)* CHOOSE(CONTROL!$C$21, $C$9, 100%, $E$9)</f>
        <v>59.398000000000003</v>
      </c>
      <c r="J751" s="14">
        <f>CHOOSE(CONTROL!$C$42, 59.2067, 59.2067)* CHOOSE(CONTROL!$C$21, $C$9, 100%, $E$9)</f>
        <v>59.206699999999998</v>
      </c>
      <c r="K751" s="52">
        <f>CHOOSE(CONTROL!$C$42, 59.3941, 59.3941) * CHOOSE(CONTROL!$C$21, $C$9, 100%, $E$9)</f>
        <v>59.394100000000002</v>
      </c>
      <c r="L751" s="14">
        <f>CHOOSE(CONTROL!$C$42, 60.0657, 60.0657) * CHOOSE(CONTROL!$C$21, $C$9, 100%, $E$9)</f>
        <v>60.0657</v>
      </c>
      <c r="M751" s="14">
        <f>CHOOSE(CONTROL!$C$42, 58.1495, 58.1495) * CHOOSE(CONTROL!$C$21, $C$9, 100%, $E$9)</f>
        <v>58.149500000000003</v>
      </c>
      <c r="N751" s="14">
        <f>CHOOSE(CONTROL!$C$42, 58.1663, 58.1663) * CHOOSE(CONTROL!$C$21, $C$9, 100%, $E$9)</f>
        <v>58.1663</v>
      </c>
      <c r="O751" s="14">
        <f>CHOOSE(CONTROL!$C$42, 58.4166, 58.4166) * CHOOSE(CONTROL!$C$21, $C$9, 100%, $E$9)</f>
        <v>58.416600000000003</v>
      </c>
      <c r="P751" s="14">
        <f>CHOOSE(CONTROL!$C$42, 58.3341, 58.3341) * CHOOSE(CONTROL!$C$21, $C$9, 100%, $E$9)</f>
        <v>58.334099999999999</v>
      </c>
      <c r="Q751" s="14">
        <f>CHOOSE(CONTROL!$C$42, 59.0113, 59.0113) * CHOOSE(CONTROL!$C$21, $C$9, 100%, $E$9)</f>
        <v>59.011299999999999</v>
      </c>
      <c r="R751" s="14">
        <f>CHOOSE(CONTROL!$C$42, 59.7458, 59.7458) * CHOOSE(CONTROL!$C$21, $C$9, 100%, $E$9)</f>
        <v>59.745800000000003</v>
      </c>
      <c r="S751" s="14">
        <f>CHOOSE(CONTROL!$C$42, 56.8665, 56.8665) * CHOOSE(CONTROL!$C$21, $C$9, 100%, $E$9)</f>
        <v>56.866500000000002</v>
      </c>
      <c r="T7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51" s="56">
        <f>(1000*CHOOSE(CONTROL!$C$42, 695, 695)*CHOOSE(CONTROL!$C$42, 0.5599, 0.5599)*CHOOSE(CONTROL!$C$42, 31, 31))/1000000</f>
        <v>12.063045499999998</v>
      </c>
      <c r="V751" s="56">
        <f>(1000*CHOOSE(CONTROL!$C$42, 500, 500)*CHOOSE(CONTROL!$C$42, 0.275, 0.275)*CHOOSE(CONTROL!$C$42, 31, 31))/1000000</f>
        <v>4.2625000000000002</v>
      </c>
      <c r="W751" s="56">
        <f>(1000*CHOOSE(CONTROL!$C$42, 0.1146, 0.1146)*CHOOSE(CONTROL!$C$42, 121.5, 121.5)*CHOOSE(CONTROL!$C$42, 31, 31))/1000000</f>
        <v>0.43164089999999994</v>
      </c>
      <c r="X751" s="56">
        <f>(31*0.1790888*245000/1000000)+(31*0.2374*100000/1000000)</f>
        <v>2.0961194359999999</v>
      </c>
      <c r="Y751" s="56"/>
      <c r="Z751" s="14"/>
      <c r="AA751" s="55"/>
      <c r="AB751" s="49">
        <f>(B751*194.205+C751*267.466+D751*133.845+E751*53.484+F751*40+G751*185+H751*0+I751*100+J751*300)/(194.205+267.466+133.845+53.484+0+40+185+100+300)</f>
        <v>59.259982770722139</v>
      </c>
      <c r="AC751" s="45">
        <f>(M751*'RAP TEMPLATE-GAS AVAILABILITY'!O750+N751*'RAP TEMPLATE-GAS AVAILABILITY'!P750+O751*'RAP TEMPLATE-GAS AVAILABILITY'!Q750+P751*'RAP TEMPLATE-GAS AVAILABILITY'!R750)/('RAP TEMPLATE-GAS AVAILABILITY'!O750+'RAP TEMPLATE-GAS AVAILABILITY'!P750+'RAP TEMPLATE-GAS AVAILABILITY'!Q750+'RAP TEMPLATE-GAS AVAILABILITY'!R750)</f>
        <v>58.298087769784175</v>
      </c>
    </row>
    <row r="752" spans="1:29" ht="15.75" x14ac:dyDescent="0.25">
      <c r="A752" s="32">
        <v>63797</v>
      </c>
      <c r="B752" s="14">
        <f>CHOOSE(CONTROL!$C$42, 56.2683, 56.2683) * CHOOSE(CONTROL!$C$21, $C$9, 100%, $E$9)</f>
        <v>56.268300000000004</v>
      </c>
      <c r="C752" s="14">
        <f>CHOOSE(CONTROL!$C$42, 56.2763, 56.2763) * CHOOSE(CONTROL!$C$21, $C$9, 100%, $E$9)</f>
        <v>56.276299999999999</v>
      </c>
      <c r="D752" s="14">
        <f>CHOOSE(CONTROL!$C$42, 56.5354, 56.5354) * CHOOSE(CONTROL!$C$21, $C$9, 100%, $E$9)</f>
        <v>56.535400000000003</v>
      </c>
      <c r="E752" s="14">
        <f>CHOOSE(CONTROL!$C$42, 56.5669, 56.5669) * CHOOSE(CONTROL!$C$21, $C$9, 100%, $E$9)</f>
        <v>56.566899999999997</v>
      </c>
      <c r="F752" s="14">
        <f>CHOOSE(CONTROL!$C$42, 56.2907, 56.2907)*CHOOSE(CONTROL!$C$21, $C$9, 100%, $E$9)</f>
        <v>56.290700000000001</v>
      </c>
      <c r="G752" s="14">
        <f>CHOOSE(CONTROL!$C$42, 56.3079, 56.3079)*CHOOSE(CONTROL!$C$21, $C$9, 100%, $E$9)</f>
        <v>56.307899999999997</v>
      </c>
      <c r="H752" s="14">
        <f>CHOOSE(CONTROL!$C$42, 56.5555, 56.5555) * CHOOSE(CONTROL!$C$21, $C$9, 100%, $E$9)</f>
        <v>56.555500000000002</v>
      </c>
      <c r="I752" s="14">
        <f>CHOOSE(CONTROL!$C$42, 56.4656, 56.4656)* CHOOSE(CONTROL!$C$21, $C$9, 100%, $E$9)</f>
        <v>56.465600000000002</v>
      </c>
      <c r="J752" s="14">
        <f>CHOOSE(CONTROL!$C$42, 56.2837, 56.2837)* CHOOSE(CONTROL!$C$21, $C$9, 100%, $E$9)</f>
        <v>56.283700000000003</v>
      </c>
      <c r="K752" s="52">
        <f>CHOOSE(CONTROL!$C$42, 56.4617, 56.4617) * CHOOSE(CONTROL!$C$21, $C$9, 100%, $E$9)</f>
        <v>56.4617</v>
      </c>
      <c r="L752" s="14">
        <f>CHOOSE(CONTROL!$C$42, 57.1425, 57.1425) * CHOOSE(CONTROL!$C$21, $C$9, 100%, $E$9)</f>
        <v>57.142499999999998</v>
      </c>
      <c r="M752" s="14">
        <f>CHOOSE(CONTROL!$C$42, 55.2791, 55.2791) * CHOOSE(CONTROL!$C$21, $C$9, 100%, $E$9)</f>
        <v>55.2791</v>
      </c>
      <c r="N752" s="14">
        <f>CHOOSE(CONTROL!$C$42, 55.2959, 55.2959) * CHOOSE(CONTROL!$C$21, $C$9, 100%, $E$9)</f>
        <v>55.295900000000003</v>
      </c>
      <c r="O752" s="14">
        <f>CHOOSE(CONTROL!$C$42, 55.546, 55.546) * CHOOSE(CONTROL!$C$21, $C$9, 100%, $E$9)</f>
        <v>55.545999999999999</v>
      </c>
      <c r="P752" s="14">
        <f>CHOOSE(CONTROL!$C$42, 55.4546, 55.4546) * CHOOSE(CONTROL!$C$21, $C$9, 100%, $E$9)</f>
        <v>55.454599999999999</v>
      </c>
      <c r="Q752" s="14">
        <f>CHOOSE(CONTROL!$C$42, 56.1407, 56.1407) * CHOOSE(CONTROL!$C$21, $C$9, 100%, $E$9)</f>
        <v>56.140700000000002</v>
      </c>
      <c r="R752" s="14">
        <f>CHOOSE(CONTROL!$C$42, 56.868, 56.868) * CHOOSE(CONTROL!$C$21, $C$9, 100%, $E$9)</f>
        <v>56.868000000000002</v>
      </c>
      <c r="S752" s="14">
        <f>CHOOSE(CONTROL!$C$42, 54.0576, 54.0576) * CHOOSE(CONTROL!$C$21, $C$9, 100%, $E$9)</f>
        <v>54.057600000000001</v>
      </c>
      <c r="T7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752" s="56">
        <f>(1000*CHOOSE(CONTROL!$C$42, 695, 695)*CHOOSE(CONTROL!$C$42, 0.5599, 0.5599)*CHOOSE(CONTROL!$C$42, 31, 31))/1000000</f>
        <v>12.063045499999998</v>
      </c>
      <c r="V752" s="56">
        <f>(1000*CHOOSE(CONTROL!$C$42, 500, 500)*CHOOSE(CONTROL!$C$42, 0.275, 0.275)*CHOOSE(CONTROL!$C$42, 31, 31))/1000000</f>
        <v>4.2625000000000002</v>
      </c>
      <c r="W752" s="56">
        <f>(1000*CHOOSE(CONTROL!$C$42, 0.1146, 0.1146)*CHOOSE(CONTROL!$C$42, 121.5, 121.5)*CHOOSE(CONTROL!$C$42, 31, 31))/1000000</f>
        <v>0.43164089999999994</v>
      </c>
      <c r="X752" s="56">
        <f>(31*0.1790888*245000/1000000)+(31*0.2374*100000/1000000)</f>
        <v>2.0961194359999999</v>
      </c>
      <c r="Y752" s="56"/>
      <c r="Z752" s="14"/>
      <c r="AA752" s="55"/>
      <c r="AB752" s="49">
        <f>(B752*194.205+C752*267.466+D752*133.845+E752*53.484+F752*40+G752*185+H752*0+I752*100+J752*300)/(194.205+267.466+133.845+53.484+0+40+185+100+300)</f>
        <v>56.336143053296702</v>
      </c>
      <c r="AC752" s="45">
        <f>(M752*'RAP TEMPLATE-GAS AVAILABILITY'!O751+N752*'RAP TEMPLATE-GAS AVAILABILITY'!P751+O752*'RAP TEMPLATE-GAS AVAILABILITY'!Q751+P752*'RAP TEMPLATE-GAS AVAILABILITY'!R751)/('RAP TEMPLATE-GAS AVAILABILITY'!O751+'RAP TEMPLATE-GAS AVAILABILITY'!P751+'RAP TEMPLATE-GAS AVAILABILITY'!Q751+'RAP TEMPLATE-GAS AVAILABILITY'!R751)</f>
        <v>55.426287769784167</v>
      </c>
    </row>
    <row r="753" spans="1:29" ht="15.75" x14ac:dyDescent="0.25">
      <c r="A753" s="32">
        <v>63827</v>
      </c>
      <c r="B753" s="14">
        <f>CHOOSE(CONTROL!$C$42, 52.6965, 52.6965) * CHOOSE(CONTROL!$C$21, $C$9, 100%, $E$9)</f>
        <v>52.6965</v>
      </c>
      <c r="C753" s="14">
        <f>CHOOSE(CONTROL!$C$42, 52.7045, 52.7045) * CHOOSE(CONTROL!$C$21, $C$9, 100%, $E$9)</f>
        <v>52.704500000000003</v>
      </c>
      <c r="D753" s="14">
        <f>CHOOSE(CONTROL!$C$42, 52.9636, 52.9636) * CHOOSE(CONTROL!$C$21, $C$9, 100%, $E$9)</f>
        <v>52.9636</v>
      </c>
      <c r="E753" s="14">
        <f>CHOOSE(CONTROL!$C$42, 52.9951, 52.9951) * CHOOSE(CONTROL!$C$21, $C$9, 100%, $E$9)</f>
        <v>52.995100000000001</v>
      </c>
      <c r="F753" s="14">
        <f>CHOOSE(CONTROL!$C$42, 52.719, 52.719)*CHOOSE(CONTROL!$C$21, $C$9, 100%, $E$9)</f>
        <v>52.719000000000001</v>
      </c>
      <c r="G753" s="14">
        <f>CHOOSE(CONTROL!$C$42, 52.7362, 52.7362)*CHOOSE(CONTROL!$C$21, $C$9, 100%, $E$9)</f>
        <v>52.736199999999997</v>
      </c>
      <c r="H753" s="14">
        <f>CHOOSE(CONTROL!$C$42, 52.9837, 52.9837) * CHOOSE(CONTROL!$C$21, $C$9, 100%, $E$9)</f>
        <v>52.983699999999999</v>
      </c>
      <c r="I753" s="14">
        <f>CHOOSE(CONTROL!$C$42, 52.8826, 52.8826)* CHOOSE(CONTROL!$C$21, $C$9, 100%, $E$9)</f>
        <v>52.882599999999996</v>
      </c>
      <c r="J753" s="14">
        <f>CHOOSE(CONTROL!$C$42, 52.712, 52.712)* CHOOSE(CONTROL!$C$21, $C$9, 100%, $E$9)</f>
        <v>52.712000000000003</v>
      </c>
      <c r="K753" s="52">
        <f>CHOOSE(CONTROL!$C$42, 52.8787, 52.8787) * CHOOSE(CONTROL!$C$21, $C$9, 100%, $E$9)</f>
        <v>52.878700000000002</v>
      </c>
      <c r="L753" s="14">
        <f>CHOOSE(CONTROL!$C$42, 53.5707, 53.5707) * CHOOSE(CONTROL!$C$21, $C$9, 100%, $E$9)</f>
        <v>53.570700000000002</v>
      </c>
      <c r="M753" s="14">
        <f>CHOOSE(CONTROL!$C$42, 51.7715, 51.7715) * CHOOSE(CONTROL!$C$21, $C$9, 100%, $E$9)</f>
        <v>51.771500000000003</v>
      </c>
      <c r="N753" s="14">
        <f>CHOOSE(CONTROL!$C$42, 51.7885, 51.7885) * CHOOSE(CONTROL!$C$21, $C$9, 100%, $E$9)</f>
        <v>51.788499999999999</v>
      </c>
      <c r="O753" s="14">
        <f>CHOOSE(CONTROL!$C$42, 52.0384, 52.0384) * CHOOSE(CONTROL!$C$21, $C$9, 100%, $E$9)</f>
        <v>52.038400000000003</v>
      </c>
      <c r="P753" s="14">
        <f>CHOOSE(CONTROL!$C$42, 51.9363, 51.9363) * CHOOSE(CONTROL!$C$21, $C$9, 100%, $E$9)</f>
        <v>51.936300000000003</v>
      </c>
      <c r="Q753" s="14">
        <f>CHOOSE(CONTROL!$C$42, 52.6331, 52.6331) * CHOOSE(CONTROL!$C$21, $C$9, 100%, $E$9)</f>
        <v>52.633099999999999</v>
      </c>
      <c r="R753" s="14">
        <f>CHOOSE(CONTROL!$C$42, 53.3517, 53.3517) * CHOOSE(CONTROL!$C$21, $C$9, 100%, $E$9)</f>
        <v>53.351700000000001</v>
      </c>
      <c r="S753" s="14">
        <f>CHOOSE(CONTROL!$C$42, 50.6254, 50.6254) * CHOOSE(CONTROL!$C$21, $C$9, 100%, $E$9)</f>
        <v>50.625399999999999</v>
      </c>
      <c r="T7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753" s="56">
        <f>(1000*CHOOSE(CONTROL!$C$42, 695, 695)*CHOOSE(CONTROL!$C$42, 0.5599, 0.5599)*CHOOSE(CONTROL!$C$42, 30, 30))/1000000</f>
        <v>11.673914999999997</v>
      </c>
      <c r="V753" s="56">
        <f>(1000*CHOOSE(CONTROL!$C$42, 500, 500)*CHOOSE(CONTROL!$C$42, 0.275, 0.275)*CHOOSE(CONTROL!$C$42, 30, 30))/1000000</f>
        <v>4.125</v>
      </c>
      <c r="W753" s="56">
        <f>(1000*CHOOSE(CONTROL!$C$42, 0.1146, 0.1146)*CHOOSE(CONTROL!$C$42, 121.5, 121.5)*CHOOSE(CONTROL!$C$42, 30, 30))/1000000</f>
        <v>0.417717</v>
      </c>
      <c r="X753" s="56">
        <f>(30*0.1790888*245000/1000000)+(30*0.2374*100000/1000000)</f>
        <v>2.0285026799999999</v>
      </c>
      <c r="Y753" s="56"/>
      <c r="Z753" s="14"/>
      <c r="AA753" s="55"/>
      <c r="AB753" s="49">
        <f>(B753*194.205+C753*267.466+D753*133.845+E753*53.484+F753*40+G753*185+H753*0+I753*100+J753*300)/(194.205+267.466+133.845+53.484+0+40+185+100+300)</f>
        <v>52.763505141208803</v>
      </c>
      <c r="AC753" s="45">
        <f>(M753*'RAP TEMPLATE-GAS AVAILABILITY'!O752+N753*'RAP TEMPLATE-GAS AVAILABILITY'!P752+O753*'RAP TEMPLATE-GAS AVAILABILITY'!Q752+P753*'RAP TEMPLATE-GAS AVAILABILITY'!R752)/('RAP TEMPLATE-GAS AVAILABILITY'!O752+'RAP TEMPLATE-GAS AVAILABILITY'!P752+'RAP TEMPLATE-GAS AVAILABILITY'!Q752+'RAP TEMPLATE-GAS AVAILABILITY'!R752)</f>
        <v>51.917159712230216</v>
      </c>
    </row>
    <row r="754" spans="1:29" ht="15.75" x14ac:dyDescent="0.25">
      <c r="A754" s="32">
        <v>63858</v>
      </c>
      <c r="B754" s="14">
        <f>CHOOSE(CONTROL!$C$42, 51.625, 51.625) * CHOOSE(CONTROL!$C$21, $C$9, 100%, $E$9)</f>
        <v>51.625</v>
      </c>
      <c r="C754" s="14">
        <f>CHOOSE(CONTROL!$C$42, 51.6303, 51.6303) * CHOOSE(CONTROL!$C$21, $C$9, 100%, $E$9)</f>
        <v>51.630299999999998</v>
      </c>
      <c r="D754" s="14">
        <f>CHOOSE(CONTROL!$C$42, 51.8944, 51.8944) * CHOOSE(CONTROL!$C$21, $C$9, 100%, $E$9)</f>
        <v>51.894399999999997</v>
      </c>
      <c r="E754" s="14">
        <f>CHOOSE(CONTROL!$C$42, 51.9235, 51.9235) * CHOOSE(CONTROL!$C$21, $C$9, 100%, $E$9)</f>
        <v>51.923499999999997</v>
      </c>
      <c r="F754" s="14">
        <f>CHOOSE(CONTROL!$C$42, 51.6497, 51.6497)*CHOOSE(CONTROL!$C$21, $C$9, 100%, $E$9)</f>
        <v>51.649700000000003</v>
      </c>
      <c r="G754" s="14">
        <f>CHOOSE(CONTROL!$C$42, 51.6667, 51.6667)*CHOOSE(CONTROL!$C$21, $C$9, 100%, $E$9)</f>
        <v>51.666699999999999</v>
      </c>
      <c r="H754" s="14">
        <f>CHOOSE(CONTROL!$C$42, 51.914, 51.914) * CHOOSE(CONTROL!$C$21, $C$9, 100%, $E$9)</f>
        <v>51.914000000000001</v>
      </c>
      <c r="I754" s="14">
        <f>CHOOSE(CONTROL!$C$42, 51.8096, 51.8096)* CHOOSE(CONTROL!$C$21, $C$9, 100%, $E$9)</f>
        <v>51.809600000000003</v>
      </c>
      <c r="J754" s="14">
        <f>CHOOSE(CONTROL!$C$42, 51.6427, 51.6427)* CHOOSE(CONTROL!$C$21, $C$9, 100%, $E$9)</f>
        <v>51.642699999999998</v>
      </c>
      <c r="K754" s="52">
        <f>CHOOSE(CONTROL!$C$42, 51.8057, 51.8057) * CHOOSE(CONTROL!$C$21, $C$9, 100%, $E$9)</f>
        <v>51.805700000000002</v>
      </c>
      <c r="L754" s="14">
        <f>CHOOSE(CONTROL!$C$42, 52.501, 52.501) * CHOOSE(CONTROL!$C$21, $C$9, 100%, $E$9)</f>
        <v>52.500999999999998</v>
      </c>
      <c r="M754" s="14">
        <f>CHOOSE(CONTROL!$C$42, 50.7215, 50.7215) * CHOOSE(CONTROL!$C$21, $C$9, 100%, $E$9)</f>
        <v>50.721499999999999</v>
      </c>
      <c r="N754" s="14">
        <f>CHOOSE(CONTROL!$C$42, 50.7383, 50.7383) * CHOOSE(CONTROL!$C$21, $C$9, 100%, $E$9)</f>
        <v>50.738300000000002</v>
      </c>
      <c r="O754" s="14">
        <f>CHOOSE(CONTROL!$C$42, 50.9879, 50.9879) * CHOOSE(CONTROL!$C$21, $C$9, 100%, $E$9)</f>
        <v>50.987900000000003</v>
      </c>
      <c r="P754" s="14">
        <f>CHOOSE(CONTROL!$C$42, 50.8826, 50.8826) * CHOOSE(CONTROL!$C$21, $C$9, 100%, $E$9)</f>
        <v>50.882599999999996</v>
      </c>
      <c r="Q754" s="14">
        <f>CHOOSE(CONTROL!$C$42, 51.5826, 51.5826) * CHOOSE(CONTROL!$C$21, $C$9, 100%, $E$9)</f>
        <v>51.582599999999999</v>
      </c>
      <c r="R754" s="14">
        <f>CHOOSE(CONTROL!$C$42, 52.2986, 52.2986) * CHOOSE(CONTROL!$C$21, $C$9, 100%, $E$9)</f>
        <v>52.2986</v>
      </c>
      <c r="S754" s="14">
        <f>CHOOSE(CONTROL!$C$42, 49.5975, 49.5975) * CHOOSE(CONTROL!$C$21, $C$9, 100%, $E$9)</f>
        <v>49.597499999999997</v>
      </c>
      <c r="T7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54" s="56">
        <f>(1000*CHOOSE(CONTROL!$C$42, 695, 695)*CHOOSE(CONTROL!$C$42, 0.5599, 0.5599)*CHOOSE(CONTROL!$C$42, 31, 31))/1000000</f>
        <v>12.063045499999998</v>
      </c>
      <c r="V754" s="56">
        <f>(1000*CHOOSE(CONTROL!$C$42, 500, 500)*CHOOSE(CONTROL!$C$42, 0.275, 0.275)*CHOOSE(CONTROL!$C$42, 31, 31))/1000000</f>
        <v>4.2625000000000002</v>
      </c>
      <c r="W754" s="56">
        <f>(1000*CHOOSE(CONTROL!$C$42, 0.1146, 0.1146)*CHOOSE(CONTROL!$C$42, 121.5, 121.5)*CHOOSE(CONTROL!$C$42, 31, 31))/1000000</f>
        <v>0.43164089999999994</v>
      </c>
      <c r="X754" s="56">
        <f>(31*0.1790888*245000/1000000)+(31*0.2374*100000/1000000)</f>
        <v>2.0961194359999999</v>
      </c>
      <c r="Y754" s="56"/>
      <c r="Z754" s="14"/>
      <c r="AA754" s="55"/>
      <c r="AB754" s="49">
        <f>(B754*131.881+C754*277.167+D754*79.08+E754*125.872+F754*40+G754*185+H754*0+I754*100+J754*300)/(131.881+277.167+79.08+125.872+0+40+185+100+300)</f>
        <v>51.699913986359959</v>
      </c>
      <c r="AC754" s="45">
        <f>(M754*'RAP TEMPLATE-GAS AVAILABILITY'!O753+N754*'RAP TEMPLATE-GAS AVAILABILITY'!P753+O754*'RAP TEMPLATE-GAS AVAILABILITY'!Q753+P754*'RAP TEMPLATE-GAS AVAILABILITY'!R753)/('RAP TEMPLATE-GAS AVAILABILITY'!O753+'RAP TEMPLATE-GAS AVAILABILITY'!P753+'RAP TEMPLATE-GAS AVAILABILITY'!Q753+'RAP TEMPLATE-GAS AVAILABILITY'!R753)</f>
        <v>50.866389208633095</v>
      </c>
    </row>
    <row r="755" spans="1:29" ht="15.75" x14ac:dyDescent="0.25">
      <c r="A755" s="32">
        <v>63888</v>
      </c>
      <c r="B755" s="14">
        <f>CHOOSE(CONTROL!$C$42, 52.9844, 52.9844) * CHOOSE(CONTROL!$C$21, $C$9, 100%, $E$9)</f>
        <v>52.984400000000001</v>
      </c>
      <c r="C755" s="14">
        <f>CHOOSE(CONTROL!$C$42, 52.9894, 52.9894) * CHOOSE(CONTROL!$C$21, $C$9, 100%, $E$9)</f>
        <v>52.989400000000003</v>
      </c>
      <c r="D755" s="14">
        <f>CHOOSE(CONTROL!$C$42, 53.0725, 53.0725) * CHOOSE(CONTROL!$C$21, $C$9, 100%, $E$9)</f>
        <v>53.072499999999998</v>
      </c>
      <c r="E755" s="14">
        <f>CHOOSE(CONTROL!$C$42, 53.1066, 53.1066) * CHOOSE(CONTROL!$C$21, $C$9, 100%, $E$9)</f>
        <v>53.1066</v>
      </c>
      <c r="F755" s="14">
        <f>CHOOSE(CONTROL!$C$42, 53.012, 53.012)*CHOOSE(CONTROL!$C$21, $C$9, 100%, $E$9)</f>
        <v>53.012</v>
      </c>
      <c r="G755" s="14">
        <f>CHOOSE(CONTROL!$C$42, 53.0294, 53.0294)*CHOOSE(CONTROL!$C$21, $C$9, 100%, $E$9)</f>
        <v>53.029400000000003</v>
      </c>
      <c r="H755" s="14">
        <f>CHOOSE(CONTROL!$C$42, 53.0958, 53.0958) * CHOOSE(CONTROL!$C$21, $C$9, 100%, $E$9)</f>
        <v>53.095799999999997</v>
      </c>
      <c r="I755" s="14">
        <f>CHOOSE(CONTROL!$C$42, 53.17, 53.17)* CHOOSE(CONTROL!$C$21, $C$9, 100%, $E$9)</f>
        <v>53.17</v>
      </c>
      <c r="J755" s="14">
        <f>CHOOSE(CONTROL!$C$42, 53.005, 53.005)* CHOOSE(CONTROL!$C$21, $C$9, 100%, $E$9)</f>
        <v>53.005000000000003</v>
      </c>
      <c r="K755" s="52">
        <f>CHOOSE(CONTROL!$C$42, 53.1661, 53.1661) * CHOOSE(CONTROL!$C$21, $C$9, 100%, $E$9)</f>
        <v>53.1661</v>
      </c>
      <c r="L755" s="14">
        <f>CHOOSE(CONTROL!$C$42, 53.6828, 53.6828) * CHOOSE(CONTROL!$C$21, $C$9, 100%, $E$9)</f>
        <v>53.6828</v>
      </c>
      <c r="M755" s="14">
        <f>CHOOSE(CONTROL!$C$42, 52.0593, 52.0593) * CHOOSE(CONTROL!$C$21, $C$9, 100%, $E$9)</f>
        <v>52.0593</v>
      </c>
      <c r="N755" s="14">
        <f>CHOOSE(CONTROL!$C$42, 52.0764, 52.0764) * CHOOSE(CONTROL!$C$21, $C$9, 100%, $E$9)</f>
        <v>52.0764</v>
      </c>
      <c r="O755" s="14">
        <f>CHOOSE(CONTROL!$C$42, 52.1485, 52.1485) * CHOOSE(CONTROL!$C$21, $C$9, 100%, $E$9)</f>
        <v>52.148499999999999</v>
      </c>
      <c r="P755" s="14">
        <f>CHOOSE(CONTROL!$C$42, 52.2184, 52.2184) * CHOOSE(CONTROL!$C$21, $C$9, 100%, $E$9)</f>
        <v>52.218400000000003</v>
      </c>
      <c r="Q755" s="14">
        <f>CHOOSE(CONTROL!$C$42, 52.7432, 52.7432) * CHOOSE(CONTROL!$C$21, $C$9, 100%, $E$9)</f>
        <v>52.743200000000002</v>
      </c>
      <c r="R755" s="14">
        <f>CHOOSE(CONTROL!$C$42, 53.462, 53.462) * CHOOSE(CONTROL!$C$21, $C$9, 100%, $E$9)</f>
        <v>53.462000000000003</v>
      </c>
      <c r="S755" s="14">
        <f>CHOOSE(CONTROL!$C$42, 50.9042, 50.9042) * CHOOSE(CONTROL!$C$21, $C$9, 100%, $E$9)</f>
        <v>50.904200000000003</v>
      </c>
      <c r="T7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55" s="56">
        <f>(1000*CHOOSE(CONTROL!$C$42, 695, 695)*CHOOSE(CONTROL!$C$42, 0.5599, 0.5599)*CHOOSE(CONTROL!$C$42, 30, 30))/1000000</f>
        <v>11.673914999999997</v>
      </c>
      <c r="V755" s="56">
        <f>(1000*CHOOSE(CONTROL!$C$42, 500, 500)*CHOOSE(CONTROL!$C$42, 0.275, 0.275)*CHOOSE(CONTROL!$C$42, 30, 30))/1000000</f>
        <v>4.125</v>
      </c>
      <c r="W755" s="56">
        <f>(1000*CHOOSE(CONTROL!$C$42, 0.1146, 0.1146)*CHOOSE(CONTROL!$C$42, 121.5, 121.5)*CHOOSE(CONTROL!$C$42, 30, 30))/1000000</f>
        <v>0.417717</v>
      </c>
      <c r="X755" s="56">
        <f>(30*0.1790888*100000/1000000)+(30*0.2374*100000/1000000)</f>
        <v>1.2494664</v>
      </c>
      <c r="Y755" s="56"/>
      <c r="Z755" s="14"/>
      <c r="AA755" s="55"/>
      <c r="AB755" s="49">
        <f>(B755*122.58+C755*297.941+D755*89.177+E755*40.302+F755*40+G755*160+H755*0+I755*100+J755*300)/(122.58+297.941+89.177+40.302+0+40+160+100+300)</f>
        <v>53.02554356791304</v>
      </c>
      <c r="AC755" s="45">
        <f>(M755*'RAP TEMPLATE-GAS AVAILABILITY'!O754+N755*'RAP TEMPLATE-GAS AVAILABILITY'!P754+O755*'RAP TEMPLATE-GAS AVAILABILITY'!Q754+P755*'RAP TEMPLATE-GAS AVAILABILITY'!R754)/('RAP TEMPLATE-GAS AVAILABILITY'!O754+'RAP TEMPLATE-GAS AVAILABILITY'!P754+'RAP TEMPLATE-GAS AVAILABILITY'!Q754+'RAP TEMPLATE-GAS AVAILABILITY'!R754)</f>
        <v>52.123605035971224</v>
      </c>
    </row>
    <row r="756" spans="1:29" ht="15.75" x14ac:dyDescent="0.25">
      <c r="A756" s="32">
        <v>63919</v>
      </c>
      <c r="B756" s="14">
        <f>CHOOSE(CONTROL!$C$42, 56.5962, 56.5962) * CHOOSE(CONTROL!$C$21, $C$9, 100%, $E$9)</f>
        <v>56.596200000000003</v>
      </c>
      <c r="C756" s="14">
        <f>CHOOSE(CONTROL!$C$42, 56.6012, 56.6012) * CHOOSE(CONTROL!$C$21, $C$9, 100%, $E$9)</f>
        <v>56.601199999999999</v>
      </c>
      <c r="D756" s="14">
        <f>CHOOSE(CONTROL!$C$42, 56.6843, 56.6843) * CHOOSE(CONTROL!$C$21, $C$9, 100%, $E$9)</f>
        <v>56.6843</v>
      </c>
      <c r="E756" s="14">
        <f>CHOOSE(CONTROL!$C$42, 56.7184, 56.7184) * CHOOSE(CONTROL!$C$21, $C$9, 100%, $E$9)</f>
        <v>56.718400000000003</v>
      </c>
      <c r="F756" s="14">
        <f>CHOOSE(CONTROL!$C$42, 56.6262, 56.6262)*CHOOSE(CONTROL!$C$21, $C$9, 100%, $E$9)</f>
        <v>56.626199999999997</v>
      </c>
      <c r="G756" s="14">
        <f>CHOOSE(CONTROL!$C$42, 56.6443, 56.6443)*CHOOSE(CONTROL!$C$21, $C$9, 100%, $E$9)</f>
        <v>56.644300000000001</v>
      </c>
      <c r="H756" s="14">
        <f>CHOOSE(CONTROL!$C$42, 56.7076, 56.7076) * CHOOSE(CONTROL!$C$21, $C$9, 100%, $E$9)</f>
        <v>56.707599999999999</v>
      </c>
      <c r="I756" s="14">
        <f>CHOOSE(CONTROL!$C$42, 56.7931, 56.7931)* CHOOSE(CONTROL!$C$21, $C$9, 100%, $E$9)</f>
        <v>56.793100000000003</v>
      </c>
      <c r="J756" s="14">
        <f>CHOOSE(CONTROL!$C$42, 56.6192, 56.6192)* CHOOSE(CONTROL!$C$21, $C$9, 100%, $E$9)</f>
        <v>56.619199999999999</v>
      </c>
      <c r="K756" s="52">
        <f>CHOOSE(CONTROL!$C$42, 56.7892, 56.7892) * CHOOSE(CONTROL!$C$21, $C$9, 100%, $E$9)</f>
        <v>56.789200000000001</v>
      </c>
      <c r="L756" s="14">
        <f>CHOOSE(CONTROL!$C$42, 57.2946, 57.2946) * CHOOSE(CONTROL!$C$21, $C$9, 100%, $E$9)</f>
        <v>57.294600000000003</v>
      </c>
      <c r="M756" s="14">
        <f>CHOOSE(CONTROL!$C$42, 55.6085, 55.6085) * CHOOSE(CONTROL!$C$21, $C$9, 100%, $E$9)</f>
        <v>55.608499999999999</v>
      </c>
      <c r="N756" s="14">
        <f>CHOOSE(CONTROL!$C$42, 55.6262, 55.6262) * CHOOSE(CONTROL!$C$21, $C$9, 100%, $E$9)</f>
        <v>55.626199999999997</v>
      </c>
      <c r="O756" s="14">
        <f>CHOOSE(CONTROL!$C$42, 55.6953, 55.6953) * CHOOSE(CONTROL!$C$21, $C$9, 100%, $E$9)</f>
        <v>55.695300000000003</v>
      </c>
      <c r="P756" s="14">
        <f>CHOOSE(CONTROL!$C$42, 55.7762, 55.7762) * CHOOSE(CONTROL!$C$21, $C$9, 100%, $E$9)</f>
        <v>55.776200000000003</v>
      </c>
      <c r="Q756" s="14">
        <f>CHOOSE(CONTROL!$C$42, 56.29, 56.29) * CHOOSE(CONTROL!$C$21, $C$9, 100%, $E$9)</f>
        <v>56.29</v>
      </c>
      <c r="R756" s="14">
        <f>CHOOSE(CONTROL!$C$42, 57.0177, 57.0177) * CHOOSE(CONTROL!$C$21, $C$9, 100%, $E$9)</f>
        <v>57.017699999999998</v>
      </c>
      <c r="S756" s="14">
        <f>CHOOSE(CONTROL!$C$42, 54.3747, 54.3747) * CHOOSE(CONTROL!$C$21, $C$9, 100%, $E$9)</f>
        <v>54.374699999999997</v>
      </c>
      <c r="T7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56" s="56">
        <f>(1000*CHOOSE(CONTROL!$C$42, 695, 695)*CHOOSE(CONTROL!$C$42, 0.5599, 0.5599)*CHOOSE(CONTROL!$C$42, 31, 31))/1000000</f>
        <v>12.063045499999998</v>
      </c>
      <c r="V756" s="56">
        <f>(1000*CHOOSE(CONTROL!$C$42, 500, 500)*CHOOSE(CONTROL!$C$42, 0.275, 0.275)*CHOOSE(CONTROL!$C$42, 31, 31))/1000000</f>
        <v>4.2625000000000002</v>
      </c>
      <c r="W756" s="56">
        <f>(1000*CHOOSE(CONTROL!$C$42, 0.1146, 0.1146)*CHOOSE(CONTROL!$C$42, 121.5, 121.5)*CHOOSE(CONTROL!$C$42, 31, 31))/1000000</f>
        <v>0.43164089999999994</v>
      </c>
      <c r="X756" s="56">
        <f>(31*0.1790888*100000/1000000)+(31*0.2374*100000/1000000)</f>
        <v>1.2911152800000001</v>
      </c>
      <c r="Y756" s="56"/>
      <c r="Z756" s="14"/>
      <c r="AA756" s="55"/>
      <c r="AB756" s="49">
        <f>(B756*122.58+C756*297.941+D756*89.177+E756*40.302+F756*40+G756*160+H756*0+I756*100+J756*300)/(122.58+297.941+89.177+40.302+0+40+160+100+300)</f>
        <v>56.639467046173905</v>
      </c>
      <c r="AC756" s="45">
        <f>(M756*'RAP TEMPLATE-GAS AVAILABILITY'!O755+N756*'RAP TEMPLATE-GAS AVAILABILITY'!P755+O756*'RAP TEMPLATE-GAS AVAILABILITY'!Q755+P756*'RAP TEMPLATE-GAS AVAILABILITY'!R755)/('RAP TEMPLATE-GAS AVAILABILITY'!O755+'RAP TEMPLATE-GAS AVAILABILITY'!P755+'RAP TEMPLATE-GAS AVAILABILITY'!Q755+'RAP TEMPLATE-GAS AVAILABILITY'!R755)</f>
        <v>55.672989208633098</v>
      </c>
    </row>
    <row r="757" spans="1:29" ht="15.75" x14ac:dyDescent="0.25">
      <c r="A757" s="32">
        <v>63950</v>
      </c>
      <c r="B757" s="14">
        <f>CHOOSE(CONTROL!$C$42, 61.2873, 61.2873) * CHOOSE(CONTROL!$C$21, $C$9, 100%, $E$9)</f>
        <v>61.287300000000002</v>
      </c>
      <c r="C757" s="14">
        <f>CHOOSE(CONTROL!$C$42, 61.2923, 61.2923) * CHOOSE(CONTROL!$C$21, $C$9, 100%, $E$9)</f>
        <v>61.292299999999997</v>
      </c>
      <c r="D757" s="14">
        <f>CHOOSE(CONTROL!$C$42, 61.3858, 61.3858) * CHOOSE(CONTROL!$C$21, $C$9, 100%, $E$9)</f>
        <v>61.385800000000003</v>
      </c>
      <c r="E757" s="14">
        <f>CHOOSE(CONTROL!$C$42, 61.4199, 61.4199) * CHOOSE(CONTROL!$C$21, $C$9, 100%, $E$9)</f>
        <v>61.419899999999998</v>
      </c>
      <c r="F757" s="14">
        <f>CHOOSE(CONTROL!$C$42, 61.3146, 61.3146)*CHOOSE(CONTROL!$C$21, $C$9, 100%, $E$9)</f>
        <v>61.314599999999999</v>
      </c>
      <c r="G757" s="14">
        <f>CHOOSE(CONTROL!$C$42, 61.3325, 61.3325)*CHOOSE(CONTROL!$C$21, $C$9, 100%, $E$9)</f>
        <v>61.332500000000003</v>
      </c>
      <c r="H757" s="14">
        <f>CHOOSE(CONTROL!$C$42, 61.4091, 61.4091) * CHOOSE(CONTROL!$C$21, $C$9, 100%, $E$9)</f>
        <v>61.409100000000002</v>
      </c>
      <c r="I757" s="14">
        <f>CHOOSE(CONTROL!$C$42, 61.5051, 61.5051)* CHOOSE(CONTROL!$C$21, $C$9, 100%, $E$9)</f>
        <v>61.505099999999999</v>
      </c>
      <c r="J757" s="14">
        <f>CHOOSE(CONTROL!$C$42, 61.3076, 61.3076)* CHOOSE(CONTROL!$C$21, $C$9, 100%, $E$9)</f>
        <v>61.307600000000001</v>
      </c>
      <c r="K757" s="52">
        <f>CHOOSE(CONTROL!$C$42, 61.5012, 61.5012) * CHOOSE(CONTROL!$C$21, $C$9, 100%, $E$9)</f>
        <v>61.501199999999997</v>
      </c>
      <c r="L757" s="14">
        <f>CHOOSE(CONTROL!$C$42, 61.9961, 61.9961) * CHOOSE(CONTROL!$C$21, $C$9, 100%, $E$9)</f>
        <v>61.996099999999998</v>
      </c>
      <c r="M757" s="14">
        <f>CHOOSE(CONTROL!$C$42, 60.2125, 60.2125) * CHOOSE(CONTROL!$C$21, $C$9, 100%, $E$9)</f>
        <v>60.212499999999999</v>
      </c>
      <c r="N757" s="14">
        <f>CHOOSE(CONTROL!$C$42, 60.2302, 60.2302) * CHOOSE(CONTROL!$C$21, $C$9, 100%, $E$9)</f>
        <v>60.230200000000004</v>
      </c>
      <c r="O757" s="14">
        <f>CHOOSE(CONTROL!$C$42, 60.3122, 60.3122) * CHOOSE(CONTROL!$C$21, $C$9, 100%, $E$9)</f>
        <v>60.312199999999997</v>
      </c>
      <c r="P757" s="14">
        <f>CHOOSE(CONTROL!$C$42, 60.4032, 60.4032) * CHOOSE(CONTROL!$C$21, $C$9, 100%, $E$9)</f>
        <v>60.403199999999998</v>
      </c>
      <c r="Q757" s="14">
        <f>CHOOSE(CONTROL!$C$42, 60.9069, 60.9069) * CHOOSE(CONTROL!$C$21, $C$9, 100%, $E$9)</f>
        <v>60.9069</v>
      </c>
      <c r="R757" s="14">
        <f>CHOOSE(CONTROL!$C$42, 61.6462, 61.6462) * CHOOSE(CONTROL!$C$21, $C$9, 100%, $E$9)</f>
        <v>61.6462</v>
      </c>
      <c r="S757" s="14">
        <f>CHOOSE(CONTROL!$C$42, 58.8824, 58.8824) * CHOOSE(CONTROL!$C$21, $C$9, 100%, $E$9)</f>
        <v>58.882399999999997</v>
      </c>
      <c r="T7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57" s="56">
        <f>(1000*CHOOSE(CONTROL!$C$42, 695, 695)*CHOOSE(CONTROL!$C$42, 0.5599, 0.5599)*CHOOSE(CONTROL!$C$42, 31, 31))/1000000</f>
        <v>12.063045499999998</v>
      </c>
      <c r="V757" s="56">
        <f>(1000*CHOOSE(CONTROL!$C$42, 500, 500)*CHOOSE(CONTROL!$C$42, 0.275, 0.275)*CHOOSE(CONTROL!$C$42, 31, 31))/1000000</f>
        <v>4.2625000000000002</v>
      </c>
      <c r="W757" s="56">
        <f>(1000*CHOOSE(CONTROL!$C$42, 0.1146, 0.1146)*CHOOSE(CONTROL!$C$42, 121.5, 121.5)*CHOOSE(CONTROL!$C$42, 31, 31))/1000000</f>
        <v>0.43164089999999994</v>
      </c>
      <c r="X757" s="56">
        <f>(31*0.1790888*100000/1000000)+(31*0.2374*100000/1000000)</f>
        <v>1.2911152800000001</v>
      </c>
      <c r="Y757" s="56"/>
      <c r="Z757" s="14"/>
      <c r="AA757" s="55"/>
      <c r="AB757" s="49">
        <f>(B757*122.58+C757*297.941+D757*89.177+E757*40.302+F757*40+G757*160+H757*0+I757*100+J757*300)/(122.58+297.941+89.177+40.302+0+40+160+100+300)</f>
        <v>61.332353638869577</v>
      </c>
      <c r="AC757" s="45">
        <f>(M757*'RAP TEMPLATE-GAS AVAILABILITY'!O756+N757*'RAP TEMPLATE-GAS AVAILABILITY'!P756+O757*'RAP TEMPLATE-GAS AVAILABILITY'!Q756+P757*'RAP TEMPLATE-GAS AVAILABILITY'!R756)/('RAP TEMPLATE-GAS AVAILABILITY'!O756+'RAP TEMPLATE-GAS AVAILABILITY'!P756+'RAP TEMPLATE-GAS AVAILABILITY'!Q756+'RAP TEMPLATE-GAS AVAILABILITY'!R756)</f>
        <v>60.286145323741003</v>
      </c>
    </row>
    <row r="758" spans="1:29" ht="15.75" x14ac:dyDescent="0.25">
      <c r="A758" s="32">
        <v>63978</v>
      </c>
      <c r="B758" s="14">
        <f>CHOOSE(CONTROL!$C$42, 62.3781, 62.3781) * CHOOSE(CONTROL!$C$21, $C$9, 100%, $E$9)</f>
        <v>62.378100000000003</v>
      </c>
      <c r="C758" s="14">
        <f>CHOOSE(CONTROL!$C$42, 62.3832, 62.3832) * CHOOSE(CONTROL!$C$21, $C$9, 100%, $E$9)</f>
        <v>62.383200000000002</v>
      </c>
      <c r="D758" s="14">
        <f>CHOOSE(CONTROL!$C$42, 62.4766, 62.4766) * CHOOSE(CONTROL!$C$21, $C$9, 100%, $E$9)</f>
        <v>62.476599999999998</v>
      </c>
      <c r="E758" s="14">
        <f>CHOOSE(CONTROL!$C$42, 62.5107, 62.5107) * CHOOSE(CONTROL!$C$21, $C$9, 100%, $E$9)</f>
        <v>62.5107</v>
      </c>
      <c r="F758" s="14">
        <f>CHOOSE(CONTROL!$C$42, 62.405, 62.405)*CHOOSE(CONTROL!$C$21, $C$9, 100%, $E$9)</f>
        <v>62.405000000000001</v>
      </c>
      <c r="G758" s="14">
        <f>CHOOSE(CONTROL!$C$42, 62.4229, 62.4229)*CHOOSE(CONTROL!$C$21, $C$9, 100%, $E$9)</f>
        <v>62.422899999999998</v>
      </c>
      <c r="H758" s="14">
        <f>CHOOSE(CONTROL!$C$42, 62.4999, 62.4999) * CHOOSE(CONTROL!$C$21, $C$9, 100%, $E$9)</f>
        <v>62.499899999999997</v>
      </c>
      <c r="I758" s="14">
        <f>CHOOSE(CONTROL!$C$42, 62.5993, 62.5993)* CHOOSE(CONTROL!$C$21, $C$9, 100%, $E$9)</f>
        <v>62.599299999999999</v>
      </c>
      <c r="J758" s="14">
        <f>CHOOSE(CONTROL!$C$42, 62.398, 62.398)* CHOOSE(CONTROL!$C$21, $C$9, 100%, $E$9)</f>
        <v>62.398000000000003</v>
      </c>
      <c r="K758" s="52">
        <f>CHOOSE(CONTROL!$C$42, 62.5954, 62.5954) * CHOOSE(CONTROL!$C$21, $C$9, 100%, $E$9)</f>
        <v>62.595399999999998</v>
      </c>
      <c r="L758" s="14">
        <f>CHOOSE(CONTROL!$C$42, 63.0869, 63.0869) * CHOOSE(CONTROL!$C$21, $C$9, 100%, $E$9)</f>
        <v>63.0869</v>
      </c>
      <c r="M758" s="14">
        <f>CHOOSE(CONTROL!$C$42, 61.2834, 61.2834) * CHOOSE(CONTROL!$C$21, $C$9, 100%, $E$9)</f>
        <v>61.2834</v>
      </c>
      <c r="N758" s="14">
        <f>CHOOSE(CONTROL!$C$42, 61.3009, 61.3009) * CHOOSE(CONTROL!$C$21, $C$9, 100%, $E$9)</f>
        <v>61.300899999999999</v>
      </c>
      <c r="O758" s="14">
        <f>CHOOSE(CONTROL!$C$42, 61.3835, 61.3835) * CHOOSE(CONTROL!$C$21, $C$9, 100%, $E$9)</f>
        <v>61.383499999999998</v>
      </c>
      <c r="P758" s="14">
        <f>CHOOSE(CONTROL!$C$42, 61.4777, 61.4777) * CHOOSE(CONTROL!$C$21, $C$9, 100%, $E$9)</f>
        <v>61.477699999999999</v>
      </c>
      <c r="Q758" s="14">
        <f>CHOOSE(CONTROL!$C$42, 61.9782, 61.9782) * CHOOSE(CONTROL!$C$21, $C$9, 100%, $E$9)</f>
        <v>61.978200000000001</v>
      </c>
      <c r="R758" s="14">
        <f>CHOOSE(CONTROL!$C$42, 62.7201, 62.7201) * CHOOSE(CONTROL!$C$21, $C$9, 100%, $E$9)</f>
        <v>62.720100000000002</v>
      </c>
      <c r="S758" s="14">
        <f>CHOOSE(CONTROL!$C$42, 59.9306, 59.9306) * CHOOSE(CONTROL!$C$21, $C$9, 100%, $E$9)</f>
        <v>59.930599999999998</v>
      </c>
      <c r="T75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58" s="56">
        <f>(1000*CHOOSE(CONTROL!$C$42, 695, 695)*CHOOSE(CONTROL!$C$42, 0.5599, 0.5599)*CHOOSE(CONTROL!$C$42, 28, 28))/1000000</f>
        <v>10.895653999999999</v>
      </c>
      <c r="V758" s="56">
        <f>(1000*CHOOSE(CONTROL!$C$42, 500, 500)*CHOOSE(CONTROL!$C$42, 0.275, 0.275)*CHOOSE(CONTROL!$C$42, 28, 28))/1000000</f>
        <v>3.85</v>
      </c>
      <c r="W758" s="56">
        <f>(1000*CHOOSE(CONTROL!$C$42, 0.1146, 0.1146)*CHOOSE(CONTROL!$C$42, 121.5, 121.5)*CHOOSE(CONTROL!$C$42, 28, 28))/1000000</f>
        <v>0.38986920000000003</v>
      </c>
      <c r="X758" s="56">
        <f>(28*0.1790888*100000/1000000)+(28*0.2374*100000/1000000)</f>
        <v>1.16616864</v>
      </c>
      <c r="Y758" s="56"/>
      <c r="Z758" s="14"/>
      <c r="AA758" s="55"/>
      <c r="AB758" s="49">
        <f>(B758*122.58+C758*297.941+D758*89.177+E758*40.302+F758*40+G758*160+H758*0+I758*100+J758*300)/(122.58+297.941+89.177+40.302+0+40+160+100+300)</f>
        <v>62.423301285913041</v>
      </c>
      <c r="AC758" s="45">
        <f>(M758*'RAP TEMPLATE-GAS AVAILABILITY'!O757+N758*'RAP TEMPLATE-GAS AVAILABILITY'!P757+O758*'RAP TEMPLATE-GAS AVAILABILITY'!Q757+P758*'RAP TEMPLATE-GAS AVAILABILITY'!R757)/('RAP TEMPLATE-GAS AVAILABILITY'!O757+'RAP TEMPLATE-GAS AVAILABILITY'!P757+'RAP TEMPLATE-GAS AVAILABILITY'!Q757+'RAP TEMPLATE-GAS AVAILABILITY'!R757)</f>
        <v>61.357733093525177</v>
      </c>
    </row>
    <row r="759" spans="1:29" ht="15.75" x14ac:dyDescent="0.25">
      <c r="A759" s="32">
        <v>64009</v>
      </c>
      <c r="B759" s="14">
        <f>CHOOSE(CONTROL!$C$42, 60.6074, 60.6074) * CHOOSE(CONTROL!$C$21, $C$9, 100%, $E$9)</f>
        <v>60.607399999999998</v>
      </c>
      <c r="C759" s="14">
        <f>CHOOSE(CONTROL!$C$42, 60.6125, 60.6125) * CHOOSE(CONTROL!$C$21, $C$9, 100%, $E$9)</f>
        <v>60.612499999999997</v>
      </c>
      <c r="D759" s="14">
        <f>CHOOSE(CONTROL!$C$42, 60.7059, 60.7059) * CHOOSE(CONTROL!$C$21, $C$9, 100%, $E$9)</f>
        <v>60.7059</v>
      </c>
      <c r="E759" s="14">
        <f>CHOOSE(CONTROL!$C$42, 60.74, 60.74) * CHOOSE(CONTROL!$C$21, $C$9, 100%, $E$9)</f>
        <v>60.74</v>
      </c>
      <c r="F759" s="14">
        <f>CHOOSE(CONTROL!$C$42, 60.6335, 60.6335)*CHOOSE(CONTROL!$C$21, $C$9, 100%, $E$9)</f>
        <v>60.633499999999998</v>
      </c>
      <c r="G759" s="14">
        <f>CHOOSE(CONTROL!$C$42, 60.6511, 60.6511)*CHOOSE(CONTROL!$C$21, $C$9, 100%, $E$9)</f>
        <v>60.6511</v>
      </c>
      <c r="H759" s="14">
        <f>CHOOSE(CONTROL!$C$42, 60.7292, 60.7292) * CHOOSE(CONTROL!$C$21, $C$9, 100%, $E$9)</f>
        <v>60.729199999999999</v>
      </c>
      <c r="I759" s="14">
        <f>CHOOSE(CONTROL!$C$42, 60.8231, 60.8231)* CHOOSE(CONTROL!$C$21, $C$9, 100%, $E$9)</f>
        <v>60.823099999999997</v>
      </c>
      <c r="J759" s="14">
        <f>CHOOSE(CONTROL!$C$42, 60.6265, 60.6265)* CHOOSE(CONTROL!$C$21, $C$9, 100%, $E$9)</f>
        <v>60.6265</v>
      </c>
      <c r="K759" s="52">
        <f>CHOOSE(CONTROL!$C$42, 60.8192, 60.8192) * CHOOSE(CONTROL!$C$21, $C$9, 100%, $E$9)</f>
        <v>60.819200000000002</v>
      </c>
      <c r="L759" s="14">
        <f>CHOOSE(CONTROL!$C$42, 61.3162, 61.3162) * CHOOSE(CONTROL!$C$21, $C$9, 100%, $E$9)</f>
        <v>61.316200000000002</v>
      </c>
      <c r="M759" s="14">
        <f>CHOOSE(CONTROL!$C$42, 59.5437, 59.5437) * CHOOSE(CONTROL!$C$21, $C$9, 100%, $E$9)</f>
        <v>59.543700000000001</v>
      </c>
      <c r="N759" s="14">
        <f>CHOOSE(CONTROL!$C$42, 59.561, 59.561) * CHOOSE(CONTROL!$C$21, $C$9, 100%, $E$9)</f>
        <v>59.561</v>
      </c>
      <c r="O759" s="14">
        <f>CHOOSE(CONTROL!$C$42, 59.6446, 59.6446) * CHOOSE(CONTROL!$C$21, $C$9, 100%, $E$9)</f>
        <v>59.644599999999997</v>
      </c>
      <c r="P759" s="14">
        <f>CHOOSE(CONTROL!$C$42, 59.7335, 59.7335) * CHOOSE(CONTROL!$C$21, $C$9, 100%, $E$9)</f>
        <v>59.733499999999999</v>
      </c>
      <c r="Q759" s="14">
        <f>CHOOSE(CONTROL!$C$42, 60.2393, 60.2393) * CHOOSE(CONTROL!$C$21, $C$9, 100%, $E$9)</f>
        <v>60.2393</v>
      </c>
      <c r="R759" s="14">
        <f>CHOOSE(CONTROL!$C$42, 60.9769, 60.9769) * CHOOSE(CONTROL!$C$21, $C$9, 100%, $E$9)</f>
        <v>60.976900000000001</v>
      </c>
      <c r="S759" s="14">
        <f>CHOOSE(CONTROL!$C$42, 58.2291, 58.2291) * CHOOSE(CONTROL!$C$21, $C$9, 100%, $E$9)</f>
        <v>58.229100000000003</v>
      </c>
      <c r="T7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59" s="56">
        <f>(1000*CHOOSE(CONTROL!$C$42, 695, 695)*CHOOSE(CONTROL!$C$42, 0.5599, 0.5599)*CHOOSE(CONTROL!$C$42, 31, 31))/1000000</f>
        <v>12.063045499999998</v>
      </c>
      <c r="V759" s="56">
        <f>(1000*CHOOSE(CONTROL!$C$42, 500, 500)*CHOOSE(CONTROL!$C$42, 0.275, 0.275)*CHOOSE(CONTROL!$C$42, 31, 31))/1000000</f>
        <v>4.2625000000000002</v>
      </c>
      <c r="W759" s="56">
        <f>(1000*CHOOSE(CONTROL!$C$42, 0.1146, 0.1146)*CHOOSE(CONTROL!$C$42, 121.5, 121.5)*CHOOSE(CONTROL!$C$42, 31, 31))/1000000</f>
        <v>0.43164089999999994</v>
      </c>
      <c r="X759" s="56">
        <f>(31*0.1790888*100000/1000000)+(31*0.2374*100000/1000000)</f>
        <v>1.2911152800000001</v>
      </c>
      <c r="Y759" s="56"/>
      <c r="Z759" s="14"/>
      <c r="AA759" s="55"/>
      <c r="AB759" s="49">
        <f>(B759*122.58+C759*297.941+D759*89.177+E759*40.302+F759*40+G759*160+H759*0+I759*100+J759*300)/(122.58+297.941+89.177+40.302+0+40+160+100+300)</f>
        <v>60.651733459826083</v>
      </c>
      <c r="AC759" s="45">
        <f>(M759*'RAP TEMPLATE-GAS AVAILABILITY'!O758+N759*'RAP TEMPLATE-GAS AVAILABILITY'!P758+O759*'RAP TEMPLATE-GAS AVAILABILITY'!Q758+P759*'RAP TEMPLATE-GAS AVAILABILITY'!R758)/('RAP TEMPLATE-GAS AVAILABILITY'!O758+'RAP TEMPLATE-GAS AVAILABILITY'!P758+'RAP TEMPLATE-GAS AVAILABILITY'!Q758+'RAP TEMPLATE-GAS AVAILABILITY'!R758)</f>
        <v>59.617736690647476</v>
      </c>
    </row>
    <row r="760" spans="1:29" ht="15.75" x14ac:dyDescent="0.25">
      <c r="A760" s="32">
        <v>64039</v>
      </c>
      <c r="B760" s="14">
        <f>CHOOSE(CONTROL!$C$42, 60.427, 60.427) * CHOOSE(CONTROL!$C$21, $C$9, 100%, $E$9)</f>
        <v>60.427</v>
      </c>
      <c r="C760" s="14">
        <f>CHOOSE(CONTROL!$C$42, 60.4315, 60.4315) * CHOOSE(CONTROL!$C$21, $C$9, 100%, $E$9)</f>
        <v>60.4315</v>
      </c>
      <c r="D760" s="14">
        <f>CHOOSE(CONTROL!$C$42, 60.6937, 60.6937) * CHOOSE(CONTROL!$C$21, $C$9, 100%, $E$9)</f>
        <v>60.6937</v>
      </c>
      <c r="E760" s="14">
        <f>CHOOSE(CONTROL!$C$42, 60.7258, 60.7258) * CHOOSE(CONTROL!$C$21, $C$9, 100%, $E$9)</f>
        <v>60.7258</v>
      </c>
      <c r="F760" s="14">
        <f>CHOOSE(CONTROL!$C$42, 60.4498, 60.4498)*CHOOSE(CONTROL!$C$21, $C$9, 100%, $E$9)</f>
        <v>60.449800000000003</v>
      </c>
      <c r="G760" s="14">
        <f>CHOOSE(CONTROL!$C$42, 60.4665, 60.4665)*CHOOSE(CONTROL!$C$21, $C$9, 100%, $E$9)</f>
        <v>60.466500000000003</v>
      </c>
      <c r="H760" s="14">
        <f>CHOOSE(CONTROL!$C$42, 60.7156, 60.7156) * CHOOSE(CONTROL!$C$21, $C$9, 100%, $E$9)</f>
        <v>60.715600000000002</v>
      </c>
      <c r="I760" s="14">
        <f>CHOOSE(CONTROL!$C$42, 60.6387, 60.6387)* CHOOSE(CONTROL!$C$21, $C$9, 100%, $E$9)</f>
        <v>60.6387</v>
      </c>
      <c r="J760" s="14">
        <f>CHOOSE(CONTROL!$C$42, 60.4428, 60.4428)* CHOOSE(CONTROL!$C$21, $C$9, 100%, $E$9)</f>
        <v>60.442799999999998</v>
      </c>
      <c r="K760" s="52">
        <f>CHOOSE(CONTROL!$C$42, 60.6348, 60.6348) * CHOOSE(CONTROL!$C$21, $C$9, 100%, $E$9)</f>
        <v>60.634799999999998</v>
      </c>
      <c r="L760" s="14">
        <f>CHOOSE(CONTROL!$C$42, 61.3026, 61.3026) * CHOOSE(CONTROL!$C$21, $C$9, 100%, $E$9)</f>
        <v>61.302599999999998</v>
      </c>
      <c r="M760" s="14">
        <f>CHOOSE(CONTROL!$C$42, 59.3633, 59.3633) * CHOOSE(CONTROL!$C$21, $C$9, 100%, $E$9)</f>
        <v>59.363300000000002</v>
      </c>
      <c r="N760" s="14">
        <f>CHOOSE(CONTROL!$C$42, 59.3797, 59.3797) * CHOOSE(CONTROL!$C$21, $C$9, 100%, $E$9)</f>
        <v>59.3797</v>
      </c>
      <c r="O760" s="14">
        <f>CHOOSE(CONTROL!$C$42, 59.6312, 59.6312) * CHOOSE(CONTROL!$C$21, $C$9, 100%, $E$9)</f>
        <v>59.6312</v>
      </c>
      <c r="P760" s="14">
        <f>CHOOSE(CONTROL!$C$42, 59.5524, 59.5524) * CHOOSE(CONTROL!$C$21, $C$9, 100%, $E$9)</f>
        <v>59.552399999999999</v>
      </c>
      <c r="Q760" s="14">
        <f>CHOOSE(CONTROL!$C$42, 60.2259, 60.2259) * CHOOSE(CONTROL!$C$21, $C$9, 100%, $E$9)</f>
        <v>60.225900000000003</v>
      </c>
      <c r="R760" s="14">
        <f>CHOOSE(CONTROL!$C$42, 60.9635, 60.9635) * CHOOSE(CONTROL!$C$21, $C$9, 100%, $E$9)</f>
        <v>60.963500000000003</v>
      </c>
      <c r="S760" s="14">
        <f>CHOOSE(CONTROL!$C$42, 58.055, 58.055) * CHOOSE(CONTROL!$C$21, $C$9, 100%, $E$9)</f>
        <v>58.055</v>
      </c>
      <c r="T7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60" s="56">
        <f>(1000*CHOOSE(CONTROL!$C$42, 695, 695)*CHOOSE(CONTROL!$C$42, 0.5599, 0.5599)*CHOOSE(CONTROL!$C$42, 30, 30))/1000000</f>
        <v>11.673914999999997</v>
      </c>
      <c r="V760" s="56">
        <f>(1000*CHOOSE(CONTROL!$C$42, 500, 500)*CHOOSE(CONTROL!$C$42, 0.275, 0.275)*CHOOSE(CONTROL!$C$42, 30, 30))/1000000</f>
        <v>4.125</v>
      </c>
      <c r="W760" s="56">
        <f>(1000*CHOOSE(CONTROL!$C$42, 0.1146, 0.1146)*CHOOSE(CONTROL!$C$42, 121.5, 121.5)*CHOOSE(CONTROL!$C$42, 30, 30))/1000000</f>
        <v>0.417717</v>
      </c>
      <c r="X760" s="56">
        <f>(30*0.1790888*245000/1000000)+(30*0.2374*100000/1000000)</f>
        <v>2.0285026799999999</v>
      </c>
      <c r="Y760" s="56"/>
      <c r="Z760" s="14"/>
      <c r="AA760" s="55"/>
      <c r="AB760" s="49">
        <f>(B760*141.293+C760*267.993+D760*115.016+E760*89.698+F760*40+G760*185+H760*0+I760*100+J760*300)/(141.293+267.993+115.016+89.698+0+40+185+100+300)</f>
        <v>60.501908795883772</v>
      </c>
      <c r="AC760" s="45">
        <f>(M760*'RAP TEMPLATE-GAS AVAILABILITY'!O759+N760*'RAP TEMPLATE-GAS AVAILABILITY'!P759+O760*'RAP TEMPLATE-GAS AVAILABILITY'!Q759+P760*'RAP TEMPLATE-GAS AVAILABILITY'!R759)/('RAP TEMPLATE-GAS AVAILABILITY'!O759+'RAP TEMPLATE-GAS AVAILABILITY'!P759+'RAP TEMPLATE-GAS AVAILABILITY'!Q759+'RAP TEMPLATE-GAS AVAILABILITY'!R759)</f>
        <v>59.512874820143878</v>
      </c>
    </row>
    <row r="761" spans="1:29" ht="15.75" x14ac:dyDescent="0.25">
      <c r="A761" s="32">
        <v>64070</v>
      </c>
      <c r="B761" s="14">
        <f>CHOOSE(CONTROL!$C$42, 60.9616, 60.9616) * CHOOSE(CONTROL!$C$21, $C$9, 100%, $E$9)</f>
        <v>60.961599999999997</v>
      </c>
      <c r="C761" s="14">
        <f>CHOOSE(CONTROL!$C$42, 60.9696, 60.9696) * CHOOSE(CONTROL!$C$21, $C$9, 100%, $E$9)</f>
        <v>60.9696</v>
      </c>
      <c r="D761" s="14">
        <f>CHOOSE(CONTROL!$C$42, 61.2287, 61.2287) * CHOOSE(CONTROL!$C$21, $C$9, 100%, $E$9)</f>
        <v>61.228700000000003</v>
      </c>
      <c r="E761" s="14">
        <f>CHOOSE(CONTROL!$C$42, 61.2602, 61.2602) * CHOOSE(CONTROL!$C$21, $C$9, 100%, $E$9)</f>
        <v>61.260199999999998</v>
      </c>
      <c r="F761" s="14">
        <f>CHOOSE(CONTROL!$C$42, 60.9831, 60.9831)*CHOOSE(CONTROL!$C$21, $C$9, 100%, $E$9)</f>
        <v>60.9831</v>
      </c>
      <c r="G761" s="14">
        <f>CHOOSE(CONTROL!$C$42, 61.0001, 61.0001)*CHOOSE(CONTROL!$C$21, $C$9, 100%, $E$9)</f>
        <v>61.000100000000003</v>
      </c>
      <c r="H761" s="14">
        <f>CHOOSE(CONTROL!$C$42, 61.2488, 61.2488) * CHOOSE(CONTROL!$C$21, $C$9, 100%, $E$9)</f>
        <v>61.248800000000003</v>
      </c>
      <c r="I761" s="14">
        <f>CHOOSE(CONTROL!$C$42, 61.1736, 61.1736)* CHOOSE(CONTROL!$C$21, $C$9, 100%, $E$9)</f>
        <v>61.1736</v>
      </c>
      <c r="J761" s="14">
        <f>CHOOSE(CONTROL!$C$42, 60.9761, 60.9761)* CHOOSE(CONTROL!$C$21, $C$9, 100%, $E$9)</f>
        <v>60.976100000000002</v>
      </c>
      <c r="K761" s="52">
        <f>CHOOSE(CONTROL!$C$42, 61.1697, 61.1697) * CHOOSE(CONTROL!$C$21, $C$9, 100%, $E$9)</f>
        <v>61.169699999999999</v>
      </c>
      <c r="L761" s="14">
        <f>CHOOSE(CONTROL!$C$42, 61.8358, 61.8358) * CHOOSE(CONTROL!$C$21, $C$9, 100%, $E$9)</f>
        <v>61.835799999999999</v>
      </c>
      <c r="M761" s="14">
        <f>CHOOSE(CONTROL!$C$42, 59.8871, 59.8871) * CHOOSE(CONTROL!$C$21, $C$9, 100%, $E$9)</f>
        <v>59.887099999999997</v>
      </c>
      <c r="N761" s="14">
        <f>CHOOSE(CONTROL!$C$42, 59.9037, 59.9037) * CHOOSE(CONTROL!$C$21, $C$9, 100%, $E$9)</f>
        <v>59.903700000000001</v>
      </c>
      <c r="O761" s="14">
        <f>CHOOSE(CONTROL!$C$42, 60.1549, 60.1549) * CHOOSE(CONTROL!$C$21, $C$9, 100%, $E$9)</f>
        <v>60.154899999999998</v>
      </c>
      <c r="P761" s="14">
        <f>CHOOSE(CONTROL!$C$42, 60.0777, 60.0777) * CHOOSE(CONTROL!$C$21, $C$9, 100%, $E$9)</f>
        <v>60.0777</v>
      </c>
      <c r="Q761" s="14">
        <f>CHOOSE(CONTROL!$C$42, 60.7496, 60.7496) * CHOOSE(CONTROL!$C$21, $C$9, 100%, $E$9)</f>
        <v>60.749600000000001</v>
      </c>
      <c r="R761" s="14">
        <f>CHOOSE(CONTROL!$C$42, 61.4884, 61.4884) * CHOOSE(CONTROL!$C$21, $C$9, 100%, $E$9)</f>
        <v>61.488399999999999</v>
      </c>
      <c r="S761" s="14">
        <f>CHOOSE(CONTROL!$C$42, 58.5674, 58.5674) * CHOOSE(CONTROL!$C$21, $C$9, 100%, $E$9)</f>
        <v>58.567399999999999</v>
      </c>
      <c r="T7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61" s="56">
        <f>(1000*CHOOSE(CONTROL!$C$42, 695, 695)*CHOOSE(CONTROL!$C$42, 0.5599, 0.5599)*CHOOSE(CONTROL!$C$42, 31, 31))/1000000</f>
        <v>12.063045499999998</v>
      </c>
      <c r="V761" s="56">
        <f>(1000*CHOOSE(CONTROL!$C$42, 500, 500)*CHOOSE(CONTROL!$C$42, 0.275, 0.275)*CHOOSE(CONTROL!$C$42, 31, 31))/1000000</f>
        <v>4.2625000000000002</v>
      </c>
      <c r="W761" s="56">
        <f>(1000*CHOOSE(CONTROL!$C$42, 0.1146, 0.1146)*CHOOSE(CONTROL!$C$42, 121.5, 121.5)*CHOOSE(CONTROL!$C$42, 31, 31))/1000000</f>
        <v>0.43164089999999994</v>
      </c>
      <c r="X761" s="56">
        <f>(31*0.1790888*245000/1000000)+(31*0.2374*100000/1000000)</f>
        <v>2.0961194359999999</v>
      </c>
      <c r="Y761" s="56"/>
      <c r="Z761" s="14"/>
      <c r="AA761" s="55"/>
      <c r="AB761" s="49">
        <f>(B761*194.205+C761*267.466+D761*133.845+E761*53.484+F761*40+G761*185+H761*0+I761*100+J761*300)/(194.205+267.466+133.845+53.484+0+40+185+100+300)</f>
        <v>61.03019697794349</v>
      </c>
      <c r="AC761" s="45">
        <f>(M761*'RAP TEMPLATE-GAS AVAILABILITY'!O760+N761*'RAP TEMPLATE-GAS AVAILABILITY'!P760+O761*'RAP TEMPLATE-GAS AVAILABILITY'!Q760+P761*'RAP TEMPLATE-GAS AVAILABILITY'!R760)/('RAP TEMPLATE-GAS AVAILABILITY'!O760+'RAP TEMPLATE-GAS AVAILABILITY'!P760+'RAP TEMPLATE-GAS AVAILABILITY'!Q760+'RAP TEMPLATE-GAS AVAILABILITY'!R760)</f>
        <v>60.036856834532372</v>
      </c>
    </row>
    <row r="762" spans="1:29" ht="15.75" x14ac:dyDescent="0.25">
      <c r="A762" s="32">
        <v>64100</v>
      </c>
      <c r="B762" s="14">
        <f>CHOOSE(CONTROL!$C$42, 62.6905, 62.6905) * CHOOSE(CONTROL!$C$21, $C$9, 100%, $E$9)</f>
        <v>62.6905</v>
      </c>
      <c r="C762" s="14">
        <f>CHOOSE(CONTROL!$C$42, 62.6986, 62.6986) * CHOOSE(CONTROL!$C$21, $C$9, 100%, $E$9)</f>
        <v>62.698599999999999</v>
      </c>
      <c r="D762" s="14">
        <f>CHOOSE(CONTROL!$C$42, 62.9577, 62.9577) * CHOOSE(CONTROL!$C$21, $C$9, 100%, $E$9)</f>
        <v>62.957700000000003</v>
      </c>
      <c r="E762" s="14">
        <f>CHOOSE(CONTROL!$C$42, 62.9891, 62.9891) * CHOOSE(CONTROL!$C$21, $C$9, 100%, $E$9)</f>
        <v>62.989100000000001</v>
      </c>
      <c r="F762" s="14">
        <f>CHOOSE(CONTROL!$C$42, 62.7123, 62.7123)*CHOOSE(CONTROL!$C$21, $C$9, 100%, $E$9)</f>
        <v>62.712299999999999</v>
      </c>
      <c r="G762" s="14">
        <f>CHOOSE(CONTROL!$C$42, 62.7294, 62.7294)*CHOOSE(CONTROL!$C$21, $C$9, 100%, $E$9)</f>
        <v>62.729399999999998</v>
      </c>
      <c r="H762" s="14">
        <f>CHOOSE(CONTROL!$C$42, 62.9777, 62.9777) * CHOOSE(CONTROL!$C$21, $C$9, 100%, $E$9)</f>
        <v>62.977699999999999</v>
      </c>
      <c r="I762" s="14">
        <f>CHOOSE(CONTROL!$C$42, 62.908, 62.908)* CHOOSE(CONTROL!$C$21, $C$9, 100%, $E$9)</f>
        <v>62.908000000000001</v>
      </c>
      <c r="J762" s="14">
        <f>CHOOSE(CONTROL!$C$42, 62.7053, 62.7053)* CHOOSE(CONTROL!$C$21, $C$9, 100%, $E$9)</f>
        <v>62.705300000000001</v>
      </c>
      <c r="K762" s="52">
        <f>CHOOSE(CONTROL!$C$42, 62.9041, 62.9041) * CHOOSE(CONTROL!$C$21, $C$9, 100%, $E$9)</f>
        <v>62.9041</v>
      </c>
      <c r="L762" s="14">
        <f>CHOOSE(CONTROL!$C$42, 63.5647, 63.5647) * CHOOSE(CONTROL!$C$21, $C$9, 100%, $E$9)</f>
        <v>63.564700000000002</v>
      </c>
      <c r="M762" s="14">
        <f>CHOOSE(CONTROL!$C$42, 61.5851, 61.5851) * CHOOSE(CONTROL!$C$21, $C$9, 100%, $E$9)</f>
        <v>61.585099999999997</v>
      </c>
      <c r="N762" s="14">
        <f>CHOOSE(CONTROL!$C$42, 61.6019, 61.6019) * CHOOSE(CONTROL!$C$21, $C$9, 100%, $E$9)</f>
        <v>61.601900000000001</v>
      </c>
      <c r="O762" s="14">
        <f>CHOOSE(CONTROL!$C$42, 61.8527, 61.8527) * CHOOSE(CONTROL!$C$21, $C$9, 100%, $E$9)</f>
        <v>61.852699999999999</v>
      </c>
      <c r="P762" s="14">
        <f>CHOOSE(CONTROL!$C$42, 61.7807, 61.7807) * CHOOSE(CONTROL!$C$21, $C$9, 100%, $E$9)</f>
        <v>61.780700000000003</v>
      </c>
      <c r="Q762" s="14">
        <f>CHOOSE(CONTROL!$C$42, 62.4474, 62.4474) * CHOOSE(CONTROL!$C$21, $C$9, 100%, $E$9)</f>
        <v>62.447400000000002</v>
      </c>
      <c r="R762" s="14">
        <f>CHOOSE(CONTROL!$C$42, 63.1905, 63.1905) * CHOOSE(CONTROL!$C$21, $C$9, 100%, $E$9)</f>
        <v>63.1905</v>
      </c>
      <c r="S762" s="14">
        <f>CHOOSE(CONTROL!$C$42, 60.2287, 60.2287) * CHOOSE(CONTROL!$C$21, $C$9, 100%, $E$9)</f>
        <v>60.228700000000003</v>
      </c>
      <c r="T7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62" s="56">
        <f>(1000*CHOOSE(CONTROL!$C$42, 695, 695)*CHOOSE(CONTROL!$C$42, 0.5599, 0.5599)*CHOOSE(CONTROL!$C$42, 30, 30))/1000000</f>
        <v>11.673914999999997</v>
      </c>
      <c r="V762" s="56">
        <f>(1000*CHOOSE(CONTROL!$C$42, 500, 500)*CHOOSE(CONTROL!$C$42, 0.275, 0.275)*CHOOSE(CONTROL!$C$42, 30, 30))/1000000</f>
        <v>4.125</v>
      </c>
      <c r="W762" s="56">
        <f>(1000*CHOOSE(CONTROL!$C$42, 0.1146, 0.1146)*CHOOSE(CONTROL!$C$42, 121.5, 121.5)*CHOOSE(CONTROL!$C$42, 30, 30))/1000000</f>
        <v>0.417717</v>
      </c>
      <c r="X762" s="56">
        <f>(30*0.1790888*245000/1000000)+(30*0.2374*100000/1000000)</f>
        <v>2.0285026799999999</v>
      </c>
      <c r="Y762" s="56"/>
      <c r="Z762" s="14"/>
      <c r="AA762" s="55"/>
      <c r="AB762" s="49">
        <f>(B762*194.205+C762*267.466+D762*133.845+E762*53.484+F762*40+G762*185+H762*0+I762*100+J762*300)/(194.205+267.466+133.845+53.484+0+40+185+100+300)</f>
        <v>62.759698336734708</v>
      </c>
      <c r="AC762" s="45">
        <f>(M762*'RAP TEMPLATE-GAS AVAILABILITY'!O761+N762*'RAP TEMPLATE-GAS AVAILABILITY'!P761+O762*'RAP TEMPLATE-GAS AVAILABILITY'!Q761+P762*'RAP TEMPLATE-GAS AVAILABILITY'!R761)/('RAP TEMPLATE-GAS AVAILABILITY'!O761+'RAP TEMPLATE-GAS AVAILABILITY'!P761+'RAP TEMPLATE-GAS AVAILABILITY'!Q761+'RAP TEMPLATE-GAS AVAILABILITY'!R761)</f>
        <v>61.735497122302156</v>
      </c>
    </row>
    <row r="763" spans="1:29" ht="15.75" x14ac:dyDescent="0.25">
      <c r="A763" s="32">
        <v>64131</v>
      </c>
      <c r="B763" s="14">
        <f>CHOOSE(CONTROL!$C$42, 61.4881, 61.4881) * CHOOSE(CONTROL!$C$21, $C$9, 100%, $E$9)</f>
        <v>61.488100000000003</v>
      </c>
      <c r="C763" s="14">
        <f>CHOOSE(CONTROL!$C$42, 61.4961, 61.4961) * CHOOSE(CONTROL!$C$21, $C$9, 100%, $E$9)</f>
        <v>61.496099999999998</v>
      </c>
      <c r="D763" s="14">
        <f>CHOOSE(CONTROL!$C$42, 61.7552, 61.7552) * CHOOSE(CONTROL!$C$21, $C$9, 100%, $E$9)</f>
        <v>61.755200000000002</v>
      </c>
      <c r="E763" s="14">
        <f>CHOOSE(CONTROL!$C$42, 61.7866, 61.7866) * CHOOSE(CONTROL!$C$21, $C$9, 100%, $E$9)</f>
        <v>61.7866</v>
      </c>
      <c r="F763" s="14">
        <f>CHOOSE(CONTROL!$C$42, 61.5103, 61.5103)*CHOOSE(CONTROL!$C$21, $C$9, 100%, $E$9)</f>
        <v>61.510300000000001</v>
      </c>
      <c r="G763" s="14">
        <f>CHOOSE(CONTROL!$C$42, 61.5274, 61.5274)*CHOOSE(CONTROL!$C$21, $C$9, 100%, $E$9)</f>
        <v>61.5274</v>
      </c>
      <c r="H763" s="14">
        <f>CHOOSE(CONTROL!$C$42, 61.7753, 61.7753) * CHOOSE(CONTROL!$C$21, $C$9, 100%, $E$9)</f>
        <v>61.775300000000001</v>
      </c>
      <c r="I763" s="14">
        <f>CHOOSE(CONTROL!$C$42, 61.7017, 61.7017)* CHOOSE(CONTROL!$C$21, $C$9, 100%, $E$9)</f>
        <v>61.701700000000002</v>
      </c>
      <c r="J763" s="14">
        <f>CHOOSE(CONTROL!$C$42, 61.5033, 61.5033)* CHOOSE(CONTROL!$C$21, $C$9, 100%, $E$9)</f>
        <v>61.503300000000003</v>
      </c>
      <c r="K763" s="52">
        <f>CHOOSE(CONTROL!$C$42, 61.6978, 61.6978) * CHOOSE(CONTROL!$C$21, $C$9, 100%, $E$9)</f>
        <v>61.697800000000001</v>
      </c>
      <c r="L763" s="14">
        <f>CHOOSE(CONTROL!$C$42, 62.3623, 62.3623) * CHOOSE(CONTROL!$C$21, $C$9, 100%, $E$9)</f>
        <v>62.362299999999998</v>
      </c>
      <c r="M763" s="14">
        <f>CHOOSE(CONTROL!$C$42, 60.4047, 60.4047) * CHOOSE(CONTROL!$C$21, $C$9, 100%, $E$9)</f>
        <v>60.404699999999998</v>
      </c>
      <c r="N763" s="14">
        <f>CHOOSE(CONTROL!$C$42, 60.4216, 60.4216) * CHOOSE(CONTROL!$C$21, $C$9, 100%, $E$9)</f>
        <v>60.421599999999998</v>
      </c>
      <c r="O763" s="14">
        <f>CHOOSE(CONTROL!$C$42, 60.6718, 60.6718) * CHOOSE(CONTROL!$C$21, $C$9, 100%, $E$9)</f>
        <v>60.671799999999998</v>
      </c>
      <c r="P763" s="14">
        <f>CHOOSE(CONTROL!$C$42, 60.5963, 60.5963) * CHOOSE(CONTROL!$C$21, $C$9, 100%, $E$9)</f>
        <v>60.596299999999999</v>
      </c>
      <c r="Q763" s="14">
        <f>CHOOSE(CONTROL!$C$42, 61.2665, 61.2665) * CHOOSE(CONTROL!$C$21, $C$9, 100%, $E$9)</f>
        <v>61.266500000000001</v>
      </c>
      <c r="R763" s="14">
        <f>CHOOSE(CONTROL!$C$42, 62.0067, 62.0067) * CHOOSE(CONTROL!$C$21, $C$9, 100%, $E$9)</f>
        <v>62.006700000000002</v>
      </c>
      <c r="S763" s="14">
        <f>CHOOSE(CONTROL!$C$42, 59.0732, 59.0732) * CHOOSE(CONTROL!$C$21, $C$9, 100%, $E$9)</f>
        <v>59.0732</v>
      </c>
      <c r="T7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63" s="56">
        <f>(1000*CHOOSE(CONTROL!$C$42, 695, 695)*CHOOSE(CONTROL!$C$42, 0.5599, 0.5599)*CHOOSE(CONTROL!$C$42, 31, 31))/1000000</f>
        <v>12.063045499999998</v>
      </c>
      <c r="V763" s="56">
        <f>(1000*CHOOSE(CONTROL!$C$42, 500, 500)*CHOOSE(CONTROL!$C$42, 0.275, 0.275)*CHOOSE(CONTROL!$C$42, 31, 31))/1000000</f>
        <v>4.2625000000000002</v>
      </c>
      <c r="W763" s="56">
        <f>(1000*CHOOSE(CONTROL!$C$42, 0.1146, 0.1146)*CHOOSE(CONTROL!$C$42, 121.5, 121.5)*CHOOSE(CONTROL!$C$42, 31, 31))/1000000</f>
        <v>0.43164089999999994</v>
      </c>
      <c r="X763" s="56">
        <f>(31*0.1790888*245000/1000000)+(31*0.2374*100000/1000000)</f>
        <v>2.0961194359999999</v>
      </c>
      <c r="Y763" s="56"/>
      <c r="Z763" s="14"/>
      <c r="AA763" s="55"/>
      <c r="AB763" s="49">
        <f>(B763*194.205+C763*267.466+D763*133.845+E763*53.484+F763*40+G763*185+H763*0+I763*100+J763*300)/(194.205+267.466+133.845+53.484+0+40+185+100+300)</f>
        <v>61.557121351255894</v>
      </c>
      <c r="AC763" s="45">
        <f>(M763*'RAP TEMPLATE-GAS AVAILABILITY'!O762+N763*'RAP TEMPLATE-GAS AVAILABILITY'!P762+O763*'RAP TEMPLATE-GAS AVAILABILITY'!Q762+P763*'RAP TEMPLATE-GAS AVAILABILITY'!R762)/('RAP TEMPLATE-GAS AVAILABILITY'!O762+'RAP TEMPLATE-GAS AVAILABILITY'!P762+'RAP TEMPLATE-GAS AVAILABILITY'!Q762+'RAP TEMPLATE-GAS AVAILABILITY'!R762)</f>
        <v>60.554300719424454</v>
      </c>
    </row>
    <row r="764" spans="1:29" ht="15.75" x14ac:dyDescent="0.25">
      <c r="A764" s="32">
        <v>64162</v>
      </c>
      <c r="B764" s="14">
        <f>CHOOSE(CONTROL!$C$42, 58.4514, 58.4514) * CHOOSE(CONTROL!$C$21, $C$9, 100%, $E$9)</f>
        <v>58.4514</v>
      </c>
      <c r="C764" s="14">
        <f>CHOOSE(CONTROL!$C$42, 58.4595, 58.4595) * CHOOSE(CONTROL!$C$21, $C$9, 100%, $E$9)</f>
        <v>58.459499999999998</v>
      </c>
      <c r="D764" s="14">
        <f>CHOOSE(CONTROL!$C$42, 58.7185, 58.7185) * CHOOSE(CONTROL!$C$21, $C$9, 100%, $E$9)</f>
        <v>58.718499999999999</v>
      </c>
      <c r="E764" s="14">
        <f>CHOOSE(CONTROL!$C$42, 58.75, 58.75) * CHOOSE(CONTROL!$C$21, $C$9, 100%, $E$9)</f>
        <v>58.75</v>
      </c>
      <c r="F764" s="14">
        <f>CHOOSE(CONTROL!$C$42, 58.4738, 58.4738)*CHOOSE(CONTROL!$C$21, $C$9, 100%, $E$9)</f>
        <v>58.473799999999997</v>
      </c>
      <c r="G764" s="14">
        <f>CHOOSE(CONTROL!$C$42, 58.491, 58.491)*CHOOSE(CONTROL!$C$21, $C$9, 100%, $E$9)</f>
        <v>58.491</v>
      </c>
      <c r="H764" s="14">
        <f>CHOOSE(CONTROL!$C$42, 58.7386, 58.7386) * CHOOSE(CONTROL!$C$21, $C$9, 100%, $E$9)</f>
        <v>58.738599999999998</v>
      </c>
      <c r="I764" s="14">
        <f>CHOOSE(CONTROL!$C$42, 58.6556, 58.6556)* CHOOSE(CONTROL!$C$21, $C$9, 100%, $E$9)</f>
        <v>58.6556</v>
      </c>
      <c r="J764" s="14">
        <f>CHOOSE(CONTROL!$C$42, 58.4668, 58.4668)* CHOOSE(CONTROL!$C$21, $C$9, 100%, $E$9)</f>
        <v>58.466799999999999</v>
      </c>
      <c r="K764" s="52">
        <f>CHOOSE(CONTROL!$C$42, 58.6517, 58.6517) * CHOOSE(CONTROL!$C$21, $C$9, 100%, $E$9)</f>
        <v>58.651699999999998</v>
      </c>
      <c r="L764" s="14">
        <f>CHOOSE(CONTROL!$C$42, 59.3256, 59.3256) * CHOOSE(CONTROL!$C$21, $C$9, 100%, $E$9)</f>
        <v>59.325600000000001</v>
      </c>
      <c r="M764" s="14">
        <f>CHOOSE(CONTROL!$C$42, 57.4229, 57.4229) * CHOOSE(CONTROL!$C$21, $C$9, 100%, $E$9)</f>
        <v>57.422899999999998</v>
      </c>
      <c r="N764" s="14">
        <f>CHOOSE(CONTROL!$C$42, 57.4398, 57.4398) * CHOOSE(CONTROL!$C$21, $C$9, 100%, $E$9)</f>
        <v>57.439799999999998</v>
      </c>
      <c r="O764" s="14">
        <f>CHOOSE(CONTROL!$C$42, 57.6898, 57.6898) * CHOOSE(CONTROL!$C$21, $C$9, 100%, $E$9)</f>
        <v>57.689799999999998</v>
      </c>
      <c r="P764" s="14">
        <f>CHOOSE(CONTROL!$C$42, 57.6051, 57.6051) * CHOOSE(CONTROL!$C$21, $C$9, 100%, $E$9)</f>
        <v>57.6051</v>
      </c>
      <c r="Q764" s="14">
        <f>CHOOSE(CONTROL!$C$42, 58.2845, 58.2845) * CHOOSE(CONTROL!$C$21, $C$9, 100%, $E$9)</f>
        <v>58.284500000000001</v>
      </c>
      <c r="R764" s="14">
        <f>CHOOSE(CONTROL!$C$42, 59.0172, 59.0172) * CHOOSE(CONTROL!$C$21, $C$9, 100%, $E$9)</f>
        <v>59.017200000000003</v>
      </c>
      <c r="S764" s="14">
        <f>CHOOSE(CONTROL!$C$42, 56.1553, 56.1553) * CHOOSE(CONTROL!$C$21, $C$9, 100%, $E$9)</f>
        <v>56.155299999999997</v>
      </c>
      <c r="T7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764" s="56">
        <f>(1000*CHOOSE(CONTROL!$C$42, 695, 695)*CHOOSE(CONTROL!$C$42, 0.5599, 0.5599)*CHOOSE(CONTROL!$C$42, 31, 31))/1000000</f>
        <v>12.063045499999998</v>
      </c>
      <c r="V764" s="56">
        <f>(1000*CHOOSE(CONTROL!$C$42, 500, 500)*CHOOSE(CONTROL!$C$42, 0.275, 0.275)*CHOOSE(CONTROL!$C$42, 31, 31))/1000000</f>
        <v>4.2625000000000002</v>
      </c>
      <c r="W764" s="56">
        <f>(1000*CHOOSE(CONTROL!$C$42, 0.1146, 0.1146)*CHOOSE(CONTROL!$C$42, 121.5, 121.5)*CHOOSE(CONTROL!$C$42, 31, 31))/1000000</f>
        <v>0.43164089999999994</v>
      </c>
      <c r="X764" s="56">
        <f>(31*0.1790888*245000/1000000)+(31*0.2374*100000/1000000)</f>
        <v>2.0961194359999999</v>
      </c>
      <c r="Y764" s="56"/>
      <c r="Z764" s="14"/>
      <c r="AA764" s="55"/>
      <c r="AB764" s="49">
        <f>(B764*194.205+C764*267.466+D764*133.845+E764*53.484+F764*40+G764*185+H764*0+I764*100+J764*300)/(194.205+267.466+133.845+53.484+0+40+185+100+300)</f>
        <v>58.519805648744111</v>
      </c>
      <c r="AC764" s="45">
        <f>(M764*'RAP TEMPLATE-GAS AVAILABILITY'!O763+N764*'RAP TEMPLATE-GAS AVAILABILITY'!P763+O764*'RAP TEMPLATE-GAS AVAILABILITY'!Q763+P764*'RAP TEMPLATE-GAS AVAILABILITY'!R763)/('RAP TEMPLATE-GAS AVAILABILITY'!O763+'RAP TEMPLATE-GAS AVAILABILITY'!P763+'RAP TEMPLATE-GAS AVAILABILITY'!Q763+'RAP TEMPLATE-GAS AVAILABILITY'!R763)</f>
        <v>57.571057553956841</v>
      </c>
    </row>
    <row r="765" spans="1:29" ht="15.75" x14ac:dyDescent="0.25">
      <c r="A765" s="32">
        <v>64192</v>
      </c>
      <c r="B765" s="14">
        <f>CHOOSE(CONTROL!$C$42, 54.741, 54.741) * CHOOSE(CONTROL!$C$21, $C$9, 100%, $E$9)</f>
        <v>54.741</v>
      </c>
      <c r="C765" s="14">
        <f>CHOOSE(CONTROL!$C$42, 54.749, 54.749) * CHOOSE(CONTROL!$C$21, $C$9, 100%, $E$9)</f>
        <v>54.749000000000002</v>
      </c>
      <c r="D765" s="14">
        <f>CHOOSE(CONTROL!$C$42, 55.0081, 55.0081) * CHOOSE(CONTROL!$C$21, $C$9, 100%, $E$9)</f>
        <v>55.008099999999999</v>
      </c>
      <c r="E765" s="14">
        <f>CHOOSE(CONTROL!$C$42, 55.0396, 55.0396) * CHOOSE(CONTROL!$C$21, $C$9, 100%, $E$9)</f>
        <v>55.0396</v>
      </c>
      <c r="F765" s="14">
        <f>CHOOSE(CONTROL!$C$42, 54.7635, 54.7635)*CHOOSE(CONTROL!$C$21, $C$9, 100%, $E$9)</f>
        <v>54.763500000000001</v>
      </c>
      <c r="G765" s="14">
        <f>CHOOSE(CONTROL!$C$42, 54.7807, 54.7807)*CHOOSE(CONTROL!$C$21, $C$9, 100%, $E$9)</f>
        <v>54.780700000000003</v>
      </c>
      <c r="H765" s="14">
        <f>CHOOSE(CONTROL!$C$42, 55.0282, 55.0282) * CHOOSE(CONTROL!$C$21, $C$9, 100%, $E$9)</f>
        <v>55.028199999999998</v>
      </c>
      <c r="I765" s="14">
        <f>CHOOSE(CONTROL!$C$42, 54.9335, 54.9335)* CHOOSE(CONTROL!$C$21, $C$9, 100%, $E$9)</f>
        <v>54.933500000000002</v>
      </c>
      <c r="J765" s="14">
        <f>CHOOSE(CONTROL!$C$42, 54.7565, 54.7565)* CHOOSE(CONTROL!$C$21, $C$9, 100%, $E$9)</f>
        <v>54.756500000000003</v>
      </c>
      <c r="K765" s="52">
        <f>CHOOSE(CONTROL!$C$42, 54.9296, 54.9296) * CHOOSE(CONTROL!$C$21, $C$9, 100%, $E$9)</f>
        <v>54.929600000000001</v>
      </c>
      <c r="L765" s="14">
        <f>CHOOSE(CONTROL!$C$42, 55.6152, 55.6152) * CHOOSE(CONTROL!$C$21, $C$9, 100%, $E$9)</f>
        <v>55.615200000000002</v>
      </c>
      <c r="M765" s="14">
        <f>CHOOSE(CONTROL!$C$42, 53.7793, 53.7793) * CHOOSE(CONTROL!$C$21, $C$9, 100%, $E$9)</f>
        <v>53.779299999999999</v>
      </c>
      <c r="N765" s="14">
        <f>CHOOSE(CONTROL!$C$42, 53.7962, 53.7962) * CHOOSE(CONTROL!$C$21, $C$9, 100%, $E$9)</f>
        <v>53.796199999999999</v>
      </c>
      <c r="O765" s="14">
        <f>CHOOSE(CONTROL!$C$42, 54.0461, 54.0461) * CHOOSE(CONTROL!$C$21, $C$9, 100%, $E$9)</f>
        <v>54.046100000000003</v>
      </c>
      <c r="P765" s="14">
        <f>CHOOSE(CONTROL!$C$42, 53.9502, 53.9502) * CHOOSE(CONTROL!$C$21, $C$9, 100%, $E$9)</f>
        <v>53.950200000000002</v>
      </c>
      <c r="Q765" s="14">
        <f>CHOOSE(CONTROL!$C$42, 54.6408, 54.6408) * CHOOSE(CONTROL!$C$21, $C$9, 100%, $E$9)</f>
        <v>54.640799999999999</v>
      </c>
      <c r="R765" s="14">
        <f>CHOOSE(CONTROL!$C$42, 55.3644, 55.3644) * CHOOSE(CONTROL!$C$21, $C$9, 100%, $E$9)</f>
        <v>55.364400000000003</v>
      </c>
      <c r="S765" s="14">
        <f>CHOOSE(CONTROL!$C$42, 52.59, 52.59) * CHOOSE(CONTROL!$C$21, $C$9, 100%, $E$9)</f>
        <v>52.59</v>
      </c>
      <c r="T7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765" s="56">
        <f>(1000*CHOOSE(CONTROL!$C$42, 695, 695)*CHOOSE(CONTROL!$C$42, 0.5599, 0.5599)*CHOOSE(CONTROL!$C$42, 30, 30))/1000000</f>
        <v>11.673914999999997</v>
      </c>
      <c r="V765" s="56">
        <f>(1000*CHOOSE(CONTROL!$C$42, 500, 500)*CHOOSE(CONTROL!$C$42, 0.275, 0.275)*CHOOSE(CONTROL!$C$42, 30, 30))/1000000</f>
        <v>4.125</v>
      </c>
      <c r="W765" s="56">
        <f>(1000*CHOOSE(CONTROL!$C$42, 0.1146, 0.1146)*CHOOSE(CONTROL!$C$42, 121.5, 121.5)*CHOOSE(CONTROL!$C$42, 30, 30))/1000000</f>
        <v>0.417717</v>
      </c>
      <c r="X765" s="56">
        <f>(30*0.1790888*245000/1000000)+(30*0.2374*100000/1000000)</f>
        <v>2.0285026799999999</v>
      </c>
      <c r="Y765" s="56"/>
      <c r="Z765" s="14"/>
      <c r="AA765" s="55"/>
      <c r="AB765" s="49">
        <f>(B765*194.205+C765*267.466+D765*133.845+E765*53.484+F765*40+G765*185+H765*0+I765*100+J765*300)/(194.205+267.466+133.845+53.484+0+40+185+100+300)</f>
        <v>54.808507495996857</v>
      </c>
      <c r="AC765" s="45">
        <f>(M765*'RAP TEMPLATE-GAS AVAILABILITY'!O764+N765*'RAP TEMPLATE-GAS AVAILABILITY'!P764+O765*'RAP TEMPLATE-GAS AVAILABILITY'!Q764+P765*'RAP TEMPLATE-GAS AVAILABILITY'!R764)/('RAP TEMPLATE-GAS AVAILABILITY'!O764+'RAP TEMPLATE-GAS AVAILABILITY'!P764+'RAP TEMPLATE-GAS AVAILABILITY'!Q764+'RAP TEMPLATE-GAS AVAILABILITY'!R764)</f>
        <v>53.925786330935246</v>
      </c>
    </row>
    <row r="766" spans="1:29" ht="15.75" x14ac:dyDescent="0.25">
      <c r="A766" s="32">
        <v>64223</v>
      </c>
      <c r="B766" s="14">
        <f>CHOOSE(CONTROL!$C$42, 53.628, 53.628) * CHOOSE(CONTROL!$C$21, $C$9, 100%, $E$9)</f>
        <v>53.628</v>
      </c>
      <c r="C766" s="14">
        <f>CHOOSE(CONTROL!$C$42, 53.6333, 53.6333) * CHOOSE(CONTROL!$C$21, $C$9, 100%, $E$9)</f>
        <v>53.633299999999998</v>
      </c>
      <c r="D766" s="14">
        <f>CHOOSE(CONTROL!$C$42, 53.8974, 53.8974) * CHOOSE(CONTROL!$C$21, $C$9, 100%, $E$9)</f>
        <v>53.897399999999998</v>
      </c>
      <c r="E766" s="14">
        <f>CHOOSE(CONTROL!$C$42, 53.9265, 53.9265) * CHOOSE(CONTROL!$C$21, $C$9, 100%, $E$9)</f>
        <v>53.926499999999997</v>
      </c>
      <c r="F766" s="14">
        <f>CHOOSE(CONTROL!$C$42, 53.6526, 53.6526)*CHOOSE(CONTROL!$C$21, $C$9, 100%, $E$9)</f>
        <v>53.6526</v>
      </c>
      <c r="G766" s="14">
        <f>CHOOSE(CONTROL!$C$42, 53.6697, 53.6697)*CHOOSE(CONTROL!$C$21, $C$9, 100%, $E$9)</f>
        <v>53.669699999999999</v>
      </c>
      <c r="H766" s="14">
        <f>CHOOSE(CONTROL!$C$42, 53.917, 53.917) * CHOOSE(CONTROL!$C$21, $C$9, 100%, $E$9)</f>
        <v>53.917000000000002</v>
      </c>
      <c r="I766" s="14">
        <f>CHOOSE(CONTROL!$C$42, 53.8188, 53.8188)* CHOOSE(CONTROL!$C$21, $C$9, 100%, $E$9)</f>
        <v>53.818800000000003</v>
      </c>
      <c r="J766" s="14">
        <f>CHOOSE(CONTROL!$C$42, 53.6456, 53.6456)* CHOOSE(CONTROL!$C$21, $C$9, 100%, $E$9)</f>
        <v>53.645600000000002</v>
      </c>
      <c r="K766" s="52">
        <f>CHOOSE(CONTROL!$C$42, 53.8149, 53.8149) * CHOOSE(CONTROL!$C$21, $C$9, 100%, $E$9)</f>
        <v>53.814900000000002</v>
      </c>
      <c r="L766" s="14">
        <f>CHOOSE(CONTROL!$C$42, 54.504, 54.504) * CHOOSE(CONTROL!$C$21, $C$9, 100%, $E$9)</f>
        <v>54.503999999999998</v>
      </c>
      <c r="M766" s="14">
        <f>CHOOSE(CONTROL!$C$42, 52.6884, 52.6884) * CHOOSE(CONTROL!$C$21, $C$9, 100%, $E$9)</f>
        <v>52.688400000000001</v>
      </c>
      <c r="N766" s="14">
        <f>CHOOSE(CONTROL!$C$42, 52.7052, 52.7052) * CHOOSE(CONTROL!$C$21, $C$9, 100%, $E$9)</f>
        <v>52.705199999999998</v>
      </c>
      <c r="O766" s="14">
        <f>CHOOSE(CONTROL!$C$42, 52.9549, 52.9549) * CHOOSE(CONTROL!$C$21, $C$9, 100%, $E$9)</f>
        <v>52.954900000000002</v>
      </c>
      <c r="P766" s="14">
        <f>CHOOSE(CONTROL!$C$42, 52.8556, 52.8556) * CHOOSE(CONTROL!$C$21, $C$9, 100%, $E$9)</f>
        <v>52.855600000000003</v>
      </c>
      <c r="Q766" s="14">
        <f>CHOOSE(CONTROL!$C$42, 53.5496, 53.5496) * CHOOSE(CONTROL!$C$21, $C$9, 100%, $E$9)</f>
        <v>53.549599999999998</v>
      </c>
      <c r="R766" s="14">
        <f>CHOOSE(CONTROL!$C$42, 54.2705, 54.2705) * CHOOSE(CONTROL!$C$21, $C$9, 100%, $E$9)</f>
        <v>54.270499999999998</v>
      </c>
      <c r="S766" s="14">
        <f>CHOOSE(CONTROL!$C$42, 51.5222, 51.5222) * CHOOSE(CONTROL!$C$21, $C$9, 100%, $E$9)</f>
        <v>51.522199999999998</v>
      </c>
      <c r="T7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66" s="56">
        <f>(1000*CHOOSE(CONTROL!$C$42, 695, 695)*CHOOSE(CONTROL!$C$42, 0.5599, 0.5599)*CHOOSE(CONTROL!$C$42, 31, 31))/1000000</f>
        <v>12.063045499999998</v>
      </c>
      <c r="V766" s="56">
        <f>(1000*CHOOSE(CONTROL!$C$42, 500, 500)*CHOOSE(CONTROL!$C$42, 0.275, 0.275)*CHOOSE(CONTROL!$C$42, 31, 31))/1000000</f>
        <v>4.2625000000000002</v>
      </c>
      <c r="W766" s="56">
        <f>(1000*CHOOSE(CONTROL!$C$42, 0.1146, 0.1146)*CHOOSE(CONTROL!$C$42, 121.5, 121.5)*CHOOSE(CONTROL!$C$42, 31, 31))/1000000</f>
        <v>0.43164089999999994</v>
      </c>
      <c r="X766" s="56">
        <f>(31*0.1790888*245000/1000000)+(31*0.2374*100000/1000000)</f>
        <v>2.0961194359999999</v>
      </c>
      <c r="Y766" s="56"/>
      <c r="Z766" s="14"/>
      <c r="AA766" s="55"/>
      <c r="AB766" s="49">
        <f>(B766*131.881+C766*277.167+D766*79.08+E766*125.872+F766*40+G766*185+H766*0+I766*100+J766*300)/(131.881+277.167+79.08+125.872+0+40+185+100+300)</f>
        <v>53.703386948426143</v>
      </c>
      <c r="AC766" s="45">
        <f>(M766*'RAP TEMPLATE-GAS AVAILABILITY'!O765+N766*'RAP TEMPLATE-GAS AVAILABILITY'!P765+O766*'RAP TEMPLATE-GAS AVAILABILITY'!Q765+P766*'RAP TEMPLATE-GAS AVAILABILITY'!R765)/('RAP TEMPLATE-GAS AVAILABILITY'!O765+'RAP TEMPLATE-GAS AVAILABILITY'!P765+'RAP TEMPLATE-GAS AVAILABILITY'!Q765+'RAP TEMPLATE-GAS AVAILABILITY'!R765)</f>
        <v>52.834212230215819</v>
      </c>
    </row>
    <row r="767" spans="1:29" ht="15.75" x14ac:dyDescent="0.25">
      <c r="A767" s="32">
        <v>64253</v>
      </c>
      <c r="B767" s="14">
        <f>CHOOSE(CONTROL!$C$42, 55.0402, 55.0402) * CHOOSE(CONTROL!$C$21, $C$9, 100%, $E$9)</f>
        <v>55.040199999999999</v>
      </c>
      <c r="C767" s="14">
        <f>CHOOSE(CONTROL!$C$42, 55.0452, 55.0452) * CHOOSE(CONTROL!$C$21, $C$9, 100%, $E$9)</f>
        <v>55.045200000000001</v>
      </c>
      <c r="D767" s="14">
        <f>CHOOSE(CONTROL!$C$42, 55.1283, 55.1283) * CHOOSE(CONTROL!$C$21, $C$9, 100%, $E$9)</f>
        <v>55.128300000000003</v>
      </c>
      <c r="E767" s="14">
        <f>CHOOSE(CONTROL!$C$42, 55.1624, 55.1624) * CHOOSE(CONTROL!$C$21, $C$9, 100%, $E$9)</f>
        <v>55.162399999999998</v>
      </c>
      <c r="F767" s="14">
        <f>CHOOSE(CONTROL!$C$42, 55.0678, 55.0678)*CHOOSE(CONTROL!$C$21, $C$9, 100%, $E$9)</f>
        <v>55.067799999999998</v>
      </c>
      <c r="G767" s="14">
        <f>CHOOSE(CONTROL!$C$42, 55.0851, 55.0851)*CHOOSE(CONTROL!$C$21, $C$9, 100%, $E$9)</f>
        <v>55.085099999999997</v>
      </c>
      <c r="H767" s="14">
        <f>CHOOSE(CONTROL!$C$42, 55.1516, 55.1516) * CHOOSE(CONTROL!$C$21, $C$9, 100%, $E$9)</f>
        <v>55.151600000000002</v>
      </c>
      <c r="I767" s="14">
        <f>CHOOSE(CONTROL!$C$42, 55.2322, 55.2322)* CHOOSE(CONTROL!$C$21, $C$9, 100%, $E$9)</f>
        <v>55.232199999999999</v>
      </c>
      <c r="J767" s="14">
        <f>CHOOSE(CONTROL!$C$42, 55.0608, 55.0608)* CHOOSE(CONTROL!$C$21, $C$9, 100%, $E$9)</f>
        <v>55.0608</v>
      </c>
      <c r="K767" s="52">
        <f>CHOOSE(CONTROL!$C$42, 55.2283, 55.2283) * CHOOSE(CONTROL!$C$21, $C$9, 100%, $E$9)</f>
        <v>55.228299999999997</v>
      </c>
      <c r="L767" s="14">
        <f>CHOOSE(CONTROL!$C$42, 55.7386, 55.7386) * CHOOSE(CONTROL!$C$21, $C$9, 100%, $E$9)</f>
        <v>55.738599999999998</v>
      </c>
      <c r="M767" s="14">
        <f>CHOOSE(CONTROL!$C$42, 54.0781, 54.0781) * CHOOSE(CONTROL!$C$21, $C$9, 100%, $E$9)</f>
        <v>54.078099999999999</v>
      </c>
      <c r="N767" s="14">
        <f>CHOOSE(CONTROL!$C$42, 54.0952, 54.0952) * CHOOSE(CONTROL!$C$21, $C$9, 100%, $E$9)</f>
        <v>54.095199999999998</v>
      </c>
      <c r="O767" s="14">
        <f>CHOOSE(CONTROL!$C$42, 54.1673, 54.1673) * CHOOSE(CONTROL!$C$21, $C$9, 100%, $E$9)</f>
        <v>54.167299999999997</v>
      </c>
      <c r="P767" s="14">
        <f>CHOOSE(CONTROL!$C$42, 54.2434, 54.2434) * CHOOSE(CONTROL!$C$21, $C$9, 100%, $E$9)</f>
        <v>54.243400000000001</v>
      </c>
      <c r="Q767" s="14">
        <f>CHOOSE(CONTROL!$C$42, 54.762, 54.762) * CHOOSE(CONTROL!$C$21, $C$9, 100%, $E$9)</f>
        <v>54.762</v>
      </c>
      <c r="R767" s="14">
        <f>CHOOSE(CONTROL!$C$42, 55.4859, 55.4859) * CHOOSE(CONTROL!$C$21, $C$9, 100%, $E$9)</f>
        <v>55.485900000000001</v>
      </c>
      <c r="S767" s="14">
        <f>CHOOSE(CONTROL!$C$42, 52.8795, 52.8795) * CHOOSE(CONTROL!$C$21, $C$9, 100%, $E$9)</f>
        <v>52.8795</v>
      </c>
      <c r="T7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67" s="56">
        <f>(1000*CHOOSE(CONTROL!$C$42, 695, 695)*CHOOSE(CONTROL!$C$42, 0.5599, 0.5599)*CHOOSE(CONTROL!$C$42, 30, 30))/1000000</f>
        <v>11.673914999999997</v>
      </c>
      <c r="V767" s="56">
        <f>(1000*CHOOSE(CONTROL!$C$42, 500, 500)*CHOOSE(CONTROL!$C$42, 0.275, 0.275)*CHOOSE(CONTROL!$C$42, 30, 30))/1000000</f>
        <v>4.125</v>
      </c>
      <c r="W767" s="56">
        <f>(1000*CHOOSE(CONTROL!$C$42, 0.1146, 0.1146)*CHOOSE(CONTROL!$C$42, 121.5, 121.5)*CHOOSE(CONTROL!$C$42, 30, 30))/1000000</f>
        <v>0.417717</v>
      </c>
      <c r="X767" s="56">
        <f>(30*0.1790888*100000/1000000)+(30*0.2374*100000/1000000)</f>
        <v>1.2494664</v>
      </c>
      <c r="Y767" s="56"/>
      <c r="Z767" s="14"/>
      <c r="AA767" s="55"/>
      <c r="AB767" s="49">
        <f>(B767*122.58+C767*297.941+D767*89.177+E767*40.302+F767*40+G767*160+H767*0+I767*100+J767*300)/(122.58+297.941+89.177+40.302+0+40+160+100+300)</f>
        <v>55.081886176608705</v>
      </c>
      <c r="AC767" s="45">
        <f>(M767*'RAP TEMPLATE-GAS AVAILABILITY'!O766+N767*'RAP TEMPLATE-GAS AVAILABILITY'!P766+O767*'RAP TEMPLATE-GAS AVAILABILITY'!Q766+P767*'RAP TEMPLATE-GAS AVAILABILITY'!R766)/('RAP TEMPLATE-GAS AVAILABILITY'!O766+'RAP TEMPLATE-GAS AVAILABILITY'!P766+'RAP TEMPLATE-GAS AVAILABILITY'!Q766+'RAP TEMPLATE-GAS AVAILABILITY'!R766)</f>
        <v>54.143297122302151</v>
      </c>
    </row>
    <row r="768" spans="1:29" ht="15.75" x14ac:dyDescent="0.25">
      <c r="A768" s="32">
        <v>64284</v>
      </c>
      <c r="B768" s="14">
        <f>CHOOSE(CONTROL!$C$42, 58.7921, 58.7921) * CHOOSE(CONTROL!$C$21, $C$9, 100%, $E$9)</f>
        <v>58.792099999999998</v>
      </c>
      <c r="C768" s="14">
        <f>CHOOSE(CONTROL!$C$42, 58.7972, 58.7972) * CHOOSE(CONTROL!$C$21, $C$9, 100%, $E$9)</f>
        <v>58.797199999999997</v>
      </c>
      <c r="D768" s="14">
        <f>CHOOSE(CONTROL!$C$42, 58.8802, 58.8802) * CHOOSE(CONTROL!$C$21, $C$9, 100%, $E$9)</f>
        <v>58.880200000000002</v>
      </c>
      <c r="E768" s="14">
        <f>CHOOSE(CONTROL!$C$42, 58.9143, 58.9143) * CHOOSE(CONTROL!$C$21, $C$9, 100%, $E$9)</f>
        <v>58.914299999999997</v>
      </c>
      <c r="F768" s="14">
        <f>CHOOSE(CONTROL!$C$42, 58.8222, 58.8222)*CHOOSE(CONTROL!$C$21, $C$9, 100%, $E$9)</f>
        <v>58.822200000000002</v>
      </c>
      <c r="G768" s="14">
        <f>CHOOSE(CONTROL!$C$42, 58.8402, 58.8402)*CHOOSE(CONTROL!$C$21, $C$9, 100%, $E$9)</f>
        <v>58.840200000000003</v>
      </c>
      <c r="H768" s="14">
        <f>CHOOSE(CONTROL!$C$42, 58.9035, 58.9035) * CHOOSE(CONTROL!$C$21, $C$9, 100%, $E$9)</f>
        <v>58.903500000000001</v>
      </c>
      <c r="I768" s="14">
        <f>CHOOSE(CONTROL!$C$42, 58.9959, 58.9959)* CHOOSE(CONTROL!$C$21, $C$9, 100%, $E$9)</f>
        <v>58.995899999999999</v>
      </c>
      <c r="J768" s="14">
        <f>CHOOSE(CONTROL!$C$42, 58.8152, 58.8152)* CHOOSE(CONTROL!$C$21, $C$9, 100%, $E$9)</f>
        <v>58.815199999999997</v>
      </c>
      <c r="K768" s="52">
        <f>CHOOSE(CONTROL!$C$42, 58.992, 58.992) * CHOOSE(CONTROL!$C$21, $C$9, 100%, $E$9)</f>
        <v>58.991999999999997</v>
      </c>
      <c r="L768" s="14">
        <f>CHOOSE(CONTROL!$C$42, 59.4905, 59.4905) * CHOOSE(CONTROL!$C$21, $C$9, 100%, $E$9)</f>
        <v>59.490499999999997</v>
      </c>
      <c r="M768" s="14">
        <f>CHOOSE(CONTROL!$C$42, 57.765, 57.765) * CHOOSE(CONTROL!$C$21, $C$9, 100%, $E$9)</f>
        <v>57.765000000000001</v>
      </c>
      <c r="N768" s="14">
        <f>CHOOSE(CONTROL!$C$42, 57.7827, 57.7827) * CHOOSE(CONTROL!$C$21, $C$9, 100%, $E$9)</f>
        <v>57.782699999999998</v>
      </c>
      <c r="O768" s="14">
        <f>CHOOSE(CONTROL!$C$42, 57.8518, 57.8518) * CHOOSE(CONTROL!$C$21, $C$9, 100%, $E$9)</f>
        <v>57.851799999999997</v>
      </c>
      <c r="P768" s="14">
        <f>CHOOSE(CONTROL!$C$42, 57.9392, 57.9392) * CHOOSE(CONTROL!$C$21, $C$9, 100%, $E$9)</f>
        <v>57.9392</v>
      </c>
      <c r="Q768" s="14">
        <f>CHOOSE(CONTROL!$C$42, 58.4465, 58.4465) * CHOOSE(CONTROL!$C$21, $C$9, 100%, $E$9)</f>
        <v>58.4465</v>
      </c>
      <c r="R768" s="14">
        <f>CHOOSE(CONTROL!$C$42, 59.1796, 59.1796) * CHOOSE(CONTROL!$C$21, $C$9, 100%, $E$9)</f>
        <v>59.179600000000001</v>
      </c>
      <c r="S768" s="14">
        <f>CHOOSE(CONTROL!$C$42, 56.4848, 56.4848) * CHOOSE(CONTROL!$C$21, $C$9, 100%, $E$9)</f>
        <v>56.4848</v>
      </c>
      <c r="T7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68" s="56">
        <f>(1000*CHOOSE(CONTROL!$C$42, 695, 695)*CHOOSE(CONTROL!$C$42, 0.5599, 0.5599)*CHOOSE(CONTROL!$C$42, 31, 31))/1000000</f>
        <v>12.063045499999998</v>
      </c>
      <c r="V768" s="56">
        <f>(1000*CHOOSE(CONTROL!$C$42, 500, 500)*CHOOSE(CONTROL!$C$42, 0.275, 0.275)*CHOOSE(CONTROL!$C$42, 31, 31))/1000000</f>
        <v>4.2625000000000002</v>
      </c>
      <c r="W768" s="56">
        <f>(1000*CHOOSE(CONTROL!$C$42, 0.1146, 0.1146)*CHOOSE(CONTROL!$C$42, 121.5, 121.5)*CHOOSE(CONTROL!$C$42, 31, 31))/1000000</f>
        <v>0.43164089999999994</v>
      </c>
      <c r="X768" s="56">
        <f>(31*0.1790888*100000/1000000)+(31*0.2374*100000/1000000)</f>
        <v>1.2911152800000001</v>
      </c>
      <c r="Y768" s="56"/>
      <c r="Z768" s="14"/>
      <c r="AA768" s="55"/>
      <c r="AB768" s="49">
        <f>(B768*122.58+C768*297.941+D768*89.177+E768*40.302+F768*40+G768*160+H768*0+I768*100+J768*300)/(122.58+297.941+89.177+40.302+0+40+160+100+300)</f>
        <v>58.836022519304343</v>
      </c>
      <c r="AC768" s="45">
        <f>(M768*'RAP TEMPLATE-GAS AVAILABILITY'!O767+N768*'RAP TEMPLATE-GAS AVAILABILITY'!P767+O768*'RAP TEMPLATE-GAS AVAILABILITY'!Q767+P768*'RAP TEMPLATE-GAS AVAILABILITY'!R767)/('RAP TEMPLATE-GAS AVAILABILITY'!O767+'RAP TEMPLATE-GAS AVAILABILITY'!P767+'RAP TEMPLATE-GAS AVAILABILITY'!Q767+'RAP TEMPLATE-GAS AVAILABILITY'!R767)</f>
        <v>57.830424460431651</v>
      </c>
    </row>
    <row r="769" spans="1:29" ht="15.75" x14ac:dyDescent="0.25">
      <c r="A769" s="32">
        <v>64315</v>
      </c>
      <c r="B769" s="14">
        <f>CHOOSE(CONTROL!$C$42, 63.6652, 63.6652) * CHOOSE(CONTROL!$C$21, $C$9, 100%, $E$9)</f>
        <v>63.665199999999999</v>
      </c>
      <c r="C769" s="14">
        <f>CHOOSE(CONTROL!$C$42, 63.6703, 63.6703) * CHOOSE(CONTROL!$C$21, $C$9, 100%, $E$9)</f>
        <v>63.670299999999997</v>
      </c>
      <c r="D769" s="14">
        <f>CHOOSE(CONTROL!$C$42, 63.7638, 63.7638) * CHOOSE(CONTROL!$C$21, $C$9, 100%, $E$9)</f>
        <v>63.763800000000003</v>
      </c>
      <c r="E769" s="14">
        <f>CHOOSE(CONTROL!$C$42, 63.7979, 63.7979) * CHOOSE(CONTROL!$C$21, $C$9, 100%, $E$9)</f>
        <v>63.797899999999998</v>
      </c>
      <c r="F769" s="14">
        <f>CHOOSE(CONTROL!$C$42, 63.6925, 63.6925)*CHOOSE(CONTROL!$C$21, $C$9, 100%, $E$9)</f>
        <v>63.692500000000003</v>
      </c>
      <c r="G769" s="14">
        <f>CHOOSE(CONTROL!$C$42, 63.7105, 63.7105)*CHOOSE(CONTROL!$C$21, $C$9, 100%, $E$9)</f>
        <v>63.710500000000003</v>
      </c>
      <c r="H769" s="14">
        <f>CHOOSE(CONTROL!$C$42, 63.7871, 63.7871) * CHOOSE(CONTROL!$C$21, $C$9, 100%, $E$9)</f>
        <v>63.787100000000002</v>
      </c>
      <c r="I769" s="14">
        <f>CHOOSE(CONTROL!$C$42, 63.8905, 63.8905)* CHOOSE(CONTROL!$C$21, $C$9, 100%, $E$9)</f>
        <v>63.890500000000003</v>
      </c>
      <c r="J769" s="14">
        <f>CHOOSE(CONTROL!$C$42, 63.6855, 63.6855)* CHOOSE(CONTROL!$C$21, $C$9, 100%, $E$9)</f>
        <v>63.685499999999998</v>
      </c>
      <c r="K769" s="52">
        <f>CHOOSE(CONTROL!$C$42, 63.8866, 63.8866) * CHOOSE(CONTROL!$C$21, $C$9, 100%, $E$9)</f>
        <v>63.886600000000001</v>
      </c>
      <c r="L769" s="14">
        <f>CHOOSE(CONTROL!$C$42, 64.3741, 64.3741) * CHOOSE(CONTROL!$C$21, $C$9, 100%, $E$9)</f>
        <v>64.374099999999999</v>
      </c>
      <c r="M769" s="14">
        <f>CHOOSE(CONTROL!$C$42, 62.5477, 62.5477) * CHOOSE(CONTROL!$C$21, $C$9, 100%, $E$9)</f>
        <v>62.547699999999999</v>
      </c>
      <c r="N769" s="14">
        <f>CHOOSE(CONTROL!$C$42, 62.5654, 62.5654) * CHOOSE(CONTROL!$C$21, $C$9, 100%, $E$9)</f>
        <v>62.565399999999997</v>
      </c>
      <c r="O769" s="14">
        <f>CHOOSE(CONTROL!$C$42, 62.6474, 62.6474) * CHOOSE(CONTROL!$C$21, $C$9, 100%, $E$9)</f>
        <v>62.647399999999998</v>
      </c>
      <c r="P769" s="14">
        <f>CHOOSE(CONTROL!$C$42, 62.7456, 62.7456) * CHOOSE(CONTROL!$C$21, $C$9, 100%, $E$9)</f>
        <v>62.745600000000003</v>
      </c>
      <c r="Q769" s="14">
        <f>CHOOSE(CONTROL!$C$42, 63.2421, 63.2421) * CHOOSE(CONTROL!$C$21, $C$9, 100%, $E$9)</f>
        <v>63.242100000000001</v>
      </c>
      <c r="R769" s="14">
        <f>CHOOSE(CONTROL!$C$42, 63.9872, 63.9872) * CHOOSE(CONTROL!$C$21, $C$9, 100%, $E$9)</f>
        <v>63.987200000000001</v>
      </c>
      <c r="S769" s="14">
        <f>CHOOSE(CONTROL!$C$42, 61.1674, 61.1674) * CHOOSE(CONTROL!$C$21, $C$9, 100%, $E$9)</f>
        <v>61.167400000000001</v>
      </c>
      <c r="T76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69" s="56">
        <f>(1000*CHOOSE(CONTROL!$C$42, 695, 695)*CHOOSE(CONTROL!$C$42, 0.5599, 0.5599)*CHOOSE(CONTROL!$C$42, 31, 31))/1000000</f>
        <v>12.063045499999998</v>
      </c>
      <c r="V769" s="56">
        <f>(1000*CHOOSE(CONTROL!$C$42, 500, 500)*CHOOSE(CONTROL!$C$42, 0.275, 0.275)*CHOOSE(CONTROL!$C$42, 31, 31))/1000000</f>
        <v>4.2625000000000002</v>
      </c>
      <c r="W769" s="56">
        <f>(1000*CHOOSE(CONTROL!$C$42, 0.1146, 0.1146)*CHOOSE(CONTROL!$C$42, 121.5, 121.5)*CHOOSE(CONTROL!$C$42, 31, 31))/1000000</f>
        <v>0.43164089999999994</v>
      </c>
      <c r="X769" s="56">
        <f>(31*0.1790888*100000/1000000)+(31*0.2374*100000/1000000)</f>
        <v>1.2911152800000001</v>
      </c>
      <c r="Y769" s="56"/>
      <c r="Z769" s="14"/>
      <c r="AA769" s="55"/>
      <c r="AB769" s="49">
        <f>(B769*122.58+C769*297.941+D769*89.177+E769*40.302+F769*40+G769*160+H769*0+I769*100+J769*300)/(122.58+297.941+89.177+40.302+0+40+160+100+300)</f>
        <v>63.710956892782605</v>
      </c>
      <c r="AC769" s="45">
        <f>(M769*'RAP TEMPLATE-GAS AVAILABILITY'!O768+N769*'RAP TEMPLATE-GAS AVAILABILITY'!P768+O769*'RAP TEMPLATE-GAS AVAILABILITY'!Q768+P769*'RAP TEMPLATE-GAS AVAILABILITY'!R768)/('RAP TEMPLATE-GAS AVAILABILITY'!O768+'RAP TEMPLATE-GAS AVAILABILITY'!P768+'RAP TEMPLATE-GAS AVAILABILITY'!Q768+'RAP TEMPLATE-GAS AVAILABILITY'!R768)</f>
        <v>62.622381294964022</v>
      </c>
    </row>
    <row r="770" spans="1:29" ht="15.75" x14ac:dyDescent="0.25">
      <c r="A770" s="32">
        <v>64344</v>
      </c>
      <c r="B770" s="14">
        <f>CHOOSE(CONTROL!$C$42, 64.7984, 64.7984) * CHOOSE(CONTROL!$C$21, $C$9, 100%, $E$9)</f>
        <v>64.798400000000001</v>
      </c>
      <c r="C770" s="14">
        <f>CHOOSE(CONTROL!$C$42, 64.8035, 64.8035) * CHOOSE(CONTROL!$C$21, $C$9, 100%, $E$9)</f>
        <v>64.8035</v>
      </c>
      <c r="D770" s="14">
        <f>CHOOSE(CONTROL!$C$42, 64.8969, 64.8969) * CHOOSE(CONTROL!$C$21, $C$9, 100%, $E$9)</f>
        <v>64.896900000000002</v>
      </c>
      <c r="E770" s="14">
        <f>CHOOSE(CONTROL!$C$42, 64.931, 64.931) * CHOOSE(CONTROL!$C$21, $C$9, 100%, $E$9)</f>
        <v>64.930999999999997</v>
      </c>
      <c r="F770" s="14">
        <f>CHOOSE(CONTROL!$C$42, 64.8253, 64.8253)*CHOOSE(CONTROL!$C$21, $C$9, 100%, $E$9)</f>
        <v>64.825299999999999</v>
      </c>
      <c r="G770" s="14">
        <f>CHOOSE(CONTROL!$C$42, 64.8432, 64.8432)*CHOOSE(CONTROL!$C$21, $C$9, 100%, $E$9)</f>
        <v>64.843199999999996</v>
      </c>
      <c r="H770" s="14">
        <f>CHOOSE(CONTROL!$C$42, 64.9202, 64.9202) * CHOOSE(CONTROL!$C$21, $C$9, 100%, $E$9)</f>
        <v>64.920199999999994</v>
      </c>
      <c r="I770" s="14">
        <f>CHOOSE(CONTROL!$C$42, 65.0272, 65.0272)* CHOOSE(CONTROL!$C$21, $C$9, 100%, $E$9)</f>
        <v>65.027199999999993</v>
      </c>
      <c r="J770" s="14">
        <f>CHOOSE(CONTROL!$C$42, 64.8183, 64.8183)* CHOOSE(CONTROL!$C$21, $C$9, 100%, $E$9)</f>
        <v>64.818299999999994</v>
      </c>
      <c r="K770" s="52">
        <f>CHOOSE(CONTROL!$C$42, 65.0233, 65.0233) * CHOOSE(CONTROL!$C$21, $C$9, 100%, $E$9)</f>
        <v>65.023300000000006</v>
      </c>
      <c r="L770" s="14">
        <f>CHOOSE(CONTROL!$C$42, 65.5072, 65.5072) * CHOOSE(CONTROL!$C$21, $C$9, 100%, $E$9)</f>
        <v>65.507199999999997</v>
      </c>
      <c r="M770" s="14">
        <f>CHOOSE(CONTROL!$C$42, 63.6602, 63.6602) * CHOOSE(CONTROL!$C$21, $C$9, 100%, $E$9)</f>
        <v>63.660200000000003</v>
      </c>
      <c r="N770" s="14">
        <f>CHOOSE(CONTROL!$C$42, 63.6777, 63.6777) * CHOOSE(CONTROL!$C$21, $C$9, 100%, $E$9)</f>
        <v>63.677700000000002</v>
      </c>
      <c r="O770" s="14">
        <f>CHOOSE(CONTROL!$C$42, 63.7602, 63.7602) * CHOOSE(CONTROL!$C$21, $C$9, 100%, $E$9)</f>
        <v>63.760199999999998</v>
      </c>
      <c r="P770" s="14">
        <f>CHOOSE(CONTROL!$C$42, 63.8618, 63.8618) * CHOOSE(CONTROL!$C$21, $C$9, 100%, $E$9)</f>
        <v>63.861800000000002</v>
      </c>
      <c r="Q770" s="14">
        <f>CHOOSE(CONTROL!$C$42, 64.3549, 64.3549) * CHOOSE(CONTROL!$C$21, $C$9, 100%, $E$9)</f>
        <v>64.354900000000001</v>
      </c>
      <c r="R770" s="14">
        <f>CHOOSE(CONTROL!$C$42, 65.1028, 65.1028) * CHOOSE(CONTROL!$C$21, $C$9, 100%, $E$9)</f>
        <v>65.102800000000002</v>
      </c>
      <c r="S770" s="14">
        <f>CHOOSE(CONTROL!$C$42, 62.2562, 62.2562) * CHOOSE(CONTROL!$C$21, $C$9, 100%, $E$9)</f>
        <v>62.2562</v>
      </c>
      <c r="T77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770" s="56">
        <f>(1000*CHOOSE(CONTROL!$C$42, 695, 695)*CHOOSE(CONTROL!$C$42, 0.5599, 0.5599)*CHOOSE(CONTROL!$C$42, 29, 29))/1000000</f>
        <v>11.284784499999999</v>
      </c>
      <c r="V770" s="56">
        <f>(1000*CHOOSE(CONTROL!$C$42, 500, 500)*CHOOSE(CONTROL!$C$42, 0.275, 0.275)*CHOOSE(CONTROL!$C$42, 29, 29))/1000000</f>
        <v>3.9874999999999998</v>
      </c>
      <c r="W770" s="56">
        <f>(1000*CHOOSE(CONTROL!$C$42, 0.1146, 0.1146)*CHOOSE(CONTROL!$C$42, 121.5, 121.5)*CHOOSE(CONTROL!$C$42, 29, 29))/1000000</f>
        <v>0.40379309999999996</v>
      </c>
      <c r="X770" s="56">
        <f>(29*0.1790888*100000/1000000)+(29*0.2374*100000/1000000)</f>
        <v>1.2078175199999999</v>
      </c>
      <c r="Y770" s="56"/>
      <c r="Z770" s="14"/>
      <c r="AA770" s="55"/>
      <c r="AB770" s="49">
        <f>(B770*122.58+C770*297.941+D770*89.177+E770*40.302+F770*40+G770*160+H770*0+I770*100+J770*300)/(122.58+297.941+89.177+40.302+0+40+160+100+300)</f>
        <v>64.844262155478248</v>
      </c>
      <c r="AC770" s="45">
        <f>(M770*'RAP TEMPLATE-GAS AVAILABILITY'!O769+N770*'RAP TEMPLATE-GAS AVAILABILITY'!P769+O770*'RAP TEMPLATE-GAS AVAILABILITY'!Q769+P770*'RAP TEMPLATE-GAS AVAILABILITY'!R769)/('RAP TEMPLATE-GAS AVAILABILITY'!O769+'RAP TEMPLATE-GAS AVAILABILITY'!P769+'RAP TEMPLATE-GAS AVAILABILITY'!Q769+'RAP TEMPLATE-GAS AVAILABILITY'!R769)</f>
        <v>63.735538129496405</v>
      </c>
    </row>
    <row r="771" spans="1:29" ht="15.75" x14ac:dyDescent="0.25">
      <c r="A771" s="32">
        <v>64375</v>
      </c>
      <c r="B771" s="14">
        <f>CHOOSE(CONTROL!$C$42, 62.959, 62.959) * CHOOSE(CONTROL!$C$21, $C$9, 100%, $E$9)</f>
        <v>62.959000000000003</v>
      </c>
      <c r="C771" s="14">
        <f>CHOOSE(CONTROL!$C$42, 62.9641, 62.9641) * CHOOSE(CONTROL!$C$21, $C$9, 100%, $E$9)</f>
        <v>62.964100000000002</v>
      </c>
      <c r="D771" s="14">
        <f>CHOOSE(CONTROL!$C$42, 63.0575, 63.0575) * CHOOSE(CONTROL!$C$21, $C$9, 100%, $E$9)</f>
        <v>63.057499999999997</v>
      </c>
      <c r="E771" s="14">
        <f>CHOOSE(CONTROL!$C$42, 63.0916, 63.0916) * CHOOSE(CONTROL!$C$21, $C$9, 100%, $E$9)</f>
        <v>63.0916</v>
      </c>
      <c r="F771" s="14">
        <f>CHOOSE(CONTROL!$C$42, 62.9851, 62.9851)*CHOOSE(CONTROL!$C$21, $C$9, 100%, $E$9)</f>
        <v>62.985100000000003</v>
      </c>
      <c r="G771" s="14">
        <f>CHOOSE(CONTROL!$C$42, 63.0027, 63.0027)*CHOOSE(CONTROL!$C$21, $C$9, 100%, $E$9)</f>
        <v>63.002699999999997</v>
      </c>
      <c r="H771" s="14">
        <f>CHOOSE(CONTROL!$C$42, 63.0808, 63.0808) * CHOOSE(CONTROL!$C$21, $C$9, 100%, $E$9)</f>
        <v>63.080800000000004</v>
      </c>
      <c r="I771" s="14">
        <f>CHOOSE(CONTROL!$C$42, 63.1821, 63.1821)* CHOOSE(CONTROL!$C$21, $C$9, 100%, $E$9)</f>
        <v>63.182099999999998</v>
      </c>
      <c r="J771" s="14">
        <f>CHOOSE(CONTROL!$C$42, 62.9781, 62.9781)* CHOOSE(CONTROL!$C$21, $C$9, 100%, $E$9)</f>
        <v>62.978099999999998</v>
      </c>
      <c r="K771" s="52">
        <f>CHOOSE(CONTROL!$C$42, 63.1782, 63.1782) * CHOOSE(CONTROL!$C$21, $C$9, 100%, $E$9)</f>
        <v>63.178199999999997</v>
      </c>
      <c r="L771" s="14">
        <f>CHOOSE(CONTROL!$C$42, 63.6678, 63.6678) * CHOOSE(CONTROL!$C$21, $C$9, 100%, $E$9)</f>
        <v>63.6678</v>
      </c>
      <c r="M771" s="14">
        <f>CHOOSE(CONTROL!$C$42, 61.853, 61.853) * CHOOSE(CONTROL!$C$21, $C$9, 100%, $E$9)</f>
        <v>61.853000000000002</v>
      </c>
      <c r="N771" s="14">
        <f>CHOOSE(CONTROL!$C$42, 61.8703, 61.8703) * CHOOSE(CONTROL!$C$21, $C$9, 100%, $E$9)</f>
        <v>61.8703</v>
      </c>
      <c r="O771" s="14">
        <f>CHOOSE(CONTROL!$C$42, 61.9539, 61.9539) * CHOOSE(CONTROL!$C$21, $C$9, 100%, $E$9)</f>
        <v>61.953899999999997</v>
      </c>
      <c r="P771" s="14">
        <f>CHOOSE(CONTROL!$C$42, 62.0499, 62.0499) * CHOOSE(CONTROL!$C$21, $C$9, 100%, $E$9)</f>
        <v>62.049900000000001</v>
      </c>
      <c r="Q771" s="14">
        <f>CHOOSE(CONTROL!$C$42, 62.5486, 62.5486) * CHOOSE(CONTROL!$C$21, $C$9, 100%, $E$9)</f>
        <v>62.5486</v>
      </c>
      <c r="R771" s="14">
        <f>CHOOSE(CONTROL!$C$42, 63.292, 63.292) * CHOOSE(CONTROL!$C$21, $C$9, 100%, $E$9)</f>
        <v>63.292000000000002</v>
      </c>
      <c r="S771" s="14">
        <f>CHOOSE(CONTROL!$C$42, 60.4888, 60.4888) * CHOOSE(CONTROL!$C$21, $C$9, 100%, $E$9)</f>
        <v>60.488799999999998</v>
      </c>
      <c r="T77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71" s="56">
        <f>(1000*CHOOSE(CONTROL!$C$42, 695, 695)*CHOOSE(CONTROL!$C$42, 0.5599, 0.5599)*CHOOSE(CONTROL!$C$42, 31, 31))/1000000</f>
        <v>12.063045499999998</v>
      </c>
      <c r="V771" s="56">
        <f>(1000*CHOOSE(CONTROL!$C$42, 500, 500)*CHOOSE(CONTROL!$C$42, 0.275, 0.275)*CHOOSE(CONTROL!$C$42, 31, 31))/1000000</f>
        <v>4.2625000000000002</v>
      </c>
      <c r="W771" s="56">
        <f>(1000*CHOOSE(CONTROL!$C$42, 0.1146, 0.1146)*CHOOSE(CONTROL!$C$42, 121.5, 121.5)*CHOOSE(CONTROL!$C$42, 31, 31))/1000000</f>
        <v>0.43164089999999994</v>
      </c>
      <c r="X771" s="56">
        <f>(31*0.1790888*100000/1000000)+(31*0.2374*100000/1000000)</f>
        <v>1.2911152800000001</v>
      </c>
      <c r="Y771" s="56"/>
      <c r="Z771" s="14"/>
      <c r="AA771" s="55"/>
      <c r="AB771" s="49">
        <f>(B771*122.58+C771*297.941+D771*89.177+E771*40.302+F771*40+G771*160+H771*0+I771*100+J771*300)/(122.58+297.941+89.177+40.302+0+40+160+100+300)</f>
        <v>63.003976938086957</v>
      </c>
      <c r="AC771" s="45">
        <f>(M771*'RAP TEMPLATE-GAS AVAILABILITY'!O770+N771*'RAP TEMPLATE-GAS AVAILABILITY'!P770+O771*'RAP TEMPLATE-GAS AVAILABILITY'!Q770+P771*'RAP TEMPLATE-GAS AVAILABILITY'!R770)/('RAP TEMPLATE-GAS AVAILABILITY'!O770+'RAP TEMPLATE-GAS AVAILABILITY'!P770+'RAP TEMPLATE-GAS AVAILABILITY'!Q770+'RAP TEMPLATE-GAS AVAILABILITY'!R770)</f>
        <v>61.928058273381289</v>
      </c>
    </row>
    <row r="772" spans="1:29" ht="15.75" x14ac:dyDescent="0.25">
      <c r="A772" s="32">
        <v>64405</v>
      </c>
      <c r="B772" s="14">
        <f>CHOOSE(CONTROL!$C$42, 62.7715, 62.7715) * CHOOSE(CONTROL!$C$21, $C$9, 100%, $E$9)</f>
        <v>62.771500000000003</v>
      </c>
      <c r="C772" s="14">
        <f>CHOOSE(CONTROL!$C$42, 62.776, 62.776) * CHOOSE(CONTROL!$C$21, $C$9, 100%, $E$9)</f>
        <v>62.776000000000003</v>
      </c>
      <c r="D772" s="14">
        <f>CHOOSE(CONTROL!$C$42, 63.0382, 63.0382) * CHOOSE(CONTROL!$C$21, $C$9, 100%, $E$9)</f>
        <v>63.038200000000003</v>
      </c>
      <c r="E772" s="14">
        <f>CHOOSE(CONTROL!$C$42, 63.0703, 63.0703) * CHOOSE(CONTROL!$C$21, $C$9, 100%, $E$9)</f>
        <v>63.070300000000003</v>
      </c>
      <c r="F772" s="14">
        <f>CHOOSE(CONTROL!$C$42, 62.7943, 62.7943)*CHOOSE(CONTROL!$C$21, $C$9, 100%, $E$9)</f>
        <v>62.7943</v>
      </c>
      <c r="G772" s="14">
        <f>CHOOSE(CONTROL!$C$42, 62.8111, 62.8111)*CHOOSE(CONTROL!$C$21, $C$9, 100%, $E$9)</f>
        <v>62.811100000000003</v>
      </c>
      <c r="H772" s="14">
        <f>CHOOSE(CONTROL!$C$42, 63.0601, 63.0601) * CHOOSE(CONTROL!$C$21, $C$9, 100%, $E$9)</f>
        <v>63.060099999999998</v>
      </c>
      <c r="I772" s="14">
        <f>CHOOSE(CONTROL!$C$42, 62.9906, 62.9906)* CHOOSE(CONTROL!$C$21, $C$9, 100%, $E$9)</f>
        <v>62.990600000000001</v>
      </c>
      <c r="J772" s="14">
        <f>CHOOSE(CONTROL!$C$42, 62.7873, 62.7873)* CHOOSE(CONTROL!$C$21, $C$9, 100%, $E$9)</f>
        <v>62.787300000000002</v>
      </c>
      <c r="K772" s="52">
        <f>CHOOSE(CONTROL!$C$42, 62.9867, 62.9867) * CHOOSE(CONTROL!$C$21, $C$9, 100%, $E$9)</f>
        <v>62.986699999999999</v>
      </c>
      <c r="L772" s="14">
        <f>CHOOSE(CONTROL!$C$42, 63.6471, 63.6471) * CHOOSE(CONTROL!$C$21, $C$9, 100%, $E$9)</f>
        <v>63.647100000000002</v>
      </c>
      <c r="M772" s="14">
        <f>CHOOSE(CONTROL!$C$42, 61.6657, 61.6657) * CHOOSE(CONTROL!$C$21, $C$9, 100%, $E$9)</f>
        <v>61.665700000000001</v>
      </c>
      <c r="N772" s="14">
        <f>CHOOSE(CONTROL!$C$42, 61.6821, 61.6821) * CHOOSE(CONTROL!$C$21, $C$9, 100%, $E$9)</f>
        <v>61.682099999999998</v>
      </c>
      <c r="O772" s="14">
        <f>CHOOSE(CONTROL!$C$42, 61.9336, 61.9336) * CHOOSE(CONTROL!$C$21, $C$9, 100%, $E$9)</f>
        <v>61.933599999999998</v>
      </c>
      <c r="P772" s="14">
        <f>CHOOSE(CONTROL!$C$42, 61.8619, 61.8619) * CHOOSE(CONTROL!$C$21, $C$9, 100%, $E$9)</f>
        <v>61.861899999999999</v>
      </c>
      <c r="Q772" s="14">
        <f>CHOOSE(CONTROL!$C$42, 62.5283, 62.5283) * CHOOSE(CONTROL!$C$21, $C$9, 100%, $E$9)</f>
        <v>62.528300000000002</v>
      </c>
      <c r="R772" s="14">
        <f>CHOOSE(CONTROL!$C$42, 63.2716, 63.2716) * CHOOSE(CONTROL!$C$21, $C$9, 100%, $E$9)</f>
        <v>63.271599999999999</v>
      </c>
      <c r="S772" s="14">
        <f>CHOOSE(CONTROL!$C$42, 60.3079, 60.3079) * CHOOSE(CONTROL!$C$21, $C$9, 100%, $E$9)</f>
        <v>60.307899999999997</v>
      </c>
      <c r="T77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72" s="56">
        <f>(1000*CHOOSE(CONTROL!$C$42, 695, 695)*CHOOSE(CONTROL!$C$42, 0.5599, 0.5599)*CHOOSE(CONTROL!$C$42, 30, 30))/1000000</f>
        <v>11.673914999999997</v>
      </c>
      <c r="V772" s="56">
        <f>(1000*CHOOSE(CONTROL!$C$42, 500, 500)*CHOOSE(CONTROL!$C$42, 0.275, 0.275)*CHOOSE(CONTROL!$C$42, 30, 30))/1000000</f>
        <v>4.125</v>
      </c>
      <c r="W772" s="56">
        <f>(1000*CHOOSE(CONTROL!$C$42, 0.1146, 0.1146)*CHOOSE(CONTROL!$C$42, 121.5, 121.5)*CHOOSE(CONTROL!$C$42, 30, 30))/1000000</f>
        <v>0.417717</v>
      </c>
      <c r="X772" s="56">
        <f>(30*0.1790888*245000/1000000)+(30*0.2374*100000/1000000)</f>
        <v>2.0285026799999999</v>
      </c>
      <c r="Y772" s="56"/>
      <c r="Z772" s="14"/>
      <c r="AA772" s="55"/>
      <c r="AB772" s="49">
        <f>(B772*141.293+C772*267.993+D772*115.016+E772*89.698+F772*40+G772*185+H772*0+I772*100+J772*300)/(141.293+267.993+115.016+89.698+0+40+185+100+300)</f>
        <v>62.847020983131571</v>
      </c>
      <c r="AC772" s="45">
        <f>(M772*'RAP TEMPLATE-GAS AVAILABILITY'!O771+N772*'RAP TEMPLATE-GAS AVAILABILITY'!P771+O772*'RAP TEMPLATE-GAS AVAILABILITY'!Q771+P772*'RAP TEMPLATE-GAS AVAILABILITY'!R771)/('RAP TEMPLATE-GAS AVAILABILITY'!O771+'RAP TEMPLATE-GAS AVAILABILITY'!P771+'RAP TEMPLATE-GAS AVAILABILITY'!Q771+'RAP TEMPLATE-GAS AVAILABILITY'!R771)</f>
        <v>61.816296402877697</v>
      </c>
    </row>
    <row r="773" spans="1:29" ht="15.75" x14ac:dyDescent="0.25">
      <c r="A773" s="32">
        <v>64436</v>
      </c>
      <c r="B773" s="14">
        <f>CHOOSE(CONTROL!$C$42, 63.3269, 63.3269) * CHOOSE(CONTROL!$C$21, $C$9, 100%, $E$9)</f>
        <v>63.326900000000002</v>
      </c>
      <c r="C773" s="14">
        <f>CHOOSE(CONTROL!$C$42, 63.3349, 63.3349) * CHOOSE(CONTROL!$C$21, $C$9, 100%, $E$9)</f>
        <v>63.334899999999998</v>
      </c>
      <c r="D773" s="14">
        <f>CHOOSE(CONTROL!$C$42, 63.594, 63.594) * CHOOSE(CONTROL!$C$21, $C$9, 100%, $E$9)</f>
        <v>63.594000000000001</v>
      </c>
      <c r="E773" s="14">
        <f>CHOOSE(CONTROL!$C$42, 63.6254, 63.6254) * CHOOSE(CONTROL!$C$21, $C$9, 100%, $E$9)</f>
        <v>63.625399999999999</v>
      </c>
      <c r="F773" s="14">
        <f>CHOOSE(CONTROL!$C$42, 63.3484, 63.3484)*CHOOSE(CONTROL!$C$21, $C$9, 100%, $E$9)</f>
        <v>63.348399999999998</v>
      </c>
      <c r="G773" s="14">
        <f>CHOOSE(CONTROL!$C$42, 63.3653, 63.3653)*CHOOSE(CONTROL!$C$21, $C$9, 100%, $E$9)</f>
        <v>63.365299999999998</v>
      </c>
      <c r="H773" s="14">
        <f>CHOOSE(CONTROL!$C$42, 63.6141, 63.6141) * CHOOSE(CONTROL!$C$21, $C$9, 100%, $E$9)</f>
        <v>63.614100000000001</v>
      </c>
      <c r="I773" s="14">
        <f>CHOOSE(CONTROL!$C$42, 63.5463, 63.5463)* CHOOSE(CONTROL!$C$21, $C$9, 100%, $E$9)</f>
        <v>63.546300000000002</v>
      </c>
      <c r="J773" s="14">
        <f>CHOOSE(CONTROL!$C$42, 63.3414, 63.3414)* CHOOSE(CONTROL!$C$21, $C$9, 100%, $E$9)</f>
        <v>63.3414</v>
      </c>
      <c r="K773" s="52">
        <f>CHOOSE(CONTROL!$C$42, 63.5424, 63.5424) * CHOOSE(CONTROL!$C$21, $C$9, 100%, $E$9)</f>
        <v>63.542400000000001</v>
      </c>
      <c r="L773" s="14">
        <f>CHOOSE(CONTROL!$C$42, 64.2011, 64.2011) * CHOOSE(CONTROL!$C$21, $C$9, 100%, $E$9)</f>
        <v>64.201099999999997</v>
      </c>
      <c r="M773" s="14">
        <f>CHOOSE(CONTROL!$C$42, 62.2098, 62.2098) * CHOOSE(CONTROL!$C$21, $C$9, 100%, $E$9)</f>
        <v>62.209800000000001</v>
      </c>
      <c r="N773" s="14">
        <f>CHOOSE(CONTROL!$C$42, 62.2264, 62.2264) * CHOOSE(CONTROL!$C$21, $C$9, 100%, $E$9)</f>
        <v>62.226399999999998</v>
      </c>
      <c r="O773" s="14">
        <f>CHOOSE(CONTROL!$C$42, 62.4775, 62.4775) * CHOOSE(CONTROL!$C$21, $C$9, 100%, $E$9)</f>
        <v>62.477499999999999</v>
      </c>
      <c r="P773" s="14">
        <f>CHOOSE(CONTROL!$C$42, 62.4075, 62.4075) * CHOOSE(CONTROL!$C$21, $C$9, 100%, $E$9)</f>
        <v>62.407499999999999</v>
      </c>
      <c r="Q773" s="14">
        <f>CHOOSE(CONTROL!$C$42, 63.0722, 63.0722) * CHOOSE(CONTROL!$C$21, $C$9, 100%, $E$9)</f>
        <v>63.072200000000002</v>
      </c>
      <c r="R773" s="14">
        <f>CHOOSE(CONTROL!$C$42, 63.8169, 63.8169) * CHOOSE(CONTROL!$C$21, $C$9, 100%, $E$9)</f>
        <v>63.816899999999997</v>
      </c>
      <c r="S773" s="14">
        <f>CHOOSE(CONTROL!$C$42, 60.8401, 60.8401) * CHOOSE(CONTROL!$C$21, $C$9, 100%, $E$9)</f>
        <v>60.8401</v>
      </c>
      <c r="T77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73" s="56">
        <f>(1000*CHOOSE(CONTROL!$C$42, 695, 695)*CHOOSE(CONTROL!$C$42, 0.5599, 0.5599)*CHOOSE(CONTROL!$C$42, 31, 31))/1000000</f>
        <v>12.063045499999998</v>
      </c>
      <c r="V773" s="56">
        <f>(1000*CHOOSE(CONTROL!$C$42, 500, 500)*CHOOSE(CONTROL!$C$42, 0.275, 0.275)*CHOOSE(CONTROL!$C$42, 31, 31))/1000000</f>
        <v>4.2625000000000002</v>
      </c>
      <c r="W773" s="56">
        <f>(1000*CHOOSE(CONTROL!$C$42, 0.1146, 0.1146)*CHOOSE(CONTROL!$C$42, 121.5, 121.5)*CHOOSE(CONTROL!$C$42, 31, 31))/1000000</f>
        <v>0.43164089999999994</v>
      </c>
      <c r="X773" s="56">
        <f>(31*0.1790888*245000/1000000)+(31*0.2374*100000/1000000)</f>
        <v>2.0961194359999999</v>
      </c>
      <c r="Y773" s="56"/>
      <c r="Z773" s="14"/>
      <c r="AA773" s="55"/>
      <c r="AB773" s="49">
        <f>(B773*194.205+C773*267.466+D773*133.845+E773*53.484+F773*40+G773*185+H773*0+I773*100+J773*300)/(194.205+267.466+133.845+53.484+0+40+185+100+300)</f>
        <v>63.396059106357924</v>
      </c>
      <c r="AC773" s="45">
        <f>(M773*'RAP TEMPLATE-GAS AVAILABILITY'!O772+N773*'RAP TEMPLATE-GAS AVAILABILITY'!P772+O773*'RAP TEMPLATE-GAS AVAILABILITY'!Q772+P773*'RAP TEMPLATE-GAS AVAILABILITY'!R772)/('RAP TEMPLATE-GAS AVAILABILITY'!O772+'RAP TEMPLATE-GAS AVAILABILITY'!P772+'RAP TEMPLATE-GAS AVAILABILITY'!Q772+'RAP TEMPLATE-GAS AVAILABILITY'!R772)</f>
        <v>62.360533093525184</v>
      </c>
    </row>
    <row r="774" spans="1:29" ht="15.75" x14ac:dyDescent="0.25">
      <c r="A774" s="32">
        <v>64466</v>
      </c>
      <c r="B774" s="14">
        <f>CHOOSE(CONTROL!$C$42, 65.1229, 65.1229) * CHOOSE(CONTROL!$C$21, $C$9, 100%, $E$9)</f>
        <v>65.122900000000001</v>
      </c>
      <c r="C774" s="14">
        <f>CHOOSE(CONTROL!$C$42, 65.1309, 65.1309) * CHOOSE(CONTROL!$C$21, $C$9, 100%, $E$9)</f>
        <v>65.130899999999997</v>
      </c>
      <c r="D774" s="14">
        <f>CHOOSE(CONTROL!$C$42, 65.39, 65.39) * CHOOSE(CONTROL!$C$21, $C$9, 100%, $E$9)</f>
        <v>65.39</v>
      </c>
      <c r="E774" s="14">
        <f>CHOOSE(CONTROL!$C$42, 65.4214, 65.4214) * CHOOSE(CONTROL!$C$21, $C$9, 100%, $E$9)</f>
        <v>65.421400000000006</v>
      </c>
      <c r="F774" s="14">
        <f>CHOOSE(CONTROL!$C$42, 65.1446, 65.1446)*CHOOSE(CONTROL!$C$21, $C$9, 100%, $E$9)</f>
        <v>65.144599999999997</v>
      </c>
      <c r="G774" s="14">
        <f>CHOOSE(CONTROL!$C$42, 65.1617, 65.1617)*CHOOSE(CONTROL!$C$21, $C$9, 100%, $E$9)</f>
        <v>65.161699999999996</v>
      </c>
      <c r="H774" s="14">
        <f>CHOOSE(CONTROL!$C$42, 65.4101, 65.4101) * CHOOSE(CONTROL!$C$21, $C$9, 100%, $E$9)</f>
        <v>65.4101</v>
      </c>
      <c r="I774" s="14">
        <f>CHOOSE(CONTROL!$C$42, 65.3479, 65.3479)* CHOOSE(CONTROL!$C$21, $C$9, 100%, $E$9)</f>
        <v>65.347899999999996</v>
      </c>
      <c r="J774" s="14">
        <f>CHOOSE(CONTROL!$C$42, 65.1376, 65.1376)* CHOOSE(CONTROL!$C$21, $C$9, 100%, $E$9)</f>
        <v>65.137600000000006</v>
      </c>
      <c r="K774" s="52">
        <f>CHOOSE(CONTROL!$C$42, 65.344, 65.344) * CHOOSE(CONTROL!$C$21, $C$9, 100%, $E$9)</f>
        <v>65.343999999999994</v>
      </c>
      <c r="L774" s="14">
        <f>CHOOSE(CONTROL!$C$42, 65.9971, 65.9971) * CHOOSE(CONTROL!$C$21, $C$9, 100%, $E$9)</f>
        <v>65.997100000000003</v>
      </c>
      <c r="M774" s="14">
        <f>CHOOSE(CONTROL!$C$42, 63.9737, 63.9737) * CHOOSE(CONTROL!$C$21, $C$9, 100%, $E$9)</f>
        <v>63.973700000000001</v>
      </c>
      <c r="N774" s="14">
        <f>CHOOSE(CONTROL!$C$42, 63.9905, 63.9905) * CHOOSE(CONTROL!$C$21, $C$9, 100%, $E$9)</f>
        <v>63.990499999999997</v>
      </c>
      <c r="O774" s="14">
        <f>CHOOSE(CONTROL!$C$42, 64.2413, 64.2413) * CHOOSE(CONTROL!$C$21, $C$9, 100%, $E$9)</f>
        <v>64.241299999999995</v>
      </c>
      <c r="P774" s="14">
        <f>CHOOSE(CONTROL!$C$42, 64.1767, 64.1767) * CHOOSE(CONTROL!$C$21, $C$9, 100%, $E$9)</f>
        <v>64.176699999999997</v>
      </c>
      <c r="Q774" s="14">
        <f>CHOOSE(CONTROL!$C$42, 64.836, 64.836) * CHOOSE(CONTROL!$C$21, $C$9, 100%, $E$9)</f>
        <v>64.835999999999999</v>
      </c>
      <c r="R774" s="14">
        <f>CHOOSE(CONTROL!$C$42, 65.5851, 65.5851) * CHOOSE(CONTROL!$C$21, $C$9, 100%, $E$9)</f>
        <v>65.585099999999997</v>
      </c>
      <c r="S774" s="14">
        <f>CHOOSE(CONTROL!$C$42, 62.5659, 62.5659) * CHOOSE(CONTROL!$C$21, $C$9, 100%, $E$9)</f>
        <v>62.565899999999999</v>
      </c>
      <c r="T77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74" s="56">
        <f>(1000*CHOOSE(CONTROL!$C$42, 695, 695)*CHOOSE(CONTROL!$C$42, 0.5599, 0.5599)*CHOOSE(CONTROL!$C$42, 30, 30))/1000000</f>
        <v>11.673914999999997</v>
      </c>
      <c r="V774" s="56">
        <f>(1000*CHOOSE(CONTROL!$C$42, 500, 500)*CHOOSE(CONTROL!$C$42, 0.275, 0.275)*CHOOSE(CONTROL!$C$42, 30, 30))/1000000</f>
        <v>4.125</v>
      </c>
      <c r="W774" s="56">
        <f>(1000*CHOOSE(CONTROL!$C$42, 0.1146, 0.1146)*CHOOSE(CONTROL!$C$42, 121.5, 121.5)*CHOOSE(CONTROL!$C$42, 30, 30))/1000000</f>
        <v>0.417717</v>
      </c>
      <c r="X774" s="56">
        <f>(30*0.1790888*245000/1000000)+(30*0.2374*100000/1000000)</f>
        <v>2.0285026799999999</v>
      </c>
      <c r="Y774" s="56"/>
      <c r="Z774" s="14"/>
      <c r="AA774" s="55"/>
      <c r="AB774" s="49">
        <f>(B774*194.205+C774*267.466+D774*133.845+E774*53.484+F774*40+G774*185+H774*0+I774*100+J774*300)/(194.205+267.466+133.845+53.484+0+40+185+100+300)</f>
        <v>65.192610126766098</v>
      </c>
      <c r="AC774" s="45">
        <f>(M774*'RAP TEMPLATE-GAS AVAILABILITY'!O773+N774*'RAP TEMPLATE-GAS AVAILABILITY'!P773+O774*'RAP TEMPLATE-GAS AVAILABILITY'!Q773+P774*'RAP TEMPLATE-GAS AVAILABILITY'!R773)/('RAP TEMPLATE-GAS AVAILABILITY'!O773+'RAP TEMPLATE-GAS AVAILABILITY'!P773+'RAP TEMPLATE-GAS AVAILABILITY'!Q773+'RAP TEMPLATE-GAS AVAILABILITY'!R773)</f>
        <v>64.125161870503604</v>
      </c>
    </row>
    <row r="775" spans="1:29" ht="15.75" x14ac:dyDescent="0.25">
      <c r="A775" s="32">
        <v>64497</v>
      </c>
      <c r="B775" s="14">
        <f>CHOOSE(CONTROL!$C$42, 63.8737, 63.8737) * CHOOSE(CONTROL!$C$21, $C$9, 100%, $E$9)</f>
        <v>63.873699999999999</v>
      </c>
      <c r="C775" s="14">
        <f>CHOOSE(CONTROL!$C$42, 63.8818, 63.8818) * CHOOSE(CONTROL!$C$21, $C$9, 100%, $E$9)</f>
        <v>63.881799999999998</v>
      </c>
      <c r="D775" s="14">
        <f>CHOOSE(CONTROL!$C$42, 64.1408, 64.1408) * CHOOSE(CONTROL!$C$21, $C$9, 100%, $E$9)</f>
        <v>64.140799999999999</v>
      </c>
      <c r="E775" s="14">
        <f>CHOOSE(CONTROL!$C$42, 64.1723, 64.1723) * CHOOSE(CONTROL!$C$21, $C$9, 100%, $E$9)</f>
        <v>64.172300000000007</v>
      </c>
      <c r="F775" s="14">
        <f>CHOOSE(CONTROL!$C$42, 63.8959, 63.8959)*CHOOSE(CONTROL!$C$21, $C$9, 100%, $E$9)</f>
        <v>63.895899999999997</v>
      </c>
      <c r="G775" s="14">
        <f>CHOOSE(CONTROL!$C$42, 63.9131, 63.9131)*CHOOSE(CONTROL!$C$21, $C$9, 100%, $E$9)</f>
        <v>63.9131</v>
      </c>
      <c r="H775" s="14">
        <f>CHOOSE(CONTROL!$C$42, 64.1609, 64.1609) * CHOOSE(CONTROL!$C$21, $C$9, 100%, $E$9)</f>
        <v>64.160899999999998</v>
      </c>
      <c r="I775" s="14">
        <f>CHOOSE(CONTROL!$C$42, 64.0949, 64.0949)* CHOOSE(CONTROL!$C$21, $C$9, 100%, $E$9)</f>
        <v>64.094899999999996</v>
      </c>
      <c r="J775" s="14">
        <f>CHOOSE(CONTROL!$C$42, 63.8889, 63.8889)* CHOOSE(CONTROL!$C$21, $C$9, 100%, $E$9)</f>
        <v>63.8889</v>
      </c>
      <c r="K775" s="52">
        <f>CHOOSE(CONTROL!$C$42, 64.091, 64.091) * CHOOSE(CONTROL!$C$21, $C$9, 100%, $E$9)</f>
        <v>64.090999999999994</v>
      </c>
      <c r="L775" s="14">
        <f>CHOOSE(CONTROL!$C$42, 64.7479, 64.7479) * CHOOSE(CONTROL!$C$21, $C$9, 100%, $E$9)</f>
        <v>64.747900000000001</v>
      </c>
      <c r="M775" s="14">
        <f>CHOOSE(CONTROL!$C$42, 62.7475, 62.7475) * CHOOSE(CONTROL!$C$21, $C$9, 100%, $E$9)</f>
        <v>62.747500000000002</v>
      </c>
      <c r="N775" s="14">
        <f>CHOOSE(CONTROL!$C$42, 62.7643, 62.7643) * CHOOSE(CONTROL!$C$21, $C$9, 100%, $E$9)</f>
        <v>62.764299999999999</v>
      </c>
      <c r="O775" s="14">
        <f>CHOOSE(CONTROL!$C$42, 63.0146, 63.0146) * CHOOSE(CONTROL!$C$21, $C$9, 100%, $E$9)</f>
        <v>63.014600000000002</v>
      </c>
      <c r="P775" s="14">
        <f>CHOOSE(CONTROL!$C$42, 62.9462, 62.9462) * CHOOSE(CONTROL!$C$21, $C$9, 100%, $E$9)</f>
        <v>62.946199999999997</v>
      </c>
      <c r="Q775" s="14">
        <f>CHOOSE(CONTROL!$C$42, 63.6093, 63.6093) * CHOOSE(CONTROL!$C$21, $C$9, 100%, $E$9)</f>
        <v>63.609299999999998</v>
      </c>
      <c r="R775" s="14">
        <f>CHOOSE(CONTROL!$C$42, 64.3553, 64.3553) * CHOOSE(CONTROL!$C$21, $C$9, 100%, $E$9)</f>
        <v>64.3553</v>
      </c>
      <c r="S775" s="14">
        <f>CHOOSE(CONTROL!$C$42, 61.3656, 61.3656) * CHOOSE(CONTROL!$C$21, $C$9, 100%, $E$9)</f>
        <v>61.365600000000001</v>
      </c>
      <c r="T77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75" s="56">
        <f>(1000*CHOOSE(CONTROL!$C$42, 695, 695)*CHOOSE(CONTROL!$C$42, 0.5599, 0.5599)*CHOOSE(CONTROL!$C$42, 31, 31))/1000000</f>
        <v>12.063045499999998</v>
      </c>
      <c r="V775" s="56">
        <f>(1000*CHOOSE(CONTROL!$C$42, 500, 500)*CHOOSE(CONTROL!$C$42, 0.275, 0.275)*CHOOSE(CONTROL!$C$42, 31, 31))/1000000</f>
        <v>4.2625000000000002</v>
      </c>
      <c r="W775" s="56">
        <f>(1000*CHOOSE(CONTROL!$C$42, 0.1146, 0.1146)*CHOOSE(CONTROL!$C$42, 121.5, 121.5)*CHOOSE(CONTROL!$C$42, 31, 31))/1000000</f>
        <v>0.43164089999999994</v>
      </c>
      <c r="X775" s="56">
        <f>(31*0.1790888*245000/1000000)+(31*0.2374*100000/1000000)</f>
        <v>2.0961194359999999</v>
      </c>
      <c r="Y775" s="56"/>
      <c r="Z775" s="14"/>
      <c r="AA775" s="55"/>
      <c r="AB775" s="49">
        <f>(B775*194.205+C775*267.466+D775*133.845+E775*53.484+F775*40+G775*185+H775*0+I775*100+J775*300)/(194.205+267.466+133.845+53.484+0+40+185+100+300)</f>
        <v>63.943357611067505</v>
      </c>
      <c r="AC775" s="45">
        <f>(M775*'RAP TEMPLATE-GAS AVAILABILITY'!O774+N775*'RAP TEMPLATE-GAS AVAILABILITY'!P774+O775*'RAP TEMPLATE-GAS AVAILABILITY'!Q774+P775*'RAP TEMPLATE-GAS AVAILABILITY'!R774)/('RAP TEMPLATE-GAS AVAILABILITY'!O774+'RAP TEMPLATE-GAS AVAILABILITY'!P774+'RAP TEMPLATE-GAS AVAILABILITY'!Q774+'RAP TEMPLATE-GAS AVAILABILITY'!R774)</f>
        <v>62.898116546762601</v>
      </c>
    </row>
    <row r="776" spans="1:29" ht="15.75" x14ac:dyDescent="0.25">
      <c r="A776" s="32">
        <v>64528</v>
      </c>
      <c r="B776" s="14">
        <f>CHOOSE(CONTROL!$C$42, 60.7193, 60.7193) * CHOOSE(CONTROL!$C$21, $C$9, 100%, $E$9)</f>
        <v>60.719299999999997</v>
      </c>
      <c r="C776" s="14">
        <f>CHOOSE(CONTROL!$C$42, 60.7273, 60.7273) * CHOOSE(CONTROL!$C$21, $C$9, 100%, $E$9)</f>
        <v>60.7273</v>
      </c>
      <c r="D776" s="14">
        <f>CHOOSE(CONTROL!$C$42, 60.9864, 60.9864) * CHOOSE(CONTROL!$C$21, $C$9, 100%, $E$9)</f>
        <v>60.986400000000003</v>
      </c>
      <c r="E776" s="14">
        <f>CHOOSE(CONTROL!$C$42, 61.0178, 61.0178) * CHOOSE(CONTROL!$C$21, $C$9, 100%, $E$9)</f>
        <v>61.017800000000001</v>
      </c>
      <c r="F776" s="14">
        <f>CHOOSE(CONTROL!$C$42, 60.7417, 60.7417)*CHOOSE(CONTROL!$C$21, $C$9, 100%, $E$9)</f>
        <v>60.741700000000002</v>
      </c>
      <c r="G776" s="14">
        <f>CHOOSE(CONTROL!$C$42, 60.7589, 60.7589)*CHOOSE(CONTROL!$C$21, $C$9, 100%, $E$9)</f>
        <v>60.758899999999997</v>
      </c>
      <c r="H776" s="14">
        <f>CHOOSE(CONTROL!$C$42, 61.0065, 61.0065) * CHOOSE(CONTROL!$C$21, $C$9, 100%, $E$9)</f>
        <v>61.006500000000003</v>
      </c>
      <c r="I776" s="14">
        <f>CHOOSE(CONTROL!$C$42, 60.9305, 60.9305)* CHOOSE(CONTROL!$C$21, $C$9, 100%, $E$9)</f>
        <v>60.930500000000002</v>
      </c>
      <c r="J776" s="14">
        <f>CHOOSE(CONTROL!$C$42, 60.7347, 60.7347)* CHOOSE(CONTROL!$C$21, $C$9, 100%, $E$9)</f>
        <v>60.734699999999997</v>
      </c>
      <c r="K776" s="52">
        <f>CHOOSE(CONTROL!$C$42, 60.9266, 60.9266) * CHOOSE(CONTROL!$C$21, $C$9, 100%, $E$9)</f>
        <v>60.926600000000001</v>
      </c>
      <c r="L776" s="14">
        <f>CHOOSE(CONTROL!$C$42, 61.5935, 61.5935) * CHOOSE(CONTROL!$C$21, $C$9, 100%, $E$9)</f>
        <v>61.593499999999999</v>
      </c>
      <c r="M776" s="14">
        <f>CHOOSE(CONTROL!$C$42, 59.6499, 59.6499) * CHOOSE(CONTROL!$C$21, $C$9, 100%, $E$9)</f>
        <v>59.649900000000002</v>
      </c>
      <c r="N776" s="14">
        <f>CHOOSE(CONTROL!$C$42, 59.6668, 59.6668) * CHOOSE(CONTROL!$C$21, $C$9, 100%, $E$9)</f>
        <v>59.666800000000002</v>
      </c>
      <c r="O776" s="14">
        <f>CHOOSE(CONTROL!$C$42, 59.9169, 59.9169) * CHOOSE(CONTROL!$C$21, $C$9, 100%, $E$9)</f>
        <v>59.916899999999998</v>
      </c>
      <c r="P776" s="14">
        <f>CHOOSE(CONTROL!$C$42, 59.839, 59.839) * CHOOSE(CONTROL!$C$21, $C$9, 100%, $E$9)</f>
        <v>59.838999999999999</v>
      </c>
      <c r="Q776" s="14">
        <f>CHOOSE(CONTROL!$C$42, 60.5116, 60.5116) * CHOOSE(CONTROL!$C$21, $C$9, 100%, $E$9)</f>
        <v>60.511600000000001</v>
      </c>
      <c r="R776" s="14">
        <f>CHOOSE(CONTROL!$C$42, 61.2498, 61.2498) * CHOOSE(CONTROL!$C$21, $C$9, 100%, $E$9)</f>
        <v>61.2498</v>
      </c>
      <c r="S776" s="14">
        <f>CHOOSE(CONTROL!$C$42, 58.3345, 58.3345) * CHOOSE(CONTROL!$C$21, $C$9, 100%, $E$9)</f>
        <v>58.334499999999998</v>
      </c>
      <c r="T77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776" s="56">
        <f>(1000*CHOOSE(CONTROL!$C$42, 695, 695)*CHOOSE(CONTROL!$C$42, 0.5599, 0.5599)*CHOOSE(CONTROL!$C$42, 31, 31))/1000000</f>
        <v>12.063045499999998</v>
      </c>
      <c r="V776" s="56">
        <f>(1000*CHOOSE(CONTROL!$C$42, 500, 500)*CHOOSE(CONTROL!$C$42, 0.275, 0.275)*CHOOSE(CONTROL!$C$42, 31, 31))/1000000</f>
        <v>4.2625000000000002</v>
      </c>
      <c r="W776" s="56">
        <f>(1000*CHOOSE(CONTROL!$C$42, 0.1146, 0.1146)*CHOOSE(CONTROL!$C$42, 121.5, 121.5)*CHOOSE(CONTROL!$C$42, 31, 31))/1000000</f>
        <v>0.43164089999999994</v>
      </c>
      <c r="X776" s="56">
        <f>(31*0.1790888*245000/1000000)+(31*0.2374*100000/1000000)</f>
        <v>2.0961194359999999</v>
      </c>
      <c r="Y776" s="56"/>
      <c r="Z776" s="14"/>
      <c r="AA776" s="55"/>
      <c r="AB776" s="49">
        <f>(B776*194.205+C776*267.466+D776*133.845+E776*53.484+F776*40+G776*185+H776*0+I776*100+J776*300)/(194.205+267.466+133.845+53.484+0+40+185+100+300)</f>
        <v>60.788229906985876</v>
      </c>
      <c r="AC776" s="45">
        <f>(M776*'RAP TEMPLATE-GAS AVAILABILITY'!O775+N776*'RAP TEMPLATE-GAS AVAILABILITY'!P775+O776*'RAP TEMPLATE-GAS AVAILABILITY'!Q775+P776*'RAP TEMPLATE-GAS AVAILABILITY'!R775)/('RAP TEMPLATE-GAS AVAILABILITY'!O775+'RAP TEMPLATE-GAS AVAILABILITY'!P775+'RAP TEMPLATE-GAS AVAILABILITY'!Q775+'RAP TEMPLATE-GAS AVAILABILITY'!R775)</f>
        <v>59.799095683453238</v>
      </c>
    </row>
    <row r="777" spans="1:29" ht="15.75" x14ac:dyDescent="0.25">
      <c r="A777" s="32">
        <v>64558</v>
      </c>
      <c r="B777" s="14">
        <f>CHOOSE(CONTROL!$C$42, 56.8648, 56.8648) * CHOOSE(CONTROL!$C$21, $C$9, 100%, $E$9)</f>
        <v>56.864800000000002</v>
      </c>
      <c r="C777" s="14">
        <f>CHOOSE(CONTROL!$C$42, 56.8729, 56.8729) * CHOOSE(CONTROL!$C$21, $C$9, 100%, $E$9)</f>
        <v>56.872900000000001</v>
      </c>
      <c r="D777" s="14">
        <f>CHOOSE(CONTROL!$C$42, 57.132, 57.132) * CHOOSE(CONTROL!$C$21, $C$9, 100%, $E$9)</f>
        <v>57.131999999999998</v>
      </c>
      <c r="E777" s="14">
        <f>CHOOSE(CONTROL!$C$42, 57.1634, 57.1634) * CHOOSE(CONTROL!$C$21, $C$9, 100%, $E$9)</f>
        <v>57.163400000000003</v>
      </c>
      <c r="F777" s="14">
        <f>CHOOSE(CONTROL!$C$42, 56.8873, 56.8873)*CHOOSE(CONTROL!$C$21, $C$9, 100%, $E$9)</f>
        <v>56.887300000000003</v>
      </c>
      <c r="G777" s="14">
        <f>CHOOSE(CONTROL!$C$42, 56.9045, 56.9045)*CHOOSE(CONTROL!$C$21, $C$9, 100%, $E$9)</f>
        <v>56.904499999999999</v>
      </c>
      <c r="H777" s="14">
        <f>CHOOSE(CONTROL!$C$42, 57.1521, 57.1521) * CHOOSE(CONTROL!$C$21, $C$9, 100%, $E$9)</f>
        <v>57.152099999999997</v>
      </c>
      <c r="I777" s="14">
        <f>CHOOSE(CONTROL!$C$42, 57.064, 57.064)* CHOOSE(CONTROL!$C$21, $C$9, 100%, $E$9)</f>
        <v>57.064</v>
      </c>
      <c r="J777" s="14">
        <f>CHOOSE(CONTROL!$C$42, 56.8803, 56.8803)* CHOOSE(CONTROL!$C$21, $C$9, 100%, $E$9)</f>
        <v>56.880299999999998</v>
      </c>
      <c r="K777" s="52">
        <f>CHOOSE(CONTROL!$C$42, 57.0601, 57.0601) * CHOOSE(CONTROL!$C$21, $C$9, 100%, $E$9)</f>
        <v>57.060099999999998</v>
      </c>
      <c r="L777" s="14">
        <f>CHOOSE(CONTROL!$C$42, 57.7391, 57.7391) * CHOOSE(CONTROL!$C$21, $C$9, 100%, $E$9)</f>
        <v>57.739100000000001</v>
      </c>
      <c r="M777" s="14">
        <f>CHOOSE(CONTROL!$C$42, 55.8649, 55.8649) * CHOOSE(CONTROL!$C$21, $C$9, 100%, $E$9)</f>
        <v>55.864899999999999</v>
      </c>
      <c r="N777" s="14">
        <f>CHOOSE(CONTROL!$C$42, 55.8818, 55.8818) * CHOOSE(CONTROL!$C$21, $C$9, 100%, $E$9)</f>
        <v>55.881799999999998</v>
      </c>
      <c r="O777" s="14">
        <f>CHOOSE(CONTROL!$C$42, 56.1318, 56.1318) * CHOOSE(CONTROL!$C$21, $C$9, 100%, $E$9)</f>
        <v>56.131799999999998</v>
      </c>
      <c r="P777" s="14">
        <f>CHOOSE(CONTROL!$C$42, 56.0422, 56.0422) * CHOOSE(CONTROL!$C$21, $C$9, 100%, $E$9)</f>
        <v>56.042200000000001</v>
      </c>
      <c r="Q777" s="14">
        <f>CHOOSE(CONTROL!$C$42, 56.7265, 56.7265) * CHOOSE(CONTROL!$C$21, $C$9, 100%, $E$9)</f>
        <v>56.726500000000001</v>
      </c>
      <c r="R777" s="14">
        <f>CHOOSE(CONTROL!$C$42, 57.4553, 57.4553) * CHOOSE(CONTROL!$C$21, $C$9, 100%, $E$9)</f>
        <v>57.455300000000001</v>
      </c>
      <c r="S777" s="14">
        <f>CHOOSE(CONTROL!$C$42, 54.6308, 54.6308) * CHOOSE(CONTROL!$C$21, $C$9, 100%, $E$9)</f>
        <v>54.630800000000001</v>
      </c>
      <c r="T77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777" s="56">
        <f>(1000*CHOOSE(CONTROL!$C$42, 695, 695)*CHOOSE(CONTROL!$C$42, 0.5599, 0.5599)*CHOOSE(CONTROL!$C$42, 30, 30))/1000000</f>
        <v>11.673914999999997</v>
      </c>
      <c r="V777" s="56">
        <f>(1000*CHOOSE(CONTROL!$C$42, 500, 500)*CHOOSE(CONTROL!$C$42, 0.275, 0.275)*CHOOSE(CONTROL!$C$42, 30, 30))/1000000</f>
        <v>4.125</v>
      </c>
      <c r="W777" s="56">
        <f>(1000*CHOOSE(CONTROL!$C$42, 0.1146, 0.1146)*CHOOSE(CONTROL!$C$42, 121.5, 121.5)*CHOOSE(CONTROL!$C$42, 30, 30))/1000000</f>
        <v>0.417717</v>
      </c>
      <c r="X777" s="56">
        <f>(30*0.1790888*245000/1000000)+(30*0.2374*100000/1000000)</f>
        <v>2.0285026799999999</v>
      </c>
      <c r="Y777" s="56"/>
      <c r="Z777" s="14"/>
      <c r="AA777" s="55"/>
      <c r="AB777" s="49">
        <f>(B777*194.205+C777*267.466+D777*133.845+E777*53.484+F777*40+G777*185+H777*0+I777*100+J777*300)/(194.205+267.466+133.845+53.484+0+40+185+100+300)</f>
        <v>56.932864898744121</v>
      </c>
      <c r="AC777" s="45">
        <f>(M777*'RAP TEMPLATE-GAS AVAILABILITY'!O776+N777*'RAP TEMPLATE-GAS AVAILABILITY'!P776+O777*'RAP TEMPLATE-GAS AVAILABILITY'!Q776+P777*'RAP TEMPLATE-GAS AVAILABILITY'!R776)/('RAP TEMPLATE-GAS AVAILABILITY'!O776+'RAP TEMPLATE-GAS AVAILABILITY'!P776+'RAP TEMPLATE-GAS AVAILABILITY'!Q776+'RAP TEMPLATE-GAS AVAILABILITY'!R776)</f>
        <v>56.012352517985612</v>
      </c>
    </row>
    <row r="778" spans="1:29" ht="15.75" x14ac:dyDescent="0.25">
      <c r="A778" s="32">
        <v>64589</v>
      </c>
      <c r="B778" s="14">
        <f>CHOOSE(CONTROL!$C$42, 55.7087, 55.7087) * CHOOSE(CONTROL!$C$21, $C$9, 100%, $E$9)</f>
        <v>55.7087</v>
      </c>
      <c r="C778" s="14">
        <f>CHOOSE(CONTROL!$C$42, 55.7141, 55.7141) * CHOOSE(CONTROL!$C$21, $C$9, 100%, $E$9)</f>
        <v>55.714100000000002</v>
      </c>
      <c r="D778" s="14">
        <f>CHOOSE(CONTROL!$C$42, 55.9781, 55.9781) * CHOOSE(CONTROL!$C$21, $C$9, 100%, $E$9)</f>
        <v>55.978099999999998</v>
      </c>
      <c r="E778" s="14">
        <f>CHOOSE(CONTROL!$C$42, 56.0072, 56.0072) * CHOOSE(CONTROL!$C$21, $C$9, 100%, $E$9)</f>
        <v>56.007199999999997</v>
      </c>
      <c r="F778" s="14">
        <f>CHOOSE(CONTROL!$C$42, 55.7334, 55.7334)*CHOOSE(CONTROL!$C$21, $C$9, 100%, $E$9)</f>
        <v>55.733400000000003</v>
      </c>
      <c r="G778" s="14">
        <f>CHOOSE(CONTROL!$C$42, 55.7505, 55.7505)*CHOOSE(CONTROL!$C$21, $C$9, 100%, $E$9)</f>
        <v>55.750500000000002</v>
      </c>
      <c r="H778" s="14">
        <f>CHOOSE(CONTROL!$C$42, 55.9977, 55.9977) * CHOOSE(CONTROL!$C$21, $C$9, 100%, $E$9)</f>
        <v>55.997700000000002</v>
      </c>
      <c r="I778" s="14">
        <f>CHOOSE(CONTROL!$C$42, 55.9061, 55.9061)* CHOOSE(CONTROL!$C$21, $C$9, 100%, $E$9)</f>
        <v>55.906100000000002</v>
      </c>
      <c r="J778" s="14">
        <f>CHOOSE(CONTROL!$C$42, 55.7264, 55.7264)* CHOOSE(CONTROL!$C$21, $C$9, 100%, $E$9)</f>
        <v>55.726399999999998</v>
      </c>
      <c r="K778" s="52">
        <f>CHOOSE(CONTROL!$C$42, 55.9022, 55.9022) * CHOOSE(CONTROL!$C$21, $C$9, 100%, $E$9)</f>
        <v>55.902200000000001</v>
      </c>
      <c r="L778" s="14">
        <f>CHOOSE(CONTROL!$C$42, 56.5847, 56.5847) * CHOOSE(CONTROL!$C$21, $C$9, 100%, $E$9)</f>
        <v>56.584699999999998</v>
      </c>
      <c r="M778" s="14">
        <f>CHOOSE(CONTROL!$C$42, 54.7317, 54.7317) * CHOOSE(CONTROL!$C$21, $C$9, 100%, $E$9)</f>
        <v>54.731699999999996</v>
      </c>
      <c r="N778" s="14">
        <f>CHOOSE(CONTROL!$C$42, 54.7485, 54.7485) * CHOOSE(CONTROL!$C$21, $C$9, 100%, $E$9)</f>
        <v>54.7485</v>
      </c>
      <c r="O778" s="14">
        <f>CHOOSE(CONTROL!$C$42, 54.9982, 54.9982) * CHOOSE(CONTROL!$C$21, $C$9, 100%, $E$9)</f>
        <v>54.998199999999997</v>
      </c>
      <c r="P778" s="14">
        <f>CHOOSE(CONTROL!$C$42, 54.9052, 54.9052) * CHOOSE(CONTROL!$C$21, $C$9, 100%, $E$9)</f>
        <v>54.905200000000001</v>
      </c>
      <c r="Q778" s="14">
        <f>CHOOSE(CONTROL!$C$42, 55.5929, 55.5929) * CHOOSE(CONTROL!$C$21, $C$9, 100%, $E$9)</f>
        <v>55.5929</v>
      </c>
      <c r="R778" s="14">
        <f>CHOOSE(CONTROL!$C$42, 56.3189, 56.3189) * CHOOSE(CONTROL!$C$21, $C$9, 100%, $E$9)</f>
        <v>56.318899999999999</v>
      </c>
      <c r="S778" s="14">
        <f>CHOOSE(CONTROL!$C$42, 53.5216, 53.5216) * CHOOSE(CONTROL!$C$21, $C$9, 100%, $E$9)</f>
        <v>53.521599999999999</v>
      </c>
      <c r="T77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78" s="56">
        <f>(1000*CHOOSE(CONTROL!$C$42, 695, 695)*CHOOSE(CONTROL!$C$42, 0.5599, 0.5599)*CHOOSE(CONTROL!$C$42, 31, 31))/1000000</f>
        <v>12.063045499999998</v>
      </c>
      <c r="V778" s="56">
        <f>(1000*CHOOSE(CONTROL!$C$42, 500, 500)*CHOOSE(CONTROL!$C$42, 0.275, 0.275)*CHOOSE(CONTROL!$C$42, 31, 31))/1000000</f>
        <v>4.2625000000000002</v>
      </c>
      <c r="W778" s="56">
        <f>(1000*CHOOSE(CONTROL!$C$42, 0.1146, 0.1146)*CHOOSE(CONTROL!$C$42, 121.5, 121.5)*CHOOSE(CONTROL!$C$42, 31, 31))/1000000</f>
        <v>0.43164089999999994</v>
      </c>
      <c r="X778" s="56">
        <f>(31*0.1790888*245000/1000000)+(31*0.2374*100000/1000000)</f>
        <v>2.0961194359999999</v>
      </c>
      <c r="Y778" s="56"/>
      <c r="Z778" s="14"/>
      <c r="AA778" s="55"/>
      <c r="AB778" s="49">
        <f>(B778*131.881+C778*277.167+D778*79.08+E778*125.872+F778*40+G778*185+H778*0+I778*100+J778*300)/(131.881+277.167+79.08+125.872+0+40+185+100+300)</f>
        <v>55.784684379176753</v>
      </c>
      <c r="AC778" s="45">
        <f>(M778*'RAP TEMPLATE-GAS AVAILABILITY'!O777+N778*'RAP TEMPLATE-GAS AVAILABILITY'!P777+O778*'RAP TEMPLATE-GAS AVAILABILITY'!Q777+P778*'RAP TEMPLATE-GAS AVAILABILITY'!R777)/('RAP TEMPLATE-GAS AVAILABILITY'!O777+'RAP TEMPLATE-GAS AVAILABILITY'!P777+'RAP TEMPLATE-GAS AVAILABILITY'!Q777+'RAP TEMPLATE-GAS AVAILABILITY'!R777)</f>
        <v>54.878418705035969</v>
      </c>
    </row>
    <row r="779" spans="1:29" ht="15.75" x14ac:dyDescent="0.25">
      <c r="A779" s="32">
        <v>64619</v>
      </c>
      <c r="B779" s="14">
        <f>CHOOSE(CONTROL!$C$42, 57.1757, 57.1757) * CHOOSE(CONTROL!$C$21, $C$9, 100%, $E$9)</f>
        <v>57.175699999999999</v>
      </c>
      <c r="C779" s="14">
        <f>CHOOSE(CONTROL!$C$42, 57.1808, 57.1808) * CHOOSE(CONTROL!$C$21, $C$9, 100%, $E$9)</f>
        <v>57.180799999999998</v>
      </c>
      <c r="D779" s="14">
        <f>CHOOSE(CONTROL!$C$42, 57.2638, 57.2638) * CHOOSE(CONTROL!$C$21, $C$9, 100%, $E$9)</f>
        <v>57.263800000000003</v>
      </c>
      <c r="E779" s="14">
        <f>CHOOSE(CONTROL!$C$42, 57.2979, 57.2979) * CHOOSE(CONTROL!$C$21, $C$9, 100%, $E$9)</f>
        <v>57.297899999999998</v>
      </c>
      <c r="F779" s="14">
        <f>CHOOSE(CONTROL!$C$42, 57.2033, 57.2033)*CHOOSE(CONTROL!$C$21, $C$9, 100%, $E$9)</f>
        <v>57.203299999999999</v>
      </c>
      <c r="G779" s="14">
        <f>CHOOSE(CONTROL!$C$42, 57.2207, 57.2207)*CHOOSE(CONTROL!$C$21, $C$9, 100%, $E$9)</f>
        <v>57.220700000000001</v>
      </c>
      <c r="H779" s="14">
        <f>CHOOSE(CONTROL!$C$42, 57.2871, 57.2871) * CHOOSE(CONTROL!$C$21, $C$9, 100%, $E$9)</f>
        <v>57.287100000000002</v>
      </c>
      <c r="I779" s="14">
        <f>CHOOSE(CONTROL!$C$42, 57.3744, 57.3744)* CHOOSE(CONTROL!$C$21, $C$9, 100%, $E$9)</f>
        <v>57.374400000000001</v>
      </c>
      <c r="J779" s="14">
        <f>CHOOSE(CONTROL!$C$42, 57.1963, 57.1963)* CHOOSE(CONTROL!$C$21, $C$9, 100%, $E$9)</f>
        <v>57.196300000000001</v>
      </c>
      <c r="K779" s="52">
        <f>CHOOSE(CONTROL!$C$42, 57.3705, 57.3705) * CHOOSE(CONTROL!$C$21, $C$9, 100%, $E$9)</f>
        <v>57.3705</v>
      </c>
      <c r="L779" s="14">
        <f>CHOOSE(CONTROL!$C$42, 57.8741, 57.8741) * CHOOSE(CONTROL!$C$21, $C$9, 100%, $E$9)</f>
        <v>57.874099999999999</v>
      </c>
      <c r="M779" s="14">
        <f>CHOOSE(CONTROL!$C$42, 56.1752, 56.1752) * CHOOSE(CONTROL!$C$21, $C$9, 100%, $E$9)</f>
        <v>56.175199999999997</v>
      </c>
      <c r="N779" s="14">
        <f>CHOOSE(CONTROL!$C$42, 56.1923, 56.1923) * CHOOSE(CONTROL!$C$21, $C$9, 100%, $E$9)</f>
        <v>56.192300000000003</v>
      </c>
      <c r="O779" s="14">
        <f>CHOOSE(CONTROL!$C$42, 56.2644, 56.2644) * CHOOSE(CONTROL!$C$21, $C$9, 100%, $E$9)</f>
        <v>56.264400000000002</v>
      </c>
      <c r="P779" s="14">
        <f>CHOOSE(CONTROL!$C$42, 56.347, 56.347) * CHOOSE(CONTROL!$C$21, $C$9, 100%, $E$9)</f>
        <v>56.347000000000001</v>
      </c>
      <c r="Q779" s="14">
        <f>CHOOSE(CONTROL!$C$42, 56.8591, 56.8591) * CHOOSE(CONTROL!$C$21, $C$9, 100%, $E$9)</f>
        <v>56.859099999999998</v>
      </c>
      <c r="R779" s="14">
        <f>CHOOSE(CONTROL!$C$42, 57.5883, 57.5883) * CHOOSE(CONTROL!$C$21, $C$9, 100%, $E$9)</f>
        <v>57.588299999999997</v>
      </c>
      <c r="S779" s="14">
        <f>CHOOSE(CONTROL!$C$42, 54.9316, 54.9316) * CHOOSE(CONTROL!$C$21, $C$9, 100%, $E$9)</f>
        <v>54.931600000000003</v>
      </c>
      <c r="T77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79" s="56">
        <f>(1000*CHOOSE(CONTROL!$C$42, 695, 695)*CHOOSE(CONTROL!$C$42, 0.5599, 0.5599)*CHOOSE(CONTROL!$C$42, 30, 30))/1000000</f>
        <v>11.673914999999997</v>
      </c>
      <c r="V779" s="56">
        <f>(1000*CHOOSE(CONTROL!$C$42, 500, 500)*CHOOSE(CONTROL!$C$42, 0.275, 0.275)*CHOOSE(CONTROL!$C$42, 30, 30))/1000000</f>
        <v>4.125</v>
      </c>
      <c r="W779" s="56">
        <f>(1000*CHOOSE(CONTROL!$C$42, 0.1146, 0.1146)*CHOOSE(CONTROL!$C$42, 121.5, 121.5)*CHOOSE(CONTROL!$C$42, 30, 30))/1000000</f>
        <v>0.417717</v>
      </c>
      <c r="X779" s="56">
        <f>(30*0.1790888*100000/1000000)+(30*0.2374*100000/1000000)</f>
        <v>1.2494664</v>
      </c>
      <c r="Y779" s="56"/>
      <c r="Z779" s="14"/>
      <c r="AA779" s="55"/>
      <c r="AB779" s="49">
        <f>(B779*122.58+C779*297.941+D779*89.177+E779*40.302+F779*40+G779*160+H779*0+I779*100+J779*300)/(122.58+297.941+89.177+40.302+0+40+160+100+300)</f>
        <v>57.218008606260867</v>
      </c>
      <c r="AC779" s="45">
        <f>(M779*'RAP TEMPLATE-GAS AVAILABILITY'!O778+N779*'RAP TEMPLATE-GAS AVAILABILITY'!P778+O779*'RAP TEMPLATE-GAS AVAILABILITY'!Q778+P779*'RAP TEMPLATE-GAS AVAILABILITY'!R778)/('RAP TEMPLATE-GAS AVAILABILITY'!O778+'RAP TEMPLATE-GAS AVAILABILITY'!P778+'RAP TEMPLATE-GAS AVAILABILITY'!Q778+'RAP TEMPLATE-GAS AVAILABILITY'!R778)</f>
        <v>56.241332374100715</v>
      </c>
    </row>
    <row r="780" spans="1:29" ht="15.75" x14ac:dyDescent="0.25">
      <c r="A780" s="32">
        <v>64650</v>
      </c>
      <c r="B780" s="14">
        <f>CHOOSE(CONTROL!$C$42, 61.0733, 61.0733) * CHOOSE(CONTROL!$C$21, $C$9, 100%, $E$9)</f>
        <v>61.073300000000003</v>
      </c>
      <c r="C780" s="14">
        <f>CHOOSE(CONTROL!$C$42, 61.0783, 61.0783) * CHOOSE(CONTROL!$C$21, $C$9, 100%, $E$9)</f>
        <v>61.078299999999999</v>
      </c>
      <c r="D780" s="14">
        <f>CHOOSE(CONTROL!$C$42, 61.1614, 61.1614) * CHOOSE(CONTROL!$C$21, $C$9, 100%, $E$9)</f>
        <v>61.1614</v>
      </c>
      <c r="E780" s="14">
        <f>CHOOSE(CONTROL!$C$42, 61.1955, 61.1955) * CHOOSE(CONTROL!$C$21, $C$9, 100%, $E$9)</f>
        <v>61.195500000000003</v>
      </c>
      <c r="F780" s="14">
        <f>CHOOSE(CONTROL!$C$42, 61.1033, 61.1033)*CHOOSE(CONTROL!$C$21, $C$9, 100%, $E$9)</f>
        <v>61.103299999999997</v>
      </c>
      <c r="G780" s="14">
        <f>CHOOSE(CONTROL!$C$42, 61.1213, 61.1213)*CHOOSE(CONTROL!$C$21, $C$9, 100%, $E$9)</f>
        <v>61.121299999999998</v>
      </c>
      <c r="H780" s="14">
        <f>CHOOSE(CONTROL!$C$42, 61.1847, 61.1847) * CHOOSE(CONTROL!$C$21, $C$9, 100%, $E$9)</f>
        <v>61.184699999999999</v>
      </c>
      <c r="I780" s="14">
        <f>CHOOSE(CONTROL!$C$42, 61.2842, 61.2842)* CHOOSE(CONTROL!$C$21, $C$9, 100%, $E$9)</f>
        <v>61.284199999999998</v>
      </c>
      <c r="J780" s="14">
        <f>CHOOSE(CONTROL!$C$42, 61.0963, 61.0963)* CHOOSE(CONTROL!$C$21, $C$9, 100%, $E$9)</f>
        <v>61.096299999999999</v>
      </c>
      <c r="K780" s="52">
        <f>CHOOSE(CONTROL!$C$42, 61.2803, 61.2803) * CHOOSE(CONTROL!$C$21, $C$9, 100%, $E$9)</f>
        <v>61.280299999999997</v>
      </c>
      <c r="L780" s="14">
        <f>CHOOSE(CONTROL!$C$42, 61.7717, 61.7717) * CHOOSE(CONTROL!$C$21, $C$9, 100%, $E$9)</f>
        <v>61.771700000000003</v>
      </c>
      <c r="M780" s="14">
        <f>CHOOSE(CONTROL!$C$42, 60.0051, 60.0051) * CHOOSE(CONTROL!$C$21, $C$9, 100%, $E$9)</f>
        <v>60.005099999999999</v>
      </c>
      <c r="N780" s="14">
        <f>CHOOSE(CONTROL!$C$42, 60.0228, 60.0228) * CHOOSE(CONTROL!$C$21, $C$9, 100%, $E$9)</f>
        <v>60.022799999999997</v>
      </c>
      <c r="O780" s="14">
        <f>CHOOSE(CONTROL!$C$42, 60.0919, 60.0919) * CHOOSE(CONTROL!$C$21, $C$9, 100%, $E$9)</f>
        <v>60.091900000000003</v>
      </c>
      <c r="P780" s="14">
        <f>CHOOSE(CONTROL!$C$42, 60.1862, 60.1862) * CHOOSE(CONTROL!$C$21, $C$9, 100%, $E$9)</f>
        <v>60.186199999999999</v>
      </c>
      <c r="Q780" s="14">
        <f>CHOOSE(CONTROL!$C$42, 60.6866, 60.6866) * CHOOSE(CONTROL!$C$21, $C$9, 100%, $E$9)</f>
        <v>60.686599999999999</v>
      </c>
      <c r="R780" s="14">
        <f>CHOOSE(CONTROL!$C$42, 61.4253, 61.4253) * CHOOSE(CONTROL!$C$21, $C$9, 100%, $E$9)</f>
        <v>61.4253</v>
      </c>
      <c r="S780" s="14">
        <f>CHOOSE(CONTROL!$C$42, 58.6767, 58.6767) * CHOOSE(CONTROL!$C$21, $C$9, 100%, $E$9)</f>
        <v>58.676699999999997</v>
      </c>
      <c r="T78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80" s="56">
        <f>(1000*CHOOSE(CONTROL!$C$42, 695, 695)*CHOOSE(CONTROL!$C$42, 0.5599, 0.5599)*CHOOSE(CONTROL!$C$42, 31, 31))/1000000</f>
        <v>12.063045499999998</v>
      </c>
      <c r="V780" s="56">
        <f>(1000*CHOOSE(CONTROL!$C$42, 500, 500)*CHOOSE(CONTROL!$C$42, 0.275, 0.275)*CHOOSE(CONTROL!$C$42, 31, 31))/1000000</f>
        <v>4.2625000000000002</v>
      </c>
      <c r="W780" s="56">
        <f>(1000*CHOOSE(CONTROL!$C$42, 0.1146, 0.1146)*CHOOSE(CONTROL!$C$42, 121.5, 121.5)*CHOOSE(CONTROL!$C$42, 31, 31))/1000000</f>
        <v>0.43164089999999994</v>
      </c>
      <c r="X780" s="56">
        <f>(31*0.1790888*100000/1000000)+(31*0.2374*100000/1000000)</f>
        <v>1.2911152800000001</v>
      </c>
      <c r="Y780" s="56"/>
      <c r="Z780" s="14"/>
      <c r="AA780" s="55"/>
      <c r="AB780" s="49">
        <f>(B780*122.58+C780*297.941+D780*89.177+E780*40.302+F780*40+G780*160+H780*0+I780*100+J780*300)/(122.58+297.941+89.177+40.302+0+40+160+100+300)</f>
        <v>61.117770524434768</v>
      </c>
      <c r="AC780" s="45">
        <f>(M780*'RAP TEMPLATE-GAS AVAILABILITY'!O779+N780*'RAP TEMPLATE-GAS AVAILABILITY'!P779+O780*'RAP TEMPLATE-GAS AVAILABILITY'!Q779+P780*'RAP TEMPLATE-GAS AVAILABILITY'!R779)/('RAP TEMPLATE-GAS AVAILABILITY'!O779+'RAP TEMPLATE-GAS AVAILABILITY'!P779+'RAP TEMPLATE-GAS AVAILABILITY'!Q779+'RAP TEMPLATE-GAS AVAILABILITY'!R779)</f>
        <v>60.071517266187051</v>
      </c>
    </row>
    <row r="781" spans="1:29" ht="15.75" x14ac:dyDescent="0.25">
      <c r="A781" s="32">
        <v>64681</v>
      </c>
      <c r="B781" s="14">
        <f>CHOOSE(CONTROL!$C$42, 66.1355, 66.1355) * CHOOSE(CONTROL!$C$21, $C$9, 100%, $E$9)</f>
        <v>66.135499999999993</v>
      </c>
      <c r="C781" s="14">
        <f>CHOOSE(CONTROL!$C$42, 66.1405, 66.1405) * CHOOSE(CONTROL!$C$21, $C$9, 100%, $E$9)</f>
        <v>66.140500000000003</v>
      </c>
      <c r="D781" s="14">
        <f>CHOOSE(CONTROL!$C$42, 66.234, 66.234) * CHOOSE(CONTROL!$C$21, $C$9, 100%, $E$9)</f>
        <v>66.233999999999995</v>
      </c>
      <c r="E781" s="14">
        <f>CHOOSE(CONTROL!$C$42, 66.2681, 66.2681) * CHOOSE(CONTROL!$C$21, $C$9, 100%, $E$9)</f>
        <v>66.268100000000004</v>
      </c>
      <c r="F781" s="14">
        <f>CHOOSE(CONTROL!$C$42, 66.1628, 66.1628)*CHOOSE(CONTROL!$C$21, $C$9, 100%, $E$9)</f>
        <v>66.162800000000004</v>
      </c>
      <c r="G781" s="14">
        <f>CHOOSE(CONTROL!$C$42, 66.1807, 66.1807)*CHOOSE(CONTROL!$C$21, $C$9, 100%, $E$9)</f>
        <v>66.180700000000002</v>
      </c>
      <c r="H781" s="14">
        <f>CHOOSE(CONTROL!$C$42, 66.2573, 66.2573) * CHOOSE(CONTROL!$C$21, $C$9, 100%, $E$9)</f>
        <v>66.257300000000001</v>
      </c>
      <c r="I781" s="14">
        <f>CHOOSE(CONTROL!$C$42, 66.3685, 66.3685)* CHOOSE(CONTROL!$C$21, $C$9, 100%, $E$9)</f>
        <v>66.368499999999997</v>
      </c>
      <c r="J781" s="14">
        <f>CHOOSE(CONTROL!$C$42, 66.1558, 66.1558)* CHOOSE(CONTROL!$C$21, $C$9, 100%, $E$9)</f>
        <v>66.155799999999999</v>
      </c>
      <c r="K781" s="52">
        <f>CHOOSE(CONTROL!$C$42, 66.3646, 66.3646) * CHOOSE(CONTROL!$C$21, $C$9, 100%, $E$9)</f>
        <v>66.364599999999996</v>
      </c>
      <c r="L781" s="14">
        <f>CHOOSE(CONTROL!$C$42, 66.8443, 66.8443) * CHOOSE(CONTROL!$C$21, $C$9, 100%, $E$9)</f>
        <v>66.844300000000004</v>
      </c>
      <c r="M781" s="14">
        <f>CHOOSE(CONTROL!$C$42, 64.9736, 64.9736) * CHOOSE(CONTROL!$C$21, $C$9, 100%, $E$9)</f>
        <v>64.973600000000005</v>
      </c>
      <c r="N781" s="14">
        <f>CHOOSE(CONTROL!$C$42, 64.9912, 64.9912) * CHOOSE(CONTROL!$C$21, $C$9, 100%, $E$9)</f>
        <v>64.991200000000006</v>
      </c>
      <c r="O781" s="14">
        <f>CHOOSE(CONTROL!$C$42, 65.0733, 65.0733) * CHOOSE(CONTROL!$C$21, $C$9, 100%, $E$9)</f>
        <v>65.073300000000003</v>
      </c>
      <c r="P781" s="14">
        <f>CHOOSE(CONTROL!$C$42, 65.1788, 65.1788) * CHOOSE(CONTROL!$C$21, $C$9, 100%, $E$9)</f>
        <v>65.178799999999995</v>
      </c>
      <c r="Q781" s="14">
        <f>CHOOSE(CONTROL!$C$42, 65.668, 65.668) * CHOOSE(CONTROL!$C$21, $C$9, 100%, $E$9)</f>
        <v>65.668000000000006</v>
      </c>
      <c r="R781" s="14">
        <f>CHOOSE(CONTROL!$C$42, 66.4191, 66.4191) * CHOOSE(CONTROL!$C$21, $C$9, 100%, $E$9)</f>
        <v>66.4191</v>
      </c>
      <c r="S781" s="14">
        <f>CHOOSE(CONTROL!$C$42, 63.541, 63.541) * CHOOSE(CONTROL!$C$21, $C$9, 100%, $E$9)</f>
        <v>63.540999999999997</v>
      </c>
      <c r="T78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81" s="56">
        <f>(1000*CHOOSE(CONTROL!$C$42, 695, 695)*CHOOSE(CONTROL!$C$42, 0.5599, 0.5599)*CHOOSE(CONTROL!$C$42, 31, 31))/1000000</f>
        <v>12.063045499999998</v>
      </c>
      <c r="V781" s="56">
        <f>(1000*CHOOSE(CONTROL!$C$42, 500, 500)*CHOOSE(CONTROL!$C$42, 0.275, 0.275)*CHOOSE(CONTROL!$C$42, 31, 31))/1000000</f>
        <v>4.2625000000000002</v>
      </c>
      <c r="W781" s="56">
        <f>(1000*CHOOSE(CONTROL!$C$42, 0.1146, 0.1146)*CHOOSE(CONTROL!$C$42, 121.5, 121.5)*CHOOSE(CONTROL!$C$42, 31, 31))/1000000</f>
        <v>0.43164089999999994</v>
      </c>
      <c r="X781" s="56">
        <f>(31*0.1790888*100000/1000000)+(31*0.2374*100000/1000000)</f>
        <v>1.2911152800000001</v>
      </c>
      <c r="Y781" s="56"/>
      <c r="Z781" s="14"/>
      <c r="AA781" s="55"/>
      <c r="AB781" s="49">
        <f>(B781*122.58+C781*297.941+D781*89.177+E781*40.302+F781*40+G781*160+H781*0+I781*100+J781*300)/(122.58+297.941+89.177+40.302+0+40+160+100+300)</f>
        <v>66.181875377999987</v>
      </c>
      <c r="AC781" s="45">
        <f>(M781*'RAP TEMPLATE-GAS AVAILABILITY'!O780+N781*'RAP TEMPLATE-GAS AVAILABILITY'!P780+O781*'RAP TEMPLATE-GAS AVAILABILITY'!Q780+P781*'RAP TEMPLATE-GAS AVAILABILITY'!R780)/('RAP TEMPLATE-GAS AVAILABILITY'!O780+'RAP TEMPLATE-GAS AVAILABILITY'!P780+'RAP TEMPLATE-GAS AVAILABILITY'!Q780+'RAP TEMPLATE-GAS AVAILABILITY'!R780)</f>
        <v>65.049325899280589</v>
      </c>
    </row>
    <row r="782" spans="1:29" ht="15.75" x14ac:dyDescent="0.25">
      <c r="A782" s="32">
        <v>64709</v>
      </c>
      <c r="B782" s="14">
        <f>CHOOSE(CONTROL!$C$42, 67.3126, 67.3126) * CHOOSE(CONTROL!$C$21, $C$9, 100%, $E$9)</f>
        <v>67.312600000000003</v>
      </c>
      <c r="C782" s="14">
        <f>CHOOSE(CONTROL!$C$42, 67.3177, 67.3177) * CHOOSE(CONTROL!$C$21, $C$9, 100%, $E$9)</f>
        <v>67.317700000000002</v>
      </c>
      <c r="D782" s="14">
        <f>CHOOSE(CONTROL!$C$42, 67.4112, 67.4112) * CHOOSE(CONTROL!$C$21, $C$9, 100%, $E$9)</f>
        <v>67.411199999999994</v>
      </c>
      <c r="E782" s="14">
        <f>CHOOSE(CONTROL!$C$42, 67.4453, 67.4453) * CHOOSE(CONTROL!$C$21, $C$9, 100%, $E$9)</f>
        <v>67.445300000000003</v>
      </c>
      <c r="F782" s="14">
        <f>CHOOSE(CONTROL!$C$42, 67.3396, 67.3396)*CHOOSE(CONTROL!$C$21, $C$9, 100%, $E$9)</f>
        <v>67.339600000000004</v>
      </c>
      <c r="G782" s="14">
        <f>CHOOSE(CONTROL!$C$42, 67.3574, 67.3574)*CHOOSE(CONTROL!$C$21, $C$9, 100%, $E$9)</f>
        <v>67.357399999999998</v>
      </c>
      <c r="H782" s="14">
        <f>CHOOSE(CONTROL!$C$42, 67.4345, 67.4345) * CHOOSE(CONTROL!$C$21, $C$9, 100%, $E$9)</f>
        <v>67.4345</v>
      </c>
      <c r="I782" s="14">
        <f>CHOOSE(CONTROL!$C$42, 67.5493, 67.5493)* CHOOSE(CONTROL!$C$21, $C$9, 100%, $E$9)</f>
        <v>67.549300000000002</v>
      </c>
      <c r="J782" s="14">
        <f>CHOOSE(CONTROL!$C$42, 67.3326, 67.3326)* CHOOSE(CONTROL!$C$21, $C$9, 100%, $E$9)</f>
        <v>67.332599999999999</v>
      </c>
      <c r="K782" s="52">
        <f>CHOOSE(CONTROL!$C$42, 67.5454, 67.5454) * CHOOSE(CONTROL!$C$21, $C$9, 100%, $E$9)</f>
        <v>67.545400000000001</v>
      </c>
      <c r="L782" s="14">
        <f>CHOOSE(CONTROL!$C$42, 68.0215, 68.0215) * CHOOSE(CONTROL!$C$21, $C$9, 100%, $E$9)</f>
        <v>68.021500000000003</v>
      </c>
      <c r="M782" s="14">
        <f>CHOOSE(CONTROL!$C$42, 66.1292, 66.1292) * CHOOSE(CONTROL!$C$21, $C$9, 100%, $E$9)</f>
        <v>66.129199999999997</v>
      </c>
      <c r="N782" s="14">
        <f>CHOOSE(CONTROL!$C$42, 66.1467, 66.1467) * CHOOSE(CONTROL!$C$21, $C$9, 100%, $E$9)</f>
        <v>66.146699999999996</v>
      </c>
      <c r="O782" s="14">
        <f>CHOOSE(CONTROL!$C$42, 66.2292, 66.2292) * CHOOSE(CONTROL!$C$21, $C$9, 100%, $E$9)</f>
        <v>66.229200000000006</v>
      </c>
      <c r="P782" s="14">
        <f>CHOOSE(CONTROL!$C$42, 66.3384, 66.3384) * CHOOSE(CONTROL!$C$21, $C$9, 100%, $E$9)</f>
        <v>66.338399999999993</v>
      </c>
      <c r="Q782" s="14">
        <f>CHOOSE(CONTROL!$C$42, 66.8239, 66.8239) * CHOOSE(CONTROL!$C$21, $C$9, 100%, $E$9)</f>
        <v>66.823899999999995</v>
      </c>
      <c r="R782" s="14">
        <f>CHOOSE(CONTROL!$C$42, 67.578, 67.578) * CHOOSE(CONTROL!$C$21, $C$9, 100%, $E$9)</f>
        <v>67.578000000000003</v>
      </c>
      <c r="S782" s="14">
        <f>CHOOSE(CONTROL!$C$42, 64.6722, 64.6722) * CHOOSE(CONTROL!$C$21, $C$9, 100%, $E$9)</f>
        <v>64.672200000000004</v>
      </c>
      <c r="T78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82" s="56">
        <f>(1000*CHOOSE(CONTROL!$C$42, 695, 695)*CHOOSE(CONTROL!$C$42, 0.5599, 0.5599)*CHOOSE(CONTROL!$C$42, 28, 28))/1000000</f>
        <v>10.895653999999999</v>
      </c>
      <c r="V782" s="56">
        <f>(1000*CHOOSE(CONTROL!$C$42, 500, 500)*CHOOSE(CONTROL!$C$42, 0.275, 0.275)*CHOOSE(CONTROL!$C$42, 28, 28))/1000000</f>
        <v>3.85</v>
      </c>
      <c r="W782" s="56">
        <f>(1000*CHOOSE(CONTROL!$C$42, 0.1146, 0.1146)*CHOOSE(CONTROL!$C$42, 121.5, 121.5)*CHOOSE(CONTROL!$C$42, 28, 28))/1000000</f>
        <v>0.38986920000000003</v>
      </c>
      <c r="X782" s="56">
        <f>(28*0.1790888*100000/1000000)+(28*0.2374*100000/1000000)</f>
        <v>1.16616864</v>
      </c>
      <c r="Y782" s="56"/>
      <c r="Z782" s="14"/>
      <c r="AA782" s="55"/>
      <c r="AB782" s="49">
        <f>(B782*122.58+C782*297.941+D782*89.177+E782*40.302+F782*40+G782*160+H782*0+I782*100+J782*300)/(122.58+297.941+89.177+40.302+0+40+160+100+300)</f>
        <v>67.359189936260876</v>
      </c>
      <c r="AC782" s="45">
        <f>(M782*'RAP TEMPLATE-GAS AVAILABILITY'!O781+N782*'RAP TEMPLATE-GAS AVAILABILITY'!P781+O782*'RAP TEMPLATE-GAS AVAILABILITY'!Q781+P782*'RAP TEMPLATE-GAS AVAILABILITY'!R781)/('RAP TEMPLATE-GAS AVAILABILITY'!O781+'RAP TEMPLATE-GAS AVAILABILITY'!P781+'RAP TEMPLATE-GAS AVAILABILITY'!Q781+'RAP TEMPLATE-GAS AVAILABILITY'!R781)</f>
        <v>66.205631654676253</v>
      </c>
    </row>
    <row r="783" spans="1:29" ht="15.75" x14ac:dyDescent="0.25">
      <c r="A783" s="32">
        <v>64740</v>
      </c>
      <c r="B783" s="14">
        <f>CHOOSE(CONTROL!$C$42, 65.4018, 65.4018) * CHOOSE(CONTROL!$C$21, $C$9, 100%, $E$9)</f>
        <v>65.401799999999994</v>
      </c>
      <c r="C783" s="14">
        <f>CHOOSE(CONTROL!$C$42, 65.4069, 65.4069) * CHOOSE(CONTROL!$C$21, $C$9, 100%, $E$9)</f>
        <v>65.406899999999993</v>
      </c>
      <c r="D783" s="14">
        <f>CHOOSE(CONTROL!$C$42, 65.5004, 65.5004) * CHOOSE(CONTROL!$C$21, $C$9, 100%, $E$9)</f>
        <v>65.500399999999999</v>
      </c>
      <c r="E783" s="14">
        <f>CHOOSE(CONTROL!$C$42, 65.5345, 65.5345) * CHOOSE(CONTROL!$C$21, $C$9, 100%, $E$9)</f>
        <v>65.534499999999994</v>
      </c>
      <c r="F783" s="14">
        <f>CHOOSE(CONTROL!$C$42, 65.4279, 65.4279)*CHOOSE(CONTROL!$C$21, $C$9, 100%, $E$9)</f>
        <v>65.427899999999994</v>
      </c>
      <c r="G783" s="14">
        <f>CHOOSE(CONTROL!$C$42, 65.4455, 65.4455)*CHOOSE(CONTROL!$C$21, $C$9, 100%, $E$9)</f>
        <v>65.445499999999996</v>
      </c>
      <c r="H783" s="14">
        <f>CHOOSE(CONTROL!$C$42, 65.5237, 65.5237) * CHOOSE(CONTROL!$C$21, $C$9, 100%, $E$9)</f>
        <v>65.523700000000005</v>
      </c>
      <c r="I783" s="14">
        <f>CHOOSE(CONTROL!$C$42, 65.6326, 65.6326)* CHOOSE(CONTROL!$C$21, $C$9, 100%, $E$9)</f>
        <v>65.632599999999996</v>
      </c>
      <c r="J783" s="14">
        <f>CHOOSE(CONTROL!$C$42, 65.4209, 65.4209)* CHOOSE(CONTROL!$C$21, $C$9, 100%, $E$9)</f>
        <v>65.420900000000003</v>
      </c>
      <c r="K783" s="52">
        <f>CHOOSE(CONTROL!$C$42, 65.6287, 65.6287) * CHOOSE(CONTROL!$C$21, $C$9, 100%, $E$9)</f>
        <v>65.628699999999995</v>
      </c>
      <c r="L783" s="14">
        <f>CHOOSE(CONTROL!$C$42, 66.1107, 66.1107) * CHOOSE(CONTROL!$C$21, $C$9, 100%, $E$9)</f>
        <v>66.110699999999994</v>
      </c>
      <c r="M783" s="14">
        <f>CHOOSE(CONTROL!$C$42, 64.2519, 64.2519) * CHOOSE(CONTROL!$C$21, $C$9, 100%, $E$9)</f>
        <v>64.251900000000006</v>
      </c>
      <c r="N783" s="14">
        <f>CHOOSE(CONTROL!$C$42, 64.2692, 64.2692) * CHOOSE(CONTROL!$C$21, $C$9, 100%, $E$9)</f>
        <v>64.269199999999998</v>
      </c>
      <c r="O783" s="14">
        <f>CHOOSE(CONTROL!$C$42, 64.3528, 64.3528) * CHOOSE(CONTROL!$C$21, $C$9, 100%, $E$9)</f>
        <v>64.352800000000002</v>
      </c>
      <c r="P783" s="14">
        <f>CHOOSE(CONTROL!$C$42, 64.4562, 64.4562) * CHOOSE(CONTROL!$C$21, $C$9, 100%, $E$9)</f>
        <v>64.456199999999995</v>
      </c>
      <c r="Q783" s="14">
        <f>CHOOSE(CONTROL!$C$42, 64.9475, 64.9475) * CHOOSE(CONTROL!$C$21, $C$9, 100%, $E$9)</f>
        <v>64.947500000000005</v>
      </c>
      <c r="R783" s="14">
        <f>CHOOSE(CONTROL!$C$42, 65.6969, 65.6969) * CHOOSE(CONTROL!$C$21, $C$9, 100%, $E$9)</f>
        <v>65.696899999999999</v>
      </c>
      <c r="S783" s="14">
        <f>CHOOSE(CONTROL!$C$42, 62.8361, 62.8361) * CHOOSE(CONTROL!$C$21, $C$9, 100%, $E$9)</f>
        <v>62.836100000000002</v>
      </c>
      <c r="T78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83" s="56">
        <f>(1000*CHOOSE(CONTROL!$C$42, 695, 695)*CHOOSE(CONTROL!$C$42, 0.5599, 0.5599)*CHOOSE(CONTROL!$C$42, 31, 31))/1000000</f>
        <v>12.063045499999998</v>
      </c>
      <c r="V783" s="56">
        <f>(1000*CHOOSE(CONTROL!$C$42, 500, 500)*CHOOSE(CONTROL!$C$42, 0.275, 0.275)*CHOOSE(CONTROL!$C$42, 31, 31))/1000000</f>
        <v>4.2625000000000002</v>
      </c>
      <c r="W783" s="56">
        <f>(1000*CHOOSE(CONTROL!$C$42, 0.1146, 0.1146)*CHOOSE(CONTROL!$C$42, 121.5, 121.5)*CHOOSE(CONTROL!$C$42, 31, 31))/1000000</f>
        <v>0.43164089999999994</v>
      </c>
      <c r="X783" s="56">
        <f>(31*0.1790888*100000/1000000)+(31*0.2374*100000/1000000)</f>
        <v>1.2911152800000001</v>
      </c>
      <c r="Y783" s="56"/>
      <c r="Z783" s="14"/>
      <c r="AA783" s="55"/>
      <c r="AB783" s="49">
        <f>(B783*122.58+C783*297.941+D783*89.177+E783*40.302+F783*40+G783*160+H783*0+I783*100+J783*300)/(122.58+297.941+89.177+40.302+0+40+160+100+300)</f>
        <v>65.447457762347824</v>
      </c>
      <c r="AC783" s="45">
        <f>(M783*'RAP TEMPLATE-GAS AVAILABILITY'!O782+N783*'RAP TEMPLATE-GAS AVAILABILITY'!P782+O783*'RAP TEMPLATE-GAS AVAILABILITY'!Q782+P783*'RAP TEMPLATE-GAS AVAILABILITY'!R782)/('RAP TEMPLATE-GAS AVAILABILITY'!O782+'RAP TEMPLATE-GAS AVAILABILITY'!P782+'RAP TEMPLATE-GAS AVAILABILITY'!Q782+'RAP TEMPLATE-GAS AVAILABILITY'!R782)</f>
        <v>64.328023021582737</v>
      </c>
    </row>
    <row r="784" spans="1:29" ht="15.75" x14ac:dyDescent="0.25">
      <c r="A784" s="32">
        <v>64770</v>
      </c>
      <c r="B784" s="14">
        <f>CHOOSE(CONTROL!$C$42, 65.207, 65.207) * CHOOSE(CONTROL!$C$21, $C$9, 100%, $E$9)</f>
        <v>65.206999999999994</v>
      </c>
      <c r="C784" s="14">
        <f>CHOOSE(CONTROL!$C$42, 65.2115, 65.2115) * CHOOSE(CONTROL!$C$21, $C$9, 100%, $E$9)</f>
        <v>65.211500000000001</v>
      </c>
      <c r="D784" s="14">
        <f>CHOOSE(CONTROL!$C$42, 65.4738, 65.4738) * CHOOSE(CONTROL!$C$21, $C$9, 100%, $E$9)</f>
        <v>65.473799999999997</v>
      </c>
      <c r="E784" s="14">
        <f>CHOOSE(CONTROL!$C$42, 65.5059, 65.5059) * CHOOSE(CONTROL!$C$21, $C$9, 100%, $E$9)</f>
        <v>65.505899999999997</v>
      </c>
      <c r="F784" s="14">
        <f>CHOOSE(CONTROL!$C$42, 65.2299, 65.2299)*CHOOSE(CONTROL!$C$21, $C$9, 100%, $E$9)</f>
        <v>65.229900000000001</v>
      </c>
      <c r="G784" s="14">
        <f>CHOOSE(CONTROL!$C$42, 65.2466, 65.2466)*CHOOSE(CONTROL!$C$21, $C$9, 100%, $E$9)</f>
        <v>65.246600000000001</v>
      </c>
      <c r="H784" s="14">
        <f>CHOOSE(CONTROL!$C$42, 65.4957, 65.4957) * CHOOSE(CONTROL!$C$21, $C$9, 100%, $E$9)</f>
        <v>65.495699999999999</v>
      </c>
      <c r="I784" s="14">
        <f>CHOOSE(CONTROL!$C$42, 65.4338, 65.4338)* CHOOSE(CONTROL!$C$21, $C$9, 100%, $E$9)</f>
        <v>65.433800000000005</v>
      </c>
      <c r="J784" s="14">
        <f>CHOOSE(CONTROL!$C$42, 65.2229, 65.2229)* CHOOSE(CONTROL!$C$21, $C$9, 100%, $E$9)</f>
        <v>65.222899999999996</v>
      </c>
      <c r="K784" s="52">
        <f>CHOOSE(CONTROL!$C$42, 65.4299, 65.4299) * CHOOSE(CONTROL!$C$21, $C$9, 100%, $E$9)</f>
        <v>65.429900000000004</v>
      </c>
      <c r="L784" s="14">
        <f>CHOOSE(CONTROL!$C$42, 66.0827, 66.0827) * CHOOSE(CONTROL!$C$21, $C$9, 100%, $E$9)</f>
        <v>66.082700000000003</v>
      </c>
      <c r="M784" s="14">
        <f>CHOOSE(CONTROL!$C$42, 64.0574, 64.0574) * CHOOSE(CONTROL!$C$21, $C$9, 100%, $E$9)</f>
        <v>64.057400000000001</v>
      </c>
      <c r="N784" s="14">
        <f>CHOOSE(CONTROL!$C$42, 64.0738, 64.0738) * CHOOSE(CONTROL!$C$21, $C$9, 100%, $E$9)</f>
        <v>64.073800000000006</v>
      </c>
      <c r="O784" s="14">
        <f>CHOOSE(CONTROL!$C$42, 64.3253, 64.3253) * CHOOSE(CONTROL!$C$21, $C$9, 100%, $E$9)</f>
        <v>64.325299999999999</v>
      </c>
      <c r="P784" s="14">
        <f>CHOOSE(CONTROL!$C$42, 64.261, 64.261) * CHOOSE(CONTROL!$C$21, $C$9, 100%, $E$9)</f>
        <v>64.260999999999996</v>
      </c>
      <c r="Q784" s="14">
        <f>CHOOSE(CONTROL!$C$42, 64.92, 64.92) * CHOOSE(CONTROL!$C$21, $C$9, 100%, $E$9)</f>
        <v>64.92</v>
      </c>
      <c r="R784" s="14">
        <f>CHOOSE(CONTROL!$C$42, 65.6693, 65.6693) * CHOOSE(CONTROL!$C$21, $C$9, 100%, $E$9)</f>
        <v>65.669300000000007</v>
      </c>
      <c r="S784" s="14">
        <f>CHOOSE(CONTROL!$C$42, 62.6482, 62.6482) * CHOOSE(CONTROL!$C$21, $C$9, 100%, $E$9)</f>
        <v>62.648200000000003</v>
      </c>
      <c r="T78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84" s="56">
        <f>(1000*CHOOSE(CONTROL!$C$42, 695, 695)*CHOOSE(CONTROL!$C$42, 0.5599, 0.5599)*CHOOSE(CONTROL!$C$42, 30, 30))/1000000</f>
        <v>11.673914999999997</v>
      </c>
      <c r="V784" s="56">
        <f>(1000*CHOOSE(CONTROL!$C$42, 500, 500)*CHOOSE(CONTROL!$C$42, 0.275, 0.275)*CHOOSE(CONTROL!$C$42, 30, 30))/1000000</f>
        <v>4.125</v>
      </c>
      <c r="W784" s="56">
        <f>(1000*CHOOSE(CONTROL!$C$42, 0.1146, 0.1146)*CHOOSE(CONTROL!$C$42, 121.5, 121.5)*CHOOSE(CONTROL!$C$42, 30, 30))/1000000</f>
        <v>0.417717</v>
      </c>
      <c r="X784" s="56">
        <f>(30*0.1790888*245000/1000000)+(30*0.2374*100000/1000000)</f>
        <v>2.0285026799999999</v>
      </c>
      <c r="Y784" s="56"/>
      <c r="Z784" s="14"/>
      <c r="AA784" s="55"/>
      <c r="AB784" s="49">
        <f>(B784*141.293+C784*267.993+D784*115.016+E784*89.698+F784*40+G784*185+H784*0+I784*100+J784*300)/(141.293+267.993+115.016+89.698+0+40+185+100+300)</f>
        <v>65.283186416061341</v>
      </c>
      <c r="AC784" s="45">
        <f>(M784*'RAP TEMPLATE-GAS AVAILABILITY'!O783+N784*'RAP TEMPLATE-GAS AVAILABILITY'!P783+O784*'RAP TEMPLATE-GAS AVAILABILITY'!Q783+P784*'RAP TEMPLATE-GAS AVAILABILITY'!R783)/('RAP TEMPLATE-GAS AVAILABILITY'!O783+'RAP TEMPLATE-GAS AVAILABILITY'!P783+'RAP TEMPLATE-GAS AVAILABILITY'!Q783+'RAP TEMPLATE-GAS AVAILABILITY'!R783)</f>
        <v>64.209061151079126</v>
      </c>
    </row>
    <row r="785" spans="1:29" ht="15.75" x14ac:dyDescent="0.25">
      <c r="A785" s="32">
        <v>64801</v>
      </c>
      <c r="B785" s="14">
        <f>CHOOSE(CONTROL!$C$42, 65.7839, 65.7839) * CHOOSE(CONTROL!$C$21, $C$9, 100%, $E$9)</f>
        <v>65.783900000000003</v>
      </c>
      <c r="C785" s="14">
        <f>CHOOSE(CONTROL!$C$42, 65.7919, 65.7919) * CHOOSE(CONTROL!$C$21, $C$9, 100%, $E$9)</f>
        <v>65.791899999999998</v>
      </c>
      <c r="D785" s="14">
        <f>CHOOSE(CONTROL!$C$42, 66.051, 66.051) * CHOOSE(CONTROL!$C$21, $C$9, 100%, $E$9)</f>
        <v>66.051000000000002</v>
      </c>
      <c r="E785" s="14">
        <f>CHOOSE(CONTROL!$C$42, 66.0825, 66.0825) * CHOOSE(CONTROL!$C$21, $C$9, 100%, $E$9)</f>
        <v>66.082499999999996</v>
      </c>
      <c r="F785" s="14">
        <f>CHOOSE(CONTROL!$C$42, 65.8054, 65.8054)*CHOOSE(CONTROL!$C$21, $C$9, 100%, $E$9)</f>
        <v>65.805400000000006</v>
      </c>
      <c r="G785" s="14">
        <f>CHOOSE(CONTROL!$C$42, 65.8224, 65.8224)*CHOOSE(CONTROL!$C$21, $C$9, 100%, $E$9)</f>
        <v>65.822400000000002</v>
      </c>
      <c r="H785" s="14">
        <f>CHOOSE(CONTROL!$C$42, 66.0711, 66.0711) * CHOOSE(CONTROL!$C$21, $C$9, 100%, $E$9)</f>
        <v>66.071100000000001</v>
      </c>
      <c r="I785" s="14">
        <f>CHOOSE(CONTROL!$C$42, 66.011, 66.011)* CHOOSE(CONTROL!$C$21, $C$9, 100%, $E$9)</f>
        <v>66.010999999999996</v>
      </c>
      <c r="J785" s="14">
        <f>CHOOSE(CONTROL!$C$42, 65.7984, 65.7984)* CHOOSE(CONTROL!$C$21, $C$9, 100%, $E$9)</f>
        <v>65.798400000000001</v>
      </c>
      <c r="K785" s="52">
        <f>CHOOSE(CONTROL!$C$42, 66.0071, 66.0071) * CHOOSE(CONTROL!$C$21, $C$9, 100%, $E$9)</f>
        <v>66.007099999999994</v>
      </c>
      <c r="L785" s="14">
        <f>CHOOSE(CONTROL!$C$42, 66.6581, 66.6581) * CHOOSE(CONTROL!$C$21, $C$9, 100%, $E$9)</f>
        <v>66.658100000000005</v>
      </c>
      <c r="M785" s="14">
        <f>CHOOSE(CONTROL!$C$42, 64.6226, 64.6226) * CHOOSE(CONTROL!$C$21, $C$9, 100%, $E$9)</f>
        <v>64.622600000000006</v>
      </c>
      <c r="N785" s="14">
        <f>CHOOSE(CONTROL!$C$42, 64.6393, 64.6393) * CHOOSE(CONTROL!$C$21, $C$9, 100%, $E$9)</f>
        <v>64.639300000000006</v>
      </c>
      <c r="O785" s="14">
        <f>CHOOSE(CONTROL!$C$42, 64.8904, 64.8904) * CHOOSE(CONTROL!$C$21, $C$9, 100%, $E$9)</f>
        <v>64.8904</v>
      </c>
      <c r="P785" s="14">
        <f>CHOOSE(CONTROL!$C$42, 64.8278, 64.8278) * CHOOSE(CONTROL!$C$21, $C$9, 100%, $E$9)</f>
        <v>64.827799999999996</v>
      </c>
      <c r="Q785" s="14">
        <f>CHOOSE(CONTROL!$C$42, 65.4851, 65.4851) * CHOOSE(CONTROL!$C$21, $C$9, 100%, $E$9)</f>
        <v>65.485100000000003</v>
      </c>
      <c r="R785" s="14">
        <f>CHOOSE(CONTROL!$C$42, 66.2358, 66.2358) * CHOOSE(CONTROL!$C$21, $C$9, 100%, $E$9)</f>
        <v>66.235799999999998</v>
      </c>
      <c r="S785" s="14">
        <f>CHOOSE(CONTROL!$C$42, 63.2011, 63.2011) * CHOOSE(CONTROL!$C$21, $C$9, 100%, $E$9)</f>
        <v>63.201099999999997</v>
      </c>
      <c r="T78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85" s="56">
        <f>(1000*CHOOSE(CONTROL!$C$42, 695, 695)*CHOOSE(CONTROL!$C$42, 0.5599, 0.5599)*CHOOSE(CONTROL!$C$42, 31, 31))/1000000</f>
        <v>12.063045499999998</v>
      </c>
      <c r="V785" s="56">
        <f>(1000*CHOOSE(CONTROL!$C$42, 500, 500)*CHOOSE(CONTROL!$C$42, 0.275, 0.275)*CHOOSE(CONTROL!$C$42, 31, 31))/1000000</f>
        <v>4.2625000000000002</v>
      </c>
      <c r="W785" s="56">
        <f>(1000*CHOOSE(CONTROL!$C$42, 0.1146, 0.1146)*CHOOSE(CONTROL!$C$42, 121.5, 121.5)*CHOOSE(CONTROL!$C$42, 31, 31))/1000000</f>
        <v>0.43164089999999994</v>
      </c>
      <c r="X785" s="56">
        <f>(31*0.1790888*245000/1000000)+(31*0.2374*100000/1000000)</f>
        <v>2.0961194359999999</v>
      </c>
      <c r="Y785" s="56"/>
      <c r="Z785" s="14"/>
      <c r="AA785" s="55"/>
      <c r="AB785" s="49">
        <f>(B785*194.205+C785*267.466+D785*133.845+E785*53.484+F785*40+G785*185+H785*0+I785*100+J785*300)/(194.205+267.466+133.845+53.484+0+40+185+100+300)</f>
        <v>65.853682221271598</v>
      </c>
      <c r="AC785" s="45">
        <f>(M785*'RAP TEMPLATE-GAS AVAILABILITY'!O784+N785*'RAP TEMPLATE-GAS AVAILABILITY'!P784+O785*'RAP TEMPLATE-GAS AVAILABILITY'!Q784+P785*'RAP TEMPLATE-GAS AVAILABILITY'!R784)/('RAP TEMPLATE-GAS AVAILABILITY'!O784+'RAP TEMPLATE-GAS AVAILABILITY'!P784+'RAP TEMPLATE-GAS AVAILABILITY'!Q784+'RAP TEMPLATE-GAS AVAILABILITY'!R784)</f>
        <v>64.774463309352512</v>
      </c>
    </row>
    <row r="786" spans="1:29" ht="15.75" x14ac:dyDescent="0.25">
      <c r="A786" s="32">
        <v>64831</v>
      </c>
      <c r="B786" s="14">
        <f>CHOOSE(CONTROL!$C$42, 67.6496, 67.6496) * CHOOSE(CONTROL!$C$21, $C$9, 100%, $E$9)</f>
        <v>67.649600000000007</v>
      </c>
      <c r="C786" s="14">
        <f>CHOOSE(CONTROL!$C$42, 67.6576, 67.6576) * CHOOSE(CONTROL!$C$21, $C$9, 100%, $E$9)</f>
        <v>67.657600000000002</v>
      </c>
      <c r="D786" s="14">
        <f>CHOOSE(CONTROL!$C$42, 67.9167, 67.9167) * CHOOSE(CONTROL!$C$21, $C$9, 100%, $E$9)</f>
        <v>67.916700000000006</v>
      </c>
      <c r="E786" s="14">
        <f>CHOOSE(CONTROL!$C$42, 67.9482, 67.9482) * CHOOSE(CONTROL!$C$21, $C$9, 100%, $E$9)</f>
        <v>67.9482</v>
      </c>
      <c r="F786" s="14">
        <f>CHOOSE(CONTROL!$C$42, 67.6714, 67.6714)*CHOOSE(CONTROL!$C$21, $C$9, 100%, $E$9)</f>
        <v>67.671400000000006</v>
      </c>
      <c r="G786" s="14">
        <f>CHOOSE(CONTROL!$C$42, 67.6884, 67.6884)*CHOOSE(CONTROL!$C$21, $C$9, 100%, $E$9)</f>
        <v>67.688400000000001</v>
      </c>
      <c r="H786" s="14">
        <f>CHOOSE(CONTROL!$C$42, 67.9368, 67.9368) * CHOOSE(CONTROL!$C$21, $C$9, 100%, $E$9)</f>
        <v>67.936800000000005</v>
      </c>
      <c r="I786" s="14">
        <f>CHOOSE(CONTROL!$C$42, 67.8826, 67.8826)* CHOOSE(CONTROL!$C$21, $C$9, 100%, $E$9)</f>
        <v>67.882599999999996</v>
      </c>
      <c r="J786" s="14">
        <f>CHOOSE(CONTROL!$C$42, 67.6644, 67.6644)* CHOOSE(CONTROL!$C$21, $C$9, 100%, $E$9)</f>
        <v>67.664400000000001</v>
      </c>
      <c r="K786" s="52">
        <f>CHOOSE(CONTROL!$C$42, 67.8787, 67.8787) * CHOOSE(CONTROL!$C$21, $C$9, 100%, $E$9)</f>
        <v>67.878699999999995</v>
      </c>
      <c r="L786" s="14">
        <f>CHOOSE(CONTROL!$C$42, 68.5238, 68.5238) * CHOOSE(CONTROL!$C$21, $C$9, 100%, $E$9)</f>
        <v>68.523799999999994</v>
      </c>
      <c r="M786" s="14">
        <f>CHOOSE(CONTROL!$C$42, 66.455, 66.455) * CHOOSE(CONTROL!$C$21, $C$9, 100%, $E$9)</f>
        <v>66.454999999999998</v>
      </c>
      <c r="N786" s="14">
        <f>CHOOSE(CONTROL!$C$42, 66.4717, 66.4717) * CHOOSE(CONTROL!$C$21, $C$9, 100%, $E$9)</f>
        <v>66.471699999999998</v>
      </c>
      <c r="O786" s="14">
        <f>CHOOSE(CONTROL!$C$42, 66.7225, 66.7225) * CHOOSE(CONTROL!$C$21, $C$9, 100%, $E$9)</f>
        <v>66.722499999999997</v>
      </c>
      <c r="P786" s="14">
        <f>CHOOSE(CONTROL!$C$42, 66.6656, 66.6656) * CHOOSE(CONTROL!$C$21, $C$9, 100%, $E$9)</f>
        <v>66.665599999999998</v>
      </c>
      <c r="Q786" s="14">
        <f>CHOOSE(CONTROL!$C$42, 67.3172, 67.3172) * CHOOSE(CONTROL!$C$21, $C$9, 100%, $E$9)</f>
        <v>67.3172</v>
      </c>
      <c r="R786" s="14">
        <f>CHOOSE(CONTROL!$C$42, 68.0725, 68.0725) * CHOOSE(CONTROL!$C$21, $C$9, 100%, $E$9)</f>
        <v>68.072500000000005</v>
      </c>
      <c r="S786" s="14">
        <f>CHOOSE(CONTROL!$C$42, 64.9939, 64.9939) * CHOOSE(CONTROL!$C$21, $C$9, 100%, $E$9)</f>
        <v>64.993899999999996</v>
      </c>
      <c r="T78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86" s="56">
        <f>(1000*CHOOSE(CONTROL!$C$42, 695, 695)*CHOOSE(CONTROL!$C$42, 0.5599, 0.5599)*CHOOSE(CONTROL!$C$42, 30, 30))/1000000</f>
        <v>11.673914999999997</v>
      </c>
      <c r="V786" s="56">
        <f>(1000*CHOOSE(CONTROL!$C$42, 500, 500)*CHOOSE(CONTROL!$C$42, 0.275, 0.275)*CHOOSE(CONTROL!$C$42, 30, 30))/1000000</f>
        <v>4.125</v>
      </c>
      <c r="W786" s="56">
        <f>(1000*CHOOSE(CONTROL!$C$42, 0.1146, 0.1146)*CHOOSE(CONTROL!$C$42, 121.5, 121.5)*CHOOSE(CONTROL!$C$42, 30, 30))/1000000</f>
        <v>0.417717</v>
      </c>
      <c r="X786" s="56">
        <f>(30*0.1790888*245000/1000000)+(30*0.2374*100000/1000000)</f>
        <v>2.0285026799999999</v>
      </c>
      <c r="Y786" s="56"/>
      <c r="Z786" s="14"/>
      <c r="AA786" s="55"/>
      <c r="AB786" s="49">
        <f>(B786*194.205+C786*267.466+D786*133.845+E786*53.484+F786*40+G786*185+H786*0+I786*100+J786*300)/(194.205+267.466+133.845+53.484+0+40+185+100+300)</f>
        <v>67.71996895596547</v>
      </c>
      <c r="AC786" s="45">
        <f>(M786*'RAP TEMPLATE-GAS AVAILABILITY'!O785+N786*'RAP TEMPLATE-GAS AVAILABILITY'!P785+O786*'RAP TEMPLATE-GAS AVAILABILITY'!Q785+P786*'RAP TEMPLATE-GAS AVAILABILITY'!R785)/('RAP TEMPLATE-GAS AVAILABILITY'!O785+'RAP TEMPLATE-GAS AVAILABILITY'!P785+'RAP TEMPLATE-GAS AVAILABILITY'!Q785+'RAP TEMPLATE-GAS AVAILABILITY'!R785)</f>
        <v>66.607504316546752</v>
      </c>
    </row>
    <row r="787" spans="1:29" ht="15.75" x14ac:dyDescent="0.25">
      <c r="A787" s="32">
        <v>64862</v>
      </c>
      <c r="B787" s="14">
        <f>CHOOSE(CONTROL!$C$42, 66.352, 66.352) * CHOOSE(CONTROL!$C$21, $C$9, 100%, $E$9)</f>
        <v>66.352000000000004</v>
      </c>
      <c r="C787" s="14">
        <f>CHOOSE(CONTROL!$C$42, 66.36, 66.36) * CHOOSE(CONTROL!$C$21, $C$9, 100%, $E$9)</f>
        <v>66.36</v>
      </c>
      <c r="D787" s="14">
        <f>CHOOSE(CONTROL!$C$42, 66.6191, 66.6191) * CHOOSE(CONTROL!$C$21, $C$9, 100%, $E$9)</f>
        <v>66.619100000000003</v>
      </c>
      <c r="E787" s="14">
        <f>CHOOSE(CONTROL!$C$42, 66.6506, 66.6506) * CHOOSE(CONTROL!$C$21, $C$9, 100%, $E$9)</f>
        <v>66.650599999999997</v>
      </c>
      <c r="F787" s="14">
        <f>CHOOSE(CONTROL!$C$42, 66.3742, 66.3742)*CHOOSE(CONTROL!$C$21, $C$9, 100%, $E$9)</f>
        <v>66.374200000000002</v>
      </c>
      <c r="G787" s="14">
        <f>CHOOSE(CONTROL!$C$42, 66.3913, 66.3913)*CHOOSE(CONTROL!$C$21, $C$9, 100%, $E$9)</f>
        <v>66.391300000000001</v>
      </c>
      <c r="H787" s="14">
        <f>CHOOSE(CONTROL!$C$42, 66.6392, 66.6392) * CHOOSE(CONTROL!$C$21, $C$9, 100%, $E$9)</f>
        <v>66.639200000000002</v>
      </c>
      <c r="I787" s="14">
        <f>CHOOSE(CONTROL!$C$42, 66.5809, 66.5809)* CHOOSE(CONTROL!$C$21, $C$9, 100%, $E$9)</f>
        <v>66.5809</v>
      </c>
      <c r="J787" s="14">
        <f>CHOOSE(CONTROL!$C$42, 66.3672, 66.3672)* CHOOSE(CONTROL!$C$21, $C$9, 100%, $E$9)</f>
        <v>66.367199999999997</v>
      </c>
      <c r="K787" s="52">
        <f>CHOOSE(CONTROL!$C$42, 66.577, 66.577) * CHOOSE(CONTROL!$C$21, $C$9, 100%, $E$9)</f>
        <v>66.576999999999998</v>
      </c>
      <c r="L787" s="14">
        <f>CHOOSE(CONTROL!$C$42, 67.2262, 67.2262) * CHOOSE(CONTROL!$C$21, $C$9, 100%, $E$9)</f>
        <v>67.226200000000006</v>
      </c>
      <c r="M787" s="14">
        <f>CHOOSE(CONTROL!$C$42, 65.1811, 65.1811) * CHOOSE(CONTROL!$C$21, $C$9, 100%, $E$9)</f>
        <v>65.181100000000001</v>
      </c>
      <c r="N787" s="14">
        <f>CHOOSE(CONTROL!$C$42, 65.198, 65.198) * CHOOSE(CONTROL!$C$21, $C$9, 100%, $E$9)</f>
        <v>65.197999999999993</v>
      </c>
      <c r="O787" s="14">
        <f>CHOOSE(CONTROL!$C$42, 65.4483, 65.4483) * CHOOSE(CONTROL!$C$21, $C$9, 100%, $E$9)</f>
        <v>65.448300000000003</v>
      </c>
      <c r="P787" s="14">
        <f>CHOOSE(CONTROL!$C$42, 65.3874, 65.3874) * CHOOSE(CONTROL!$C$21, $C$9, 100%, $E$9)</f>
        <v>65.3874</v>
      </c>
      <c r="Q787" s="14">
        <f>CHOOSE(CONTROL!$C$42, 66.043, 66.043) * CHOOSE(CONTROL!$C$21, $C$9, 100%, $E$9)</f>
        <v>66.043000000000006</v>
      </c>
      <c r="R787" s="14">
        <f>CHOOSE(CONTROL!$C$42, 66.7951, 66.7951) * CHOOSE(CONTROL!$C$21, $C$9, 100%, $E$9)</f>
        <v>66.795100000000005</v>
      </c>
      <c r="S787" s="14">
        <f>CHOOSE(CONTROL!$C$42, 63.747, 63.747) * CHOOSE(CONTROL!$C$21, $C$9, 100%, $E$9)</f>
        <v>63.747</v>
      </c>
      <c r="T78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87" s="56">
        <f>(1000*CHOOSE(CONTROL!$C$42, 695, 695)*CHOOSE(CONTROL!$C$42, 0.5599, 0.5599)*CHOOSE(CONTROL!$C$42, 31, 31))/1000000</f>
        <v>12.063045499999998</v>
      </c>
      <c r="V787" s="56">
        <f>(1000*CHOOSE(CONTROL!$C$42, 500, 500)*CHOOSE(CONTROL!$C$42, 0.275, 0.275)*CHOOSE(CONTROL!$C$42, 31, 31))/1000000</f>
        <v>4.2625000000000002</v>
      </c>
      <c r="W787" s="56">
        <f>(1000*CHOOSE(CONTROL!$C$42, 0.1146, 0.1146)*CHOOSE(CONTROL!$C$42, 121.5, 121.5)*CHOOSE(CONTROL!$C$42, 31, 31))/1000000</f>
        <v>0.43164089999999994</v>
      </c>
      <c r="X787" s="56">
        <f>(31*0.1790888*245000/1000000)+(31*0.2374*100000/1000000)</f>
        <v>2.0961194359999999</v>
      </c>
      <c r="Y787" s="56"/>
      <c r="Z787" s="14"/>
      <c r="AA787" s="55"/>
      <c r="AB787" s="49">
        <f>(B787*194.205+C787*267.466+D787*133.845+E787*53.484+F787*40+G787*185+H787*0+I787*100+J787*300)/(194.205+267.466+133.845+53.484+0+40+185+100+300)</f>
        <v>66.42222649128729</v>
      </c>
      <c r="AC787" s="45">
        <f>(M787*'RAP TEMPLATE-GAS AVAILABILITY'!O786+N787*'RAP TEMPLATE-GAS AVAILABILITY'!P786+O787*'RAP TEMPLATE-GAS AVAILABILITY'!Q786+P787*'RAP TEMPLATE-GAS AVAILABILITY'!R786)/('RAP TEMPLATE-GAS AVAILABILITY'!O786+'RAP TEMPLATE-GAS AVAILABILITY'!P786+'RAP TEMPLATE-GAS AVAILABILITY'!Q786+'RAP TEMPLATE-GAS AVAILABILITY'!R786)</f>
        <v>65.332861151079129</v>
      </c>
    </row>
    <row r="788" spans="1:29" ht="15.75" x14ac:dyDescent="0.25">
      <c r="A788" s="32">
        <v>64893</v>
      </c>
      <c r="B788" s="14">
        <f>CHOOSE(CONTROL!$C$42, 63.0751, 63.0751) * CHOOSE(CONTROL!$C$21, $C$9, 100%, $E$9)</f>
        <v>63.075099999999999</v>
      </c>
      <c r="C788" s="14">
        <f>CHOOSE(CONTROL!$C$42, 63.0831, 63.0831) * CHOOSE(CONTROL!$C$21, $C$9, 100%, $E$9)</f>
        <v>63.083100000000002</v>
      </c>
      <c r="D788" s="14">
        <f>CHOOSE(CONTROL!$C$42, 63.3422, 63.3422) * CHOOSE(CONTROL!$C$21, $C$9, 100%, $E$9)</f>
        <v>63.342199999999998</v>
      </c>
      <c r="E788" s="14">
        <f>CHOOSE(CONTROL!$C$42, 63.3737, 63.3737) * CHOOSE(CONTROL!$C$21, $C$9, 100%, $E$9)</f>
        <v>63.373699999999999</v>
      </c>
      <c r="F788" s="14">
        <f>CHOOSE(CONTROL!$C$42, 63.0975, 63.0975)*CHOOSE(CONTROL!$C$21, $C$9, 100%, $E$9)</f>
        <v>63.097499999999997</v>
      </c>
      <c r="G788" s="14">
        <f>CHOOSE(CONTROL!$C$42, 63.1147, 63.1147)*CHOOSE(CONTROL!$C$21, $C$9, 100%, $E$9)</f>
        <v>63.114699999999999</v>
      </c>
      <c r="H788" s="14">
        <f>CHOOSE(CONTROL!$C$42, 63.3623, 63.3623) * CHOOSE(CONTROL!$C$21, $C$9, 100%, $E$9)</f>
        <v>63.362299999999998</v>
      </c>
      <c r="I788" s="14">
        <f>CHOOSE(CONTROL!$C$42, 63.2937, 63.2937)* CHOOSE(CONTROL!$C$21, $C$9, 100%, $E$9)</f>
        <v>63.293700000000001</v>
      </c>
      <c r="J788" s="14">
        <f>CHOOSE(CONTROL!$C$42, 63.0905, 63.0905)* CHOOSE(CONTROL!$C$21, $C$9, 100%, $E$9)</f>
        <v>63.090499999999999</v>
      </c>
      <c r="K788" s="52">
        <f>CHOOSE(CONTROL!$C$42, 63.2898, 63.2898) * CHOOSE(CONTROL!$C$21, $C$9, 100%, $E$9)</f>
        <v>63.2898</v>
      </c>
      <c r="L788" s="14">
        <f>CHOOSE(CONTROL!$C$42, 63.9493, 63.9493) * CHOOSE(CONTROL!$C$21, $C$9, 100%, $E$9)</f>
        <v>63.949300000000001</v>
      </c>
      <c r="M788" s="14">
        <f>CHOOSE(CONTROL!$C$42, 61.9634, 61.9634) * CHOOSE(CONTROL!$C$21, $C$9, 100%, $E$9)</f>
        <v>61.9634</v>
      </c>
      <c r="N788" s="14">
        <f>CHOOSE(CONTROL!$C$42, 61.9803, 61.9803) * CHOOSE(CONTROL!$C$21, $C$9, 100%, $E$9)</f>
        <v>61.9803</v>
      </c>
      <c r="O788" s="14">
        <f>CHOOSE(CONTROL!$C$42, 62.2303, 62.2303) * CHOOSE(CONTROL!$C$21, $C$9, 100%, $E$9)</f>
        <v>62.2303</v>
      </c>
      <c r="P788" s="14">
        <f>CHOOSE(CONTROL!$C$42, 62.1595, 62.1595) * CHOOSE(CONTROL!$C$21, $C$9, 100%, $E$9)</f>
        <v>62.159500000000001</v>
      </c>
      <c r="Q788" s="14">
        <f>CHOOSE(CONTROL!$C$42, 62.825, 62.825) * CHOOSE(CONTROL!$C$21, $C$9, 100%, $E$9)</f>
        <v>62.825000000000003</v>
      </c>
      <c r="R788" s="14">
        <f>CHOOSE(CONTROL!$C$42, 63.5691, 63.5691) * CHOOSE(CONTROL!$C$21, $C$9, 100%, $E$9)</f>
        <v>63.569099999999999</v>
      </c>
      <c r="S788" s="14">
        <f>CHOOSE(CONTROL!$C$42, 60.5982, 60.5982) * CHOOSE(CONTROL!$C$21, $C$9, 100%, $E$9)</f>
        <v>60.598199999999999</v>
      </c>
      <c r="T78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788" s="56">
        <f>(1000*CHOOSE(CONTROL!$C$42, 695, 695)*CHOOSE(CONTROL!$C$42, 0.5599, 0.5599)*CHOOSE(CONTROL!$C$42, 31, 31))/1000000</f>
        <v>12.063045499999998</v>
      </c>
      <c r="V788" s="56">
        <f>(1000*CHOOSE(CONTROL!$C$42, 500, 500)*CHOOSE(CONTROL!$C$42, 0.275, 0.275)*CHOOSE(CONTROL!$C$42, 31, 31))/1000000</f>
        <v>4.2625000000000002</v>
      </c>
      <c r="W788" s="56">
        <f>(1000*CHOOSE(CONTROL!$C$42, 0.1146, 0.1146)*CHOOSE(CONTROL!$C$42, 121.5, 121.5)*CHOOSE(CONTROL!$C$42, 31, 31))/1000000</f>
        <v>0.43164089999999994</v>
      </c>
      <c r="X788" s="56">
        <f>(31*0.1790888*245000/1000000)+(31*0.2374*100000/1000000)</f>
        <v>2.0961194359999999</v>
      </c>
      <c r="Y788" s="56"/>
      <c r="Z788" s="14"/>
      <c r="AA788" s="55"/>
      <c r="AB788" s="49">
        <f>(B788*194.205+C788*267.466+D788*133.845+E788*53.484+F788*40+G788*185+H788*0+I788*100+J788*300)/(194.205+267.466+133.845+53.484+0+40+185+100+300)</f>
        <v>63.144614952825755</v>
      </c>
      <c r="AC788" s="45">
        <f>(M788*'RAP TEMPLATE-GAS AVAILABILITY'!O787+N788*'RAP TEMPLATE-GAS AVAILABILITY'!P787+O788*'RAP TEMPLATE-GAS AVAILABILITY'!Q787+P788*'RAP TEMPLATE-GAS AVAILABILITY'!R787)/('RAP TEMPLATE-GAS AVAILABILITY'!O787+'RAP TEMPLATE-GAS AVAILABILITY'!P787+'RAP TEMPLATE-GAS AVAILABILITY'!Q787+'RAP TEMPLATE-GAS AVAILABILITY'!R787)</f>
        <v>62.113557553956838</v>
      </c>
    </row>
    <row r="789" spans="1:29" ht="15.75" x14ac:dyDescent="0.25">
      <c r="A789" s="32">
        <v>64923</v>
      </c>
      <c r="B789" s="14">
        <f>CHOOSE(CONTROL!$C$42, 59.0711, 59.0711) * CHOOSE(CONTROL!$C$21, $C$9, 100%, $E$9)</f>
        <v>59.071100000000001</v>
      </c>
      <c r="C789" s="14">
        <f>CHOOSE(CONTROL!$C$42, 59.0791, 59.0791) * CHOOSE(CONTROL!$C$21, $C$9, 100%, $E$9)</f>
        <v>59.079099999999997</v>
      </c>
      <c r="D789" s="14">
        <f>CHOOSE(CONTROL!$C$42, 59.3382, 59.3382) * CHOOSE(CONTROL!$C$21, $C$9, 100%, $E$9)</f>
        <v>59.338200000000001</v>
      </c>
      <c r="E789" s="14">
        <f>CHOOSE(CONTROL!$C$42, 59.3697, 59.3697) * CHOOSE(CONTROL!$C$21, $C$9, 100%, $E$9)</f>
        <v>59.369700000000002</v>
      </c>
      <c r="F789" s="14">
        <f>CHOOSE(CONTROL!$C$42, 59.0936, 59.0936)*CHOOSE(CONTROL!$C$21, $C$9, 100%, $E$9)</f>
        <v>59.093600000000002</v>
      </c>
      <c r="G789" s="14">
        <f>CHOOSE(CONTROL!$C$42, 59.1108, 59.1108)*CHOOSE(CONTROL!$C$21, $C$9, 100%, $E$9)</f>
        <v>59.110799999999998</v>
      </c>
      <c r="H789" s="14">
        <f>CHOOSE(CONTROL!$C$42, 59.3583, 59.3583) * CHOOSE(CONTROL!$C$21, $C$9, 100%, $E$9)</f>
        <v>59.3583</v>
      </c>
      <c r="I789" s="14">
        <f>CHOOSE(CONTROL!$C$42, 59.2772, 59.2772)* CHOOSE(CONTROL!$C$21, $C$9, 100%, $E$9)</f>
        <v>59.277200000000001</v>
      </c>
      <c r="J789" s="14">
        <f>CHOOSE(CONTROL!$C$42, 59.0866, 59.0866)* CHOOSE(CONTROL!$C$21, $C$9, 100%, $E$9)</f>
        <v>59.086599999999997</v>
      </c>
      <c r="K789" s="52">
        <f>CHOOSE(CONTROL!$C$42, 59.2733, 59.2733) * CHOOSE(CONTROL!$C$21, $C$9, 100%, $E$9)</f>
        <v>59.273299999999999</v>
      </c>
      <c r="L789" s="14">
        <f>CHOOSE(CONTROL!$C$42, 59.9453, 59.9453) * CHOOSE(CONTROL!$C$21, $C$9, 100%, $E$9)</f>
        <v>59.945300000000003</v>
      </c>
      <c r="M789" s="14">
        <f>CHOOSE(CONTROL!$C$42, 58.0315, 58.0315) * CHOOSE(CONTROL!$C$21, $C$9, 100%, $E$9)</f>
        <v>58.031500000000001</v>
      </c>
      <c r="N789" s="14">
        <f>CHOOSE(CONTROL!$C$42, 58.0484, 58.0484) * CHOOSE(CONTROL!$C$21, $C$9, 100%, $E$9)</f>
        <v>58.048400000000001</v>
      </c>
      <c r="O789" s="14">
        <f>CHOOSE(CONTROL!$C$42, 58.2984, 58.2984) * CHOOSE(CONTROL!$C$21, $C$9, 100%, $E$9)</f>
        <v>58.298400000000001</v>
      </c>
      <c r="P789" s="14">
        <f>CHOOSE(CONTROL!$C$42, 58.2155, 58.2155) * CHOOSE(CONTROL!$C$21, $C$9, 100%, $E$9)</f>
        <v>58.215499999999999</v>
      </c>
      <c r="Q789" s="14">
        <f>CHOOSE(CONTROL!$C$42, 58.8931, 58.8931) * CHOOSE(CONTROL!$C$21, $C$9, 100%, $E$9)</f>
        <v>58.893099999999997</v>
      </c>
      <c r="R789" s="14">
        <f>CHOOSE(CONTROL!$C$42, 59.6273, 59.6273) * CHOOSE(CONTROL!$C$21, $C$9, 100%, $E$9)</f>
        <v>59.627299999999998</v>
      </c>
      <c r="S789" s="14">
        <f>CHOOSE(CONTROL!$C$42, 56.7508, 56.7508) * CHOOSE(CONTROL!$C$21, $C$9, 100%, $E$9)</f>
        <v>56.750799999999998</v>
      </c>
      <c r="T78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789" s="56">
        <f>(1000*CHOOSE(CONTROL!$C$42, 695, 695)*CHOOSE(CONTROL!$C$42, 0.5599, 0.5599)*CHOOSE(CONTROL!$C$42, 30, 30))/1000000</f>
        <v>11.673914999999997</v>
      </c>
      <c r="V789" s="56">
        <f>(1000*CHOOSE(CONTROL!$C$42, 500, 500)*CHOOSE(CONTROL!$C$42, 0.275, 0.275)*CHOOSE(CONTROL!$C$42, 30, 30))/1000000</f>
        <v>4.125</v>
      </c>
      <c r="W789" s="56">
        <f>(1000*CHOOSE(CONTROL!$C$42, 0.1146, 0.1146)*CHOOSE(CONTROL!$C$42, 121.5, 121.5)*CHOOSE(CONTROL!$C$42, 30, 30))/1000000</f>
        <v>0.417717</v>
      </c>
      <c r="X789" s="56">
        <f>(30*0.1790888*245000/1000000)+(30*0.2374*100000/1000000)</f>
        <v>2.0285026799999999</v>
      </c>
      <c r="Y789" s="56"/>
      <c r="Z789" s="14"/>
      <c r="AA789" s="55"/>
      <c r="AB789" s="49">
        <f>(B789*194.205+C789*267.466+D789*133.845+E789*53.484+F789*40+G789*185+H789*0+I789*100+J789*300)/(194.205+267.466+133.845+53.484+0+40+185+100+300)</f>
        <v>59.139674999921503</v>
      </c>
      <c r="AC789" s="45">
        <f>(M789*'RAP TEMPLATE-GAS AVAILABILITY'!O788+N789*'RAP TEMPLATE-GAS AVAILABILITY'!P788+O789*'RAP TEMPLATE-GAS AVAILABILITY'!Q788+P789*'RAP TEMPLATE-GAS AVAILABILITY'!R788)/('RAP TEMPLATE-GAS AVAILABILITY'!O788+'RAP TEMPLATE-GAS AVAILABILITY'!P788+'RAP TEMPLATE-GAS AVAILABILITY'!Q788+'RAP TEMPLATE-GAS AVAILABILITY'!R788)</f>
        <v>58.179916546762591</v>
      </c>
    </row>
    <row r="790" spans="1:29" ht="15.75" x14ac:dyDescent="0.25">
      <c r="A790" s="32">
        <v>64954</v>
      </c>
      <c r="B790" s="14">
        <f>CHOOSE(CONTROL!$C$42, 57.8702, 57.8702) * CHOOSE(CONTROL!$C$21, $C$9, 100%, $E$9)</f>
        <v>57.870199999999997</v>
      </c>
      <c r="C790" s="14">
        <f>CHOOSE(CONTROL!$C$42, 57.8755, 57.8755) * CHOOSE(CONTROL!$C$21, $C$9, 100%, $E$9)</f>
        <v>57.875500000000002</v>
      </c>
      <c r="D790" s="14">
        <f>CHOOSE(CONTROL!$C$42, 58.1396, 58.1396) * CHOOSE(CONTROL!$C$21, $C$9, 100%, $E$9)</f>
        <v>58.139600000000002</v>
      </c>
      <c r="E790" s="14">
        <f>CHOOSE(CONTROL!$C$42, 58.1687, 58.1687) * CHOOSE(CONTROL!$C$21, $C$9, 100%, $E$9)</f>
        <v>58.168700000000001</v>
      </c>
      <c r="F790" s="14">
        <f>CHOOSE(CONTROL!$C$42, 57.8948, 57.8948)*CHOOSE(CONTROL!$C$21, $C$9, 100%, $E$9)</f>
        <v>57.894799999999996</v>
      </c>
      <c r="G790" s="14">
        <f>CHOOSE(CONTROL!$C$42, 57.9119, 57.9119)*CHOOSE(CONTROL!$C$21, $C$9, 100%, $E$9)</f>
        <v>57.911900000000003</v>
      </c>
      <c r="H790" s="14">
        <f>CHOOSE(CONTROL!$C$42, 58.1592, 58.1592) * CHOOSE(CONTROL!$C$21, $C$9, 100%, $E$9)</f>
        <v>58.159199999999998</v>
      </c>
      <c r="I790" s="14">
        <f>CHOOSE(CONTROL!$C$42, 58.0743, 58.0743)* CHOOSE(CONTROL!$C$21, $C$9, 100%, $E$9)</f>
        <v>58.074300000000001</v>
      </c>
      <c r="J790" s="14">
        <f>CHOOSE(CONTROL!$C$42, 57.8878, 57.8878)* CHOOSE(CONTROL!$C$21, $C$9, 100%, $E$9)</f>
        <v>57.887799999999999</v>
      </c>
      <c r="K790" s="52">
        <f>CHOOSE(CONTROL!$C$42, 58.0704, 58.0704) * CHOOSE(CONTROL!$C$21, $C$9, 100%, $E$9)</f>
        <v>58.070399999999999</v>
      </c>
      <c r="L790" s="14">
        <f>CHOOSE(CONTROL!$C$42, 58.7462, 58.7462) * CHOOSE(CONTROL!$C$21, $C$9, 100%, $E$9)</f>
        <v>58.746200000000002</v>
      </c>
      <c r="M790" s="14">
        <f>CHOOSE(CONTROL!$C$42, 56.8543, 56.8543) * CHOOSE(CONTROL!$C$21, $C$9, 100%, $E$9)</f>
        <v>56.854300000000002</v>
      </c>
      <c r="N790" s="14">
        <f>CHOOSE(CONTROL!$C$42, 56.8711, 56.8711) * CHOOSE(CONTROL!$C$21, $C$9, 100%, $E$9)</f>
        <v>56.871099999999998</v>
      </c>
      <c r="O790" s="14">
        <f>CHOOSE(CONTROL!$C$42, 57.1208, 57.1208) * CHOOSE(CONTROL!$C$21, $C$9, 100%, $E$9)</f>
        <v>57.120800000000003</v>
      </c>
      <c r="P790" s="14">
        <f>CHOOSE(CONTROL!$C$42, 57.0343, 57.0343) * CHOOSE(CONTROL!$C$21, $C$9, 100%, $E$9)</f>
        <v>57.034300000000002</v>
      </c>
      <c r="Q790" s="14">
        <f>CHOOSE(CONTROL!$C$42, 57.7155, 57.7155) * CHOOSE(CONTROL!$C$21, $C$9, 100%, $E$9)</f>
        <v>57.715499999999999</v>
      </c>
      <c r="R790" s="14">
        <f>CHOOSE(CONTROL!$C$42, 58.4468, 58.4468) * CHOOSE(CONTROL!$C$21, $C$9, 100%, $E$9)</f>
        <v>58.446800000000003</v>
      </c>
      <c r="S790" s="14">
        <f>CHOOSE(CONTROL!$C$42, 55.5985, 55.5985) * CHOOSE(CONTROL!$C$21, $C$9, 100%, $E$9)</f>
        <v>55.598500000000001</v>
      </c>
      <c r="T79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90" s="56">
        <f>(1000*CHOOSE(CONTROL!$C$42, 695, 695)*CHOOSE(CONTROL!$C$42, 0.5599, 0.5599)*CHOOSE(CONTROL!$C$42, 31, 31))/1000000</f>
        <v>12.063045499999998</v>
      </c>
      <c r="V790" s="56">
        <f>(1000*CHOOSE(CONTROL!$C$42, 500, 500)*CHOOSE(CONTROL!$C$42, 0.275, 0.275)*CHOOSE(CONTROL!$C$42, 31, 31))/1000000</f>
        <v>4.2625000000000002</v>
      </c>
      <c r="W790" s="56">
        <f>(1000*CHOOSE(CONTROL!$C$42, 0.1146, 0.1146)*CHOOSE(CONTROL!$C$42, 121.5, 121.5)*CHOOSE(CONTROL!$C$42, 31, 31))/1000000</f>
        <v>0.43164089999999994</v>
      </c>
      <c r="X790" s="56">
        <f>(31*0.1790888*245000/1000000)+(31*0.2374*100000/1000000)</f>
        <v>2.0961194359999999</v>
      </c>
      <c r="Y790" s="56"/>
      <c r="Z790" s="14"/>
      <c r="AA790" s="55"/>
      <c r="AB790" s="49">
        <f>(B790*131.881+C790*277.167+D790*79.08+E790*125.872+F790*40+G790*185+H790*0+I790*100+J790*300)/(131.881+277.167+79.08+125.872+0+40+185+100+300)</f>
        <v>57.946660394753842</v>
      </c>
      <c r="AC790" s="45">
        <f>(M790*'RAP TEMPLATE-GAS AVAILABILITY'!O789+N790*'RAP TEMPLATE-GAS AVAILABILITY'!P789+O790*'RAP TEMPLATE-GAS AVAILABILITY'!Q789+P790*'RAP TEMPLATE-GAS AVAILABILITY'!R789)/('RAP TEMPLATE-GAS AVAILABILITY'!O789+'RAP TEMPLATE-GAS AVAILABILITY'!P789+'RAP TEMPLATE-GAS AVAILABILITY'!Q789+'RAP TEMPLATE-GAS AVAILABILITY'!R789)</f>
        <v>57.001953956834534</v>
      </c>
    </row>
    <row r="791" spans="1:29" ht="15.75" x14ac:dyDescent="0.25">
      <c r="A791" s="32">
        <v>64984</v>
      </c>
      <c r="B791" s="14">
        <f>CHOOSE(CONTROL!$C$42, 59.3941, 59.3941) * CHOOSE(CONTROL!$C$21, $C$9, 100%, $E$9)</f>
        <v>59.394100000000002</v>
      </c>
      <c r="C791" s="14">
        <f>CHOOSE(CONTROL!$C$42, 59.3992, 59.3992) * CHOOSE(CONTROL!$C$21, $C$9, 100%, $E$9)</f>
        <v>59.3992</v>
      </c>
      <c r="D791" s="14">
        <f>CHOOSE(CONTROL!$C$42, 59.4822, 59.4822) * CHOOSE(CONTROL!$C$21, $C$9, 100%, $E$9)</f>
        <v>59.482199999999999</v>
      </c>
      <c r="E791" s="14">
        <f>CHOOSE(CONTROL!$C$42, 59.5163, 59.5163) * CHOOSE(CONTROL!$C$21, $C$9, 100%, $E$9)</f>
        <v>59.516300000000001</v>
      </c>
      <c r="F791" s="14">
        <f>CHOOSE(CONTROL!$C$42, 59.4217, 59.4217)*CHOOSE(CONTROL!$C$21, $C$9, 100%, $E$9)</f>
        <v>59.421700000000001</v>
      </c>
      <c r="G791" s="14">
        <f>CHOOSE(CONTROL!$C$42, 59.4391, 59.4391)*CHOOSE(CONTROL!$C$21, $C$9, 100%, $E$9)</f>
        <v>59.439100000000003</v>
      </c>
      <c r="H791" s="14">
        <f>CHOOSE(CONTROL!$C$42, 59.5055, 59.5055) * CHOOSE(CONTROL!$C$21, $C$9, 100%, $E$9)</f>
        <v>59.505499999999998</v>
      </c>
      <c r="I791" s="14">
        <f>CHOOSE(CONTROL!$C$42, 59.5997, 59.5997)* CHOOSE(CONTROL!$C$21, $C$9, 100%, $E$9)</f>
        <v>59.599699999999999</v>
      </c>
      <c r="J791" s="14">
        <f>CHOOSE(CONTROL!$C$42, 59.4147, 59.4147)* CHOOSE(CONTROL!$C$21, $C$9, 100%, $E$9)</f>
        <v>59.414700000000003</v>
      </c>
      <c r="K791" s="52">
        <f>CHOOSE(CONTROL!$C$42, 59.5959, 59.5959) * CHOOSE(CONTROL!$C$21, $C$9, 100%, $E$9)</f>
        <v>59.5959</v>
      </c>
      <c r="L791" s="14">
        <f>CHOOSE(CONTROL!$C$42, 60.0925, 60.0925) * CHOOSE(CONTROL!$C$21, $C$9, 100%, $E$9)</f>
        <v>60.092500000000001</v>
      </c>
      <c r="M791" s="14">
        <f>CHOOSE(CONTROL!$C$42, 58.3537, 58.3537) * CHOOSE(CONTROL!$C$21, $C$9, 100%, $E$9)</f>
        <v>58.353700000000003</v>
      </c>
      <c r="N791" s="14">
        <f>CHOOSE(CONTROL!$C$42, 58.3708, 58.3708) * CHOOSE(CONTROL!$C$21, $C$9, 100%, $E$9)</f>
        <v>58.370800000000003</v>
      </c>
      <c r="O791" s="14">
        <f>CHOOSE(CONTROL!$C$42, 58.4429, 58.4429) * CHOOSE(CONTROL!$C$21, $C$9, 100%, $E$9)</f>
        <v>58.442900000000002</v>
      </c>
      <c r="P791" s="14">
        <f>CHOOSE(CONTROL!$C$42, 58.5322, 58.5322) * CHOOSE(CONTROL!$C$21, $C$9, 100%, $E$9)</f>
        <v>58.532200000000003</v>
      </c>
      <c r="Q791" s="14">
        <f>CHOOSE(CONTROL!$C$42, 59.0376, 59.0376) * CHOOSE(CONTROL!$C$21, $C$9, 100%, $E$9)</f>
        <v>59.037599999999998</v>
      </c>
      <c r="R791" s="14">
        <f>CHOOSE(CONTROL!$C$42, 59.7722, 59.7722) * CHOOSE(CONTROL!$C$21, $C$9, 100%, $E$9)</f>
        <v>59.772199999999998</v>
      </c>
      <c r="S791" s="14">
        <f>CHOOSE(CONTROL!$C$42, 57.0633, 57.0633) * CHOOSE(CONTROL!$C$21, $C$9, 100%, $E$9)</f>
        <v>57.063299999999998</v>
      </c>
      <c r="T79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91" s="56">
        <f>(1000*CHOOSE(CONTROL!$C$42, 695, 695)*CHOOSE(CONTROL!$C$42, 0.5599, 0.5599)*CHOOSE(CONTROL!$C$42, 30, 30))/1000000</f>
        <v>11.673914999999997</v>
      </c>
      <c r="V791" s="56">
        <f>(1000*CHOOSE(CONTROL!$C$42, 500, 500)*CHOOSE(CONTROL!$C$42, 0.275, 0.275)*CHOOSE(CONTROL!$C$42, 30, 30))/1000000</f>
        <v>4.125</v>
      </c>
      <c r="W791" s="56">
        <f>(1000*CHOOSE(CONTROL!$C$42, 0.1146, 0.1146)*CHOOSE(CONTROL!$C$42, 121.5, 121.5)*CHOOSE(CONTROL!$C$42, 30, 30))/1000000</f>
        <v>0.417717</v>
      </c>
      <c r="X791" s="56">
        <f>(30*0.1790888*100000/1000000)+(30*0.2374*100000/1000000)</f>
        <v>1.2494664</v>
      </c>
      <c r="Y791" s="56"/>
      <c r="Z791" s="14"/>
      <c r="AA791" s="55"/>
      <c r="AB791" s="49">
        <f>(B791*122.58+C791*297.941+D791*89.177+E791*40.302+F791*40+G791*160+H791*0+I791*100+J791*300)/(122.58+297.941+89.177+40.302+0+40+160+100+300)</f>
        <v>59.437008606260868</v>
      </c>
      <c r="AC791" s="45">
        <f>(M791*'RAP TEMPLATE-GAS AVAILABILITY'!O790+N791*'RAP TEMPLATE-GAS AVAILABILITY'!P790+O791*'RAP TEMPLATE-GAS AVAILABILITY'!Q790+P791*'RAP TEMPLATE-GAS AVAILABILITY'!R790)/('RAP TEMPLATE-GAS AVAILABILITY'!O790+'RAP TEMPLATE-GAS AVAILABILITY'!P790+'RAP TEMPLATE-GAS AVAILABILITY'!Q790+'RAP TEMPLATE-GAS AVAILABILITY'!R790)</f>
        <v>58.420796402877706</v>
      </c>
    </row>
    <row r="792" spans="1:29" ht="15.75" x14ac:dyDescent="0.25">
      <c r="A792" s="32">
        <v>65015</v>
      </c>
      <c r="B792" s="14">
        <f>CHOOSE(CONTROL!$C$42, 63.4429, 63.4429) * CHOOSE(CONTROL!$C$21, $C$9, 100%, $E$9)</f>
        <v>63.442900000000002</v>
      </c>
      <c r="C792" s="14">
        <f>CHOOSE(CONTROL!$C$42, 63.448, 63.448) * CHOOSE(CONTROL!$C$21, $C$9, 100%, $E$9)</f>
        <v>63.448</v>
      </c>
      <c r="D792" s="14">
        <f>CHOOSE(CONTROL!$C$42, 63.531, 63.531) * CHOOSE(CONTROL!$C$21, $C$9, 100%, $E$9)</f>
        <v>63.530999999999999</v>
      </c>
      <c r="E792" s="14">
        <f>CHOOSE(CONTROL!$C$42, 63.5652, 63.5652) * CHOOSE(CONTROL!$C$21, $C$9, 100%, $E$9)</f>
        <v>63.565199999999997</v>
      </c>
      <c r="F792" s="14">
        <f>CHOOSE(CONTROL!$C$42, 63.473, 63.473)*CHOOSE(CONTROL!$C$21, $C$9, 100%, $E$9)</f>
        <v>63.472999999999999</v>
      </c>
      <c r="G792" s="14">
        <f>CHOOSE(CONTROL!$C$42, 63.491, 63.491)*CHOOSE(CONTROL!$C$21, $C$9, 100%, $E$9)</f>
        <v>63.491</v>
      </c>
      <c r="H792" s="14">
        <f>CHOOSE(CONTROL!$C$42, 63.5543, 63.5543) * CHOOSE(CONTROL!$C$21, $C$9, 100%, $E$9)</f>
        <v>63.554299999999998</v>
      </c>
      <c r="I792" s="14">
        <f>CHOOSE(CONTROL!$C$42, 63.6612, 63.6612)* CHOOSE(CONTROL!$C$21, $C$9, 100%, $E$9)</f>
        <v>63.661200000000001</v>
      </c>
      <c r="J792" s="14">
        <f>CHOOSE(CONTROL!$C$42, 63.466, 63.466)* CHOOSE(CONTROL!$C$21, $C$9, 100%, $E$9)</f>
        <v>63.466000000000001</v>
      </c>
      <c r="K792" s="52">
        <f>CHOOSE(CONTROL!$C$42, 63.6574, 63.6574) * CHOOSE(CONTROL!$C$21, $C$9, 100%, $E$9)</f>
        <v>63.657400000000003</v>
      </c>
      <c r="L792" s="14">
        <f>CHOOSE(CONTROL!$C$42, 64.1413, 64.1413) * CHOOSE(CONTROL!$C$21, $C$9, 100%, $E$9)</f>
        <v>64.141300000000001</v>
      </c>
      <c r="M792" s="14">
        <f>CHOOSE(CONTROL!$C$42, 62.3321, 62.3321) * CHOOSE(CONTROL!$C$21, $C$9, 100%, $E$9)</f>
        <v>62.332099999999997</v>
      </c>
      <c r="N792" s="14">
        <f>CHOOSE(CONTROL!$C$42, 62.3498, 62.3498) * CHOOSE(CONTROL!$C$21, $C$9, 100%, $E$9)</f>
        <v>62.349800000000002</v>
      </c>
      <c r="O792" s="14">
        <f>CHOOSE(CONTROL!$C$42, 62.4189, 62.4189) * CHOOSE(CONTROL!$C$21, $C$9, 100%, $E$9)</f>
        <v>62.418900000000001</v>
      </c>
      <c r="P792" s="14">
        <f>CHOOSE(CONTROL!$C$42, 62.5204, 62.5204) * CHOOSE(CONTROL!$C$21, $C$9, 100%, $E$9)</f>
        <v>62.520400000000002</v>
      </c>
      <c r="Q792" s="14">
        <f>CHOOSE(CONTROL!$C$42, 63.0136, 63.0136) * CHOOSE(CONTROL!$C$21, $C$9, 100%, $E$9)</f>
        <v>63.013599999999997</v>
      </c>
      <c r="R792" s="14">
        <f>CHOOSE(CONTROL!$C$42, 63.7581, 63.7581) * CHOOSE(CONTROL!$C$21, $C$9, 100%, $E$9)</f>
        <v>63.758099999999999</v>
      </c>
      <c r="S792" s="14">
        <f>CHOOSE(CONTROL!$C$42, 60.9538, 60.9538) * CHOOSE(CONTROL!$C$21, $C$9, 100%, $E$9)</f>
        <v>60.953800000000001</v>
      </c>
      <c r="T79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92" s="56">
        <f>(1000*CHOOSE(CONTROL!$C$42, 695, 695)*CHOOSE(CONTROL!$C$42, 0.5599, 0.5599)*CHOOSE(CONTROL!$C$42, 31, 31))/1000000</f>
        <v>12.063045499999998</v>
      </c>
      <c r="V792" s="56">
        <f>(1000*CHOOSE(CONTROL!$C$42, 500, 500)*CHOOSE(CONTROL!$C$42, 0.275, 0.275)*CHOOSE(CONTROL!$C$42, 31, 31))/1000000</f>
        <v>4.2625000000000002</v>
      </c>
      <c r="W792" s="56">
        <f>(1000*CHOOSE(CONTROL!$C$42, 0.1146, 0.1146)*CHOOSE(CONTROL!$C$42, 121.5, 121.5)*CHOOSE(CONTROL!$C$42, 31, 31))/1000000</f>
        <v>0.43164089999999994</v>
      </c>
      <c r="X792" s="56">
        <f>(31*0.1790888*100000/1000000)+(31*0.2374*100000/1000000)</f>
        <v>1.2911152800000001</v>
      </c>
      <c r="Y792" s="56"/>
      <c r="Z792" s="14"/>
      <c r="AA792" s="55"/>
      <c r="AB792" s="49">
        <f>(B792*122.58+C792*297.941+D792*89.177+E792*40.302+F792*40+G792*160+H792*0+I792*100+J792*300)/(122.58+297.941+89.177+40.302+0+40+160+100+300)</f>
        <v>63.488086893391298</v>
      </c>
      <c r="AC792" s="45">
        <f>(M792*'RAP TEMPLATE-GAS AVAILABILITY'!O791+N792*'RAP TEMPLATE-GAS AVAILABILITY'!P791+O792*'RAP TEMPLATE-GAS AVAILABILITY'!Q791+P792*'RAP TEMPLATE-GAS AVAILABILITY'!R791)/('RAP TEMPLATE-GAS AVAILABILITY'!O791+'RAP TEMPLATE-GAS AVAILABILITY'!P791+'RAP TEMPLATE-GAS AVAILABILITY'!Q791+'RAP TEMPLATE-GAS AVAILABILITY'!R791)</f>
        <v>62.399553237410075</v>
      </c>
    </row>
    <row r="793" spans="1:29" ht="15.75" x14ac:dyDescent="0.25">
      <c r="A793" s="32">
        <v>65046</v>
      </c>
      <c r="B793" s="14">
        <f>CHOOSE(CONTROL!$C$42, 68.7016, 68.7016) * CHOOSE(CONTROL!$C$21, $C$9, 100%, $E$9)</f>
        <v>68.701599999999999</v>
      </c>
      <c r="C793" s="14">
        <f>CHOOSE(CONTROL!$C$42, 68.7067, 68.7067) * CHOOSE(CONTROL!$C$21, $C$9, 100%, $E$9)</f>
        <v>68.706699999999998</v>
      </c>
      <c r="D793" s="14">
        <f>CHOOSE(CONTROL!$C$42, 68.8001, 68.8001) * CHOOSE(CONTROL!$C$21, $C$9, 100%, $E$9)</f>
        <v>68.8001</v>
      </c>
      <c r="E793" s="14">
        <f>CHOOSE(CONTROL!$C$42, 68.8342, 68.8342) * CHOOSE(CONTROL!$C$21, $C$9, 100%, $E$9)</f>
        <v>68.834199999999996</v>
      </c>
      <c r="F793" s="14">
        <f>CHOOSE(CONTROL!$C$42, 68.7289, 68.7289)*CHOOSE(CONTROL!$C$21, $C$9, 100%, $E$9)</f>
        <v>68.728899999999996</v>
      </c>
      <c r="G793" s="14">
        <f>CHOOSE(CONTROL!$C$42, 68.7469, 68.7469)*CHOOSE(CONTROL!$C$21, $C$9, 100%, $E$9)</f>
        <v>68.746899999999997</v>
      </c>
      <c r="H793" s="14">
        <f>CHOOSE(CONTROL!$C$42, 68.8234, 68.8234) * CHOOSE(CONTROL!$C$21, $C$9, 100%, $E$9)</f>
        <v>68.823400000000007</v>
      </c>
      <c r="I793" s="14">
        <f>CHOOSE(CONTROL!$C$42, 68.9426, 68.9426)* CHOOSE(CONTROL!$C$21, $C$9, 100%, $E$9)</f>
        <v>68.942599999999999</v>
      </c>
      <c r="J793" s="14">
        <f>CHOOSE(CONTROL!$C$42, 68.7219, 68.7219)* CHOOSE(CONTROL!$C$21, $C$9, 100%, $E$9)</f>
        <v>68.721900000000005</v>
      </c>
      <c r="K793" s="52">
        <f>CHOOSE(CONTROL!$C$42, 68.9388, 68.9388) * CHOOSE(CONTROL!$C$21, $C$9, 100%, $E$9)</f>
        <v>68.938800000000001</v>
      </c>
      <c r="L793" s="14">
        <f>CHOOSE(CONTROL!$C$42, 69.4104, 69.4104) * CHOOSE(CONTROL!$C$21, $C$9, 100%, $E$9)</f>
        <v>69.410399999999996</v>
      </c>
      <c r="M793" s="14">
        <f>CHOOSE(CONTROL!$C$42, 67.4935, 67.4935) * CHOOSE(CONTROL!$C$21, $C$9, 100%, $E$9)</f>
        <v>67.493499999999997</v>
      </c>
      <c r="N793" s="14">
        <f>CHOOSE(CONTROL!$C$42, 67.5112, 67.5112) * CHOOSE(CONTROL!$C$21, $C$9, 100%, $E$9)</f>
        <v>67.511200000000002</v>
      </c>
      <c r="O793" s="14">
        <f>CHOOSE(CONTROL!$C$42, 67.5932, 67.5932) * CHOOSE(CONTROL!$C$21, $C$9, 100%, $E$9)</f>
        <v>67.593199999999996</v>
      </c>
      <c r="P793" s="14">
        <f>CHOOSE(CONTROL!$C$42, 67.7065, 67.7065) * CHOOSE(CONTROL!$C$21, $C$9, 100%, $E$9)</f>
        <v>67.706500000000005</v>
      </c>
      <c r="Q793" s="14">
        <f>CHOOSE(CONTROL!$C$42, 68.1879, 68.1879) * CHOOSE(CONTROL!$C$21, $C$9, 100%, $E$9)</f>
        <v>68.187899999999999</v>
      </c>
      <c r="R793" s="14">
        <f>CHOOSE(CONTROL!$C$42, 68.9454, 68.9454) * CHOOSE(CONTROL!$C$21, $C$9, 100%, $E$9)</f>
        <v>68.945400000000006</v>
      </c>
      <c r="S793" s="14">
        <f>CHOOSE(CONTROL!$C$42, 66.0068, 66.0068) * CHOOSE(CONTROL!$C$21, $C$9, 100%, $E$9)</f>
        <v>66.006799999999998</v>
      </c>
      <c r="T79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93" s="56">
        <f>(1000*CHOOSE(CONTROL!$C$42, 695, 695)*CHOOSE(CONTROL!$C$42, 0.5599, 0.5599)*CHOOSE(CONTROL!$C$42, 31, 31))/1000000</f>
        <v>12.063045499999998</v>
      </c>
      <c r="V793" s="56">
        <f>(1000*CHOOSE(CONTROL!$C$42, 500, 500)*CHOOSE(CONTROL!$C$42, 0.275, 0.275)*CHOOSE(CONTROL!$C$42, 31, 31))/1000000</f>
        <v>4.2625000000000002</v>
      </c>
      <c r="W793" s="56">
        <f>(1000*CHOOSE(CONTROL!$C$42, 0.1146, 0.1146)*CHOOSE(CONTROL!$C$42, 121.5, 121.5)*CHOOSE(CONTROL!$C$42, 31, 31))/1000000</f>
        <v>0.43164089999999994</v>
      </c>
      <c r="X793" s="56">
        <f>(31*0.1790888*100000/1000000)+(31*0.2374*100000/1000000)</f>
        <v>1.2911152800000001</v>
      </c>
      <c r="Y793" s="56"/>
      <c r="Z793" s="14"/>
      <c r="AA793" s="55"/>
      <c r="AB793" s="49">
        <f>(B793*122.58+C793*297.941+D793*89.177+E793*40.302+F793*40+G793*160+H793*0+I793*100+J793*300)/(122.58+297.941+89.177+40.302+0+40+160+100+300)</f>
        <v>68.74871085113044</v>
      </c>
      <c r="AC793" s="45">
        <f>(M793*'RAP TEMPLATE-GAS AVAILABILITY'!O792+N793*'RAP TEMPLATE-GAS AVAILABILITY'!P792+O793*'RAP TEMPLATE-GAS AVAILABILITY'!Q792+P793*'RAP TEMPLATE-GAS AVAILABILITY'!R792)/('RAP TEMPLATE-GAS AVAILABILITY'!O792+'RAP TEMPLATE-GAS AVAILABILITY'!P792+'RAP TEMPLATE-GAS AVAILABILITY'!Q792+'RAP TEMPLATE-GAS AVAILABILITY'!R792)</f>
        <v>67.570353956834538</v>
      </c>
    </row>
    <row r="794" spans="1:29" ht="15.75" x14ac:dyDescent="0.25">
      <c r="A794" s="32">
        <v>65074</v>
      </c>
      <c r="B794" s="14">
        <f>CHOOSE(CONTROL!$C$42, 69.9244, 69.9244) * CHOOSE(CONTROL!$C$21, $C$9, 100%, $E$9)</f>
        <v>69.924400000000006</v>
      </c>
      <c r="C794" s="14">
        <f>CHOOSE(CONTROL!$C$42, 69.9295, 69.9295) * CHOOSE(CONTROL!$C$21, $C$9, 100%, $E$9)</f>
        <v>69.929500000000004</v>
      </c>
      <c r="D794" s="14">
        <f>CHOOSE(CONTROL!$C$42, 70.0229, 70.0229) * CHOOSE(CONTROL!$C$21, $C$9, 100%, $E$9)</f>
        <v>70.022900000000007</v>
      </c>
      <c r="E794" s="14">
        <f>CHOOSE(CONTROL!$C$42, 70.0571, 70.0571) * CHOOSE(CONTROL!$C$21, $C$9, 100%, $E$9)</f>
        <v>70.057100000000005</v>
      </c>
      <c r="F794" s="14">
        <f>CHOOSE(CONTROL!$C$42, 69.9514, 69.9514)*CHOOSE(CONTROL!$C$21, $C$9, 100%, $E$9)</f>
        <v>69.951400000000007</v>
      </c>
      <c r="G794" s="14">
        <f>CHOOSE(CONTROL!$C$42, 69.9692, 69.9692)*CHOOSE(CONTROL!$C$21, $C$9, 100%, $E$9)</f>
        <v>69.969200000000001</v>
      </c>
      <c r="H794" s="14">
        <f>CHOOSE(CONTROL!$C$42, 70.0462, 70.0462) * CHOOSE(CONTROL!$C$21, $C$9, 100%, $E$9)</f>
        <v>70.046199999999999</v>
      </c>
      <c r="I794" s="14">
        <f>CHOOSE(CONTROL!$C$42, 70.1693, 70.1693)* CHOOSE(CONTROL!$C$21, $C$9, 100%, $E$9)</f>
        <v>70.169300000000007</v>
      </c>
      <c r="J794" s="14">
        <f>CHOOSE(CONTROL!$C$42, 69.9444, 69.9444)* CHOOSE(CONTROL!$C$21, $C$9, 100%, $E$9)</f>
        <v>69.944400000000002</v>
      </c>
      <c r="K794" s="52">
        <f>CHOOSE(CONTROL!$C$42, 70.1654, 70.1654) * CHOOSE(CONTROL!$C$21, $C$9, 100%, $E$9)</f>
        <v>70.165400000000005</v>
      </c>
      <c r="L794" s="14">
        <f>CHOOSE(CONTROL!$C$42, 70.6332, 70.6332) * CHOOSE(CONTROL!$C$21, $C$9, 100%, $E$9)</f>
        <v>70.633200000000002</v>
      </c>
      <c r="M794" s="14">
        <f>CHOOSE(CONTROL!$C$42, 68.694, 68.694) * CHOOSE(CONTROL!$C$21, $C$9, 100%, $E$9)</f>
        <v>68.694000000000003</v>
      </c>
      <c r="N794" s="14">
        <f>CHOOSE(CONTROL!$C$42, 68.7115, 68.7115) * CHOOSE(CONTROL!$C$21, $C$9, 100%, $E$9)</f>
        <v>68.711500000000001</v>
      </c>
      <c r="O794" s="14">
        <f>CHOOSE(CONTROL!$C$42, 68.794, 68.794) * CHOOSE(CONTROL!$C$21, $C$9, 100%, $E$9)</f>
        <v>68.793999999999997</v>
      </c>
      <c r="P794" s="14">
        <f>CHOOSE(CONTROL!$C$42, 68.9111, 68.9111) * CHOOSE(CONTROL!$C$21, $C$9, 100%, $E$9)</f>
        <v>68.911100000000005</v>
      </c>
      <c r="Q794" s="14">
        <f>CHOOSE(CONTROL!$C$42, 69.3887, 69.3887) * CHOOSE(CONTROL!$C$21, $C$9, 100%, $E$9)</f>
        <v>69.3887</v>
      </c>
      <c r="R794" s="14">
        <f>CHOOSE(CONTROL!$C$42, 70.1492, 70.1492) * CHOOSE(CONTROL!$C$21, $C$9, 100%, $E$9)</f>
        <v>70.149199999999993</v>
      </c>
      <c r="S794" s="14">
        <f>CHOOSE(CONTROL!$C$42, 67.1818, 67.1818) * CHOOSE(CONTROL!$C$21, $C$9, 100%, $E$9)</f>
        <v>67.181799999999996</v>
      </c>
      <c r="T79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94" s="56">
        <f>(1000*CHOOSE(CONTROL!$C$42, 695, 695)*CHOOSE(CONTROL!$C$42, 0.5599, 0.5599)*CHOOSE(CONTROL!$C$42, 28, 28))/1000000</f>
        <v>10.895653999999999</v>
      </c>
      <c r="V794" s="56">
        <f>(1000*CHOOSE(CONTROL!$C$42, 500, 500)*CHOOSE(CONTROL!$C$42, 0.275, 0.275)*CHOOSE(CONTROL!$C$42, 28, 28))/1000000</f>
        <v>3.85</v>
      </c>
      <c r="W794" s="56">
        <f>(1000*CHOOSE(CONTROL!$C$42, 0.1146, 0.1146)*CHOOSE(CONTROL!$C$42, 121.5, 121.5)*CHOOSE(CONTROL!$C$42, 28, 28))/1000000</f>
        <v>0.38986920000000003</v>
      </c>
      <c r="X794" s="56">
        <f>(28*0.1790888*100000/1000000)+(28*0.2374*100000/1000000)</f>
        <v>1.16616864</v>
      </c>
      <c r="Y794" s="56"/>
      <c r="Z794" s="14"/>
      <c r="AA794" s="55"/>
      <c r="AB794" s="49">
        <f>(B794*122.58+C794*297.941+D794*89.177+E794*40.302+F794*40+G794*160+H794*0+I794*100+J794*300)/(122.58+297.941+89.177+40.302+0+40+160+100+300)</f>
        <v>69.971695225217402</v>
      </c>
      <c r="AC794" s="45">
        <f>(M794*'RAP TEMPLATE-GAS AVAILABILITY'!O793+N794*'RAP TEMPLATE-GAS AVAILABILITY'!P793+O794*'RAP TEMPLATE-GAS AVAILABILITY'!Q793+P794*'RAP TEMPLATE-GAS AVAILABILITY'!R793)/('RAP TEMPLATE-GAS AVAILABILITY'!O793+'RAP TEMPLATE-GAS AVAILABILITY'!P793+'RAP TEMPLATE-GAS AVAILABILITY'!Q793+'RAP TEMPLATE-GAS AVAILABILITY'!R793)</f>
        <v>68.771568345323743</v>
      </c>
    </row>
    <row r="795" spans="1:29" ht="15.75" x14ac:dyDescent="0.25">
      <c r="A795" s="32">
        <v>65105</v>
      </c>
      <c r="B795" s="14">
        <f>CHOOSE(CONTROL!$C$42, 67.9395, 67.9395) * CHOOSE(CONTROL!$C$21, $C$9, 100%, $E$9)</f>
        <v>67.939499999999995</v>
      </c>
      <c r="C795" s="14">
        <f>CHOOSE(CONTROL!$C$42, 67.9445, 67.9445) * CHOOSE(CONTROL!$C$21, $C$9, 100%, $E$9)</f>
        <v>67.944500000000005</v>
      </c>
      <c r="D795" s="14">
        <f>CHOOSE(CONTROL!$C$42, 68.038, 68.038) * CHOOSE(CONTROL!$C$21, $C$9, 100%, $E$9)</f>
        <v>68.037999999999997</v>
      </c>
      <c r="E795" s="14">
        <f>CHOOSE(CONTROL!$C$42, 68.0721, 68.0721) * CHOOSE(CONTROL!$C$21, $C$9, 100%, $E$9)</f>
        <v>68.072100000000006</v>
      </c>
      <c r="F795" s="14">
        <f>CHOOSE(CONTROL!$C$42, 67.9656, 67.9656)*CHOOSE(CONTROL!$C$21, $C$9, 100%, $E$9)</f>
        <v>67.965599999999995</v>
      </c>
      <c r="G795" s="14">
        <f>CHOOSE(CONTROL!$C$42, 67.9832, 67.9832)*CHOOSE(CONTROL!$C$21, $C$9, 100%, $E$9)</f>
        <v>67.983199999999997</v>
      </c>
      <c r="H795" s="14">
        <f>CHOOSE(CONTROL!$C$42, 68.0613, 68.0613) * CHOOSE(CONTROL!$C$21, $C$9, 100%, $E$9)</f>
        <v>68.061300000000003</v>
      </c>
      <c r="I795" s="14">
        <f>CHOOSE(CONTROL!$C$42, 68.1781, 68.1781)* CHOOSE(CONTROL!$C$21, $C$9, 100%, $E$9)</f>
        <v>68.178100000000001</v>
      </c>
      <c r="J795" s="14">
        <f>CHOOSE(CONTROL!$C$42, 67.9586, 67.9586)* CHOOSE(CONTROL!$C$21, $C$9, 100%, $E$9)</f>
        <v>67.958600000000004</v>
      </c>
      <c r="K795" s="52">
        <f>CHOOSE(CONTROL!$C$42, 68.1743, 68.1743) * CHOOSE(CONTROL!$C$21, $C$9, 100%, $E$9)</f>
        <v>68.174300000000002</v>
      </c>
      <c r="L795" s="14">
        <f>CHOOSE(CONTROL!$C$42, 68.6483, 68.6483) * CHOOSE(CONTROL!$C$21, $C$9, 100%, $E$9)</f>
        <v>68.648300000000006</v>
      </c>
      <c r="M795" s="14">
        <f>CHOOSE(CONTROL!$C$42, 66.7439, 66.7439) * CHOOSE(CONTROL!$C$21, $C$9, 100%, $E$9)</f>
        <v>66.743899999999996</v>
      </c>
      <c r="N795" s="14">
        <f>CHOOSE(CONTROL!$C$42, 66.7612, 66.7612) * CHOOSE(CONTROL!$C$21, $C$9, 100%, $E$9)</f>
        <v>66.761200000000002</v>
      </c>
      <c r="O795" s="14">
        <f>CHOOSE(CONTROL!$C$42, 66.8448, 66.8448) * CHOOSE(CONTROL!$C$21, $C$9, 100%, $E$9)</f>
        <v>66.844800000000006</v>
      </c>
      <c r="P795" s="14">
        <f>CHOOSE(CONTROL!$C$42, 66.9558, 66.9558) * CHOOSE(CONTROL!$C$21, $C$9, 100%, $E$9)</f>
        <v>66.955799999999996</v>
      </c>
      <c r="Q795" s="14">
        <f>CHOOSE(CONTROL!$C$42, 67.4395, 67.4395) * CHOOSE(CONTROL!$C$21, $C$9, 100%, $E$9)</f>
        <v>67.439499999999995</v>
      </c>
      <c r="R795" s="14">
        <f>CHOOSE(CONTROL!$C$42, 68.1951, 68.1951) * CHOOSE(CONTROL!$C$21, $C$9, 100%, $E$9)</f>
        <v>68.195099999999996</v>
      </c>
      <c r="S795" s="14">
        <f>CHOOSE(CONTROL!$C$42, 65.2745, 65.2745) * CHOOSE(CONTROL!$C$21, $C$9, 100%, $E$9)</f>
        <v>65.274500000000003</v>
      </c>
      <c r="T79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95" s="56">
        <f>(1000*CHOOSE(CONTROL!$C$42, 695, 695)*CHOOSE(CONTROL!$C$42, 0.5599, 0.5599)*CHOOSE(CONTROL!$C$42, 31, 31))/1000000</f>
        <v>12.063045499999998</v>
      </c>
      <c r="V795" s="56">
        <f>(1000*CHOOSE(CONTROL!$C$42, 500, 500)*CHOOSE(CONTROL!$C$42, 0.275, 0.275)*CHOOSE(CONTROL!$C$42, 31, 31))/1000000</f>
        <v>4.2625000000000002</v>
      </c>
      <c r="W795" s="56">
        <f>(1000*CHOOSE(CONTROL!$C$42, 0.1146, 0.1146)*CHOOSE(CONTROL!$C$42, 121.5, 121.5)*CHOOSE(CONTROL!$C$42, 31, 31))/1000000</f>
        <v>0.43164089999999994</v>
      </c>
      <c r="X795" s="56">
        <f>(31*0.1790888*100000/1000000)+(31*0.2374*100000/1000000)</f>
        <v>1.2911152800000001</v>
      </c>
      <c r="Y795" s="56"/>
      <c r="Z795" s="14"/>
      <c r="AA795" s="55"/>
      <c r="AB795" s="49">
        <f>(B795*122.58+C795*297.941+D795*89.177+E795*40.302+F795*40+G795*160+H795*0+I795*100+J795*300)/(122.58+297.941+89.177+40.302+0+40+160+100+300)</f>
        <v>67.985798856260871</v>
      </c>
      <c r="AC795" s="45">
        <f>(M795*'RAP TEMPLATE-GAS AVAILABILITY'!O794+N795*'RAP TEMPLATE-GAS AVAILABILITY'!P794+O795*'RAP TEMPLATE-GAS AVAILABILITY'!Q794+P795*'RAP TEMPLATE-GAS AVAILABILITY'!R794)/('RAP TEMPLATE-GAS AVAILABILITY'!O794+'RAP TEMPLATE-GAS AVAILABILITY'!P794+'RAP TEMPLATE-GAS AVAILABILITY'!Q794+'RAP TEMPLATE-GAS AVAILABILITY'!R794)</f>
        <v>66.821116546762596</v>
      </c>
    </row>
    <row r="796" spans="1:29" ht="15.75" x14ac:dyDescent="0.25">
      <c r="A796" s="32">
        <v>65135</v>
      </c>
      <c r="B796" s="14">
        <f>CHOOSE(CONTROL!$C$42, 67.7371, 67.7371) * CHOOSE(CONTROL!$C$21, $C$9, 100%, $E$9)</f>
        <v>67.737099999999998</v>
      </c>
      <c r="C796" s="14">
        <f>CHOOSE(CONTROL!$C$42, 67.7416, 67.7416) * CHOOSE(CONTROL!$C$21, $C$9, 100%, $E$9)</f>
        <v>67.741600000000005</v>
      </c>
      <c r="D796" s="14">
        <f>CHOOSE(CONTROL!$C$42, 68.0038, 68.0038) * CHOOSE(CONTROL!$C$21, $C$9, 100%, $E$9)</f>
        <v>68.003799999999998</v>
      </c>
      <c r="E796" s="14">
        <f>CHOOSE(CONTROL!$C$42, 68.0359, 68.0359) * CHOOSE(CONTROL!$C$21, $C$9, 100%, $E$9)</f>
        <v>68.035899999999998</v>
      </c>
      <c r="F796" s="14">
        <f>CHOOSE(CONTROL!$C$42, 67.7599, 67.7599)*CHOOSE(CONTROL!$C$21, $C$9, 100%, $E$9)</f>
        <v>67.759900000000002</v>
      </c>
      <c r="G796" s="14">
        <f>CHOOSE(CONTROL!$C$42, 67.7766, 67.7766)*CHOOSE(CONTROL!$C$21, $C$9, 100%, $E$9)</f>
        <v>67.776600000000002</v>
      </c>
      <c r="H796" s="14">
        <f>CHOOSE(CONTROL!$C$42, 68.0257, 68.0257) * CHOOSE(CONTROL!$C$21, $C$9, 100%, $E$9)</f>
        <v>68.025700000000001</v>
      </c>
      <c r="I796" s="14">
        <f>CHOOSE(CONTROL!$C$42, 67.9717, 67.9717)* CHOOSE(CONTROL!$C$21, $C$9, 100%, $E$9)</f>
        <v>67.971699999999998</v>
      </c>
      <c r="J796" s="14">
        <f>CHOOSE(CONTROL!$C$42, 67.7529, 67.7529)* CHOOSE(CONTROL!$C$21, $C$9, 100%, $E$9)</f>
        <v>67.752899999999997</v>
      </c>
      <c r="K796" s="52">
        <f>CHOOSE(CONTROL!$C$42, 67.9678, 67.9678) * CHOOSE(CONTROL!$C$21, $C$9, 100%, $E$9)</f>
        <v>67.967799999999997</v>
      </c>
      <c r="L796" s="14">
        <f>CHOOSE(CONTROL!$C$42, 68.6127, 68.6127) * CHOOSE(CONTROL!$C$21, $C$9, 100%, $E$9)</f>
        <v>68.612700000000004</v>
      </c>
      <c r="M796" s="14">
        <f>CHOOSE(CONTROL!$C$42, 66.542, 66.542) * CHOOSE(CONTROL!$C$21, $C$9, 100%, $E$9)</f>
        <v>66.542000000000002</v>
      </c>
      <c r="N796" s="14">
        <f>CHOOSE(CONTROL!$C$42, 66.5584, 66.5584) * CHOOSE(CONTROL!$C$21, $C$9, 100%, $E$9)</f>
        <v>66.558400000000006</v>
      </c>
      <c r="O796" s="14">
        <f>CHOOSE(CONTROL!$C$42, 66.8098, 66.8098) * CHOOSE(CONTROL!$C$21, $C$9, 100%, $E$9)</f>
        <v>66.809799999999996</v>
      </c>
      <c r="P796" s="14">
        <f>CHOOSE(CONTROL!$C$42, 66.7531, 66.7531) * CHOOSE(CONTROL!$C$21, $C$9, 100%, $E$9)</f>
        <v>66.753100000000003</v>
      </c>
      <c r="Q796" s="14">
        <f>CHOOSE(CONTROL!$C$42, 67.4045, 67.4045) * CHOOSE(CONTROL!$C$21, $C$9, 100%, $E$9)</f>
        <v>67.404499999999999</v>
      </c>
      <c r="R796" s="14">
        <f>CHOOSE(CONTROL!$C$42, 68.16, 68.16) * CHOOSE(CONTROL!$C$21, $C$9, 100%, $E$9)</f>
        <v>68.16</v>
      </c>
      <c r="S796" s="14">
        <f>CHOOSE(CONTROL!$C$42, 65.0793, 65.0793) * CHOOSE(CONTROL!$C$21, $C$9, 100%, $E$9)</f>
        <v>65.079300000000003</v>
      </c>
      <c r="T79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96" s="56">
        <f>(1000*CHOOSE(CONTROL!$C$42, 695, 695)*CHOOSE(CONTROL!$C$42, 0.5599, 0.5599)*CHOOSE(CONTROL!$C$42, 30, 30))/1000000</f>
        <v>11.673914999999997</v>
      </c>
      <c r="V796" s="56">
        <f>(1000*CHOOSE(CONTROL!$C$42, 500, 500)*CHOOSE(CONTROL!$C$42, 0.275, 0.275)*CHOOSE(CONTROL!$C$42, 30, 30))/1000000</f>
        <v>4.125</v>
      </c>
      <c r="W796" s="56">
        <f>(1000*CHOOSE(CONTROL!$C$42, 0.1146, 0.1146)*CHOOSE(CONTROL!$C$42, 121.5, 121.5)*CHOOSE(CONTROL!$C$42, 30, 30))/1000000</f>
        <v>0.417717</v>
      </c>
      <c r="X796" s="56">
        <f>(30*0.1790888*245000/1000000)+(30*0.2374*100000/1000000)</f>
        <v>2.0285026799999999</v>
      </c>
      <c r="Y796" s="56"/>
      <c r="Z796" s="14"/>
      <c r="AA796" s="55"/>
      <c r="AB796" s="49">
        <f>(B796*141.293+C796*267.993+D796*115.016+E796*89.698+F796*40+G796*185+H796*0+I796*100+J796*300)/(141.293+267.993+115.016+89.698+0+40+185+100+300)</f>
        <v>67.813857060613401</v>
      </c>
      <c r="AC796" s="45">
        <f>(M796*'RAP TEMPLATE-GAS AVAILABILITY'!O795+N796*'RAP TEMPLATE-GAS AVAILABILITY'!P795+O796*'RAP TEMPLATE-GAS AVAILABILITY'!Q795+P796*'RAP TEMPLATE-GAS AVAILABILITY'!R795)/('RAP TEMPLATE-GAS AVAILABILITY'!O795+'RAP TEMPLATE-GAS AVAILABILITY'!P795+'RAP TEMPLATE-GAS AVAILABILITY'!Q795+'RAP TEMPLATE-GAS AVAILABILITY'!R795)</f>
        <v>66.69469496402877</v>
      </c>
    </row>
    <row r="797" spans="1:29" ht="15.75" x14ac:dyDescent="0.25">
      <c r="A797" s="32">
        <v>65166</v>
      </c>
      <c r="B797" s="14">
        <f>CHOOSE(CONTROL!$C$42, 68.3363, 68.3363) * CHOOSE(CONTROL!$C$21, $C$9, 100%, $E$9)</f>
        <v>68.336299999999994</v>
      </c>
      <c r="C797" s="14">
        <f>CHOOSE(CONTROL!$C$42, 68.3443, 68.3443) * CHOOSE(CONTROL!$C$21, $C$9, 100%, $E$9)</f>
        <v>68.344300000000004</v>
      </c>
      <c r="D797" s="14">
        <f>CHOOSE(CONTROL!$C$42, 68.6034, 68.6034) * CHOOSE(CONTROL!$C$21, $C$9, 100%, $E$9)</f>
        <v>68.603399999999993</v>
      </c>
      <c r="E797" s="14">
        <f>CHOOSE(CONTROL!$C$42, 68.6348, 68.6348) * CHOOSE(CONTROL!$C$21, $C$9, 100%, $E$9)</f>
        <v>68.634799999999998</v>
      </c>
      <c r="F797" s="14">
        <f>CHOOSE(CONTROL!$C$42, 68.3578, 68.3578)*CHOOSE(CONTROL!$C$21, $C$9, 100%, $E$9)</f>
        <v>68.357799999999997</v>
      </c>
      <c r="G797" s="14">
        <f>CHOOSE(CONTROL!$C$42, 68.3747, 68.3747)*CHOOSE(CONTROL!$C$21, $C$9, 100%, $E$9)</f>
        <v>68.374700000000004</v>
      </c>
      <c r="H797" s="14">
        <f>CHOOSE(CONTROL!$C$42, 68.6235, 68.6235) * CHOOSE(CONTROL!$C$21, $C$9, 100%, $E$9)</f>
        <v>68.623500000000007</v>
      </c>
      <c r="I797" s="14">
        <f>CHOOSE(CONTROL!$C$42, 68.5714, 68.5714)* CHOOSE(CONTROL!$C$21, $C$9, 100%, $E$9)</f>
        <v>68.571399999999997</v>
      </c>
      <c r="J797" s="14">
        <f>CHOOSE(CONTROL!$C$42, 68.3508, 68.3508)* CHOOSE(CONTROL!$C$21, $C$9, 100%, $E$9)</f>
        <v>68.350800000000007</v>
      </c>
      <c r="K797" s="52">
        <f>CHOOSE(CONTROL!$C$42, 68.5675, 68.5675) * CHOOSE(CONTROL!$C$21, $C$9, 100%, $E$9)</f>
        <v>68.567499999999995</v>
      </c>
      <c r="L797" s="14">
        <f>CHOOSE(CONTROL!$C$42, 69.2105, 69.2105) * CHOOSE(CONTROL!$C$21, $C$9, 100%, $E$9)</f>
        <v>69.210499999999996</v>
      </c>
      <c r="M797" s="14">
        <f>CHOOSE(CONTROL!$C$42, 67.1291, 67.1291) * CHOOSE(CONTROL!$C$21, $C$9, 100%, $E$9)</f>
        <v>67.129099999999994</v>
      </c>
      <c r="N797" s="14">
        <f>CHOOSE(CONTROL!$C$42, 67.1457, 67.1457) * CHOOSE(CONTROL!$C$21, $C$9, 100%, $E$9)</f>
        <v>67.145700000000005</v>
      </c>
      <c r="O797" s="14">
        <f>CHOOSE(CONTROL!$C$42, 67.3968, 67.3968) * CHOOSE(CONTROL!$C$21, $C$9, 100%, $E$9)</f>
        <v>67.396799999999999</v>
      </c>
      <c r="P797" s="14">
        <f>CHOOSE(CONTROL!$C$42, 67.342, 67.342) * CHOOSE(CONTROL!$C$21, $C$9, 100%, $E$9)</f>
        <v>67.341999999999999</v>
      </c>
      <c r="Q797" s="14">
        <f>CHOOSE(CONTROL!$C$42, 67.9915, 67.9915) * CHOOSE(CONTROL!$C$21, $C$9, 100%, $E$9)</f>
        <v>67.991500000000002</v>
      </c>
      <c r="R797" s="14">
        <f>CHOOSE(CONTROL!$C$42, 68.7485, 68.7485) * CHOOSE(CONTROL!$C$21, $C$9, 100%, $E$9)</f>
        <v>68.748500000000007</v>
      </c>
      <c r="S797" s="14">
        <f>CHOOSE(CONTROL!$C$42, 65.6537, 65.6537) * CHOOSE(CONTROL!$C$21, $C$9, 100%, $E$9)</f>
        <v>65.653700000000001</v>
      </c>
      <c r="T79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97" s="56">
        <f>(1000*CHOOSE(CONTROL!$C$42, 695, 695)*CHOOSE(CONTROL!$C$42, 0.5599, 0.5599)*CHOOSE(CONTROL!$C$42, 31, 31))/1000000</f>
        <v>12.063045499999998</v>
      </c>
      <c r="V797" s="56">
        <f>(1000*CHOOSE(CONTROL!$C$42, 500, 500)*CHOOSE(CONTROL!$C$42, 0.275, 0.275)*CHOOSE(CONTROL!$C$42, 31, 31))/1000000</f>
        <v>4.2625000000000002</v>
      </c>
      <c r="W797" s="56">
        <f>(1000*CHOOSE(CONTROL!$C$42, 0.1146, 0.1146)*CHOOSE(CONTROL!$C$42, 121.5, 121.5)*CHOOSE(CONTROL!$C$42, 31, 31))/1000000</f>
        <v>0.43164089999999994</v>
      </c>
      <c r="X797" s="56">
        <f>(31*0.1790888*245000/1000000)+(31*0.2374*100000/1000000)</f>
        <v>2.0961194359999999</v>
      </c>
      <c r="Y797" s="56"/>
      <c r="Z797" s="14"/>
      <c r="AA797" s="55"/>
      <c r="AB797" s="49">
        <f>(B797*194.205+C797*267.466+D797*133.845+E797*53.484+F797*40+G797*185+H797*0+I797*100+J797*300)/(194.205+267.466+133.845+53.484+0+40+185+100+300)</f>
        <v>68.406691445447422</v>
      </c>
      <c r="AC797" s="45">
        <f>(M797*'RAP TEMPLATE-GAS AVAILABILITY'!O796+N797*'RAP TEMPLATE-GAS AVAILABILITY'!P796+O797*'RAP TEMPLATE-GAS AVAILABILITY'!Q796+P797*'RAP TEMPLATE-GAS AVAILABILITY'!R796)/('RAP TEMPLATE-GAS AVAILABILITY'!O796+'RAP TEMPLATE-GAS AVAILABILITY'!P796+'RAP TEMPLATE-GAS AVAILABILITY'!Q796+'RAP TEMPLATE-GAS AVAILABILITY'!R796)</f>
        <v>67.282020143884878</v>
      </c>
    </row>
    <row r="798" spans="1:29" ht="15.75" x14ac:dyDescent="0.25">
      <c r="A798" s="32">
        <v>65196</v>
      </c>
      <c r="B798" s="14">
        <f>CHOOSE(CONTROL!$C$42, 70.2744, 70.2744) * CHOOSE(CONTROL!$C$21, $C$9, 100%, $E$9)</f>
        <v>70.2744</v>
      </c>
      <c r="C798" s="14">
        <f>CHOOSE(CONTROL!$C$42, 70.2824, 70.2824) * CHOOSE(CONTROL!$C$21, $C$9, 100%, $E$9)</f>
        <v>70.282399999999996</v>
      </c>
      <c r="D798" s="14">
        <f>CHOOSE(CONTROL!$C$42, 70.5415, 70.5415) * CHOOSE(CONTROL!$C$21, $C$9, 100%, $E$9)</f>
        <v>70.541499999999999</v>
      </c>
      <c r="E798" s="14">
        <f>CHOOSE(CONTROL!$C$42, 70.5729, 70.5729) * CHOOSE(CONTROL!$C$21, $C$9, 100%, $E$9)</f>
        <v>70.572900000000004</v>
      </c>
      <c r="F798" s="14">
        <f>CHOOSE(CONTROL!$C$42, 70.2961, 70.2961)*CHOOSE(CONTROL!$C$21, $C$9, 100%, $E$9)</f>
        <v>70.296099999999996</v>
      </c>
      <c r="G798" s="14">
        <f>CHOOSE(CONTROL!$C$42, 70.3132, 70.3132)*CHOOSE(CONTROL!$C$21, $C$9, 100%, $E$9)</f>
        <v>70.313199999999995</v>
      </c>
      <c r="H798" s="14">
        <f>CHOOSE(CONTROL!$C$42, 70.5616, 70.5616) * CHOOSE(CONTROL!$C$21, $C$9, 100%, $E$9)</f>
        <v>70.561599999999999</v>
      </c>
      <c r="I798" s="14">
        <f>CHOOSE(CONTROL!$C$42, 70.5156, 70.5156)* CHOOSE(CONTROL!$C$21, $C$9, 100%, $E$9)</f>
        <v>70.515600000000006</v>
      </c>
      <c r="J798" s="14">
        <f>CHOOSE(CONTROL!$C$42, 70.2891, 70.2891)* CHOOSE(CONTROL!$C$21, $C$9, 100%, $E$9)</f>
        <v>70.289100000000005</v>
      </c>
      <c r="K798" s="52">
        <f>CHOOSE(CONTROL!$C$42, 70.5117, 70.5117) * CHOOSE(CONTROL!$C$21, $C$9, 100%, $E$9)</f>
        <v>70.511700000000005</v>
      </c>
      <c r="L798" s="14">
        <f>CHOOSE(CONTROL!$C$42, 71.1486, 71.1486) * CHOOSE(CONTROL!$C$21, $C$9, 100%, $E$9)</f>
        <v>71.148600000000002</v>
      </c>
      <c r="M798" s="14">
        <f>CHOOSE(CONTROL!$C$42, 69.0326, 69.0326) * CHOOSE(CONTROL!$C$21, $C$9, 100%, $E$9)</f>
        <v>69.032600000000002</v>
      </c>
      <c r="N798" s="14">
        <f>CHOOSE(CONTROL!$C$42, 69.0493, 69.0493) * CHOOSE(CONTROL!$C$21, $C$9, 100%, $E$9)</f>
        <v>69.049300000000002</v>
      </c>
      <c r="O798" s="14">
        <f>CHOOSE(CONTROL!$C$42, 69.3001, 69.3001) * CHOOSE(CONTROL!$C$21, $C$9, 100%, $E$9)</f>
        <v>69.3001</v>
      </c>
      <c r="P798" s="14">
        <f>CHOOSE(CONTROL!$C$42, 69.2511, 69.2511) * CHOOSE(CONTROL!$C$21, $C$9, 100%, $E$9)</f>
        <v>69.251099999999994</v>
      </c>
      <c r="Q798" s="14">
        <f>CHOOSE(CONTROL!$C$42, 69.8948, 69.8948) * CHOOSE(CONTROL!$C$21, $C$9, 100%, $E$9)</f>
        <v>69.894800000000004</v>
      </c>
      <c r="R798" s="14">
        <f>CHOOSE(CONTROL!$C$42, 70.6565, 70.6565) * CHOOSE(CONTROL!$C$21, $C$9, 100%, $E$9)</f>
        <v>70.656499999999994</v>
      </c>
      <c r="S798" s="14">
        <f>CHOOSE(CONTROL!$C$42, 67.516, 67.516) * CHOOSE(CONTROL!$C$21, $C$9, 100%, $E$9)</f>
        <v>67.516000000000005</v>
      </c>
      <c r="T79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98" s="56">
        <f>(1000*CHOOSE(CONTROL!$C$42, 695, 695)*CHOOSE(CONTROL!$C$42, 0.5599, 0.5599)*CHOOSE(CONTROL!$C$42, 30, 30))/1000000</f>
        <v>11.673914999999997</v>
      </c>
      <c r="V798" s="56">
        <f>(1000*CHOOSE(CONTROL!$C$42, 500, 500)*CHOOSE(CONTROL!$C$42, 0.275, 0.275)*CHOOSE(CONTROL!$C$42, 30, 30))/1000000</f>
        <v>4.125</v>
      </c>
      <c r="W798" s="56">
        <f>(1000*CHOOSE(CONTROL!$C$42, 0.1146, 0.1146)*CHOOSE(CONTROL!$C$42, 121.5, 121.5)*CHOOSE(CONTROL!$C$42, 30, 30))/1000000</f>
        <v>0.417717</v>
      </c>
      <c r="X798" s="56">
        <f>(30*0.1790888*245000/1000000)+(30*0.2374*100000/1000000)</f>
        <v>2.0285026799999999</v>
      </c>
      <c r="Y798" s="56"/>
      <c r="Z798" s="14"/>
      <c r="AA798" s="55"/>
      <c r="AB798" s="49">
        <f>(B798*194.205+C798*267.466+D798*133.845+E798*53.484+F798*40+G798*185+H798*0+I798*100+J798*300)/(194.205+267.466+133.845+53.484+0+40+185+100+300)</f>
        <v>70.345381712323388</v>
      </c>
      <c r="AC798" s="45">
        <f>(M798*'RAP TEMPLATE-GAS AVAILABILITY'!O797+N798*'RAP TEMPLATE-GAS AVAILABILITY'!P797+O798*'RAP TEMPLATE-GAS AVAILABILITY'!Q797+P798*'RAP TEMPLATE-GAS AVAILABILITY'!R797)/('RAP TEMPLATE-GAS AVAILABILITY'!O797+'RAP TEMPLATE-GAS AVAILABILITY'!P797+'RAP TEMPLATE-GAS AVAILABILITY'!Q797+'RAP TEMPLATE-GAS AVAILABILITY'!R797)</f>
        <v>69.186241007194241</v>
      </c>
    </row>
    <row r="799" spans="1:29" ht="15.75" x14ac:dyDescent="0.25">
      <c r="A799" s="32">
        <v>65227</v>
      </c>
      <c r="B799" s="14">
        <f>CHOOSE(CONTROL!$C$42, 68.9264, 68.9264) * CHOOSE(CONTROL!$C$21, $C$9, 100%, $E$9)</f>
        <v>68.926400000000001</v>
      </c>
      <c r="C799" s="14">
        <f>CHOOSE(CONTROL!$C$42, 68.9344, 68.9344) * CHOOSE(CONTROL!$C$21, $C$9, 100%, $E$9)</f>
        <v>68.934399999999997</v>
      </c>
      <c r="D799" s="14">
        <f>CHOOSE(CONTROL!$C$42, 69.1935, 69.1935) * CHOOSE(CONTROL!$C$21, $C$9, 100%, $E$9)</f>
        <v>69.1935</v>
      </c>
      <c r="E799" s="14">
        <f>CHOOSE(CONTROL!$C$42, 69.225, 69.225) * CHOOSE(CONTROL!$C$21, $C$9, 100%, $E$9)</f>
        <v>69.224999999999994</v>
      </c>
      <c r="F799" s="14">
        <f>CHOOSE(CONTROL!$C$42, 68.9486, 68.9486)*CHOOSE(CONTROL!$C$21, $C$9, 100%, $E$9)</f>
        <v>68.948599999999999</v>
      </c>
      <c r="G799" s="14">
        <f>CHOOSE(CONTROL!$C$42, 68.9658, 68.9658)*CHOOSE(CONTROL!$C$21, $C$9, 100%, $E$9)</f>
        <v>68.965800000000002</v>
      </c>
      <c r="H799" s="14">
        <f>CHOOSE(CONTROL!$C$42, 69.2136, 69.2136) * CHOOSE(CONTROL!$C$21, $C$9, 100%, $E$9)</f>
        <v>69.2136</v>
      </c>
      <c r="I799" s="14">
        <f>CHOOSE(CONTROL!$C$42, 69.1634, 69.1634)* CHOOSE(CONTROL!$C$21, $C$9, 100%, $E$9)</f>
        <v>69.163399999999996</v>
      </c>
      <c r="J799" s="14">
        <f>CHOOSE(CONTROL!$C$42, 68.9416, 68.9416)* CHOOSE(CONTROL!$C$21, $C$9, 100%, $E$9)</f>
        <v>68.941599999999994</v>
      </c>
      <c r="K799" s="52">
        <f>CHOOSE(CONTROL!$C$42, 69.1595, 69.1595) * CHOOSE(CONTROL!$C$21, $C$9, 100%, $E$9)</f>
        <v>69.159499999999994</v>
      </c>
      <c r="L799" s="14">
        <f>CHOOSE(CONTROL!$C$42, 69.8006, 69.8006) * CHOOSE(CONTROL!$C$21, $C$9, 100%, $E$9)</f>
        <v>69.800600000000003</v>
      </c>
      <c r="M799" s="14">
        <f>CHOOSE(CONTROL!$C$42, 67.7093, 67.7093) * CHOOSE(CONTROL!$C$21, $C$9, 100%, $E$9)</f>
        <v>67.709299999999999</v>
      </c>
      <c r="N799" s="14">
        <f>CHOOSE(CONTROL!$C$42, 67.7261, 67.7261) * CHOOSE(CONTROL!$C$21, $C$9, 100%, $E$9)</f>
        <v>67.726100000000002</v>
      </c>
      <c r="O799" s="14">
        <f>CHOOSE(CONTROL!$C$42, 67.9764, 67.9764) * CHOOSE(CONTROL!$C$21, $C$9, 100%, $E$9)</f>
        <v>67.976399999999998</v>
      </c>
      <c r="P799" s="14">
        <f>CHOOSE(CONTROL!$C$42, 67.9233, 67.9233) * CHOOSE(CONTROL!$C$21, $C$9, 100%, $E$9)</f>
        <v>67.923299999999998</v>
      </c>
      <c r="Q799" s="14">
        <f>CHOOSE(CONTROL!$C$42, 68.5711, 68.5711) * CHOOSE(CONTROL!$C$21, $C$9, 100%, $E$9)</f>
        <v>68.571100000000001</v>
      </c>
      <c r="R799" s="14">
        <f>CHOOSE(CONTROL!$C$42, 69.3295, 69.3295) * CHOOSE(CONTROL!$C$21, $C$9, 100%, $E$9)</f>
        <v>69.329499999999996</v>
      </c>
      <c r="S799" s="14">
        <f>CHOOSE(CONTROL!$C$42, 66.2207, 66.2207) * CHOOSE(CONTROL!$C$21, $C$9, 100%, $E$9)</f>
        <v>66.220699999999994</v>
      </c>
      <c r="T79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99" s="56">
        <f>(1000*CHOOSE(CONTROL!$C$42, 695, 695)*CHOOSE(CONTROL!$C$42, 0.5599, 0.5599)*CHOOSE(CONTROL!$C$42, 31, 31))/1000000</f>
        <v>12.063045499999998</v>
      </c>
      <c r="V799" s="56">
        <f>(1000*CHOOSE(CONTROL!$C$42, 500, 500)*CHOOSE(CONTROL!$C$42, 0.275, 0.275)*CHOOSE(CONTROL!$C$42, 31, 31))/1000000</f>
        <v>4.2625000000000002</v>
      </c>
      <c r="W799" s="56">
        <f>(1000*CHOOSE(CONTROL!$C$42, 0.1146, 0.1146)*CHOOSE(CONTROL!$C$42, 121.5, 121.5)*CHOOSE(CONTROL!$C$42, 31, 31))/1000000</f>
        <v>0.43164089999999994</v>
      </c>
      <c r="X799" s="56">
        <f>(31*0.1790888*245000/1000000)+(31*0.2374*100000/1000000)</f>
        <v>2.0961194359999999</v>
      </c>
      <c r="Y799" s="56"/>
      <c r="Z799" s="14"/>
      <c r="AA799" s="55"/>
      <c r="AB799" s="49">
        <f>(B799*194.205+C799*267.466+D799*133.845+E799*53.484+F799*40+G799*185+H799*0+I799*100+J799*300)/(194.205+267.466+133.845+53.484+0+40+185+100+300)</f>
        <v>68.997276805259034</v>
      </c>
      <c r="AC799" s="45">
        <f>(M799*'RAP TEMPLATE-GAS AVAILABILITY'!O798+N799*'RAP TEMPLATE-GAS AVAILABILITY'!P798+O799*'RAP TEMPLATE-GAS AVAILABILITY'!Q798+P799*'RAP TEMPLATE-GAS AVAILABILITY'!R798)/('RAP TEMPLATE-GAS AVAILABILITY'!O798+'RAP TEMPLATE-GAS AVAILABILITY'!P798+'RAP TEMPLATE-GAS AVAILABILITY'!Q798+'RAP TEMPLATE-GAS AVAILABILITY'!R798)</f>
        <v>67.862117985611505</v>
      </c>
    </row>
    <row r="800" spans="1:29" ht="15.75" x14ac:dyDescent="0.25">
      <c r="A800" s="32">
        <v>65258</v>
      </c>
      <c r="B800" s="14">
        <f>CHOOSE(CONTROL!$C$42, 65.5223, 65.5223) * CHOOSE(CONTROL!$C$21, $C$9, 100%, $E$9)</f>
        <v>65.522300000000001</v>
      </c>
      <c r="C800" s="14">
        <f>CHOOSE(CONTROL!$C$42, 65.5304, 65.5304) * CHOOSE(CONTROL!$C$21, $C$9, 100%, $E$9)</f>
        <v>65.5304</v>
      </c>
      <c r="D800" s="14">
        <f>CHOOSE(CONTROL!$C$42, 65.7895, 65.7895) * CHOOSE(CONTROL!$C$21, $C$9, 100%, $E$9)</f>
        <v>65.789500000000004</v>
      </c>
      <c r="E800" s="14">
        <f>CHOOSE(CONTROL!$C$42, 65.8209, 65.8209) * CHOOSE(CONTROL!$C$21, $C$9, 100%, $E$9)</f>
        <v>65.820899999999995</v>
      </c>
      <c r="F800" s="14">
        <f>CHOOSE(CONTROL!$C$42, 65.5448, 65.5448)*CHOOSE(CONTROL!$C$21, $C$9, 100%, $E$9)</f>
        <v>65.544799999999995</v>
      </c>
      <c r="G800" s="14">
        <f>CHOOSE(CONTROL!$C$42, 65.562, 65.562)*CHOOSE(CONTROL!$C$21, $C$9, 100%, $E$9)</f>
        <v>65.561999999999998</v>
      </c>
      <c r="H800" s="14">
        <f>CHOOSE(CONTROL!$C$42, 65.8096, 65.8096) * CHOOSE(CONTROL!$C$21, $C$9, 100%, $E$9)</f>
        <v>65.809600000000003</v>
      </c>
      <c r="I800" s="14">
        <f>CHOOSE(CONTROL!$C$42, 65.7486, 65.7486)* CHOOSE(CONTROL!$C$21, $C$9, 100%, $E$9)</f>
        <v>65.748599999999996</v>
      </c>
      <c r="J800" s="14">
        <f>CHOOSE(CONTROL!$C$42, 65.5378, 65.5378)* CHOOSE(CONTROL!$C$21, $C$9, 100%, $E$9)</f>
        <v>65.537800000000004</v>
      </c>
      <c r="K800" s="52">
        <f>CHOOSE(CONTROL!$C$42, 65.7448, 65.7448) * CHOOSE(CONTROL!$C$21, $C$9, 100%, $E$9)</f>
        <v>65.744799999999998</v>
      </c>
      <c r="L800" s="14">
        <f>CHOOSE(CONTROL!$C$42, 66.3966, 66.3966) * CHOOSE(CONTROL!$C$21, $C$9, 100%, $E$9)</f>
        <v>66.396600000000007</v>
      </c>
      <c r="M800" s="14">
        <f>CHOOSE(CONTROL!$C$42, 64.3666, 64.3666) * CHOOSE(CONTROL!$C$21, $C$9, 100%, $E$9)</f>
        <v>64.366600000000005</v>
      </c>
      <c r="N800" s="14">
        <f>CHOOSE(CONTROL!$C$42, 64.3835, 64.3835) * CHOOSE(CONTROL!$C$21, $C$9, 100%, $E$9)</f>
        <v>64.383499999999998</v>
      </c>
      <c r="O800" s="14">
        <f>CHOOSE(CONTROL!$C$42, 64.6336, 64.6336) * CHOOSE(CONTROL!$C$21, $C$9, 100%, $E$9)</f>
        <v>64.633600000000001</v>
      </c>
      <c r="P800" s="14">
        <f>CHOOSE(CONTROL!$C$42, 64.5702, 64.5702) * CHOOSE(CONTROL!$C$21, $C$9, 100%, $E$9)</f>
        <v>64.5702</v>
      </c>
      <c r="Q800" s="14">
        <f>CHOOSE(CONTROL!$C$42, 65.2283, 65.2283) * CHOOSE(CONTROL!$C$21, $C$9, 100%, $E$9)</f>
        <v>65.228300000000004</v>
      </c>
      <c r="R800" s="14">
        <f>CHOOSE(CONTROL!$C$42, 65.9783, 65.9783) * CHOOSE(CONTROL!$C$21, $C$9, 100%, $E$9)</f>
        <v>65.978300000000004</v>
      </c>
      <c r="S800" s="14">
        <f>CHOOSE(CONTROL!$C$42, 62.9498, 62.9498) * CHOOSE(CONTROL!$C$21, $C$9, 100%, $E$9)</f>
        <v>62.949800000000003</v>
      </c>
      <c r="T80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00" s="56">
        <f>(1000*CHOOSE(CONTROL!$C$42, 695, 695)*CHOOSE(CONTROL!$C$42, 0.5599, 0.5599)*CHOOSE(CONTROL!$C$42, 31, 31))/1000000</f>
        <v>12.063045499999998</v>
      </c>
      <c r="V800" s="56">
        <f>(1000*CHOOSE(CONTROL!$C$42, 500, 500)*CHOOSE(CONTROL!$C$42, 0.275, 0.275)*CHOOSE(CONTROL!$C$42, 31, 31))/1000000</f>
        <v>4.2625000000000002</v>
      </c>
      <c r="W800" s="56">
        <f>(1000*CHOOSE(CONTROL!$C$42, 0.1146, 0.1146)*CHOOSE(CONTROL!$C$42, 121.5, 121.5)*CHOOSE(CONTROL!$C$42, 31, 31))/1000000</f>
        <v>0.43164089999999994</v>
      </c>
      <c r="X800" s="56">
        <f>(31*0.1790888*245000/1000000)+(31*0.2374*100000/1000000)</f>
        <v>2.0961194359999999</v>
      </c>
      <c r="Y800" s="56"/>
      <c r="Z800" s="14"/>
      <c r="AA800" s="55"/>
      <c r="AB800" s="49">
        <f>(B800*194.205+C800*267.466+D800*133.845+E800*53.484+F800*40+G800*185+H800*0+I800*100+J800*300)/(194.205+267.466+133.845+53.484+0+40+185+100+300)</f>
        <v>65.59249205729985</v>
      </c>
      <c r="AC800" s="45">
        <f>(M800*'RAP TEMPLATE-GAS AVAILABILITY'!O799+N800*'RAP TEMPLATE-GAS AVAILABILITY'!P799+O800*'RAP TEMPLATE-GAS AVAILABILITY'!Q799+P800*'RAP TEMPLATE-GAS AVAILABILITY'!R799)/('RAP TEMPLATE-GAS AVAILABILITY'!O799+'RAP TEMPLATE-GAS AVAILABILITY'!P799+'RAP TEMPLATE-GAS AVAILABILITY'!Q799+'RAP TEMPLATE-GAS AVAILABILITY'!R799)</f>
        <v>64.517882014388491</v>
      </c>
    </row>
    <row r="801" spans="1:29" ht="15.75" x14ac:dyDescent="0.25">
      <c r="A801" s="32">
        <v>65288</v>
      </c>
      <c r="B801" s="14">
        <f>CHOOSE(CONTROL!$C$42, 61.363, 61.363) * CHOOSE(CONTROL!$C$21, $C$9, 100%, $E$9)</f>
        <v>61.363</v>
      </c>
      <c r="C801" s="14">
        <f>CHOOSE(CONTROL!$C$42, 61.371, 61.371) * CHOOSE(CONTROL!$C$21, $C$9, 100%, $E$9)</f>
        <v>61.371000000000002</v>
      </c>
      <c r="D801" s="14">
        <f>CHOOSE(CONTROL!$C$42, 61.6301, 61.6301) * CHOOSE(CONTROL!$C$21, $C$9, 100%, $E$9)</f>
        <v>61.630099999999999</v>
      </c>
      <c r="E801" s="14">
        <f>CHOOSE(CONTROL!$C$42, 61.6616, 61.6616) * CHOOSE(CONTROL!$C$21, $C$9, 100%, $E$9)</f>
        <v>61.6616</v>
      </c>
      <c r="F801" s="14">
        <f>CHOOSE(CONTROL!$C$42, 61.3855, 61.3855)*CHOOSE(CONTROL!$C$21, $C$9, 100%, $E$9)</f>
        <v>61.3855</v>
      </c>
      <c r="G801" s="14">
        <f>CHOOSE(CONTROL!$C$42, 61.4027, 61.4027)*CHOOSE(CONTROL!$C$21, $C$9, 100%, $E$9)</f>
        <v>61.402700000000003</v>
      </c>
      <c r="H801" s="14">
        <f>CHOOSE(CONTROL!$C$42, 61.6502, 61.6502) * CHOOSE(CONTROL!$C$21, $C$9, 100%, $E$9)</f>
        <v>61.650199999999998</v>
      </c>
      <c r="I801" s="14">
        <f>CHOOSE(CONTROL!$C$42, 61.5763, 61.5763)* CHOOSE(CONTROL!$C$21, $C$9, 100%, $E$9)</f>
        <v>61.576300000000003</v>
      </c>
      <c r="J801" s="14">
        <f>CHOOSE(CONTROL!$C$42, 61.3785, 61.3785)* CHOOSE(CONTROL!$C$21, $C$9, 100%, $E$9)</f>
        <v>61.378500000000003</v>
      </c>
      <c r="K801" s="52">
        <f>CHOOSE(CONTROL!$C$42, 61.5724, 61.5724) * CHOOSE(CONTROL!$C$21, $C$9, 100%, $E$9)</f>
        <v>61.572400000000002</v>
      </c>
      <c r="L801" s="14">
        <f>CHOOSE(CONTROL!$C$42, 62.2372, 62.2372) * CHOOSE(CONTROL!$C$21, $C$9, 100%, $E$9)</f>
        <v>62.237200000000001</v>
      </c>
      <c r="M801" s="14">
        <f>CHOOSE(CONTROL!$C$42, 60.2822, 60.2822) * CHOOSE(CONTROL!$C$21, $C$9, 100%, $E$9)</f>
        <v>60.282200000000003</v>
      </c>
      <c r="N801" s="14">
        <f>CHOOSE(CONTROL!$C$42, 60.2991, 60.2991) * CHOOSE(CONTROL!$C$21, $C$9, 100%, $E$9)</f>
        <v>60.299100000000003</v>
      </c>
      <c r="O801" s="14">
        <f>CHOOSE(CONTROL!$C$42, 60.549, 60.549) * CHOOSE(CONTROL!$C$21, $C$9, 100%, $E$9)</f>
        <v>60.548999999999999</v>
      </c>
      <c r="P801" s="14">
        <f>CHOOSE(CONTROL!$C$42, 60.4731, 60.4731) * CHOOSE(CONTROL!$C$21, $C$9, 100%, $E$9)</f>
        <v>60.473100000000002</v>
      </c>
      <c r="Q801" s="14">
        <f>CHOOSE(CONTROL!$C$42, 61.1437, 61.1437) * CHOOSE(CONTROL!$C$21, $C$9, 100%, $E$9)</f>
        <v>61.143700000000003</v>
      </c>
      <c r="R801" s="14">
        <f>CHOOSE(CONTROL!$C$42, 61.8836, 61.8836) * CHOOSE(CONTROL!$C$21, $C$9, 100%, $E$9)</f>
        <v>61.883600000000001</v>
      </c>
      <c r="S801" s="14">
        <f>CHOOSE(CONTROL!$C$42, 58.9531, 58.9531) * CHOOSE(CONTROL!$C$21, $C$9, 100%, $E$9)</f>
        <v>58.953099999999999</v>
      </c>
      <c r="T80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01" s="56">
        <f>(1000*CHOOSE(CONTROL!$C$42, 695, 695)*CHOOSE(CONTROL!$C$42, 0.5599, 0.5599)*CHOOSE(CONTROL!$C$42, 30, 30))/1000000</f>
        <v>11.673914999999997</v>
      </c>
      <c r="V801" s="56">
        <f>(1000*CHOOSE(CONTROL!$C$42, 500, 500)*CHOOSE(CONTROL!$C$42, 0.275, 0.275)*CHOOSE(CONTROL!$C$42, 30, 30))/1000000</f>
        <v>4.125</v>
      </c>
      <c r="W801" s="56">
        <f>(1000*CHOOSE(CONTROL!$C$42, 0.1146, 0.1146)*CHOOSE(CONTROL!$C$42, 121.5, 121.5)*CHOOSE(CONTROL!$C$42, 30, 30))/1000000</f>
        <v>0.417717</v>
      </c>
      <c r="X801" s="56">
        <f>(30*0.1790888*245000/1000000)+(30*0.2374*100000/1000000)</f>
        <v>2.0285026799999999</v>
      </c>
      <c r="Y801" s="56"/>
      <c r="Z801" s="14"/>
      <c r="AA801" s="55"/>
      <c r="AB801" s="49">
        <f>(B801*194.205+C801*267.466+D801*133.845+E801*53.484+F801*40+G801*185+H801*0+I801*100+J801*300)/(194.205+267.466+133.845+53.484+0+40+185+100+300)</f>
        <v>61.432140149058085</v>
      </c>
      <c r="AC801" s="45">
        <f>(M801*'RAP TEMPLATE-GAS AVAILABILITY'!O800+N801*'RAP TEMPLATE-GAS AVAILABILITY'!P800+O801*'RAP TEMPLATE-GAS AVAILABILITY'!Q800+P801*'RAP TEMPLATE-GAS AVAILABILITY'!R800)/('RAP TEMPLATE-GAS AVAILABILITY'!O800+'RAP TEMPLATE-GAS AVAILABILITY'!P800+'RAP TEMPLATE-GAS AVAILABILITY'!Q800+'RAP TEMPLATE-GAS AVAILABILITY'!R800)</f>
        <v>60.43156402877699</v>
      </c>
    </row>
    <row r="802" spans="1:29" ht="15.75" x14ac:dyDescent="0.25">
      <c r="A802" s="32">
        <v>65319</v>
      </c>
      <c r="B802" s="14">
        <f>CHOOSE(CONTROL!$C$42, 60.1156, 60.1156) * CHOOSE(CONTROL!$C$21, $C$9, 100%, $E$9)</f>
        <v>60.115600000000001</v>
      </c>
      <c r="C802" s="14">
        <f>CHOOSE(CONTROL!$C$42, 60.1209, 60.1209) * CHOOSE(CONTROL!$C$21, $C$9, 100%, $E$9)</f>
        <v>60.120899999999999</v>
      </c>
      <c r="D802" s="14">
        <f>CHOOSE(CONTROL!$C$42, 60.3849, 60.3849) * CHOOSE(CONTROL!$C$21, $C$9, 100%, $E$9)</f>
        <v>60.384900000000002</v>
      </c>
      <c r="E802" s="14">
        <f>CHOOSE(CONTROL!$C$42, 60.4141, 60.4141) * CHOOSE(CONTROL!$C$21, $C$9, 100%, $E$9)</f>
        <v>60.414099999999998</v>
      </c>
      <c r="F802" s="14">
        <f>CHOOSE(CONTROL!$C$42, 60.1402, 60.1402)*CHOOSE(CONTROL!$C$21, $C$9, 100%, $E$9)</f>
        <v>60.1402</v>
      </c>
      <c r="G802" s="14">
        <f>CHOOSE(CONTROL!$C$42, 60.1573, 60.1573)*CHOOSE(CONTROL!$C$21, $C$9, 100%, $E$9)</f>
        <v>60.157299999999999</v>
      </c>
      <c r="H802" s="14">
        <f>CHOOSE(CONTROL!$C$42, 60.4045, 60.4045) * CHOOSE(CONTROL!$C$21, $C$9, 100%, $E$9)</f>
        <v>60.404499999999999</v>
      </c>
      <c r="I802" s="14">
        <f>CHOOSE(CONTROL!$C$42, 60.3267, 60.3267)* CHOOSE(CONTROL!$C$21, $C$9, 100%, $E$9)</f>
        <v>60.326700000000002</v>
      </c>
      <c r="J802" s="14">
        <f>CHOOSE(CONTROL!$C$42, 60.1332, 60.1332)* CHOOSE(CONTROL!$C$21, $C$9, 100%, $E$9)</f>
        <v>60.133200000000002</v>
      </c>
      <c r="K802" s="52">
        <f>CHOOSE(CONTROL!$C$42, 60.3228, 60.3228) * CHOOSE(CONTROL!$C$21, $C$9, 100%, $E$9)</f>
        <v>60.322800000000001</v>
      </c>
      <c r="L802" s="14">
        <f>CHOOSE(CONTROL!$C$42, 60.9915, 60.9915) * CHOOSE(CONTROL!$C$21, $C$9, 100%, $E$9)</f>
        <v>60.991500000000002</v>
      </c>
      <c r="M802" s="14">
        <f>CHOOSE(CONTROL!$C$42, 59.0593, 59.0593) * CHOOSE(CONTROL!$C$21, $C$9, 100%, $E$9)</f>
        <v>59.0593</v>
      </c>
      <c r="N802" s="14">
        <f>CHOOSE(CONTROL!$C$42, 59.0761, 59.0761) * CHOOSE(CONTROL!$C$21, $C$9, 100%, $E$9)</f>
        <v>59.076099999999997</v>
      </c>
      <c r="O802" s="14">
        <f>CHOOSE(CONTROL!$C$42, 59.3257, 59.3257) * CHOOSE(CONTROL!$C$21, $C$9, 100%, $E$9)</f>
        <v>59.325699999999998</v>
      </c>
      <c r="P802" s="14">
        <f>CHOOSE(CONTROL!$C$42, 59.246, 59.246) * CHOOSE(CONTROL!$C$21, $C$9, 100%, $E$9)</f>
        <v>59.246000000000002</v>
      </c>
      <c r="Q802" s="14">
        <f>CHOOSE(CONTROL!$C$42, 59.9204, 59.9204) * CHOOSE(CONTROL!$C$21, $C$9, 100%, $E$9)</f>
        <v>59.920400000000001</v>
      </c>
      <c r="R802" s="14">
        <f>CHOOSE(CONTROL!$C$42, 60.6572, 60.6572) * CHOOSE(CONTROL!$C$21, $C$9, 100%, $E$9)</f>
        <v>60.657200000000003</v>
      </c>
      <c r="S802" s="14">
        <f>CHOOSE(CONTROL!$C$42, 57.7561, 57.7561) * CHOOSE(CONTROL!$C$21, $C$9, 100%, $E$9)</f>
        <v>57.756100000000004</v>
      </c>
      <c r="T80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02" s="56">
        <f>(1000*CHOOSE(CONTROL!$C$42, 695, 695)*CHOOSE(CONTROL!$C$42, 0.5599, 0.5599)*CHOOSE(CONTROL!$C$42, 31, 31))/1000000</f>
        <v>12.063045499999998</v>
      </c>
      <c r="V802" s="56">
        <f>(1000*CHOOSE(CONTROL!$C$42, 500, 500)*CHOOSE(CONTROL!$C$42, 0.275, 0.275)*CHOOSE(CONTROL!$C$42, 31, 31))/1000000</f>
        <v>4.2625000000000002</v>
      </c>
      <c r="W802" s="56">
        <f>(1000*CHOOSE(CONTROL!$C$42, 0.1146, 0.1146)*CHOOSE(CONTROL!$C$42, 121.5, 121.5)*CHOOSE(CONTROL!$C$42, 31, 31))/1000000</f>
        <v>0.43164089999999994</v>
      </c>
      <c r="X802" s="56">
        <f>(31*0.1790888*245000/1000000)+(31*0.2374*100000/1000000)</f>
        <v>2.0961194359999999</v>
      </c>
      <c r="Y802" s="56"/>
      <c r="Z802" s="14"/>
      <c r="AA802" s="55"/>
      <c r="AB802" s="49">
        <f>(B802*131.881+C802*277.167+D802*79.08+E802*125.872+F802*40+G802*185+H802*0+I802*100+J802*300)/(131.881+277.167+79.08+125.872+0+40+185+100+300)</f>
        <v>60.192618983938665</v>
      </c>
      <c r="AC802" s="45">
        <f>(M802*'RAP TEMPLATE-GAS AVAILABILITY'!O801+N802*'RAP TEMPLATE-GAS AVAILABILITY'!P801+O802*'RAP TEMPLATE-GAS AVAILABILITY'!Q801+P802*'RAP TEMPLATE-GAS AVAILABILITY'!R801)/('RAP TEMPLATE-GAS AVAILABILITY'!O801+'RAP TEMPLATE-GAS AVAILABILITY'!P801+'RAP TEMPLATE-GAS AVAILABILITY'!Q801+'RAP TEMPLATE-GAS AVAILABILITY'!R801)</f>
        <v>59.207872661870489</v>
      </c>
    </row>
    <row r="803" spans="1:29" ht="15.75" x14ac:dyDescent="0.25">
      <c r="A803" s="32">
        <v>65349</v>
      </c>
      <c r="B803" s="14">
        <f>CHOOSE(CONTROL!$C$42, 61.6986, 61.6986) * CHOOSE(CONTROL!$C$21, $C$9, 100%, $E$9)</f>
        <v>61.698599999999999</v>
      </c>
      <c r="C803" s="14">
        <f>CHOOSE(CONTROL!$C$42, 61.7037, 61.7037) * CHOOSE(CONTROL!$C$21, $C$9, 100%, $E$9)</f>
        <v>61.703699999999998</v>
      </c>
      <c r="D803" s="14">
        <f>CHOOSE(CONTROL!$C$42, 61.7867, 61.7867) * CHOOSE(CONTROL!$C$21, $C$9, 100%, $E$9)</f>
        <v>61.786700000000003</v>
      </c>
      <c r="E803" s="14">
        <f>CHOOSE(CONTROL!$C$42, 61.8208, 61.8208) * CHOOSE(CONTROL!$C$21, $C$9, 100%, $E$9)</f>
        <v>61.820799999999998</v>
      </c>
      <c r="F803" s="14">
        <f>CHOOSE(CONTROL!$C$42, 61.7262, 61.7262)*CHOOSE(CONTROL!$C$21, $C$9, 100%, $E$9)</f>
        <v>61.726199999999999</v>
      </c>
      <c r="G803" s="14">
        <f>CHOOSE(CONTROL!$C$42, 61.7436, 61.7436)*CHOOSE(CONTROL!$C$21, $C$9, 100%, $E$9)</f>
        <v>61.743600000000001</v>
      </c>
      <c r="H803" s="14">
        <f>CHOOSE(CONTROL!$C$42, 61.81, 61.81) * CHOOSE(CONTROL!$C$21, $C$9, 100%, $E$9)</f>
        <v>61.81</v>
      </c>
      <c r="I803" s="14">
        <f>CHOOSE(CONTROL!$C$42, 61.9115, 61.9115)* CHOOSE(CONTROL!$C$21, $C$9, 100%, $E$9)</f>
        <v>61.911499999999997</v>
      </c>
      <c r="J803" s="14">
        <f>CHOOSE(CONTROL!$C$42, 61.7192, 61.7192)* CHOOSE(CONTROL!$C$21, $C$9, 100%, $E$9)</f>
        <v>61.719200000000001</v>
      </c>
      <c r="K803" s="52">
        <f>CHOOSE(CONTROL!$C$42, 61.9076, 61.9076) * CHOOSE(CONTROL!$C$21, $C$9, 100%, $E$9)</f>
        <v>61.907600000000002</v>
      </c>
      <c r="L803" s="14">
        <f>CHOOSE(CONTROL!$C$42, 62.397, 62.397) * CHOOSE(CONTROL!$C$21, $C$9, 100%, $E$9)</f>
        <v>62.396999999999998</v>
      </c>
      <c r="M803" s="14">
        <f>CHOOSE(CONTROL!$C$42, 60.6168, 60.6168) * CHOOSE(CONTROL!$C$21, $C$9, 100%, $E$9)</f>
        <v>60.616799999999998</v>
      </c>
      <c r="N803" s="14">
        <f>CHOOSE(CONTROL!$C$42, 60.6339, 60.6339) * CHOOSE(CONTROL!$C$21, $C$9, 100%, $E$9)</f>
        <v>60.633899999999997</v>
      </c>
      <c r="O803" s="14">
        <f>CHOOSE(CONTROL!$C$42, 60.706, 60.706) * CHOOSE(CONTROL!$C$21, $C$9, 100%, $E$9)</f>
        <v>60.706000000000003</v>
      </c>
      <c r="P803" s="14">
        <f>CHOOSE(CONTROL!$C$42, 60.8022, 60.8022) * CHOOSE(CONTROL!$C$21, $C$9, 100%, $E$9)</f>
        <v>60.802199999999999</v>
      </c>
      <c r="Q803" s="14">
        <f>CHOOSE(CONTROL!$C$42, 61.3007, 61.3007) * CHOOSE(CONTROL!$C$21, $C$9, 100%, $E$9)</f>
        <v>61.300699999999999</v>
      </c>
      <c r="R803" s="14">
        <f>CHOOSE(CONTROL!$C$42, 62.0409, 62.0409) * CHOOSE(CONTROL!$C$21, $C$9, 100%, $E$9)</f>
        <v>62.040900000000001</v>
      </c>
      <c r="S803" s="14">
        <f>CHOOSE(CONTROL!$C$42, 59.2777, 59.2777) * CHOOSE(CONTROL!$C$21, $C$9, 100%, $E$9)</f>
        <v>59.277700000000003</v>
      </c>
      <c r="T80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03" s="56">
        <f>(1000*CHOOSE(CONTROL!$C$42, 695, 695)*CHOOSE(CONTROL!$C$42, 0.5599, 0.5599)*CHOOSE(CONTROL!$C$42, 30, 30))/1000000</f>
        <v>11.673914999999997</v>
      </c>
      <c r="V803" s="56">
        <f>(1000*CHOOSE(CONTROL!$C$42, 500, 500)*CHOOSE(CONTROL!$C$42, 0.275, 0.275)*CHOOSE(CONTROL!$C$42, 30, 30))/1000000</f>
        <v>4.125</v>
      </c>
      <c r="W803" s="56">
        <f>(1000*CHOOSE(CONTROL!$C$42, 0.1146, 0.1146)*CHOOSE(CONTROL!$C$42, 121.5, 121.5)*CHOOSE(CONTROL!$C$42, 30, 30))/1000000</f>
        <v>0.417717</v>
      </c>
      <c r="X803" s="56">
        <f>(30*0.1790888*100000/1000000)+(30*0.2374*100000/1000000)</f>
        <v>1.2494664</v>
      </c>
      <c r="Y803" s="56"/>
      <c r="Z803" s="14"/>
      <c r="AA803" s="55"/>
      <c r="AB803" s="49">
        <f>(B803*122.58+C803*297.941+D803*89.177+E803*40.302+F803*40+G803*160+H803*0+I803*100+J803*300)/(122.58+297.941+89.177+40.302+0+40+160+100+300)</f>
        <v>61.742143388869565</v>
      </c>
      <c r="AC803" s="45">
        <f>(M803*'RAP TEMPLATE-GAS AVAILABILITY'!O802+N803*'RAP TEMPLATE-GAS AVAILABILITY'!P802+O803*'RAP TEMPLATE-GAS AVAILABILITY'!Q802+P803*'RAP TEMPLATE-GAS AVAILABILITY'!R802)/('RAP TEMPLATE-GAS AVAILABILITY'!O802+'RAP TEMPLATE-GAS AVAILABILITY'!P802+'RAP TEMPLATE-GAS AVAILABILITY'!Q802+'RAP TEMPLATE-GAS AVAILABILITY'!R802)</f>
        <v>60.684889208633095</v>
      </c>
    </row>
    <row r="804" spans="1:29" ht="15.75" x14ac:dyDescent="0.25">
      <c r="A804" s="32">
        <v>65380</v>
      </c>
      <c r="B804" s="14">
        <f>CHOOSE(CONTROL!$C$42, 65.9045, 65.9045) * CHOOSE(CONTROL!$C$21, $C$9, 100%, $E$9)</f>
        <v>65.904499999999999</v>
      </c>
      <c r="C804" s="14">
        <f>CHOOSE(CONTROL!$C$42, 65.9096, 65.9096) * CHOOSE(CONTROL!$C$21, $C$9, 100%, $E$9)</f>
        <v>65.909599999999998</v>
      </c>
      <c r="D804" s="14">
        <f>CHOOSE(CONTROL!$C$42, 65.9927, 65.9927) * CHOOSE(CONTROL!$C$21, $C$9, 100%, $E$9)</f>
        <v>65.992699999999999</v>
      </c>
      <c r="E804" s="14">
        <f>CHOOSE(CONTROL!$C$42, 66.0268, 66.0268) * CHOOSE(CONTROL!$C$21, $C$9, 100%, $E$9)</f>
        <v>66.026799999999994</v>
      </c>
      <c r="F804" s="14">
        <f>CHOOSE(CONTROL!$C$42, 65.9346, 65.9346)*CHOOSE(CONTROL!$C$21, $C$9, 100%, $E$9)</f>
        <v>65.934600000000003</v>
      </c>
      <c r="G804" s="14">
        <f>CHOOSE(CONTROL!$C$42, 65.9526, 65.9526)*CHOOSE(CONTROL!$C$21, $C$9, 100%, $E$9)</f>
        <v>65.952600000000004</v>
      </c>
      <c r="H804" s="14">
        <f>CHOOSE(CONTROL!$C$42, 66.016, 66.016) * CHOOSE(CONTROL!$C$21, $C$9, 100%, $E$9)</f>
        <v>66.016000000000005</v>
      </c>
      <c r="I804" s="14">
        <f>CHOOSE(CONTROL!$C$42, 66.1306, 66.1306)* CHOOSE(CONTROL!$C$21, $C$9, 100%, $E$9)</f>
        <v>66.130600000000001</v>
      </c>
      <c r="J804" s="14">
        <f>CHOOSE(CONTROL!$C$42, 65.9276, 65.9276)* CHOOSE(CONTROL!$C$21, $C$9, 100%, $E$9)</f>
        <v>65.927599999999998</v>
      </c>
      <c r="K804" s="52">
        <f>CHOOSE(CONTROL!$C$42, 66.1267, 66.1267) * CHOOSE(CONTROL!$C$21, $C$9, 100%, $E$9)</f>
        <v>66.1267</v>
      </c>
      <c r="L804" s="14">
        <f>CHOOSE(CONTROL!$C$42, 66.603, 66.603) * CHOOSE(CONTROL!$C$21, $C$9, 100%, $E$9)</f>
        <v>66.602999999999994</v>
      </c>
      <c r="M804" s="14">
        <f>CHOOSE(CONTROL!$C$42, 64.7495, 64.7495) * CHOOSE(CONTROL!$C$21, $C$9, 100%, $E$9)</f>
        <v>64.749499999999998</v>
      </c>
      <c r="N804" s="14">
        <f>CHOOSE(CONTROL!$C$42, 64.7672, 64.7672) * CHOOSE(CONTROL!$C$21, $C$9, 100%, $E$9)</f>
        <v>64.767200000000003</v>
      </c>
      <c r="O804" s="14">
        <f>CHOOSE(CONTROL!$C$42, 64.8363, 64.8363) * CHOOSE(CONTROL!$C$21, $C$9, 100%, $E$9)</f>
        <v>64.836299999999994</v>
      </c>
      <c r="P804" s="14">
        <f>CHOOSE(CONTROL!$C$42, 64.9452, 64.9452) * CHOOSE(CONTROL!$C$21, $C$9, 100%, $E$9)</f>
        <v>64.9452</v>
      </c>
      <c r="Q804" s="14">
        <f>CHOOSE(CONTROL!$C$42, 65.431, 65.431) * CHOOSE(CONTROL!$C$21, $C$9, 100%, $E$9)</f>
        <v>65.430999999999997</v>
      </c>
      <c r="R804" s="14">
        <f>CHOOSE(CONTROL!$C$42, 66.1815, 66.1815) * CHOOSE(CONTROL!$C$21, $C$9, 100%, $E$9)</f>
        <v>66.1815</v>
      </c>
      <c r="S804" s="14">
        <f>CHOOSE(CONTROL!$C$42, 63.3191, 63.3191) * CHOOSE(CONTROL!$C$21, $C$9, 100%, $E$9)</f>
        <v>63.319099999999999</v>
      </c>
      <c r="T80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04" s="56">
        <f>(1000*CHOOSE(CONTROL!$C$42, 695, 695)*CHOOSE(CONTROL!$C$42, 0.5599, 0.5599)*CHOOSE(CONTROL!$C$42, 31, 31))/1000000</f>
        <v>12.063045499999998</v>
      </c>
      <c r="V804" s="56">
        <f>(1000*CHOOSE(CONTROL!$C$42, 500, 500)*CHOOSE(CONTROL!$C$42, 0.275, 0.275)*CHOOSE(CONTROL!$C$42, 31, 31))/1000000</f>
        <v>4.2625000000000002</v>
      </c>
      <c r="W804" s="56">
        <f>(1000*CHOOSE(CONTROL!$C$42, 0.1146, 0.1146)*CHOOSE(CONTROL!$C$42, 121.5, 121.5)*CHOOSE(CONTROL!$C$42, 31, 31))/1000000</f>
        <v>0.43164089999999994</v>
      </c>
      <c r="X804" s="56">
        <f>(31*0.1790888*100000/1000000)+(31*0.2374*100000/1000000)</f>
        <v>1.2911152800000001</v>
      </c>
      <c r="Y804" s="56"/>
      <c r="Z804" s="14"/>
      <c r="AA804" s="55"/>
      <c r="AB804" s="49">
        <f>(B804*122.58+C804*297.941+D804*89.177+E804*40.302+F804*40+G804*160+H804*0+I804*100+J804*300)/(122.58+297.941+89.177+40.302+0+40+160+100+300)</f>
        <v>65.950372908782597</v>
      </c>
      <c r="AC804" s="45">
        <f>(M804*'RAP TEMPLATE-GAS AVAILABILITY'!O803+N804*'RAP TEMPLATE-GAS AVAILABILITY'!P803+O804*'RAP TEMPLATE-GAS AVAILABILITY'!Q803+P804*'RAP TEMPLATE-GAS AVAILABILITY'!R803)/('RAP TEMPLATE-GAS AVAILABILITY'!O803+'RAP TEMPLATE-GAS AVAILABILITY'!P803+'RAP TEMPLATE-GAS AVAILABILITY'!Q803+'RAP TEMPLATE-GAS AVAILABILITY'!R803)</f>
        <v>64.818017985611519</v>
      </c>
    </row>
    <row r="805" spans="1:29" ht="15.75" x14ac:dyDescent="0.25">
      <c r="A805" s="32">
        <v>65411</v>
      </c>
      <c r="B805" s="14">
        <f>CHOOSE(CONTROL!$C$42, 71.3673, 71.3673) * CHOOSE(CONTROL!$C$21, $C$9, 100%, $E$9)</f>
        <v>71.3673</v>
      </c>
      <c r="C805" s="14">
        <f>CHOOSE(CONTROL!$C$42, 71.3723, 71.3723) * CHOOSE(CONTROL!$C$21, $C$9, 100%, $E$9)</f>
        <v>71.372299999999996</v>
      </c>
      <c r="D805" s="14">
        <f>CHOOSE(CONTROL!$C$42, 71.4658, 71.4658) * CHOOSE(CONTROL!$C$21, $C$9, 100%, $E$9)</f>
        <v>71.465800000000002</v>
      </c>
      <c r="E805" s="14">
        <f>CHOOSE(CONTROL!$C$42, 71.4999, 71.4999) * CHOOSE(CONTROL!$C$21, $C$9, 100%, $E$9)</f>
        <v>71.499899999999997</v>
      </c>
      <c r="F805" s="14">
        <f>CHOOSE(CONTROL!$C$42, 71.3946, 71.3946)*CHOOSE(CONTROL!$C$21, $C$9, 100%, $E$9)</f>
        <v>71.394599999999997</v>
      </c>
      <c r="G805" s="14">
        <f>CHOOSE(CONTROL!$C$42, 71.4126, 71.4126)*CHOOSE(CONTROL!$C$21, $C$9, 100%, $E$9)</f>
        <v>71.412599999999998</v>
      </c>
      <c r="H805" s="14">
        <f>CHOOSE(CONTROL!$C$42, 71.4891, 71.4891) * CHOOSE(CONTROL!$C$21, $C$9, 100%, $E$9)</f>
        <v>71.489099999999993</v>
      </c>
      <c r="I805" s="14">
        <f>CHOOSE(CONTROL!$C$42, 71.6167, 71.6167)* CHOOSE(CONTROL!$C$21, $C$9, 100%, $E$9)</f>
        <v>71.616699999999994</v>
      </c>
      <c r="J805" s="14">
        <f>CHOOSE(CONTROL!$C$42, 71.3876, 71.3876)* CHOOSE(CONTROL!$C$21, $C$9, 100%, $E$9)</f>
        <v>71.387600000000006</v>
      </c>
      <c r="K805" s="52">
        <f>CHOOSE(CONTROL!$C$42, 71.6128, 71.6128) * CHOOSE(CONTROL!$C$21, $C$9, 100%, $E$9)</f>
        <v>71.612799999999993</v>
      </c>
      <c r="L805" s="14">
        <f>CHOOSE(CONTROL!$C$42, 72.0761, 72.0761) * CHOOSE(CONTROL!$C$21, $C$9, 100%, $E$9)</f>
        <v>72.076099999999997</v>
      </c>
      <c r="M805" s="14">
        <f>CHOOSE(CONTROL!$C$42, 70.1113, 70.1113) * CHOOSE(CONTROL!$C$21, $C$9, 100%, $E$9)</f>
        <v>70.1113</v>
      </c>
      <c r="N805" s="14">
        <f>CHOOSE(CONTROL!$C$42, 70.1289, 70.1289) * CHOOSE(CONTROL!$C$21, $C$9, 100%, $E$9)</f>
        <v>70.128900000000002</v>
      </c>
      <c r="O805" s="14">
        <f>CHOOSE(CONTROL!$C$42, 70.211, 70.211) * CHOOSE(CONTROL!$C$21, $C$9, 100%, $E$9)</f>
        <v>70.210999999999999</v>
      </c>
      <c r="P805" s="14">
        <f>CHOOSE(CONTROL!$C$42, 70.3323, 70.3323) * CHOOSE(CONTROL!$C$21, $C$9, 100%, $E$9)</f>
        <v>70.332300000000004</v>
      </c>
      <c r="Q805" s="14">
        <f>CHOOSE(CONTROL!$C$42, 70.8057, 70.8057) * CHOOSE(CONTROL!$C$21, $C$9, 100%, $E$9)</f>
        <v>70.805700000000002</v>
      </c>
      <c r="R805" s="14">
        <f>CHOOSE(CONTROL!$C$42, 71.5697, 71.5697) * CHOOSE(CONTROL!$C$21, $C$9, 100%, $E$9)</f>
        <v>71.569699999999997</v>
      </c>
      <c r="S805" s="14">
        <f>CHOOSE(CONTROL!$C$42, 68.5683, 68.5683) * CHOOSE(CONTROL!$C$21, $C$9, 100%, $E$9)</f>
        <v>68.568299999999994</v>
      </c>
      <c r="T80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05" s="56">
        <f>(1000*CHOOSE(CONTROL!$C$42, 695, 695)*CHOOSE(CONTROL!$C$42, 0.5599, 0.5599)*CHOOSE(CONTROL!$C$42, 31, 31))/1000000</f>
        <v>12.063045499999998</v>
      </c>
      <c r="V805" s="56">
        <f>(1000*CHOOSE(CONTROL!$C$42, 500, 500)*CHOOSE(CONTROL!$C$42, 0.275, 0.275)*CHOOSE(CONTROL!$C$42, 31, 31))/1000000</f>
        <v>4.2625000000000002</v>
      </c>
      <c r="W805" s="56">
        <f>(1000*CHOOSE(CONTROL!$C$42, 0.1146, 0.1146)*CHOOSE(CONTROL!$C$42, 121.5, 121.5)*CHOOSE(CONTROL!$C$42, 31, 31))/1000000</f>
        <v>0.43164089999999994</v>
      </c>
      <c r="X805" s="56">
        <f>(31*0.1790888*100000/1000000)+(31*0.2374*100000/1000000)</f>
        <v>1.2911152800000001</v>
      </c>
      <c r="Y805" s="56"/>
      <c r="Z805" s="14"/>
      <c r="AA805" s="55"/>
      <c r="AB805" s="49">
        <f>(B805*122.58+C805*297.941+D805*89.177+E805*40.302+F805*40+G805*160+H805*0+I805*100+J805*300)/(122.58+297.941+89.177+40.302+0+40+160+100+300)</f>
        <v>71.415115377999996</v>
      </c>
      <c r="AC805" s="45">
        <f>(M805*'RAP TEMPLATE-GAS AVAILABILITY'!O804+N805*'RAP TEMPLATE-GAS AVAILABILITY'!P804+O805*'RAP TEMPLATE-GAS AVAILABILITY'!Q804+P805*'RAP TEMPLATE-GAS AVAILABILITY'!R804)/('RAP TEMPLATE-GAS AVAILABILITY'!O804+'RAP TEMPLATE-GAS AVAILABILITY'!P804+'RAP TEMPLATE-GAS AVAILABILITY'!Q804+'RAP TEMPLATE-GAS AVAILABILITY'!R804)</f>
        <v>70.18929928057554</v>
      </c>
    </row>
    <row r="806" spans="1:29" ht="15.75" x14ac:dyDescent="0.25">
      <c r="A806" s="32">
        <v>65439</v>
      </c>
      <c r="B806" s="14">
        <f>CHOOSE(CONTROL!$C$42, 72.6376, 72.6376) * CHOOSE(CONTROL!$C$21, $C$9, 100%, $E$9)</f>
        <v>72.637600000000006</v>
      </c>
      <c r="C806" s="14">
        <f>CHOOSE(CONTROL!$C$42, 72.6426, 72.6426) * CHOOSE(CONTROL!$C$21, $C$9, 100%, $E$9)</f>
        <v>72.642600000000002</v>
      </c>
      <c r="D806" s="14">
        <f>CHOOSE(CONTROL!$C$42, 72.7361, 72.7361) * CHOOSE(CONTROL!$C$21, $C$9, 100%, $E$9)</f>
        <v>72.736099999999993</v>
      </c>
      <c r="E806" s="14">
        <f>CHOOSE(CONTROL!$C$42, 72.7702, 72.7702) * CHOOSE(CONTROL!$C$21, $C$9, 100%, $E$9)</f>
        <v>72.770200000000003</v>
      </c>
      <c r="F806" s="14">
        <f>CHOOSE(CONTROL!$C$42, 72.6645, 72.6645)*CHOOSE(CONTROL!$C$21, $C$9, 100%, $E$9)</f>
        <v>72.664500000000004</v>
      </c>
      <c r="G806" s="14">
        <f>CHOOSE(CONTROL!$C$42, 72.6824, 72.6824)*CHOOSE(CONTROL!$C$21, $C$9, 100%, $E$9)</f>
        <v>72.682400000000001</v>
      </c>
      <c r="H806" s="14">
        <f>CHOOSE(CONTROL!$C$42, 72.7594, 72.7594) * CHOOSE(CONTROL!$C$21, $C$9, 100%, $E$9)</f>
        <v>72.759399999999999</v>
      </c>
      <c r="I806" s="14">
        <f>CHOOSE(CONTROL!$C$42, 72.8909, 72.8909)* CHOOSE(CONTROL!$C$21, $C$9, 100%, $E$9)</f>
        <v>72.890900000000002</v>
      </c>
      <c r="J806" s="14">
        <f>CHOOSE(CONTROL!$C$42, 72.6575, 72.6575)* CHOOSE(CONTROL!$C$21, $C$9, 100%, $E$9)</f>
        <v>72.657499999999999</v>
      </c>
      <c r="K806" s="52">
        <f>CHOOSE(CONTROL!$C$42, 72.887, 72.887) * CHOOSE(CONTROL!$C$21, $C$9, 100%, $E$9)</f>
        <v>72.887</v>
      </c>
      <c r="L806" s="14">
        <f>CHOOSE(CONTROL!$C$42, 73.3464, 73.3464) * CHOOSE(CONTROL!$C$21, $C$9, 100%, $E$9)</f>
        <v>73.346400000000003</v>
      </c>
      <c r="M806" s="14">
        <f>CHOOSE(CONTROL!$C$42, 71.3583, 71.3583) * CHOOSE(CONTROL!$C$21, $C$9, 100%, $E$9)</f>
        <v>71.3583</v>
      </c>
      <c r="N806" s="14">
        <f>CHOOSE(CONTROL!$C$42, 71.3759, 71.3759) * CHOOSE(CONTROL!$C$21, $C$9, 100%, $E$9)</f>
        <v>71.375900000000001</v>
      </c>
      <c r="O806" s="14">
        <f>CHOOSE(CONTROL!$C$42, 71.4584, 71.4584) * CHOOSE(CONTROL!$C$21, $C$9, 100%, $E$9)</f>
        <v>71.458399999999997</v>
      </c>
      <c r="P806" s="14">
        <f>CHOOSE(CONTROL!$C$42, 71.5836, 71.5836) * CHOOSE(CONTROL!$C$21, $C$9, 100%, $E$9)</f>
        <v>71.583600000000004</v>
      </c>
      <c r="Q806" s="14">
        <f>CHOOSE(CONTROL!$C$42, 72.0531, 72.0531) * CHOOSE(CONTROL!$C$21, $C$9, 100%, $E$9)</f>
        <v>72.053100000000001</v>
      </c>
      <c r="R806" s="14">
        <f>CHOOSE(CONTROL!$C$42, 72.8202, 72.8202) * CHOOSE(CONTROL!$C$21, $C$9, 100%, $E$9)</f>
        <v>72.8202</v>
      </c>
      <c r="S806" s="14">
        <f>CHOOSE(CONTROL!$C$42, 69.7889, 69.7889) * CHOOSE(CONTROL!$C$21, $C$9, 100%, $E$9)</f>
        <v>69.788899999999998</v>
      </c>
      <c r="T80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06" s="56">
        <f>(1000*CHOOSE(CONTROL!$C$42, 695, 695)*CHOOSE(CONTROL!$C$42, 0.5599, 0.5599)*CHOOSE(CONTROL!$C$42, 28, 28))/1000000</f>
        <v>10.895653999999999</v>
      </c>
      <c r="V806" s="56">
        <f>(1000*CHOOSE(CONTROL!$C$42, 500, 500)*CHOOSE(CONTROL!$C$42, 0.275, 0.275)*CHOOSE(CONTROL!$C$42, 28, 28))/1000000</f>
        <v>3.85</v>
      </c>
      <c r="W806" s="56">
        <f>(1000*CHOOSE(CONTROL!$C$42, 0.1146, 0.1146)*CHOOSE(CONTROL!$C$42, 121.5, 121.5)*CHOOSE(CONTROL!$C$42, 28, 28))/1000000</f>
        <v>0.38986920000000003</v>
      </c>
      <c r="X806" s="56">
        <f>(28*0.1790888*100000/1000000)+(28*0.2374*100000/1000000)</f>
        <v>1.16616864</v>
      </c>
      <c r="Y806" s="56"/>
      <c r="Z806" s="14"/>
      <c r="AA806" s="55"/>
      <c r="AB806" s="49">
        <f>(B806*122.58+C806*297.941+D806*89.177+E806*40.302+F806*40+G806*160+H806*0+I806*100+J806*300)/(122.58+297.941+89.177+40.302+0+40+160+100+300)</f>
        <v>72.685566682347826</v>
      </c>
      <c r="AC806" s="45">
        <f>(M806*'RAP TEMPLATE-GAS AVAILABILITY'!O805+N806*'RAP TEMPLATE-GAS AVAILABILITY'!P805+O806*'RAP TEMPLATE-GAS AVAILABILITY'!Q805+P806*'RAP TEMPLATE-GAS AVAILABILITY'!R805)/('RAP TEMPLATE-GAS AVAILABILITY'!O805+'RAP TEMPLATE-GAS AVAILABILITY'!P805+'RAP TEMPLATE-GAS AVAILABILITY'!Q805+'RAP TEMPLATE-GAS AVAILABILITY'!R805)</f>
        <v>71.437099280575538</v>
      </c>
    </row>
    <row r="807" spans="1:29" ht="15.75" x14ac:dyDescent="0.25">
      <c r="A807" s="32">
        <v>65470</v>
      </c>
      <c r="B807" s="14">
        <f>CHOOSE(CONTROL!$C$42, 70.5756, 70.5756) * CHOOSE(CONTROL!$C$21, $C$9, 100%, $E$9)</f>
        <v>70.575599999999994</v>
      </c>
      <c r="C807" s="14">
        <f>CHOOSE(CONTROL!$C$42, 70.5807, 70.5807) * CHOOSE(CONTROL!$C$21, $C$9, 100%, $E$9)</f>
        <v>70.580699999999993</v>
      </c>
      <c r="D807" s="14">
        <f>CHOOSE(CONTROL!$C$42, 70.6741, 70.6741) * CHOOSE(CONTROL!$C$21, $C$9, 100%, $E$9)</f>
        <v>70.674099999999996</v>
      </c>
      <c r="E807" s="14">
        <f>CHOOSE(CONTROL!$C$42, 70.7082, 70.7082) * CHOOSE(CONTROL!$C$21, $C$9, 100%, $E$9)</f>
        <v>70.708200000000005</v>
      </c>
      <c r="F807" s="14">
        <f>CHOOSE(CONTROL!$C$42, 70.6017, 70.6017)*CHOOSE(CONTROL!$C$21, $C$9, 100%, $E$9)</f>
        <v>70.601699999999994</v>
      </c>
      <c r="G807" s="14">
        <f>CHOOSE(CONTROL!$C$42, 70.6193, 70.6193)*CHOOSE(CONTROL!$C$21, $C$9, 100%, $E$9)</f>
        <v>70.619299999999996</v>
      </c>
      <c r="H807" s="14">
        <f>CHOOSE(CONTROL!$C$42, 70.6974, 70.6974) * CHOOSE(CONTROL!$C$21, $C$9, 100%, $E$9)</f>
        <v>70.697400000000002</v>
      </c>
      <c r="I807" s="14">
        <f>CHOOSE(CONTROL!$C$42, 70.8225, 70.8225)* CHOOSE(CONTROL!$C$21, $C$9, 100%, $E$9)</f>
        <v>70.822500000000005</v>
      </c>
      <c r="J807" s="14">
        <f>CHOOSE(CONTROL!$C$42, 70.5947, 70.5947)* CHOOSE(CONTROL!$C$21, $C$9, 100%, $E$9)</f>
        <v>70.594700000000003</v>
      </c>
      <c r="K807" s="52">
        <f>CHOOSE(CONTROL!$C$42, 70.8186, 70.8186) * CHOOSE(CONTROL!$C$21, $C$9, 100%, $E$9)</f>
        <v>70.818600000000004</v>
      </c>
      <c r="L807" s="14">
        <f>CHOOSE(CONTROL!$C$42, 71.2844, 71.2844) * CHOOSE(CONTROL!$C$21, $C$9, 100%, $E$9)</f>
        <v>71.284400000000005</v>
      </c>
      <c r="M807" s="14">
        <f>CHOOSE(CONTROL!$C$42, 69.3326, 69.3326) * CHOOSE(CONTROL!$C$21, $C$9, 100%, $E$9)</f>
        <v>69.332599999999999</v>
      </c>
      <c r="N807" s="14">
        <f>CHOOSE(CONTROL!$C$42, 69.3499, 69.3499) * CHOOSE(CONTROL!$C$21, $C$9, 100%, $E$9)</f>
        <v>69.349900000000005</v>
      </c>
      <c r="O807" s="14">
        <f>CHOOSE(CONTROL!$C$42, 69.4335, 69.4335) * CHOOSE(CONTROL!$C$21, $C$9, 100%, $E$9)</f>
        <v>69.433499999999995</v>
      </c>
      <c r="P807" s="14">
        <f>CHOOSE(CONTROL!$C$42, 69.5525, 69.5525) * CHOOSE(CONTROL!$C$21, $C$9, 100%, $E$9)</f>
        <v>69.552499999999995</v>
      </c>
      <c r="Q807" s="14">
        <f>CHOOSE(CONTROL!$C$42, 70.0282, 70.0282) * CHOOSE(CONTROL!$C$21, $C$9, 100%, $E$9)</f>
        <v>70.028199999999998</v>
      </c>
      <c r="R807" s="14">
        <f>CHOOSE(CONTROL!$C$42, 70.7903, 70.7903) * CHOOSE(CONTROL!$C$21, $C$9, 100%, $E$9)</f>
        <v>70.790300000000002</v>
      </c>
      <c r="S807" s="14">
        <f>CHOOSE(CONTROL!$C$42, 67.8076, 67.8076) * CHOOSE(CONTROL!$C$21, $C$9, 100%, $E$9)</f>
        <v>67.807599999999994</v>
      </c>
      <c r="T80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07" s="56">
        <f>(1000*CHOOSE(CONTROL!$C$42, 695, 695)*CHOOSE(CONTROL!$C$42, 0.5599, 0.5599)*CHOOSE(CONTROL!$C$42, 31, 31))/1000000</f>
        <v>12.063045499999998</v>
      </c>
      <c r="V807" s="56">
        <f>(1000*CHOOSE(CONTROL!$C$42, 500, 500)*CHOOSE(CONTROL!$C$42, 0.275, 0.275)*CHOOSE(CONTROL!$C$42, 31, 31))/1000000</f>
        <v>4.2625000000000002</v>
      </c>
      <c r="W807" s="56">
        <f>(1000*CHOOSE(CONTROL!$C$42, 0.1146, 0.1146)*CHOOSE(CONTROL!$C$42, 121.5, 121.5)*CHOOSE(CONTROL!$C$42, 31, 31))/1000000</f>
        <v>0.43164089999999994</v>
      </c>
      <c r="X807" s="56">
        <f>(31*0.1790888*100000/1000000)+(31*0.2374*100000/1000000)</f>
        <v>1.2911152800000001</v>
      </c>
      <c r="Y807" s="56"/>
      <c r="Z807" s="14"/>
      <c r="AA807" s="55"/>
      <c r="AB807" s="49">
        <f>(B807*122.58+C807*297.941+D807*89.177+E807*40.302+F807*40+G807*160+H807*0+I807*100+J807*300)/(122.58+297.941+89.177+40.302+0+40+160+100+300)</f>
        <v>70.622646503304352</v>
      </c>
      <c r="AC807" s="45">
        <f>(M807*'RAP TEMPLATE-GAS AVAILABILITY'!O806+N807*'RAP TEMPLATE-GAS AVAILABILITY'!P806+O807*'RAP TEMPLATE-GAS AVAILABILITY'!Q806+P807*'RAP TEMPLATE-GAS AVAILABILITY'!R806)/('RAP TEMPLATE-GAS AVAILABILITY'!O806+'RAP TEMPLATE-GAS AVAILABILITY'!P806+'RAP TEMPLATE-GAS AVAILABILITY'!Q806+'RAP TEMPLATE-GAS AVAILABILITY'!R806)</f>
        <v>69.410967625899275</v>
      </c>
    </row>
    <row r="808" spans="1:29" ht="15.75" x14ac:dyDescent="0.25">
      <c r="A808" s="32">
        <v>65500</v>
      </c>
      <c r="B808" s="14">
        <f>CHOOSE(CONTROL!$C$42, 70.3653, 70.3653) * CHOOSE(CONTROL!$C$21, $C$9, 100%, $E$9)</f>
        <v>70.365300000000005</v>
      </c>
      <c r="C808" s="14">
        <f>CHOOSE(CONTROL!$C$42, 70.3698, 70.3698) * CHOOSE(CONTROL!$C$21, $C$9, 100%, $E$9)</f>
        <v>70.369799999999998</v>
      </c>
      <c r="D808" s="14">
        <f>CHOOSE(CONTROL!$C$42, 70.632, 70.632) * CHOOSE(CONTROL!$C$21, $C$9, 100%, $E$9)</f>
        <v>70.632000000000005</v>
      </c>
      <c r="E808" s="14">
        <f>CHOOSE(CONTROL!$C$42, 70.6641, 70.6641) * CHOOSE(CONTROL!$C$21, $C$9, 100%, $E$9)</f>
        <v>70.664100000000005</v>
      </c>
      <c r="F808" s="14">
        <f>CHOOSE(CONTROL!$C$42, 70.3881, 70.3881)*CHOOSE(CONTROL!$C$21, $C$9, 100%, $E$9)</f>
        <v>70.388099999999994</v>
      </c>
      <c r="G808" s="14">
        <f>CHOOSE(CONTROL!$C$42, 70.4049, 70.4049)*CHOOSE(CONTROL!$C$21, $C$9, 100%, $E$9)</f>
        <v>70.404899999999998</v>
      </c>
      <c r="H808" s="14">
        <f>CHOOSE(CONTROL!$C$42, 70.6539, 70.6539) * CHOOSE(CONTROL!$C$21, $C$9, 100%, $E$9)</f>
        <v>70.653899999999993</v>
      </c>
      <c r="I808" s="14">
        <f>CHOOSE(CONTROL!$C$42, 70.6082, 70.6082)* CHOOSE(CONTROL!$C$21, $C$9, 100%, $E$9)</f>
        <v>70.608199999999997</v>
      </c>
      <c r="J808" s="14">
        <f>CHOOSE(CONTROL!$C$42, 70.3811, 70.3811)* CHOOSE(CONTROL!$C$21, $C$9, 100%, $E$9)</f>
        <v>70.381100000000004</v>
      </c>
      <c r="K808" s="52">
        <f>CHOOSE(CONTROL!$C$42, 70.6043, 70.6043) * CHOOSE(CONTROL!$C$21, $C$9, 100%, $E$9)</f>
        <v>70.604299999999995</v>
      </c>
      <c r="L808" s="14">
        <f>CHOOSE(CONTROL!$C$42, 71.2409, 71.2409) * CHOOSE(CONTROL!$C$21, $C$9, 100%, $E$9)</f>
        <v>71.240899999999996</v>
      </c>
      <c r="M808" s="14">
        <f>CHOOSE(CONTROL!$C$42, 69.1229, 69.1229) * CHOOSE(CONTROL!$C$21, $C$9, 100%, $E$9)</f>
        <v>69.122900000000001</v>
      </c>
      <c r="N808" s="14">
        <f>CHOOSE(CONTROL!$C$42, 69.1393, 69.1393) * CHOOSE(CONTROL!$C$21, $C$9, 100%, $E$9)</f>
        <v>69.139300000000006</v>
      </c>
      <c r="O808" s="14">
        <f>CHOOSE(CONTROL!$C$42, 69.3908, 69.3908) * CHOOSE(CONTROL!$C$21, $C$9, 100%, $E$9)</f>
        <v>69.390799999999999</v>
      </c>
      <c r="P808" s="14">
        <f>CHOOSE(CONTROL!$C$42, 69.342, 69.342) * CHOOSE(CONTROL!$C$21, $C$9, 100%, $E$9)</f>
        <v>69.341999999999999</v>
      </c>
      <c r="Q808" s="14">
        <f>CHOOSE(CONTROL!$C$42, 69.9855, 69.9855) * CHOOSE(CONTROL!$C$21, $C$9, 100%, $E$9)</f>
        <v>69.985500000000002</v>
      </c>
      <c r="R808" s="14">
        <f>CHOOSE(CONTROL!$C$42, 70.7475, 70.7475) * CHOOSE(CONTROL!$C$21, $C$9, 100%, $E$9)</f>
        <v>70.747500000000002</v>
      </c>
      <c r="S808" s="14">
        <f>CHOOSE(CONTROL!$C$42, 67.6047, 67.6047) * CHOOSE(CONTROL!$C$21, $C$9, 100%, $E$9)</f>
        <v>67.604699999999994</v>
      </c>
      <c r="T80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08" s="56">
        <f>(1000*CHOOSE(CONTROL!$C$42, 695, 695)*CHOOSE(CONTROL!$C$42, 0.5599, 0.5599)*CHOOSE(CONTROL!$C$42, 30, 30))/1000000</f>
        <v>11.673914999999997</v>
      </c>
      <c r="V808" s="56">
        <f>(1000*CHOOSE(CONTROL!$C$42, 500, 500)*CHOOSE(CONTROL!$C$42, 0.275, 0.275)*CHOOSE(CONTROL!$C$42, 30, 30))/1000000</f>
        <v>4.125</v>
      </c>
      <c r="W808" s="56">
        <f>(1000*CHOOSE(CONTROL!$C$42, 0.1146, 0.1146)*CHOOSE(CONTROL!$C$42, 121.5, 121.5)*CHOOSE(CONTROL!$C$42, 30, 30))/1000000</f>
        <v>0.417717</v>
      </c>
      <c r="X808" s="56">
        <f>(30*0.1790888*245000/1000000)+(30*0.2374*100000/1000000)</f>
        <v>2.0285026799999999</v>
      </c>
      <c r="Y808" s="56"/>
      <c r="Z808" s="14"/>
      <c r="AA808" s="55"/>
      <c r="AB808" s="49">
        <f>(B808*141.293+C808*267.993+D808*115.016+E808*89.698+F808*40+G808*185+H808*0+I808*100+J808*300)/(141.293+267.993+115.016+89.698+0+40+185+100+300)</f>
        <v>70.442741887086356</v>
      </c>
      <c r="AC808" s="45">
        <f>(M808*'RAP TEMPLATE-GAS AVAILABILITY'!O807+N808*'RAP TEMPLATE-GAS AVAILABILITY'!P807+O808*'RAP TEMPLATE-GAS AVAILABILITY'!Q807+P808*'RAP TEMPLATE-GAS AVAILABILITY'!R807)/('RAP TEMPLATE-GAS AVAILABILITY'!O807+'RAP TEMPLATE-GAS AVAILABILITY'!P807+'RAP TEMPLATE-GAS AVAILABILITY'!Q807+'RAP TEMPLATE-GAS AVAILABILITY'!R807)</f>
        <v>69.276791366906465</v>
      </c>
    </row>
    <row r="809" spans="1:29" ht="15.75" x14ac:dyDescent="0.25">
      <c r="A809" s="32">
        <v>65531</v>
      </c>
      <c r="B809" s="14">
        <f>CHOOSE(CONTROL!$C$42, 70.9877, 70.9877) * CHOOSE(CONTROL!$C$21, $C$9, 100%, $E$9)</f>
        <v>70.987700000000004</v>
      </c>
      <c r="C809" s="14">
        <f>CHOOSE(CONTROL!$C$42, 70.9957, 70.9957) * CHOOSE(CONTROL!$C$21, $C$9, 100%, $E$9)</f>
        <v>70.995699999999999</v>
      </c>
      <c r="D809" s="14">
        <f>CHOOSE(CONTROL!$C$42, 71.2548, 71.2548) * CHOOSE(CONTROL!$C$21, $C$9, 100%, $E$9)</f>
        <v>71.254800000000003</v>
      </c>
      <c r="E809" s="14">
        <f>CHOOSE(CONTROL!$C$42, 71.2863, 71.2863) * CHOOSE(CONTROL!$C$21, $C$9, 100%, $E$9)</f>
        <v>71.286299999999997</v>
      </c>
      <c r="F809" s="14">
        <f>CHOOSE(CONTROL!$C$42, 71.0092, 71.0092)*CHOOSE(CONTROL!$C$21, $C$9, 100%, $E$9)</f>
        <v>71.009200000000007</v>
      </c>
      <c r="G809" s="14">
        <f>CHOOSE(CONTROL!$C$42, 71.0262, 71.0262)*CHOOSE(CONTROL!$C$21, $C$9, 100%, $E$9)</f>
        <v>71.026200000000003</v>
      </c>
      <c r="H809" s="14">
        <f>CHOOSE(CONTROL!$C$42, 71.2749, 71.2749) * CHOOSE(CONTROL!$C$21, $C$9, 100%, $E$9)</f>
        <v>71.274900000000002</v>
      </c>
      <c r="I809" s="14">
        <f>CHOOSE(CONTROL!$C$42, 71.2311, 71.2311)* CHOOSE(CONTROL!$C$21, $C$9, 100%, $E$9)</f>
        <v>71.231099999999998</v>
      </c>
      <c r="J809" s="14">
        <f>CHOOSE(CONTROL!$C$42, 71.0022, 71.0022)* CHOOSE(CONTROL!$C$21, $C$9, 100%, $E$9)</f>
        <v>71.002200000000002</v>
      </c>
      <c r="K809" s="52">
        <f>CHOOSE(CONTROL!$C$42, 71.2272, 71.2272) * CHOOSE(CONTROL!$C$21, $C$9, 100%, $E$9)</f>
        <v>71.227199999999996</v>
      </c>
      <c r="L809" s="14">
        <f>CHOOSE(CONTROL!$C$42, 71.8619, 71.8619) * CHOOSE(CONTROL!$C$21, $C$9, 100%, $E$9)</f>
        <v>71.861900000000006</v>
      </c>
      <c r="M809" s="14">
        <f>CHOOSE(CONTROL!$C$42, 69.7328, 69.7328) * CHOOSE(CONTROL!$C$21, $C$9, 100%, $E$9)</f>
        <v>69.732799999999997</v>
      </c>
      <c r="N809" s="14">
        <f>CHOOSE(CONTROL!$C$42, 69.7495, 69.7495) * CHOOSE(CONTROL!$C$21, $C$9, 100%, $E$9)</f>
        <v>69.749499999999998</v>
      </c>
      <c r="O809" s="14">
        <f>CHOOSE(CONTROL!$C$42, 70.0006, 70.0006) * CHOOSE(CONTROL!$C$21, $C$9, 100%, $E$9)</f>
        <v>70.000600000000006</v>
      </c>
      <c r="P809" s="14">
        <f>CHOOSE(CONTROL!$C$42, 69.9537, 69.9537) * CHOOSE(CONTROL!$C$21, $C$9, 100%, $E$9)</f>
        <v>69.953699999999998</v>
      </c>
      <c r="Q809" s="14">
        <f>CHOOSE(CONTROL!$C$42, 70.5953, 70.5953) * CHOOSE(CONTROL!$C$21, $C$9, 100%, $E$9)</f>
        <v>70.595299999999995</v>
      </c>
      <c r="R809" s="14">
        <f>CHOOSE(CONTROL!$C$42, 71.3588, 71.3588) * CHOOSE(CONTROL!$C$21, $C$9, 100%, $E$9)</f>
        <v>71.358800000000002</v>
      </c>
      <c r="S809" s="14">
        <f>CHOOSE(CONTROL!$C$42, 68.2014, 68.2014) * CHOOSE(CONTROL!$C$21, $C$9, 100%, $E$9)</f>
        <v>68.201400000000007</v>
      </c>
      <c r="T80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09" s="56">
        <f>(1000*CHOOSE(CONTROL!$C$42, 695, 695)*CHOOSE(CONTROL!$C$42, 0.5599, 0.5599)*CHOOSE(CONTROL!$C$42, 31, 31))/1000000</f>
        <v>12.063045499999998</v>
      </c>
      <c r="V809" s="56">
        <f>(1000*CHOOSE(CONTROL!$C$42, 500, 500)*CHOOSE(CONTROL!$C$42, 0.275, 0.275)*CHOOSE(CONTROL!$C$42, 31, 31))/1000000</f>
        <v>4.2625000000000002</v>
      </c>
      <c r="W809" s="56">
        <f>(1000*CHOOSE(CONTROL!$C$42, 0.1146, 0.1146)*CHOOSE(CONTROL!$C$42, 121.5, 121.5)*CHOOSE(CONTROL!$C$42, 31, 31))/1000000</f>
        <v>0.43164089999999994</v>
      </c>
      <c r="X809" s="56">
        <f>(31*0.1790888*245000/1000000)+(31*0.2374*100000/1000000)</f>
        <v>2.0961194359999999</v>
      </c>
      <c r="Y809" s="56"/>
      <c r="Z809" s="14"/>
      <c r="AA809" s="55"/>
      <c r="AB809" s="49">
        <f>(B809*194.205+C809*267.466+D809*133.845+E809*53.484+F809*40+G809*185+H809*0+I809*100+J809*300)/(194.205+267.466+133.845+53.484+0+40+185+100+300)</f>
        <v>71.058761656122456</v>
      </c>
      <c r="AC809" s="45">
        <f>(M809*'RAP TEMPLATE-GAS AVAILABILITY'!O808+N809*'RAP TEMPLATE-GAS AVAILABILITY'!P808+O809*'RAP TEMPLATE-GAS AVAILABILITY'!Q808+P809*'RAP TEMPLATE-GAS AVAILABILITY'!R808)/('RAP TEMPLATE-GAS AVAILABILITY'!O808+'RAP TEMPLATE-GAS AVAILABILITY'!P808+'RAP TEMPLATE-GAS AVAILABILITY'!Q808+'RAP TEMPLATE-GAS AVAILABILITY'!R808)</f>
        <v>69.886922302158268</v>
      </c>
    </row>
    <row r="810" spans="1:29" ht="15.75" x14ac:dyDescent="0.25">
      <c r="A810" s="32">
        <v>65561</v>
      </c>
      <c r="B810" s="14">
        <f>CHOOSE(CONTROL!$C$42, 73.001, 73.001) * CHOOSE(CONTROL!$C$21, $C$9, 100%, $E$9)</f>
        <v>73.001000000000005</v>
      </c>
      <c r="C810" s="14">
        <f>CHOOSE(CONTROL!$C$42, 73.009, 73.009) * CHOOSE(CONTROL!$C$21, $C$9, 100%, $E$9)</f>
        <v>73.009</v>
      </c>
      <c r="D810" s="14">
        <f>CHOOSE(CONTROL!$C$42, 73.2681, 73.2681) * CHOOSE(CONTROL!$C$21, $C$9, 100%, $E$9)</f>
        <v>73.268100000000004</v>
      </c>
      <c r="E810" s="14">
        <f>CHOOSE(CONTROL!$C$42, 73.2996, 73.2996) * CHOOSE(CONTROL!$C$21, $C$9, 100%, $E$9)</f>
        <v>73.299599999999998</v>
      </c>
      <c r="F810" s="14">
        <f>CHOOSE(CONTROL!$C$42, 73.0228, 73.0228)*CHOOSE(CONTROL!$C$21, $C$9, 100%, $E$9)</f>
        <v>73.022800000000004</v>
      </c>
      <c r="G810" s="14">
        <f>CHOOSE(CONTROL!$C$42, 73.0398, 73.0398)*CHOOSE(CONTROL!$C$21, $C$9, 100%, $E$9)</f>
        <v>73.0398</v>
      </c>
      <c r="H810" s="14">
        <f>CHOOSE(CONTROL!$C$42, 73.2882, 73.2882) * CHOOSE(CONTROL!$C$21, $C$9, 100%, $E$9)</f>
        <v>73.288200000000003</v>
      </c>
      <c r="I810" s="14">
        <f>CHOOSE(CONTROL!$C$42, 73.2507, 73.2507)* CHOOSE(CONTROL!$C$21, $C$9, 100%, $E$9)</f>
        <v>73.250699999999995</v>
      </c>
      <c r="J810" s="14">
        <f>CHOOSE(CONTROL!$C$42, 73.0158, 73.0158)* CHOOSE(CONTROL!$C$21, $C$9, 100%, $E$9)</f>
        <v>73.015799999999999</v>
      </c>
      <c r="K810" s="52">
        <f>CHOOSE(CONTROL!$C$42, 73.2468, 73.2468) * CHOOSE(CONTROL!$C$21, $C$9, 100%, $E$9)</f>
        <v>73.246799999999993</v>
      </c>
      <c r="L810" s="14">
        <f>CHOOSE(CONTROL!$C$42, 73.8752, 73.8752) * CHOOSE(CONTROL!$C$21, $C$9, 100%, $E$9)</f>
        <v>73.875200000000007</v>
      </c>
      <c r="M810" s="14">
        <f>CHOOSE(CONTROL!$C$42, 71.7102, 71.7102) * CHOOSE(CONTROL!$C$21, $C$9, 100%, $E$9)</f>
        <v>71.7102</v>
      </c>
      <c r="N810" s="14">
        <f>CHOOSE(CONTROL!$C$42, 71.7269, 71.7269) * CHOOSE(CONTROL!$C$21, $C$9, 100%, $E$9)</f>
        <v>71.726900000000001</v>
      </c>
      <c r="O810" s="14">
        <f>CHOOSE(CONTROL!$C$42, 71.9777, 71.9777) * CHOOSE(CONTROL!$C$21, $C$9, 100%, $E$9)</f>
        <v>71.977699999999999</v>
      </c>
      <c r="P810" s="14">
        <f>CHOOSE(CONTROL!$C$42, 71.9369, 71.9369) * CHOOSE(CONTROL!$C$21, $C$9, 100%, $E$9)</f>
        <v>71.936899999999994</v>
      </c>
      <c r="Q810" s="14">
        <f>CHOOSE(CONTROL!$C$42, 72.5724, 72.5724) * CHOOSE(CONTROL!$C$21, $C$9, 100%, $E$9)</f>
        <v>72.572400000000002</v>
      </c>
      <c r="R810" s="14">
        <f>CHOOSE(CONTROL!$C$42, 73.3408, 73.3408) * CHOOSE(CONTROL!$C$21, $C$9, 100%, $E$9)</f>
        <v>73.340800000000002</v>
      </c>
      <c r="S810" s="14">
        <f>CHOOSE(CONTROL!$C$42, 70.136, 70.136) * CHOOSE(CONTROL!$C$21, $C$9, 100%, $E$9)</f>
        <v>70.135999999999996</v>
      </c>
      <c r="T81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810" s="56">
        <f>(1000*CHOOSE(CONTROL!$C$42, 695, 695)*CHOOSE(CONTROL!$C$42, 0.5599, 0.5599)*CHOOSE(CONTROL!$C$42, 30, 30))/1000000</f>
        <v>11.673914999999997</v>
      </c>
      <c r="V810" s="56">
        <f>(1000*CHOOSE(CONTROL!$C$42, 500, 500)*CHOOSE(CONTROL!$C$42, 0.275, 0.275)*CHOOSE(CONTROL!$C$42, 30, 30))/1000000</f>
        <v>4.125</v>
      </c>
      <c r="W810" s="56">
        <f>(1000*CHOOSE(CONTROL!$C$42, 0.1146, 0.1146)*CHOOSE(CONTROL!$C$42, 121.5, 121.5)*CHOOSE(CONTROL!$C$42, 30, 30))/1000000</f>
        <v>0.417717</v>
      </c>
      <c r="X810" s="56">
        <f>(30*0.1790888*245000/1000000)+(30*0.2374*100000/1000000)</f>
        <v>2.0285026799999999</v>
      </c>
      <c r="Y810" s="56"/>
      <c r="Z810" s="14"/>
      <c r="AA810" s="55"/>
      <c r="AB810" s="49">
        <f>(B810*194.205+C810*267.466+D810*133.845+E810*53.484+F810*40+G810*185+H810*0+I810*100+J810*300)/(194.205+267.466+133.845+53.484+0+40+185+100+300)</f>
        <v>73.072679787990566</v>
      </c>
      <c r="AC810" s="45">
        <f>(M810*'RAP TEMPLATE-GAS AVAILABILITY'!O809+N810*'RAP TEMPLATE-GAS AVAILABILITY'!P809+O810*'RAP TEMPLATE-GAS AVAILABILITY'!Q809+P810*'RAP TEMPLATE-GAS AVAILABILITY'!R809)/('RAP TEMPLATE-GAS AVAILABILITY'!O809+'RAP TEMPLATE-GAS AVAILABILITY'!P809+'RAP TEMPLATE-GAS AVAILABILITY'!Q809+'RAP TEMPLATE-GAS AVAILABILITY'!R809)</f>
        <v>71.865020863309368</v>
      </c>
    </row>
    <row r="811" spans="1:29" ht="15.75" x14ac:dyDescent="0.25">
      <c r="A811" s="32">
        <v>65592</v>
      </c>
      <c r="B811" s="14">
        <f>CHOOSE(CONTROL!$C$42, 71.6007, 71.6007) * CHOOSE(CONTROL!$C$21, $C$9, 100%, $E$9)</f>
        <v>71.600700000000003</v>
      </c>
      <c r="C811" s="14">
        <f>CHOOSE(CONTROL!$C$42, 71.6087, 71.6087) * CHOOSE(CONTROL!$C$21, $C$9, 100%, $E$9)</f>
        <v>71.608699999999999</v>
      </c>
      <c r="D811" s="14">
        <f>CHOOSE(CONTROL!$C$42, 71.8678, 71.8678) * CHOOSE(CONTROL!$C$21, $C$9, 100%, $E$9)</f>
        <v>71.867800000000003</v>
      </c>
      <c r="E811" s="14">
        <f>CHOOSE(CONTROL!$C$42, 71.8993, 71.8993) * CHOOSE(CONTROL!$C$21, $C$9, 100%, $E$9)</f>
        <v>71.899299999999997</v>
      </c>
      <c r="F811" s="14">
        <f>CHOOSE(CONTROL!$C$42, 71.6229, 71.6229)*CHOOSE(CONTROL!$C$21, $C$9, 100%, $E$9)</f>
        <v>71.622900000000001</v>
      </c>
      <c r="G811" s="14">
        <f>CHOOSE(CONTROL!$C$42, 71.6401, 71.6401)*CHOOSE(CONTROL!$C$21, $C$9, 100%, $E$9)</f>
        <v>71.640100000000004</v>
      </c>
      <c r="H811" s="14">
        <f>CHOOSE(CONTROL!$C$42, 71.8879, 71.8879) * CHOOSE(CONTROL!$C$21, $C$9, 100%, $E$9)</f>
        <v>71.887900000000002</v>
      </c>
      <c r="I811" s="14">
        <f>CHOOSE(CONTROL!$C$42, 71.8461, 71.8461)* CHOOSE(CONTROL!$C$21, $C$9, 100%, $E$9)</f>
        <v>71.846100000000007</v>
      </c>
      <c r="J811" s="14">
        <f>CHOOSE(CONTROL!$C$42, 71.6159, 71.6159)* CHOOSE(CONTROL!$C$21, $C$9, 100%, $E$9)</f>
        <v>71.615899999999996</v>
      </c>
      <c r="K811" s="52">
        <f>CHOOSE(CONTROL!$C$42, 71.8422, 71.8422) * CHOOSE(CONTROL!$C$21, $C$9, 100%, $E$9)</f>
        <v>71.842200000000005</v>
      </c>
      <c r="L811" s="14">
        <f>CHOOSE(CONTROL!$C$42, 72.4749, 72.4749) * CHOOSE(CONTROL!$C$21, $C$9, 100%, $E$9)</f>
        <v>72.474900000000005</v>
      </c>
      <c r="M811" s="14">
        <f>CHOOSE(CONTROL!$C$42, 70.3355, 70.3355) * CHOOSE(CONTROL!$C$21, $C$9, 100%, $E$9)</f>
        <v>70.335499999999996</v>
      </c>
      <c r="N811" s="14">
        <f>CHOOSE(CONTROL!$C$42, 70.3523, 70.3523) * CHOOSE(CONTROL!$C$21, $C$9, 100%, $E$9)</f>
        <v>70.3523</v>
      </c>
      <c r="O811" s="14">
        <f>CHOOSE(CONTROL!$C$42, 70.6026, 70.6026) * CHOOSE(CONTROL!$C$21, $C$9, 100%, $E$9)</f>
        <v>70.602599999999995</v>
      </c>
      <c r="P811" s="14">
        <f>CHOOSE(CONTROL!$C$42, 70.5576, 70.5576) * CHOOSE(CONTROL!$C$21, $C$9, 100%, $E$9)</f>
        <v>70.557599999999994</v>
      </c>
      <c r="Q811" s="14">
        <f>CHOOSE(CONTROL!$C$42, 71.1973, 71.1973) * CHOOSE(CONTROL!$C$21, $C$9, 100%, $E$9)</f>
        <v>71.197299999999998</v>
      </c>
      <c r="R811" s="14">
        <f>CHOOSE(CONTROL!$C$42, 71.9623, 71.9623) * CHOOSE(CONTROL!$C$21, $C$9, 100%, $E$9)</f>
        <v>71.962299999999999</v>
      </c>
      <c r="S811" s="14">
        <f>CHOOSE(CONTROL!$C$42, 68.7905, 68.7905) * CHOOSE(CONTROL!$C$21, $C$9, 100%, $E$9)</f>
        <v>68.790499999999994</v>
      </c>
      <c r="T81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811" s="56">
        <f>(1000*CHOOSE(CONTROL!$C$42, 695, 695)*CHOOSE(CONTROL!$C$42, 0.5599, 0.5599)*CHOOSE(CONTROL!$C$42, 31, 31))/1000000</f>
        <v>12.063045499999998</v>
      </c>
      <c r="V811" s="56">
        <f>(1000*CHOOSE(CONTROL!$C$42, 500, 500)*CHOOSE(CONTROL!$C$42, 0.275, 0.275)*CHOOSE(CONTROL!$C$42, 31, 31))/1000000</f>
        <v>4.2625000000000002</v>
      </c>
      <c r="W811" s="56">
        <f>(1000*CHOOSE(CONTROL!$C$42, 0.1146, 0.1146)*CHOOSE(CONTROL!$C$42, 121.5, 121.5)*CHOOSE(CONTROL!$C$42, 31, 31))/1000000</f>
        <v>0.43164089999999994</v>
      </c>
      <c r="X811" s="56">
        <f>(31*0.1790888*245000/1000000)+(31*0.2374*100000/1000000)</f>
        <v>2.0961194359999999</v>
      </c>
      <c r="Y811" s="56"/>
      <c r="Z811" s="14"/>
      <c r="AA811" s="55"/>
      <c r="AB811" s="49">
        <f>(B811*194.205+C811*267.466+D811*133.845+E811*53.484+F811*40+G811*185+H811*0+I811*100+J811*300)/(194.205+267.466+133.845+53.484+0+40+185+100+300)</f>
        <v>71.672236145918362</v>
      </c>
      <c r="AC811" s="45">
        <f>(M811*'RAP TEMPLATE-GAS AVAILABILITY'!O810+N811*'RAP TEMPLATE-GAS AVAILABILITY'!P810+O811*'RAP TEMPLATE-GAS AVAILABILITY'!Q810+P811*'RAP TEMPLATE-GAS AVAILABILITY'!R810)/('RAP TEMPLATE-GAS AVAILABILITY'!O810+'RAP TEMPLATE-GAS AVAILABILITY'!P810+'RAP TEMPLATE-GAS AVAILABILITY'!Q810+'RAP TEMPLATE-GAS AVAILABILITY'!R810)</f>
        <v>70.489483453237412</v>
      </c>
    </row>
    <row r="812" spans="1:29" ht="15.75" x14ac:dyDescent="0.25">
      <c r="A812" s="32">
        <v>65623</v>
      </c>
      <c r="B812" s="14">
        <f>CHOOSE(CONTROL!$C$42, 68.0646, 68.0646) * CHOOSE(CONTROL!$C$21, $C$9, 100%, $E$9)</f>
        <v>68.064599999999999</v>
      </c>
      <c r="C812" s="14">
        <f>CHOOSE(CONTROL!$C$42, 68.0726, 68.0726) * CHOOSE(CONTROL!$C$21, $C$9, 100%, $E$9)</f>
        <v>68.072599999999994</v>
      </c>
      <c r="D812" s="14">
        <f>CHOOSE(CONTROL!$C$42, 68.3317, 68.3317) * CHOOSE(CONTROL!$C$21, $C$9, 100%, $E$9)</f>
        <v>68.331699999999998</v>
      </c>
      <c r="E812" s="14">
        <f>CHOOSE(CONTROL!$C$42, 68.3632, 68.3632) * CHOOSE(CONTROL!$C$21, $C$9, 100%, $E$9)</f>
        <v>68.363200000000006</v>
      </c>
      <c r="F812" s="14">
        <f>CHOOSE(CONTROL!$C$42, 68.087, 68.087)*CHOOSE(CONTROL!$C$21, $C$9, 100%, $E$9)</f>
        <v>68.087000000000003</v>
      </c>
      <c r="G812" s="14">
        <f>CHOOSE(CONTROL!$C$42, 68.1042, 68.1042)*CHOOSE(CONTROL!$C$21, $C$9, 100%, $E$9)</f>
        <v>68.104200000000006</v>
      </c>
      <c r="H812" s="14">
        <f>CHOOSE(CONTROL!$C$42, 68.3518, 68.3518) * CHOOSE(CONTROL!$C$21, $C$9, 100%, $E$9)</f>
        <v>68.351799999999997</v>
      </c>
      <c r="I812" s="14">
        <f>CHOOSE(CONTROL!$C$42, 68.2988, 68.2988)* CHOOSE(CONTROL!$C$21, $C$9, 100%, $E$9)</f>
        <v>68.2988</v>
      </c>
      <c r="J812" s="14">
        <f>CHOOSE(CONTROL!$C$42, 68.08, 68.08)* CHOOSE(CONTROL!$C$21, $C$9, 100%, $E$9)</f>
        <v>68.08</v>
      </c>
      <c r="K812" s="52">
        <f>CHOOSE(CONTROL!$C$42, 68.2949, 68.2949) * CHOOSE(CONTROL!$C$21, $C$9, 100%, $E$9)</f>
        <v>68.294899999999998</v>
      </c>
      <c r="L812" s="14">
        <f>CHOOSE(CONTROL!$C$42, 68.9388, 68.9388) * CHOOSE(CONTROL!$C$21, $C$9, 100%, $E$9)</f>
        <v>68.938800000000001</v>
      </c>
      <c r="M812" s="14">
        <f>CHOOSE(CONTROL!$C$42, 66.8631, 66.8631) * CHOOSE(CONTROL!$C$21, $C$9, 100%, $E$9)</f>
        <v>66.863100000000003</v>
      </c>
      <c r="N812" s="14">
        <f>CHOOSE(CONTROL!$C$42, 66.88, 66.88) * CHOOSE(CONTROL!$C$21, $C$9, 100%, $E$9)</f>
        <v>66.88</v>
      </c>
      <c r="O812" s="14">
        <f>CHOOSE(CONTROL!$C$42, 67.1301, 67.1301) * CHOOSE(CONTROL!$C$21, $C$9, 100%, $E$9)</f>
        <v>67.130099999999999</v>
      </c>
      <c r="P812" s="14">
        <f>CHOOSE(CONTROL!$C$42, 67.0744, 67.0744) * CHOOSE(CONTROL!$C$21, $C$9, 100%, $E$9)</f>
        <v>67.074399999999997</v>
      </c>
      <c r="Q812" s="14">
        <f>CHOOSE(CONTROL!$C$42, 67.7248, 67.7248) * CHOOSE(CONTROL!$C$21, $C$9, 100%, $E$9)</f>
        <v>67.724800000000002</v>
      </c>
      <c r="R812" s="14">
        <f>CHOOSE(CONTROL!$C$42, 68.4811, 68.4811) * CHOOSE(CONTROL!$C$21, $C$9, 100%, $E$9)</f>
        <v>68.481099999999998</v>
      </c>
      <c r="S812" s="14">
        <f>CHOOSE(CONTROL!$C$42, 65.3926, 65.3926) * CHOOSE(CONTROL!$C$21, $C$9, 100%, $E$9)</f>
        <v>65.392600000000002</v>
      </c>
      <c r="T81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12" s="56">
        <f>(1000*CHOOSE(CONTROL!$C$42, 695, 695)*CHOOSE(CONTROL!$C$42, 0.5599, 0.5599)*CHOOSE(CONTROL!$C$42, 31, 31))/1000000</f>
        <v>12.063045499999998</v>
      </c>
      <c r="V812" s="56">
        <f>(1000*CHOOSE(CONTROL!$C$42, 500, 500)*CHOOSE(CONTROL!$C$42, 0.275, 0.275)*CHOOSE(CONTROL!$C$42, 31, 31))/1000000</f>
        <v>4.2625000000000002</v>
      </c>
      <c r="W812" s="56">
        <f>(1000*CHOOSE(CONTROL!$C$42, 0.1146, 0.1146)*CHOOSE(CONTROL!$C$42, 121.5, 121.5)*CHOOSE(CONTROL!$C$42, 31, 31))/1000000</f>
        <v>0.43164089999999994</v>
      </c>
      <c r="X812" s="56">
        <f>(31*0.1790888*245000/1000000)+(31*0.2374*100000/1000000)</f>
        <v>2.0961194359999999</v>
      </c>
      <c r="Y812" s="56"/>
      <c r="Z812" s="14"/>
      <c r="AA812" s="55"/>
      <c r="AB812" s="49">
        <f>(B812*194.205+C812*267.466+D812*133.845+E812*53.484+F812*40+G812*185+H812*0+I812*100+J812*300)/(194.205+267.466+133.845+53.484+0+40+185+100+300)</f>
        <v>68.135339442621671</v>
      </c>
      <c r="AC812" s="45">
        <f>(M812*'RAP TEMPLATE-GAS AVAILABILITY'!O811+N812*'RAP TEMPLATE-GAS AVAILABILITY'!P811+O812*'RAP TEMPLATE-GAS AVAILABILITY'!Q811+P812*'RAP TEMPLATE-GAS AVAILABILITY'!R811)/('RAP TEMPLATE-GAS AVAILABILITY'!O811+'RAP TEMPLATE-GAS AVAILABILITY'!P811+'RAP TEMPLATE-GAS AVAILABILITY'!Q811+'RAP TEMPLATE-GAS AVAILABILITY'!R811)</f>
        <v>67.015489928057562</v>
      </c>
    </row>
    <row r="813" spans="1:29" ht="15.75" x14ac:dyDescent="0.25">
      <c r="A813" s="32">
        <v>65653</v>
      </c>
      <c r="B813" s="14">
        <f>CHOOSE(CONTROL!$C$42, 63.7438, 63.7438) * CHOOSE(CONTROL!$C$21, $C$9, 100%, $E$9)</f>
        <v>63.7438</v>
      </c>
      <c r="C813" s="14">
        <f>CHOOSE(CONTROL!$C$42, 63.7518, 63.7518) * CHOOSE(CONTROL!$C$21, $C$9, 100%, $E$9)</f>
        <v>63.751800000000003</v>
      </c>
      <c r="D813" s="14">
        <f>CHOOSE(CONTROL!$C$42, 64.0109, 64.0109) * CHOOSE(CONTROL!$C$21, $C$9, 100%, $E$9)</f>
        <v>64.010900000000007</v>
      </c>
      <c r="E813" s="14">
        <f>CHOOSE(CONTROL!$C$42, 64.0424, 64.0424) * CHOOSE(CONTROL!$C$21, $C$9, 100%, $E$9)</f>
        <v>64.042400000000001</v>
      </c>
      <c r="F813" s="14">
        <f>CHOOSE(CONTROL!$C$42, 63.7663, 63.7663)*CHOOSE(CONTROL!$C$21, $C$9, 100%, $E$9)</f>
        <v>63.766300000000001</v>
      </c>
      <c r="G813" s="14">
        <f>CHOOSE(CONTROL!$C$42, 63.7835, 63.7835)*CHOOSE(CONTROL!$C$21, $C$9, 100%, $E$9)</f>
        <v>63.783499999999997</v>
      </c>
      <c r="H813" s="14">
        <f>CHOOSE(CONTROL!$C$42, 64.031, 64.031) * CHOOSE(CONTROL!$C$21, $C$9, 100%, $E$9)</f>
        <v>64.031000000000006</v>
      </c>
      <c r="I813" s="14">
        <f>CHOOSE(CONTROL!$C$42, 63.9646, 63.9646)* CHOOSE(CONTROL!$C$21, $C$9, 100%, $E$9)</f>
        <v>63.964599999999997</v>
      </c>
      <c r="J813" s="14">
        <f>CHOOSE(CONTROL!$C$42, 63.7593, 63.7593)* CHOOSE(CONTROL!$C$21, $C$9, 100%, $E$9)</f>
        <v>63.759300000000003</v>
      </c>
      <c r="K813" s="52">
        <f>CHOOSE(CONTROL!$C$42, 63.9607, 63.9607) * CHOOSE(CONTROL!$C$21, $C$9, 100%, $E$9)</f>
        <v>63.960700000000003</v>
      </c>
      <c r="L813" s="14">
        <f>CHOOSE(CONTROL!$C$42, 64.618, 64.618) * CHOOSE(CONTROL!$C$21, $C$9, 100%, $E$9)</f>
        <v>64.617999999999995</v>
      </c>
      <c r="M813" s="14">
        <f>CHOOSE(CONTROL!$C$42, 62.6202, 62.6202) * CHOOSE(CONTROL!$C$21, $C$9, 100%, $E$9)</f>
        <v>62.620199999999997</v>
      </c>
      <c r="N813" s="14">
        <f>CHOOSE(CONTROL!$C$42, 62.6371, 62.6371) * CHOOSE(CONTROL!$C$21, $C$9, 100%, $E$9)</f>
        <v>62.637099999999997</v>
      </c>
      <c r="O813" s="14">
        <f>CHOOSE(CONTROL!$C$42, 62.887, 62.887) * CHOOSE(CONTROL!$C$21, $C$9, 100%, $E$9)</f>
        <v>62.887</v>
      </c>
      <c r="P813" s="14">
        <f>CHOOSE(CONTROL!$C$42, 62.8183, 62.8183) * CHOOSE(CONTROL!$C$21, $C$9, 100%, $E$9)</f>
        <v>62.818300000000001</v>
      </c>
      <c r="Q813" s="14">
        <f>CHOOSE(CONTROL!$C$42, 63.4817, 63.4817) * CHOOSE(CONTROL!$C$21, $C$9, 100%, $E$9)</f>
        <v>63.481699999999996</v>
      </c>
      <c r="R813" s="14">
        <f>CHOOSE(CONTROL!$C$42, 64.2274, 64.2274) * CHOOSE(CONTROL!$C$21, $C$9, 100%, $E$9)</f>
        <v>64.227400000000003</v>
      </c>
      <c r="S813" s="14">
        <f>CHOOSE(CONTROL!$C$42, 61.2408, 61.2408) * CHOOSE(CONTROL!$C$21, $C$9, 100%, $E$9)</f>
        <v>61.2408</v>
      </c>
      <c r="T81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13" s="56">
        <f>(1000*CHOOSE(CONTROL!$C$42, 695, 695)*CHOOSE(CONTROL!$C$42, 0.5599, 0.5599)*CHOOSE(CONTROL!$C$42, 30, 30))/1000000</f>
        <v>11.673914999999997</v>
      </c>
      <c r="V813" s="56">
        <f>(1000*CHOOSE(CONTROL!$C$42, 500, 500)*CHOOSE(CONTROL!$C$42, 0.275, 0.275)*CHOOSE(CONTROL!$C$42, 30, 30))/1000000</f>
        <v>4.125</v>
      </c>
      <c r="W813" s="56">
        <f>(1000*CHOOSE(CONTROL!$C$42, 0.1146, 0.1146)*CHOOSE(CONTROL!$C$42, 121.5, 121.5)*CHOOSE(CONTROL!$C$42, 30, 30))/1000000</f>
        <v>0.417717</v>
      </c>
      <c r="X813" s="56">
        <f>(30*0.1790888*245000/1000000)+(30*0.2374*100000/1000000)</f>
        <v>2.0285026799999999</v>
      </c>
      <c r="Y813" s="56"/>
      <c r="Z813" s="14"/>
      <c r="AA813" s="55"/>
      <c r="AB813" s="49">
        <f>(B813*194.205+C813*267.466+D813*133.845+E813*53.484+F813*40+G813*185+H813*0+I813*100+J813*300)/(194.205+267.466+133.845+53.484+0+40+185+100+300)</f>
        <v>63.813528846075357</v>
      </c>
      <c r="AC813" s="45">
        <f>(M813*'RAP TEMPLATE-GAS AVAILABILITY'!O812+N813*'RAP TEMPLATE-GAS AVAILABILITY'!P812+O813*'RAP TEMPLATE-GAS AVAILABILITY'!Q812+P813*'RAP TEMPLATE-GAS AVAILABILITY'!R812)/('RAP TEMPLATE-GAS AVAILABILITY'!O812+'RAP TEMPLATE-GAS AVAILABILITY'!P812+'RAP TEMPLATE-GAS AVAILABILITY'!Q812+'RAP TEMPLATE-GAS AVAILABILITY'!R812)</f>
        <v>62.770599999999995</v>
      </c>
    </row>
    <row r="814" spans="1:29" ht="15.75" x14ac:dyDescent="0.25">
      <c r="A814" s="32">
        <v>65684</v>
      </c>
      <c r="B814" s="14">
        <f>CHOOSE(CONTROL!$C$42, 62.448, 62.448) * CHOOSE(CONTROL!$C$21, $C$9, 100%, $E$9)</f>
        <v>62.448</v>
      </c>
      <c r="C814" s="14">
        <f>CHOOSE(CONTROL!$C$42, 62.4534, 62.4534) * CHOOSE(CONTROL!$C$21, $C$9, 100%, $E$9)</f>
        <v>62.453400000000002</v>
      </c>
      <c r="D814" s="14">
        <f>CHOOSE(CONTROL!$C$42, 62.7174, 62.7174) * CHOOSE(CONTROL!$C$21, $C$9, 100%, $E$9)</f>
        <v>62.717399999999998</v>
      </c>
      <c r="E814" s="14">
        <f>CHOOSE(CONTROL!$C$42, 62.7465, 62.7465) * CHOOSE(CONTROL!$C$21, $C$9, 100%, $E$9)</f>
        <v>62.746499999999997</v>
      </c>
      <c r="F814" s="14">
        <f>CHOOSE(CONTROL!$C$42, 62.4727, 62.4727)*CHOOSE(CONTROL!$C$21, $C$9, 100%, $E$9)</f>
        <v>62.472700000000003</v>
      </c>
      <c r="G814" s="14">
        <f>CHOOSE(CONTROL!$C$42, 62.4898, 62.4898)*CHOOSE(CONTROL!$C$21, $C$9, 100%, $E$9)</f>
        <v>62.489800000000002</v>
      </c>
      <c r="H814" s="14">
        <f>CHOOSE(CONTROL!$C$42, 62.737, 62.737) * CHOOSE(CONTROL!$C$21, $C$9, 100%, $E$9)</f>
        <v>62.737000000000002</v>
      </c>
      <c r="I814" s="14">
        <f>CHOOSE(CONTROL!$C$42, 62.6665, 62.6665)* CHOOSE(CONTROL!$C$21, $C$9, 100%, $E$9)</f>
        <v>62.666499999999999</v>
      </c>
      <c r="J814" s="14">
        <f>CHOOSE(CONTROL!$C$42, 62.4657, 62.4657)* CHOOSE(CONTROL!$C$21, $C$9, 100%, $E$9)</f>
        <v>62.465699999999998</v>
      </c>
      <c r="K814" s="52">
        <f>CHOOSE(CONTROL!$C$42, 62.6626, 62.6626) * CHOOSE(CONTROL!$C$21, $C$9, 100%, $E$9)</f>
        <v>62.662599999999998</v>
      </c>
      <c r="L814" s="14">
        <f>CHOOSE(CONTROL!$C$42, 63.324, 63.324) * CHOOSE(CONTROL!$C$21, $C$9, 100%, $E$9)</f>
        <v>63.323999999999998</v>
      </c>
      <c r="M814" s="14">
        <f>CHOOSE(CONTROL!$C$42, 61.3498, 61.3498) * CHOOSE(CONTROL!$C$21, $C$9, 100%, $E$9)</f>
        <v>61.349800000000002</v>
      </c>
      <c r="N814" s="14">
        <f>CHOOSE(CONTROL!$C$42, 61.3666, 61.3666) * CHOOSE(CONTROL!$C$21, $C$9, 100%, $E$9)</f>
        <v>61.366599999999998</v>
      </c>
      <c r="O814" s="14">
        <f>CHOOSE(CONTROL!$C$42, 61.6163, 61.6163) * CHOOSE(CONTROL!$C$21, $C$9, 100%, $E$9)</f>
        <v>61.616300000000003</v>
      </c>
      <c r="P814" s="14">
        <f>CHOOSE(CONTROL!$C$42, 61.5436, 61.5436) * CHOOSE(CONTROL!$C$21, $C$9, 100%, $E$9)</f>
        <v>61.543599999999998</v>
      </c>
      <c r="Q814" s="14">
        <f>CHOOSE(CONTROL!$C$42, 62.211, 62.211) * CHOOSE(CONTROL!$C$21, $C$9, 100%, $E$9)</f>
        <v>62.210999999999999</v>
      </c>
      <c r="R814" s="14">
        <f>CHOOSE(CONTROL!$C$42, 62.9535, 62.9535) * CHOOSE(CONTROL!$C$21, $C$9, 100%, $E$9)</f>
        <v>62.953499999999998</v>
      </c>
      <c r="S814" s="14">
        <f>CHOOSE(CONTROL!$C$42, 59.9974, 59.9974) * CHOOSE(CONTROL!$C$21, $C$9, 100%, $E$9)</f>
        <v>59.997399999999999</v>
      </c>
      <c r="T81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14" s="56">
        <f>(1000*CHOOSE(CONTROL!$C$42, 695, 695)*CHOOSE(CONTROL!$C$42, 0.5599, 0.5599)*CHOOSE(CONTROL!$C$42, 31, 31))/1000000</f>
        <v>12.063045499999998</v>
      </c>
      <c r="V814" s="56">
        <f>(1000*CHOOSE(CONTROL!$C$42, 500, 500)*CHOOSE(CONTROL!$C$42, 0.275, 0.275)*CHOOSE(CONTROL!$C$42, 31, 31))/1000000</f>
        <v>4.2625000000000002</v>
      </c>
      <c r="W814" s="56">
        <f>(1000*CHOOSE(CONTROL!$C$42, 0.1146, 0.1146)*CHOOSE(CONTROL!$C$42, 121.5, 121.5)*CHOOSE(CONTROL!$C$42, 31, 31))/1000000</f>
        <v>0.43164089999999994</v>
      </c>
      <c r="X814" s="56">
        <f>(31*0.1790888*245000/1000000)+(31*0.2374*100000/1000000)</f>
        <v>2.0961194359999999</v>
      </c>
      <c r="Y814" s="56"/>
      <c r="Z814" s="14"/>
      <c r="AA814" s="55"/>
      <c r="AB814" s="49">
        <f>(B814*131.881+C814*277.167+D814*79.08+E814*125.872+F814*40+G814*185+H814*0+I814*100+J814*300)/(131.881+277.167+79.08+125.872+0+40+185+100+300)</f>
        <v>62.525687365456015</v>
      </c>
      <c r="AC814" s="45">
        <f>(M814*'RAP TEMPLATE-GAS AVAILABILITY'!O813+N814*'RAP TEMPLATE-GAS AVAILABILITY'!P813+O814*'RAP TEMPLATE-GAS AVAILABILITY'!Q813+P814*'RAP TEMPLATE-GAS AVAILABILITY'!R813)/('RAP TEMPLATE-GAS AVAILABILITY'!O813+'RAP TEMPLATE-GAS AVAILABILITY'!P813+'RAP TEMPLATE-GAS AVAILABILITY'!Q813+'RAP TEMPLATE-GAS AVAILABILITY'!R813)</f>
        <v>61.499439568345331</v>
      </c>
    </row>
    <row r="815" spans="1:29" ht="15.75" x14ac:dyDescent="0.25">
      <c r="A815" s="32">
        <v>65714</v>
      </c>
      <c r="B815" s="14">
        <f>CHOOSE(CONTROL!$C$42, 64.0925, 64.0925) * CHOOSE(CONTROL!$C$21, $C$9, 100%, $E$9)</f>
        <v>64.092500000000001</v>
      </c>
      <c r="C815" s="14">
        <f>CHOOSE(CONTROL!$C$42, 64.0976, 64.0976) * CHOOSE(CONTROL!$C$21, $C$9, 100%, $E$9)</f>
        <v>64.0976</v>
      </c>
      <c r="D815" s="14">
        <f>CHOOSE(CONTROL!$C$42, 64.1807, 64.1807) * CHOOSE(CONTROL!$C$21, $C$9, 100%, $E$9)</f>
        <v>64.180700000000002</v>
      </c>
      <c r="E815" s="14">
        <f>CHOOSE(CONTROL!$C$42, 64.2148, 64.2148) * CHOOSE(CONTROL!$C$21, $C$9, 100%, $E$9)</f>
        <v>64.214799999999997</v>
      </c>
      <c r="F815" s="14">
        <f>CHOOSE(CONTROL!$C$42, 64.1202, 64.1202)*CHOOSE(CONTROL!$C$21, $C$9, 100%, $E$9)</f>
        <v>64.120199999999997</v>
      </c>
      <c r="G815" s="14">
        <f>CHOOSE(CONTROL!$C$42, 64.1375, 64.1375)*CHOOSE(CONTROL!$C$21, $C$9, 100%, $E$9)</f>
        <v>64.137500000000003</v>
      </c>
      <c r="H815" s="14">
        <f>CHOOSE(CONTROL!$C$42, 64.204, 64.204) * CHOOSE(CONTROL!$C$21, $C$9, 100%, $E$9)</f>
        <v>64.203999999999994</v>
      </c>
      <c r="I815" s="14">
        <f>CHOOSE(CONTROL!$C$42, 64.3129, 64.3129)* CHOOSE(CONTROL!$C$21, $C$9, 100%, $E$9)</f>
        <v>64.312899999999999</v>
      </c>
      <c r="J815" s="14">
        <f>CHOOSE(CONTROL!$C$42, 64.1132, 64.1132)* CHOOSE(CONTROL!$C$21, $C$9, 100%, $E$9)</f>
        <v>64.113200000000006</v>
      </c>
      <c r="K815" s="52">
        <f>CHOOSE(CONTROL!$C$42, 64.309, 64.309) * CHOOSE(CONTROL!$C$21, $C$9, 100%, $E$9)</f>
        <v>64.308999999999997</v>
      </c>
      <c r="L815" s="14">
        <f>CHOOSE(CONTROL!$C$42, 64.791, 64.791) * CHOOSE(CONTROL!$C$21, $C$9, 100%, $E$9)</f>
        <v>64.790999999999997</v>
      </c>
      <c r="M815" s="14">
        <f>CHOOSE(CONTROL!$C$42, 62.9677, 62.9677) * CHOOSE(CONTROL!$C$21, $C$9, 100%, $E$9)</f>
        <v>62.967700000000001</v>
      </c>
      <c r="N815" s="14">
        <f>CHOOSE(CONTROL!$C$42, 62.9847, 62.9847) * CHOOSE(CONTROL!$C$21, $C$9, 100%, $E$9)</f>
        <v>62.984699999999997</v>
      </c>
      <c r="O815" s="14">
        <f>CHOOSE(CONTROL!$C$42, 63.0569, 63.0569) * CHOOSE(CONTROL!$C$21, $C$9, 100%, $E$9)</f>
        <v>63.056899999999999</v>
      </c>
      <c r="P815" s="14">
        <f>CHOOSE(CONTROL!$C$42, 63.1603, 63.1603) * CHOOSE(CONTROL!$C$21, $C$9, 100%, $E$9)</f>
        <v>63.160299999999999</v>
      </c>
      <c r="Q815" s="14">
        <f>CHOOSE(CONTROL!$C$42, 63.6516, 63.6516) * CHOOSE(CONTROL!$C$21, $C$9, 100%, $E$9)</f>
        <v>63.651600000000002</v>
      </c>
      <c r="R815" s="14">
        <f>CHOOSE(CONTROL!$C$42, 64.3977, 64.3977) * CHOOSE(CONTROL!$C$21, $C$9, 100%, $E$9)</f>
        <v>64.3977</v>
      </c>
      <c r="S815" s="14">
        <f>CHOOSE(CONTROL!$C$42, 61.578, 61.578) * CHOOSE(CONTROL!$C$21, $C$9, 100%, $E$9)</f>
        <v>61.578000000000003</v>
      </c>
      <c r="T81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15" s="56">
        <f>(1000*CHOOSE(CONTROL!$C$42, 695, 695)*CHOOSE(CONTROL!$C$42, 0.5599, 0.5599)*CHOOSE(CONTROL!$C$42, 30, 30))/1000000</f>
        <v>11.673914999999997</v>
      </c>
      <c r="V815" s="56">
        <f>(1000*CHOOSE(CONTROL!$C$42, 500, 500)*CHOOSE(CONTROL!$C$42, 0.275, 0.275)*CHOOSE(CONTROL!$C$42, 30, 30))/1000000</f>
        <v>4.125</v>
      </c>
      <c r="W815" s="56">
        <f>(1000*CHOOSE(CONTROL!$C$42, 0.1146, 0.1146)*CHOOSE(CONTROL!$C$42, 121.5, 121.5)*CHOOSE(CONTROL!$C$42, 30, 30))/1000000</f>
        <v>0.417717</v>
      </c>
      <c r="X815" s="56">
        <f>(30*0.1790888*100000/1000000)+(30*0.2374*100000/1000000)</f>
        <v>1.2494664</v>
      </c>
      <c r="Y815" s="56"/>
      <c r="Z815" s="14"/>
      <c r="AA815" s="55"/>
      <c r="AB815" s="49">
        <f>(B815*122.58+C815*297.941+D815*89.177+E815*40.302+F815*40+G815*160+H815*0+I815*100+J815*300)/(122.58+297.941+89.177+40.302+0+40+160+100+300)</f>
        <v>64.136736387043484</v>
      </c>
      <c r="AC815" s="45">
        <f>(M815*'RAP TEMPLATE-GAS AVAILABILITY'!O814+N815*'RAP TEMPLATE-GAS AVAILABILITY'!P814+O815*'RAP TEMPLATE-GAS AVAILABILITY'!Q814+P815*'RAP TEMPLATE-GAS AVAILABILITY'!R814)/('RAP TEMPLATE-GAS AVAILABILITY'!O814+'RAP TEMPLATE-GAS AVAILABILITY'!P814+'RAP TEMPLATE-GAS AVAILABILITY'!Q814+'RAP TEMPLATE-GAS AVAILABILITY'!R814)</f>
        <v>63.036819424460433</v>
      </c>
    </row>
    <row r="816" spans="1:29" ht="15.75" x14ac:dyDescent="0.25">
      <c r="A816" s="32">
        <v>65745</v>
      </c>
      <c r="B816" s="14">
        <f>CHOOSE(CONTROL!$C$42, 68.4617, 68.4617) * CHOOSE(CONTROL!$C$21, $C$9, 100%, $E$9)</f>
        <v>68.461699999999993</v>
      </c>
      <c r="C816" s="14">
        <f>CHOOSE(CONTROL!$C$42, 68.4668, 68.4668) * CHOOSE(CONTROL!$C$21, $C$9, 100%, $E$9)</f>
        <v>68.466800000000006</v>
      </c>
      <c r="D816" s="14">
        <f>CHOOSE(CONTROL!$C$42, 68.5498, 68.5498) * CHOOSE(CONTROL!$C$21, $C$9, 100%, $E$9)</f>
        <v>68.549800000000005</v>
      </c>
      <c r="E816" s="14">
        <f>CHOOSE(CONTROL!$C$42, 68.5839, 68.5839) * CHOOSE(CONTROL!$C$21, $C$9, 100%, $E$9)</f>
        <v>68.5839</v>
      </c>
      <c r="F816" s="14">
        <f>CHOOSE(CONTROL!$C$42, 68.4918, 68.4918)*CHOOSE(CONTROL!$C$21, $C$9, 100%, $E$9)</f>
        <v>68.491799999999998</v>
      </c>
      <c r="G816" s="14">
        <f>CHOOSE(CONTROL!$C$42, 68.5098, 68.5098)*CHOOSE(CONTROL!$C$21, $C$9, 100%, $E$9)</f>
        <v>68.509799999999998</v>
      </c>
      <c r="H816" s="14">
        <f>CHOOSE(CONTROL!$C$42, 68.5731, 68.5731) * CHOOSE(CONTROL!$C$21, $C$9, 100%, $E$9)</f>
        <v>68.573099999999997</v>
      </c>
      <c r="I816" s="14">
        <f>CHOOSE(CONTROL!$C$42, 68.6957, 68.6957)* CHOOSE(CONTROL!$C$21, $C$9, 100%, $E$9)</f>
        <v>68.695700000000002</v>
      </c>
      <c r="J816" s="14">
        <f>CHOOSE(CONTROL!$C$42, 68.4848, 68.4848)* CHOOSE(CONTROL!$C$21, $C$9, 100%, $E$9)</f>
        <v>68.484800000000007</v>
      </c>
      <c r="K816" s="52">
        <f>CHOOSE(CONTROL!$C$42, 68.6918, 68.6918) * CHOOSE(CONTROL!$C$21, $C$9, 100%, $E$9)</f>
        <v>68.691800000000001</v>
      </c>
      <c r="L816" s="14">
        <f>CHOOSE(CONTROL!$C$42, 69.1601, 69.1601) * CHOOSE(CONTROL!$C$21, $C$9, 100%, $E$9)</f>
        <v>69.1601</v>
      </c>
      <c r="M816" s="14">
        <f>CHOOSE(CONTROL!$C$42, 67.2606, 67.2606) * CHOOSE(CONTROL!$C$21, $C$9, 100%, $E$9)</f>
        <v>67.260599999999997</v>
      </c>
      <c r="N816" s="14">
        <f>CHOOSE(CONTROL!$C$42, 67.2783, 67.2783) * CHOOSE(CONTROL!$C$21, $C$9, 100%, $E$9)</f>
        <v>67.278300000000002</v>
      </c>
      <c r="O816" s="14">
        <f>CHOOSE(CONTROL!$C$42, 67.3474, 67.3474) * CHOOSE(CONTROL!$C$21, $C$9, 100%, $E$9)</f>
        <v>67.347399999999993</v>
      </c>
      <c r="P816" s="14">
        <f>CHOOSE(CONTROL!$C$42, 67.4641, 67.4641) * CHOOSE(CONTROL!$C$21, $C$9, 100%, $E$9)</f>
        <v>67.464100000000002</v>
      </c>
      <c r="Q816" s="14">
        <f>CHOOSE(CONTROL!$C$42, 67.9421, 67.9421) * CHOOSE(CONTROL!$C$21, $C$9, 100%, $E$9)</f>
        <v>67.942099999999996</v>
      </c>
      <c r="R816" s="14">
        <f>CHOOSE(CONTROL!$C$42, 68.699, 68.699) * CHOOSE(CONTROL!$C$21, $C$9, 100%, $E$9)</f>
        <v>68.698999999999998</v>
      </c>
      <c r="S816" s="14">
        <f>CHOOSE(CONTROL!$C$42, 65.7763, 65.7763) * CHOOSE(CONTROL!$C$21, $C$9, 100%, $E$9)</f>
        <v>65.776300000000006</v>
      </c>
      <c r="T81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16" s="56">
        <f>(1000*CHOOSE(CONTROL!$C$42, 695, 695)*CHOOSE(CONTROL!$C$42, 0.5599, 0.5599)*CHOOSE(CONTROL!$C$42, 31, 31))/1000000</f>
        <v>12.063045499999998</v>
      </c>
      <c r="V816" s="56">
        <f>(1000*CHOOSE(CONTROL!$C$42, 500, 500)*CHOOSE(CONTROL!$C$42, 0.275, 0.275)*CHOOSE(CONTROL!$C$42, 31, 31))/1000000</f>
        <v>4.2625000000000002</v>
      </c>
      <c r="W816" s="56">
        <f>(1000*CHOOSE(CONTROL!$C$42, 0.1146, 0.1146)*CHOOSE(CONTROL!$C$42, 121.5, 121.5)*CHOOSE(CONTROL!$C$42, 31, 31))/1000000</f>
        <v>0.43164089999999994</v>
      </c>
      <c r="X816" s="56">
        <f>(31*0.1790888*100000/1000000)+(31*0.2374*100000/1000000)</f>
        <v>1.2911152800000001</v>
      </c>
      <c r="Y816" s="56"/>
      <c r="Z816" s="14"/>
      <c r="AA816" s="55"/>
      <c r="AB816" s="49">
        <f>(B816*122.58+C816*297.941+D816*89.177+E816*40.302+F816*40+G816*160+H816*0+I816*100+J816*300)/(122.58+297.941+89.177+40.302+0+40+160+100+300)</f>
        <v>68.508248606260878</v>
      </c>
      <c r="AC816" s="45">
        <f>(M816*'RAP TEMPLATE-GAS AVAILABILITY'!O815+N816*'RAP TEMPLATE-GAS AVAILABILITY'!P815+O816*'RAP TEMPLATE-GAS AVAILABILITY'!Q815+P816*'RAP TEMPLATE-GAS AVAILABILITY'!R815)/('RAP TEMPLATE-GAS AVAILABILITY'!O815+'RAP TEMPLATE-GAS AVAILABILITY'!P815+'RAP TEMPLATE-GAS AVAILABILITY'!Q815+'RAP TEMPLATE-GAS AVAILABILITY'!R815)</f>
        <v>67.330240287769769</v>
      </c>
    </row>
    <row r="817" spans="1:29" ht="15.75" x14ac:dyDescent="0.25">
      <c r="A817" s="32">
        <v>65776</v>
      </c>
      <c r="B817" s="14">
        <f>CHOOSE(CONTROL!$C$42, 74.1364, 74.1364) * CHOOSE(CONTROL!$C$21, $C$9, 100%, $E$9)</f>
        <v>74.136399999999995</v>
      </c>
      <c r="C817" s="14">
        <f>CHOOSE(CONTROL!$C$42, 74.1415, 74.1415) * CHOOSE(CONTROL!$C$21, $C$9, 100%, $E$9)</f>
        <v>74.141499999999994</v>
      </c>
      <c r="D817" s="14">
        <f>CHOOSE(CONTROL!$C$42, 74.235, 74.235) * CHOOSE(CONTROL!$C$21, $C$9, 100%, $E$9)</f>
        <v>74.234999999999999</v>
      </c>
      <c r="E817" s="14">
        <f>CHOOSE(CONTROL!$C$42, 74.2691, 74.2691) * CHOOSE(CONTROL!$C$21, $C$9, 100%, $E$9)</f>
        <v>74.269099999999995</v>
      </c>
      <c r="F817" s="14">
        <f>CHOOSE(CONTROL!$C$42, 74.1637, 74.1637)*CHOOSE(CONTROL!$C$21, $C$9, 100%, $E$9)</f>
        <v>74.163700000000006</v>
      </c>
      <c r="G817" s="14">
        <f>CHOOSE(CONTROL!$C$42, 74.1817, 74.1817)*CHOOSE(CONTROL!$C$21, $C$9, 100%, $E$9)</f>
        <v>74.181700000000006</v>
      </c>
      <c r="H817" s="14">
        <f>CHOOSE(CONTROL!$C$42, 74.2583, 74.2583) * CHOOSE(CONTROL!$C$21, $C$9, 100%, $E$9)</f>
        <v>74.258300000000006</v>
      </c>
      <c r="I817" s="14">
        <f>CHOOSE(CONTROL!$C$42, 74.3945, 74.3945)* CHOOSE(CONTROL!$C$21, $C$9, 100%, $E$9)</f>
        <v>74.394499999999994</v>
      </c>
      <c r="J817" s="14">
        <f>CHOOSE(CONTROL!$C$42, 74.1567, 74.1567)* CHOOSE(CONTROL!$C$21, $C$9, 100%, $E$9)</f>
        <v>74.156700000000001</v>
      </c>
      <c r="K817" s="52">
        <f>CHOOSE(CONTROL!$C$42, 74.3906, 74.3906) * CHOOSE(CONTROL!$C$21, $C$9, 100%, $E$9)</f>
        <v>74.390600000000006</v>
      </c>
      <c r="L817" s="14">
        <f>CHOOSE(CONTROL!$C$42, 74.8453, 74.8453) * CHOOSE(CONTROL!$C$21, $C$9, 100%, $E$9)</f>
        <v>74.845299999999995</v>
      </c>
      <c r="M817" s="14">
        <f>CHOOSE(CONTROL!$C$42, 72.8306, 72.8306) * CHOOSE(CONTROL!$C$21, $C$9, 100%, $E$9)</f>
        <v>72.830600000000004</v>
      </c>
      <c r="N817" s="14">
        <f>CHOOSE(CONTROL!$C$42, 72.8482, 72.8482) * CHOOSE(CONTROL!$C$21, $C$9, 100%, $E$9)</f>
        <v>72.848200000000006</v>
      </c>
      <c r="O817" s="14">
        <f>CHOOSE(CONTROL!$C$42, 72.9303, 72.9303) * CHOOSE(CONTROL!$C$21, $C$9, 100%, $E$9)</f>
        <v>72.930300000000003</v>
      </c>
      <c r="P817" s="14">
        <f>CHOOSE(CONTROL!$C$42, 73.06, 73.06) * CHOOSE(CONTROL!$C$21, $C$9, 100%, $E$9)</f>
        <v>73.06</v>
      </c>
      <c r="Q817" s="14">
        <f>CHOOSE(CONTROL!$C$42, 73.525, 73.525) * CHOOSE(CONTROL!$C$21, $C$9, 100%, $E$9)</f>
        <v>73.525000000000006</v>
      </c>
      <c r="R817" s="14">
        <f>CHOOSE(CONTROL!$C$42, 74.2958, 74.2958) * CHOOSE(CONTROL!$C$21, $C$9, 100%, $E$9)</f>
        <v>74.2958</v>
      </c>
      <c r="S817" s="14">
        <f>CHOOSE(CONTROL!$C$42, 71.2292, 71.2292) * CHOOSE(CONTROL!$C$21, $C$9, 100%, $E$9)</f>
        <v>71.229200000000006</v>
      </c>
      <c r="T81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17" s="56">
        <f>(1000*CHOOSE(CONTROL!$C$42, 695, 695)*CHOOSE(CONTROL!$C$42, 0.5599, 0.5599)*CHOOSE(CONTROL!$C$42, 31, 31))/1000000</f>
        <v>12.063045499999998</v>
      </c>
      <c r="V817" s="56">
        <f>(1000*CHOOSE(CONTROL!$C$42, 500, 500)*CHOOSE(CONTROL!$C$42, 0.275, 0.275)*CHOOSE(CONTROL!$C$42, 31, 31))/1000000</f>
        <v>4.2625000000000002</v>
      </c>
      <c r="W817" s="56">
        <f>(1000*CHOOSE(CONTROL!$C$42, 0.1146, 0.1146)*CHOOSE(CONTROL!$C$42, 121.5, 121.5)*CHOOSE(CONTROL!$C$42, 31, 31))/1000000</f>
        <v>0.43164089999999994</v>
      </c>
      <c r="X817" s="56">
        <f>(31*0.1790888*100000/1000000)+(31*0.2374*100000/1000000)</f>
        <v>1.2911152800000001</v>
      </c>
      <c r="Y817" s="56"/>
      <c r="Z817" s="14"/>
      <c r="AA817" s="55"/>
      <c r="AB817" s="49">
        <f>(B817*122.58+C817*297.941+D817*89.177+E817*40.302+F817*40+G817*160+H817*0+I817*100+J817*300)/(122.58+297.941+89.177+40.302+0+40+160+100+300)</f>
        <v>74.185009066695656</v>
      </c>
      <c r="AC817" s="45">
        <f>(M817*'RAP TEMPLATE-GAS AVAILABILITY'!O816+N817*'RAP TEMPLATE-GAS AVAILABILITY'!P816+O817*'RAP TEMPLATE-GAS AVAILABILITY'!Q816+P817*'RAP TEMPLATE-GAS AVAILABILITY'!R816)/('RAP TEMPLATE-GAS AVAILABILITY'!O816+'RAP TEMPLATE-GAS AVAILABILITY'!P816+'RAP TEMPLATE-GAS AVAILABILITY'!Q816+'RAP TEMPLATE-GAS AVAILABILITY'!R816)</f>
        <v>72.90980791366907</v>
      </c>
    </row>
    <row r="818" spans="1:29" ht="15.75" x14ac:dyDescent="0.25">
      <c r="A818" s="32">
        <v>65805</v>
      </c>
      <c r="B818" s="14">
        <f>CHOOSE(CONTROL!$C$42, 75.456, 75.456) * CHOOSE(CONTROL!$C$21, $C$9, 100%, $E$9)</f>
        <v>75.456000000000003</v>
      </c>
      <c r="C818" s="14">
        <f>CHOOSE(CONTROL!$C$42, 75.4611, 75.4611) * CHOOSE(CONTROL!$C$21, $C$9, 100%, $E$9)</f>
        <v>75.461100000000002</v>
      </c>
      <c r="D818" s="14">
        <f>CHOOSE(CONTROL!$C$42, 75.5545, 75.5545) * CHOOSE(CONTROL!$C$21, $C$9, 100%, $E$9)</f>
        <v>75.554500000000004</v>
      </c>
      <c r="E818" s="14">
        <f>CHOOSE(CONTROL!$C$42, 75.5886, 75.5886) * CHOOSE(CONTROL!$C$21, $C$9, 100%, $E$9)</f>
        <v>75.5886</v>
      </c>
      <c r="F818" s="14">
        <f>CHOOSE(CONTROL!$C$42, 75.4829, 75.4829)*CHOOSE(CONTROL!$C$21, $C$9, 100%, $E$9)</f>
        <v>75.482900000000001</v>
      </c>
      <c r="G818" s="14">
        <f>CHOOSE(CONTROL!$C$42, 75.5008, 75.5008)*CHOOSE(CONTROL!$C$21, $C$9, 100%, $E$9)</f>
        <v>75.500799999999998</v>
      </c>
      <c r="H818" s="14">
        <f>CHOOSE(CONTROL!$C$42, 75.5778, 75.5778) * CHOOSE(CONTROL!$C$21, $C$9, 100%, $E$9)</f>
        <v>75.577799999999996</v>
      </c>
      <c r="I818" s="14">
        <f>CHOOSE(CONTROL!$C$42, 75.7182, 75.7182)* CHOOSE(CONTROL!$C$21, $C$9, 100%, $E$9)</f>
        <v>75.718199999999996</v>
      </c>
      <c r="J818" s="14">
        <f>CHOOSE(CONTROL!$C$42, 75.4759, 75.4759)* CHOOSE(CONTROL!$C$21, $C$9, 100%, $E$9)</f>
        <v>75.475899999999996</v>
      </c>
      <c r="K818" s="52">
        <f>CHOOSE(CONTROL!$C$42, 75.7143, 75.7143) * CHOOSE(CONTROL!$C$21, $C$9, 100%, $E$9)</f>
        <v>75.714299999999994</v>
      </c>
      <c r="L818" s="14">
        <f>CHOOSE(CONTROL!$C$42, 76.1648, 76.1648) * CHOOSE(CONTROL!$C$21, $C$9, 100%, $E$9)</f>
        <v>76.1648</v>
      </c>
      <c r="M818" s="14">
        <f>CHOOSE(CONTROL!$C$42, 74.1261, 74.1261) * CHOOSE(CONTROL!$C$21, $C$9, 100%, $E$9)</f>
        <v>74.126099999999994</v>
      </c>
      <c r="N818" s="14">
        <f>CHOOSE(CONTROL!$C$42, 74.1436, 74.1436) * CHOOSE(CONTROL!$C$21, $C$9, 100%, $E$9)</f>
        <v>74.143600000000006</v>
      </c>
      <c r="O818" s="14">
        <f>CHOOSE(CONTROL!$C$42, 74.2261, 74.2261) * CHOOSE(CONTROL!$C$21, $C$9, 100%, $E$9)</f>
        <v>74.226100000000002</v>
      </c>
      <c r="P818" s="14">
        <f>CHOOSE(CONTROL!$C$42, 74.3599, 74.3599) * CHOOSE(CONTROL!$C$21, $C$9, 100%, $E$9)</f>
        <v>74.359899999999996</v>
      </c>
      <c r="Q818" s="14">
        <f>CHOOSE(CONTROL!$C$42, 74.8208, 74.8208) * CHOOSE(CONTROL!$C$21, $C$9, 100%, $E$9)</f>
        <v>74.820800000000006</v>
      </c>
      <c r="R818" s="14">
        <f>CHOOSE(CONTROL!$C$42, 75.5949, 75.5949) * CHOOSE(CONTROL!$C$21, $C$9, 100%, $E$9)</f>
        <v>75.594899999999996</v>
      </c>
      <c r="S818" s="14">
        <f>CHOOSE(CONTROL!$C$42, 72.4971, 72.4971) * CHOOSE(CONTROL!$C$21, $C$9, 100%, $E$9)</f>
        <v>72.497100000000003</v>
      </c>
      <c r="T81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818" s="56">
        <f>(1000*CHOOSE(CONTROL!$C$42, 695, 695)*CHOOSE(CONTROL!$C$42, 0.5599, 0.5599)*CHOOSE(CONTROL!$C$42, 29, 29))/1000000</f>
        <v>11.284784499999999</v>
      </c>
      <c r="V818" s="56">
        <f>(1000*CHOOSE(CONTROL!$C$42, 500, 500)*CHOOSE(CONTROL!$C$42, 0.275, 0.275)*CHOOSE(CONTROL!$C$42, 29, 29))/1000000</f>
        <v>3.9874999999999998</v>
      </c>
      <c r="W818" s="56">
        <f>(1000*CHOOSE(CONTROL!$C$42, 0.1146, 0.1146)*CHOOSE(CONTROL!$C$42, 121.5, 121.5)*CHOOSE(CONTROL!$C$42, 29, 29))/1000000</f>
        <v>0.40379309999999996</v>
      </c>
      <c r="X818" s="56">
        <f>(29*0.1790888*100000/1000000)+(29*0.2374*100000/1000000)</f>
        <v>1.2078175199999999</v>
      </c>
      <c r="Y818" s="56"/>
      <c r="Z818" s="14"/>
      <c r="AA818" s="55"/>
      <c r="AB818" s="49">
        <f>(B818*122.58+C818*297.941+D818*89.177+E818*40.302+F818*40+G818*160+H818*0+I818*100+J818*300)/(122.58+297.941+89.177+40.302+0+40+160+100+300)</f>
        <v>75.504766503304339</v>
      </c>
      <c r="AC818" s="45">
        <f>(M818*'RAP TEMPLATE-GAS AVAILABILITY'!O817+N818*'RAP TEMPLATE-GAS AVAILABILITY'!P817+O818*'RAP TEMPLATE-GAS AVAILABILITY'!Q817+P818*'RAP TEMPLATE-GAS AVAILABILITY'!R817)/('RAP TEMPLATE-GAS AVAILABILITY'!O817+'RAP TEMPLATE-GAS AVAILABILITY'!P817+'RAP TEMPLATE-GAS AVAILABILITY'!Q817+'RAP TEMPLATE-GAS AVAILABILITY'!R817)</f>
        <v>74.206071223021581</v>
      </c>
    </row>
    <row r="819" spans="1:29" ht="15.75" x14ac:dyDescent="0.25">
      <c r="A819" s="32">
        <v>65836</v>
      </c>
      <c r="B819" s="14">
        <f>CHOOSE(CONTROL!$C$42, 73.314, 73.314) * CHOOSE(CONTROL!$C$21, $C$9, 100%, $E$9)</f>
        <v>73.313999999999993</v>
      </c>
      <c r="C819" s="14">
        <f>CHOOSE(CONTROL!$C$42, 73.3191, 73.3191) * CHOOSE(CONTROL!$C$21, $C$9, 100%, $E$9)</f>
        <v>73.319100000000006</v>
      </c>
      <c r="D819" s="14">
        <f>CHOOSE(CONTROL!$C$42, 73.4126, 73.4126) * CHOOSE(CONTROL!$C$21, $C$9, 100%, $E$9)</f>
        <v>73.412599999999998</v>
      </c>
      <c r="E819" s="14">
        <f>CHOOSE(CONTROL!$C$42, 73.4467, 73.4467) * CHOOSE(CONTROL!$C$21, $C$9, 100%, $E$9)</f>
        <v>73.446700000000007</v>
      </c>
      <c r="F819" s="14">
        <f>CHOOSE(CONTROL!$C$42, 73.3401, 73.3401)*CHOOSE(CONTROL!$C$21, $C$9, 100%, $E$9)</f>
        <v>73.340100000000007</v>
      </c>
      <c r="G819" s="14">
        <f>CHOOSE(CONTROL!$C$42, 73.3577, 73.3577)*CHOOSE(CONTROL!$C$21, $C$9, 100%, $E$9)</f>
        <v>73.357699999999994</v>
      </c>
      <c r="H819" s="14">
        <f>CHOOSE(CONTROL!$C$42, 73.4359, 73.4359) * CHOOSE(CONTROL!$C$21, $C$9, 100%, $E$9)</f>
        <v>73.435900000000004</v>
      </c>
      <c r="I819" s="14">
        <f>CHOOSE(CONTROL!$C$42, 73.5695, 73.5695)* CHOOSE(CONTROL!$C$21, $C$9, 100%, $E$9)</f>
        <v>73.569500000000005</v>
      </c>
      <c r="J819" s="14">
        <f>CHOOSE(CONTROL!$C$42, 73.3331, 73.3331)* CHOOSE(CONTROL!$C$21, $C$9, 100%, $E$9)</f>
        <v>73.333100000000002</v>
      </c>
      <c r="K819" s="52">
        <f>CHOOSE(CONTROL!$C$42, 73.5656, 73.5656) * CHOOSE(CONTROL!$C$21, $C$9, 100%, $E$9)</f>
        <v>73.565600000000003</v>
      </c>
      <c r="L819" s="14">
        <f>CHOOSE(CONTROL!$C$42, 74.0229, 74.0229) * CHOOSE(CONTROL!$C$21, $C$9, 100%, $E$9)</f>
        <v>74.022900000000007</v>
      </c>
      <c r="M819" s="14">
        <f>CHOOSE(CONTROL!$C$42, 72.0218, 72.0218) * CHOOSE(CONTROL!$C$21, $C$9, 100%, $E$9)</f>
        <v>72.021799999999999</v>
      </c>
      <c r="N819" s="14">
        <f>CHOOSE(CONTROL!$C$42, 72.0391, 72.0391) * CHOOSE(CONTROL!$C$21, $C$9, 100%, $E$9)</f>
        <v>72.039100000000005</v>
      </c>
      <c r="O819" s="14">
        <f>CHOOSE(CONTROL!$C$42, 72.1227, 72.1227) * CHOOSE(CONTROL!$C$21, $C$9, 100%, $E$9)</f>
        <v>72.122699999999995</v>
      </c>
      <c r="P819" s="14">
        <f>CHOOSE(CONTROL!$C$42, 72.2499, 72.2499) * CHOOSE(CONTROL!$C$21, $C$9, 100%, $E$9)</f>
        <v>72.249899999999997</v>
      </c>
      <c r="Q819" s="14">
        <f>CHOOSE(CONTROL!$C$42, 72.7174, 72.7174) * CHOOSE(CONTROL!$C$21, $C$9, 100%, $E$9)</f>
        <v>72.717399999999998</v>
      </c>
      <c r="R819" s="14">
        <f>CHOOSE(CONTROL!$C$42, 73.4862, 73.4862) * CHOOSE(CONTROL!$C$21, $C$9, 100%, $E$9)</f>
        <v>73.486199999999997</v>
      </c>
      <c r="S819" s="14">
        <f>CHOOSE(CONTROL!$C$42, 70.4389, 70.4389) * CHOOSE(CONTROL!$C$21, $C$9, 100%, $E$9)</f>
        <v>70.438900000000004</v>
      </c>
      <c r="T81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19" s="56">
        <f>(1000*CHOOSE(CONTROL!$C$42, 695, 695)*CHOOSE(CONTROL!$C$42, 0.5599, 0.5599)*CHOOSE(CONTROL!$C$42, 31, 31))/1000000</f>
        <v>12.063045499999998</v>
      </c>
      <c r="V819" s="56">
        <f>(1000*CHOOSE(CONTROL!$C$42, 500, 500)*CHOOSE(CONTROL!$C$42, 0.275, 0.275)*CHOOSE(CONTROL!$C$42, 31, 31))/1000000</f>
        <v>4.2625000000000002</v>
      </c>
      <c r="W819" s="56">
        <f>(1000*CHOOSE(CONTROL!$C$42, 0.1146, 0.1146)*CHOOSE(CONTROL!$C$42, 121.5, 121.5)*CHOOSE(CONTROL!$C$42, 31, 31))/1000000</f>
        <v>0.43164089999999994</v>
      </c>
      <c r="X819" s="56">
        <f>(31*0.1790888*100000/1000000)+(31*0.2374*100000/1000000)</f>
        <v>1.2911152800000001</v>
      </c>
      <c r="Y819" s="56"/>
      <c r="Z819" s="14"/>
      <c r="AA819" s="55"/>
      <c r="AB819" s="49">
        <f>(B819*122.58+C819*297.941+D819*89.177+E819*40.302+F819*40+G819*160+H819*0+I819*100+J819*300)/(122.58+297.941+89.177+40.302+0+40+160+100+300)</f>
        <v>73.361805588434777</v>
      </c>
      <c r="AC819" s="45">
        <f>(M819*'RAP TEMPLATE-GAS AVAILABILITY'!O818+N819*'RAP TEMPLATE-GAS AVAILABILITY'!P818+O819*'RAP TEMPLATE-GAS AVAILABILITY'!Q818+P819*'RAP TEMPLATE-GAS AVAILABILITY'!R818)/('RAP TEMPLATE-GAS AVAILABILITY'!O818+'RAP TEMPLATE-GAS AVAILABILITY'!P818+'RAP TEMPLATE-GAS AVAILABILITY'!Q818+'RAP TEMPLATE-GAS AVAILABILITY'!R818)</f>
        <v>72.10134748201439</v>
      </c>
    </row>
    <row r="820" spans="1:29" ht="15.75" x14ac:dyDescent="0.25">
      <c r="A820" s="32">
        <v>65866</v>
      </c>
      <c r="B820" s="14">
        <f>CHOOSE(CONTROL!$C$42, 73.0955, 73.0955) * CHOOSE(CONTROL!$C$21, $C$9, 100%, $E$9)</f>
        <v>73.095500000000001</v>
      </c>
      <c r="C820" s="14">
        <f>CHOOSE(CONTROL!$C$42, 73.1, 73.1) * CHOOSE(CONTROL!$C$21, $C$9, 100%, $E$9)</f>
        <v>73.099999999999994</v>
      </c>
      <c r="D820" s="14">
        <f>CHOOSE(CONTROL!$C$42, 73.3623, 73.3623) * CHOOSE(CONTROL!$C$21, $C$9, 100%, $E$9)</f>
        <v>73.362300000000005</v>
      </c>
      <c r="E820" s="14">
        <f>CHOOSE(CONTROL!$C$42, 73.3944, 73.3944) * CHOOSE(CONTROL!$C$21, $C$9, 100%, $E$9)</f>
        <v>73.394400000000005</v>
      </c>
      <c r="F820" s="14">
        <f>CHOOSE(CONTROL!$C$42, 73.1184, 73.1184)*CHOOSE(CONTROL!$C$21, $C$9, 100%, $E$9)</f>
        <v>73.118399999999994</v>
      </c>
      <c r="G820" s="14">
        <f>CHOOSE(CONTROL!$C$42, 73.1351, 73.1351)*CHOOSE(CONTROL!$C$21, $C$9, 100%, $E$9)</f>
        <v>73.135099999999994</v>
      </c>
      <c r="H820" s="14">
        <f>CHOOSE(CONTROL!$C$42, 73.3841, 73.3841) * CHOOSE(CONTROL!$C$21, $C$9, 100%, $E$9)</f>
        <v>73.384100000000004</v>
      </c>
      <c r="I820" s="14">
        <f>CHOOSE(CONTROL!$C$42, 73.347, 73.347)* CHOOSE(CONTROL!$C$21, $C$9, 100%, $E$9)</f>
        <v>73.346999999999994</v>
      </c>
      <c r="J820" s="14">
        <f>CHOOSE(CONTROL!$C$42, 73.1114, 73.1114)* CHOOSE(CONTROL!$C$21, $C$9, 100%, $E$9)</f>
        <v>73.111400000000003</v>
      </c>
      <c r="K820" s="52">
        <f>CHOOSE(CONTROL!$C$42, 73.3431, 73.3431) * CHOOSE(CONTROL!$C$21, $C$9, 100%, $E$9)</f>
        <v>73.343100000000007</v>
      </c>
      <c r="L820" s="14">
        <f>CHOOSE(CONTROL!$C$42, 73.9711, 73.9711) * CHOOSE(CONTROL!$C$21, $C$9, 100%, $E$9)</f>
        <v>73.971100000000007</v>
      </c>
      <c r="M820" s="14">
        <f>CHOOSE(CONTROL!$C$42, 71.804, 71.804) * CHOOSE(CONTROL!$C$21, $C$9, 100%, $E$9)</f>
        <v>71.804000000000002</v>
      </c>
      <c r="N820" s="14">
        <f>CHOOSE(CONTROL!$C$42, 71.8204, 71.8204) * CHOOSE(CONTROL!$C$21, $C$9, 100%, $E$9)</f>
        <v>71.820400000000006</v>
      </c>
      <c r="O820" s="14">
        <f>CHOOSE(CONTROL!$C$42, 72.0719, 72.0719) * CHOOSE(CONTROL!$C$21, $C$9, 100%, $E$9)</f>
        <v>72.071899999999999</v>
      </c>
      <c r="P820" s="14">
        <f>CHOOSE(CONTROL!$C$42, 72.0314, 72.0314) * CHOOSE(CONTROL!$C$21, $C$9, 100%, $E$9)</f>
        <v>72.031400000000005</v>
      </c>
      <c r="Q820" s="14">
        <f>CHOOSE(CONTROL!$C$42, 72.6666, 72.6666) * CHOOSE(CONTROL!$C$21, $C$9, 100%, $E$9)</f>
        <v>72.666600000000003</v>
      </c>
      <c r="R820" s="14">
        <f>CHOOSE(CONTROL!$C$42, 73.4353, 73.4353) * CHOOSE(CONTROL!$C$21, $C$9, 100%, $E$9)</f>
        <v>73.435299999999998</v>
      </c>
      <c r="S820" s="14">
        <f>CHOOSE(CONTROL!$C$42, 70.2282, 70.2282) * CHOOSE(CONTROL!$C$21, $C$9, 100%, $E$9)</f>
        <v>70.228200000000001</v>
      </c>
      <c r="T82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20" s="56">
        <f>(1000*CHOOSE(CONTROL!$C$42, 695, 695)*CHOOSE(CONTROL!$C$42, 0.5599, 0.5599)*CHOOSE(CONTROL!$C$42, 30, 30))/1000000</f>
        <v>11.673914999999997</v>
      </c>
      <c r="V820" s="56">
        <f>(1000*CHOOSE(CONTROL!$C$42, 500, 500)*CHOOSE(CONTROL!$C$42, 0.275, 0.275)*CHOOSE(CONTROL!$C$42, 30, 30))/1000000</f>
        <v>4.125</v>
      </c>
      <c r="W820" s="56">
        <f>(1000*CHOOSE(CONTROL!$C$42, 0.1146, 0.1146)*CHOOSE(CONTROL!$C$42, 121.5, 121.5)*CHOOSE(CONTROL!$C$42, 30, 30))/1000000</f>
        <v>0.417717</v>
      </c>
      <c r="X820" s="56">
        <f>(30*0.1790888*245000/1000000)+(30*0.2374*100000/1000000)</f>
        <v>2.0285026799999999</v>
      </c>
      <c r="Y820" s="56"/>
      <c r="Z820" s="14"/>
      <c r="AA820" s="55"/>
      <c r="AB820" s="49">
        <f>(B820*141.293+C820*267.993+D820*115.016+E820*89.698+F820*40+G820*185+H820*0+I820*100+J820*300)/(141.293+267.993+115.016+89.698+0+40+185+100+300)</f>
        <v>73.173679959241312</v>
      </c>
      <c r="AC820" s="45">
        <f>(M820*'RAP TEMPLATE-GAS AVAILABILITY'!O819+N820*'RAP TEMPLATE-GAS AVAILABILITY'!P819+O820*'RAP TEMPLATE-GAS AVAILABILITY'!Q819+P820*'RAP TEMPLATE-GAS AVAILABILITY'!R819)/('RAP TEMPLATE-GAS AVAILABILITY'!O819+'RAP TEMPLATE-GAS AVAILABILITY'!P819+'RAP TEMPLATE-GAS AVAILABILITY'!Q819+'RAP TEMPLATE-GAS AVAILABILITY'!R819)</f>
        <v>71.959085611510787</v>
      </c>
    </row>
    <row r="821" spans="1:29" ht="15.75" x14ac:dyDescent="0.25">
      <c r="A821" s="32">
        <v>65897</v>
      </c>
      <c r="B821" s="14">
        <f>CHOOSE(CONTROL!$C$42, 73.742, 73.742) * CHOOSE(CONTROL!$C$21, $C$9, 100%, $E$9)</f>
        <v>73.742000000000004</v>
      </c>
      <c r="C821" s="14">
        <f>CHOOSE(CONTROL!$C$42, 73.75, 73.75) * CHOOSE(CONTROL!$C$21, $C$9, 100%, $E$9)</f>
        <v>73.75</v>
      </c>
      <c r="D821" s="14">
        <f>CHOOSE(CONTROL!$C$42, 74.0091, 74.0091) * CHOOSE(CONTROL!$C$21, $C$9, 100%, $E$9)</f>
        <v>74.009100000000004</v>
      </c>
      <c r="E821" s="14">
        <f>CHOOSE(CONTROL!$C$42, 74.0406, 74.0406) * CHOOSE(CONTROL!$C$21, $C$9, 100%, $E$9)</f>
        <v>74.040599999999998</v>
      </c>
      <c r="F821" s="14">
        <f>CHOOSE(CONTROL!$C$42, 73.7635, 73.7635)*CHOOSE(CONTROL!$C$21, $C$9, 100%, $E$9)</f>
        <v>73.763499999999993</v>
      </c>
      <c r="G821" s="14">
        <f>CHOOSE(CONTROL!$C$42, 73.7805, 73.7805)*CHOOSE(CONTROL!$C$21, $C$9, 100%, $E$9)</f>
        <v>73.780500000000004</v>
      </c>
      <c r="H821" s="14">
        <f>CHOOSE(CONTROL!$C$42, 74.0292, 74.0292) * CHOOSE(CONTROL!$C$21, $C$9, 100%, $E$9)</f>
        <v>74.029200000000003</v>
      </c>
      <c r="I821" s="14">
        <f>CHOOSE(CONTROL!$C$42, 73.994, 73.994)* CHOOSE(CONTROL!$C$21, $C$9, 100%, $E$9)</f>
        <v>73.994</v>
      </c>
      <c r="J821" s="14">
        <f>CHOOSE(CONTROL!$C$42, 73.7565, 73.7565)* CHOOSE(CONTROL!$C$21, $C$9, 100%, $E$9)</f>
        <v>73.756500000000003</v>
      </c>
      <c r="K821" s="52">
        <f>CHOOSE(CONTROL!$C$42, 73.9901, 73.9901) * CHOOSE(CONTROL!$C$21, $C$9, 100%, $E$9)</f>
        <v>73.990099999999998</v>
      </c>
      <c r="L821" s="14">
        <f>CHOOSE(CONTROL!$C$42, 74.6162, 74.6162) * CHOOSE(CONTROL!$C$21, $C$9, 100%, $E$9)</f>
        <v>74.616200000000006</v>
      </c>
      <c r="M821" s="14">
        <f>CHOOSE(CONTROL!$C$42, 72.4376, 72.4376) * CHOOSE(CONTROL!$C$21, $C$9, 100%, $E$9)</f>
        <v>72.437600000000003</v>
      </c>
      <c r="N821" s="14">
        <f>CHOOSE(CONTROL!$C$42, 72.4542, 72.4542) * CHOOSE(CONTROL!$C$21, $C$9, 100%, $E$9)</f>
        <v>72.4542</v>
      </c>
      <c r="O821" s="14">
        <f>CHOOSE(CONTROL!$C$42, 72.7054, 72.7054) * CHOOSE(CONTROL!$C$21, $C$9, 100%, $E$9)</f>
        <v>72.705399999999997</v>
      </c>
      <c r="P821" s="14">
        <f>CHOOSE(CONTROL!$C$42, 72.6668, 72.6668) * CHOOSE(CONTROL!$C$21, $C$9, 100%, $E$9)</f>
        <v>72.666799999999995</v>
      </c>
      <c r="Q821" s="14">
        <f>CHOOSE(CONTROL!$C$42, 73.3001, 73.3001) * CHOOSE(CONTROL!$C$21, $C$9, 100%, $E$9)</f>
        <v>73.3001</v>
      </c>
      <c r="R821" s="14">
        <f>CHOOSE(CONTROL!$C$42, 74.0703, 74.0703) * CHOOSE(CONTROL!$C$21, $C$9, 100%, $E$9)</f>
        <v>74.070300000000003</v>
      </c>
      <c r="S821" s="14">
        <f>CHOOSE(CONTROL!$C$42, 70.848, 70.848) * CHOOSE(CONTROL!$C$21, $C$9, 100%, $E$9)</f>
        <v>70.847999999999999</v>
      </c>
      <c r="T82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21" s="56">
        <f>(1000*CHOOSE(CONTROL!$C$42, 695, 695)*CHOOSE(CONTROL!$C$42, 0.5599, 0.5599)*CHOOSE(CONTROL!$C$42, 31, 31))/1000000</f>
        <v>12.063045499999998</v>
      </c>
      <c r="V821" s="56">
        <f>(1000*CHOOSE(CONTROL!$C$42, 500, 500)*CHOOSE(CONTROL!$C$42, 0.275, 0.275)*CHOOSE(CONTROL!$C$42, 31, 31))/1000000</f>
        <v>4.2625000000000002</v>
      </c>
      <c r="W821" s="56">
        <f>(1000*CHOOSE(CONTROL!$C$42, 0.1146, 0.1146)*CHOOSE(CONTROL!$C$42, 121.5, 121.5)*CHOOSE(CONTROL!$C$42, 31, 31))/1000000</f>
        <v>0.43164089999999994</v>
      </c>
      <c r="X821" s="56">
        <f>(31*0.1790888*245000/1000000)+(31*0.2374*100000/1000000)</f>
        <v>2.0961194359999999</v>
      </c>
      <c r="Y821" s="56"/>
      <c r="Z821" s="14"/>
      <c r="AA821" s="55"/>
      <c r="AB821" s="49">
        <f>(B821*194.205+C821*267.466+D821*133.845+E821*53.484+F821*40+G821*185+H821*0+I821*100+J821*300)/(194.205+267.466+133.845+53.484+0+40+185+100+300)</f>
        <v>73.813736695368917</v>
      </c>
      <c r="AC821" s="45">
        <f>(M821*'RAP TEMPLATE-GAS AVAILABILITY'!O820+N821*'RAP TEMPLATE-GAS AVAILABILITY'!P820+O821*'RAP TEMPLATE-GAS AVAILABILITY'!Q820+P821*'RAP TEMPLATE-GAS AVAILABILITY'!R820)/('RAP TEMPLATE-GAS AVAILABILITY'!O820+'RAP TEMPLATE-GAS AVAILABILITY'!P820+'RAP TEMPLATE-GAS AVAILABILITY'!Q820+'RAP TEMPLATE-GAS AVAILABILITY'!R820)</f>
        <v>72.592910791366918</v>
      </c>
    </row>
    <row r="822" spans="1:29" ht="15.75" x14ac:dyDescent="0.25">
      <c r="A822" s="32">
        <v>65927</v>
      </c>
      <c r="B822" s="14">
        <f>CHOOSE(CONTROL!$C$42, 75.8335, 75.8335) * CHOOSE(CONTROL!$C$21, $C$9, 100%, $E$9)</f>
        <v>75.833500000000001</v>
      </c>
      <c r="C822" s="14">
        <f>CHOOSE(CONTROL!$C$42, 75.8415, 75.8415) * CHOOSE(CONTROL!$C$21, $C$9, 100%, $E$9)</f>
        <v>75.841499999999996</v>
      </c>
      <c r="D822" s="14">
        <f>CHOOSE(CONTROL!$C$42, 76.1006, 76.1006) * CHOOSE(CONTROL!$C$21, $C$9, 100%, $E$9)</f>
        <v>76.1006</v>
      </c>
      <c r="E822" s="14">
        <f>CHOOSE(CONTROL!$C$42, 76.132, 76.132) * CHOOSE(CONTROL!$C$21, $C$9, 100%, $E$9)</f>
        <v>76.132000000000005</v>
      </c>
      <c r="F822" s="14">
        <f>CHOOSE(CONTROL!$C$42, 75.8552, 75.8552)*CHOOSE(CONTROL!$C$21, $C$9, 100%, $E$9)</f>
        <v>75.855199999999996</v>
      </c>
      <c r="G822" s="14">
        <f>CHOOSE(CONTROL!$C$42, 75.8723, 75.8723)*CHOOSE(CONTROL!$C$21, $C$9, 100%, $E$9)</f>
        <v>75.872299999999996</v>
      </c>
      <c r="H822" s="14">
        <f>CHOOSE(CONTROL!$C$42, 76.1207, 76.1207) * CHOOSE(CONTROL!$C$21, $C$9, 100%, $E$9)</f>
        <v>76.120699999999999</v>
      </c>
      <c r="I822" s="14">
        <f>CHOOSE(CONTROL!$C$42, 76.092, 76.092)* CHOOSE(CONTROL!$C$21, $C$9, 100%, $E$9)</f>
        <v>76.091999999999999</v>
      </c>
      <c r="J822" s="14">
        <f>CHOOSE(CONTROL!$C$42, 75.8482, 75.8482)* CHOOSE(CONTROL!$C$21, $C$9, 100%, $E$9)</f>
        <v>75.848200000000006</v>
      </c>
      <c r="K822" s="52">
        <f>CHOOSE(CONTROL!$C$42, 76.0882, 76.0882) * CHOOSE(CONTROL!$C$21, $C$9, 100%, $E$9)</f>
        <v>76.088200000000001</v>
      </c>
      <c r="L822" s="14">
        <f>CHOOSE(CONTROL!$C$42, 76.7077, 76.7077) * CHOOSE(CONTROL!$C$21, $C$9, 100%, $E$9)</f>
        <v>76.707700000000003</v>
      </c>
      <c r="M822" s="14">
        <f>CHOOSE(CONTROL!$C$42, 74.4917, 74.4917) * CHOOSE(CONTROL!$C$21, $C$9, 100%, $E$9)</f>
        <v>74.491699999999994</v>
      </c>
      <c r="N822" s="14">
        <f>CHOOSE(CONTROL!$C$42, 74.5084, 74.5084) * CHOOSE(CONTROL!$C$21, $C$9, 100%, $E$9)</f>
        <v>74.508399999999995</v>
      </c>
      <c r="O822" s="14">
        <f>CHOOSE(CONTROL!$C$42, 74.7592, 74.7592) * CHOOSE(CONTROL!$C$21, $C$9, 100%, $E$9)</f>
        <v>74.759200000000007</v>
      </c>
      <c r="P822" s="14">
        <f>CHOOSE(CONTROL!$C$42, 74.727, 74.727) * CHOOSE(CONTROL!$C$21, $C$9, 100%, $E$9)</f>
        <v>74.727000000000004</v>
      </c>
      <c r="Q822" s="14">
        <f>CHOOSE(CONTROL!$C$42, 75.3539, 75.3539) * CHOOSE(CONTROL!$C$21, $C$9, 100%, $E$9)</f>
        <v>75.353899999999996</v>
      </c>
      <c r="R822" s="14">
        <f>CHOOSE(CONTROL!$C$42, 76.1293, 76.1293) * CHOOSE(CONTROL!$C$21, $C$9, 100%, $E$9)</f>
        <v>76.129300000000001</v>
      </c>
      <c r="S822" s="14">
        <f>CHOOSE(CONTROL!$C$42, 72.8577, 72.8577) * CHOOSE(CONTROL!$C$21, $C$9, 100%, $E$9)</f>
        <v>72.857699999999994</v>
      </c>
      <c r="T82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822" s="56">
        <f>(1000*CHOOSE(CONTROL!$C$42, 695, 695)*CHOOSE(CONTROL!$C$42, 0.5599, 0.5599)*CHOOSE(CONTROL!$C$42, 30, 30))/1000000</f>
        <v>11.673914999999997</v>
      </c>
      <c r="V822" s="56">
        <f>(1000*CHOOSE(CONTROL!$C$42, 500, 500)*CHOOSE(CONTROL!$C$42, 0.275, 0.275)*CHOOSE(CONTROL!$C$42, 30, 30))/1000000</f>
        <v>4.125</v>
      </c>
      <c r="W822" s="56">
        <f>(1000*CHOOSE(CONTROL!$C$42, 0.1146, 0.1146)*CHOOSE(CONTROL!$C$42, 121.5, 121.5)*CHOOSE(CONTROL!$C$42, 30, 30))/1000000</f>
        <v>0.417717</v>
      </c>
      <c r="X822" s="56">
        <f>(30*0.1790888*245000/1000000)+(30*0.2374*100000/1000000)</f>
        <v>2.0285026799999999</v>
      </c>
      <c r="Y822" s="56"/>
      <c r="Z822" s="14"/>
      <c r="AA822" s="55"/>
      <c r="AB822" s="49">
        <f>(B822*194.205+C822*267.466+D822*133.845+E822*53.484+F822*40+G822*185+H822*0+I822*100+J822*300)/(194.205+267.466+133.845+53.484+0+40+185+100+300)</f>
        <v>75.905839640109889</v>
      </c>
      <c r="AC822" s="45">
        <f>(M822*'RAP TEMPLATE-GAS AVAILABILITY'!O821+N822*'RAP TEMPLATE-GAS AVAILABILITY'!P821+O822*'RAP TEMPLATE-GAS AVAILABILITY'!Q821+P822*'RAP TEMPLATE-GAS AVAILABILITY'!R821)/('RAP TEMPLATE-GAS AVAILABILITY'!O821+'RAP TEMPLATE-GAS AVAILABILITY'!P821+'RAP TEMPLATE-GAS AVAILABILITY'!Q821+'RAP TEMPLATE-GAS AVAILABILITY'!R821)</f>
        <v>74.647758273381285</v>
      </c>
    </row>
    <row r="823" spans="1:29" ht="15.75" x14ac:dyDescent="0.25">
      <c r="A823" s="32">
        <v>65958</v>
      </c>
      <c r="B823" s="14">
        <f>CHOOSE(CONTROL!$C$42, 74.3788, 74.3788) * CHOOSE(CONTROL!$C$21, $C$9, 100%, $E$9)</f>
        <v>74.378799999999998</v>
      </c>
      <c r="C823" s="14">
        <f>CHOOSE(CONTROL!$C$42, 74.3869, 74.3869) * CHOOSE(CONTROL!$C$21, $C$9, 100%, $E$9)</f>
        <v>74.386899999999997</v>
      </c>
      <c r="D823" s="14">
        <f>CHOOSE(CONTROL!$C$42, 74.6459, 74.6459) * CHOOSE(CONTROL!$C$21, $C$9, 100%, $E$9)</f>
        <v>74.645899999999997</v>
      </c>
      <c r="E823" s="14">
        <f>CHOOSE(CONTROL!$C$42, 74.6774, 74.6774) * CHOOSE(CONTROL!$C$21, $C$9, 100%, $E$9)</f>
        <v>74.677400000000006</v>
      </c>
      <c r="F823" s="14">
        <f>CHOOSE(CONTROL!$C$42, 74.401, 74.401)*CHOOSE(CONTROL!$C$21, $C$9, 100%, $E$9)</f>
        <v>74.400999999999996</v>
      </c>
      <c r="G823" s="14">
        <f>CHOOSE(CONTROL!$C$42, 74.4182, 74.4182)*CHOOSE(CONTROL!$C$21, $C$9, 100%, $E$9)</f>
        <v>74.418199999999999</v>
      </c>
      <c r="H823" s="14">
        <f>CHOOSE(CONTROL!$C$42, 74.666, 74.666) * CHOOSE(CONTROL!$C$21, $C$9, 100%, $E$9)</f>
        <v>74.665999999999997</v>
      </c>
      <c r="I823" s="14">
        <f>CHOOSE(CONTROL!$C$42, 74.6329, 74.6329)* CHOOSE(CONTROL!$C$21, $C$9, 100%, $E$9)</f>
        <v>74.632900000000006</v>
      </c>
      <c r="J823" s="14">
        <f>CHOOSE(CONTROL!$C$42, 74.394, 74.394)* CHOOSE(CONTROL!$C$21, $C$9, 100%, $E$9)</f>
        <v>74.394000000000005</v>
      </c>
      <c r="K823" s="52">
        <f>CHOOSE(CONTROL!$C$42, 74.629, 74.629) * CHOOSE(CONTROL!$C$21, $C$9, 100%, $E$9)</f>
        <v>74.629000000000005</v>
      </c>
      <c r="L823" s="14">
        <f>CHOOSE(CONTROL!$C$42, 75.253, 75.253) * CHOOSE(CONTROL!$C$21, $C$9, 100%, $E$9)</f>
        <v>75.253</v>
      </c>
      <c r="M823" s="14">
        <f>CHOOSE(CONTROL!$C$42, 73.0636, 73.0636) * CHOOSE(CONTROL!$C$21, $C$9, 100%, $E$9)</f>
        <v>73.063599999999994</v>
      </c>
      <c r="N823" s="14">
        <f>CHOOSE(CONTROL!$C$42, 73.0805, 73.0805) * CHOOSE(CONTROL!$C$21, $C$9, 100%, $E$9)</f>
        <v>73.080500000000001</v>
      </c>
      <c r="O823" s="14">
        <f>CHOOSE(CONTROL!$C$42, 73.3307, 73.3307) * CHOOSE(CONTROL!$C$21, $C$9, 100%, $E$9)</f>
        <v>73.330699999999993</v>
      </c>
      <c r="P823" s="14">
        <f>CHOOSE(CONTROL!$C$42, 73.2941, 73.2941) * CHOOSE(CONTROL!$C$21, $C$9, 100%, $E$9)</f>
        <v>73.2941</v>
      </c>
      <c r="Q823" s="14">
        <f>CHOOSE(CONTROL!$C$42, 73.9254, 73.9254) * CHOOSE(CONTROL!$C$21, $C$9, 100%, $E$9)</f>
        <v>73.925399999999996</v>
      </c>
      <c r="R823" s="14">
        <f>CHOOSE(CONTROL!$C$42, 74.6973, 74.6973) * CHOOSE(CONTROL!$C$21, $C$9, 100%, $E$9)</f>
        <v>74.697299999999998</v>
      </c>
      <c r="S823" s="14">
        <f>CHOOSE(CONTROL!$C$42, 71.46, 71.46) * CHOOSE(CONTROL!$C$21, $C$9, 100%, $E$9)</f>
        <v>71.459999999999994</v>
      </c>
      <c r="T82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823" s="56">
        <f>(1000*CHOOSE(CONTROL!$C$42, 695, 695)*CHOOSE(CONTROL!$C$42, 0.5599, 0.5599)*CHOOSE(CONTROL!$C$42, 31, 31))/1000000</f>
        <v>12.063045499999998</v>
      </c>
      <c r="V823" s="56">
        <f>(1000*CHOOSE(CONTROL!$C$42, 500, 500)*CHOOSE(CONTROL!$C$42, 0.275, 0.275)*CHOOSE(CONTROL!$C$42, 31, 31))/1000000</f>
        <v>4.2625000000000002</v>
      </c>
      <c r="W823" s="56">
        <f>(1000*CHOOSE(CONTROL!$C$42, 0.1146, 0.1146)*CHOOSE(CONTROL!$C$42, 121.5, 121.5)*CHOOSE(CONTROL!$C$42, 31, 31))/1000000</f>
        <v>0.43164089999999994</v>
      </c>
      <c r="X823" s="56">
        <f>(31*0.1790888*245000/1000000)+(31*0.2374*100000/1000000)</f>
        <v>2.0961194359999999</v>
      </c>
      <c r="Y823" s="56"/>
      <c r="Z823" s="14"/>
      <c r="AA823" s="55"/>
      <c r="AB823" s="49">
        <f>(B823*194.205+C823*267.466+D823*133.845+E823*53.484+F823*40+G823*185+H823*0+I823*100+J823*300)/(194.205+267.466+133.845+53.484+0+40+185+100+300)</f>
        <v>74.451040028649913</v>
      </c>
      <c r="AC823" s="45">
        <f>(M823*'RAP TEMPLATE-GAS AVAILABILITY'!O822+N823*'RAP TEMPLATE-GAS AVAILABILITY'!P822+O823*'RAP TEMPLATE-GAS AVAILABILITY'!Q822+P823*'RAP TEMPLATE-GAS AVAILABILITY'!R822)/('RAP TEMPLATE-GAS AVAILABILITY'!O822+'RAP TEMPLATE-GAS AVAILABILITY'!P822+'RAP TEMPLATE-GAS AVAILABILITY'!Q822+'RAP TEMPLATE-GAS AVAILABILITY'!R822)</f>
        <v>73.218797841726612</v>
      </c>
    </row>
    <row r="824" spans="1:29" ht="15.75" x14ac:dyDescent="0.25">
      <c r="A824" s="32">
        <v>65989</v>
      </c>
      <c r="B824" s="14">
        <f>CHOOSE(CONTROL!$C$42, 70.7055, 70.7055) * CHOOSE(CONTROL!$C$21, $C$9, 100%, $E$9)</f>
        <v>70.705500000000001</v>
      </c>
      <c r="C824" s="14">
        <f>CHOOSE(CONTROL!$C$42, 70.7135, 70.7135) * CHOOSE(CONTROL!$C$21, $C$9, 100%, $E$9)</f>
        <v>70.713499999999996</v>
      </c>
      <c r="D824" s="14">
        <f>CHOOSE(CONTROL!$C$42, 70.9726, 70.9726) * CHOOSE(CONTROL!$C$21, $C$9, 100%, $E$9)</f>
        <v>70.9726</v>
      </c>
      <c r="E824" s="14">
        <f>CHOOSE(CONTROL!$C$42, 71.004, 71.004) * CHOOSE(CONTROL!$C$21, $C$9, 100%, $E$9)</f>
        <v>71.004000000000005</v>
      </c>
      <c r="F824" s="14">
        <f>CHOOSE(CONTROL!$C$42, 70.7279, 70.7279)*CHOOSE(CONTROL!$C$21, $C$9, 100%, $E$9)</f>
        <v>70.727900000000005</v>
      </c>
      <c r="G824" s="14">
        <f>CHOOSE(CONTROL!$C$42, 70.7451, 70.7451)*CHOOSE(CONTROL!$C$21, $C$9, 100%, $E$9)</f>
        <v>70.745099999999994</v>
      </c>
      <c r="H824" s="14">
        <f>CHOOSE(CONTROL!$C$42, 70.9927, 70.9927) * CHOOSE(CONTROL!$C$21, $C$9, 100%, $E$9)</f>
        <v>70.992699999999999</v>
      </c>
      <c r="I824" s="14">
        <f>CHOOSE(CONTROL!$C$42, 70.948, 70.948)* CHOOSE(CONTROL!$C$21, $C$9, 100%, $E$9)</f>
        <v>70.947999999999993</v>
      </c>
      <c r="J824" s="14">
        <f>CHOOSE(CONTROL!$C$42, 70.7209, 70.7209)* CHOOSE(CONTROL!$C$21, $C$9, 100%, $E$9)</f>
        <v>70.7209</v>
      </c>
      <c r="K824" s="52">
        <f>CHOOSE(CONTROL!$C$42, 70.9441, 70.9441) * CHOOSE(CONTROL!$C$21, $C$9, 100%, $E$9)</f>
        <v>70.944100000000006</v>
      </c>
      <c r="L824" s="14">
        <f>CHOOSE(CONTROL!$C$42, 71.5797, 71.5797) * CHOOSE(CONTROL!$C$21, $C$9, 100%, $E$9)</f>
        <v>71.579700000000003</v>
      </c>
      <c r="M824" s="14">
        <f>CHOOSE(CONTROL!$C$42, 69.4565, 69.4565) * CHOOSE(CONTROL!$C$21, $C$9, 100%, $E$9)</f>
        <v>69.456500000000005</v>
      </c>
      <c r="N824" s="14">
        <f>CHOOSE(CONTROL!$C$42, 69.4734, 69.4734) * CHOOSE(CONTROL!$C$21, $C$9, 100%, $E$9)</f>
        <v>69.473399999999998</v>
      </c>
      <c r="O824" s="14">
        <f>CHOOSE(CONTROL!$C$42, 69.7234, 69.7234) * CHOOSE(CONTROL!$C$21, $C$9, 100%, $E$9)</f>
        <v>69.723399999999998</v>
      </c>
      <c r="P824" s="14">
        <f>CHOOSE(CONTROL!$C$42, 69.6757, 69.6757) * CHOOSE(CONTROL!$C$21, $C$9, 100%, $E$9)</f>
        <v>69.675700000000006</v>
      </c>
      <c r="Q824" s="14">
        <f>CHOOSE(CONTROL!$C$42, 70.3181, 70.3181) * CHOOSE(CONTROL!$C$21, $C$9, 100%, $E$9)</f>
        <v>70.318100000000001</v>
      </c>
      <c r="R824" s="14">
        <f>CHOOSE(CONTROL!$C$42, 71.0809, 71.0809) * CHOOSE(CONTROL!$C$21, $C$9, 100%, $E$9)</f>
        <v>71.0809</v>
      </c>
      <c r="S824" s="14">
        <f>CHOOSE(CONTROL!$C$42, 67.9302, 67.9302) * CHOOSE(CONTROL!$C$21, $C$9, 100%, $E$9)</f>
        <v>67.930199999999999</v>
      </c>
      <c r="T82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24" s="56">
        <f>(1000*CHOOSE(CONTROL!$C$42, 695, 695)*CHOOSE(CONTROL!$C$42, 0.5599, 0.5599)*CHOOSE(CONTROL!$C$42, 31, 31))/1000000</f>
        <v>12.063045499999998</v>
      </c>
      <c r="V824" s="56">
        <f>(1000*CHOOSE(CONTROL!$C$42, 500, 500)*CHOOSE(CONTROL!$C$42, 0.275, 0.275)*CHOOSE(CONTROL!$C$42, 31, 31))/1000000</f>
        <v>4.2625000000000002</v>
      </c>
      <c r="W824" s="56">
        <f>(1000*CHOOSE(CONTROL!$C$42, 0.1146, 0.1146)*CHOOSE(CONTROL!$C$42, 121.5, 121.5)*CHOOSE(CONTROL!$C$42, 31, 31))/1000000</f>
        <v>0.43164089999999994</v>
      </c>
      <c r="X824" s="56">
        <f>(31*0.1790888*245000/1000000)+(31*0.2374*100000/1000000)</f>
        <v>2.0961194359999999</v>
      </c>
      <c r="Y824" s="56"/>
      <c r="Z824" s="14"/>
      <c r="AA824" s="55"/>
      <c r="AB824" s="49">
        <f>(B824*194.205+C824*267.466+D824*133.845+E824*53.484+F824*40+G824*185+H824*0+I824*100+J824*300)/(194.205+267.466+133.845+53.484+0+40+185+100+300)</f>
        <v>70.776886735871287</v>
      </c>
      <c r="AC824" s="45">
        <f>(M824*'RAP TEMPLATE-GAS AVAILABILITY'!O823+N824*'RAP TEMPLATE-GAS AVAILABILITY'!P823+O824*'RAP TEMPLATE-GAS AVAILABILITY'!Q823+P824*'RAP TEMPLATE-GAS AVAILABILITY'!R823)/('RAP TEMPLATE-GAS AVAILABILITY'!O823+'RAP TEMPLATE-GAS AVAILABILITY'!P823+'RAP TEMPLATE-GAS AVAILABILITY'!Q823+'RAP TEMPLATE-GAS AVAILABILITY'!R823)</f>
        <v>69.60998129496403</v>
      </c>
    </row>
    <row r="825" spans="1:29" ht="15.75" x14ac:dyDescent="0.25">
      <c r="A825" s="32">
        <v>66019</v>
      </c>
      <c r="B825" s="14">
        <f>CHOOSE(CONTROL!$C$42, 66.217, 66.217) * CHOOSE(CONTROL!$C$21, $C$9, 100%, $E$9)</f>
        <v>66.216999999999999</v>
      </c>
      <c r="C825" s="14">
        <f>CHOOSE(CONTROL!$C$42, 66.2251, 66.2251) * CHOOSE(CONTROL!$C$21, $C$9, 100%, $E$9)</f>
        <v>66.225099999999998</v>
      </c>
      <c r="D825" s="14">
        <f>CHOOSE(CONTROL!$C$42, 66.4842, 66.4842) * CHOOSE(CONTROL!$C$21, $C$9, 100%, $E$9)</f>
        <v>66.484200000000001</v>
      </c>
      <c r="E825" s="14">
        <f>CHOOSE(CONTROL!$C$42, 66.5156, 66.5156) * CHOOSE(CONTROL!$C$21, $C$9, 100%, $E$9)</f>
        <v>66.515600000000006</v>
      </c>
      <c r="F825" s="14">
        <f>CHOOSE(CONTROL!$C$42, 66.2395, 66.2395)*CHOOSE(CONTROL!$C$21, $C$9, 100%, $E$9)</f>
        <v>66.239500000000007</v>
      </c>
      <c r="G825" s="14">
        <f>CHOOSE(CONTROL!$C$42, 66.2567, 66.2567)*CHOOSE(CONTROL!$C$21, $C$9, 100%, $E$9)</f>
        <v>66.256699999999995</v>
      </c>
      <c r="H825" s="14">
        <f>CHOOSE(CONTROL!$C$42, 66.5043, 66.5043) * CHOOSE(CONTROL!$C$21, $C$9, 100%, $E$9)</f>
        <v>66.504300000000001</v>
      </c>
      <c r="I825" s="14">
        <f>CHOOSE(CONTROL!$C$42, 66.4455, 66.4455)* CHOOSE(CONTROL!$C$21, $C$9, 100%, $E$9)</f>
        <v>66.445499999999996</v>
      </c>
      <c r="J825" s="14">
        <f>CHOOSE(CONTROL!$C$42, 66.2325, 66.2325)* CHOOSE(CONTROL!$C$21, $C$9, 100%, $E$9)</f>
        <v>66.232500000000002</v>
      </c>
      <c r="K825" s="52">
        <f>CHOOSE(CONTROL!$C$42, 66.4416, 66.4416) * CHOOSE(CONTROL!$C$21, $C$9, 100%, $E$9)</f>
        <v>66.441599999999994</v>
      </c>
      <c r="L825" s="14">
        <f>CHOOSE(CONTROL!$C$42, 67.0913, 67.0913) * CHOOSE(CONTROL!$C$21, $C$9, 100%, $E$9)</f>
        <v>67.091300000000004</v>
      </c>
      <c r="M825" s="14">
        <f>CHOOSE(CONTROL!$C$42, 65.0489, 65.0489) * CHOOSE(CONTROL!$C$21, $C$9, 100%, $E$9)</f>
        <v>65.048900000000003</v>
      </c>
      <c r="N825" s="14">
        <f>CHOOSE(CONTROL!$C$42, 65.0658, 65.0658) * CHOOSE(CONTROL!$C$21, $C$9, 100%, $E$9)</f>
        <v>65.065799999999996</v>
      </c>
      <c r="O825" s="14">
        <f>CHOOSE(CONTROL!$C$42, 65.3158, 65.3158) * CHOOSE(CONTROL!$C$21, $C$9, 100%, $E$9)</f>
        <v>65.315799999999996</v>
      </c>
      <c r="P825" s="14">
        <f>CHOOSE(CONTROL!$C$42, 65.2545, 65.2545) * CHOOSE(CONTROL!$C$21, $C$9, 100%, $E$9)</f>
        <v>65.254499999999993</v>
      </c>
      <c r="Q825" s="14">
        <f>CHOOSE(CONTROL!$C$42, 65.9105, 65.9105) * CHOOSE(CONTROL!$C$21, $C$9, 100%, $E$9)</f>
        <v>65.910499999999999</v>
      </c>
      <c r="R825" s="14">
        <f>CHOOSE(CONTROL!$C$42, 66.6622, 66.6622) * CHOOSE(CONTROL!$C$21, $C$9, 100%, $E$9)</f>
        <v>66.662199999999999</v>
      </c>
      <c r="S825" s="14">
        <f>CHOOSE(CONTROL!$C$42, 63.6173, 63.6173) * CHOOSE(CONTROL!$C$21, $C$9, 100%, $E$9)</f>
        <v>63.6173</v>
      </c>
      <c r="T82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25" s="56">
        <f>(1000*CHOOSE(CONTROL!$C$42, 695, 695)*CHOOSE(CONTROL!$C$42, 0.5599, 0.5599)*CHOOSE(CONTROL!$C$42, 30, 30))/1000000</f>
        <v>11.673914999999997</v>
      </c>
      <c r="V825" s="56">
        <f>(1000*CHOOSE(CONTROL!$C$42, 500, 500)*CHOOSE(CONTROL!$C$42, 0.275, 0.275)*CHOOSE(CONTROL!$C$42, 30, 30))/1000000</f>
        <v>4.125</v>
      </c>
      <c r="W825" s="56">
        <f>(1000*CHOOSE(CONTROL!$C$42, 0.1146, 0.1146)*CHOOSE(CONTROL!$C$42, 121.5, 121.5)*CHOOSE(CONTROL!$C$42, 30, 30))/1000000</f>
        <v>0.417717</v>
      </c>
      <c r="X825" s="56">
        <f>(30*0.1790888*245000/1000000)+(30*0.2374*100000/1000000)</f>
        <v>2.0285026799999999</v>
      </c>
      <c r="Y825" s="56"/>
      <c r="Z825" s="14"/>
      <c r="AA825" s="55"/>
      <c r="AB825" s="49">
        <f>(B825*194.205+C825*267.466+D825*133.845+E825*53.484+F825*40+G825*185+H825*0+I825*100+J825*300)/(194.205+267.466+133.845+53.484+0+40+185+100+300)</f>
        <v>66.287364741758239</v>
      </c>
      <c r="AC825" s="45">
        <f>(M825*'RAP TEMPLATE-GAS AVAILABILITY'!O824+N825*'RAP TEMPLATE-GAS AVAILABILITY'!P824+O825*'RAP TEMPLATE-GAS AVAILABILITY'!Q824+P825*'RAP TEMPLATE-GAS AVAILABILITY'!R824)/('RAP TEMPLATE-GAS AVAILABILITY'!O824+'RAP TEMPLATE-GAS AVAILABILITY'!P824+'RAP TEMPLATE-GAS AVAILABILITY'!Q824+'RAP TEMPLATE-GAS AVAILABILITY'!R824)</f>
        <v>65.200424460431648</v>
      </c>
    </row>
    <row r="826" spans="1:29" ht="15.75" x14ac:dyDescent="0.25">
      <c r="A826" s="32">
        <v>66050</v>
      </c>
      <c r="B826" s="14">
        <f>CHOOSE(CONTROL!$C$42, 64.871, 64.871) * CHOOSE(CONTROL!$C$21, $C$9, 100%, $E$9)</f>
        <v>64.870999999999995</v>
      </c>
      <c r="C826" s="14">
        <f>CHOOSE(CONTROL!$C$42, 64.8764, 64.8764) * CHOOSE(CONTROL!$C$21, $C$9, 100%, $E$9)</f>
        <v>64.876400000000004</v>
      </c>
      <c r="D826" s="14">
        <f>CHOOSE(CONTROL!$C$42, 65.1404, 65.1404) * CHOOSE(CONTROL!$C$21, $C$9, 100%, $E$9)</f>
        <v>65.1404</v>
      </c>
      <c r="E826" s="14">
        <f>CHOOSE(CONTROL!$C$42, 65.1695, 65.1695) * CHOOSE(CONTROL!$C$21, $C$9, 100%, $E$9)</f>
        <v>65.169499999999999</v>
      </c>
      <c r="F826" s="14">
        <f>CHOOSE(CONTROL!$C$42, 64.8957, 64.8957)*CHOOSE(CONTROL!$C$21, $C$9, 100%, $E$9)</f>
        <v>64.895700000000005</v>
      </c>
      <c r="G826" s="14">
        <f>CHOOSE(CONTROL!$C$42, 64.9128, 64.9128)*CHOOSE(CONTROL!$C$21, $C$9, 100%, $E$9)</f>
        <v>64.912800000000004</v>
      </c>
      <c r="H826" s="14">
        <f>CHOOSE(CONTROL!$C$42, 65.16, 65.16) * CHOOSE(CONTROL!$C$21, $C$9, 100%, $E$9)</f>
        <v>65.16</v>
      </c>
      <c r="I826" s="14">
        <f>CHOOSE(CONTROL!$C$42, 65.0971, 65.0971)* CHOOSE(CONTROL!$C$21, $C$9, 100%, $E$9)</f>
        <v>65.097099999999998</v>
      </c>
      <c r="J826" s="14">
        <f>CHOOSE(CONTROL!$C$42, 64.8887, 64.8887)* CHOOSE(CONTROL!$C$21, $C$9, 100%, $E$9)</f>
        <v>64.8887</v>
      </c>
      <c r="K826" s="52">
        <f>CHOOSE(CONTROL!$C$42, 65.0932, 65.0932) * CHOOSE(CONTROL!$C$21, $C$9, 100%, $E$9)</f>
        <v>65.093199999999996</v>
      </c>
      <c r="L826" s="14">
        <f>CHOOSE(CONTROL!$C$42, 65.747, 65.747) * CHOOSE(CONTROL!$C$21, $C$9, 100%, $E$9)</f>
        <v>65.747</v>
      </c>
      <c r="M826" s="14">
        <f>CHOOSE(CONTROL!$C$42, 63.7292, 63.7292) * CHOOSE(CONTROL!$C$21, $C$9, 100%, $E$9)</f>
        <v>63.729199999999999</v>
      </c>
      <c r="N826" s="14">
        <f>CHOOSE(CONTROL!$C$42, 63.746, 63.746) * CHOOSE(CONTROL!$C$21, $C$9, 100%, $E$9)</f>
        <v>63.746000000000002</v>
      </c>
      <c r="O826" s="14">
        <f>CHOOSE(CONTROL!$C$42, 63.9957, 63.9957) * CHOOSE(CONTROL!$C$21, $C$9, 100%, $E$9)</f>
        <v>63.995699999999999</v>
      </c>
      <c r="P826" s="14">
        <f>CHOOSE(CONTROL!$C$42, 63.9304, 63.9304) * CHOOSE(CONTROL!$C$21, $C$9, 100%, $E$9)</f>
        <v>63.930399999999999</v>
      </c>
      <c r="Q826" s="14">
        <f>CHOOSE(CONTROL!$C$42, 64.5904, 64.5904) * CHOOSE(CONTROL!$C$21, $C$9, 100%, $E$9)</f>
        <v>64.590400000000002</v>
      </c>
      <c r="R826" s="14">
        <f>CHOOSE(CONTROL!$C$42, 65.3389, 65.3389) * CHOOSE(CONTROL!$C$21, $C$9, 100%, $E$9)</f>
        <v>65.338899999999995</v>
      </c>
      <c r="S826" s="14">
        <f>CHOOSE(CONTROL!$C$42, 62.3256, 62.3256) * CHOOSE(CONTROL!$C$21, $C$9, 100%, $E$9)</f>
        <v>62.325600000000001</v>
      </c>
      <c r="T82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26" s="56">
        <f>(1000*CHOOSE(CONTROL!$C$42, 695, 695)*CHOOSE(CONTROL!$C$42, 0.5599, 0.5599)*CHOOSE(CONTROL!$C$42, 31, 31))/1000000</f>
        <v>12.063045499999998</v>
      </c>
      <c r="V826" s="56">
        <f>(1000*CHOOSE(CONTROL!$C$42, 500, 500)*CHOOSE(CONTROL!$C$42, 0.275, 0.275)*CHOOSE(CONTROL!$C$42, 31, 31))/1000000</f>
        <v>4.2625000000000002</v>
      </c>
      <c r="W826" s="56">
        <f>(1000*CHOOSE(CONTROL!$C$42, 0.1146, 0.1146)*CHOOSE(CONTROL!$C$42, 121.5, 121.5)*CHOOSE(CONTROL!$C$42, 31, 31))/1000000</f>
        <v>0.43164089999999994</v>
      </c>
      <c r="X826" s="56">
        <f>(31*0.1790888*245000/1000000)+(31*0.2374*100000/1000000)</f>
        <v>2.0961194359999999</v>
      </c>
      <c r="Y826" s="56"/>
      <c r="Z826" s="14"/>
      <c r="AA826" s="55"/>
      <c r="AB826" s="49">
        <f>(B826*131.881+C826*277.167+D826*79.08+E826*125.872+F826*40+G826*185+H826*0+I826*100+J826*300)/(131.881+277.167+79.08+125.872+0+40+185+100+300)</f>
        <v>64.949300763357556</v>
      </c>
      <c r="AC826" s="45">
        <f>(M826*'RAP TEMPLATE-GAS AVAILABILITY'!O825+N826*'RAP TEMPLATE-GAS AVAILABILITY'!P825+O826*'RAP TEMPLATE-GAS AVAILABILITY'!Q825+P826*'RAP TEMPLATE-GAS AVAILABILITY'!R825)/('RAP TEMPLATE-GAS AVAILABILITY'!O825+'RAP TEMPLATE-GAS AVAILABILITY'!P825+'RAP TEMPLATE-GAS AVAILABILITY'!Q825+'RAP TEMPLATE-GAS AVAILABILITY'!R825)</f>
        <v>63.879904316546757</v>
      </c>
    </row>
    <row r="827" spans="1:29" ht="15.75" x14ac:dyDescent="0.25">
      <c r="A827" s="32">
        <v>66080</v>
      </c>
      <c r="B827" s="14">
        <f>CHOOSE(CONTROL!$C$42, 66.5794, 66.5794) * CHOOSE(CONTROL!$C$21, $C$9, 100%, $E$9)</f>
        <v>66.579400000000007</v>
      </c>
      <c r="C827" s="14">
        <f>CHOOSE(CONTROL!$C$42, 66.5844, 66.5844) * CHOOSE(CONTROL!$C$21, $C$9, 100%, $E$9)</f>
        <v>66.584400000000002</v>
      </c>
      <c r="D827" s="14">
        <f>CHOOSE(CONTROL!$C$42, 66.6675, 66.6675) * CHOOSE(CONTROL!$C$21, $C$9, 100%, $E$9)</f>
        <v>66.667500000000004</v>
      </c>
      <c r="E827" s="14">
        <f>CHOOSE(CONTROL!$C$42, 66.7016, 66.7016) * CHOOSE(CONTROL!$C$21, $C$9, 100%, $E$9)</f>
        <v>66.701599999999999</v>
      </c>
      <c r="F827" s="14">
        <f>CHOOSE(CONTROL!$C$42, 66.607, 66.607)*CHOOSE(CONTROL!$C$21, $C$9, 100%, $E$9)</f>
        <v>66.606999999999999</v>
      </c>
      <c r="G827" s="14">
        <f>CHOOSE(CONTROL!$C$42, 66.6244, 66.6244)*CHOOSE(CONTROL!$C$21, $C$9, 100%, $E$9)</f>
        <v>66.624399999999994</v>
      </c>
      <c r="H827" s="14">
        <f>CHOOSE(CONTROL!$C$42, 66.6908, 66.6908) * CHOOSE(CONTROL!$C$21, $C$9, 100%, $E$9)</f>
        <v>66.690799999999996</v>
      </c>
      <c r="I827" s="14">
        <f>CHOOSE(CONTROL!$C$42, 66.8075, 66.8075)* CHOOSE(CONTROL!$C$21, $C$9, 100%, $E$9)</f>
        <v>66.807500000000005</v>
      </c>
      <c r="J827" s="14">
        <f>CHOOSE(CONTROL!$C$42, 66.6, 66.6)* CHOOSE(CONTROL!$C$21, $C$9, 100%, $E$9)</f>
        <v>66.599999999999994</v>
      </c>
      <c r="K827" s="52">
        <f>CHOOSE(CONTROL!$C$42, 66.8036, 66.8036) * CHOOSE(CONTROL!$C$21, $C$9, 100%, $E$9)</f>
        <v>66.803600000000003</v>
      </c>
      <c r="L827" s="14">
        <f>CHOOSE(CONTROL!$C$42, 67.2778, 67.2778) * CHOOSE(CONTROL!$C$21, $C$9, 100%, $E$9)</f>
        <v>67.277799999999999</v>
      </c>
      <c r="M827" s="14">
        <f>CHOOSE(CONTROL!$C$42, 65.4098, 65.4098) * CHOOSE(CONTROL!$C$21, $C$9, 100%, $E$9)</f>
        <v>65.409800000000004</v>
      </c>
      <c r="N827" s="14">
        <f>CHOOSE(CONTROL!$C$42, 65.4268, 65.4268) * CHOOSE(CONTROL!$C$21, $C$9, 100%, $E$9)</f>
        <v>65.4268</v>
      </c>
      <c r="O827" s="14">
        <f>CHOOSE(CONTROL!$C$42, 65.499, 65.499) * CHOOSE(CONTROL!$C$21, $C$9, 100%, $E$9)</f>
        <v>65.498999999999995</v>
      </c>
      <c r="P827" s="14">
        <f>CHOOSE(CONTROL!$C$42, 65.6099, 65.6099) * CHOOSE(CONTROL!$C$21, $C$9, 100%, $E$9)</f>
        <v>65.609899999999996</v>
      </c>
      <c r="Q827" s="14">
        <f>CHOOSE(CONTROL!$C$42, 66.0937, 66.0937) * CHOOSE(CONTROL!$C$21, $C$9, 100%, $E$9)</f>
        <v>66.093699999999998</v>
      </c>
      <c r="R827" s="14">
        <f>CHOOSE(CONTROL!$C$42, 66.8459, 66.8459) * CHOOSE(CONTROL!$C$21, $C$9, 100%, $E$9)</f>
        <v>66.8459</v>
      </c>
      <c r="S827" s="14">
        <f>CHOOSE(CONTROL!$C$42, 63.9676, 63.9676) * CHOOSE(CONTROL!$C$21, $C$9, 100%, $E$9)</f>
        <v>63.967599999999997</v>
      </c>
      <c r="T82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27" s="56">
        <f>(1000*CHOOSE(CONTROL!$C$42, 695, 695)*CHOOSE(CONTROL!$C$42, 0.5599, 0.5599)*CHOOSE(CONTROL!$C$42, 30, 30))/1000000</f>
        <v>11.673914999999997</v>
      </c>
      <c r="V827" s="56">
        <f>(1000*CHOOSE(CONTROL!$C$42, 500, 500)*CHOOSE(CONTROL!$C$42, 0.275, 0.275)*CHOOSE(CONTROL!$C$42, 30, 30))/1000000</f>
        <v>4.125</v>
      </c>
      <c r="W827" s="56">
        <f>(1000*CHOOSE(CONTROL!$C$42, 0.1146, 0.1146)*CHOOSE(CONTROL!$C$42, 121.5, 121.5)*CHOOSE(CONTROL!$C$42, 30, 30))/1000000</f>
        <v>0.417717</v>
      </c>
      <c r="X827" s="56">
        <f>(30*0.1790888*100000/1000000)+(30*0.2374*100000/1000000)</f>
        <v>1.2494664</v>
      </c>
      <c r="Y827" s="56"/>
      <c r="Z827" s="14"/>
      <c r="AA827" s="55"/>
      <c r="AB827" s="49">
        <f>(B827*122.58+C827*297.941+D827*89.177+E827*40.302+F827*40+G827*160+H827*0+I827*100+J827*300)/(122.58+297.941+89.177+40.302+0+40+160+100+300)</f>
        <v>66.624239220086949</v>
      </c>
      <c r="AC827" s="45">
        <f>(M827*'RAP TEMPLATE-GAS AVAILABILITY'!O826+N827*'RAP TEMPLATE-GAS AVAILABILITY'!P826+O827*'RAP TEMPLATE-GAS AVAILABILITY'!Q826+P827*'RAP TEMPLATE-GAS AVAILABILITY'!R826)/('RAP TEMPLATE-GAS AVAILABILITY'!O826+'RAP TEMPLATE-GAS AVAILABILITY'!P826+'RAP TEMPLATE-GAS AVAILABILITY'!Q826+'RAP TEMPLATE-GAS AVAILABILITY'!R826)</f>
        <v>65.479998561151078</v>
      </c>
    </row>
    <row r="828" spans="1:29" ht="15.75" x14ac:dyDescent="0.25">
      <c r="A828" s="32">
        <v>66111</v>
      </c>
      <c r="B828" s="14">
        <f>CHOOSE(CONTROL!$C$42, 71.1181, 71.1181) * CHOOSE(CONTROL!$C$21, $C$9, 100%, $E$9)</f>
        <v>71.118099999999998</v>
      </c>
      <c r="C828" s="14">
        <f>CHOOSE(CONTROL!$C$42, 71.1231, 71.1231) * CHOOSE(CONTROL!$C$21, $C$9, 100%, $E$9)</f>
        <v>71.123099999999994</v>
      </c>
      <c r="D828" s="14">
        <f>CHOOSE(CONTROL!$C$42, 71.2062, 71.2062) * CHOOSE(CONTROL!$C$21, $C$9, 100%, $E$9)</f>
        <v>71.206199999999995</v>
      </c>
      <c r="E828" s="14">
        <f>CHOOSE(CONTROL!$C$42, 71.2403, 71.2403) * CHOOSE(CONTROL!$C$21, $C$9, 100%, $E$9)</f>
        <v>71.240300000000005</v>
      </c>
      <c r="F828" s="14">
        <f>CHOOSE(CONTROL!$C$42, 71.1481, 71.1481)*CHOOSE(CONTROL!$C$21, $C$9, 100%, $E$9)</f>
        <v>71.148099999999999</v>
      </c>
      <c r="G828" s="14">
        <f>CHOOSE(CONTROL!$C$42, 71.1661, 71.1661)*CHOOSE(CONTROL!$C$21, $C$9, 100%, $E$9)</f>
        <v>71.1661</v>
      </c>
      <c r="H828" s="14">
        <f>CHOOSE(CONTROL!$C$42, 71.2295, 71.2295) * CHOOSE(CONTROL!$C$21, $C$9, 100%, $E$9)</f>
        <v>71.229500000000002</v>
      </c>
      <c r="I828" s="14">
        <f>CHOOSE(CONTROL!$C$42, 71.3604, 71.3604)* CHOOSE(CONTROL!$C$21, $C$9, 100%, $E$9)</f>
        <v>71.360399999999998</v>
      </c>
      <c r="J828" s="14">
        <f>CHOOSE(CONTROL!$C$42, 71.1411, 71.1411)* CHOOSE(CONTROL!$C$21, $C$9, 100%, $E$9)</f>
        <v>71.141099999999994</v>
      </c>
      <c r="K828" s="52">
        <f>CHOOSE(CONTROL!$C$42, 71.3565, 71.3565) * CHOOSE(CONTROL!$C$21, $C$9, 100%, $E$9)</f>
        <v>71.356499999999997</v>
      </c>
      <c r="L828" s="14">
        <f>CHOOSE(CONTROL!$C$42, 71.8165, 71.8165) * CHOOSE(CONTROL!$C$21, $C$9, 100%, $E$9)</f>
        <v>71.816500000000005</v>
      </c>
      <c r="M828" s="14">
        <f>CHOOSE(CONTROL!$C$42, 69.8692, 69.8692) * CHOOSE(CONTROL!$C$21, $C$9, 100%, $E$9)</f>
        <v>69.869200000000006</v>
      </c>
      <c r="N828" s="14">
        <f>CHOOSE(CONTROL!$C$42, 69.8869, 69.8869) * CHOOSE(CONTROL!$C$21, $C$9, 100%, $E$9)</f>
        <v>69.886899999999997</v>
      </c>
      <c r="O828" s="14">
        <f>CHOOSE(CONTROL!$C$42, 69.956, 69.956) * CHOOSE(CONTROL!$C$21, $C$9, 100%, $E$9)</f>
        <v>69.956000000000003</v>
      </c>
      <c r="P828" s="14">
        <f>CHOOSE(CONTROL!$C$42, 70.0807, 70.0807) * CHOOSE(CONTROL!$C$21, $C$9, 100%, $E$9)</f>
        <v>70.080699999999993</v>
      </c>
      <c r="Q828" s="14">
        <f>CHOOSE(CONTROL!$C$42, 70.5507, 70.5507) * CHOOSE(CONTROL!$C$21, $C$9, 100%, $E$9)</f>
        <v>70.550700000000006</v>
      </c>
      <c r="R828" s="14">
        <f>CHOOSE(CONTROL!$C$42, 71.3141, 71.3141) * CHOOSE(CONTROL!$C$21, $C$9, 100%, $E$9)</f>
        <v>71.314099999999996</v>
      </c>
      <c r="S828" s="14">
        <f>CHOOSE(CONTROL!$C$42, 68.3288, 68.3288) * CHOOSE(CONTROL!$C$21, $C$9, 100%, $E$9)</f>
        <v>68.328800000000001</v>
      </c>
      <c r="T82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28" s="56">
        <f>(1000*CHOOSE(CONTROL!$C$42, 695, 695)*CHOOSE(CONTROL!$C$42, 0.5599, 0.5599)*CHOOSE(CONTROL!$C$42, 31, 31))/1000000</f>
        <v>12.063045499999998</v>
      </c>
      <c r="V828" s="56">
        <f>(1000*CHOOSE(CONTROL!$C$42, 500, 500)*CHOOSE(CONTROL!$C$42, 0.275, 0.275)*CHOOSE(CONTROL!$C$42, 31, 31))/1000000</f>
        <v>4.2625000000000002</v>
      </c>
      <c r="W828" s="56">
        <f>(1000*CHOOSE(CONTROL!$C$42, 0.1146, 0.1146)*CHOOSE(CONTROL!$C$42, 121.5, 121.5)*CHOOSE(CONTROL!$C$42, 31, 31))/1000000</f>
        <v>0.43164089999999994</v>
      </c>
      <c r="X828" s="56">
        <f>(31*0.1790888*100000/1000000)+(31*0.2374*100000/1000000)</f>
        <v>1.2911152800000001</v>
      </c>
      <c r="Y828" s="56"/>
      <c r="Z828" s="14"/>
      <c r="AA828" s="55"/>
      <c r="AB828" s="49">
        <f>(B828*122.58+C828*297.941+D828*89.177+E828*40.302+F828*40+G828*160+H828*0+I828*100+J828*300)/(122.58+297.941+89.177+40.302+0+40+160+100+300)</f>
        <v>71.165300959217376</v>
      </c>
      <c r="AC828" s="45">
        <f>(M828*'RAP TEMPLATE-GAS AVAILABILITY'!O827+N828*'RAP TEMPLATE-GAS AVAILABILITY'!P827+O828*'RAP TEMPLATE-GAS AVAILABILITY'!Q827+P828*'RAP TEMPLATE-GAS AVAILABILITY'!R827)/('RAP TEMPLATE-GAS AVAILABILITY'!O827+'RAP TEMPLATE-GAS AVAILABILITY'!P827+'RAP TEMPLATE-GAS AVAILABILITY'!Q827+'RAP TEMPLATE-GAS AVAILABILITY'!R827)</f>
        <v>69.939991366906483</v>
      </c>
    </row>
    <row r="829" spans="1:29" ht="15.75" x14ac:dyDescent="0.25">
      <c r="A829" s="32">
        <v>66142</v>
      </c>
      <c r="B829" s="14">
        <f>CHOOSE(CONTROL!$C$42, 77.013, 77.013) * CHOOSE(CONTROL!$C$21, $C$9, 100%, $E$9)</f>
        <v>77.013000000000005</v>
      </c>
      <c r="C829" s="14">
        <f>CHOOSE(CONTROL!$C$42, 77.0181, 77.0181) * CHOOSE(CONTROL!$C$21, $C$9, 100%, $E$9)</f>
        <v>77.018100000000004</v>
      </c>
      <c r="D829" s="14">
        <f>CHOOSE(CONTROL!$C$42, 77.1116, 77.1116) * CHOOSE(CONTROL!$C$21, $C$9, 100%, $E$9)</f>
        <v>77.111599999999996</v>
      </c>
      <c r="E829" s="14">
        <f>CHOOSE(CONTROL!$C$42, 77.1457, 77.1457) * CHOOSE(CONTROL!$C$21, $C$9, 100%, $E$9)</f>
        <v>77.145700000000005</v>
      </c>
      <c r="F829" s="14">
        <f>CHOOSE(CONTROL!$C$42, 77.0403, 77.0403)*CHOOSE(CONTROL!$C$21, $C$9, 100%, $E$9)</f>
        <v>77.040300000000002</v>
      </c>
      <c r="G829" s="14">
        <f>CHOOSE(CONTROL!$C$42, 77.0583, 77.0583)*CHOOSE(CONTROL!$C$21, $C$9, 100%, $E$9)</f>
        <v>77.058300000000003</v>
      </c>
      <c r="H829" s="14">
        <f>CHOOSE(CONTROL!$C$42, 77.1349, 77.1349) * CHOOSE(CONTROL!$C$21, $C$9, 100%, $E$9)</f>
        <v>77.134900000000002</v>
      </c>
      <c r="I829" s="14">
        <f>CHOOSE(CONTROL!$C$42, 77.2801, 77.2801)* CHOOSE(CONTROL!$C$21, $C$9, 100%, $E$9)</f>
        <v>77.280100000000004</v>
      </c>
      <c r="J829" s="14">
        <f>CHOOSE(CONTROL!$C$42, 77.0333, 77.0333)* CHOOSE(CONTROL!$C$21, $C$9, 100%, $E$9)</f>
        <v>77.033299999999997</v>
      </c>
      <c r="K829" s="52">
        <f>CHOOSE(CONTROL!$C$42, 77.2762, 77.2762) * CHOOSE(CONTROL!$C$21, $C$9, 100%, $E$9)</f>
        <v>77.276200000000003</v>
      </c>
      <c r="L829" s="14">
        <f>CHOOSE(CONTROL!$C$42, 77.7219, 77.7219) * CHOOSE(CONTROL!$C$21, $C$9, 100%, $E$9)</f>
        <v>77.721900000000005</v>
      </c>
      <c r="M829" s="14">
        <f>CHOOSE(CONTROL!$C$42, 75.6555, 75.6555) * CHOOSE(CONTROL!$C$21, $C$9, 100%, $E$9)</f>
        <v>75.655500000000004</v>
      </c>
      <c r="N829" s="14">
        <f>CHOOSE(CONTROL!$C$42, 75.6731, 75.6731) * CHOOSE(CONTROL!$C$21, $C$9, 100%, $E$9)</f>
        <v>75.673100000000005</v>
      </c>
      <c r="O829" s="14">
        <f>CHOOSE(CONTROL!$C$42, 75.7552, 75.7552) * CHOOSE(CONTROL!$C$21, $C$9, 100%, $E$9)</f>
        <v>75.755200000000002</v>
      </c>
      <c r="P829" s="14">
        <f>CHOOSE(CONTROL!$C$42, 75.8936, 75.8936) * CHOOSE(CONTROL!$C$21, $C$9, 100%, $E$9)</f>
        <v>75.893600000000006</v>
      </c>
      <c r="Q829" s="14">
        <f>CHOOSE(CONTROL!$C$42, 76.3499, 76.3499) * CHOOSE(CONTROL!$C$21, $C$9, 100%, $E$9)</f>
        <v>76.349900000000005</v>
      </c>
      <c r="R829" s="14">
        <f>CHOOSE(CONTROL!$C$42, 77.1277, 77.1277) * CHOOSE(CONTROL!$C$21, $C$9, 100%, $E$9)</f>
        <v>77.127700000000004</v>
      </c>
      <c r="S829" s="14">
        <f>CHOOSE(CONTROL!$C$42, 73.9933, 73.9933) * CHOOSE(CONTROL!$C$21, $C$9, 100%, $E$9)</f>
        <v>73.993300000000005</v>
      </c>
      <c r="T82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29" s="56">
        <f>(1000*CHOOSE(CONTROL!$C$42, 695, 695)*CHOOSE(CONTROL!$C$42, 0.5599, 0.5599)*CHOOSE(CONTROL!$C$42, 31, 31))/1000000</f>
        <v>12.063045499999998</v>
      </c>
      <c r="V829" s="56">
        <f>(1000*CHOOSE(CONTROL!$C$42, 500, 500)*CHOOSE(CONTROL!$C$42, 0.275, 0.275)*CHOOSE(CONTROL!$C$42, 31, 31))/1000000</f>
        <v>4.2625000000000002</v>
      </c>
      <c r="W829" s="56">
        <f>(1000*CHOOSE(CONTROL!$C$42, 0.1146, 0.1146)*CHOOSE(CONTROL!$C$42, 121.5, 121.5)*CHOOSE(CONTROL!$C$42, 31, 31))/1000000</f>
        <v>0.43164089999999994</v>
      </c>
      <c r="X829" s="56">
        <f>(31*0.1790888*100000/1000000)+(31*0.2374*100000/1000000)</f>
        <v>1.2911152800000001</v>
      </c>
      <c r="Y829" s="56"/>
      <c r="Z829" s="14"/>
      <c r="AA829" s="55"/>
      <c r="AB829" s="49">
        <f>(B829*122.58+C829*297.941+D829*89.177+E829*40.302+F829*40+G829*160+H829*0+I829*100+J829*300)/(122.58+297.941+89.177+40.302+0+40+160+100+300)</f>
        <v>77.062391675391311</v>
      </c>
      <c r="AC829" s="45">
        <f>(M829*'RAP TEMPLATE-GAS AVAILABILITY'!O828+N829*'RAP TEMPLATE-GAS AVAILABILITY'!P828+O829*'RAP TEMPLATE-GAS AVAILABILITY'!Q828+P829*'RAP TEMPLATE-GAS AVAILABILITY'!R828)/('RAP TEMPLATE-GAS AVAILABILITY'!O828+'RAP TEMPLATE-GAS AVAILABILITY'!P828+'RAP TEMPLATE-GAS AVAILABILITY'!Q828+'RAP TEMPLATE-GAS AVAILABILITY'!R828)</f>
        <v>75.735959712230212</v>
      </c>
    </row>
    <row r="830" spans="1:29" ht="15.75" x14ac:dyDescent="0.25">
      <c r="A830" s="32">
        <v>66170</v>
      </c>
      <c r="B830" s="14">
        <f>CHOOSE(CONTROL!$C$42, 78.3838, 78.3838) * CHOOSE(CONTROL!$C$21, $C$9, 100%, $E$9)</f>
        <v>78.383799999999994</v>
      </c>
      <c r="C830" s="14">
        <f>CHOOSE(CONTROL!$C$42, 78.3889, 78.3889) * CHOOSE(CONTROL!$C$21, $C$9, 100%, $E$9)</f>
        <v>78.388900000000007</v>
      </c>
      <c r="D830" s="14">
        <f>CHOOSE(CONTROL!$C$42, 78.4823, 78.4823) * CHOOSE(CONTROL!$C$21, $C$9, 100%, $E$9)</f>
        <v>78.482299999999995</v>
      </c>
      <c r="E830" s="14">
        <f>CHOOSE(CONTROL!$C$42, 78.5164, 78.5164) * CHOOSE(CONTROL!$C$21, $C$9, 100%, $E$9)</f>
        <v>78.516400000000004</v>
      </c>
      <c r="F830" s="14">
        <f>CHOOSE(CONTROL!$C$42, 78.4107, 78.4107)*CHOOSE(CONTROL!$C$21, $C$9, 100%, $E$9)</f>
        <v>78.410700000000006</v>
      </c>
      <c r="G830" s="14">
        <f>CHOOSE(CONTROL!$C$42, 78.4286, 78.4286)*CHOOSE(CONTROL!$C$21, $C$9, 100%, $E$9)</f>
        <v>78.428600000000003</v>
      </c>
      <c r="H830" s="14">
        <f>CHOOSE(CONTROL!$C$42, 78.5056, 78.5056) * CHOOSE(CONTROL!$C$21, $C$9, 100%, $E$9)</f>
        <v>78.505600000000001</v>
      </c>
      <c r="I830" s="14">
        <f>CHOOSE(CONTROL!$C$42, 78.6552, 78.6552)* CHOOSE(CONTROL!$C$21, $C$9, 100%, $E$9)</f>
        <v>78.655199999999994</v>
      </c>
      <c r="J830" s="14">
        <f>CHOOSE(CONTROL!$C$42, 78.4037, 78.4037)* CHOOSE(CONTROL!$C$21, $C$9, 100%, $E$9)</f>
        <v>78.403700000000001</v>
      </c>
      <c r="K830" s="52">
        <f>CHOOSE(CONTROL!$C$42, 78.6513, 78.6513) * CHOOSE(CONTROL!$C$21, $C$9, 100%, $E$9)</f>
        <v>78.651300000000006</v>
      </c>
      <c r="L830" s="14">
        <f>CHOOSE(CONTROL!$C$42, 79.0926, 79.0926) * CHOOSE(CONTROL!$C$21, $C$9, 100%, $E$9)</f>
        <v>79.092600000000004</v>
      </c>
      <c r="M830" s="14">
        <f>CHOOSE(CONTROL!$C$42, 77.0012, 77.0012) * CHOOSE(CONTROL!$C$21, $C$9, 100%, $E$9)</f>
        <v>77.001199999999997</v>
      </c>
      <c r="N830" s="14">
        <f>CHOOSE(CONTROL!$C$42, 77.0188, 77.0188) * CHOOSE(CONTROL!$C$21, $C$9, 100%, $E$9)</f>
        <v>77.018799999999999</v>
      </c>
      <c r="O830" s="14">
        <f>CHOOSE(CONTROL!$C$42, 77.1013, 77.1013) * CHOOSE(CONTROL!$C$21, $C$9, 100%, $E$9)</f>
        <v>77.101299999999995</v>
      </c>
      <c r="P830" s="14">
        <f>CHOOSE(CONTROL!$C$42, 77.2438, 77.2438) * CHOOSE(CONTROL!$C$21, $C$9, 100%, $E$9)</f>
        <v>77.243799999999993</v>
      </c>
      <c r="Q830" s="14">
        <f>CHOOSE(CONTROL!$C$42, 77.696, 77.696) * CHOOSE(CONTROL!$C$21, $C$9, 100%, $E$9)</f>
        <v>77.695999999999998</v>
      </c>
      <c r="R830" s="14">
        <f>CHOOSE(CONTROL!$C$42, 78.4772, 78.4772) * CHOOSE(CONTROL!$C$21, $C$9, 100%, $E$9)</f>
        <v>78.477199999999996</v>
      </c>
      <c r="S830" s="14">
        <f>CHOOSE(CONTROL!$C$42, 75.3105, 75.3105) * CHOOSE(CONTROL!$C$21, $C$9, 100%, $E$9)</f>
        <v>75.310500000000005</v>
      </c>
      <c r="T83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30" s="56">
        <f>(1000*CHOOSE(CONTROL!$C$42, 695, 695)*CHOOSE(CONTROL!$C$42, 0.5599, 0.5599)*CHOOSE(CONTROL!$C$42, 28, 28))/1000000</f>
        <v>10.895653999999999</v>
      </c>
      <c r="V830" s="56">
        <f>(1000*CHOOSE(CONTROL!$C$42, 500, 500)*CHOOSE(CONTROL!$C$42, 0.275, 0.275)*CHOOSE(CONTROL!$C$42, 28, 28))/1000000</f>
        <v>3.85</v>
      </c>
      <c r="W830" s="56">
        <f>(1000*CHOOSE(CONTROL!$C$42, 0.1146, 0.1146)*CHOOSE(CONTROL!$C$42, 121.5, 121.5)*CHOOSE(CONTROL!$C$42, 28, 28))/1000000</f>
        <v>0.38986920000000003</v>
      </c>
      <c r="X830" s="56">
        <f>(28*0.1790888*100000/1000000)+(28*0.2374*100000/1000000)</f>
        <v>1.16616864</v>
      </c>
      <c r="Y830" s="56"/>
      <c r="Z830" s="14"/>
      <c r="AA830" s="55"/>
      <c r="AB830" s="49">
        <f>(B830*122.58+C830*297.941+D830*89.177+E830*40.302+F830*40+G830*160+H830*0+I830*100+J830*300)/(122.58+297.941+89.177+40.302+0+40+160+100+300)</f>
        <v>78.433366503304356</v>
      </c>
      <c r="AC830" s="45">
        <f>(M830*'RAP TEMPLATE-GAS AVAILABILITY'!O829+N830*'RAP TEMPLATE-GAS AVAILABILITY'!P829+O830*'RAP TEMPLATE-GAS AVAILABILITY'!Q829+P830*'RAP TEMPLATE-GAS AVAILABILITY'!R829)/('RAP TEMPLATE-GAS AVAILABILITY'!O829+'RAP TEMPLATE-GAS AVAILABILITY'!P829+'RAP TEMPLATE-GAS AVAILABILITY'!Q829+'RAP TEMPLATE-GAS AVAILABILITY'!R829)</f>
        <v>77.082488489208629</v>
      </c>
    </row>
    <row r="831" spans="1:29" ht="15.75" x14ac:dyDescent="0.25">
      <c r="A831" s="32">
        <v>66201</v>
      </c>
      <c r="B831" s="14">
        <f>CHOOSE(CONTROL!$C$42, 76.1587, 76.1587) * CHOOSE(CONTROL!$C$21, $C$9, 100%, $E$9)</f>
        <v>76.158699999999996</v>
      </c>
      <c r="C831" s="14">
        <f>CHOOSE(CONTROL!$C$42, 76.1638, 76.1638) * CHOOSE(CONTROL!$C$21, $C$9, 100%, $E$9)</f>
        <v>76.163799999999995</v>
      </c>
      <c r="D831" s="14">
        <f>CHOOSE(CONTROL!$C$42, 76.2572, 76.2572) * CHOOSE(CONTROL!$C$21, $C$9, 100%, $E$9)</f>
        <v>76.257199999999997</v>
      </c>
      <c r="E831" s="14">
        <f>CHOOSE(CONTROL!$C$42, 76.2913, 76.2913) * CHOOSE(CONTROL!$C$21, $C$9, 100%, $E$9)</f>
        <v>76.291300000000007</v>
      </c>
      <c r="F831" s="14">
        <f>CHOOSE(CONTROL!$C$42, 76.1848, 76.1848)*CHOOSE(CONTROL!$C$21, $C$9, 100%, $E$9)</f>
        <v>76.184799999999996</v>
      </c>
      <c r="G831" s="14">
        <f>CHOOSE(CONTROL!$C$42, 76.2024, 76.2024)*CHOOSE(CONTROL!$C$21, $C$9, 100%, $E$9)</f>
        <v>76.202399999999997</v>
      </c>
      <c r="H831" s="14">
        <f>CHOOSE(CONTROL!$C$42, 76.2805, 76.2805) * CHOOSE(CONTROL!$C$21, $C$9, 100%, $E$9)</f>
        <v>76.280500000000004</v>
      </c>
      <c r="I831" s="14">
        <f>CHOOSE(CONTROL!$C$42, 76.4231, 76.4231)* CHOOSE(CONTROL!$C$21, $C$9, 100%, $E$9)</f>
        <v>76.423100000000005</v>
      </c>
      <c r="J831" s="14">
        <f>CHOOSE(CONTROL!$C$42, 76.1778, 76.1778)* CHOOSE(CONTROL!$C$21, $C$9, 100%, $E$9)</f>
        <v>76.177800000000005</v>
      </c>
      <c r="K831" s="52">
        <f>CHOOSE(CONTROL!$C$42, 76.4192, 76.4192) * CHOOSE(CONTROL!$C$21, $C$9, 100%, $E$9)</f>
        <v>76.419200000000004</v>
      </c>
      <c r="L831" s="14">
        <f>CHOOSE(CONTROL!$C$42, 76.8675, 76.8675) * CHOOSE(CONTROL!$C$21, $C$9, 100%, $E$9)</f>
        <v>76.867500000000007</v>
      </c>
      <c r="M831" s="14">
        <f>CHOOSE(CONTROL!$C$42, 74.8153, 74.8153) * CHOOSE(CONTROL!$C$21, $C$9, 100%, $E$9)</f>
        <v>74.815299999999993</v>
      </c>
      <c r="N831" s="14">
        <f>CHOOSE(CONTROL!$C$42, 74.8326, 74.8326) * CHOOSE(CONTROL!$C$21, $C$9, 100%, $E$9)</f>
        <v>74.832599999999999</v>
      </c>
      <c r="O831" s="14">
        <f>CHOOSE(CONTROL!$C$42, 74.9162, 74.9162) * CHOOSE(CONTROL!$C$21, $C$9, 100%, $E$9)</f>
        <v>74.916200000000003</v>
      </c>
      <c r="P831" s="14">
        <f>CHOOSE(CONTROL!$C$42, 75.052, 75.052) * CHOOSE(CONTROL!$C$21, $C$9, 100%, $E$9)</f>
        <v>75.052000000000007</v>
      </c>
      <c r="Q831" s="14">
        <f>CHOOSE(CONTROL!$C$42, 75.5109, 75.5109) * CHOOSE(CONTROL!$C$21, $C$9, 100%, $E$9)</f>
        <v>75.510900000000007</v>
      </c>
      <c r="R831" s="14">
        <f>CHOOSE(CONTROL!$C$42, 76.2867, 76.2867) * CHOOSE(CONTROL!$C$21, $C$9, 100%, $E$9)</f>
        <v>76.286699999999996</v>
      </c>
      <c r="S831" s="14">
        <f>CHOOSE(CONTROL!$C$42, 73.1724, 73.1724) * CHOOSE(CONTROL!$C$21, $C$9, 100%, $E$9)</f>
        <v>73.172399999999996</v>
      </c>
      <c r="T83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31" s="56">
        <f>(1000*CHOOSE(CONTROL!$C$42, 695, 695)*CHOOSE(CONTROL!$C$42, 0.5599, 0.5599)*CHOOSE(CONTROL!$C$42, 31, 31))/1000000</f>
        <v>12.063045499999998</v>
      </c>
      <c r="V831" s="56">
        <f>(1000*CHOOSE(CONTROL!$C$42, 500, 500)*CHOOSE(CONTROL!$C$42, 0.275, 0.275)*CHOOSE(CONTROL!$C$42, 31, 31))/1000000</f>
        <v>4.2625000000000002</v>
      </c>
      <c r="W831" s="56">
        <f>(1000*CHOOSE(CONTROL!$C$42, 0.1146, 0.1146)*CHOOSE(CONTROL!$C$42, 121.5, 121.5)*CHOOSE(CONTROL!$C$42, 31, 31))/1000000</f>
        <v>0.43164089999999994</v>
      </c>
      <c r="X831" s="56">
        <f>(31*0.1790888*100000/1000000)+(31*0.2374*100000/1000000)</f>
        <v>1.2911152800000001</v>
      </c>
      <c r="Y831" s="56"/>
      <c r="Z831" s="14"/>
      <c r="AA831" s="55"/>
      <c r="AB831" s="49">
        <f>(B831*122.58+C831*297.941+D831*89.177+E831*40.302+F831*40+G831*160+H831*0+I831*100+J831*300)/(122.58+297.941+89.177+40.302+0+40+160+100+300)</f>
        <v>76.207268242434765</v>
      </c>
      <c r="AC831" s="45">
        <f>(M831*'RAP TEMPLATE-GAS AVAILABILITY'!O830+N831*'RAP TEMPLATE-GAS AVAILABILITY'!P830+O831*'RAP TEMPLATE-GAS AVAILABILITY'!Q830+P831*'RAP TEMPLATE-GAS AVAILABILITY'!R830)/('RAP TEMPLATE-GAS AVAILABILITY'!O830+'RAP TEMPLATE-GAS AVAILABILITY'!P830+'RAP TEMPLATE-GAS AVAILABILITY'!Q830+'RAP TEMPLATE-GAS AVAILABILITY'!R830)</f>
        <v>74.896084892086321</v>
      </c>
    </row>
    <row r="832" spans="1:29" ht="15.75" x14ac:dyDescent="0.25">
      <c r="A832" s="32">
        <v>66231</v>
      </c>
      <c r="B832" s="14">
        <f>CHOOSE(CONTROL!$C$42, 75.9317, 75.9317) * CHOOSE(CONTROL!$C$21, $C$9, 100%, $E$9)</f>
        <v>75.931700000000006</v>
      </c>
      <c r="C832" s="14">
        <f>CHOOSE(CONTROL!$C$42, 75.9362, 75.9362) * CHOOSE(CONTROL!$C$21, $C$9, 100%, $E$9)</f>
        <v>75.936199999999999</v>
      </c>
      <c r="D832" s="14">
        <f>CHOOSE(CONTROL!$C$42, 76.1984, 76.1984) * CHOOSE(CONTROL!$C$21, $C$9, 100%, $E$9)</f>
        <v>76.198400000000007</v>
      </c>
      <c r="E832" s="14">
        <f>CHOOSE(CONTROL!$C$42, 76.2305, 76.2305) * CHOOSE(CONTROL!$C$21, $C$9, 100%, $E$9)</f>
        <v>76.230500000000006</v>
      </c>
      <c r="F832" s="14">
        <f>CHOOSE(CONTROL!$C$42, 75.9545, 75.9545)*CHOOSE(CONTROL!$C$21, $C$9, 100%, $E$9)</f>
        <v>75.954499999999996</v>
      </c>
      <c r="G832" s="14">
        <f>CHOOSE(CONTROL!$C$42, 75.9712, 75.9712)*CHOOSE(CONTROL!$C$21, $C$9, 100%, $E$9)</f>
        <v>75.971199999999996</v>
      </c>
      <c r="H832" s="14">
        <f>CHOOSE(CONTROL!$C$42, 76.2203, 76.2203) * CHOOSE(CONTROL!$C$21, $C$9, 100%, $E$9)</f>
        <v>76.220299999999995</v>
      </c>
      <c r="I832" s="14">
        <f>CHOOSE(CONTROL!$C$42, 76.192, 76.192)* CHOOSE(CONTROL!$C$21, $C$9, 100%, $E$9)</f>
        <v>76.191999999999993</v>
      </c>
      <c r="J832" s="14">
        <f>CHOOSE(CONTROL!$C$42, 75.9475, 75.9475)* CHOOSE(CONTROL!$C$21, $C$9, 100%, $E$9)</f>
        <v>75.947500000000005</v>
      </c>
      <c r="K832" s="52">
        <f>CHOOSE(CONTROL!$C$42, 76.1881, 76.1881) * CHOOSE(CONTROL!$C$21, $C$9, 100%, $E$9)</f>
        <v>76.188100000000006</v>
      </c>
      <c r="L832" s="14">
        <f>CHOOSE(CONTROL!$C$42, 76.8073, 76.8073) * CHOOSE(CONTROL!$C$21, $C$9, 100%, $E$9)</f>
        <v>76.807299999999998</v>
      </c>
      <c r="M832" s="14">
        <f>CHOOSE(CONTROL!$C$42, 74.5892, 74.5892) * CHOOSE(CONTROL!$C$21, $C$9, 100%, $E$9)</f>
        <v>74.589200000000005</v>
      </c>
      <c r="N832" s="14">
        <f>CHOOSE(CONTROL!$C$42, 74.6056, 74.6056) * CHOOSE(CONTROL!$C$21, $C$9, 100%, $E$9)</f>
        <v>74.605599999999995</v>
      </c>
      <c r="O832" s="14">
        <f>CHOOSE(CONTROL!$C$42, 74.8571, 74.8571) * CHOOSE(CONTROL!$C$21, $C$9, 100%, $E$9)</f>
        <v>74.857100000000003</v>
      </c>
      <c r="P832" s="14">
        <f>CHOOSE(CONTROL!$C$42, 74.8251, 74.8251) * CHOOSE(CONTROL!$C$21, $C$9, 100%, $E$9)</f>
        <v>74.825100000000006</v>
      </c>
      <c r="Q832" s="14">
        <f>CHOOSE(CONTROL!$C$42, 75.4518, 75.4518) * CHOOSE(CONTROL!$C$21, $C$9, 100%, $E$9)</f>
        <v>75.451800000000006</v>
      </c>
      <c r="R832" s="14">
        <f>CHOOSE(CONTROL!$C$42, 76.2274, 76.2274) * CHOOSE(CONTROL!$C$21, $C$9, 100%, $E$9)</f>
        <v>76.227400000000003</v>
      </c>
      <c r="S832" s="14">
        <f>CHOOSE(CONTROL!$C$42, 72.9535, 72.9535) * CHOOSE(CONTROL!$C$21, $C$9, 100%, $E$9)</f>
        <v>72.953500000000005</v>
      </c>
      <c r="T83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32" s="56">
        <f>(1000*CHOOSE(CONTROL!$C$42, 695, 695)*CHOOSE(CONTROL!$C$42, 0.5599, 0.5599)*CHOOSE(CONTROL!$C$42, 30, 30))/1000000</f>
        <v>11.673914999999997</v>
      </c>
      <c r="V832" s="56">
        <f>(1000*CHOOSE(CONTROL!$C$42, 500, 500)*CHOOSE(CONTROL!$C$42, 0.275, 0.275)*CHOOSE(CONTROL!$C$42, 30, 30))/1000000</f>
        <v>4.125</v>
      </c>
      <c r="W832" s="56">
        <f>(1000*CHOOSE(CONTROL!$C$42, 0.1146, 0.1146)*CHOOSE(CONTROL!$C$42, 121.5, 121.5)*CHOOSE(CONTROL!$C$42, 30, 30))/1000000</f>
        <v>0.417717</v>
      </c>
      <c r="X832" s="56">
        <f>(30*0.1790888*245000/1000000)+(30*0.2374*100000/1000000)</f>
        <v>2.0285026799999999</v>
      </c>
      <c r="Y832" s="56"/>
      <c r="Z832" s="14"/>
      <c r="AA832" s="55"/>
      <c r="AB832" s="49">
        <f>(B832*141.293+C832*267.993+D832*115.016+E832*89.698+F832*40+G832*185+H832*0+I832*100+J832*300)/(141.293+267.993+115.016+89.698+0+40+185+100+300)</f>
        <v>76.010531314043575</v>
      </c>
      <c r="AC832" s="45">
        <f>(M832*'RAP TEMPLATE-GAS AVAILABILITY'!O831+N832*'RAP TEMPLATE-GAS AVAILABILITY'!P831+O832*'RAP TEMPLATE-GAS AVAILABILITY'!Q831+P832*'RAP TEMPLATE-GAS AVAILABILITY'!R831)/('RAP TEMPLATE-GAS AVAILABILITY'!O831+'RAP TEMPLATE-GAS AVAILABILITY'!P831+'RAP TEMPLATE-GAS AVAILABILITY'!Q831+'RAP TEMPLATE-GAS AVAILABILITY'!R831)</f>
        <v>74.745508633093522</v>
      </c>
    </row>
    <row r="833" spans="1:29" ht="15.75" x14ac:dyDescent="0.25">
      <c r="A833" s="32">
        <v>66262</v>
      </c>
      <c r="B833" s="14">
        <f>CHOOSE(CONTROL!$C$42, 76.6032, 76.6032) * CHOOSE(CONTROL!$C$21, $C$9, 100%, $E$9)</f>
        <v>76.603200000000001</v>
      </c>
      <c r="C833" s="14">
        <f>CHOOSE(CONTROL!$C$42, 76.6112, 76.6112) * CHOOSE(CONTROL!$C$21, $C$9, 100%, $E$9)</f>
        <v>76.611199999999997</v>
      </c>
      <c r="D833" s="14">
        <f>CHOOSE(CONTROL!$C$42, 76.8703, 76.8703) * CHOOSE(CONTROL!$C$21, $C$9, 100%, $E$9)</f>
        <v>76.8703</v>
      </c>
      <c r="E833" s="14">
        <f>CHOOSE(CONTROL!$C$42, 76.9018, 76.9018) * CHOOSE(CONTROL!$C$21, $C$9, 100%, $E$9)</f>
        <v>76.901799999999994</v>
      </c>
      <c r="F833" s="14">
        <f>CHOOSE(CONTROL!$C$42, 76.6247, 76.6247)*CHOOSE(CONTROL!$C$21, $C$9, 100%, $E$9)</f>
        <v>76.624700000000004</v>
      </c>
      <c r="G833" s="14">
        <f>CHOOSE(CONTROL!$C$42, 76.6417, 76.6417)*CHOOSE(CONTROL!$C$21, $C$9, 100%, $E$9)</f>
        <v>76.6417</v>
      </c>
      <c r="H833" s="14">
        <f>CHOOSE(CONTROL!$C$42, 76.8904, 76.8904) * CHOOSE(CONTROL!$C$21, $C$9, 100%, $E$9)</f>
        <v>76.8904</v>
      </c>
      <c r="I833" s="14">
        <f>CHOOSE(CONTROL!$C$42, 76.8642, 76.8642)* CHOOSE(CONTROL!$C$21, $C$9, 100%, $E$9)</f>
        <v>76.864199999999997</v>
      </c>
      <c r="J833" s="14">
        <f>CHOOSE(CONTROL!$C$42, 76.6177, 76.6177)* CHOOSE(CONTROL!$C$21, $C$9, 100%, $E$9)</f>
        <v>76.617699999999999</v>
      </c>
      <c r="K833" s="52">
        <f>CHOOSE(CONTROL!$C$42, 76.8603, 76.8603) * CHOOSE(CONTROL!$C$21, $C$9, 100%, $E$9)</f>
        <v>76.860299999999995</v>
      </c>
      <c r="L833" s="14">
        <f>CHOOSE(CONTROL!$C$42, 77.4774, 77.4774) * CHOOSE(CONTROL!$C$21, $C$9, 100%, $E$9)</f>
        <v>77.477400000000003</v>
      </c>
      <c r="M833" s="14">
        <f>CHOOSE(CONTROL!$C$42, 75.2473, 75.2473) * CHOOSE(CONTROL!$C$21, $C$9, 100%, $E$9)</f>
        <v>75.247299999999996</v>
      </c>
      <c r="N833" s="14">
        <f>CHOOSE(CONTROL!$C$42, 75.264, 75.264) * CHOOSE(CONTROL!$C$21, $C$9, 100%, $E$9)</f>
        <v>75.263999999999996</v>
      </c>
      <c r="O833" s="14">
        <f>CHOOSE(CONTROL!$C$42, 75.5151, 75.5151) * CHOOSE(CONTROL!$C$21, $C$9, 100%, $E$9)</f>
        <v>75.515100000000004</v>
      </c>
      <c r="P833" s="14">
        <f>CHOOSE(CONTROL!$C$42, 75.4852, 75.4852) * CHOOSE(CONTROL!$C$21, $C$9, 100%, $E$9)</f>
        <v>75.485200000000006</v>
      </c>
      <c r="Q833" s="14">
        <f>CHOOSE(CONTROL!$C$42, 76.1098, 76.1098) * CHOOSE(CONTROL!$C$21, $C$9, 100%, $E$9)</f>
        <v>76.109800000000007</v>
      </c>
      <c r="R833" s="14">
        <f>CHOOSE(CONTROL!$C$42, 76.8871, 76.8871) * CHOOSE(CONTROL!$C$21, $C$9, 100%, $E$9)</f>
        <v>76.887100000000004</v>
      </c>
      <c r="S833" s="14">
        <f>CHOOSE(CONTROL!$C$42, 73.5974, 73.5974) * CHOOSE(CONTROL!$C$21, $C$9, 100%, $E$9)</f>
        <v>73.597399999999993</v>
      </c>
      <c r="T83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33" s="56">
        <f>(1000*CHOOSE(CONTROL!$C$42, 695, 695)*CHOOSE(CONTROL!$C$42, 0.5599, 0.5599)*CHOOSE(CONTROL!$C$42, 31, 31))/1000000</f>
        <v>12.063045499999998</v>
      </c>
      <c r="V833" s="56">
        <f>(1000*CHOOSE(CONTROL!$C$42, 500, 500)*CHOOSE(CONTROL!$C$42, 0.275, 0.275)*CHOOSE(CONTROL!$C$42, 31, 31))/1000000</f>
        <v>4.2625000000000002</v>
      </c>
      <c r="W833" s="56">
        <f>(1000*CHOOSE(CONTROL!$C$42, 0.1146, 0.1146)*CHOOSE(CONTROL!$C$42, 121.5, 121.5)*CHOOSE(CONTROL!$C$42, 31, 31))/1000000</f>
        <v>0.43164089999999994</v>
      </c>
      <c r="X833" s="56">
        <f>(31*0.1790888*245000/1000000)+(31*0.2374*100000/1000000)</f>
        <v>2.0961194359999999</v>
      </c>
      <c r="Y833" s="56"/>
      <c r="Z833" s="14"/>
      <c r="AA833" s="55"/>
      <c r="AB833" s="49">
        <f>(B833*194.205+C833*267.466+D833*133.845+E833*53.484+F833*40+G833*185+H833*0+I833*100+J833*300)/(194.205+267.466+133.845+53.484+0+40+185+100+300)</f>
        <v>76.675643131789627</v>
      </c>
      <c r="AC833" s="45">
        <f>(M833*'RAP TEMPLATE-GAS AVAILABILITY'!O832+N833*'RAP TEMPLATE-GAS AVAILABILITY'!P832+O833*'RAP TEMPLATE-GAS AVAILABILITY'!Q832+P833*'RAP TEMPLATE-GAS AVAILABILITY'!R832)/('RAP TEMPLATE-GAS AVAILABILITY'!O832+'RAP TEMPLATE-GAS AVAILABILITY'!P832+'RAP TEMPLATE-GAS AVAILABILITY'!Q832+'RAP TEMPLATE-GAS AVAILABILITY'!R832)</f>
        <v>75.403868345323744</v>
      </c>
    </row>
    <row r="834" spans="1:29" ht="15.75" x14ac:dyDescent="0.25">
      <c r="A834" s="32">
        <v>66292</v>
      </c>
      <c r="B834" s="14">
        <f>CHOOSE(CONTROL!$C$42, 78.7758, 78.7758) * CHOOSE(CONTROL!$C$21, $C$9, 100%, $E$9)</f>
        <v>78.775800000000004</v>
      </c>
      <c r="C834" s="14">
        <f>CHOOSE(CONTROL!$C$42, 78.7838, 78.7838) * CHOOSE(CONTROL!$C$21, $C$9, 100%, $E$9)</f>
        <v>78.783799999999999</v>
      </c>
      <c r="D834" s="14">
        <f>CHOOSE(CONTROL!$C$42, 79.0429, 79.0429) * CHOOSE(CONTROL!$C$21, $C$9, 100%, $E$9)</f>
        <v>79.042900000000003</v>
      </c>
      <c r="E834" s="14">
        <f>CHOOSE(CONTROL!$C$42, 79.0744, 79.0744) * CHOOSE(CONTROL!$C$21, $C$9, 100%, $E$9)</f>
        <v>79.074399999999997</v>
      </c>
      <c r="F834" s="14">
        <f>CHOOSE(CONTROL!$C$42, 78.7976, 78.7976)*CHOOSE(CONTROL!$C$21, $C$9, 100%, $E$9)</f>
        <v>78.797600000000003</v>
      </c>
      <c r="G834" s="14">
        <f>CHOOSE(CONTROL!$C$42, 78.8146, 78.8146)*CHOOSE(CONTROL!$C$21, $C$9, 100%, $E$9)</f>
        <v>78.814599999999999</v>
      </c>
      <c r="H834" s="14">
        <f>CHOOSE(CONTROL!$C$42, 79.063, 79.063) * CHOOSE(CONTROL!$C$21, $C$9, 100%, $E$9)</f>
        <v>79.063000000000002</v>
      </c>
      <c r="I834" s="14">
        <f>CHOOSE(CONTROL!$C$42, 79.0436, 79.0436)* CHOOSE(CONTROL!$C$21, $C$9, 100%, $E$9)</f>
        <v>79.043599999999998</v>
      </c>
      <c r="J834" s="14">
        <f>CHOOSE(CONTROL!$C$42, 78.7906, 78.7906)* CHOOSE(CONTROL!$C$21, $C$9, 100%, $E$9)</f>
        <v>78.790599999999998</v>
      </c>
      <c r="K834" s="52">
        <f>CHOOSE(CONTROL!$C$42, 79.0397, 79.0397) * CHOOSE(CONTROL!$C$21, $C$9, 100%, $E$9)</f>
        <v>79.039699999999996</v>
      </c>
      <c r="L834" s="14">
        <f>CHOOSE(CONTROL!$C$42, 79.65, 79.65) * CHOOSE(CONTROL!$C$21, $C$9, 100%, $E$9)</f>
        <v>79.650000000000006</v>
      </c>
      <c r="M834" s="14">
        <f>CHOOSE(CONTROL!$C$42, 77.3811, 77.3811) * CHOOSE(CONTROL!$C$21, $C$9, 100%, $E$9)</f>
        <v>77.381100000000004</v>
      </c>
      <c r="N834" s="14">
        <f>CHOOSE(CONTROL!$C$42, 77.3978, 77.3978) * CHOOSE(CONTROL!$C$21, $C$9, 100%, $E$9)</f>
        <v>77.397800000000004</v>
      </c>
      <c r="O834" s="14">
        <f>CHOOSE(CONTROL!$C$42, 77.6486, 77.6486) * CHOOSE(CONTROL!$C$21, $C$9, 100%, $E$9)</f>
        <v>77.648600000000002</v>
      </c>
      <c r="P834" s="14">
        <f>CHOOSE(CONTROL!$C$42, 77.6253, 77.6253) * CHOOSE(CONTROL!$C$21, $C$9, 100%, $E$9)</f>
        <v>77.625299999999996</v>
      </c>
      <c r="Q834" s="14">
        <f>CHOOSE(CONTROL!$C$42, 78.2433, 78.2433) * CHOOSE(CONTROL!$C$21, $C$9, 100%, $E$9)</f>
        <v>78.243300000000005</v>
      </c>
      <c r="R834" s="14">
        <f>CHOOSE(CONTROL!$C$42, 79.0259, 79.0259) * CHOOSE(CONTROL!$C$21, $C$9, 100%, $E$9)</f>
        <v>79.025899999999993</v>
      </c>
      <c r="S834" s="14">
        <f>CHOOSE(CONTROL!$C$42, 75.685, 75.685) * CHOOSE(CONTROL!$C$21, $C$9, 100%, $E$9)</f>
        <v>75.685000000000002</v>
      </c>
      <c r="T83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834" s="56">
        <f>(1000*CHOOSE(CONTROL!$C$42, 695, 695)*CHOOSE(CONTROL!$C$42, 0.5599, 0.5599)*CHOOSE(CONTROL!$C$42, 30, 30))/1000000</f>
        <v>11.673914999999997</v>
      </c>
      <c r="V834" s="56">
        <f>(1000*CHOOSE(CONTROL!$C$42, 500, 500)*CHOOSE(CONTROL!$C$42, 0.275, 0.275)*CHOOSE(CONTROL!$C$42, 30, 30))/1000000</f>
        <v>4.125</v>
      </c>
      <c r="W834" s="56">
        <f>(1000*CHOOSE(CONTROL!$C$42, 0.1146, 0.1146)*CHOOSE(CONTROL!$C$42, 121.5, 121.5)*CHOOSE(CONTROL!$C$42, 30, 30))/1000000</f>
        <v>0.417717</v>
      </c>
      <c r="X834" s="56">
        <f>(30*0.1790888*245000/1000000)+(30*0.2374*100000/1000000)</f>
        <v>2.0285026799999999</v>
      </c>
      <c r="Y834" s="56"/>
      <c r="Z834" s="14"/>
      <c r="AA834" s="55"/>
      <c r="AB834" s="49">
        <f>(B834*194.205+C834*267.466+D834*133.845+E834*53.484+F834*40+G834*185+H834*0+I834*100+J834*300)/(194.205+267.466+133.845+53.484+0+40+185+100+300)</f>
        <v>78.848900510125588</v>
      </c>
      <c r="AC834" s="45">
        <f>(M834*'RAP TEMPLATE-GAS AVAILABILITY'!O833+N834*'RAP TEMPLATE-GAS AVAILABILITY'!P833+O834*'RAP TEMPLATE-GAS AVAILABILITY'!Q833+P834*'RAP TEMPLATE-GAS AVAILABILITY'!R833)/('RAP TEMPLATE-GAS AVAILABILITY'!O833+'RAP TEMPLATE-GAS AVAILABILITY'!P833+'RAP TEMPLATE-GAS AVAILABILITY'!Q833+'RAP TEMPLATE-GAS AVAILABILITY'!R833)</f>
        <v>77.538438848920862</v>
      </c>
    </row>
    <row r="835" spans="1:29" ht="15.75" x14ac:dyDescent="0.25">
      <c r="A835" s="32">
        <v>66323</v>
      </c>
      <c r="B835" s="14">
        <f>CHOOSE(CONTROL!$C$42, 77.2647, 77.2647) * CHOOSE(CONTROL!$C$21, $C$9, 100%, $E$9)</f>
        <v>77.264700000000005</v>
      </c>
      <c r="C835" s="14">
        <f>CHOOSE(CONTROL!$C$42, 77.2728, 77.2728) * CHOOSE(CONTROL!$C$21, $C$9, 100%, $E$9)</f>
        <v>77.272800000000004</v>
      </c>
      <c r="D835" s="14">
        <f>CHOOSE(CONTROL!$C$42, 77.5319, 77.5319) * CHOOSE(CONTROL!$C$21, $C$9, 100%, $E$9)</f>
        <v>77.531899999999993</v>
      </c>
      <c r="E835" s="14">
        <f>CHOOSE(CONTROL!$C$42, 77.5633, 77.5633) * CHOOSE(CONTROL!$C$21, $C$9, 100%, $E$9)</f>
        <v>77.563299999999998</v>
      </c>
      <c r="F835" s="14">
        <f>CHOOSE(CONTROL!$C$42, 77.287, 77.287)*CHOOSE(CONTROL!$C$21, $C$9, 100%, $E$9)</f>
        <v>77.287000000000006</v>
      </c>
      <c r="G835" s="14">
        <f>CHOOSE(CONTROL!$C$42, 77.3041, 77.3041)*CHOOSE(CONTROL!$C$21, $C$9, 100%, $E$9)</f>
        <v>77.304100000000005</v>
      </c>
      <c r="H835" s="14">
        <f>CHOOSE(CONTROL!$C$42, 77.552, 77.552) * CHOOSE(CONTROL!$C$21, $C$9, 100%, $E$9)</f>
        <v>77.552000000000007</v>
      </c>
      <c r="I835" s="14">
        <f>CHOOSE(CONTROL!$C$42, 77.5278, 77.5278)* CHOOSE(CONTROL!$C$21, $C$9, 100%, $E$9)</f>
        <v>77.527799999999999</v>
      </c>
      <c r="J835" s="14">
        <f>CHOOSE(CONTROL!$C$42, 77.28, 77.28)* CHOOSE(CONTROL!$C$21, $C$9, 100%, $E$9)</f>
        <v>77.28</v>
      </c>
      <c r="K835" s="52">
        <f>CHOOSE(CONTROL!$C$42, 77.5239, 77.5239) * CHOOSE(CONTROL!$C$21, $C$9, 100%, $E$9)</f>
        <v>77.523899999999998</v>
      </c>
      <c r="L835" s="14">
        <f>CHOOSE(CONTROL!$C$42, 78.139, 78.139) * CHOOSE(CONTROL!$C$21, $C$9, 100%, $E$9)</f>
        <v>78.138999999999996</v>
      </c>
      <c r="M835" s="14">
        <f>CHOOSE(CONTROL!$C$42, 75.8976, 75.8976) * CHOOSE(CONTROL!$C$21, $C$9, 100%, $E$9)</f>
        <v>75.897599999999997</v>
      </c>
      <c r="N835" s="14">
        <f>CHOOSE(CONTROL!$C$42, 75.9145, 75.9145) * CHOOSE(CONTROL!$C$21, $C$9, 100%, $E$9)</f>
        <v>75.914500000000004</v>
      </c>
      <c r="O835" s="14">
        <f>CHOOSE(CONTROL!$C$42, 76.1647, 76.1647) * CHOOSE(CONTROL!$C$21, $C$9, 100%, $E$9)</f>
        <v>76.164699999999996</v>
      </c>
      <c r="P835" s="14">
        <f>CHOOSE(CONTROL!$C$42, 76.1368, 76.1368) * CHOOSE(CONTROL!$C$21, $C$9, 100%, $E$9)</f>
        <v>76.136799999999994</v>
      </c>
      <c r="Q835" s="14">
        <f>CHOOSE(CONTROL!$C$42, 76.7594, 76.7594) * CHOOSE(CONTROL!$C$21, $C$9, 100%, $E$9)</f>
        <v>76.759399999999999</v>
      </c>
      <c r="R835" s="14">
        <f>CHOOSE(CONTROL!$C$42, 77.5383, 77.5383) * CHOOSE(CONTROL!$C$21, $C$9, 100%, $E$9)</f>
        <v>77.538300000000007</v>
      </c>
      <c r="S835" s="14">
        <f>CHOOSE(CONTROL!$C$42, 74.2331, 74.2331) * CHOOSE(CONTROL!$C$21, $C$9, 100%, $E$9)</f>
        <v>74.233099999999993</v>
      </c>
      <c r="T83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835" s="56">
        <f>(1000*CHOOSE(CONTROL!$C$42, 695, 695)*CHOOSE(CONTROL!$C$42, 0.5599, 0.5599)*CHOOSE(CONTROL!$C$42, 31, 31))/1000000</f>
        <v>12.063045499999998</v>
      </c>
      <c r="V835" s="56">
        <f>(1000*CHOOSE(CONTROL!$C$42, 500, 500)*CHOOSE(CONTROL!$C$42, 0.275, 0.275)*CHOOSE(CONTROL!$C$42, 31, 31))/1000000</f>
        <v>4.2625000000000002</v>
      </c>
      <c r="W835" s="56">
        <f>(1000*CHOOSE(CONTROL!$C$42, 0.1146, 0.1146)*CHOOSE(CONTROL!$C$42, 121.5, 121.5)*CHOOSE(CONTROL!$C$42, 31, 31))/1000000</f>
        <v>0.43164089999999994</v>
      </c>
      <c r="X835" s="56">
        <f>(31*0.1790888*245000/1000000)+(31*0.2374*100000/1000000)</f>
        <v>2.0961194359999999</v>
      </c>
      <c r="Y835" s="56"/>
      <c r="Z835" s="14"/>
      <c r="AA835" s="55"/>
      <c r="AB835" s="49">
        <f>(B835*194.205+C835*267.466+D835*133.845+E835*53.484+F835*40+G835*185+H835*0+I835*100+J835*300)/(194.205+267.466+133.845+53.484+0+40+185+100+300)</f>
        <v>77.337683658555733</v>
      </c>
      <c r="AC835" s="45">
        <f>(M835*'RAP TEMPLATE-GAS AVAILABILITY'!O834+N835*'RAP TEMPLATE-GAS AVAILABILITY'!P834+O835*'RAP TEMPLATE-GAS AVAILABILITY'!Q834+P835*'RAP TEMPLATE-GAS AVAILABILITY'!R834)/('RAP TEMPLATE-GAS AVAILABILITY'!O834+'RAP TEMPLATE-GAS AVAILABILITY'!P834+'RAP TEMPLATE-GAS AVAILABILITY'!Q834+'RAP TEMPLATE-GAS AVAILABILITY'!R834)</f>
        <v>76.054049640287772</v>
      </c>
    </row>
    <row r="836" spans="1:29" ht="15.75" x14ac:dyDescent="0.25">
      <c r="A836" s="32">
        <v>66354</v>
      </c>
      <c r="B836" s="14">
        <f>CHOOSE(CONTROL!$C$42, 73.4488, 73.4488) * CHOOSE(CONTROL!$C$21, $C$9, 100%, $E$9)</f>
        <v>73.448800000000006</v>
      </c>
      <c r="C836" s="14">
        <f>CHOOSE(CONTROL!$C$42, 73.4568, 73.4568) * CHOOSE(CONTROL!$C$21, $C$9, 100%, $E$9)</f>
        <v>73.456800000000001</v>
      </c>
      <c r="D836" s="14">
        <f>CHOOSE(CONTROL!$C$42, 73.7159, 73.7159) * CHOOSE(CONTROL!$C$21, $C$9, 100%, $E$9)</f>
        <v>73.715900000000005</v>
      </c>
      <c r="E836" s="14">
        <f>CHOOSE(CONTROL!$C$42, 73.7474, 73.7474) * CHOOSE(CONTROL!$C$21, $C$9, 100%, $E$9)</f>
        <v>73.747399999999999</v>
      </c>
      <c r="F836" s="14">
        <f>CHOOSE(CONTROL!$C$42, 73.4712, 73.4712)*CHOOSE(CONTROL!$C$21, $C$9, 100%, $E$9)</f>
        <v>73.471199999999996</v>
      </c>
      <c r="G836" s="14">
        <f>CHOOSE(CONTROL!$C$42, 73.4884, 73.4884)*CHOOSE(CONTROL!$C$21, $C$9, 100%, $E$9)</f>
        <v>73.488399999999999</v>
      </c>
      <c r="H836" s="14">
        <f>CHOOSE(CONTROL!$C$42, 73.736, 73.736) * CHOOSE(CONTROL!$C$21, $C$9, 100%, $E$9)</f>
        <v>73.736000000000004</v>
      </c>
      <c r="I836" s="14">
        <f>CHOOSE(CONTROL!$C$42, 73.6999, 73.6999)* CHOOSE(CONTROL!$C$21, $C$9, 100%, $E$9)</f>
        <v>73.6999</v>
      </c>
      <c r="J836" s="14">
        <f>CHOOSE(CONTROL!$C$42, 73.4642, 73.4642)* CHOOSE(CONTROL!$C$21, $C$9, 100%, $E$9)</f>
        <v>73.464200000000005</v>
      </c>
      <c r="K836" s="52">
        <f>CHOOSE(CONTROL!$C$42, 73.6961, 73.6961) * CHOOSE(CONTROL!$C$21, $C$9, 100%, $E$9)</f>
        <v>73.696100000000001</v>
      </c>
      <c r="L836" s="14">
        <f>CHOOSE(CONTROL!$C$42, 74.323, 74.323) * CHOOSE(CONTROL!$C$21, $C$9, 100%, $E$9)</f>
        <v>74.322999999999993</v>
      </c>
      <c r="M836" s="14">
        <f>CHOOSE(CONTROL!$C$42, 72.1505, 72.1505) * CHOOSE(CONTROL!$C$21, $C$9, 100%, $E$9)</f>
        <v>72.150499999999994</v>
      </c>
      <c r="N836" s="14">
        <f>CHOOSE(CONTROL!$C$42, 72.1674, 72.1674) * CHOOSE(CONTROL!$C$21, $C$9, 100%, $E$9)</f>
        <v>72.167400000000001</v>
      </c>
      <c r="O836" s="14">
        <f>CHOOSE(CONTROL!$C$42, 72.4175, 72.4175) * CHOOSE(CONTROL!$C$21, $C$9, 100%, $E$9)</f>
        <v>72.417500000000004</v>
      </c>
      <c r="P836" s="14">
        <f>CHOOSE(CONTROL!$C$42, 72.378, 72.378) * CHOOSE(CONTROL!$C$21, $C$9, 100%, $E$9)</f>
        <v>72.378</v>
      </c>
      <c r="Q836" s="14">
        <f>CHOOSE(CONTROL!$C$42, 73.0122, 73.0122) * CHOOSE(CONTROL!$C$21, $C$9, 100%, $E$9)</f>
        <v>73.012200000000007</v>
      </c>
      <c r="R836" s="14">
        <f>CHOOSE(CONTROL!$C$42, 73.7817, 73.7817) * CHOOSE(CONTROL!$C$21, $C$9, 100%, $E$9)</f>
        <v>73.781700000000001</v>
      </c>
      <c r="S836" s="14">
        <f>CHOOSE(CONTROL!$C$42, 70.5663, 70.5663) * CHOOSE(CONTROL!$C$21, $C$9, 100%, $E$9)</f>
        <v>70.566299999999998</v>
      </c>
      <c r="T83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36" s="56">
        <f>(1000*CHOOSE(CONTROL!$C$42, 695, 695)*CHOOSE(CONTROL!$C$42, 0.5599, 0.5599)*CHOOSE(CONTROL!$C$42, 31, 31))/1000000</f>
        <v>12.063045499999998</v>
      </c>
      <c r="V836" s="56">
        <f>(1000*CHOOSE(CONTROL!$C$42, 500, 500)*CHOOSE(CONTROL!$C$42, 0.275, 0.275)*CHOOSE(CONTROL!$C$42, 31, 31))/1000000</f>
        <v>4.2625000000000002</v>
      </c>
      <c r="W836" s="56">
        <f>(1000*CHOOSE(CONTROL!$C$42, 0.1146, 0.1146)*CHOOSE(CONTROL!$C$42, 121.5, 121.5)*CHOOSE(CONTROL!$C$42, 31, 31))/1000000</f>
        <v>0.43164089999999994</v>
      </c>
      <c r="X836" s="56">
        <f>(31*0.1790888*245000/1000000)+(31*0.2374*100000/1000000)</f>
        <v>2.0961194359999999</v>
      </c>
      <c r="Y836" s="56"/>
      <c r="Z836" s="14"/>
      <c r="AA836" s="55"/>
      <c r="AB836" s="49">
        <f>(B836*194.205+C836*267.466+D836*133.845+E836*53.484+F836*40+G836*185+H836*0+I836*100+J836*300)/(194.205+267.466+133.845+53.484+0+40+185+100+300)</f>
        <v>73.52086597323391</v>
      </c>
      <c r="AC836" s="45">
        <f>(M836*'RAP TEMPLATE-GAS AVAILABILITY'!O835+N836*'RAP TEMPLATE-GAS AVAILABILITY'!P835+O836*'RAP TEMPLATE-GAS AVAILABILITY'!Q835+P836*'RAP TEMPLATE-GAS AVAILABILITY'!R835)/('RAP TEMPLATE-GAS AVAILABILITY'!O835+'RAP TEMPLATE-GAS AVAILABILITY'!P835+'RAP TEMPLATE-GAS AVAILABILITY'!Q835+'RAP TEMPLATE-GAS AVAILABILITY'!R835)</f>
        <v>72.305220863309358</v>
      </c>
    </row>
    <row r="837" spans="1:29" ht="15.75" x14ac:dyDescent="0.25">
      <c r="A837" s="32">
        <v>66384</v>
      </c>
      <c r="B837" s="14">
        <f>CHOOSE(CONTROL!$C$42, 68.7862, 68.7862) * CHOOSE(CONTROL!$C$21, $C$9, 100%, $E$9)</f>
        <v>68.786199999999994</v>
      </c>
      <c r="C837" s="14">
        <f>CHOOSE(CONTROL!$C$42, 68.7943, 68.7943) * CHOOSE(CONTROL!$C$21, $C$9, 100%, $E$9)</f>
        <v>68.794300000000007</v>
      </c>
      <c r="D837" s="14">
        <f>CHOOSE(CONTROL!$C$42, 69.0533, 69.0533) * CHOOSE(CONTROL!$C$21, $C$9, 100%, $E$9)</f>
        <v>69.053299999999993</v>
      </c>
      <c r="E837" s="14">
        <f>CHOOSE(CONTROL!$C$42, 69.0848, 69.0848) * CHOOSE(CONTROL!$C$21, $C$9, 100%, $E$9)</f>
        <v>69.084800000000001</v>
      </c>
      <c r="F837" s="14">
        <f>CHOOSE(CONTROL!$C$42, 68.8087, 68.8087)*CHOOSE(CONTROL!$C$21, $C$9, 100%, $E$9)</f>
        <v>68.808700000000002</v>
      </c>
      <c r="G837" s="14">
        <f>CHOOSE(CONTROL!$C$42, 68.8259, 68.8259)*CHOOSE(CONTROL!$C$21, $C$9, 100%, $E$9)</f>
        <v>68.825900000000004</v>
      </c>
      <c r="H837" s="14">
        <f>CHOOSE(CONTROL!$C$42, 69.0734, 69.0734) * CHOOSE(CONTROL!$C$21, $C$9, 100%, $E$9)</f>
        <v>69.073400000000007</v>
      </c>
      <c r="I837" s="14">
        <f>CHOOSE(CONTROL!$C$42, 69.0228, 69.0228)* CHOOSE(CONTROL!$C$21, $C$9, 100%, $E$9)</f>
        <v>69.022800000000004</v>
      </c>
      <c r="J837" s="14">
        <f>CHOOSE(CONTROL!$C$42, 68.8017, 68.8017)* CHOOSE(CONTROL!$C$21, $C$9, 100%, $E$9)</f>
        <v>68.801699999999997</v>
      </c>
      <c r="K837" s="52">
        <f>CHOOSE(CONTROL!$C$42, 69.0189, 69.0189) * CHOOSE(CONTROL!$C$21, $C$9, 100%, $E$9)</f>
        <v>69.018900000000002</v>
      </c>
      <c r="L837" s="14">
        <f>CHOOSE(CONTROL!$C$42, 69.6604, 69.6604) * CHOOSE(CONTROL!$C$21, $C$9, 100%, $E$9)</f>
        <v>69.660399999999996</v>
      </c>
      <c r="M837" s="14">
        <f>CHOOSE(CONTROL!$C$42, 67.5719, 67.5719) * CHOOSE(CONTROL!$C$21, $C$9, 100%, $E$9)</f>
        <v>67.571899999999999</v>
      </c>
      <c r="N837" s="14">
        <f>CHOOSE(CONTROL!$C$42, 67.5888, 67.5888) * CHOOSE(CONTROL!$C$21, $C$9, 100%, $E$9)</f>
        <v>67.588800000000006</v>
      </c>
      <c r="O837" s="14">
        <f>CHOOSE(CONTROL!$C$42, 67.8387, 67.8387) * CHOOSE(CONTROL!$C$21, $C$9, 100%, $E$9)</f>
        <v>67.838700000000003</v>
      </c>
      <c r="P837" s="14">
        <f>CHOOSE(CONTROL!$C$42, 67.7852, 67.7852) * CHOOSE(CONTROL!$C$21, $C$9, 100%, $E$9)</f>
        <v>67.785200000000003</v>
      </c>
      <c r="Q837" s="14">
        <f>CHOOSE(CONTROL!$C$42, 68.4334, 68.4334) * CHOOSE(CONTROL!$C$21, $C$9, 100%, $E$9)</f>
        <v>68.433400000000006</v>
      </c>
      <c r="R837" s="14">
        <f>CHOOSE(CONTROL!$C$42, 69.1915, 69.1915) * CHOOSE(CONTROL!$C$21, $C$9, 100%, $E$9)</f>
        <v>69.191500000000005</v>
      </c>
      <c r="S837" s="14">
        <f>CHOOSE(CONTROL!$C$42, 66.0861, 66.0861) * CHOOSE(CONTROL!$C$21, $C$9, 100%, $E$9)</f>
        <v>66.086100000000002</v>
      </c>
      <c r="T83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37" s="56">
        <f>(1000*CHOOSE(CONTROL!$C$42, 695, 695)*CHOOSE(CONTROL!$C$42, 0.5599, 0.5599)*CHOOSE(CONTROL!$C$42, 30, 30))/1000000</f>
        <v>11.673914999999997</v>
      </c>
      <c r="V837" s="56">
        <f>(1000*CHOOSE(CONTROL!$C$42, 500, 500)*CHOOSE(CONTROL!$C$42, 0.275, 0.275)*CHOOSE(CONTROL!$C$42, 30, 30))/1000000</f>
        <v>4.125</v>
      </c>
      <c r="W837" s="56">
        <f>(1000*CHOOSE(CONTROL!$C$42, 0.1146, 0.1146)*CHOOSE(CONTROL!$C$42, 121.5, 121.5)*CHOOSE(CONTROL!$C$42, 30, 30))/1000000</f>
        <v>0.417717</v>
      </c>
      <c r="X837" s="56">
        <f>(30*0.1790888*245000/1000000)+(30*0.2374*100000/1000000)</f>
        <v>2.0285026799999999</v>
      </c>
      <c r="Y837" s="56"/>
      <c r="Z837" s="14"/>
      <c r="AA837" s="55"/>
      <c r="AB837" s="49">
        <f>(B837*194.205+C837*267.466+D837*133.845+E837*53.484+F837*40+G837*185+H837*0+I837*100+J837*300)/(194.205+267.466+133.845+53.484+0+40+185+100+300)</f>
        <v>68.85719002864991</v>
      </c>
      <c r="AC837" s="45">
        <f>(M837*'RAP TEMPLATE-GAS AVAILABILITY'!O836+N837*'RAP TEMPLATE-GAS AVAILABILITY'!P836+O837*'RAP TEMPLATE-GAS AVAILABILITY'!Q836+P837*'RAP TEMPLATE-GAS AVAILABILITY'!R836)/('RAP TEMPLATE-GAS AVAILABILITY'!O836+'RAP TEMPLATE-GAS AVAILABILITY'!P836+'RAP TEMPLATE-GAS AVAILABILITY'!Q836+'RAP TEMPLATE-GAS AVAILABILITY'!R836)</f>
        <v>67.724487050359727</v>
      </c>
    </row>
    <row r="838" spans="1:29" ht="15.75" x14ac:dyDescent="0.25">
      <c r="A838" s="32">
        <v>66415</v>
      </c>
      <c r="B838" s="14">
        <f>CHOOSE(CONTROL!$C$42, 67.3881, 67.3881) * CHOOSE(CONTROL!$C$21, $C$9, 100%, $E$9)</f>
        <v>67.388099999999994</v>
      </c>
      <c r="C838" s="14">
        <f>CHOOSE(CONTROL!$C$42, 67.3934, 67.3934) * CHOOSE(CONTROL!$C$21, $C$9, 100%, $E$9)</f>
        <v>67.3934</v>
      </c>
      <c r="D838" s="14">
        <f>CHOOSE(CONTROL!$C$42, 67.6575, 67.6575) * CHOOSE(CONTROL!$C$21, $C$9, 100%, $E$9)</f>
        <v>67.657499999999999</v>
      </c>
      <c r="E838" s="14">
        <f>CHOOSE(CONTROL!$C$42, 67.6866, 67.6866) * CHOOSE(CONTROL!$C$21, $C$9, 100%, $E$9)</f>
        <v>67.686599999999999</v>
      </c>
      <c r="F838" s="14">
        <f>CHOOSE(CONTROL!$C$42, 67.4127, 67.4127)*CHOOSE(CONTROL!$C$21, $C$9, 100%, $E$9)</f>
        <v>67.412700000000001</v>
      </c>
      <c r="G838" s="14">
        <f>CHOOSE(CONTROL!$C$42, 67.4298, 67.4298)*CHOOSE(CONTROL!$C$21, $C$9, 100%, $E$9)</f>
        <v>67.4298</v>
      </c>
      <c r="H838" s="14">
        <f>CHOOSE(CONTROL!$C$42, 67.677, 67.677) * CHOOSE(CONTROL!$C$21, $C$9, 100%, $E$9)</f>
        <v>67.677000000000007</v>
      </c>
      <c r="I838" s="14">
        <f>CHOOSE(CONTROL!$C$42, 67.622, 67.622)* CHOOSE(CONTROL!$C$21, $C$9, 100%, $E$9)</f>
        <v>67.622</v>
      </c>
      <c r="J838" s="14">
        <f>CHOOSE(CONTROL!$C$42, 67.4057, 67.4057)* CHOOSE(CONTROL!$C$21, $C$9, 100%, $E$9)</f>
        <v>67.405699999999996</v>
      </c>
      <c r="K838" s="52">
        <f>CHOOSE(CONTROL!$C$42, 67.6181, 67.6181) * CHOOSE(CONTROL!$C$21, $C$9, 100%, $E$9)</f>
        <v>67.618099999999998</v>
      </c>
      <c r="L838" s="14">
        <f>CHOOSE(CONTROL!$C$42, 68.264, 68.264) * CHOOSE(CONTROL!$C$21, $C$9, 100%, $E$9)</f>
        <v>68.263999999999996</v>
      </c>
      <c r="M838" s="14">
        <f>CHOOSE(CONTROL!$C$42, 66.201, 66.201) * CHOOSE(CONTROL!$C$21, $C$9, 100%, $E$9)</f>
        <v>66.200999999999993</v>
      </c>
      <c r="N838" s="14">
        <f>CHOOSE(CONTROL!$C$42, 66.2178, 66.2178) * CHOOSE(CONTROL!$C$21, $C$9, 100%, $E$9)</f>
        <v>66.217799999999997</v>
      </c>
      <c r="O838" s="14">
        <f>CHOOSE(CONTROL!$C$42, 66.4675, 66.4675) * CHOOSE(CONTROL!$C$21, $C$9, 100%, $E$9)</f>
        <v>66.467500000000001</v>
      </c>
      <c r="P838" s="14">
        <f>CHOOSE(CONTROL!$C$42, 66.4097, 66.4097) * CHOOSE(CONTROL!$C$21, $C$9, 100%, $E$9)</f>
        <v>66.409700000000001</v>
      </c>
      <c r="Q838" s="14">
        <f>CHOOSE(CONTROL!$C$42, 67.0622, 67.0622) * CHOOSE(CONTROL!$C$21, $C$9, 100%, $E$9)</f>
        <v>67.062200000000004</v>
      </c>
      <c r="R838" s="14">
        <f>CHOOSE(CONTROL!$C$42, 67.8168, 67.8168) * CHOOSE(CONTROL!$C$21, $C$9, 100%, $E$9)</f>
        <v>67.816800000000001</v>
      </c>
      <c r="S838" s="14">
        <f>CHOOSE(CONTROL!$C$42, 64.7443, 64.7443) * CHOOSE(CONTROL!$C$21, $C$9, 100%, $E$9)</f>
        <v>64.744299999999996</v>
      </c>
      <c r="T83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38" s="56">
        <f>(1000*CHOOSE(CONTROL!$C$42, 695, 695)*CHOOSE(CONTROL!$C$42, 0.5599, 0.5599)*CHOOSE(CONTROL!$C$42, 31, 31))/1000000</f>
        <v>12.063045499999998</v>
      </c>
      <c r="V838" s="56">
        <f>(1000*CHOOSE(CONTROL!$C$42, 500, 500)*CHOOSE(CONTROL!$C$42, 0.275, 0.275)*CHOOSE(CONTROL!$C$42, 31, 31))/1000000</f>
        <v>4.2625000000000002</v>
      </c>
      <c r="W838" s="56">
        <f>(1000*CHOOSE(CONTROL!$C$42, 0.1146, 0.1146)*CHOOSE(CONTROL!$C$42, 121.5, 121.5)*CHOOSE(CONTROL!$C$42, 31, 31))/1000000</f>
        <v>0.43164089999999994</v>
      </c>
      <c r="X838" s="56">
        <f>(31*0.1790888*245000/1000000)+(31*0.2374*100000/1000000)</f>
        <v>2.0961194359999999</v>
      </c>
      <c r="Y838" s="56"/>
      <c r="Z838" s="14"/>
      <c r="AA838" s="55"/>
      <c r="AB838" s="49">
        <f>(B838*131.881+C838*277.167+D838*79.08+E838*125.872+F838*40+G838*185+H838*0+I838*100+J838*300)/(131.881+277.167+79.08+125.872+0+40+185+100+300)</f>
        <v>67.466965560209843</v>
      </c>
      <c r="AC838" s="45">
        <f>(M838*'RAP TEMPLATE-GAS AVAILABILITY'!O837+N838*'RAP TEMPLATE-GAS AVAILABILITY'!P837+O838*'RAP TEMPLATE-GAS AVAILABILITY'!Q837+P838*'RAP TEMPLATE-GAS AVAILABILITY'!R837)/('RAP TEMPLATE-GAS AVAILABILITY'!O837+'RAP TEMPLATE-GAS AVAILABILITY'!P837+'RAP TEMPLATE-GAS AVAILABILITY'!Q837+'RAP TEMPLATE-GAS AVAILABILITY'!R837)</f>
        <v>66.352783453237421</v>
      </c>
    </row>
    <row r="839" spans="1:29" ht="15.75" x14ac:dyDescent="0.25">
      <c r="A839" s="32">
        <v>66445</v>
      </c>
      <c r="B839" s="14">
        <f>CHOOSE(CONTROL!$C$42, 69.1627, 69.1627) * CHOOSE(CONTROL!$C$21, $C$9, 100%, $E$9)</f>
        <v>69.162700000000001</v>
      </c>
      <c r="C839" s="14">
        <f>CHOOSE(CONTROL!$C$42, 69.1678, 69.1678) * CHOOSE(CONTROL!$C$21, $C$9, 100%, $E$9)</f>
        <v>69.1678</v>
      </c>
      <c r="D839" s="14">
        <f>CHOOSE(CONTROL!$C$42, 69.2508, 69.2508) * CHOOSE(CONTROL!$C$21, $C$9, 100%, $E$9)</f>
        <v>69.250799999999998</v>
      </c>
      <c r="E839" s="14">
        <f>CHOOSE(CONTROL!$C$42, 69.285, 69.285) * CHOOSE(CONTROL!$C$21, $C$9, 100%, $E$9)</f>
        <v>69.284999999999997</v>
      </c>
      <c r="F839" s="14">
        <f>CHOOSE(CONTROL!$C$42, 69.1903, 69.1903)*CHOOSE(CONTROL!$C$21, $C$9, 100%, $E$9)</f>
        <v>69.190299999999993</v>
      </c>
      <c r="G839" s="14">
        <f>CHOOSE(CONTROL!$C$42, 69.2077, 69.2077)*CHOOSE(CONTROL!$C$21, $C$9, 100%, $E$9)</f>
        <v>69.207700000000003</v>
      </c>
      <c r="H839" s="14">
        <f>CHOOSE(CONTROL!$C$42, 69.2741, 69.2741) * CHOOSE(CONTROL!$C$21, $C$9, 100%, $E$9)</f>
        <v>69.274100000000004</v>
      </c>
      <c r="I839" s="14">
        <f>CHOOSE(CONTROL!$C$42, 69.399, 69.399)* CHOOSE(CONTROL!$C$21, $C$9, 100%, $E$9)</f>
        <v>69.399000000000001</v>
      </c>
      <c r="J839" s="14">
        <f>CHOOSE(CONTROL!$C$42, 69.1833, 69.1833)* CHOOSE(CONTROL!$C$21, $C$9, 100%, $E$9)</f>
        <v>69.183300000000003</v>
      </c>
      <c r="K839" s="52">
        <f>CHOOSE(CONTROL!$C$42, 69.3951, 69.3951) * CHOOSE(CONTROL!$C$21, $C$9, 100%, $E$9)</f>
        <v>69.395099999999999</v>
      </c>
      <c r="L839" s="14">
        <f>CHOOSE(CONTROL!$C$42, 69.8611, 69.8611) * CHOOSE(CONTROL!$C$21, $C$9, 100%, $E$9)</f>
        <v>69.861099999999993</v>
      </c>
      <c r="M839" s="14">
        <f>CHOOSE(CONTROL!$C$42, 67.9467, 67.9467) * CHOOSE(CONTROL!$C$21, $C$9, 100%, $E$9)</f>
        <v>67.946700000000007</v>
      </c>
      <c r="N839" s="14">
        <f>CHOOSE(CONTROL!$C$42, 67.9637, 67.9637) * CHOOSE(CONTROL!$C$21, $C$9, 100%, $E$9)</f>
        <v>67.963700000000003</v>
      </c>
      <c r="O839" s="14">
        <f>CHOOSE(CONTROL!$C$42, 68.0358, 68.0358) * CHOOSE(CONTROL!$C$21, $C$9, 100%, $E$9)</f>
        <v>68.035799999999995</v>
      </c>
      <c r="P839" s="14">
        <f>CHOOSE(CONTROL!$C$42, 68.1546, 68.1546) * CHOOSE(CONTROL!$C$21, $C$9, 100%, $E$9)</f>
        <v>68.154600000000002</v>
      </c>
      <c r="Q839" s="14">
        <f>CHOOSE(CONTROL!$C$42, 68.6305, 68.6305) * CHOOSE(CONTROL!$C$21, $C$9, 100%, $E$9)</f>
        <v>68.630499999999998</v>
      </c>
      <c r="R839" s="14">
        <f>CHOOSE(CONTROL!$C$42, 69.3891, 69.3891) * CHOOSE(CONTROL!$C$21, $C$9, 100%, $E$9)</f>
        <v>69.389099999999999</v>
      </c>
      <c r="S839" s="14">
        <f>CHOOSE(CONTROL!$C$42, 66.4499, 66.4499) * CHOOSE(CONTROL!$C$21, $C$9, 100%, $E$9)</f>
        <v>66.4499</v>
      </c>
      <c r="T83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39" s="56">
        <f>(1000*CHOOSE(CONTROL!$C$42, 695, 695)*CHOOSE(CONTROL!$C$42, 0.5599, 0.5599)*CHOOSE(CONTROL!$C$42, 30, 30))/1000000</f>
        <v>11.673914999999997</v>
      </c>
      <c r="V839" s="56">
        <f>(1000*CHOOSE(CONTROL!$C$42, 500, 500)*CHOOSE(CONTROL!$C$42, 0.275, 0.275)*CHOOSE(CONTROL!$C$42, 30, 30))/1000000</f>
        <v>4.125</v>
      </c>
      <c r="W839" s="56">
        <f>(1000*CHOOSE(CONTROL!$C$42, 0.1146, 0.1146)*CHOOSE(CONTROL!$C$42, 121.5, 121.5)*CHOOSE(CONTROL!$C$42, 30, 30))/1000000</f>
        <v>0.417717</v>
      </c>
      <c r="X839" s="56">
        <f>(30*0.1790888*100000/1000000)+(30*0.2374*100000/1000000)</f>
        <v>1.2494664</v>
      </c>
      <c r="Y839" s="56"/>
      <c r="Z839" s="14"/>
      <c r="AA839" s="55"/>
      <c r="AB839" s="49">
        <f>(B839*122.58+C839*297.941+D839*89.177+E839*40.302+F839*40+G839*160+H839*0+I839*100+J839*300)/(122.58+297.941+89.177+40.302+0+40+160+100+300)</f>
        <v>69.208281675999999</v>
      </c>
      <c r="AC839" s="45">
        <f>(M839*'RAP TEMPLATE-GAS AVAILABILITY'!O838+N839*'RAP TEMPLATE-GAS AVAILABILITY'!P838+O839*'RAP TEMPLATE-GAS AVAILABILITY'!Q838+P839*'RAP TEMPLATE-GAS AVAILABILITY'!R838)/('RAP TEMPLATE-GAS AVAILABILITY'!O838+'RAP TEMPLATE-GAS AVAILABILITY'!P838+'RAP TEMPLATE-GAS AVAILABILITY'!Q838+'RAP TEMPLATE-GAS AVAILABILITY'!R838)</f>
        <v>68.01797553956834</v>
      </c>
    </row>
    <row r="840" spans="1:29" ht="15.75" x14ac:dyDescent="0.25">
      <c r="A840" s="32">
        <v>66476</v>
      </c>
      <c r="B840" s="14">
        <f>CHOOSE(CONTROL!$C$42, 73.8775, 73.8775) * CHOOSE(CONTROL!$C$21, $C$9, 100%, $E$9)</f>
        <v>73.877499999999998</v>
      </c>
      <c r="C840" s="14">
        <f>CHOOSE(CONTROL!$C$42, 73.8826, 73.8826) * CHOOSE(CONTROL!$C$21, $C$9, 100%, $E$9)</f>
        <v>73.882599999999996</v>
      </c>
      <c r="D840" s="14">
        <f>CHOOSE(CONTROL!$C$42, 73.9657, 73.9657) * CHOOSE(CONTROL!$C$21, $C$9, 100%, $E$9)</f>
        <v>73.965699999999998</v>
      </c>
      <c r="E840" s="14">
        <f>CHOOSE(CONTROL!$C$42, 73.9998, 73.9998) * CHOOSE(CONTROL!$C$21, $C$9, 100%, $E$9)</f>
        <v>73.999799999999993</v>
      </c>
      <c r="F840" s="14">
        <f>CHOOSE(CONTROL!$C$42, 73.9076, 73.9076)*CHOOSE(CONTROL!$C$21, $C$9, 100%, $E$9)</f>
        <v>73.907600000000002</v>
      </c>
      <c r="G840" s="14">
        <f>CHOOSE(CONTROL!$C$42, 73.9256, 73.9256)*CHOOSE(CONTROL!$C$21, $C$9, 100%, $E$9)</f>
        <v>73.925600000000003</v>
      </c>
      <c r="H840" s="14">
        <f>CHOOSE(CONTROL!$C$42, 73.989, 73.989) * CHOOSE(CONTROL!$C$21, $C$9, 100%, $E$9)</f>
        <v>73.989000000000004</v>
      </c>
      <c r="I840" s="14">
        <f>CHOOSE(CONTROL!$C$42, 74.1286, 74.1286)* CHOOSE(CONTROL!$C$21, $C$9, 100%, $E$9)</f>
        <v>74.128600000000006</v>
      </c>
      <c r="J840" s="14">
        <f>CHOOSE(CONTROL!$C$42, 73.9006, 73.9006)* CHOOSE(CONTROL!$C$21, $C$9, 100%, $E$9)</f>
        <v>73.900599999999997</v>
      </c>
      <c r="K840" s="52">
        <f>CHOOSE(CONTROL!$C$42, 74.1247, 74.1247) * CHOOSE(CONTROL!$C$21, $C$9, 100%, $E$9)</f>
        <v>74.124700000000004</v>
      </c>
      <c r="L840" s="14">
        <f>CHOOSE(CONTROL!$C$42, 74.576, 74.576) * CHOOSE(CONTROL!$C$21, $C$9, 100%, $E$9)</f>
        <v>74.575999999999993</v>
      </c>
      <c r="M840" s="14">
        <f>CHOOSE(CONTROL!$C$42, 72.5791, 72.5791) * CHOOSE(CONTROL!$C$21, $C$9, 100%, $E$9)</f>
        <v>72.579099999999997</v>
      </c>
      <c r="N840" s="14">
        <f>CHOOSE(CONTROL!$C$42, 72.5968, 72.5968) * CHOOSE(CONTROL!$C$21, $C$9, 100%, $E$9)</f>
        <v>72.596800000000002</v>
      </c>
      <c r="O840" s="14">
        <f>CHOOSE(CONTROL!$C$42, 72.6659, 72.6659) * CHOOSE(CONTROL!$C$21, $C$9, 100%, $E$9)</f>
        <v>72.665899999999993</v>
      </c>
      <c r="P840" s="14">
        <f>CHOOSE(CONTROL!$C$42, 72.7989, 72.7989) * CHOOSE(CONTROL!$C$21, $C$9, 100%, $E$9)</f>
        <v>72.798900000000003</v>
      </c>
      <c r="Q840" s="14">
        <f>CHOOSE(CONTROL!$C$42, 73.2606, 73.2606) * CHOOSE(CONTROL!$C$21, $C$9, 100%, $E$9)</f>
        <v>73.260599999999997</v>
      </c>
      <c r="R840" s="14">
        <f>CHOOSE(CONTROL!$C$42, 74.0307, 74.0307) * CHOOSE(CONTROL!$C$21, $C$9, 100%, $E$9)</f>
        <v>74.030699999999996</v>
      </c>
      <c r="S840" s="14">
        <f>CHOOSE(CONTROL!$C$42, 70.9804, 70.9804) * CHOOSE(CONTROL!$C$21, $C$9, 100%, $E$9)</f>
        <v>70.980400000000003</v>
      </c>
      <c r="T84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40" s="56">
        <f>(1000*CHOOSE(CONTROL!$C$42, 695, 695)*CHOOSE(CONTROL!$C$42, 0.5599, 0.5599)*CHOOSE(CONTROL!$C$42, 31, 31))/1000000</f>
        <v>12.063045499999998</v>
      </c>
      <c r="V840" s="56">
        <f>(1000*CHOOSE(CONTROL!$C$42, 500, 500)*CHOOSE(CONTROL!$C$42, 0.275, 0.275)*CHOOSE(CONTROL!$C$42, 31, 31))/1000000</f>
        <v>4.2625000000000002</v>
      </c>
      <c r="W840" s="56">
        <f>(1000*CHOOSE(CONTROL!$C$42, 0.1146, 0.1146)*CHOOSE(CONTROL!$C$42, 121.5, 121.5)*CHOOSE(CONTROL!$C$42, 31, 31))/1000000</f>
        <v>0.43164089999999994</v>
      </c>
      <c r="X840" s="56">
        <f>(31*0.1790888*100000/1000000)+(31*0.2374*100000/1000000)</f>
        <v>1.2911152800000001</v>
      </c>
      <c r="Y840" s="56"/>
      <c r="Z840" s="14"/>
      <c r="AA840" s="55"/>
      <c r="AB840" s="49">
        <f>(B840*122.58+C840*297.941+D840*89.177+E840*40.302+F840*40+G840*160+H840*0+I840*100+J840*300)/(122.58+297.941+89.177+40.302+0+40+160+100+300)</f>
        <v>73.925546821826089</v>
      </c>
      <c r="AC840" s="45">
        <f>(M840*'RAP TEMPLATE-GAS AVAILABILITY'!O839+N840*'RAP TEMPLATE-GAS AVAILABILITY'!P839+O840*'RAP TEMPLATE-GAS AVAILABILITY'!Q839+P840*'RAP TEMPLATE-GAS AVAILABILITY'!R839)/('RAP TEMPLATE-GAS AVAILABILITY'!O839+'RAP TEMPLATE-GAS AVAILABILITY'!P839+'RAP TEMPLATE-GAS AVAILABILITY'!Q839+'RAP TEMPLATE-GAS AVAILABILITY'!R839)</f>
        <v>72.65108561151078</v>
      </c>
    </row>
    <row r="841" spans="1:29" ht="15.75" x14ac:dyDescent="0.25">
      <c r="A841" s="32">
        <v>66507</v>
      </c>
      <c r="B841" s="14">
        <f>CHOOSE(CONTROL!$C$42, 80.0013, 80.0013) * CHOOSE(CONTROL!$C$21, $C$9, 100%, $E$9)</f>
        <v>80.001300000000001</v>
      </c>
      <c r="C841" s="14">
        <f>CHOOSE(CONTROL!$C$42, 80.0063, 80.0063) * CHOOSE(CONTROL!$C$21, $C$9, 100%, $E$9)</f>
        <v>80.006299999999996</v>
      </c>
      <c r="D841" s="14">
        <f>CHOOSE(CONTROL!$C$42, 80.0998, 80.0998) * CHOOSE(CONTROL!$C$21, $C$9, 100%, $E$9)</f>
        <v>80.099800000000002</v>
      </c>
      <c r="E841" s="14">
        <f>CHOOSE(CONTROL!$C$42, 80.1339, 80.1339) * CHOOSE(CONTROL!$C$21, $C$9, 100%, $E$9)</f>
        <v>80.133899999999997</v>
      </c>
      <c r="F841" s="14">
        <f>CHOOSE(CONTROL!$C$42, 80.0286, 80.0286)*CHOOSE(CONTROL!$C$21, $C$9, 100%, $E$9)</f>
        <v>80.028599999999997</v>
      </c>
      <c r="G841" s="14">
        <f>CHOOSE(CONTROL!$C$42, 80.0465, 80.0465)*CHOOSE(CONTROL!$C$21, $C$9, 100%, $E$9)</f>
        <v>80.046499999999995</v>
      </c>
      <c r="H841" s="14">
        <f>CHOOSE(CONTROL!$C$42, 80.1231, 80.1231) * CHOOSE(CONTROL!$C$21, $C$9, 100%, $E$9)</f>
        <v>80.123099999999994</v>
      </c>
      <c r="I841" s="14">
        <f>CHOOSE(CONTROL!$C$42, 80.2777, 80.2777)* CHOOSE(CONTROL!$C$21, $C$9, 100%, $E$9)</f>
        <v>80.277699999999996</v>
      </c>
      <c r="J841" s="14">
        <f>CHOOSE(CONTROL!$C$42, 80.0216, 80.0216)* CHOOSE(CONTROL!$C$21, $C$9, 100%, $E$9)</f>
        <v>80.021600000000007</v>
      </c>
      <c r="K841" s="52">
        <f>CHOOSE(CONTROL!$C$42, 80.2738, 80.2738) * CHOOSE(CONTROL!$C$21, $C$9, 100%, $E$9)</f>
        <v>80.273799999999994</v>
      </c>
      <c r="L841" s="14">
        <f>CHOOSE(CONTROL!$C$42, 80.7101, 80.7101) * CHOOSE(CONTROL!$C$21, $C$9, 100%, $E$9)</f>
        <v>80.710099999999997</v>
      </c>
      <c r="M841" s="14">
        <f>CHOOSE(CONTROL!$C$42, 78.5899, 78.5899) * CHOOSE(CONTROL!$C$21, $C$9, 100%, $E$9)</f>
        <v>78.5899</v>
      </c>
      <c r="N841" s="14">
        <f>CHOOSE(CONTROL!$C$42, 78.6076, 78.6076) * CHOOSE(CONTROL!$C$21, $C$9, 100%, $E$9)</f>
        <v>78.607600000000005</v>
      </c>
      <c r="O841" s="14">
        <f>CHOOSE(CONTROL!$C$42, 78.6896, 78.6896) * CHOOSE(CONTROL!$C$21, $C$9, 100%, $E$9)</f>
        <v>78.689599999999999</v>
      </c>
      <c r="P841" s="14">
        <f>CHOOSE(CONTROL!$C$42, 78.8371, 78.8371) * CHOOSE(CONTROL!$C$21, $C$9, 100%, $E$9)</f>
        <v>78.837100000000007</v>
      </c>
      <c r="Q841" s="14">
        <f>CHOOSE(CONTROL!$C$42, 79.2843, 79.2843) * CHOOSE(CONTROL!$C$21, $C$9, 100%, $E$9)</f>
        <v>79.284300000000002</v>
      </c>
      <c r="R841" s="14">
        <f>CHOOSE(CONTROL!$C$42, 80.0696, 80.0696) * CHOOSE(CONTROL!$C$21, $C$9, 100%, $E$9)</f>
        <v>80.069599999999994</v>
      </c>
      <c r="S841" s="14">
        <f>CHOOSE(CONTROL!$C$42, 76.8647, 76.8647) * CHOOSE(CONTROL!$C$21, $C$9, 100%, $E$9)</f>
        <v>76.864699999999999</v>
      </c>
      <c r="T84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41" s="56">
        <f>(1000*CHOOSE(CONTROL!$C$42, 695, 695)*CHOOSE(CONTROL!$C$42, 0.5599, 0.5599)*CHOOSE(CONTROL!$C$42, 31, 31))/1000000</f>
        <v>12.063045499999998</v>
      </c>
      <c r="V841" s="56">
        <f>(1000*CHOOSE(CONTROL!$C$42, 500, 500)*CHOOSE(CONTROL!$C$42, 0.275, 0.275)*CHOOSE(CONTROL!$C$42, 31, 31))/1000000</f>
        <v>4.2625000000000002</v>
      </c>
      <c r="W841" s="56">
        <f>(1000*CHOOSE(CONTROL!$C$42, 0.1146, 0.1146)*CHOOSE(CONTROL!$C$42, 121.5, 121.5)*CHOOSE(CONTROL!$C$42, 31, 31))/1000000</f>
        <v>0.43164089999999994</v>
      </c>
      <c r="X841" s="56">
        <f>(31*0.1790888*100000/1000000)+(31*0.2374*100000/1000000)</f>
        <v>1.2911152800000001</v>
      </c>
      <c r="Y841" s="56"/>
      <c r="Z841" s="14"/>
      <c r="AA841" s="55"/>
      <c r="AB841" s="49">
        <f>(B841*122.58+C841*297.941+D841*89.177+E841*40.302+F841*40+G841*160+H841*0+I841*100+J841*300)/(122.58+297.941+89.177+40.302+0+40+160+100+300)</f>
        <v>80.051449291043483</v>
      </c>
      <c r="AC841" s="45">
        <f>(M841*'RAP TEMPLATE-GAS AVAILABILITY'!O840+N841*'RAP TEMPLATE-GAS AVAILABILITY'!P840+O841*'RAP TEMPLATE-GAS AVAILABILITY'!Q840+P841*'RAP TEMPLATE-GAS AVAILABILITY'!R840)/('RAP TEMPLATE-GAS AVAILABILITY'!O840+'RAP TEMPLATE-GAS AVAILABILITY'!P840+'RAP TEMPLATE-GAS AVAILABILITY'!Q840+'RAP TEMPLATE-GAS AVAILABILITY'!R840)</f>
        <v>78.671674820143878</v>
      </c>
    </row>
    <row r="842" spans="1:29" ht="15.75" x14ac:dyDescent="0.25">
      <c r="A842" s="32">
        <v>66535</v>
      </c>
      <c r="B842" s="14">
        <f>CHOOSE(CONTROL!$C$42, 81.4252, 81.4252) * CHOOSE(CONTROL!$C$21, $C$9, 100%, $E$9)</f>
        <v>81.425200000000004</v>
      </c>
      <c r="C842" s="14">
        <f>CHOOSE(CONTROL!$C$42, 81.4303, 81.4303) * CHOOSE(CONTROL!$C$21, $C$9, 100%, $E$9)</f>
        <v>81.430300000000003</v>
      </c>
      <c r="D842" s="14">
        <f>CHOOSE(CONTROL!$C$42, 81.5238, 81.5238) * CHOOSE(CONTROL!$C$21, $C$9, 100%, $E$9)</f>
        <v>81.523799999999994</v>
      </c>
      <c r="E842" s="14">
        <f>CHOOSE(CONTROL!$C$42, 81.5579, 81.5579) * CHOOSE(CONTROL!$C$21, $C$9, 100%, $E$9)</f>
        <v>81.557900000000004</v>
      </c>
      <c r="F842" s="14">
        <f>CHOOSE(CONTROL!$C$42, 81.4522, 81.4522)*CHOOSE(CONTROL!$C$21, $C$9, 100%, $E$9)</f>
        <v>81.452200000000005</v>
      </c>
      <c r="G842" s="14">
        <f>CHOOSE(CONTROL!$C$42, 81.47, 81.47)*CHOOSE(CONTROL!$C$21, $C$9, 100%, $E$9)</f>
        <v>81.47</v>
      </c>
      <c r="H842" s="14">
        <f>CHOOSE(CONTROL!$C$42, 81.5471, 81.5471) * CHOOSE(CONTROL!$C$21, $C$9, 100%, $E$9)</f>
        <v>81.5471</v>
      </c>
      <c r="I842" s="14">
        <f>CHOOSE(CONTROL!$C$42, 81.7061, 81.7061)* CHOOSE(CONTROL!$C$21, $C$9, 100%, $E$9)</f>
        <v>81.706100000000006</v>
      </c>
      <c r="J842" s="14">
        <f>CHOOSE(CONTROL!$C$42, 81.4452, 81.4452)* CHOOSE(CONTROL!$C$21, $C$9, 100%, $E$9)</f>
        <v>81.4452</v>
      </c>
      <c r="K842" s="52">
        <f>CHOOSE(CONTROL!$C$42, 81.7022, 81.7022) * CHOOSE(CONTROL!$C$21, $C$9, 100%, $E$9)</f>
        <v>81.702200000000005</v>
      </c>
      <c r="L842" s="14">
        <f>CHOOSE(CONTROL!$C$42, 82.1341, 82.1341) * CHOOSE(CONTROL!$C$21, $C$9, 100%, $E$9)</f>
        <v>82.134100000000004</v>
      </c>
      <c r="M842" s="14">
        <f>CHOOSE(CONTROL!$C$42, 79.9879, 79.9879) * CHOOSE(CONTROL!$C$21, $C$9, 100%, $E$9)</f>
        <v>79.987899999999996</v>
      </c>
      <c r="N842" s="14">
        <f>CHOOSE(CONTROL!$C$42, 80.0055, 80.0055) * CHOOSE(CONTROL!$C$21, $C$9, 100%, $E$9)</f>
        <v>80.005499999999998</v>
      </c>
      <c r="O842" s="14">
        <f>CHOOSE(CONTROL!$C$42, 80.088, 80.088) * CHOOSE(CONTROL!$C$21, $C$9, 100%, $E$9)</f>
        <v>80.087999999999994</v>
      </c>
      <c r="P842" s="14">
        <f>CHOOSE(CONTROL!$C$42, 80.2398, 80.2398) * CHOOSE(CONTROL!$C$21, $C$9, 100%, $E$9)</f>
        <v>80.239800000000002</v>
      </c>
      <c r="Q842" s="14">
        <f>CHOOSE(CONTROL!$C$42, 80.6827, 80.6827) * CHOOSE(CONTROL!$C$21, $C$9, 100%, $E$9)</f>
        <v>80.682699999999997</v>
      </c>
      <c r="R842" s="14">
        <f>CHOOSE(CONTROL!$C$42, 81.4714, 81.4714) * CHOOSE(CONTROL!$C$21, $C$9, 100%, $E$9)</f>
        <v>81.471400000000003</v>
      </c>
      <c r="S842" s="14">
        <f>CHOOSE(CONTROL!$C$42, 78.233, 78.233) * CHOOSE(CONTROL!$C$21, $C$9, 100%, $E$9)</f>
        <v>78.233000000000004</v>
      </c>
      <c r="T84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42" s="56">
        <f>(1000*CHOOSE(CONTROL!$C$42, 695, 695)*CHOOSE(CONTROL!$C$42, 0.5599, 0.5599)*CHOOSE(CONTROL!$C$42, 28, 28))/1000000</f>
        <v>10.895653999999999</v>
      </c>
      <c r="V842" s="56">
        <f>(1000*CHOOSE(CONTROL!$C$42, 500, 500)*CHOOSE(CONTROL!$C$42, 0.275, 0.275)*CHOOSE(CONTROL!$C$42, 28, 28))/1000000</f>
        <v>3.85</v>
      </c>
      <c r="W842" s="56">
        <f>(1000*CHOOSE(CONTROL!$C$42, 0.1146, 0.1146)*CHOOSE(CONTROL!$C$42, 121.5, 121.5)*CHOOSE(CONTROL!$C$42, 28, 28))/1000000</f>
        <v>0.38986920000000003</v>
      </c>
      <c r="X842" s="56">
        <f>(28*0.1790888*100000/1000000)+(28*0.2374*100000/1000000)</f>
        <v>1.16616864</v>
      </c>
      <c r="Y842" s="56"/>
      <c r="Z842" s="14"/>
      <c r="AA842" s="55"/>
      <c r="AB842" s="49">
        <f>(B842*122.58+C842*297.941+D842*89.177+E842*40.302+F842*40+G842*160+H842*0+I842*100+J842*300)/(122.58+297.941+89.177+40.302+0+40+160+100+300)</f>
        <v>81.475633414521738</v>
      </c>
      <c r="AC842" s="45">
        <f>(M842*'RAP TEMPLATE-GAS AVAILABILITY'!O841+N842*'RAP TEMPLATE-GAS AVAILABILITY'!P841+O842*'RAP TEMPLATE-GAS AVAILABILITY'!Q841+P842*'RAP TEMPLATE-GAS AVAILABILITY'!R841)/('RAP TEMPLATE-GAS AVAILABILITY'!O841+'RAP TEMPLATE-GAS AVAILABILITY'!P841+'RAP TEMPLATE-GAS AVAILABILITY'!Q841+'RAP TEMPLATE-GAS AVAILABILITY'!R841)</f>
        <v>80.070526618705031</v>
      </c>
    </row>
    <row r="843" spans="1:29" ht="15.75" x14ac:dyDescent="0.25">
      <c r="A843" s="32">
        <v>66566</v>
      </c>
      <c r="B843" s="14">
        <f>CHOOSE(CONTROL!$C$42, 79.1138, 79.1138) * CHOOSE(CONTROL!$C$21, $C$9, 100%, $E$9)</f>
        <v>79.113799999999998</v>
      </c>
      <c r="C843" s="14">
        <f>CHOOSE(CONTROL!$C$42, 79.1188, 79.1188) * CHOOSE(CONTROL!$C$21, $C$9, 100%, $E$9)</f>
        <v>79.118799999999993</v>
      </c>
      <c r="D843" s="14">
        <f>CHOOSE(CONTROL!$C$42, 79.2123, 79.2123) * CHOOSE(CONTROL!$C$21, $C$9, 100%, $E$9)</f>
        <v>79.212299999999999</v>
      </c>
      <c r="E843" s="14">
        <f>CHOOSE(CONTROL!$C$42, 79.2464, 79.2464) * CHOOSE(CONTROL!$C$21, $C$9, 100%, $E$9)</f>
        <v>79.246399999999994</v>
      </c>
      <c r="F843" s="14">
        <f>CHOOSE(CONTROL!$C$42, 79.1399, 79.1399)*CHOOSE(CONTROL!$C$21, $C$9, 100%, $E$9)</f>
        <v>79.139899999999997</v>
      </c>
      <c r="G843" s="14">
        <f>CHOOSE(CONTROL!$C$42, 79.1575, 79.1575)*CHOOSE(CONTROL!$C$21, $C$9, 100%, $E$9)</f>
        <v>79.157499999999999</v>
      </c>
      <c r="H843" s="14">
        <f>CHOOSE(CONTROL!$C$42, 79.2356, 79.2356) * CHOOSE(CONTROL!$C$21, $C$9, 100%, $E$9)</f>
        <v>79.235600000000005</v>
      </c>
      <c r="I843" s="14">
        <f>CHOOSE(CONTROL!$C$42, 79.3874, 79.3874)* CHOOSE(CONTROL!$C$21, $C$9, 100%, $E$9)</f>
        <v>79.3874</v>
      </c>
      <c r="J843" s="14">
        <f>CHOOSE(CONTROL!$C$42, 79.1329, 79.1329)* CHOOSE(CONTROL!$C$21, $C$9, 100%, $E$9)</f>
        <v>79.132900000000006</v>
      </c>
      <c r="K843" s="52">
        <f>CHOOSE(CONTROL!$C$42, 79.3836, 79.3836) * CHOOSE(CONTROL!$C$21, $C$9, 100%, $E$9)</f>
        <v>79.383600000000001</v>
      </c>
      <c r="L843" s="14">
        <f>CHOOSE(CONTROL!$C$42, 79.8226, 79.8226) * CHOOSE(CONTROL!$C$21, $C$9, 100%, $E$9)</f>
        <v>79.822599999999994</v>
      </c>
      <c r="M843" s="14">
        <f>CHOOSE(CONTROL!$C$42, 77.7172, 77.7172) * CHOOSE(CONTROL!$C$21, $C$9, 100%, $E$9)</f>
        <v>77.717200000000005</v>
      </c>
      <c r="N843" s="14">
        <f>CHOOSE(CONTROL!$C$42, 77.7345, 77.7345) * CHOOSE(CONTROL!$C$21, $C$9, 100%, $E$9)</f>
        <v>77.734499999999997</v>
      </c>
      <c r="O843" s="14">
        <f>CHOOSE(CONTROL!$C$42, 77.8181, 77.8181) * CHOOSE(CONTROL!$C$21, $C$9, 100%, $E$9)</f>
        <v>77.818100000000001</v>
      </c>
      <c r="P843" s="14">
        <f>CHOOSE(CONTROL!$C$42, 77.9629, 77.9629) * CHOOSE(CONTROL!$C$21, $C$9, 100%, $E$9)</f>
        <v>77.962900000000005</v>
      </c>
      <c r="Q843" s="14">
        <f>CHOOSE(CONTROL!$C$42, 78.4128, 78.4128) * CHOOSE(CONTROL!$C$21, $C$9, 100%, $E$9)</f>
        <v>78.412800000000004</v>
      </c>
      <c r="R843" s="14">
        <f>CHOOSE(CONTROL!$C$42, 79.1959, 79.1959) * CHOOSE(CONTROL!$C$21, $C$9, 100%, $E$9)</f>
        <v>79.195899999999995</v>
      </c>
      <c r="S843" s="14">
        <f>CHOOSE(CONTROL!$C$42, 76.0119, 76.0119) * CHOOSE(CONTROL!$C$21, $C$9, 100%, $E$9)</f>
        <v>76.011899999999997</v>
      </c>
      <c r="T84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43" s="56">
        <f>(1000*CHOOSE(CONTROL!$C$42, 695, 695)*CHOOSE(CONTROL!$C$42, 0.5599, 0.5599)*CHOOSE(CONTROL!$C$42, 31, 31))/1000000</f>
        <v>12.063045499999998</v>
      </c>
      <c r="V843" s="56">
        <f>(1000*CHOOSE(CONTROL!$C$42, 500, 500)*CHOOSE(CONTROL!$C$42, 0.275, 0.275)*CHOOSE(CONTROL!$C$42, 31, 31))/1000000</f>
        <v>4.2625000000000002</v>
      </c>
      <c r="W843" s="56">
        <f>(1000*CHOOSE(CONTROL!$C$42, 0.1146, 0.1146)*CHOOSE(CONTROL!$C$42, 121.5, 121.5)*CHOOSE(CONTROL!$C$42, 31, 31))/1000000</f>
        <v>0.43164089999999994</v>
      </c>
      <c r="X843" s="56">
        <f>(31*0.1790888*100000/1000000)+(31*0.2374*100000/1000000)</f>
        <v>1.2911152800000001</v>
      </c>
      <c r="Y843" s="56"/>
      <c r="Z843" s="14"/>
      <c r="AA843" s="55"/>
      <c r="AB843" s="49">
        <f>(B843*122.58+C843*297.941+D843*89.177+E843*40.302+F843*40+G843*160+H843*0+I843*100+J843*300)/(122.58+297.941+89.177+40.302+0+40+160+100+300)</f>
        <v>79.163142334521751</v>
      </c>
      <c r="AC843" s="45">
        <f>(M843*'RAP TEMPLATE-GAS AVAILABILITY'!O842+N843*'RAP TEMPLATE-GAS AVAILABILITY'!P842+O843*'RAP TEMPLATE-GAS AVAILABILITY'!Q842+P843*'RAP TEMPLATE-GAS AVAILABILITY'!R842)/('RAP TEMPLATE-GAS AVAILABILITY'!O842+'RAP TEMPLATE-GAS AVAILABILITY'!P842+'RAP TEMPLATE-GAS AVAILABILITY'!Q842+'RAP TEMPLATE-GAS AVAILABILITY'!R842)</f>
        <v>77.799279856115106</v>
      </c>
    </row>
    <row r="844" spans="1:29" ht="15.75" x14ac:dyDescent="0.25">
      <c r="A844" s="32">
        <v>66596</v>
      </c>
      <c r="B844" s="14">
        <f>CHOOSE(CONTROL!$C$42, 78.8779, 78.8779) * CHOOSE(CONTROL!$C$21, $C$9, 100%, $E$9)</f>
        <v>78.877899999999997</v>
      </c>
      <c r="C844" s="14">
        <f>CHOOSE(CONTROL!$C$42, 78.8824, 78.8824) * CHOOSE(CONTROL!$C$21, $C$9, 100%, $E$9)</f>
        <v>78.882400000000004</v>
      </c>
      <c r="D844" s="14">
        <f>CHOOSE(CONTROL!$C$42, 79.1447, 79.1447) * CHOOSE(CONTROL!$C$21, $C$9, 100%, $E$9)</f>
        <v>79.1447</v>
      </c>
      <c r="E844" s="14">
        <f>CHOOSE(CONTROL!$C$42, 79.1768, 79.1768) * CHOOSE(CONTROL!$C$21, $C$9, 100%, $E$9)</f>
        <v>79.1768</v>
      </c>
      <c r="F844" s="14">
        <f>CHOOSE(CONTROL!$C$42, 78.9008, 78.9008)*CHOOSE(CONTROL!$C$21, $C$9, 100%, $E$9)</f>
        <v>78.900800000000004</v>
      </c>
      <c r="G844" s="14">
        <f>CHOOSE(CONTROL!$C$42, 78.9175, 78.9175)*CHOOSE(CONTROL!$C$21, $C$9, 100%, $E$9)</f>
        <v>78.917500000000004</v>
      </c>
      <c r="H844" s="14">
        <f>CHOOSE(CONTROL!$C$42, 79.1665, 79.1665) * CHOOSE(CONTROL!$C$21, $C$9, 100%, $E$9)</f>
        <v>79.166499999999999</v>
      </c>
      <c r="I844" s="14">
        <f>CHOOSE(CONTROL!$C$42, 79.1475, 79.1475)* CHOOSE(CONTROL!$C$21, $C$9, 100%, $E$9)</f>
        <v>79.147499999999994</v>
      </c>
      <c r="J844" s="14">
        <f>CHOOSE(CONTROL!$C$42, 78.8938, 78.8938)* CHOOSE(CONTROL!$C$21, $C$9, 100%, $E$9)</f>
        <v>78.893799999999999</v>
      </c>
      <c r="K844" s="52">
        <f>CHOOSE(CONTROL!$C$42, 79.1436, 79.1436) * CHOOSE(CONTROL!$C$21, $C$9, 100%, $E$9)</f>
        <v>79.143600000000006</v>
      </c>
      <c r="L844" s="14">
        <f>CHOOSE(CONTROL!$C$42, 79.7535, 79.7535) * CHOOSE(CONTROL!$C$21, $C$9, 100%, $E$9)</f>
        <v>79.753500000000003</v>
      </c>
      <c r="M844" s="14">
        <f>CHOOSE(CONTROL!$C$42, 77.4824, 77.4824) * CHOOSE(CONTROL!$C$21, $C$9, 100%, $E$9)</f>
        <v>77.482399999999998</v>
      </c>
      <c r="N844" s="14">
        <f>CHOOSE(CONTROL!$C$42, 77.4988, 77.4988) * CHOOSE(CONTROL!$C$21, $C$9, 100%, $E$9)</f>
        <v>77.498800000000003</v>
      </c>
      <c r="O844" s="14">
        <f>CHOOSE(CONTROL!$C$42, 77.7503, 77.7503) * CHOOSE(CONTROL!$C$21, $C$9, 100%, $E$9)</f>
        <v>77.750299999999996</v>
      </c>
      <c r="P844" s="14">
        <f>CHOOSE(CONTROL!$C$42, 77.7273, 77.7273) * CHOOSE(CONTROL!$C$21, $C$9, 100%, $E$9)</f>
        <v>77.7273</v>
      </c>
      <c r="Q844" s="14">
        <f>CHOOSE(CONTROL!$C$42, 78.345, 78.345) * CHOOSE(CONTROL!$C$21, $C$9, 100%, $E$9)</f>
        <v>78.344999999999999</v>
      </c>
      <c r="R844" s="14">
        <f>CHOOSE(CONTROL!$C$42, 79.1279, 79.1279) * CHOOSE(CONTROL!$C$21, $C$9, 100%, $E$9)</f>
        <v>79.127899999999997</v>
      </c>
      <c r="S844" s="14">
        <f>CHOOSE(CONTROL!$C$42, 75.7845, 75.7845) * CHOOSE(CONTROL!$C$21, $C$9, 100%, $E$9)</f>
        <v>75.784499999999994</v>
      </c>
      <c r="T84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44" s="56">
        <f>(1000*CHOOSE(CONTROL!$C$42, 695, 695)*CHOOSE(CONTROL!$C$42, 0.5599, 0.5599)*CHOOSE(CONTROL!$C$42, 30, 30))/1000000</f>
        <v>11.673914999999997</v>
      </c>
      <c r="V844" s="56">
        <f>(1000*CHOOSE(CONTROL!$C$42, 500, 500)*CHOOSE(CONTROL!$C$42, 0.275, 0.275)*CHOOSE(CONTROL!$C$42, 30, 30))/1000000</f>
        <v>4.125</v>
      </c>
      <c r="W844" s="56">
        <f>(1000*CHOOSE(CONTROL!$C$42, 0.1146, 0.1146)*CHOOSE(CONTROL!$C$42, 121.5, 121.5)*CHOOSE(CONTROL!$C$42, 30, 30))/1000000</f>
        <v>0.417717</v>
      </c>
      <c r="X844" s="56">
        <f>(30*0.1790888*245000/1000000)+(30*0.2374*100000/1000000)</f>
        <v>2.0285026799999999</v>
      </c>
      <c r="Y844" s="56"/>
      <c r="Z844" s="14"/>
      <c r="AA844" s="55"/>
      <c r="AB844" s="49">
        <f>(B844*141.293+C844*267.993+D844*115.016+E844*89.698+F844*40+G844*185+H844*0+I844*100+J844*300)/(141.293+267.993+115.016+89.698+0+40+185+100+300)</f>
        <v>78.95754081476997</v>
      </c>
      <c r="AC844" s="45">
        <f>(M844*'RAP TEMPLATE-GAS AVAILABILITY'!O843+N844*'RAP TEMPLATE-GAS AVAILABILITY'!P843+O844*'RAP TEMPLATE-GAS AVAILABILITY'!Q843+P844*'RAP TEMPLATE-GAS AVAILABILITY'!R843)/('RAP TEMPLATE-GAS AVAILABILITY'!O843+'RAP TEMPLATE-GAS AVAILABILITY'!P843+'RAP TEMPLATE-GAS AVAILABILITY'!Q843+'RAP TEMPLATE-GAS AVAILABILITY'!R843)</f>
        <v>77.640003597122288</v>
      </c>
    </row>
    <row r="845" spans="1:29" ht="15.75" x14ac:dyDescent="0.25">
      <c r="A845" s="32">
        <v>66627</v>
      </c>
      <c r="B845" s="14">
        <f>CHOOSE(CONTROL!$C$42, 79.5754, 79.5754) * CHOOSE(CONTROL!$C$21, $C$9, 100%, $E$9)</f>
        <v>79.575400000000002</v>
      </c>
      <c r="C845" s="14">
        <f>CHOOSE(CONTROL!$C$42, 79.5835, 79.5835) * CHOOSE(CONTROL!$C$21, $C$9, 100%, $E$9)</f>
        <v>79.583500000000001</v>
      </c>
      <c r="D845" s="14">
        <f>CHOOSE(CONTROL!$C$42, 79.8425, 79.8425) * CHOOSE(CONTROL!$C$21, $C$9, 100%, $E$9)</f>
        <v>79.842500000000001</v>
      </c>
      <c r="E845" s="14">
        <f>CHOOSE(CONTROL!$C$42, 79.874, 79.874) * CHOOSE(CONTROL!$C$21, $C$9, 100%, $E$9)</f>
        <v>79.873999999999995</v>
      </c>
      <c r="F845" s="14">
        <f>CHOOSE(CONTROL!$C$42, 79.597, 79.597)*CHOOSE(CONTROL!$C$21, $C$9, 100%, $E$9)</f>
        <v>79.596999999999994</v>
      </c>
      <c r="G845" s="14">
        <f>CHOOSE(CONTROL!$C$42, 79.6139, 79.6139)*CHOOSE(CONTROL!$C$21, $C$9, 100%, $E$9)</f>
        <v>79.613900000000001</v>
      </c>
      <c r="H845" s="14">
        <f>CHOOSE(CONTROL!$C$42, 79.8626, 79.8626) * CHOOSE(CONTROL!$C$21, $C$9, 100%, $E$9)</f>
        <v>79.8626</v>
      </c>
      <c r="I845" s="14">
        <f>CHOOSE(CONTROL!$C$42, 79.8457, 79.8457)* CHOOSE(CONTROL!$C$21, $C$9, 100%, $E$9)</f>
        <v>79.845699999999994</v>
      </c>
      <c r="J845" s="14">
        <f>CHOOSE(CONTROL!$C$42, 79.59, 79.59)* CHOOSE(CONTROL!$C$21, $C$9, 100%, $E$9)</f>
        <v>79.59</v>
      </c>
      <c r="K845" s="52">
        <f>CHOOSE(CONTROL!$C$42, 79.8419, 79.8419) * CHOOSE(CONTROL!$C$21, $C$9, 100%, $E$9)</f>
        <v>79.841899999999995</v>
      </c>
      <c r="L845" s="14">
        <f>CHOOSE(CONTROL!$C$42, 80.4496, 80.4496) * CHOOSE(CONTROL!$C$21, $C$9, 100%, $E$9)</f>
        <v>80.449600000000004</v>
      </c>
      <c r="M845" s="14">
        <f>CHOOSE(CONTROL!$C$42, 78.1661, 78.1661) * CHOOSE(CONTROL!$C$21, $C$9, 100%, $E$9)</f>
        <v>78.1661</v>
      </c>
      <c r="N845" s="14">
        <f>CHOOSE(CONTROL!$C$42, 78.1827, 78.1827) * CHOOSE(CONTROL!$C$21, $C$9, 100%, $E$9)</f>
        <v>78.182699999999997</v>
      </c>
      <c r="O845" s="14">
        <f>CHOOSE(CONTROL!$C$42, 78.4339, 78.4339) * CHOOSE(CONTROL!$C$21, $C$9, 100%, $E$9)</f>
        <v>78.433899999999994</v>
      </c>
      <c r="P845" s="14">
        <f>CHOOSE(CONTROL!$C$42, 78.4129, 78.4129) * CHOOSE(CONTROL!$C$21, $C$9, 100%, $E$9)</f>
        <v>78.412899999999993</v>
      </c>
      <c r="Q845" s="14">
        <f>CHOOSE(CONTROL!$C$42, 79.0286, 79.0286) * CHOOSE(CONTROL!$C$21, $C$9, 100%, $E$9)</f>
        <v>79.028599999999997</v>
      </c>
      <c r="R845" s="14">
        <f>CHOOSE(CONTROL!$C$42, 79.8131, 79.8131) * CHOOSE(CONTROL!$C$21, $C$9, 100%, $E$9)</f>
        <v>79.813100000000006</v>
      </c>
      <c r="S845" s="14">
        <f>CHOOSE(CONTROL!$C$42, 76.4534, 76.4534) * CHOOSE(CONTROL!$C$21, $C$9, 100%, $E$9)</f>
        <v>76.453400000000002</v>
      </c>
      <c r="T84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45" s="56">
        <f>(1000*CHOOSE(CONTROL!$C$42, 695, 695)*CHOOSE(CONTROL!$C$42, 0.5599, 0.5599)*CHOOSE(CONTROL!$C$42, 31, 31))/1000000</f>
        <v>12.063045499999998</v>
      </c>
      <c r="V845" s="56">
        <f>(1000*CHOOSE(CONTROL!$C$42, 500, 500)*CHOOSE(CONTROL!$C$42, 0.275, 0.275)*CHOOSE(CONTROL!$C$42, 31, 31))/1000000</f>
        <v>4.2625000000000002</v>
      </c>
      <c r="W845" s="56">
        <f>(1000*CHOOSE(CONTROL!$C$42, 0.1146, 0.1146)*CHOOSE(CONTROL!$C$42, 121.5, 121.5)*CHOOSE(CONTROL!$C$42, 31, 31))/1000000</f>
        <v>0.43164089999999994</v>
      </c>
      <c r="X845" s="56">
        <f>(31*0.1790888*245000/1000000)+(31*0.2374*100000/1000000)</f>
        <v>2.0961194359999999</v>
      </c>
      <c r="Y845" s="56"/>
      <c r="Z845" s="14"/>
      <c r="AA845" s="55"/>
      <c r="AB845" s="49">
        <f>(B845*194.205+C845*267.466+D845*133.845+E845*53.484+F845*40+G845*185+H845*0+I845*100+J845*300)/(194.205+267.466+133.845+53.484+0+40+185+100+300)</f>
        <v>79.648620797880682</v>
      </c>
      <c r="AC845" s="45">
        <f>(M845*'RAP TEMPLATE-GAS AVAILABILITY'!O844+N845*'RAP TEMPLATE-GAS AVAILABILITY'!P844+O845*'RAP TEMPLATE-GAS AVAILABILITY'!Q844+P845*'RAP TEMPLATE-GAS AVAILABILITY'!R844)/('RAP TEMPLATE-GAS AVAILABILITY'!O844+'RAP TEMPLATE-GAS AVAILABILITY'!P844+'RAP TEMPLATE-GAS AVAILABILITY'!Q844+'RAP TEMPLATE-GAS AVAILABILITY'!R844)</f>
        <v>78.323943165467625</v>
      </c>
    </row>
    <row r="846" spans="1:29" ht="15.75" x14ac:dyDescent="0.25">
      <c r="A846" s="32">
        <v>66657</v>
      </c>
      <c r="B846" s="14">
        <f>CHOOSE(CONTROL!$C$42, 81.8324, 81.8324) * CHOOSE(CONTROL!$C$21, $C$9, 100%, $E$9)</f>
        <v>81.832400000000007</v>
      </c>
      <c r="C846" s="14">
        <f>CHOOSE(CONTROL!$C$42, 81.8404, 81.8404) * CHOOSE(CONTROL!$C$21, $C$9, 100%, $E$9)</f>
        <v>81.840400000000002</v>
      </c>
      <c r="D846" s="14">
        <f>CHOOSE(CONTROL!$C$42, 82.0995, 82.0995) * CHOOSE(CONTROL!$C$21, $C$9, 100%, $E$9)</f>
        <v>82.099500000000006</v>
      </c>
      <c r="E846" s="14">
        <f>CHOOSE(CONTROL!$C$42, 82.1309, 82.1309) * CHOOSE(CONTROL!$C$21, $C$9, 100%, $E$9)</f>
        <v>82.130899999999997</v>
      </c>
      <c r="F846" s="14">
        <f>CHOOSE(CONTROL!$C$42, 81.8541, 81.8541)*CHOOSE(CONTROL!$C$21, $C$9, 100%, $E$9)</f>
        <v>81.854100000000003</v>
      </c>
      <c r="G846" s="14">
        <f>CHOOSE(CONTROL!$C$42, 81.8712, 81.8712)*CHOOSE(CONTROL!$C$21, $C$9, 100%, $E$9)</f>
        <v>81.871200000000002</v>
      </c>
      <c r="H846" s="14">
        <f>CHOOSE(CONTROL!$C$42, 82.1196, 82.1196) * CHOOSE(CONTROL!$C$21, $C$9, 100%, $E$9)</f>
        <v>82.119600000000005</v>
      </c>
      <c r="I846" s="14">
        <f>CHOOSE(CONTROL!$C$42, 82.1097, 82.1097)* CHOOSE(CONTROL!$C$21, $C$9, 100%, $E$9)</f>
        <v>82.109700000000004</v>
      </c>
      <c r="J846" s="14">
        <f>CHOOSE(CONTROL!$C$42, 81.8471, 81.8471)* CHOOSE(CONTROL!$C$21, $C$9, 100%, $E$9)</f>
        <v>81.847099999999998</v>
      </c>
      <c r="K846" s="52">
        <f>CHOOSE(CONTROL!$C$42, 82.1059, 82.1059) * CHOOSE(CONTROL!$C$21, $C$9, 100%, $E$9)</f>
        <v>82.105900000000005</v>
      </c>
      <c r="L846" s="14">
        <f>CHOOSE(CONTROL!$C$42, 82.7066, 82.7066) * CHOOSE(CONTROL!$C$21, $C$9, 100%, $E$9)</f>
        <v>82.706599999999995</v>
      </c>
      <c r="M846" s="14">
        <f>CHOOSE(CONTROL!$C$42, 80.3827, 80.3827) * CHOOSE(CONTROL!$C$21, $C$9, 100%, $E$9)</f>
        <v>80.3827</v>
      </c>
      <c r="N846" s="14">
        <f>CHOOSE(CONTROL!$C$42, 80.3994, 80.3994) * CHOOSE(CONTROL!$C$21, $C$9, 100%, $E$9)</f>
        <v>80.3994</v>
      </c>
      <c r="O846" s="14">
        <f>CHOOSE(CONTROL!$C$42, 80.6502, 80.6502) * CHOOSE(CONTROL!$C$21, $C$9, 100%, $E$9)</f>
        <v>80.650199999999998</v>
      </c>
      <c r="P846" s="14">
        <f>CHOOSE(CONTROL!$C$42, 80.6361, 80.6361) * CHOOSE(CONTROL!$C$21, $C$9, 100%, $E$9)</f>
        <v>80.636099999999999</v>
      </c>
      <c r="Q846" s="14">
        <f>CHOOSE(CONTROL!$C$42, 81.2449, 81.2449) * CHOOSE(CONTROL!$C$21, $C$9, 100%, $E$9)</f>
        <v>81.244900000000001</v>
      </c>
      <c r="R846" s="14">
        <f>CHOOSE(CONTROL!$C$42, 82.035, 82.035) * CHOOSE(CONTROL!$C$21, $C$9, 100%, $E$9)</f>
        <v>82.034999999999997</v>
      </c>
      <c r="S846" s="14">
        <f>CHOOSE(CONTROL!$C$42, 78.6221, 78.6221) * CHOOSE(CONTROL!$C$21, $C$9, 100%, $E$9)</f>
        <v>78.622100000000003</v>
      </c>
      <c r="T84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846" s="56">
        <f>(1000*CHOOSE(CONTROL!$C$42, 695, 695)*CHOOSE(CONTROL!$C$42, 0.5599, 0.5599)*CHOOSE(CONTROL!$C$42, 30, 30))/1000000</f>
        <v>11.673914999999997</v>
      </c>
      <c r="V846" s="56">
        <f>(1000*CHOOSE(CONTROL!$C$42, 500, 500)*CHOOSE(CONTROL!$C$42, 0.275, 0.275)*CHOOSE(CONTROL!$C$42, 30, 30))/1000000</f>
        <v>4.125</v>
      </c>
      <c r="W846" s="56">
        <f>(1000*CHOOSE(CONTROL!$C$42, 0.1146, 0.1146)*CHOOSE(CONTROL!$C$42, 121.5, 121.5)*CHOOSE(CONTROL!$C$42, 30, 30))/1000000</f>
        <v>0.417717</v>
      </c>
      <c r="X846" s="56">
        <f>(30*0.1790888*245000/1000000)+(30*0.2374*100000/1000000)</f>
        <v>2.0285026799999999</v>
      </c>
      <c r="Y846" s="56"/>
      <c r="Z846" s="14"/>
      <c r="AA846" s="55"/>
      <c r="AB846" s="49">
        <f>(B846*194.205+C846*267.466+D846*133.845+E846*53.484+F846*40+G846*185+H846*0+I846*100+J846*300)/(194.205+267.466+133.845+53.484+0+40+185+100+300)</f>
        <v>81.906215307299846</v>
      </c>
      <c r="AC846" s="45">
        <f>(M846*'RAP TEMPLATE-GAS AVAILABILITY'!O845+N846*'RAP TEMPLATE-GAS AVAILABILITY'!P845+O846*'RAP TEMPLATE-GAS AVAILABILITY'!Q845+P846*'RAP TEMPLATE-GAS AVAILABILITY'!R845)/('RAP TEMPLATE-GAS AVAILABILITY'!O845+'RAP TEMPLATE-GAS AVAILABILITY'!P845+'RAP TEMPLATE-GAS AVAILABILITY'!Q845+'RAP TEMPLATE-GAS AVAILABILITY'!R845)</f>
        <v>80.541362589928056</v>
      </c>
    </row>
    <row r="847" spans="1:29" ht="15.75" x14ac:dyDescent="0.25">
      <c r="A847" s="32">
        <v>66688</v>
      </c>
      <c r="B847" s="14">
        <f>CHOOSE(CONTROL!$C$42, 80.2627, 80.2627) * CHOOSE(CONTROL!$C$21, $C$9, 100%, $E$9)</f>
        <v>80.262699999999995</v>
      </c>
      <c r="C847" s="14">
        <f>CHOOSE(CONTROL!$C$42, 80.2707, 80.2707) * CHOOSE(CONTROL!$C$21, $C$9, 100%, $E$9)</f>
        <v>80.270700000000005</v>
      </c>
      <c r="D847" s="14">
        <f>CHOOSE(CONTROL!$C$42, 80.5298, 80.5298) * CHOOSE(CONTROL!$C$21, $C$9, 100%, $E$9)</f>
        <v>80.529799999999994</v>
      </c>
      <c r="E847" s="14">
        <f>CHOOSE(CONTROL!$C$42, 80.5612, 80.5612) * CHOOSE(CONTROL!$C$21, $C$9, 100%, $E$9)</f>
        <v>80.561199999999999</v>
      </c>
      <c r="F847" s="14">
        <f>CHOOSE(CONTROL!$C$42, 80.2849, 80.2849)*CHOOSE(CONTROL!$C$21, $C$9, 100%, $E$9)</f>
        <v>80.284899999999993</v>
      </c>
      <c r="G847" s="14">
        <f>CHOOSE(CONTROL!$C$42, 80.302, 80.302)*CHOOSE(CONTROL!$C$21, $C$9, 100%, $E$9)</f>
        <v>80.302000000000007</v>
      </c>
      <c r="H847" s="14">
        <f>CHOOSE(CONTROL!$C$42, 80.5499, 80.5499) * CHOOSE(CONTROL!$C$21, $C$9, 100%, $E$9)</f>
        <v>80.549899999999994</v>
      </c>
      <c r="I847" s="14">
        <f>CHOOSE(CONTROL!$C$42, 80.5351, 80.5351)* CHOOSE(CONTROL!$C$21, $C$9, 100%, $E$9)</f>
        <v>80.5351</v>
      </c>
      <c r="J847" s="14">
        <f>CHOOSE(CONTROL!$C$42, 80.2779, 80.2779)* CHOOSE(CONTROL!$C$21, $C$9, 100%, $E$9)</f>
        <v>80.277900000000002</v>
      </c>
      <c r="K847" s="52">
        <f>CHOOSE(CONTROL!$C$42, 80.5312, 80.5312) * CHOOSE(CONTROL!$C$21, $C$9, 100%, $E$9)</f>
        <v>80.531199999999998</v>
      </c>
      <c r="L847" s="14">
        <f>CHOOSE(CONTROL!$C$42, 81.1369, 81.1369) * CHOOSE(CONTROL!$C$21, $C$9, 100%, $E$9)</f>
        <v>81.136899999999997</v>
      </c>
      <c r="M847" s="14">
        <f>CHOOSE(CONTROL!$C$42, 78.8416, 78.8416) * CHOOSE(CONTROL!$C$21, $C$9, 100%, $E$9)</f>
        <v>78.8416</v>
      </c>
      <c r="N847" s="14">
        <f>CHOOSE(CONTROL!$C$42, 78.8585, 78.8585) * CHOOSE(CONTROL!$C$21, $C$9, 100%, $E$9)</f>
        <v>78.858500000000006</v>
      </c>
      <c r="O847" s="14">
        <f>CHOOSE(CONTROL!$C$42, 79.1087, 79.1087) * CHOOSE(CONTROL!$C$21, $C$9, 100%, $E$9)</f>
        <v>79.108699999999999</v>
      </c>
      <c r="P847" s="14">
        <f>CHOOSE(CONTROL!$C$42, 79.0899, 79.0899) * CHOOSE(CONTROL!$C$21, $C$9, 100%, $E$9)</f>
        <v>79.0899</v>
      </c>
      <c r="Q847" s="14">
        <f>CHOOSE(CONTROL!$C$42, 79.7034, 79.7034) * CHOOSE(CONTROL!$C$21, $C$9, 100%, $E$9)</f>
        <v>79.703400000000002</v>
      </c>
      <c r="R847" s="14">
        <f>CHOOSE(CONTROL!$C$42, 80.4897, 80.4897) * CHOOSE(CONTROL!$C$21, $C$9, 100%, $E$9)</f>
        <v>80.489699999999999</v>
      </c>
      <c r="S847" s="14">
        <f>CHOOSE(CONTROL!$C$42, 77.1137, 77.1137) * CHOOSE(CONTROL!$C$21, $C$9, 100%, $E$9)</f>
        <v>77.113699999999994</v>
      </c>
      <c r="T84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847" s="56">
        <f>(1000*CHOOSE(CONTROL!$C$42, 695, 695)*CHOOSE(CONTROL!$C$42, 0.5599, 0.5599)*CHOOSE(CONTROL!$C$42, 31, 31))/1000000</f>
        <v>12.063045499999998</v>
      </c>
      <c r="V847" s="56">
        <f>(1000*CHOOSE(CONTROL!$C$42, 500, 500)*CHOOSE(CONTROL!$C$42, 0.275, 0.275)*CHOOSE(CONTROL!$C$42, 31, 31))/1000000</f>
        <v>4.2625000000000002</v>
      </c>
      <c r="W847" s="56">
        <f>(1000*CHOOSE(CONTROL!$C$42, 0.1146, 0.1146)*CHOOSE(CONTROL!$C$42, 121.5, 121.5)*CHOOSE(CONTROL!$C$42, 31, 31))/1000000</f>
        <v>0.43164089999999994</v>
      </c>
      <c r="X847" s="56">
        <f>(31*0.1790888*245000/1000000)+(31*0.2374*100000/1000000)</f>
        <v>2.0961194359999999</v>
      </c>
      <c r="Y847" s="56"/>
      <c r="Z847" s="14"/>
      <c r="AA847" s="55"/>
      <c r="AB847" s="49">
        <f>(B847*194.205+C847*267.466+D847*133.845+E847*53.484+F847*40+G847*185+H847*0+I847*100+J847*300)/(194.205+267.466+133.845+53.484+0+40+185+100+300)</f>
        <v>80.336336735871271</v>
      </c>
      <c r="AC847" s="45">
        <f>(M847*'RAP TEMPLATE-GAS AVAILABILITY'!O846+N847*'RAP TEMPLATE-GAS AVAILABILITY'!P846+O847*'RAP TEMPLATE-GAS AVAILABILITY'!Q846+P847*'RAP TEMPLATE-GAS AVAILABILITY'!R846)/('RAP TEMPLATE-GAS AVAILABILITY'!O846+'RAP TEMPLATE-GAS AVAILABILITY'!P846+'RAP TEMPLATE-GAS AVAILABILITY'!Q846+'RAP TEMPLATE-GAS AVAILABILITY'!R846)</f>
        <v>78.999358992805753</v>
      </c>
    </row>
    <row r="848" spans="1:29" ht="15.75" x14ac:dyDescent="0.25">
      <c r="A848" s="32">
        <v>66719</v>
      </c>
      <c r="B848" s="14">
        <f>CHOOSE(CONTROL!$C$42, 76.2986, 76.2986) * CHOOSE(CONTROL!$C$21, $C$9, 100%, $E$9)</f>
        <v>76.298599999999993</v>
      </c>
      <c r="C848" s="14">
        <f>CHOOSE(CONTROL!$C$42, 76.3067, 76.3067) * CHOOSE(CONTROL!$C$21, $C$9, 100%, $E$9)</f>
        <v>76.306700000000006</v>
      </c>
      <c r="D848" s="14">
        <f>CHOOSE(CONTROL!$C$42, 76.5658, 76.5658) * CHOOSE(CONTROL!$C$21, $C$9, 100%, $E$9)</f>
        <v>76.565799999999996</v>
      </c>
      <c r="E848" s="14">
        <f>CHOOSE(CONTROL!$C$42, 76.5972, 76.5972) * CHOOSE(CONTROL!$C$21, $C$9, 100%, $E$9)</f>
        <v>76.597200000000001</v>
      </c>
      <c r="F848" s="14">
        <f>CHOOSE(CONTROL!$C$42, 76.321, 76.321)*CHOOSE(CONTROL!$C$21, $C$9, 100%, $E$9)</f>
        <v>76.320999999999998</v>
      </c>
      <c r="G848" s="14">
        <f>CHOOSE(CONTROL!$C$42, 76.3383, 76.3383)*CHOOSE(CONTROL!$C$21, $C$9, 100%, $E$9)</f>
        <v>76.338300000000004</v>
      </c>
      <c r="H848" s="14">
        <f>CHOOSE(CONTROL!$C$42, 76.5859, 76.5859) * CHOOSE(CONTROL!$C$21, $C$9, 100%, $E$9)</f>
        <v>76.585899999999995</v>
      </c>
      <c r="I848" s="14">
        <f>CHOOSE(CONTROL!$C$42, 76.5587, 76.5587)* CHOOSE(CONTROL!$C$21, $C$9, 100%, $E$9)</f>
        <v>76.558700000000002</v>
      </c>
      <c r="J848" s="14">
        <f>CHOOSE(CONTROL!$C$42, 76.314, 76.314)* CHOOSE(CONTROL!$C$21, $C$9, 100%, $E$9)</f>
        <v>76.313999999999993</v>
      </c>
      <c r="K848" s="52">
        <f>CHOOSE(CONTROL!$C$42, 76.5548, 76.5548) * CHOOSE(CONTROL!$C$21, $C$9, 100%, $E$9)</f>
        <v>76.5548</v>
      </c>
      <c r="L848" s="14">
        <f>CHOOSE(CONTROL!$C$42, 77.1729, 77.1729) * CHOOSE(CONTROL!$C$21, $C$9, 100%, $E$9)</f>
        <v>77.172899999999998</v>
      </c>
      <c r="M848" s="14">
        <f>CHOOSE(CONTROL!$C$42, 74.9491, 74.9491) * CHOOSE(CONTROL!$C$21, $C$9, 100%, $E$9)</f>
        <v>74.949100000000001</v>
      </c>
      <c r="N848" s="14">
        <f>CHOOSE(CONTROL!$C$42, 74.966, 74.966) * CHOOSE(CONTROL!$C$21, $C$9, 100%, $E$9)</f>
        <v>74.965999999999994</v>
      </c>
      <c r="O848" s="14">
        <f>CHOOSE(CONTROL!$C$42, 75.216, 75.216) * CHOOSE(CONTROL!$C$21, $C$9, 100%, $E$9)</f>
        <v>75.215999999999994</v>
      </c>
      <c r="P848" s="14">
        <f>CHOOSE(CONTROL!$C$42, 75.1852, 75.1852) * CHOOSE(CONTROL!$C$21, $C$9, 100%, $E$9)</f>
        <v>75.185199999999995</v>
      </c>
      <c r="Q848" s="14">
        <f>CHOOSE(CONTROL!$C$42, 75.8107, 75.8107) * CHOOSE(CONTROL!$C$21, $C$9, 100%, $E$9)</f>
        <v>75.810699999999997</v>
      </c>
      <c r="R848" s="14">
        <f>CHOOSE(CONTROL!$C$42, 76.5872, 76.5872) * CHOOSE(CONTROL!$C$21, $C$9, 100%, $E$9)</f>
        <v>76.587199999999996</v>
      </c>
      <c r="S848" s="14">
        <f>CHOOSE(CONTROL!$C$42, 73.3047, 73.3047) * CHOOSE(CONTROL!$C$21, $C$9, 100%, $E$9)</f>
        <v>73.304699999999997</v>
      </c>
      <c r="T84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48" s="56">
        <f>(1000*CHOOSE(CONTROL!$C$42, 695, 695)*CHOOSE(CONTROL!$C$42, 0.5599, 0.5599)*CHOOSE(CONTROL!$C$42, 31, 31))/1000000</f>
        <v>12.063045499999998</v>
      </c>
      <c r="V848" s="56">
        <f>(1000*CHOOSE(CONTROL!$C$42, 500, 500)*CHOOSE(CONTROL!$C$42, 0.275, 0.275)*CHOOSE(CONTROL!$C$42, 31, 31))/1000000</f>
        <v>4.2625000000000002</v>
      </c>
      <c r="W848" s="56">
        <f>(1000*CHOOSE(CONTROL!$C$42, 0.1146, 0.1146)*CHOOSE(CONTROL!$C$42, 121.5, 121.5)*CHOOSE(CONTROL!$C$42, 31, 31))/1000000</f>
        <v>0.43164089999999994</v>
      </c>
      <c r="X848" s="56">
        <f>(31*0.1790888*245000/1000000)+(31*0.2374*100000/1000000)</f>
        <v>2.0961194359999999</v>
      </c>
      <c r="Y848" s="56"/>
      <c r="Z848" s="14"/>
      <c r="AA848" s="55"/>
      <c r="AB848" s="49">
        <f>(B848*194.205+C848*267.466+D848*133.845+E848*53.484+F848*40+G848*185+H848*0+I848*100+J848*300)/(194.205+267.466+133.845+53.484+0+40+185+100+300)</f>
        <v>76.371418430926212</v>
      </c>
      <c r="AC848" s="45">
        <f>(M848*'RAP TEMPLATE-GAS AVAILABILITY'!O847+N848*'RAP TEMPLATE-GAS AVAILABILITY'!P847+O848*'RAP TEMPLATE-GAS AVAILABILITY'!Q847+P848*'RAP TEMPLATE-GAS AVAILABILITY'!R847)/('RAP TEMPLATE-GAS AVAILABILITY'!O847+'RAP TEMPLATE-GAS AVAILABILITY'!P847+'RAP TEMPLATE-GAS AVAILABILITY'!Q847+'RAP TEMPLATE-GAS AVAILABILITY'!R847)</f>
        <v>75.105012949640269</v>
      </c>
    </row>
    <row r="849" spans="1:29" ht="15.75" x14ac:dyDescent="0.25">
      <c r="A849" s="32">
        <v>66749</v>
      </c>
      <c r="B849" s="14">
        <f>CHOOSE(CONTROL!$C$42, 71.4551, 71.4551) * CHOOSE(CONTROL!$C$21, $C$9, 100%, $E$9)</f>
        <v>71.455100000000002</v>
      </c>
      <c r="C849" s="14">
        <f>CHOOSE(CONTROL!$C$42, 71.4632, 71.4632) * CHOOSE(CONTROL!$C$21, $C$9, 100%, $E$9)</f>
        <v>71.463200000000001</v>
      </c>
      <c r="D849" s="14">
        <f>CHOOSE(CONTROL!$C$42, 71.7222, 71.7222) * CHOOSE(CONTROL!$C$21, $C$9, 100%, $E$9)</f>
        <v>71.722200000000001</v>
      </c>
      <c r="E849" s="14">
        <f>CHOOSE(CONTROL!$C$42, 71.7537, 71.7537) * CHOOSE(CONTROL!$C$21, $C$9, 100%, $E$9)</f>
        <v>71.753699999999995</v>
      </c>
      <c r="F849" s="14">
        <f>CHOOSE(CONTROL!$C$42, 71.4776, 71.4776)*CHOOSE(CONTROL!$C$21, $C$9, 100%, $E$9)</f>
        <v>71.477599999999995</v>
      </c>
      <c r="G849" s="14">
        <f>CHOOSE(CONTROL!$C$42, 71.4948, 71.4948)*CHOOSE(CONTROL!$C$21, $C$9, 100%, $E$9)</f>
        <v>71.494799999999998</v>
      </c>
      <c r="H849" s="14">
        <f>CHOOSE(CONTROL!$C$42, 71.7423, 71.7423) * CHOOSE(CONTROL!$C$21, $C$9, 100%, $E$9)</f>
        <v>71.7423</v>
      </c>
      <c r="I849" s="14">
        <f>CHOOSE(CONTROL!$C$42, 71.7, 71.7)* CHOOSE(CONTROL!$C$21, $C$9, 100%, $E$9)</f>
        <v>71.7</v>
      </c>
      <c r="J849" s="14">
        <f>CHOOSE(CONTROL!$C$42, 71.4706, 71.4706)* CHOOSE(CONTROL!$C$21, $C$9, 100%, $E$9)</f>
        <v>71.470600000000005</v>
      </c>
      <c r="K849" s="52">
        <f>CHOOSE(CONTROL!$C$42, 71.6961, 71.6961) * CHOOSE(CONTROL!$C$21, $C$9, 100%, $E$9)</f>
        <v>71.696100000000001</v>
      </c>
      <c r="L849" s="14">
        <f>CHOOSE(CONTROL!$C$42, 72.3293, 72.3293) * CHOOSE(CONTROL!$C$21, $C$9, 100%, $E$9)</f>
        <v>72.329300000000003</v>
      </c>
      <c r="M849" s="14">
        <f>CHOOSE(CONTROL!$C$42, 70.1928, 70.1928) * CHOOSE(CONTROL!$C$21, $C$9, 100%, $E$9)</f>
        <v>70.192800000000005</v>
      </c>
      <c r="N849" s="14">
        <f>CHOOSE(CONTROL!$C$42, 70.2097, 70.2097) * CHOOSE(CONTROL!$C$21, $C$9, 100%, $E$9)</f>
        <v>70.209699999999998</v>
      </c>
      <c r="O849" s="14">
        <f>CHOOSE(CONTROL!$C$42, 70.4596, 70.4596) * CHOOSE(CONTROL!$C$21, $C$9, 100%, $E$9)</f>
        <v>70.459599999999995</v>
      </c>
      <c r="P849" s="14">
        <f>CHOOSE(CONTROL!$C$42, 70.4142, 70.4142) * CHOOSE(CONTROL!$C$21, $C$9, 100%, $E$9)</f>
        <v>70.414199999999994</v>
      </c>
      <c r="Q849" s="14">
        <f>CHOOSE(CONTROL!$C$42, 71.0543, 71.0543) * CHOOSE(CONTROL!$C$21, $C$9, 100%, $E$9)</f>
        <v>71.054299999999998</v>
      </c>
      <c r="R849" s="14">
        <f>CHOOSE(CONTROL!$C$42, 71.819, 71.819) * CHOOSE(CONTROL!$C$21, $C$9, 100%, $E$9)</f>
        <v>71.819000000000003</v>
      </c>
      <c r="S849" s="14">
        <f>CHOOSE(CONTROL!$C$42, 68.6506, 68.6506) * CHOOSE(CONTROL!$C$21, $C$9, 100%, $E$9)</f>
        <v>68.650599999999997</v>
      </c>
      <c r="T84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49" s="56">
        <f>(1000*CHOOSE(CONTROL!$C$42, 695, 695)*CHOOSE(CONTROL!$C$42, 0.5599, 0.5599)*CHOOSE(CONTROL!$C$42, 30, 30))/1000000</f>
        <v>11.673914999999997</v>
      </c>
      <c r="V849" s="56">
        <f>(1000*CHOOSE(CONTROL!$C$42, 500, 500)*CHOOSE(CONTROL!$C$42, 0.275, 0.275)*CHOOSE(CONTROL!$C$42, 30, 30))/1000000</f>
        <v>4.125</v>
      </c>
      <c r="W849" s="56">
        <f>(1000*CHOOSE(CONTROL!$C$42, 0.1146, 0.1146)*CHOOSE(CONTROL!$C$42, 121.5, 121.5)*CHOOSE(CONTROL!$C$42, 30, 30))/1000000</f>
        <v>0.417717</v>
      </c>
      <c r="X849" s="56">
        <f>(30*0.1790888*245000/1000000)+(30*0.2374*100000/1000000)</f>
        <v>2.0285026799999999</v>
      </c>
      <c r="Y849" s="56"/>
      <c r="Z849" s="14"/>
      <c r="AA849" s="55"/>
      <c r="AB849" s="49">
        <f>(B849*194.205+C849*267.466+D849*133.845+E849*53.484+F849*40+G849*185+H849*0+I849*100+J849*300)/(194.205+267.466+133.845+53.484+0+40+185+100+300)</f>
        <v>71.526741520015705</v>
      </c>
      <c r="AC849" s="45">
        <f>(M849*'RAP TEMPLATE-GAS AVAILABILITY'!O848+N849*'RAP TEMPLATE-GAS AVAILABILITY'!P848+O849*'RAP TEMPLATE-GAS AVAILABILITY'!Q848+P849*'RAP TEMPLATE-GAS AVAILABILITY'!R848)/('RAP TEMPLATE-GAS AVAILABILITY'!O848+'RAP TEMPLATE-GAS AVAILABILITY'!P848+'RAP TEMPLATE-GAS AVAILABILITY'!Q848+'RAP TEMPLATE-GAS AVAILABILITY'!R848)</f>
        <v>70.3465525179856</v>
      </c>
    </row>
    <row r="850" spans="1:29" ht="15.75" x14ac:dyDescent="0.25">
      <c r="A850" s="32">
        <v>66780</v>
      </c>
      <c r="B850" s="14">
        <f>CHOOSE(CONTROL!$C$42, 70.0028, 70.0028) * CHOOSE(CONTROL!$C$21, $C$9, 100%, $E$9)</f>
        <v>70.002799999999993</v>
      </c>
      <c r="C850" s="14">
        <f>CHOOSE(CONTROL!$C$42, 70.0081, 70.0081) * CHOOSE(CONTROL!$C$21, $C$9, 100%, $E$9)</f>
        <v>70.008099999999999</v>
      </c>
      <c r="D850" s="14">
        <f>CHOOSE(CONTROL!$C$42, 70.2722, 70.2722) * CHOOSE(CONTROL!$C$21, $C$9, 100%, $E$9)</f>
        <v>70.272199999999998</v>
      </c>
      <c r="E850" s="14">
        <f>CHOOSE(CONTROL!$C$42, 70.3013, 70.3013) * CHOOSE(CONTROL!$C$21, $C$9, 100%, $E$9)</f>
        <v>70.301299999999998</v>
      </c>
      <c r="F850" s="14">
        <f>CHOOSE(CONTROL!$C$42, 70.0274, 70.0274)*CHOOSE(CONTROL!$C$21, $C$9, 100%, $E$9)</f>
        <v>70.0274</v>
      </c>
      <c r="G850" s="14">
        <f>CHOOSE(CONTROL!$C$42, 70.0445, 70.0445)*CHOOSE(CONTROL!$C$21, $C$9, 100%, $E$9)</f>
        <v>70.044499999999999</v>
      </c>
      <c r="H850" s="14">
        <f>CHOOSE(CONTROL!$C$42, 70.2918, 70.2918) * CHOOSE(CONTROL!$C$21, $C$9, 100%, $E$9)</f>
        <v>70.291799999999995</v>
      </c>
      <c r="I850" s="14">
        <f>CHOOSE(CONTROL!$C$42, 70.2449, 70.2449)* CHOOSE(CONTROL!$C$21, $C$9, 100%, $E$9)</f>
        <v>70.244900000000001</v>
      </c>
      <c r="J850" s="14">
        <f>CHOOSE(CONTROL!$C$42, 70.0204, 70.0204)* CHOOSE(CONTROL!$C$21, $C$9, 100%, $E$9)</f>
        <v>70.020399999999995</v>
      </c>
      <c r="K850" s="52">
        <f>CHOOSE(CONTROL!$C$42, 70.241, 70.241) * CHOOSE(CONTROL!$C$21, $C$9, 100%, $E$9)</f>
        <v>70.241</v>
      </c>
      <c r="L850" s="14">
        <f>CHOOSE(CONTROL!$C$42, 70.8788, 70.8788) * CHOOSE(CONTROL!$C$21, $C$9, 100%, $E$9)</f>
        <v>70.878799999999998</v>
      </c>
      <c r="M850" s="14">
        <f>CHOOSE(CONTROL!$C$42, 68.7687, 68.7687) * CHOOSE(CONTROL!$C$21, $C$9, 100%, $E$9)</f>
        <v>68.768699999999995</v>
      </c>
      <c r="N850" s="14">
        <f>CHOOSE(CONTROL!$C$42, 68.7855, 68.7855) * CHOOSE(CONTROL!$C$21, $C$9, 100%, $E$9)</f>
        <v>68.785499999999999</v>
      </c>
      <c r="O850" s="14">
        <f>CHOOSE(CONTROL!$C$42, 69.0351, 69.0351) * CHOOSE(CONTROL!$C$21, $C$9, 100%, $E$9)</f>
        <v>69.0351</v>
      </c>
      <c r="P850" s="14">
        <f>CHOOSE(CONTROL!$C$42, 68.9853, 68.9853) * CHOOSE(CONTROL!$C$21, $C$9, 100%, $E$9)</f>
        <v>68.985299999999995</v>
      </c>
      <c r="Q850" s="14">
        <f>CHOOSE(CONTROL!$C$42, 69.6298, 69.6298) * CHOOSE(CONTROL!$C$21, $C$9, 100%, $E$9)</f>
        <v>69.629800000000003</v>
      </c>
      <c r="R850" s="14">
        <f>CHOOSE(CONTROL!$C$42, 70.3909, 70.3909) * CHOOSE(CONTROL!$C$21, $C$9, 100%, $E$9)</f>
        <v>70.390900000000002</v>
      </c>
      <c r="S850" s="14">
        <f>CHOOSE(CONTROL!$C$42, 67.2567, 67.2567) * CHOOSE(CONTROL!$C$21, $C$9, 100%, $E$9)</f>
        <v>67.256699999999995</v>
      </c>
      <c r="T85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50" s="56">
        <f>(1000*CHOOSE(CONTROL!$C$42, 695, 695)*CHOOSE(CONTROL!$C$42, 0.5599, 0.5599)*CHOOSE(CONTROL!$C$42, 31, 31))/1000000</f>
        <v>12.063045499999998</v>
      </c>
      <c r="V850" s="56">
        <f>(1000*CHOOSE(CONTROL!$C$42, 500, 500)*CHOOSE(CONTROL!$C$42, 0.275, 0.275)*CHOOSE(CONTROL!$C$42, 31, 31))/1000000</f>
        <v>4.2625000000000002</v>
      </c>
      <c r="W850" s="56">
        <f>(1000*CHOOSE(CONTROL!$C$42, 0.1146, 0.1146)*CHOOSE(CONTROL!$C$42, 121.5, 121.5)*CHOOSE(CONTROL!$C$42, 31, 31))/1000000</f>
        <v>0.43164089999999994</v>
      </c>
      <c r="X850" s="56">
        <f>(31*0.1790888*245000/1000000)+(31*0.2374*100000/1000000)</f>
        <v>2.0961194359999999</v>
      </c>
      <c r="Y850" s="56"/>
      <c r="Z850" s="14"/>
      <c r="AA850" s="55"/>
      <c r="AB850" s="49">
        <f>(B850*131.881+C850*277.167+D850*79.08+E850*125.872+F850*40+G850*185+H850*0+I850*100+J850*300)/(131.881+277.167+79.08+125.872+0+40+185+100+300)</f>
        <v>70.08232738426149</v>
      </c>
      <c r="AC850" s="45">
        <f>(M850*'RAP TEMPLATE-GAS AVAILABILITY'!O849+N850*'RAP TEMPLATE-GAS AVAILABILITY'!P849+O850*'RAP TEMPLATE-GAS AVAILABILITY'!Q849+P850*'RAP TEMPLATE-GAS AVAILABILITY'!R849)/('RAP TEMPLATE-GAS AVAILABILITY'!O849+'RAP TEMPLATE-GAS AVAILABILITY'!P849+'RAP TEMPLATE-GAS AVAILABILITY'!Q849+'RAP TEMPLATE-GAS AVAILABILITY'!R849)</f>
        <v>68.921574820143874</v>
      </c>
    </row>
    <row r="851" spans="1:29" ht="15.75" x14ac:dyDescent="0.25">
      <c r="A851" s="32">
        <v>66810</v>
      </c>
      <c r="B851" s="14">
        <f>CHOOSE(CONTROL!$C$42, 71.8463, 71.8463) * CHOOSE(CONTROL!$C$21, $C$9, 100%, $E$9)</f>
        <v>71.846299999999999</v>
      </c>
      <c r="C851" s="14">
        <f>CHOOSE(CONTROL!$C$42, 71.8514, 71.8514) * CHOOSE(CONTROL!$C$21, $C$9, 100%, $E$9)</f>
        <v>71.851399999999998</v>
      </c>
      <c r="D851" s="14">
        <f>CHOOSE(CONTROL!$C$42, 71.9344, 71.9344) * CHOOSE(CONTROL!$C$21, $C$9, 100%, $E$9)</f>
        <v>71.934399999999997</v>
      </c>
      <c r="E851" s="14">
        <f>CHOOSE(CONTROL!$C$42, 71.9685, 71.9685) * CHOOSE(CONTROL!$C$21, $C$9, 100%, $E$9)</f>
        <v>71.968500000000006</v>
      </c>
      <c r="F851" s="14">
        <f>CHOOSE(CONTROL!$C$42, 71.8739, 71.8739)*CHOOSE(CONTROL!$C$21, $C$9, 100%, $E$9)</f>
        <v>71.873900000000006</v>
      </c>
      <c r="G851" s="14">
        <f>CHOOSE(CONTROL!$C$42, 71.8913, 71.8913)*CHOOSE(CONTROL!$C$21, $C$9, 100%, $E$9)</f>
        <v>71.891300000000001</v>
      </c>
      <c r="H851" s="14">
        <f>CHOOSE(CONTROL!$C$42, 71.9577, 71.9577) * CHOOSE(CONTROL!$C$21, $C$9, 100%, $E$9)</f>
        <v>71.957700000000003</v>
      </c>
      <c r="I851" s="14">
        <f>CHOOSE(CONTROL!$C$42, 72.0909, 72.0909)* CHOOSE(CONTROL!$C$21, $C$9, 100%, $E$9)</f>
        <v>72.090900000000005</v>
      </c>
      <c r="J851" s="14">
        <f>CHOOSE(CONTROL!$C$42, 71.8669, 71.8669)* CHOOSE(CONTROL!$C$21, $C$9, 100%, $E$9)</f>
        <v>71.866900000000001</v>
      </c>
      <c r="K851" s="52">
        <f>CHOOSE(CONTROL!$C$42, 72.0871, 72.0871) * CHOOSE(CONTROL!$C$21, $C$9, 100%, $E$9)</f>
        <v>72.087100000000007</v>
      </c>
      <c r="L851" s="14">
        <f>CHOOSE(CONTROL!$C$42, 72.5447, 72.5447) * CHOOSE(CONTROL!$C$21, $C$9, 100%, $E$9)</f>
        <v>72.544700000000006</v>
      </c>
      <c r="M851" s="14">
        <f>CHOOSE(CONTROL!$C$42, 70.582, 70.582) * CHOOSE(CONTROL!$C$21, $C$9, 100%, $E$9)</f>
        <v>70.581999999999994</v>
      </c>
      <c r="N851" s="14">
        <f>CHOOSE(CONTROL!$C$42, 70.599, 70.599) * CHOOSE(CONTROL!$C$21, $C$9, 100%, $E$9)</f>
        <v>70.599000000000004</v>
      </c>
      <c r="O851" s="14">
        <f>CHOOSE(CONTROL!$C$42, 70.6711, 70.6711) * CHOOSE(CONTROL!$C$21, $C$9, 100%, $E$9)</f>
        <v>70.671099999999996</v>
      </c>
      <c r="P851" s="14">
        <f>CHOOSE(CONTROL!$C$42, 70.798, 70.798) * CHOOSE(CONTROL!$C$21, $C$9, 100%, $E$9)</f>
        <v>70.798000000000002</v>
      </c>
      <c r="Q851" s="14">
        <f>CHOOSE(CONTROL!$C$42, 71.2658, 71.2658) * CHOOSE(CONTROL!$C$21, $C$9, 100%, $E$9)</f>
        <v>71.265799999999999</v>
      </c>
      <c r="R851" s="14">
        <f>CHOOSE(CONTROL!$C$42, 72.031, 72.031) * CHOOSE(CONTROL!$C$21, $C$9, 100%, $E$9)</f>
        <v>72.031000000000006</v>
      </c>
      <c r="S851" s="14">
        <f>CHOOSE(CONTROL!$C$42, 69.0286, 69.0286) * CHOOSE(CONTROL!$C$21, $C$9, 100%, $E$9)</f>
        <v>69.028599999999997</v>
      </c>
      <c r="T85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51" s="56">
        <f>(1000*CHOOSE(CONTROL!$C$42, 695, 695)*CHOOSE(CONTROL!$C$42, 0.5599, 0.5599)*CHOOSE(CONTROL!$C$42, 30, 30))/1000000</f>
        <v>11.673914999999997</v>
      </c>
      <c r="V851" s="56">
        <f>(1000*CHOOSE(CONTROL!$C$42, 500, 500)*CHOOSE(CONTROL!$C$42, 0.275, 0.275)*CHOOSE(CONTROL!$C$42, 30, 30))/1000000</f>
        <v>4.125</v>
      </c>
      <c r="W851" s="56">
        <f>(1000*CHOOSE(CONTROL!$C$42, 0.1146, 0.1146)*CHOOSE(CONTROL!$C$42, 121.5, 121.5)*CHOOSE(CONTROL!$C$42, 30, 30))/1000000</f>
        <v>0.417717</v>
      </c>
      <c r="X851" s="56">
        <f>(30*0.1790888*100000/1000000)+(30*0.2374*100000/1000000)</f>
        <v>1.2494664</v>
      </c>
      <c r="Y851" s="56"/>
      <c r="Z851" s="14"/>
      <c r="AA851" s="55"/>
      <c r="AB851" s="49">
        <f>(B851*122.58+C851*297.941+D851*89.177+E851*40.302+F851*40+G851*160+H851*0+I851*100+J851*300)/(122.58+297.941+89.177+40.302+0+40+160+100+300)</f>
        <v>71.892599910608695</v>
      </c>
      <c r="AC851" s="45">
        <f>(M851*'RAP TEMPLATE-GAS AVAILABILITY'!O850+N851*'RAP TEMPLATE-GAS AVAILABILITY'!P850+O851*'RAP TEMPLATE-GAS AVAILABILITY'!Q850+P851*'RAP TEMPLATE-GAS AVAILABILITY'!R850)/('RAP TEMPLATE-GAS AVAILABILITY'!O850+'RAP TEMPLATE-GAS AVAILABILITY'!P850+'RAP TEMPLATE-GAS AVAILABILITY'!Q850+'RAP TEMPLATE-GAS AVAILABILITY'!R850)</f>
        <v>70.654441007194251</v>
      </c>
    </row>
    <row r="852" spans="1:29" ht="15.75" x14ac:dyDescent="0.25">
      <c r="A852" s="32">
        <v>66841</v>
      </c>
      <c r="B852" s="14">
        <f>CHOOSE(CONTROL!$C$42, 76.7441, 76.7441) * CHOOSE(CONTROL!$C$21, $C$9, 100%, $E$9)</f>
        <v>76.744100000000003</v>
      </c>
      <c r="C852" s="14">
        <f>CHOOSE(CONTROL!$C$42, 76.7492, 76.7492) * CHOOSE(CONTROL!$C$21, $C$9, 100%, $E$9)</f>
        <v>76.749200000000002</v>
      </c>
      <c r="D852" s="14">
        <f>CHOOSE(CONTROL!$C$42, 76.8322, 76.8322) * CHOOSE(CONTROL!$C$21, $C$9, 100%, $E$9)</f>
        <v>76.8322</v>
      </c>
      <c r="E852" s="14">
        <f>CHOOSE(CONTROL!$C$42, 76.8663, 76.8663) * CHOOSE(CONTROL!$C$21, $C$9, 100%, $E$9)</f>
        <v>76.866299999999995</v>
      </c>
      <c r="F852" s="14">
        <f>CHOOSE(CONTROL!$C$42, 76.7742, 76.7742)*CHOOSE(CONTROL!$C$21, $C$9, 100%, $E$9)</f>
        <v>76.774199999999993</v>
      </c>
      <c r="G852" s="14">
        <f>CHOOSE(CONTROL!$C$42, 76.7922, 76.7922)*CHOOSE(CONTROL!$C$21, $C$9, 100%, $E$9)</f>
        <v>76.792199999999994</v>
      </c>
      <c r="H852" s="14">
        <f>CHOOSE(CONTROL!$C$42, 76.8555, 76.8555) * CHOOSE(CONTROL!$C$21, $C$9, 100%, $E$9)</f>
        <v>76.855500000000006</v>
      </c>
      <c r="I852" s="14">
        <f>CHOOSE(CONTROL!$C$42, 77.0041, 77.0041)* CHOOSE(CONTROL!$C$21, $C$9, 100%, $E$9)</f>
        <v>77.004099999999994</v>
      </c>
      <c r="J852" s="14">
        <f>CHOOSE(CONTROL!$C$42, 76.7672, 76.7672)* CHOOSE(CONTROL!$C$21, $C$9, 100%, $E$9)</f>
        <v>76.767200000000003</v>
      </c>
      <c r="K852" s="52">
        <f>CHOOSE(CONTROL!$C$42, 77.0002, 77.0002) * CHOOSE(CONTROL!$C$21, $C$9, 100%, $E$9)</f>
        <v>77.000200000000007</v>
      </c>
      <c r="L852" s="14">
        <f>CHOOSE(CONTROL!$C$42, 77.4425, 77.4425) * CHOOSE(CONTROL!$C$21, $C$9, 100%, $E$9)</f>
        <v>77.442499999999995</v>
      </c>
      <c r="M852" s="14">
        <f>CHOOSE(CONTROL!$C$42, 75.3941, 75.3941) * CHOOSE(CONTROL!$C$21, $C$9, 100%, $E$9)</f>
        <v>75.394099999999995</v>
      </c>
      <c r="N852" s="14">
        <f>CHOOSE(CONTROL!$C$42, 75.4118, 75.4118) * CHOOSE(CONTROL!$C$21, $C$9, 100%, $E$9)</f>
        <v>75.411799999999999</v>
      </c>
      <c r="O852" s="14">
        <f>CHOOSE(CONTROL!$C$42, 75.4809, 75.4809) * CHOOSE(CONTROL!$C$21, $C$9, 100%, $E$9)</f>
        <v>75.480900000000005</v>
      </c>
      <c r="P852" s="14">
        <f>CHOOSE(CONTROL!$C$42, 75.6225, 75.6225) * CHOOSE(CONTROL!$C$21, $C$9, 100%, $E$9)</f>
        <v>75.622500000000002</v>
      </c>
      <c r="Q852" s="14">
        <f>CHOOSE(CONTROL!$C$42, 76.0756, 76.0756) * CHOOSE(CONTROL!$C$21, $C$9, 100%, $E$9)</f>
        <v>76.075599999999994</v>
      </c>
      <c r="R852" s="14">
        <f>CHOOSE(CONTROL!$C$42, 76.8527, 76.8527) * CHOOSE(CONTROL!$C$21, $C$9, 100%, $E$9)</f>
        <v>76.852699999999999</v>
      </c>
      <c r="S852" s="14">
        <f>CHOOSE(CONTROL!$C$42, 73.7349, 73.7349) * CHOOSE(CONTROL!$C$21, $C$9, 100%, $E$9)</f>
        <v>73.734899999999996</v>
      </c>
      <c r="T85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52" s="56">
        <f>(1000*CHOOSE(CONTROL!$C$42, 695, 695)*CHOOSE(CONTROL!$C$42, 0.5599, 0.5599)*CHOOSE(CONTROL!$C$42, 31, 31))/1000000</f>
        <v>12.063045499999998</v>
      </c>
      <c r="V852" s="56">
        <f>(1000*CHOOSE(CONTROL!$C$42, 500, 500)*CHOOSE(CONTROL!$C$42, 0.275, 0.275)*CHOOSE(CONTROL!$C$42, 31, 31))/1000000</f>
        <v>4.2625000000000002</v>
      </c>
      <c r="W852" s="56">
        <f>(1000*CHOOSE(CONTROL!$C$42, 0.1146, 0.1146)*CHOOSE(CONTROL!$C$42, 121.5, 121.5)*CHOOSE(CONTROL!$C$42, 31, 31))/1000000</f>
        <v>0.43164089999999994</v>
      </c>
      <c r="X852" s="56">
        <f>(31*0.1790888*100000/1000000)+(31*0.2374*100000/1000000)</f>
        <v>1.2911152800000001</v>
      </c>
      <c r="Y852" s="56"/>
      <c r="Z852" s="14"/>
      <c r="AA852" s="55"/>
      <c r="AB852" s="49">
        <f>(B852*122.58+C852*297.941+D852*89.177+E852*40.302+F852*40+G852*160+H852*0+I852*100+J852*300)/(122.58+297.941+89.177+40.302+0+40+160+100+300)</f>
        <v>76.792909475826093</v>
      </c>
      <c r="AC852" s="45">
        <f>(M852*'RAP TEMPLATE-GAS AVAILABILITY'!O851+N852*'RAP TEMPLATE-GAS AVAILABILITY'!P851+O852*'RAP TEMPLATE-GAS AVAILABILITY'!Q851+P852*'RAP TEMPLATE-GAS AVAILABILITY'!R851)/('RAP TEMPLATE-GAS AVAILABILITY'!O851+'RAP TEMPLATE-GAS AVAILABILITY'!P851+'RAP TEMPLATE-GAS AVAILABILITY'!Q851+'RAP TEMPLATE-GAS AVAILABILITY'!R851)</f>
        <v>75.467323021582729</v>
      </c>
    </row>
    <row r="853" spans="1:29" ht="15.75" x14ac:dyDescent="0.25">
      <c r="A853" s="32">
        <v>66872</v>
      </c>
      <c r="B853" s="14">
        <f>CHOOSE(CONTROL!$C$42, 83.1055, 83.1055) * CHOOSE(CONTROL!$C$21, $C$9, 100%, $E$9)</f>
        <v>83.105500000000006</v>
      </c>
      <c r="C853" s="14">
        <f>CHOOSE(CONTROL!$C$42, 83.1105, 83.1105) * CHOOSE(CONTROL!$C$21, $C$9, 100%, $E$9)</f>
        <v>83.110500000000002</v>
      </c>
      <c r="D853" s="14">
        <f>CHOOSE(CONTROL!$C$42, 83.204, 83.204) * CHOOSE(CONTROL!$C$21, $C$9, 100%, $E$9)</f>
        <v>83.203999999999994</v>
      </c>
      <c r="E853" s="14">
        <f>CHOOSE(CONTROL!$C$42, 83.2381, 83.2381) * CHOOSE(CONTROL!$C$21, $C$9, 100%, $E$9)</f>
        <v>83.238100000000003</v>
      </c>
      <c r="F853" s="14">
        <f>CHOOSE(CONTROL!$C$42, 83.1328, 83.1328)*CHOOSE(CONTROL!$C$21, $C$9, 100%, $E$9)</f>
        <v>83.132800000000003</v>
      </c>
      <c r="G853" s="14">
        <f>CHOOSE(CONTROL!$C$42, 83.1507, 83.1507)*CHOOSE(CONTROL!$C$21, $C$9, 100%, $E$9)</f>
        <v>83.150700000000001</v>
      </c>
      <c r="H853" s="14">
        <f>CHOOSE(CONTROL!$C$42, 83.2273, 83.2273) * CHOOSE(CONTROL!$C$21, $C$9, 100%, $E$9)</f>
        <v>83.2273</v>
      </c>
      <c r="I853" s="14">
        <f>CHOOSE(CONTROL!$C$42, 83.3916, 83.3916)* CHOOSE(CONTROL!$C$21, $C$9, 100%, $E$9)</f>
        <v>83.391599999999997</v>
      </c>
      <c r="J853" s="14">
        <f>CHOOSE(CONTROL!$C$42, 83.1258, 83.1258)* CHOOSE(CONTROL!$C$21, $C$9, 100%, $E$9)</f>
        <v>83.125799999999998</v>
      </c>
      <c r="K853" s="52">
        <f>CHOOSE(CONTROL!$C$42, 83.3877, 83.3877) * CHOOSE(CONTROL!$C$21, $C$9, 100%, $E$9)</f>
        <v>83.387699999999995</v>
      </c>
      <c r="L853" s="14">
        <f>CHOOSE(CONTROL!$C$42, 83.8143, 83.8143) * CHOOSE(CONTROL!$C$21, $C$9, 100%, $E$9)</f>
        <v>83.814300000000003</v>
      </c>
      <c r="M853" s="14">
        <f>CHOOSE(CONTROL!$C$42, 81.6383, 81.6383) * CHOOSE(CONTROL!$C$21, $C$9, 100%, $E$9)</f>
        <v>81.638300000000001</v>
      </c>
      <c r="N853" s="14">
        <f>CHOOSE(CONTROL!$C$42, 81.6559, 81.6559) * CHOOSE(CONTROL!$C$21, $C$9, 100%, $E$9)</f>
        <v>81.655900000000003</v>
      </c>
      <c r="O853" s="14">
        <f>CHOOSE(CONTROL!$C$42, 81.738, 81.738) * CHOOSE(CONTROL!$C$21, $C$9, 100%, $E$9)</f>
        <v>81.738</v>
      </c>
      <c r="P853" s="14">
        <f>CHOOSE(CONTROL!$C$42, 81.8948, 81.8948) * CHOOSE(CONTROL!$C$21, $C$9, 100%, $E$9)</f>
        <v>81.894800000000004</v>
      </c>
      <c r="Q853" s="14">
        <f>CHOOSE(CONTROL!$C$42, 82.3327, 82.3327) * CHOOSE(CONTROL!$C$21, $C$9, 100%, $E$9)</f>
        <v>82.332700000000003</v>
      </c>
      <c r="R853" s="14">
        <f>CHOOSE(CONTROL!$C$42, 83.1255, 83.1255) * CHOOSE(CONTROL!$C$21, $C$9, 100%, $E$9)</f>
        <v>83.125500000000002</v>
      </c>
      <c r="S853" s="14">
        <f>CHOOSE(CONTROL!$C$42, 79.8475, 79.8475) * CHOOSE(CONTROL!$C$21, $C$9, 100%, $E$9)</f>
        <v>79.847499999999997</v>
      </c>
      <c r="T85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53" s="56">
        <f>(1000*CHOOSE(CONTROL!$C$42, 695, 695)*CHOOSE(CONTROL!$C$42, 0.5599, 0.5599)*CHOOSE(CONTROL!$C$42, 31, 31))/1000000</f>
        <v>12.063045499999998</v>
      </c>
      <c r="V853" s="56">
        <f>(1000*CHOOSE(CONTROL!$C$42, 500, 500)*CHOOSE(CONTROL!$C$42, 0.275, 0.275)*CHOOSE(CONTROL!$C$42, 31, 31))/1000000</f>
        <v>4.2625000000000002</v>
      </c>
      <c r="W853" s="56">
        <f>(1000*CHOOSE(CONTROL!$C$42, 0.1146, 0.1146)*CHOOSE(CONTROL!$C$42, 121.5, 121.5)*CHOOSE(CONTROL!$C$42, 31, 31))/1000000</f>
        <v>0.43164089999999994</v>
      </c>
      <c r="X853" s="56">
        <f>(31*0.1790888*100000/1000000)+(31*0.2374*100000/1000000)</f>
        <v>1.2911152800000001</v>
      </c>
      <c r="Y853" s="56"/>
      <c r="Z853" s="14"/>
      <c r="AA853" s="55"/>
      <c r="AB853" s="49">
        <f>(B853*122.58+C853*297.941+D853*89.177+E853*40.302+F853*40+G853*160+H853*0+I853*100+J853*300)/(122.58+297.941+89.177+40.302+0+40+160+100+300)</f>
        <v>83.156492769304336</v>
      </c>
      <c r="AC853" s="45">
        <f>(M853*'RAP TEMPLATE-GAS AVAILABILITY'!O852+N853*'RAP TEMPLATE-GAS AVAILABILITY'!P852+O853*'RAP TEMPLATE-GAS AVAILABILITY'!Q852+P853*'RAP TEMPLATE-GAS AVAILABILITY'!R852)/('RAP TEMPLATE-GAS AVAILABILITY'!O852+'RAP TEMPLATE-GAS AVAILABILITY'!P852+'RAP TEMPLATE-GAS AVAILABILITY'!Q852+'RAP TEMPLATE-GAS AVAILABILITY'!R852)</f>
        <v>81.721407194244605</v>
      </c>
    </row>
    <row r="854" spans="1:29" ht="15.75" x14ac:dyDescent="0.25">
      <c r="A854" s="32">
        <v>66900</v>
      </c>
      <c r="B854" s="14">
        <f>CHOOSE(CONTROL!$C$42, 84.5847, 84.5847) * CHOOSE(CONTROL!$C$21, $C$9, 100%, $E$9)</f>
        <v>84.584699999999998</v>
      </c>
      <c r="C854" s="14">
        <f>CHOOSE(CONTROL!$C$42, 84.5897, 84.5897) * CHOOSE(CONTROL!$C$21, $C$9, 100%, $E$9)</f>
        <v>84.589699999999993</v>
      </c>
      <c r="D854" s="14">
        <f>CHOOSE(CONTROL!$C$42, 84.6832, 84.6832) * CHOOSE(CONTROL!$C$21, $C$9, 100%, $E$9)</f>
        <v>84.683199999999999</v>
      </c>
      <c r="E854" s="14">
        <f>CHOOSE(CONTROL!$C$42, 84.7173, 84.7173) * CHOOSE(CONTROL!$C$21, $C$9, 100%, $E$9)</f>
        <v>84.717299999999994</v>
      </c>
      <c r="F854" s="14">
        <f>CHOOSE(CONTROL!$C$42, 84.6116, 84.6116)*CHOOSE(CONTROL!$C$21, $C$9, 100%, $E$9)</f>
        <v>84.611599999999996</v>
      </c>
      <c r="G854" s="14">
        <f>CHOOSE(CONTROL!$C$42, 84.6295, 84.6295)*CHOOSE(CONTROL!$C$21, $C$9, 100%, $E$9)</f>
        <v>84.629499999999993</v>
      </c>
      <c r="H854" s="14">
        <f>CHOOSE(CONTROL!$C$42, 84.7065, 84.7065) * CHOOSE(CONTROL!$C$21, $C$9, 100%, $E$9)</f>
        <v>84.706500000000005</v>
      </c>
      <c r="I854" s="14">
        <f>CHOOSE(CONTROL!$C$42, 84.8755, 84.8755)* CHOOSE(CONTROL!$C$21, $C$9, 100%, $E$9)</f>
        <v>84.875500000000002</v>
      </c>
      <c r="J854" s="14">
        <f>CHOOSE(CONTROL!$C$42, 84.6046, 84.6046)* CHOOSE(CONTROL!$C$21, $C$9, 100%, $E$9)</f>
        <v>84.604600000000005</v>
      </c>
      <c r="K854" s="52">
        <f>CHOOSE(CONTROL!$C$42, 84.8716, 84.8716) * CHOOSE(CONTROL!$C$21, $C$9, 100%, $E$9)</f>
        <v>84.871600000000001</v>
      </c>
      <c r="L854" s="14">
        <f>CHOOSE(CONTROL!$C$42, 85.2935, 85.2935) * CHOOSE(CONTROL!$C$21, $C$9, 100%, $E$9)</f>
        <v>85.293499999999995</v>
      </c>
      <c r="M854" s="14">
        <f>CHOOSE(CONTROL!$C$42, 83.0906, 83.0906) * CHOOSE(CONTROL!$C$21, $C$9, 100%, $E$9)</f>
        <v>83.090599999999995</v>
      </c>
      <c r="N854" s="14">
        <f>CHOOSE(CONTROL!$C$42, 83.1081, 83.1081) * CHOOSE(CONTROL!$C$21, $C$9, 100%, $E$9)</f>
        <v>83.108099999999993</v>
      </c>
      <c r="O854" s="14">
        <f>CHOOSE(CONTROL!$C$42, 83.1906, 83.1906) * CHOOSE(CONTROL!$C$21, $C$9, 100%, $E$9)</f>
        <v>83.190600000000003</v>
      </c>
      <c r="P854" s="14">
        <f>CHOOSE(CONTROL!$C$42, 83.3519, 83.3519) * CHOOSE(CONTROL!$C$21, $C$9, 100%, $E$9)</f>
        <v>83.351900000000001</v>
      </c>
      <c r="Q854" s="14">
        <f>CHOOSE(CONTROL!$C$42, 83.7853, 83.7853) * CHOOSE(CONTROL!$C$21, $C$9, 100%, $E$9)</f>
        <v>83.785300000000007</v>
      </c>
      <c r="R854" s="14">
        <f>CHOOSE(CONTROL!$C$42, 84.5818, 84.5818) * CHOOSE(CONTROL!$C$21, $C$9, 100%, $E$9)</f>
        <v>84.581800000000001</v>
      </c>
      <c r="S854" s="14">
        <f>CHOOSE(CONTROL!$C$42, 81.2689, 81.2689) * CHOOSE(CONTROL!$C$21, $C$9, 100%, $E$9)</f>
        <v>81.268900000000002</v>
      </c>
      <c r="T85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54" s="56">
        <f>(1000*CHOOSE(CONTROL!$C$42, 695, 695)*CHOOSE(CONTROL!$C$42, 0.5599, 0.5599)*CHOOSE(CONTROL!$C$42, 28, 28))/1000000</f>
        <v>10.895653999999999</v>
      </c>
      <c r="V854" s="56">
        <f>(1000*CHOOSE(CONTROL!$C$42, 500, 500)*CHOOSE(CONTROL!$C$42, 0.275, 0.275)*CHOOSE(CONTROL!$C$42, 28, 28))/1000000</f>
        <v>3.85</v>
      </c>
      <c r="W854" s="56">
        <f>(1000*CHOOSE(CONTROL!$C$42, 0.1146, 0.1146)*CHOOSE(CONTROL!$C$42, 121.5, 121.5)*CHOOSE(CONTROL!$C$42, 28, 28))/1000000</f>
        <v>0.38986920000000003</v>
      </c>
      <c r="X854" s="56">
        <f>(28*0.1790888*100000/1000000)+(28*0.2374*100000/1000000)</f>
        <v>1.16616864</v>
      </c>
      <c r="Y854" s="56"/>
      <c r="Z854" s="14"/>
      <c r="AA854" s="55"/>
      <c r="AB854" s="49">
        <f>(B854*122.58+C854*297.941+D854*89.177+E854*40.302+F854*40+G854*160+H854*0+I854*100+J854*300)/(122.58+297.941+89.177+40.302+0+40+160+100+300)</f>
        <v>84.635927551913042</v>
      </c>
      <c r="AC854" s="45">
        <f>(M854*'RAP TEMPLATE-GAS AVAILABILITY'!O853+N854*'RAP TEMPLATE-GAS AVAILABILITY'!P853+O854*'RAP TEMPLATE-GAS AVAILABILITY'!Q853+P854*'RAP TEMPLATE-GAS AVAILABILITY'!R853)/('RAP TEMPLATE-GAS AVAILABILITY'!O853+'RAP TEMPLATE-GAS AVAILABILITY'!P853+'RAP TEMPLATE-GAS AVAILABILITY'!Q853+'RAP TEMPLATE-GAS AVAILABILITY'!R853)</f>
        <v>83.174528057553971</v>
      </c>
    </row>
    <row r="855" spans="1:29" ht="15.75" x14ac:dyDescent="0.25">
      <c r="A855" s="32">
        <v>66931</v>
      </c>
      <c r="B855" s="14">
        <f>CHOOSE(CONTROL!$C$42, 82.1835, 82.1835) * CHOOSE(CONTROL!$C$21, $C$9, 100%, $E$9)</f>
        <v>82.183499999999995</v>
      </c>
      <c r="C855" s="14">
        <f>CHOOSE(CONTROL!$C$42, 82.1886, 82.1886) * CHOOSE(CONTROL!$C$21, $C$9, 100%, $E$9)</f>
        <v>82.188599999999994</v>
      </c>
      <c r="D855" s="14">
        <f>CHOOSE(CONTROL!$C$42, 82.2821, 82.2821) * CHOOSE(CONTROL!$C$21, $C$9, 100%, $E$9)</f>
        <v>82.2821</v>
      </c>
      <c r="E855" s="14">
        <f>CHOOSE(CONTROL!$C$42, 82.3162, 82.3162) * CHOOSE(CONTROL!$C$21, $C$9, 100%, $E$9)</f>
        <v>82.316199999999995</v>
      </c>
      <c r="F855" s="14">
        <f>CHOOSE(CONTROL!$C$42, 82.2096, 82.2096)*CHOOSE(CONTROL!$C$21, $C$9, 100%, $E$9)</f>
        <v>82.209599999999995</v>
      </c>
      <c r="G855" s="14">
        <f>CHOOSE(CONTROL!$C$42, 82.2273, 82.2273)*CHOOSE(CONTROL!$C$21, $C$9, 100%, $E$9)</f>
        <v>82.2273</v>
      </c>
      <c r="H855" s="14">
        <f>CHOOSE(CONTROL!$C$42, 82.3054, 82.3054) * CHOOSE(CONTROL!$C$21, $C$9, 100%, $E$9)</f>
        <v>82.305400000000006</v>
      </c>
      <c r="I855" s="14">
        <f>CHOOSE(CONTROL!$C$42, 82.4668, 82.4668)* CHOOSE(CONTROL!$C$21, $C$9, 100%, $E$9)</f>
        <v>82.466800000000006</v>
      </c>
      <c r="J855" s="14">
        <f>CHOOSE(CONTROL!$C$42, 82.2026, 82.2026)* CHOOSE(CONTROL!$C$21, $C$9, 100%, $E$9)</f>
        <v>82.202600000000004</v>
      </c>
      <c r="K855" s="52">
        <f>CHOOSE(CONTROL!$C$42, 82.4629, 82.4629) * CHOOSE(CONTROL!$C$21, $C$9, 100%, $E$9)</f>
        <v>82.462900000000005</v>
      </c>
      <c r="L855" s="14">
        <f>CHOOSE(CONTROL!$C$42, 82.8924, 82.8924) * CHOOSE(CONTROL!$C$21, $C$9, 100%, $E$9)</f>
        <v>82.892399999999995</v>
      </c>
      <c r="M855" s="14">
        <f>CHOOSE(CONTROL!$C$42, 80.7318, 80.7318) * CHOOSE(CONTROL!$C$21, $C$9, 100%, $E$9)</f>
        <v>80.731800000000007</v>
      </c>
      <c r="N855" s="14">
        <f>CHOOSE(CONTROL!$C$42, 80.7491, 80.7491) * CHOOSE(CONTROL!$C$21, $C$9, 100%, $E$9)</f>
        <v>80.749099999999999</v>
      </c>
      <c r="O855" s="14">
        <f>CHOOSE(CONTROL!$C$42, 80.8327, 80.8327) * CHOOSE(CONTROL!$C$21, $C$9, 100%, $E$9)</f>
        <v>80.832700000000003</v>
      </c>
      <c r="P855" s="14">
        <f>CHOOSE(CONTROL!$C$42, 80.9867, 80.9867) * CHOOSE(CONTROL!$C$21, $C$9, 100%, $E$9)</f>
        <v>80.986699999999999</v>
      </c>
      <c r="Q855" s="14">
        <f>CHOOSE(CONTROL!$C$42, 81.4274, 81.4274) * CHOOSE(CONTROL!$C$21, $C$9, 100%, $E$9)</f>
        <v>81.427400000000006</v>
      </c>
      <c r="R855" s="14">
        <f>CHOOSE(CONTROL!$C$42, 82.2179, 82.2179) * CHOOSE(CONTROL!$C$21, $C$9, 100%, $E$9)</f>
        <v>82.2179</v>
      </c>
      <c r="S855" s="14">
        <f>CHOOSE(CONTROL!$C$42, 78.9616, 78.9616) * CHOOSE(CONTROL!$C$21, $C$9, 100%, $E$9)</f>
        <v>78.961600000000004</v>
      </c>
      <c r="T85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55" s="56">
        <f>(1000*CHOOSE(CONTROL!$C$42, 695, 695)*CHOOSE(CONTROL!$C$42, 0.5599, 0.5599)*CHOOSE(CONTROL!$C$42, 31, 31))/1000000</f>
        <v>12.063045499999998</v>
      </c>
      <c r="V855" s="56">
        <f>(1000*CHOOSE(CONTROL!$C$42, 500, 500)*CHOOSE(CONTROL!$C$42, 0.275, 0.275)*CHOOSE(CONTROL!$C$42, 31, 31))/1000000</f>
        <v>4.2625000000000002</v>
      </c>
      <c r="W855" s="56">
        <f>(1000*CHOOSE(CONTROL!$C$42, 0.1146, 0.1146)*CHOOSE(CONTROL!$C$42, 121.5, 121.5)*CHOOSE(CONTROL!$C$42, 31, 31))/1000000</f>
        <v>0.43164089999999994</v>
      </c>
      <c r="X855" s="56">
        <f>(31*0.1790888*100000/1000000)+(31*0.2374*100000/1000000)</f>
        <v>1.2911152800000001</v>
      </c>
      <c r="Y855" s="56"/>
      <c r="Z855" s="14"/>
      <c r="AA855" s="55"/>
      <c r="AB855" s="49">
        <f>(B855*122.58+C855*297.941+D855*89.177+E855*40.302+F855*40+G855*160+H855*0+I855*100+J855*300)/(122.58+297.941+89.177+40.302+0+40+160+100+300)</f>
        <v>82.233736892782602</v>
      </c>
      <c r="AC855" s="45">
        <f>(M855*'RAP TEMPLATE-GAS AVAILABILITY'!O854+N855*'RAP TEMPLATE-GAS AVAILABILITY'!P854+O855*'RAP TEMPLATE-GAS AVAILABILITY'!Q854+P855*'RAP TEMPLATE-GAS AVAILABILITY'!R854)/('RAP TEMPLATE-GAS AVAILABILITY'!O854+'RAP TEMPLATE-GAS AVAILABILITY'!P854+'RAP TEMPLATE-GAS AVAILABILITY'!Q854+'RAP TEMPLATE-GAS AVAILABILITY'!R854)</f>
        <v>80.815203597122306</v>
      </c>
    </row>
    <row r="856" spans="1:29" ht="15.75" x14ac:dyDescent="0.25">
      <c r="A856" s="32">
        <v>66961</v>
      </c>
      <c r="B856" s="14">
        <f>CHOOSE(CONTROL!$C$42, 81.9385, 81.9385) * CHOOSE(CONTROL!$C$21, $C$9, 100%, $E$9)</f>
        <v>81.938500000000005</v>
      </c>
      <c r="C856" s="14">
        <f>CHOOSE(CONTROL!$C$42, 81.943, 81.943) * CHOOSE(CONTROL!$C$21, $C$9, 100%, $E$9)</f>
        <v>81.942999999999998</v>
      </c>
      <c r="D856" s="14">
        <f>CHOOSE(CONTROL!$C$42, 82.2052, 82.2052) * CHOOSE(CONTROL!$C$21, $C$9, 100%, $E$9)</f>
        <v>82.205200000000005</v>
      </c>
      <c r="E856" s="14">
        <f>CHOOSE(CONTROL!$C$42, 82.2373, 82.2373) * CHOOSE(CONTROL!$C$21, $C$9, 100%, $E$9)</f>
        <v>82.237300000000005</v>
      </c>
      <c r="F856" s="14">
        <f>CHOOSE(CONTROL!$C$42, 81.9613, 81.9613)*CHOOSE(CONTROL!$C$21, $C$9, 100%, $E$9)</f>
        <v>81.961299999999994</v>
      </c>
      <c r="G856" s="14">
        <f>CHOOSE(CONTROL!$C$42, 81.978, 81.978)*CHOOSE(CONTROL!$C$21, $C$9, 100%, $E$9)</f>
        <v>81.977999999999994</v>
      </c>
      <c r="H856" s="14">
        <f>CHOOSE(CONTROL!$C$42, 82.2271, 82.2271) * CHOOSE(CONTROL!$C$21, $C$9, 100%, $E$9)</f>
        <v>82.227099999999993</v>
      </c>
      <c r="I856" s="14">
        <f>CHOOSE(CONTROL!$C$42, 82.2176, 82.2176)* CHOOSE(CONTROL!$C$21, $C$9, 100%, $E$9)</f>
        <v>82.217600000000004</v>
      </c>
      <c r="J856" s="14">
        <f>CHOOSE(CONTROL!$C$42, 81.9543, 81.9543)* CHOOSE(CONTROL!$C$21, $C$9, 100%, $E$9)</f>
        <v>81.954300000000003</v>
      </c>
      <c r="K856" s="52">
        <f>CHOOSE(CONTROL!$C$42, 82.2137, 82.2137) * CHOOSE(CONTROL!$C$21, $C$9, 100%, $E$9)</f>
        <v>82.213700000000003</v>
      </c>
      <c r="L856" s="14">
        <f>CHOOSE(CONTROL!$C$42, 82.8141, 82.8141) * CHOOSE(CONTROL!$C$21, $C$9, 100%, $E$9)</f>
        <v>82.814099999999996</v>
      </c>
      <c r="M856" s="14">
        <f>CHOOSE(CONTROL!$C$42, 80.4879, 80.4879) * CHOOSE(CONTROL!$C$21, $C$9, 100%, $E$9)</f>
        <v>80.487899999999996</v>
      </c>
      <c r="N856" s="14">
        <f>CHOOSE(CONTROL!$C$42, 80.5043, 80.5043) * CHOOSE(CONTROL!$C$21, $C$9, 100%, $E$9)</f>
        <v>80.504300000000001</v>
      </c>
      <c r="O856" s="14">
        <f>CHOOSE(CONTROL!$C$42, 80.7558, 80.7558) * CHOOSE(CONTROL!$C$21, $C$9, 100%, $E$9)</f>
        <v>80.755799999999994</v>
      </c>
      <c r="P856" s="14">
        <f>CHOOSE(CONTROL!$C$42, 80.742, 80.742) * CHOOSE(CONTROL!$C$21, $C$9, 100%, $E$9)</f>
        <v>80.742000000000004</v>
      </c>
      <c r="Q856" s="14">
        <f>CHOOSE(CONTROL!$C$42, 81.3505, 81.3505) * CHOOSE(CONTROL!$C$21, $C$9, 100%, $E$9)</f>
        <v>81.350499999999997</v>
      </c>
      <c r="R856" s="14">
        <f>CHOOSE(CONTROL!$C$42, 82.1409, 82.1409) * CHOOSE(CONTROL!$C$21, $C$9, 100%, $E$9)</f>
        <v>82.140900000000002</v>
      </c>
      <c r="S856" s="14">
        <f>CHOOSE(CONTROL!$C$42, 78.7254, 78.7254) * CHOOSE(CONTROL!$C$21, $C$9, 100%, $E$9)</f>
        <v>78.725399999999993</v>
      </c>
      <c r="T85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56" s="56">
        <f>(1000*CHOOSE(CONTROL!$C$42, 695, 695)*CHOOSE(CONTROL!$C$42, 0.5599, 0.5599)*CHOOSE(CONTROL!$C$42, 30, 30))/1000000</f>
        <v>11.673914999999997</v>
      </c>
      <c r="V856" s="56">
        <f>(1000*CHOOSE(CONTROL!$C$42, 500, 500)*CHOOSE(CONTROL!$C$42, 0.275, 0.275)*CHOOSE(CONTROL!$C$42, 30, 30))/1000000</f>
        <v>4.125</v>
      </c>
      <c r="W856" s="56">
        <f>(1000*CHOOSE(CONTROL!$C$42, 0.1146, 0.1146)*CHOOSE(CONTROL!$C$42, 121.5, 121.5)*CHOOSE(CONTROL!$C$42, 30, 30))/1000000</f>
        <v>0.417717</v>
      </c>
      <c r="X856" s="56">
        <f>(30*0.1790888*245000/1000000)+(30*0.2374*100000/1000000)</f>
        <v>2.0285026799999999</v>
      </c>
      <c r="Y856" s="56"/>
      <c r="Z856" s="14"/>
      <c r="AA856" s="55"/>
      <c r="AB856" s="49">
        <f>(B856*141.293+C856*267.993+D856*115.016+E856*89.698+F856*40+G856*185+H856*0+I856*100+J856*300)/(141.293+267.993+115.016+89.698+0+40+185+100+300)</f>
        <v>82.01884866674736</v>
      </c>
      <c r="AC856" s="45">
        <f>(M856*'RAP TEMPLATE-GAS AVAILABILITY'!O855+N856*'RAP TEMPLATE-GAS AVAILABILITY'!P855+O856*'RAP TEMPLATE-GAS AVAILABILITY'!Q855+P856*'RAP TEMPLATE-GAS AVAILABILITY'!R855)/('RAP TEMPLATE-GAS AVAILABILITY'!O855+'RAP TEMPLATE-GAS AVAILABILITY'!P855+'RAP TEMPLATE-GAS AVAILABILITY'!Q855+'RAP TEMPLATE-GAS AVAILABILITY'!R855)</f>
        <v>80.646827338129498</v>
      </c>
    </row>
    <row r="857" spans="1:29" ht="15.75" x14ac:dyDescent="0.25">
      <c r="A857" s="32">
        <v>66992</v>
      </c>
      <c r="B857" s="14">
        <f>CHOOSE(CONTROL!$C$42, 82.663, 82.663) * CHOOSE(CONTROL!$C$21, $C$9, 100%, $E$9)</f>
        <v>82.662999999999997</v>
      </c>
      <c r="C857" s="14">
        <f>CHOOSE(CONTROL!$C$42, 82.671, 82.671) * CHOOSE(CONTROL!$C$21, $C$9, 100%, $E$9)</f>
        <v>82.671000000000006</v>
      </c>
      <c r="D857" s="14">
        <f>CHOOSE(CONTROL!$C$42, 82.9301, 82.9301) * CHOOSE(CONTROL!$C$21, $C$9, 100%, $E$9)</f>
        <v>82.930099999999996</v>
      </c>
      <c r="E857" s="14">
        <f>CHOOSE(CONTROL!$C$42, 82.9616, 82.9616) * CHOOSE(CONTROL!$C$21, $C$9, 100%, $E$9)</f>
        <v>82.961600000000004</v>
      </c>
      <c r="F857" s="14">
        <f>CHOOSE(CONTROL!$C$42, 82.6845, 82.6845)*CHOOSE(CONTROL!$C$21, $C$9, 100%, $E$9)</f>
        <v>82.6845</v>
      </c>
      <c r="G857" s="14">
        <f>CHOOSE(CONTROL!$C$42, 82.7015, 82.7015)*CHOOSE(CONTROL!$C$21, $C$9, 100%, $E$9)</f>
        <v>82.701499999999996</v>
      </c>
      <c r="H857" s="14">
        <f>CHOOSE(CONTROL!$C$42, 82.9502, 82.9502) * CHOOSE(CONTROL!$C$21, $C$9, 100%, $E$9)</f>
        <v>82.950199999999995</v>
      </c>
      <c r="I857" s="14">
        <f>CHOOSE(CONTROL!$C$42, 82.943, 82.943)* CHOOSE(CONTROL!$C$21, $C$9, 100%, $E$9)</f>
        <v>82.942999999999998</v>
      </c>
      <c r="J857" s="14">
        <f>CHOOSE(CONTROL!$C$42, 82.6775, 82.6775)* CHOOSE(CONTROL!$C$21, $C$9, 100%, $E$9)</f>
        <v>82.677499999999995</v>
      </c>
      <c r="K857" s="52">
        <f>CHOOSE(CONTROL!$C$42, 82.9391, 82.9391) * CHOOSE(CONTROL!$C$21, $C$9, 100%, $E$9)</f>
        <v>82.939099999999996</v>
      </c>
      <c r="L857" s="14">
        <f>CHOOSE(CONTROL!$C$42, 83.5372, 83.5372) * CHOOSE(CONTROL!$C$21, $C$9, 100%, $E$9)</f>
        <v>83.537199999999999</v>
      </c>
      <c r="M857" s="14">
        <f>CHOOSE(CONTROL!$C$42, 81.1981, 81.1981) * CHOOSE(CONTROL!$C$21, $C$9, 100%, $E$9)</f>
        <v>81.198099999999997</v>
      </c>
      <c r="N857" s="14">
        <f>CHOOSE(CONTROL!$C$42, 81.2148, 81.2148) * CHOOSE(CONTROL!$C$21, $C$9, 100%, $E$9)</f>
        <v>81.214799999999997</v>
      </c>
      <c r="O857" s="14">
        <f>CHOOSE(CONTROL!$C$42, 81.4659, 81.4659) * CHOOSE(CONTROL!$C$21, $C$9, 100%, $E$9)</f>
        <v>81.465900000000005</v>
      </c>
      <c r="P857" s="14">
        <f>CHOOSE(CONTROL!$C$42, 81.4543, 81.4543) * CHOOSE(CONTROL!$C$21, $C$9, 100%, $E$9)</f>
        <v>81.454300000000003</v>
      </c>
      <c r="Q857" s="14">
        <f>CHOOSE(CONTROL!$C$42, 82.0606, 82.0606) * CHOOSE(CONTROL!$C$21, $C$9, 100%, $E$9)</f>
        <v>82.060599999999994</v>
      </c>
      <c r="R857" s="14">
        <f>CHOOSE(CONTROL!$C$42, 82.8528, 82.8528) * CHOOSE(CONTROL!$C$21, $C$9, 100%, $E$9)</f>
        <v>82.852800000000002</v>
      </c>
      <c r="S857" s="14">
        <f>CHOOSE(CONTROL!$C$42, 79.4202, 79.4202) * CHOOSE(CONTROL!$C$21, $C$9, 100%, $E$9)</f>
        <v>79.420199999999994</v>
      </c>
      <c r="T85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57" s="56">
        <f>(1000*CHOOSE(CONTROL!$C$42, 695, 695)*CHOOSE(CONTROL!$C$42, 0.5599, 0.5599)*CHOOSE(CONTROL!$C$42, 31, 31))/1000000</f>
        <v>12.063045499999998</v>
      </c>
      <c r="V857" s="56">
        <f>(1000*CHOOSE(CONTROL!$C$42, 500, 500)*CHOOSE(CONTROL!$C$42, 0.275, 0.275)*CHOOSE(CONTROL!$C$42, 31, 31))/1000000</f>
        <v>4.2625000000000002</v>
      </c>
      <c r="W857" s="56">
        <f>(1000*CHOOSE(CONTROL!$C$42, 0.1146, 0.1146)*CHOOSE(CONTROL!$C$42, 121.5, 121.5)*CHOOSE(CONTROL!$C$42, 31, 31))/1000000</f>
        <v>0.43164089999999994</v>
      </c>
      <c r="X857" s="56">
        <f>(31*0.1790888*245000/1000000)+(31*0.2374*100000/1000000)</f>
        <v>2.0961194359999999</v>
      </c>
      <c r="Y857" s="56"/>
      <c r="Z857" s="14"/>
      <c r="AA857" s="55"/>
      <c r="AB857" s="49">
        <f>(B857*194.205+C857*267.466+D857*133.845+E857*53.484+F857*40+G857*185+H857*0+I857*100+J857*300)/(194.205+267.466+133.845+53.484+0+40+185+100+300)</f>
        <v>82.736934497566722</v>
      </c>
      <c r="AC857" s="45">
        <f>(M857*'RAP TEMPLATE-GAS AVAILABILITY'!O856+N857*'RAP TEMPLATE-GAS AVAILABILITY'!P856+O857*'RAP TEMPLATE-GAS AVAILABILITY'!Q856+P857*'RAP TEMPLATE-GAS AVAILABILITY'!R856)/('RAP TEMPLATE-GAS AVAILABILITY'!O856+'RAP TEMPLATE-GAS AVAILABILITY'!P856+'RAP TEMPLATE-GAS AVAILABILITY'!Q856+'RAP TEMPLATE-GAS AVAILABILITY'!R856)</f>
        <v>81.357301438848907</v>
      </c>
    </row>
    <row r="858" spans="1:29" ht="15.75" x14ac:dyDescent="0.25">
      <c r="A858" s="32">
        <v>67022</v>
      </c>
      <c r="B858" s="14">
        <f>CHOOSE(CONTROL!$C$42, 85.0075, 85.0075) * CHOOSE(CONTROL!$C$21, $C$9, 100%, $E$9)</f>
        <v>85.007499999999993</v>
      </c>
      <c r="C858" s="14">
        <f>CHOOSE(CONTROL!$C$42, 85.0156, 85.0156) * CHOOSE(CONTROL!$C$21, $C$9, 100%, $E$9)</f>
        <v>85.015600000000006</v>
      </c>
      <c r="D858" s="14">
        <f>CHOOSE(CONTROL!$C$42, 85.2746, 85.2746) * CHOOSE(CONTROL!$C$21, $C$9, 100%, $E$9)</f>
        <v>85.274600000000007</v>
      </c>
      <c r="E858" s="14">
        <f>CHOOSE(CONTROL!$C$42, 85.3061, 85.3061) * CHOOSE(CONTROL!$C$21, $C$9, 100%, $E$9)</f>
        <v>85.306100000000001</v>
      </c>
      <c r="F858" s="14">
        <f>CHOOSE(CONTROL!$C$42, 85.0293, 85.0293)*CHOOSE(CONTROL!$C$21, $C$9, 100%, $E$9)</f>
        <v>85.029300000000006</v>
      </c>
      <c r="G858" s="14">
        <f>CHOOSE(CONTROL!$C$42, 85.0463, 85.0463)*CHOOSE(CONTROL!$C$21, $C$9, 100%, $E$9)</f>
        <v>85.046300000000002</v>
      </c>
      <c r="H858" s="14">
        <f>CHOOSE(CONTROL!$C$42, 85.2947, 85.2947) * CHOOSE(CONTROL!$C$21, $C$9, 100%, $E$9)</f>
        <v>85.294700000000006</v>
      </c>
      <c r="I858" s="14">
        <f>CHOOSE(CONTROL!$C$42, 85.2949, 85.2949)* CHOOSE(CONTROL!$C$21, $C$9, 100%, $E$9)</f>
        <v>85.294899999999998</v>
      </c>
      <c r="J858" s="14">
        <f>CHOOSE(CONTROL!$C$42, 85.0223, 85.0223)* CHOOSE(CONTROL!$C$21, $C$9, 100%, $E$9)</f>
        <v>85.022300000000001</v>
      </c>
      <c r="K858" s="52">
        <f>CHOOSE(CONTROL!$C$42, 85.291, 85.291) * CHOOSE(CONTROL!$C$21, $C$9, 100%, $E$9)</f>
        <v>85.290999999999997</v>
      </c>
      <c r="L858" s="14">
        <f>CHOOSE(CONTROL!$C$42, 85.8817, 85.8817) * CHOOSE(CONTROL!$C$21, $C$9, 100%, $E$9)</f>
        <v>85.881699999999995</v>
      </c>
      <c r="M858" s="14">
        <f>CHOOSE(CONTROL!$C$42, 83.5007, 83.5007) * CHOOSE(CONTROL!$C$21, $C$9, 100%, $E$9)</f>
        <v>83.500699999999995</v>
      </c>
      <c r="N858" s="14">
        <f>CHOOSE(CONTROL!$C$42, 83.5175, 83.5175) * CHOOSE(CONTROL!$C$21, $C$9, 100%, $E$9)</f>
        <v>83.517499999999998</v>
      </c>
      <c r="O858" s="14">
        <f>CHOOSE(CONTROL!$C$42, 83.7683, 83.7683) * CHOOSE(CONTROL!$C$21, $C$9, 100%, $E$9)</f>
        <v>83.768299999999996</v>
      </c>
      <c r="P858" s="14">
        <f>CHOOSE(CONTROL!$C$42, 83.7637, 83.7637) * CHOOSE(CONTROL!$C$21, $C$9, 100%, $E$9)</f>
        <v>83.7637</v>
      </c>
      <c r="Q858" s="14">
        <f>CHOOSE(CONTROL!$C$42, 84.363, 84.363) * CHOOSE(CONTROL!$C$21, $C$9, 100%, $E$9)</f>
        <v>84.363</v>
      </c>
      <c r="R858" s="14">
        <f>CHOOSE(CONTROL!$C$42, 85.1609, 85.1609) * CHOOSE(CONTROL!$C$21, $C$9, 100%, $E$9)</f>
        <v>85.160899999999998</v>
      </c>
      <c r="S858" s="14">
        <f>CHOOSE(CONTROL!$C$42, 81.6731, 81.6731) * CHOOSE(CONTROL!$C$21, $C$9, 100%, $E$9)</f>
        <v>81.673100000000005</v>
      </c>
      <c r="T85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858" s="56">
        <f>(1000*CHOOSE(CONTROL!$C$42, 695, 695)*CHOOSE(CONTROL!$C$42, 0.5599, 0.5599)*CHOOSE(CONTROL!$C$42, 30, 30))/1000000</f>
        <v>11.673914999999997</v>
      </c>
      <c r="V858" s="56">
        <f>(1000*CHOOSE(CONTROL!$C$42, 500, 500)*CHOOSE(CONTROL!$C$42, 0.275, 0.275)*CHOOSE(CONTROL!$C$42, 30, 30))/1000000</f>
        <v>4.125</v>
      </c>
      <c r="W858" s="56">
        <f>(1000*CHOOSE(CONTROL!$C$42, 0.1146, 0.1146)*CHOOSE(CONTROL!$C$42, 121.5, 121.5)*CHOOSE(CONTROL!$C$42, 30, 30))/1000000</f>
        <v>0.417717</v>
      </c>
      <c r="X858" s="56">
        <f>(30*0.1790888*245000/1000000)+(30*0.2374*100000/1000000)</f>
        <v>2.0285026799999999</v>
      </c>
      <c r="Y858" s="56"/>
      <c r="Z858" s="14"/>
      <c r="AA858" s="55"/>
      <c r="AB858" s="49">
        <f>(B858*194.205+C858*267.466+D858*133.845+E858*53.484+F858*40+G858*185+H858*0+I858*100+J858*300)/(194.205+267.466+133.845+53.484+0+40+185+100+300)</f>
        <v>85.082159965855581</v>
      </c>
      <c r="AC858" s="45">
        <f>(M858*'RAP TEMPLATE-GAS AVAILABILITY'!O857+N858*'RAP TEMPLATE-GAS AVAILABILITY'!P857+O858*'RAP TEMPLATE-GAS AVAILABILITY'!Q857+P858*'RAP TEMPLATE-GAS AVAILABILITY'!R857)/('RAP TEMPLATE-GAS AVAILABILITY'!O857+'RAP TEMPLATE-GAS AVAILABILITY'!P857+'RAP TEMPLATE-GAS AVAILABILITY'!Q857+'RAP TEMPLATE-GAS AVAILABILITY'!R857)</f>
        <v>83.660794964028767</v>
      </c>
    </row>
    <row r="859" spans="1:29" ht="15.75" x14ac:dyDescent="0.25">
      <c r="A859" s="32">
        <v>67053</v>
      </c>
      <c r="B859" s="14">
        <f>CHOOSE(CONTROL!$C$42, 83.3769, 83.3769) * CHOOSE(CONTROL!$C$21, $C$9, 100%, $E$9)</f>
        <v>83.376900000000006</v>
      </c>
      <c r="C859" s="14">
        <f>CHOOSE(CONTROL!$C$42, 83.3849, 83.3849) * CHOOSE(CONTROL!$C$21, $C$9, 100%, $E$9)</f>
        <v>83.384900000000002</v>
      </c>
      <c r="D859" s="14">
        <f>CHOOSE(CONTROL!$C$42, 83.644, 83.644) * CHOOSE(CONTROL!$C$21, $C$9, 100%, $E$9)</f>
        <v>83.644000000000005</v>
      </c>
      <c r="E859" s="14">
        <f>CHOOSE(CONTROL!$C$42, 83.6755, 83.6755) * CHOOSE(CONTROL!$C$21, $C$9, 100%, $E$9)</f>
        <v>83.6755</v>
      </c>
      <c r="F859" s="14">
        <f>CHOOSE(CONTROL!$C$42, 83.3991, 83.3991)*CHOOSE(CONTROL!$C$21, $C$9, 100%, $E$9)</f>
        <v>83.399100000000004</v>
      </c>
      <c r="G859" s="14">
        <f>CHOOSE(CONTROL!$C$42, 83.4163, 83.4163)*CHOOSE(CONTROL!$C$21, $C$9, 100%, $E$9)</f>
        <v>83.416300000000007</v>
      </c>
      <c r="H859" s="14">
        <f>CHOOSE(CONTROL!$C$42, 83.6641, 83.6641) * CHOOSE(CONTROL!$C$21, $C$9, 100%, $E$9)</f>
        <v>83.664100000000005</v>
      </c>
      <c r="I859" s="14">
        <f>CHOOSE(CONTROL!$C$42, 83.6591, 83.6591)* CHOOSE(CONTROL!$C$21, $C$9, 100%, $E$9)</f>
        <v>83.659099999999995</v>
      </c>
      <c r="J859" s="14">
        <f>CHOOSE(CONTROL!$C$42, 83.3921, 83.3921)* CHOOSE(CONTROL!$C$21, $C$9, 100%, $E$9)</f>
        <v>83.392099999999999</v>
      </c>
      <c r="K859" s="52">
        <f>CHOOSE(CONTROL!$C$42, 83.6552, 83.6552) * CHOOSE(CONTROL!$C$21, $C$9, 100%, $E$9)</f>
        <v>83.655199999999994</v>
      </c>
      <c r="L859" s="14">
        <f>CHOOSE(CONTROL!$C$42, 84.2511, 84.2511) * CHOOSE(CONTROL!$C$21, $C$9, 100%, $E$9)</f>
        <v>84.251099999999994</v>
      </c>
      <c r="M859" s="14">
        <f>CHOOSE(CONTROL!$C$42, 81.8998, 81.8998) * CHOOSE(CONTROL!$C$21, $C$9, 100%, $E$9)</f>
        <v>81.899799999999999</v>
      </c>
      <c r="N859" s="14">
        <f>CHOOSE(CONTROL!$C$42, 81.9167, 81.9167) * CHOOSE(CONTROL!$C$21, $C$9, 100%, $E$9)</f>
        <v>81.916700000000006</v>
      </c>
      <c r="O859" s="14">
        <f>CHOOSE(CONTROL!$C$42, 82.167, 82.167) * CHOOSE(CONTROL!$C$21, $C$9, 100%, $E$9)</f>
        <v>82.167000000000002</v>
      </c>
      <c r="P859" s="14">
        <f>CHOOSE(CONTROL!$C$42, 82.1575, 82.1575) * CHOOSE(CONTROL!$C$21, $C$9, 100%, $E$9)</f>
        <v>82.157499999999999</v>
      </c>
      <c r="Q859" s="14">
        <f>CHOOSE(CONTROL!$C$42, 82.7617, 82.7617) * CHOOSE(CONTROL!$C$21, $C$9, 100%, $E$9)</f>
        <v>82.761700000000005</v>
      </c>
      <c r="R859" s="14">
        <f>CHOOSE(CONTROL!$C$42, 83.5556, 83.5556) * CHOOSE(CONTROL!$C$21, $C$9, 100%, $E$9)</f>
        <v>83.555599999999998</v>
      </c>
      <c r="S859" s="14">
        <f>CHOOSE(CONTROL!$C$42, 80.1062, 80.1062) * CHOOSE(CONTROL!$C$21, $C$9, 100%, $E$9)</f>
        <v>80.106200000000001</v>
      </c>
      <c r="T85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859" s="56">
        <f>(1000*CHOOSE(CONTROL!$C$42, 695, 695)*CHOOSE(CONTROL!$C$42, 0.5599, 0.5599)*CHOOSE(CONTROL!$C$42, 31, 31))/1000000</f>
        <v>12.063045499999998</v>
      </c>
      <c r="V859" s="56">
        <f>(1000*CHOOSE(CONTROL!$C$42, 500, 500)*CHOOSE(CONTROL!$C$42, 0.275, 0.275)*CHOOSE(CONTROL!$C$42, 31, 31))/1000000</f>
        <v>4.2625000000000002</v>
      </c>
      <c r="W859" s="56">
        <f>(1000*CHOOSE(CONTROL!$C$42, 0.1146, 0.1146)*CHOOSE(CONTROL!$C$42, 121.5, 121.5)*CHOOSE(CONTROL!$C$42, 31, 31))/1000000</f>
        <v>0.43164089999999994</v>
      </c>
      <c r="X859" s="56">
        <f>(31*0.1790888*245000/1000000)+(31*0.2374*100000/1000000)</f>
        <v>2.0961194359999999</v>
      </c>
      <c r="Y859" s="56"/>
      <c r="Z859" s="14"/>
      <c r="AA859" s="55"/>
      <c r="AB859" s="49">
        <f>(B859*194.205+C859*267.466+D859*133.845+E859*53.484+F859*40+G859*185+H859*0+I859*100+J859*300)/(194.205+267.466+133.845+53.484+0+40+185+100+300)</f>
        <v>83.451324685949785</v>
      </c>
      <c r="AC859" s="45">
        <f>(M859*'RAP TEMPLATE-GAS AVAILABILITY'!O858+N859*'RAP TEMPLATE-GAS AVAILABILITY'!P858+O859*'RAP TEMPLATE-GAS AVAILABILITY'!Q858+P859*'RAP TEMPLATE-GAS AVAILABILITY'!R858)/('RAP TEMPLATE-GAS AVAILABILITY'!O858+'RAP TEMPLATE-GAS AVAILABILITY'!P858+'RAP TEMPLATE-GAS AVAILABILITY'!Q858+'RAP TEMPLATE-GAS AVAILABILITY'!R858)</f>
        <v>82.058956834532381</v>
      </c>
    </row>
    <row r="860" spans="1:29" ht="15.75" x14ac:dyDescent="0.25">
      <c r="A860" s="32">
        <v>67084</v>
      </c>
      <c r="B860" s="14">
        <f>CHOOSE(CONTROL!$C$42, 79.2591, 79.2591) * CHOOSE(CONTROL!$C$21, $C$9, 100%, $E$9)</f>
        <v>79.259100000000004</v>
      </c>
      <c r="C860" s="14">
        <f>CHOOSE(CONTROL!$C$42, 79.2671, 79.2671) * CHOOSE(CONTROL!$C$21, $C$9, 100%, $E$9)</f>
        <v>79.267099999999999</v>
      </c>
      <c r="D860" s="14">
        <f>CHOOSE(CONTROL!$C$42, 79.5262, 79.5262) * CHOOSE(CONTROL!$C$21, $C$9, 100%, $E$9)</f>
        <v>79.526200000000003</v>
      </c>
      <c r="E860" s="14">
        <f>CHOOSE(CONTROL!$C$42, 79.5576, 79.5576) * CHOOSE(CONTROL!$C$21, $C$9, 100%, $E$9)</f>
        <v>79.557599999999994</v>
      </c>
      <c r="F860" s="14">
        <f>CHOOSE(CONTROL!$C$42, 79.2815, 79.2815)*CHOOSE(CONTROL!$C$21, $C$9, 100%, $E$9)</f>
        <v>79.281499999999994</v>
      </c>
      <c r="G860" s="14">
        <f>CHOOSE(CONTROL!$C$42, 79.2987, 79.2987)*CHOOSE(CONTROL!$C$21, $C$9, 100%, $E$9)</f>
        <v>79.298699999999997</v>
      </c>
      <c r="H860" s="14">
        <f>CHOOSE(CONTROL!$C$42, 79.5463, 79.5463) * CHOOSE(CONTROL!$C$21, $C$9, 100%, $E$9)</f>
        <v>79.546300000000002</v>
      </c>
      <c r="I860" s="14">
        <f>CHOOSE(CONTROL!$C$42, 79.5284, 79.5284)* CHOOSE(CONTROL!$C$21, $C$9, 100%, $E$9)</f>
        <v>79.528400000000005</v>
      </c>
      <c r="J860" s="14">
        <f>CHOOSE(CONTROL!$C$42, 79.2745, 79.2745)* CHOOSE(CONTROL!$C$21, $C$9, 100%, $E$9)</f>
        <v>79.274500000000003</v>
      </c>
      <c r="K860" s="52">
        <f>CHOOSE(CONTROL!$C$42, 79.5245, 79.5245) * CHOOSE(CONTROL!$C$21, $C$9, 100%, $E$9)</f>
        <v>79.524500000000003</v>
      </c>
      <c r="L860" s="14">
        <f>CHOOSE(CONTROL!$C$42, 80.1333, 80.1333) * CHOOSE(CONTROL!$C$21, $C$9, 100%, $E$9)</f>
        <v>80.133300000000006</v>
      </c>
      <c r="M860" s="14">
        <f>CHOOSE(CONTROL!$C$42, 77.8563, 77.8563) * CHOOSE(CONTROL!$C$21, $C$9, 100%, $E$9)</f>
        <v>77.856300000000005</v>
      </c>
      <c r="N860" s="14">
        <f>CHOOSE(CONTROL!$C$42, 77.8732, 77.8732) * CHOOSE(CONTROL!$C$21, $C$9, 100%, $E$9)</f>
        <v>77.873199999999997</v>
      </c>
      <c r="O860" s="14">
        <f>CHOOSE(CONTROL!$C$42, 78.1232, 78.1232) * CHOOSE(CONTROL!$C$21, $C$9, 100%, $E$9)</f>
        <v>78.123199999999997</v>
      </c>
      <c r="P860" s="14">
        <f>CHOOSE(CONTROL!$C$42, 78.1013, 78.1013) * CHOOSE(CONTROL!$C$21, $C$9, 100%, $E$9)</f>
        <v>78.101299999999995</v>
      </c>
      <c r="Q860" s="14">
        <f>CHOOSE(CONTROL!$C$42, 78.7179, 78.7179) * CHOOSE(CONTROL!$C$21, $C$9, 100%, $E$9)</f>
        <v>78.7179</v>
      </c>
      <c r="R860" s="14">
        <f>CHOOSE(CONTROL!$C$42, 79.5017, 79.5017) * CHOOSE(CONTROL!$C$21, $C$9, 100%, $E$9)</f>
        <v>79.5017</v>
      </c>
      <c r="S860" s="14">
        <f>CHOOSE(CONTROL!$C$42, 76.1494, 76.1494) * CHOOSE(CONTROL!$C$21, $C$9, 100%, $E$9)</f>
        <v>76.1494</v>
      </c>
      <c r="T86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60" s="56">
        <f>(1000*CHOOSE(CONTROL!$C$42, 695, 695)*CHOOSE(CONTROL!$C$42, 0.5599, 0.5599)*CHOOSE(CONTROL!$C$42, 31, 31))/1000000</f>
        <v>12.063045499999998</v>
      </c>
      <c r="V860" s="56">
        <f>(1000*CHOOSE(CONTROL!$C$42, 500, 500)*CHOOSE(CONTROL!$C$42, 0.275, 0.275)*CHOOSE(CONTROL!$C$42, 31, 31))/1000000</f>
        <v>4.2625000000000002</v>
      </c>
      <c r="W860" s="56">
        <f>(1000*CHOOSE(CONTROL!$C$42, 0.1146, 0.1146)*CHOOSE(CONTROL!$C$42, 121.5, 121.5)*CHOOSE(CONTROL!$C$42, 31, 31))/1000000</f>
        <v>0.43164089999999994</v>
      </c>
      <c r="X860" s="56">
        <f>(31*0.1790888*245000/1000000)+(31*0.2374*100000/1000000)</f>
        <v>2.0961194359999999</v>
      </c>
      <c r="Y860" s="56"/>
      <c r="Z860" s="14"/>
      <c r="AA860" s="55"/>
      <c r="AB860" s="49">
        <f>(B860*194.205+C860*267.466+D860*133.845+E860*53.484+F860*40+G860*185+H860*0+I860*100+J860*300)/(194.205+267.466+133.845+53.484+0+40+185+100+300)</f>
        <v>79.332590346546326</v>
      </c>
      <c r="AC860" s="45">
        <f>(M860*'RAP TEMPLATE-GAS AVAILABILITY'!O859+N860*'RAP TEMPLATE-GAS AVAILABILITY'!P859+O860*'RAP TEMPLATE-GAS AVAILABILITY'!Q859+P860*'RAP TEMPLATE-GAS AVAILABILITY'!R859)/('RAP TEMPLATE-GAS AVAILABILITY'!O859+'RAP TEMPLATE-GAS AVAILABILITY'!P859+'RAP TEMPLATE-GAS AVAILABILITY'!Q859+'RAP TEMPLATE-GAS AVAILABILITY'!R859)</f>
        <v>78.013493525179854</v>
      </c>
    </row>
    <row r="861" spans="1:29" ht="15.75" x14ac:dyDescent="0.25">
      <c r="A861" s="32">
        <v>67114</v>
      </c>
      <c r="B861" s="14">
        <f>CHOOSE(CONTROL!$C$42, 74.2276, 74.2276) * CHOOSE(CONTROL!$C$21, $C$9, 100%, $E$9)</f>
        <v>74.227599999999995</v>
      </c>
      <c r="C861" s="14">
        <f>CHOOSE(CONTROL!$C$42, 74.2356, 74.2356) * CHOOSE(CONTROL!$C$21, $C$9, 100%, $E$9)</f>
        <v>74.235600000000005</v>
      </c>
      <c r="D861" s="14">
        <f>CHOOSE(CONTROL!$C$42, 74.4947, 74.4947) * CHOOSE(CONTROL!$C$21, $C$9, 100%, $E$9)</f>
        <v>74.494699999999995</v>
      </c>
      <c r="E861" s="14">
        <f>CHOOSE(CONTROL!$C$42, 74.5262, 74.5262) * CHOOSE(CONTROL!$C$21, $C$9, 100%, $E$9)</f>
        <v>74.526200000000003</v>
      </c>
      <c r="F861" s="14">
        <f>CHOOSE(CONTROL!$C$42, 74.2501, 74.2501)*CHOOSE(CONTROL!$C$21, $C$9, 100%, $E$9)</f>
        <v>74.250100000000003</v>
      </c>
      <c r="G861" s="14">
        <f>CHOOSE(CONTROL!$C$42, 74.2673, 74.2673)*CHOOSE(CONTROL!$C$21, $C$9, 100%, $E$9)</f>
        <v>74.267300000000006</v>
      </c>
      <c r="H861" s="14">
        <f>CHOOSE(CONTROL!$C$42, 74.5148, 74.5148) * CHOOSE(CONTROL!$C$21, $C$9, 100%, $E$9)</f>
        <v>74.514799999999994</v>
      </c>
      <c r="I861" s="14">
        <f>CHOOSE(CONTROL!$C$42, 74.4812, 74.4812)* CHOOSE(CONTROL!$C$21, $C$9, 100%, $E$9)</f>
        <v>74.481200000000001</v>
      </c>
      <c r="J861" s="14">
        <f>CHOOSE(CONTROL!$C$42, 74.2431, 74.2431)* CHOOSE(CONTROL!$C$21, $C$9, 100%, $E$9)</f>
        <v>74.243099999999998</v>
      </c>
      <c r="K861" s="52">
        <f>CHOOSE(CONTROL!$C$42, 74.4773, 74.4773) * CHOOSE(CONTROL!$C$21, $C$9, 100%, $E$9)</f>
        <v>74.4773</v>
      </c>
      <c r="L861" s="14">
        <f>CHOOSE(CONTROL!$C$42, 75.1018, 75.1018) * CHOOSE(CONTROL!$C$21, $C$9, 100%, $E$9)</f>
        <v>75.101799999999997</v>
      </c>
      <c r="M861" s="14">
        <f>CHOOSE(CONTROL!$C$42, 72.9154, 72.9154) * CHOOSE(CONTROL!$C$21, $C$9, 100%, $E$9)</f>
        <v>72.915400000000005</v>
      </c>
      <c r="N861" s="14">
        <f>CHOOSE(CONTROL!$C$42, 72.9323, 72.9323) * CHOOSE(CONTROL!$C$21, $C$9, 100%, $E$9)</f>
        <v>72.932299999999998</v>
      </c>
      <c r="O861" s="14">
        <f>CHOOSE(CONTROL!$C$42, 73.1822, 73.1822) * CHOOSE(CONTROL!$C$21, $C$9, 100%, $E$9)</f>
        <v>73.182199999999995</v>
      </c>
      <c r="P861" s="14">
        <f>CHOOSE(CONTROL!$C$42, 73.1451, 73.1451) * CHOOSE(CONTROL!$C$21, $C$9, 100%, $E$9)</f>
        <v>73.145099999999999</v>
      </c>
      <c r="Q861" s="14">
        <f>CHOOSE(CONTROL!$C$42, 73.7769, 73.7769) * CHOOSE(CONTROL!$C$21, $C$9, 100%, $E$9)</f>
        <v>73.776899999999998</v>
      </c>
      <c r="R861" s="14">
        <f>CHOOSE(CONTROL!$C$42, 74.5484, 74.5484) * CHOOSE(CONTROL!$C$21, $C$9, 100%, $E$9)</f>
        <v>74.548400000000001</v>
      </c>
      <c r="S861" s="14">
        <f>CHOOSE(CONTROL!$C$42, 71.3147, 71.3147) * CHOOSE(CONTROL!$C$21, $C$9, 100%, $E$9)</f>
        <v>71.314700000000002</v>
      </c>
      <c r="T86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61" s="56">
        <f>(1000*CHOOSE(CONTROL!$C$42, 695, 695)*CHOOSE(CONTROL!$C$42, 0.5599, 0.5599)*CHOOSE(CONTROL!$C$42, 30, 30))/1000000</f>
        <v>11.673914999999997</v>
      </c>
      <c r="V861" s="56">
        <f>(1000*CHOOSE(CONTROL!$C$42, 500, 500)*CHOOSE(CONTROL!$C$42, 0.275, 0.275)*CHOOSE(CONTROL!$C$42, 30, 30))/1000000</f>
        <v>4.125</v>
      </c>
      <c r="W861" s="56">
        <f>(1000*CHOOSE(CONTROL!$C$42, 0.1146, 0.1146)*CHOOSE(CONTROL!$C$42, 121.5, 121.5)*CHOOSE(CONTROL!$C$42, 30, 30))/1000000</f>
        <v>0.417717</v>
      </c>
      <c r="X861" s="56">
        <f>(30*0.1790888*245000/1000000)+(30*0.2374*100000/1000000)</f>
        <v>2.0285026799999999</v>
      </c>
      <c r="Y861" s="56"/>
      <c r="Z861" s="14"/>
      <c r="AA861" s="55"/>
      <c r="AB861" s="49">
        <f>(B861*194.205+C861*267.466+D861*133.845+E861*53.484+F861*40+G861*185+H861*0+I861*100+J861*300)/(194.205+267.466+133.845+53.484+0+40+185+100+300)</f>
        <v>74.299903414364223</v>
      </c>
      <c r="AC861" s="45">
        <f>(M861*'RAP TEMPLATE-GAS AVAILABILITY'!O860+N861*'RAP TEMPLATE-GAS AVAILABILITY'!P860+O861*'RAP TEMPLATE-GAS AVAILABILITY'!Q860+P861*'RAP TEMPLATE-GAS AVAILABILITY'!R860)/('RAP TEMPLATE-GAS AVAILABILITY'!O860+'RAP TEMPLATE-GAS AVAILABILITY'!P860+'RAP TEMPLATE-GAS AVAILABILITY'!Q860+'RAP TEMPLATE-GAS AVAILABILITY'!R860)</f>
        <v>73.070346762589935</v>
      </c>
    </row>
    <row r="862" spans="1:29" ht="15.75" x14ac:dyDescent="0.25">
      <c r="A862" s="32">
        <v>67145</v>
      </c>
      <c r="B862" s="14">
        <f>CHOOSE(CONTROL!$C$42, 72.719, 72.719) * CHOOSE(CONTROL!$C$21, $C$9, 100%, $E$9)</f>
        <v>72.718999999999994</v>
      </c>
      <c r="C862" s="14">
        <f>CHOOSE(CONTROL!$C$42, 72.7243, 72.7243) * CHOOSE(CONTROL!$C$21, $C$9, 100%, $E$9)</f>
        <v>72.724299999999999</v>
      </c>
      <c r="D862" s="14">
        <f>CHOOSE(CONTROL!$C$42, 72.9883, 72.9883) * CHOOSE(CONTROL!$C$21, $C$9, 100%, $E$9)</f>
        <v>72.988299999999995</v>
      </c>
      <c r="E862" s="14">
        <f>CHOOSE(CONTROL!$C$42, 73.0175, 73.0175) * CHOOSE(CONTROL!$C$21, $C$9, 100%, $E$9)</f>
        <v>73.017499999999998</v>
      </c>
      <c r="F862" s="14">
        <f>CHOOSE(CONTROL!$C$42, 72.7436, 72.7436)*CHOOSE(CONTROL!$C$21, $C$9, 100%, $E$9)</f>
        <v>72.743600000000001</v>
      </c>
      <c r="G862" s="14">
        <f>CHOOSE(CONTROL!$C$42, 72.7607, 72.7607)*CHOOSE(CONTROL!$C$21, $C$9, 100%, $E$9)</f>
        <v>72.7607</v>
      </c>
      <c r="H862" s="14">
        <f>CHOOSE(CONTROL!$C$42, 73.0079, 73.0079) * CHOOSE(CONTROL!$C$21, $C$9, 100%, $E$9)</f>
        <v>73.007900000000006</v>
      </c>
      <c r="I862" s="14">
        <f>CHOOSE(CONTROL!$C$42, 72.9696, 72.9696)* CHOOSE(CONTROL!$C$21, $C$9, 100%, $E$9)</f>
        <v>72.9696</v>
      </c>
      <c r="J862" s="14">
        <f>CHOOSE(CONTROL!$C$42, 72.7366, 72.7366)* CHOOSE(CONTROL!$C$21, $C$9, 100%, $E$9)</f>
        <v>72.736599999999996</v>
      </c>
      <c r="K862" s="52">
        <f>CHOOSE(CONTROL!$C$42, 72.9657, 72.9657) * CHOOSE(CONTROL!$C$21, $C$9, 100%, $E$9)</f>
        <v>72.965699999999998</v>
      </c>
      <c r="L862" s="14">
        <f>CHOOSE(CONTROL!$C$42, 73.5949, 73.5949) * CHOOSE(CONTROL!$C$21, $C$9, 100%, $E$9)</f>
        <v>73.594899999999996</v>
      </c>
      <c r="M862" s="14">
        <f>CHOOSE(CONTROL!$C$42, 71.436, 71.436) * CHOOSE(CONTROL!$C$21, $C$9, 100%, $E$9)</f>
        <v>71.436000000000007</v>
      </c>
      <c r="N862" s="14">
        <f>CHOOSE(CONTROL!$C$42, 71.4528, 71.4528) * CHOOSE(CONTROL!$C$21, $C$9, 100%, $E$9)</f>
        <v>71.452799999999996</v>
      </c>
      <c r="O862" s="14">
        <f>CHOOSE(CONTROL!$C$42, 71.7024, 71.7024) * CHOOSE(CONTROL!$C$21, $C$9, 100%, $E$9)</f>
        <v>71.702399999999997</v>
      </c>
      <c r="P862" s="14">
        <f>CHOOSE(CONTROL!$C$42, 71.6608, 71.6608) * CHOOSE(CONTROL!$C$21, $C$9, 100%, $E$9)</f>
        <v>71.660799999999995</v>
      </c>
      <c r="Q862" s="14">
        <f>CHOOSE(CONTROL!$C$42, 72.2971, 72.2971) * CHOOSE(CONTROL!$C$21, $C$9, 100%, $E$9)</f>
        <v>72.2971</v>
      </c>
      <c r="R862" s="14">
        <f>CHOOSE(CONTROL!$C$42, 73.0649, 73.0649) * CHOOSE(CONTROL!$C$21, $C$9, 100%, $E$9)</f>
        <v>73.064899999999994</v>
      </c>
      <c r="S862" s="14">
        <f>CHOOSE(CONTROL!$C$42, 69.8667, 69.8667) * CHOOSE(CONTROL!$C$21, $C$9, 100%, $E$9)</f>
        <v>69.866699999999994</v>
      </c>
      <c r="T86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62" s="56">
        <f>(1000*CHOOSE(CONTROL!$C$42, 695, 695)*CHOOSE(CONTROL!$C$42, 0.5599, 0.5599)*CHOOSE(CONTROL!$C$42, 31, 31))/1000000</f>
        <v>12.063045499999998</v>
      </c>
      <c r="V862" s="56">
        <f>(1000*CHOOSE(CONTROL!$C$42, 500, 500)*CHOOSE(CONTROL!$C$42, 0.275, 0.275)*CHOOSE(CONTROL!$C$42, 31, 31))/1000000</f>
        <v>4.2625000000000002</v>
      </c>
      <c r="W862" s="56">
        <f>(1000*CHOOSE(CONTROL!$C$42, 0.1146, 0.1146)*CHOOSE(CONTROL!$C$42, 121.5, 121.5)*CHOOSE(CONTROL!$C$42, 31, 31))/1000000</f>
        <v>0.43164089999999994</v>
      </c>
      <c r="X862" s="56">
        <f>(31*0.1790888*245000/1000000)+(31*0.2374*100000/1000000)</f>
        <v>2.0961194359999999</v>
      </c>
      <c r="Y862" s="56"/>
      <c r="Z862" s="14"/>
      <c r="AA862" s="55"/>
      <c r="AB862" s="49">
        <f>(B862*131.881+C862*277.167+D862*79.08+E862*125.872+F862*40+G862*185+H862*0+I862*100+J862*300)/(131.881+277.167+79.08+125.872+0+40+185+100+300)</f>
        <v>72.799207038821621</v>
      </c>
      <c r="AC862" s="45">
        <f>(M862*'RAP TEMPLATE-GAS AVAILABILITY'!O861+N862*'RAP TEMPLATE-GAS AVAILABILITY'!P861+O862*'RAP TEMPLATE-GAS AVAILABILITY'!Q861+P862*'RAP TEMPLATE-GAS AVAILABILITY'!R861)/('RAP TEMPLATE-GAS AVAILABILITY'!O861+'RAP TEMPLATE-GAS AVAILABILITY'!P861+'RAP TEMPLATE-GAS AVAILABILITY'!Q861+'RAP TEMPLATE-GAS AVAILABILITY'!R861)</f>
        <v>71.590054676259001</v>
      </c>
    </row>
    <row r="863" spans="1:29" ht="15.75" x14ac:dyDescent="0.25">
      <c r="A863" s="32">
        <v>67175</v>
      </c>
      <c r="B863" s="14">
        <f>CHOOSE(CONTROL!$C$42, 74.634, 74.634) * CHOOSE(CONTROL!$C$21, $C$9, 100%, $E$9)</f>
        <v>74.634</v>
      </c>
      <c r="C863" s="14">
        <f>CHOOSE(CONTROL!$C$42, 74.6391, 74.6391) * CHOOSE(CONTROL!$C$21, $C$9, 100%, $E$9)</f>
        <v>74.639099999999999</v>
      </c>
      <c r="D863" s="14">
        <f>CHOOSE(CONTROL!$C$42, 74.7222, 74.7222) * CHOOSE(CONTROL!$C$21, $C$9, 100%, $E$9)</f>
        <v>74.722200000000001</v>
      </c>
      <c r="E863" s="14">
        <f>CHOOSE(CONTROL!$C$42, 74.7563, 74.7563) * CHOOSE(CONTROL!$C$21, $C$9, 100%, $E$9)</f>
        <v>74.756299999999996</v>
      </c>
      <c r="F863" s="14">
        <f>CHOOSE(CONTROL!$C$42, 74.6617, 74.6617)*CHOOSE(CONTROL!$C$21, $C$9, 100%, $E$9)</f>
        <v>74.661699999999996</v>
      </c>
      <c r="G863" s="14">
        <f>CHOOSE(CONTROL!$C$42, 74.679, 74.679)*CHOOSE(CONTROL!$C$21, $C$9, 100%, $E$9)</f>
        <v>74.679000000000002</v>
      </c>
      <c r="H863" s="14">
        <f>CHOOSE(CONTROL!$C$42, 74.7455, 74.7455) * CHOOSE(CONTROL!$C$21, $C$9, 100%, $E$9)</f>
        <v>74.745500000000007</v>
      </c>
      <c r="I863" s="14">
        <f>CHOOSE(CONTROL!$C$42, 74.8874, 74.8874)* CHOOSE(CONTROL!$C$21, $C$9, 100%, $E$9)</f>
        <v>74.8874</v>
      </c>
      <c r="J863" s="14">
        <f>CHOOSE(CONTROL!$C$42, 74.6547, 74.6547)* CHOOSE(CONTROL!$C$21, $C$9, 100%, $E$9)</f>
        <v>74.654700000000005</v>
      </c>
      <c r="K863" s="52">
        <f>CHOOSE(CONTROL!$C$42, 74.8835, 74.8835) * CHOOSE(CONTROL!$C$21, $C$9, 100%, $E$9)</f>
        <v>74.883499999999998</v>
      </c>
      <c r="L863" s="14">
        <f>CHOOSE(CONTROL!$C$42, 75.3325, 75.3325) * CHOOSE(CONTROL!$C$21, $C$9, 100%, $E$9)</f>
        <v>75.332499999999996</v>
      </c>
      <c r="M863" s="14">
        <f>CHOOSE(CONTROL!$C$42, 73.3196, 73.3196) * CHOOSE(CONTROL!$C$21, $C$9, 100%, $E$9)</f>
        <v>73.319599999999994</v>
      </c>
      <c r="N863" s="14">
        <f>CHOOSE(CONTROL!$C$42, 73.3366, 73.3366) * CHOOSE(CONTROL!$C$21, $C$9, 100%, $E$9)</f>
        <v>73.336600000000004</v>
      </c>
      <c r="O863" s="14">
        <f>CHOOSE(CONTROL!$C$42, 73.4087, 73.4087) * CHOOSE(CONTROL!$C$21, $C$9, 100%, $E$9)</f>
        <v>73.408699999999996</v>
      </c>
      <c r="P863" s="14">
        <f>CHOOSE(CONTROL!$C$42, 73.5441, 73.5441) * CHOOSE(CONTROL!$C$21, $C$9, 100%, $E$9)</f>
        <v>73.5441</v>
      </c>
      <c r="Q863" s="14">
        <f>CHOOSE(CONTROL!$C$42, 74.0034, 74.0034) * CHOOSE(CONTROL!$C$21, $C$9, 100%, $E$9)</f>
        <v>74.003399999999999</v>
      </c>
      <c r="R863" s="14">
        <f>CHOOSE(CONTROL!$C$42, 74.7754, 74.7754) * CHOOSE(CONTROL!$C$21, $C$9, 100%, $E$9)</f>
        <v>74.775400000000005</v>
      </c>
      <c r="S863" s="14">
        <f>CHOOSE(CONTROL!$C$42, 71.7073, 71.7073) * CHOOSE(CONTROL!$C$21, $C$9, 100%, $E$9)</f>
        <v>71.707300000000004</v>
      </c>
      <c r="T86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63" s="56">
        <f>(1000*CHOOSE(CONTROL!$C$42, 695, 695)*CHOOSE(CONTROL!$C$42, 0.5599, 0.5599)*CHOOSE(CONTROL!$C$42, 30, 30))/1000000</f>
        <v>11.673914999999997</v>
      </c>
      <c r="V863" s="56">
        <f>(1000*CHOOSE(CONTROL!$C$42, 500, 500)*CHOOSE(CONTROL!$C$42, 0.275, 0.275)*CHOOSE(CONTROL!$C$42, 30, 30))/1000000</f>
        <v>4.125</v>
      </c>
      <c r="W863" s="56">
        <f>(1000*CHOOSE(CONTROL!$C$42, 0.1146, 0.1146)*CHOOSE(CONTROL!$C$42, 121.5, 121.5)*CHOOSE(CONTROL!$C$42, 30, 30))/1000000</f>
        <v>0.417717</v>
      </c>
      <c r="X863" s="56">
        <f>(30*0.1790888*100000/1000000)+(30*0.2374*100000/1000000)</f>
        <v>1.2494664</v>
      </c>
      <c r="Y863" s="56"/>
      <c r="Z863" s="14"/>
      <c r="AA863" s="55"/>
      <c r="AB863" s="49">
        <f>(B863*122.58+C863*297.941+D863*89.177+E863*40.302+F863*40+G863*160+H863*0+I863*100+J863*300)/(122.58+297.941+89.177+40.302+0+40+160+100+300)</f>
        <v>74.681105952260864</v>
      </c>
      <c r="AC863" s="45">
        <f>(M863*'RAP TEMPLATE-GAS AVAILABILITY'!O862+N863*'RAP TEMPLATE-GAS AVAILABILITY'!P862+O863*'RAP TEMPLATE-GAS AVAILABILITY'!Q862+P863*'RAP TEMPLATE-GAS AVAILABILITY'!R862)/('RAP TEMPLATE-GAS AVAILABILITY'!O862+'RAP TEMPLATE-GAS AVAILABILITY'!P862+'RAP TEMPLATE-GAS AVAILABILITY'!Q862+'RAP TEMPLATE-GAS AVAILABILITY'!R862)</f>
        <v>73.393264028776969</v>
      </c>
    </row>
    <row r="864" spans="1:29" ht="15.75" x14ac:dyDescent="0.25">
      <c r="A864" s="32">
        <v>67206</v>
      </c>
      <c r="B864" s="14">
        <f>CHOOSE(CONTROL!$C$42, 79.7219, 79.7219) * CHOOSE(CONTROL!$C$21, $C$9, 100%, $E$9)</f>
        <v>79.721900000000005</v>
      </c>
      <c r="C864" s="14">
        <f>CHOOSE(CONTROL!$C$42, 79.727, 79.727) * CHOOSE(CONTROL!$C$21, $C$9, 100%, $E$9)</f>
        <v>79.727000000000004</v>
      </c>
      <c r="D864" s="14">
        <f>CHOOSE(CONTROL!$C$42, 79.81, 79.81) * CHOOSE(CONTROL!$C$21, $C$9, 100%, $E$9)</f>
        <v>79.81</v>
      </c>
      <c r="E864" s="14">
        <f>CHOOSE(CONTROL!$C$42, 79.8441, 79.8441) * CHOOSE(CONTROL!$C$21, $C$9, 100%, $E$9)</f>
        <v>79.844099999999997</v>
      </c>
      <c r="F864" s="14">
        <f>CHOOSE(CONTROL!$C$42, 79.752, 79.752)*CHOOSE(CONTROL!$C$21, $C$9, 100%, $E$9)</f>
        <v>79.751999999999995</v>
      </c>
      <c r="G864" s="14">
        <f>CHOOSE(CONTROL!$C$42, 79.77, 79.77)*CHOOSE(CONTROL!$C$21, $C$9, 100%, $E$9)</f>
        <v>79.77</v>
      </c>
      <c r="H864" s="14">
        <f>CHOOSE(CONTROL!$C$42, 79.8333, 79.8333) * CHOOSE(CONTROL!$C$21, $C$9, 100%, $E$9)</f>
        <v>79.833299999999994</v>
      </c>
      <c r="I864" s="14">
        <f>CHOOSE(CONTROL!$C$42, 79.9912, 79.9912)* CHOOSE(CONTROL!$C$21, $C$9, 100%, $E$9)</f>
        <v>79.991200000000006</v>
      </c>
      <c r="J864" s="14">
        <f>CHOOSE(CONTROL!$C$42, 79.745, 79.745)* CHOOSE(CONTROL!$C$21, $C$9, 100%, $E$9)</f>
        <v>79.745000000000005</v>
      </c>
      <c r="K864" s="52">
        <f>CHOOSE(CONTROL!$C$42, 79.9873, 79.9873) * CHOOSE(CONTROL!$C$21, $C$9, 100%, $E$9)</f>
        <v>79.987300000000005</v>
      </c>
      <c r="L864" s="14">
        <f>CHOOSE(CONTROL!$C$42, 80.4203, 80.4203) * CHOOSE(CONTROL!$C$21, $C$9, 100%, $E$9)</f>
        <v>80.420299999999997</v>
      </c>
      <c r="M864" s="14">
        <f>CHOOSE(CONTROL!$C$42, 78.3183, 78.3183) * CHOOSE(CONTROL!$C$21, $C$9, 100%, $E$9)</f>
        <v>78.318299999999994</v>
      </c>
      <c r="N864" s="14">
        <f>CHOOSE(CONTROL!$C$42, 78.336, 78.336) * CHOOSE(CONTROL!$C$21, $C$9, 100%, $E$9)</f>
        <v>78.335999999999999</v>
      </c>
      <c r="O864" s="14">
        <f>CHOOSE(CONTROL!$C$42, 78.4051, 78.4051) * CHOOSE(CONTROL!$C$21, $C$9, 100%, $E$9)</f>
        <v>78.405100000000004</v>
      </c>
      <c r="P864" s="14">
        <f>CHOOSE(CONTROL!$C$42, 78.5558, 78.5558) * CHOOSE(CONTROL!$C$21, $C$9, 100%, $E$9)</f>
        <v>78.555800000000005</v>
      </c>
      <c r="Q864" s="14">
        <f>CHOOSE(CONTROL!$C$42, 78.9998, 78.9998) * CHOOSE(CONTROL!$C$21, $C$9, 100%, $E$9)</f>
        <v>78.999799999999993</v>
      </c>
      <c r="R864" s="14">
        <f>CHOOSE(CONTROL!$C$42, 79.7843, 79.7843) * CHOOSE(CONTROL!$C$21, $C$9, 100%, $E$9)</f>
        <v>79.784300000000002</v>
      </c>
      <c r="S864" s="14">
        <f>CHOOSE(CONTROL!$C$42, 76.5962, 76.5962) * CHOOSE(CONTROL!$C$21, $C$9, 100%, $E$9)</f>
        <v>76.596199999999996</v>
      </c>
      <c r="T86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64" s="56">
        <f>(1000*CHOOSE(CONTROL!$C$42, 695, 695)*CHOOSE(CONTROL!$C$42, 0.5599, 0.5599)*CHOOSE(CONTROL!$C$42, 31, 31))/1000000</f>
        <v>12.063045499999998</v>
      </c>
      <c r="V864" s="56">
        <f>(1000*CHOOSE(CONTROL!$C$42, 500, 500)*CHOOSE(CONTROL!$C$42, 0.275, 0.275)*CHOOSE(CONTROL!$C$42, 31, 31))/1000000</f>
        <v>4.2625000000000002</v>
      </c>
      <c r="W864" s="56">
        <f>(1000*CHOOSE(CONTROL!$C$42, 0.1146, 0.1146)*CHOOSE(CONTROL!$C$42, 121.5, 121.5)*CHOOSE(CONTROL!$C$42, 31, 31))/1000000</f>
        <v>0.43164089999999994</v>
      </c>
      <c r="X864" s="56">
        <f>(31*0.1790888*100000/1000000)+(31*0.2374*100000/1000000)</f>
        <v>1.2911152800000001</v>
      </c>
      <c r="Y864" s="56"/>
      <c r="Z864" s="14"/>
      <c r="AA864" s="55"/>
      <c r="AB864" s="49">
        <f>(B864*122.58+C864*297.941+D864*89.177+E864*40.302+F864*40+G864*160+H864*0+I864*100+J864*300)/(122.58+297.941+89.177+40.302+0+40+160+100+300)</f>
        <v>79.771518171478263</v>
      </c>
      <c r="AC864" s="45">
        <f>(M864*'RAP TEMPLATE-GAS AVAILABILITY'!O863+N864*'RAP TEMPLATE-GAS AVAILABILITY'!P863+O864*'RAP TEMPLATE-GAS AVAILABILITY'!Q863+P864*'RAP TEMPLATE-GAS AVAILABILITY'!R863)/('RAP TEMPLATE-GAS AVAILABILITY'!O863+'RAP TEMPLATE-GAS AVAILABILITY'!P863+'RAP TEMPLATE-GAS AVAILABILITY'!Q863+'RAP TEMPLATE-GAS AVAILABILITY'!R863)</f>
        <v>78.39283237410072</v>
      </c>
    </row>
    <row r="865" spans="1:29" ht="15.75" x14ac:dyDescent="0.25">
      <c r="A865" s="32">
        <v>67237</v>
      </c>
      <c r="B865" s="14">
        <f>CHOOSE(CONTROL!$C$42, 86.3301, 86.3301) * CHOOSE(CONTROL!$C$21, $C$9, 100%, $E$9)</f>
        <v>86.330100000000002</v>
      </c>
      <c r="C865" s="14">
        <f>CHOOSE(CONTROL!$C$42, 86.3352, 86.3352) * CHOOSE(CONTROL!$C$21, $C$9, 100%, $E$9)</f>
        <v>86.3352</v>
      </c>
      <c r="D865" s="14">
        <f>CHOOSE(CONTROL!$C$42, 86.4287, 86.4287) * CHOOSE(CONTROL!$C$21, $C$9, 100%, $E$9)</f>
        <v>86.428700000000006</v>
      </c>
      <c r="E865" s="14">
        <f>CHOOSE(CONTROL!$C$42, 86.4628, 86.4628) * CHOOSE(CONTROL!$C$21, $C$9, 100%, $E$9)</f>
        <v>86.462800000000001</v>
      </c>
      <c r="F865" s="14">
        <f>CHOOSE(CONTROL!$C$42, 86.3574, 86.3574)*CHOOSE(CONTROL!$C$21, $C$9, 100%, $E$9)</f>
        <v>86.357399999999998</v>
      </c>
      <c r="G865" s="14">
        <f>CHOOSE(CONTROL!$C$42, 86.3754, 86.3754)*CHOOSE(CONTROL!$C$21, $C$9, 100%, $E$9)</f>
        <v>86.375399999999999</v>
      </c>
      <c r="H865" s="14">
        <f>CHOOSE(CONTROL!$C$42, 86.452, 86.452) * CHOOSE(CONTROL!$C$21, $C$9, 100%, $E$9)</f>
        <v>86.451999999999998</v>
      </c>
      <c r="I865" s="14">
        <f>CHOOSE(CONTROL!$C$42, 86.6264, 86.6264)* CHOOSE(CONTROL!$C$21, $C$9, 100%, $E$9)</f>
        <v>86.626400000000004</v>
      </c>
      <c r="J865" s="14">
        <f>CHOOSE(CONTROL!$C$42, 86.3504, 86.3504)* CHOOSE(CONTROL!$C$21, $C$9, 100%, $E$9)</f>
        <v>86.350399999999993</v>
      </c>
      <c r="K865" s="52">
        <f>CHOOSE(CONTROL!$C$42, 86.6225, 86.6225) * CHOOSE(CONTROL!$C$21, $C$9, 100%, $E$9)</f>
        <v>86.622500000000002</v>
      </c>
      <c r="L865" s="14">
        <f>CHOOSE(CONTROL!$C$42, 87.039, 87.039) * CHOOSE(CONTROL!$C$21, $C$9, 100%, $E$9)</f>
        <v>87.039000000000001</v>
      </c>
      <c r="M865" s="14">
        <f>CHOOSE(CONTROL!$C$42, 84.805, 84.805) * CHOOSE(CONTROL!$C$21, $C$9, 100%, $E$9)</f>
        <v>84.805000000000007</v>
      </c>
      <c r="N865" s="14">
        <f>CHOOSE(CONTROL!$C$42, 84.8226, 84.8226) * CHOOSE(CONTROL!$C$21, $C$9, 100%, $E$9)</f>
        <v>84.822599999999994</v>
      </c>
      <c r="O865" s="14">
        <f>CHOOSE(CONTROL!$C$42, 84.9047, 84.9047) * CHOOSE(CONTROL!$C$21, $C$9, 100%, $E$9)</f>
        <v>84.904700000000005</v>
      </c>
      <c r="P865" s="14">
        <f>CHOOSE(CONTROL!$C$42, 85.0712, 85.0712) * CHOOSE(CONTROL!$C$21, $C$9, 100%, $E$9)</f>
        <v>85.071200000000005</v>
      </c>
      <c r="Q865" s="14">
        <f>CHOOSE(CONTROL!$C$42, 85.4994, 85.4994) * CHOOSE(CONTROL!$C$21, $C$9, 100%, $E$9)</f>
        <v>85.499399999999994</v>
      </c>
      <c r="R865" s="14">
        <f>CHOOSE(CONTROL!$C$42, 86.3001, 86.3001) * CHOOSE(CONTROL!$C$21, $C$9, 100%, $E$9)</f>
        <v>86.3001</v>
      </c>
      <c r="S865" s="14">
        <f>CHOOSE(CONTROL!$C$42, 82.9461, 82.9461) * CHOOSE(CONTROL!$C$21, $C$9, 100%, $E$9)</f>
        <v>82.946100000000001</v>
      </c>
      <c r="T86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65" s="56">
        <f>(1000*CHOOSE(CONTROL!$C$42, 695, 695)*CHOOSE(CONTROL!$C$42, 0.5599, 0.5599)*CHOOSE(CONTROL!$C$42, 31, 31))/1000000</f>
        <v>12.063045499999998</v>
      </c>
      <c r="V865" s="56">
        <f>(1000*CHOOSE(CONTROL!$C$42, 500, 500)*CHOOSE(CONTROL!$C$42, 0.275, 0.275)*CHOOSE(CONTROL!$C$42, 31, 31))/1000000</f>
        <v>4.2625000000000002</v>
      </c>
      <c r="W865" s="56">
        <f>(1000*CHOOSE(CONTROL!$C$42, 0.1146, 0.1146)*CHOOSE(CONTROL!$C$42, 121.5, 121.5)*CHOOSE(CONTROL!$C$42, 31, 31))/1000000</f>
        <v>0.43164089999999994</v>
      </c>
      <c r="X865" s="56">
        <f>(31*0.1790888*100000/1000000)+(31*0.2374*100000/1000000)</f>
        <v>1.2911152800000001</v>
      </c>
      <c r="Y865" s="56"/>
      <c r="Z865" s="14"/>
      <c r="AA865" s="55"/>
      <c r="AB865" s="49">
        <f>(B865*122.58+C865*297.941+D865*89.177+E865*40.302+F865*40+G865*160+H865*0+I865*100+J865*300)/(122.58+297.941+89.177+40.302+0+40+160+100+300)</f>
        <v>86.382030805826076</v>
      </c>
      <c r="AC865" s="45">
        <f>(M865*'RAP TEMPLATE-GAS AVAILABILITY'!O864+N865*'RAP TEMPLATE-GAS AVAILABILITY'!P864+O865*'RAP TEMPLATE-GAS AVAILABILITY'!Q864+P865*'RAP TEMPLATE-GAS AVAILABILITY'!R864)/('RAP TEMPLATE-GAS AVAILABILITY'!O864+'RAP TEMPLATE-GAS AVAILABILITY'!P864+'RAP TEMPLATE-GAS AVAILABILITY'!Q864+'RAP TEMPLATE-GAS AVAILABILITY'!R864)</f>
        <v>84.889502877697836</v>
      </c>
    </row>
    <row r="866" spans="1:29" ht="15.75" x14ac:dyDescent="0.25">
      <c r="A866" s="32">
        <v>67266</v>
      </c>
      <c r="B866" s="14">
        <f>CHOOSE(CONTROL!$C$42, 87.8667, 87.8667) * CHOOSE(CONTROL!$C$21, $C$9, 100%, $E$9)</f>
        <v>87.866699999999994</v>
      </c>
      <c r="C866" s="14">
        <f>CHOOSE(CONTROL!$C$42, 87.8718, 87.8718) * CHOOSE(CONTROL!$C$21, $C$9, 100%, $E$9)</f>
        <v>87.871799999999993</v>
      </c>
      <c r="D866" s="14">
        <f>CHOOSE(CONTROL!$C$42, 87.9653, 87.9653) * CHOOSE(CONTROL!$C$21, $C$9, 100%, $E$9)</f>
        <v>87.965299999999999</v>
      </c>
      <c r="E866" s="14">
        <f>CHOOSE(CONTROL!$C$42, 87.9994, 87.9994) * CHOOSE(CONTROL!$C$21, $C$9, 100%, $E$9)</f>
        <v>87.999399999999994</v>
      </c>
      <c r="F866" s="14">
        <f>CHOOSE(CONTROL!$C$42, 87.8937, 87.8937)*CHOOSE(CONTROL!$C$21, $C$9, 100%, $E$9)</f>
        <v>87.893699999999995</v>
      </c>
      <c r="G866" s="14">
        <f>CHOOSE(CONTROL!$C$42, 87.9116, 87.9116)*CHOOSE(CONTROL!$C$21, $C$9, 100%, $E$9)</f>
        <v>87.911600000000007</v>
      </c>
      <c r="H866" s="14">
        <f>CHOOSE(CONTROL!$C$42, 87.9886, 87.9886) * CHOOSE(CONTROL!$C$21, $C$9, 100%, $E$9)</f>
        <v>87.988600000000005</v>
      </c>
      <c r="I866" s="14">
        <f>CHOOSE(CONTROL!$C$42, 88.1678, 88.1678)* CHOOSE(CONTROL!$C$21, $C$9, 100%, $E$9)</f>
        <v>88.1678</v>
      </c>
      <c r="J866" s="14">
        <f>CHOOSE(CONTROL!$C$42, 87.8867, 87.8867)* CHOOSE(CONTROL!$C$21, $C$9, 100%, $E$9)</f>
        <v>87.886700000000005</v>
      </c>
      <c r="K866" s="52">
        <f>CHOOSE(CONTROL!$C$42, 88.1639, 88.1639) * CHOOSE(CONTROL!$C$21, $C$9, 100%, $E$9)</f>
        <v>88.163899999999998</v>
      </c>
      <c r="L866" s="14">
        <f>CHOOSE(CONTROL!$C$42, 88.5756, 88.5756) * CHOOSE(CONTROL!$C$21, $C$9, 100%, $E$9)</f>
        <v>88.575599999999994</v>
      </c>
      <c r="M866" s="14">
        <f>CHOOSE(CONTROL!$C$42, 86.3136, 86.3136) * CHOOSE(CONTROL!$C$21, $C$9, 100%, $E$9)</f>
        <v>86.313599999999994</v>
      </c>
      <c r="N866" s="14">
        <f>CHOOSE(CONTROL!$C$42, 86.3311, 86.3311) * CHOOSE(CONTROL!$C$21, $C$9, 100%, $E$9)</f>
        <v>86.331100000000006</v>
      </c>
      <c r="O866" s="14">
        <f>CHOOSE(CONTROL!$C$42, 86.4137, 86.4137) * CHOOSE(CONTROL!$C$21, $C$9, 100%, $E$9)</f>
        <v>86.413700000000006</v>
      </c>
      <c r="P866" s="14">
        <f>CHOOSE(CONTROL!$C$42, 86.5849, 86.5849) * CHOOSE(CONTROL!$C$21, $C$9, 100%, $E$9)</f>
        <v>86.584900000000005</v>
      </c>
      <c r="Q866" s="14">
        <f>CHOOSE(CONTROL!$C$42, 87.0084, 87.0084) * CHOOSE(CONTROL!$C$21, $C$9, 100%, $E$9)</f>
        <v>87.008399999999995</v>
      </c>
      <c r="R866" s="14">
        <f>CHOOSE(CONTROL!$C$42, 87.8129, 87.8129) * CHOOSE(CONTROL!$C$21, $C$9, 100%, $E$9)</f>
        <v>87.812899999999999</v>
      </c>
      <c r="S866" s="14">
        <f>CHOOSE(CONTROL!$C$42, 84.4226, 84.4226) * CHOOSE(CONTROL!$C$21, $C$9, 100%, $E$9)</f>
        <v>84.422600000000003</v>
      </c>
      <c r="T86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866" s="56">
        <f>(1000*CHOOSE(CONTROL!$C$42, 695, 695)*CHOOSE(CONTROL!$C$42, 0.5599, 0.5599)*CHOOSE(CONTROL!$C$42, 29, 29))/1000000</f>
        <v>11.284784499999999</v>
      </c>
      <c r="V866" s="56">
        <f>(1000*CHOOSE(CONTROL!$C$42, 500, 500)*CHOOSE(CONTROL!$C$42, 0.275, 0.275)*CHOOSE(CONTROL!$C$42, 29, 29))/1000000</f>
        <v>3.9874999999999998</v>
      </c>
      <c r="W866" s="56">
        <f>(1000*CHOOSE(CONTROL!$C$42, 0.1146, 0.1146)*CHOOSE(CONTROL!$C$42, 121.5, 121.5)*CHOOSE(CONTROL!$C$42, 29, 29))/1000000</f>
        <v>0.40379309999999996</v>
      </c>
      <c r="X866" s="56">
        <f>(29*0.1790888*100000/1000000)+(29*0.2374*100000/1000000)</f>
        <v>1.2078175199999999</v>
      </c>
      <c r="Y866" s="56"/>
      <c r="Z866" s="14"/>
      <c r="AA866" s="55"/>
      <c r="AB866" s="49">
        <f>(B866*122.58+C866*297.941+D866*89.177+E866*40.302+F866*40+G866*160+H866*0+I866*100+J866*300)/(122.58+297.941+89.177+40.302+0+40+160+100+300)</f>
        <v>87.918903849304343</v>
      </c>
      <c r="AC866" s="45">
        <f>(M866*'RAP TEMPLATE-GAS AVAILABILITY'!O865+N866*'RAP TEMPLATE-GAS AVAILABILITY'!P865+O866*'RAP TEMPLATE-GAS AVAILABILITY'!Q865+P866*'RAP TEMPLATE-GAS AVAILABILITY'!R865)/('RAP TEMPLATE-GAS AVAILABILITY'!O865+'RAP TEMPLATE-GAS AVAILABILITY'!P865+'RAP TEMPLATE-GAS AVAILABILITY'!Q865+'RAP TEMPLATE-GAS AVAILABILITY'!R865)</f>
        <v>86.399012230215817</v>
      </c>
    </row>
    <row r="867" spans="1:29" ht="15.75" x14ac:dyDescent="0.25">
      <c r="A867" s="32">
        <v>67297</v>
      </c>
      <c r="B867" s="14">
        <f>CHOOSE(CONTROL!$C$42, 85.3724, 85.3724) * CHOOSE(CONTROL!$C$21, $C$9, 100%, $E$9)</f>
        <v>85.372399999999999</v>
      </c>
      <c r="C867" s="14">
        <f>CHOOSE(CONTROL!$C$42, 85.3775, 85.3775) * CHOOSE(CONTROL!$C$21, $C$9, 100%, $E$9)</f>
        <v>85.377499999999998</v>
      </c>
      <c r="D867" s="14">
        <f>CHOOSE(CONTROL!$C$42, 85.471, 85.471) * CHOOSE(CONTROL!$C$21, $C$9, 100%, $E$9)</f>
        <v>85.471000000000004</v>
      </c>
      <c r="E867" s="14">
        <f>CHOOSE(CONTROL!$C$42, 85.5051, 85.5051) * CHOOSE(CONTROL!$C$21, $C$9, 100%, $E$9)</f>
        <v>85.505099999999999</v>
      </c>
      <c r="F867" s="14">
        <f>CHOOSE(CONTROL!$C$42, 85.3985, 85.3985)*CHOOSE(CONTROL!$C$21, $C$9, 100%, $E$9)</f>
        <v>85.398499999999999</v>
      </c>
      <c r="G867" s="14">
        <f>CHOOSE(CONTROL!$C$42, 85.4161, 85.4161)*CHOOSE(CONTROL!$C$21, $C$9, 100%, $E$9)</f>
        <v>85.4161</v>
      </c>
      <c r="H867" s="14">
        <f>CHOOSE(CONTROL!$C$42, 85.4943, 85.4943) * CHOOSE(CONTROL!$C$21, $C$9, 100%, $E$9)</f>
        <v>85.494299999999996</v>
      </c>
      <c r="I867" s="14">
        <f>CHOOSE(CONTROL!$C$42, 85.6657, 85.6657)* CHOOSE(CONTROL!$C$21, $C$9, 100%, $E$9)</f>
        <v>85.665700000000001</v>
      </c>
      <c r="J867" s="14">
        <f>CHOOSE(CONTROL!$C$42, 85.3915, 85.3915)* CHOOSE(CONTROL!$C$21, $C$9, 100%, $E$9)</f>
        <v>85.391499999999994</v>
      </c>
      <c r="K867" s="52">
        <f>CHOOSE(CONTROL!$C$42, 85.6618, 85.6618) * CHOOSE(CONTROL!$C$21, $C$9, 100%, $E$9)</f>
        <v>85.661799999999999</v>
      </c>
      <c r="L867" s="14">
        <f>CHOOSE(CONTROL!$C$42, 86.0813, 86.0813) * CHOOSE(CONTROL!$C$21, $C$9, 100%, $E$9)</f>
        <v>86.081299999999999</v>
      </c>
      <c r="M867" s="14">
        <f>CHOOSE(CONTROL!$C$42, 83.8633, 83.8633) * CHOOSE(CONTROL!$C$21, $C$9, 100%, $E$9)</f>
        <v>83.863299999999995</v>
      </c>
      <c r="N867" s="14">
        <f>CHOOSE(CONTROL!$C$42, 83.8806, 83.8806) * CHOOSE(CONTROL!$C$21, $C$9, 100%, $E$9)</f>
        <v>83.880600000000001</v>
      </c>
      <c r="O867" s="14">
        <f>CHOOSE(CONTROL!$C$42, 83.9642, 83.9642) * CHOOSE(CONTROL!$C$21, $C$9, 100%, $E$9)</f>
        <v>83.964200000000005</v>
      </c>
      <c r="P867" s="14">
        <f>CHOOSE(CONTROL!$C$42, 84.1279, 84.1279) * CHOOSE(CONTROL!$C$21, $C$9, 100%, $E$9)</f>
        <v>84.127899999999997</v>
      </c>
      <c r="Q867" s="14">
        <f>CHOOSE(CONTROL!$C$42, 84.5589, 84.5589) * CHOOSE(CONTROL!$C$21, $C$9, 100%, $E$9)</f>
        <v>84.558899999999994</v>
      </c>
      <c r="R867" s="14">
        <f>CHOOSE(CONTROL!$C$42, 85.3573, 85.3573) * CHOOSE(CONTROL!$C$21, $C$9, 100%, $E$9)</f>
        <v>85.357299999999995</v>
      </c>
      <c r="S867" s="14">
        <f>CHOOSE(CONTROL!$C$42, 82.0258, 82.0258) * CHOOSE(CONTROL!$C$21, $C$9, 100%, $E$9)</f>
        <v>82.025800000000004</v>
      </c>
      <c r="T86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67" s="56">
        <f>(1000*CHOOSE(CONTROL!$C$42, 695, 695)*CHOOSE(CONTROL!$C$42, 0.5599, 0.5599)*CHOOSE(CONTROL!$C$42, 31, 31))/1000000</f>
        <v>12.063045499999998</v>
      </c>
      <c r="V867" s="56">
        <f>(1000*CHOOSE(CONTROL!$C$42, 500, 500)*CHOOSE(CONTROL!$C$42, 0.275, 0.275)*CHOOSE(CONTROL!$C$42, 31, 31))/1000000</f>
        <v>4.2625000000000002</v>
      </c>
      <c r="W867" s="56">
        <f>(1000*CHOOSE(CONTROL!$C$42, 0.1146, 0.1146)*CHOOSE(CONTROL!$C$42, 121.5, 121.5)*CHOOSE(CONTROL!$C$42, 31, 31))/1000000</f>
        <v>0.43164089999999994</v>
      </c>
      <c r="X867" s="56">
        <f>(31*0.1790888*100000/1000000)+(31*0.2374*100000/1000000)</f>
        <v>1.2911152800000001</v>
      </c>
      <c r="Y867" s="56"/>
      <c r="Z867" s="14"/>
      <c r="AA867" s="55"/>
      <c r="AB867" s="49">
        <f>(B867*122.58+C867*297.941+D867*89.177+E867*40.302+F867*40+G867*160+H867*0+I867*100+J867*300)/(122.58+297.941+89.177+40.302+0+40+160+100+300)</f>
        <v>85.423492544956531</v>
      </c>
      <c r="AC867" s="45">
        <f>(M867*'RAP TEMPLATE-GAS AVAILABILITY'!O866+N867*'RAP TEMPLATE-GAS AVAILABILITY'!P866+O867*'RAP TEMPLATE-GAS AVAILABILITY'!Q866+P867*'RAP TEMPLATE-GAS AVAILABILITY'!R866)/('RAP TEMPLATE-GAS AVAILABILITY'!O866+'RAP TEMPLATE-GAS AVAILABILITY'!P866+'RAP TEMPLATE-GAS AVAILABILITY'!Q866+'RAP TEMPLATE-GAS AVAILABILITY'!R866)</f>
        <v>83.948099280575533</v>
      </c>
    </row>
    <row r="868" spans="1:29" ht="15.75" x14ac:dyDescent="0.25">
      <c r="A868" s="32">
        <v>67327</v>
      </c>
      <c r="B868" s="14">
        <f>CHOOSE(CONTROL!$C$42, 85.1178, 85.1178) * CHOOSE(CONTROL!$C$21, $C$9, 100%, $E$9)</f>
        <v>85.117800000000003</v>
      </c>
      <c r="C868" s="14">
        <f>CHOOSE(CONTROL!$C$42, 85.1223, 85.1223) * CHOOSE(CONTROL!$C$21, $C$9, 100%, $E$9)</f>
        <v>85.122299999999996</v>
      </c>
      <c r="D868" s="14">
        <f>CHOOSE(CONTROL!$C$42, 85.3846, 85.3846) * CHOOSE(CONTROL!$C$21, $C$9, 100%, $E$9)</f>
        <v>85.384600000000006</v>
      </c>
      <c r="E868" s="14">
        <f>CHOOSE(CONTROL!$C$42, 85.4167, 85.4167) * CHOOSE(CONTROL!$C$21, $C$9, 100%, $E$9)</f>
        <v>85.416700000000006</v>
      </c>
      <c r="F868" s="14">
        <f>CHOOSE(CONTROL!$C$42, 85.1407, 85.1407)*CHOOSE(CONTROL!$C$21, $C$9, 100%, $E$9)</f>
        <v>85.140699999999995</v>
      </c>
      <c r="G868" s="14">
        <f>CHOOSE(CONTROL!$C$42, 85.1574, 85.1574)*CHOOSE(CONTROL!$C$21, $C$9, 100%, $E$9)</f>
        <v>85.157399999999996</v>
      </c>
      <c r="H868" s="14">
        <f>CHOOSE(CONTROL!$C$42, 85.4064, 85.4064) * CHOOSE(CONTROL!$C$21, $C$9, 100%, $E$9)</f>
        <v>85.406400000000005</v>
      </c>
      <c r="I868" s="14">
        <f>CHOOSE(CONTROL!$C$42, 85.4069, 85.4069)* CHOOSE(CONTROL!$C$21, $C$9, 100%, $E$9)</f>
        <v>85.406899999999993</v>
      </c>
      <c r="J868" s="14">
        <f>CHOOSE(CONTROL!$C$42, 85.1337, 85.1337)* CHOOSE(CONTROL!$C$21, $C$9, 100%, $E$9)</f>
        <v>85.133700000000005</v>
      </c>
      <c r="K868" s="52">
        <f>CHOOSE(CONTROL!$C$42, 85.403, 85.403) * CHOOSE(CONTROL!$C$21, $C$9, 100%, $E$9)</f>
        <v>85.403000000000006</v>
      </c>
      <c r="L868" s="14">
        <f>CHOOSE(CONTROL!$C$42, 85.9934, 85.9934) * CHOOSE(CONTROL!$C$21, $C$9, 100%, $E$9)</f>
        <v>85.993399999999994</v>
      </c>
      <c r="M868" s="14">
        <f>CHOOSE(CONTROL!$C$42, 83.6101, 83.6101) * CHOOSE(CONTROL!$C$21, $C$9, 100%, $E$9)</f>
        <v>83.610100000000003</v>
      </c>
      <c r="N868" s="14">
        <f>CHOOSE(CONTROL!$C$42, 83.6265, 83.6265) * CHOOSE(CONTROL!$C$21, $C$9, 100%, $E$9)</f>
        <v>83.626499999999993</v>
      </c>
      <c r="O868" s="14">
        <f>CHOOSE(CONTROL!$C$42, 83.878, 83.878) * CHOOSE(CONTROL!$C$21, $C$9, 100%, $E$9)</f>
        <v>83.878</v>
      </c>
      <c r="P868" s="14">
        <f>CHOOSE(CONTROL!$C$42, 83.8738, 83.8738) * CHOOSE(CONTROL!$C$21, $C$9, 100%, $E$9)</f>
        <v>83.873800000000003</v>
      </c>
      <c r="Q868" s="14">
        <f>CHOOSE(CONTROL!$C$42, 84.4727, 84.4727) * CHOOSE(CONTROL!$C$21, $C$9, 100%, $E$9)</f>
        <v>84.472700000000003</v>
      </c>
      <c r="R868" s="14">
        <f>CHOOSE(CONTROL!$C$42, 85.2708, 85.2708) * CHOOSE(CONTROL!$C$21, $C$9, 100%, $E$9)</f>
        <v>85.270799999999994</v>
      </c>
      <c r="S868" s="14">
        <f>CHOOSE(CONTROL!$C$42, 81.7804, 81.7804) * CHOOSE(CONTROL!$C$21, $C$9, 100%, $E$9)</f>
        <v>81.7804</v>
      </c>
      <c r="T86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68" s="56">
        <f>(1000*CHOOSE(CONTROL!$C$42, 695, 695)*CHOOSE(CONTROL!$C$42, 0.5599, 0.5599)*CHOOSE(CONTROL!$C$42, 30, 30))/1000000</f>
        <v>11.673914999999997</v>
      </c>
      <c r="V868" s="56">
        <f>(1000*CHOOSE(CONTROL!$C$42, 500, 500)*CHOOSE(CONTROL!$C$42, 0.275, 0.275)*CHOOSE(CONTROL!$C$42, 30, 30))/1000000</f>
        <v>4.125</v>
      </c>
      <c r="W868" s="56">
        <f>(1000*CHOOSE(CONTROL!$C$42, 0.1146, 0.1146)*CHOOSE(CONTROL!$C$42, 121.5, 121.5)*CHOOSE(CONTROL!$C$42, 30, 30))/1000000</f>
        <v>0.417717</v>
      </c>
      <c r="X868" s="56">
        <f>(30*0.1790888*245000/1000000)+(30*0.2374*100000/1000000)</f>
        <v>2.0285026799999999</v>
      </c>
      <c r="Y868" s="56"/>
      <c r="Z868" s="14"/>
      <c r="AA868" s="55"/>
      <c r="AB868" s="49">
        <f>(B868*141.293+C868*267.993+D868*115.016+E868*89.698+F868*40+G868*185+H868*0+I868*100+J868*300)/(141.293+267.993+115.016+89.698+0+40+185+100+300)</f>
        <v>85.199014664648899</v>
      </c>
      <c r="AC868" s="45">
        <f>(M868*'RAP TEMPLATE-GAS AVAILABILITY'!O867+N868*'RAP TEMPLATE-GAS AVAILABILITY'!P867+O868*'RAP TEMPLATE-GAS AVAILABILITY'!Q867+P868*'RAP TEMPLATE-GAS AVAILABILITY'!R867)/('RAP TEMPLATE-GAS AVAILABILITY'!O867+'RAP TEMPLATE-GAS AVAILABILITY'!P867+'RAP TEMPLATE-GAS AVAILABILITY'!Q867+'RAP TEMPLATE-GAS AVAILABILITY'!R867)</f>
        <v>83.77040863309351</v>
      </c>
    </row>
    <row r="869" spans="1:29" ht="15.75" x14ac:dyDescent="0.25">
      <c r="A869" s="32">
        <v>67358</v>
      </c>
      <c r="B869" s="14">
        <f>CHOOSE(CONTROL!$C$42, 85.8704, 85.8704) * CHOOSE(CONTROL!$C$21, $C$9, 100%, $E$9)</f>
        <v>85.870400000000004</v>
      </c>
      <c r="C869" s="14">
        <f>CHOOSE(CONTROL!$C$42, 85.8784, 85.8784) * CHOOSE(CONTROL!$C$21, $C$9, 100%, $E$9)</f>
        <v>85.878399999999999</v>
      </c>
      <c r="D869" s="14">
        <f>CHOOSE(CONTROL!$C$42, 86.1375, 86.1375) * CHOOSE(CONTROL!$C$21, $C$9, 100%, $E$9)</f>
        <v>86.137500000000003</v>
      </c>
      <c r="E869" s="14">
        <f>CHOOSE(CONTROL!$C$42, 86.169, 86.169) * CHOOSE(CONTROL!$C$21, $C$9, 100%, $E$9)</f>
        <v>86.168999999999997</v>
      </c>
      <c r="F869" s="14">
        <f>CHOOSE(CONTROL!$C$42, 85.8919, 85.8919)*CHOOSE(CONTROL!$C$21, $C$9, 100%, $E$9)</f>
        <v>85.891900000000007</v>
      </c>
      <c r="G869" s="14">
        <f>CHOOSE(CONTROL!$C$42, 85.9089, 85.9089)*CHOOSE(CONTROL!$C$21, $C$9, 100%, $E$9)</f>
        <v>85.908900000000003</v>
      </c>
      <c r="H869" s="14">
        <f>CHOOSE(CONTROL!$C$42, 86.1576, 86.1576) * CHOOSE(CONTROL!$C$21, $C$9, 100%, $E$9)</f>
        <v>86.157600000000002</v>
      </c>
      <c r="I869" s="14">
        <f>CHOOSE(CONTROL!$C$42, 86.1604, 86.1604)* CHOOSE(CONTROL!$C$21, $C$9, 100%, $E$9)</f>
        <v>86.160399999999996</v>
      </c>
      <c r="J869" s="14">
        <f>CHOOSE(CONTROL!$C$42, 85.8849, 85.8849)* CHOOSE(CONTROL!$C$21, $C$9, 100%, $E$9)</f>
        <v>85.884900000000002</v>
      </c>
      <c r="K869" s="52">
        <f>CHOOSE(CONTROL!$C$42, 86.1565, 86.1565) * CHOOSE(CONTROL!$C$21, $C$9, 100%, $E$9)</f>
        <v>86.156499999999994</v>
      </c>
      <c r="L869" s="14">
        <f>CHOOSE(CONTROL!$C$42, 86.7446, 86.7446) * CHOOSE(CONTROL!$C$21, $C$9, 100%, $E$9)</f>
        <v>86.744600000000005</v>
      </c>
      <c r="M869" s="14">
        <f>CHOOSE(CONTROL!$C$42, 84.3478, 84.3478) * CHOOSE(CONTROL!$C$21, $C$9, 100%, $E$9)</f>
        <v>84.347800000000007</v>
      </c>
      <c r="N869" s="14">
        <f>CHOOSE(CONTROL!$C$42, 84.3645, 84.3645) * CHOOSE(CONTROL!$C$21, $C$9, 100%, $E$9)</f>
        <v>84.364500000000007</v>
      </c>
      <c r="O869" s="14">
        <f>CHOOSE(CONTROL!$C$42, 84.6156, 84.6156) * CHOOSE(CONTROL!$C$21, $C$9, 100%, $E$9)</f>
        <v>84.615600000000001</v>
      </c>
      <c r="P869" s="14">
        <f>CHOOSE(CONTROL!$C$42, 84.6137, 84.6137) * CHOOSE(CONTROL!$C$21, $C$9, 100%, $E$9)</f>
        <v>84.613699999999994</v>
      </c>
      <c r="Q869" s="14">
        <f>CHOOSE(CONTROL!$C$42, 85.2103, 85.2103) * CHOOSE(CONTROL!$C$21, $C$9, 100%, $E$9)</f>
        <v>85.210300000000004</v>
      </c>
      <c r="R869" s="14">
        <f>CHOOSE(CONTROL!$C$42, 86.0103, 86.0103) * CHOOSE(CONTROL!$C$21, $C$9, 100%, $E$9)</f>
        <v>86.010300000000001</v>
      </c>
      <c r="S869" s="14">
        <f>CHOOSE(CONTROL!$C$42, 82.5022, 82.5022) * CHOOSE(CONTROL!$C$21, $C$9, 100%, $E$9)</f>
        <v>82.502200000000002</v>
      </c>
      <c r="T86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69" s="56">
        <f>(1000*CHOOSE(CONTROL!$C$42, 695, 695)*CHOOSE(CONTROL!$C$42, 0.5599, 0.5599)*CHOOSE(CONTROL!$C$42, 31, 31))/1000000</f>
        <v>12.063045499999998</v>
      </c>
      <c r="V869" s="56">
        <f>(1000*CHOOSE(CONTROL!$C$42, 500, 500)*CHOOSE(CONTROL!$C$42, 0.275, 0.275)*CHOOSE(CONTROL!$C$42, 31, 31))/1000000</f>
        <v>4.2625000000000002</v>
      </c>
      <c r="W869" s="56">
        <f>(1000*CHOOSE(CONTROL!$C$42, 0.1146, 0.1146)*CHOOSE(CONTROL!$C$42, 121.5, 121.5)*CHOOSE(CONTROL!$C$42, 31, 31))/1000000</f>
        <v>0.43164089999999994</v>
      </c>
      <c r="X869" s="56">
        <f>(31*0.1790888*245000/1000000)+(31*0.2374*100000/1000000)</f>
        <v>2.0961194359999999</v>
      </c>
      <c r="Y869" s="56"/>
      <c r="Z869" s="14"/>
      <c r="AA869" s="55"/>
      <c r="AB869" s="49">
        <f>(B869*194.205+C869*267.466+D869*133.845+E869*53.484+F869*40+G869*185+H869*0+I869*100+J869*300)/(194.205+267.466+133.845+53.484+0+40+185+100+300)</f>
        <v>85.945119426923071</v>
      </c>
      <c r="AC869" s="45">
        <f>(M869*'RAP TEMPLATE-GAS AVAILABILITY'!O868+N869*'RAP TEMPLATE-GAS AVAILABILITY'!P868+O869*'RAP TEMPLATE-GAS AVAILABILITY'!Q868+P869*'RAP TEMPLATE-GAS AVAILABILITY'!R868)/('RAP TEMPLATE-GAS AVAILABILITY'!O868+'RAP TEMPLATE-GAS AVAILABILITY'!P868+'RAP TEMPLATE-GAS AVAILABILITY'!Q868+'RAP TEMPLATE-GAS AVAILABILITY'!R868)</f>
        <v>84.508397122302156</v>
      </c>
    </row>
    <row r="870" spans="1:29" ht="15.75" x14ac:dyDescent="0.25">
      <c r="A870" s="32">
        <v>67388</v>
      </c>
      <c r="B870" s="14">
        <f>CHOOSE(CONTROL!$C$42, 88.3059, 88.3059) * CHOOSE(CONTROL!$C$21, $C$9, 100%, $E$9)</f>
        <v>88.305899999999994</v>
      </c>
      <c r="C870" s="14">
        <f>CHOOSE(CONTROL!$C$42, 88.3139, 88.3139) * CHOOSE(CONTROL!$C$21, $C$9, 100%, $E$9)</f>
        <v>88.313900000000004</v>
      </c>
      <c r="D870" s="14">
        <f>CHOOSE(CONTROL!$C$42, 88.573, 88.573) * CHOOSE(CONTROL!$C$21, $C$9, 100%, $E$9)</f>
        <v>88.572999999999993</v>
      </c>
      <c r="E870" s="14">
        <f>CHOOSE(CONTROL!$C$42, 88.6045, 88.6045) * CHOOSE(CONTROL!$C$21, $C$9, 100%, $E$9)</f>
        <v>88.604500000000002</v>
      </c>
      <c r="F870" s="14">
        <f>CHOOSE(CONTROL!$C$42, 88.3277, 88.3277)*CHOOSE(CONTROL!$C$21, $C$9, 100%, $E$9)</f>
        <v>88.327699999999993</v>
      </c>
      <c r="G870" s="14">
        <f>CHOOSE(CONTROL!$C$42, 88.3447, 88.3447)*CHOOSE(CONTROL!$C$21, $C$9, 100%, $E$9)</f>
        <v>88.344700000000003</v>
      </c>
      <c r="H870" s="14">
        <f>CHOOSE(CONTROL!$C$42, 88.5931, 88.5931) * CHOOSE(CONTROL!$C$21, $C$9, 100%, $E$9)</f>
        <v>88.593100000000007</v>
      </c>
      <c r="I870" s="14">
        <f>CHOOSE(CONTROL!$C$42, 88.6036, 88.6036)* CHOOSE(CONTROL!$C$21, $C$9, 100%, $E$9)</f>
        <v>88.6036</v>
      </c>
      <c r="J870" s="14">
        <f>CHOOSE(CONTROL!$C$42, 88.3207, 88.3207)* CHOOSE(CONTROL!$C$21, $C$9, 100%, $E$9)</f>
        <v>88.320700000000002</v>
      </c>
      <c r="K870" s="52">
        <f>CHOOSE(CONTROL!$C$42, 88.5997, 88.5997) * CHOOSE(CONTROL!$C$21, $C$9, 100%, $E$9)</f>
        <v>88.599699999999999</v>
      </c>
      <c r="L870" s="14">
        <f>CHOOSE(CONTROL!$C$42, 89.1801, 89.1801) * CHOOSE(CONTROL!$C$21, $C$9, 100%, $E$9)</f>
        <v>89.180099999999996</v>
      </c>
      <c r="M870" s="14">
        <f>CHOOSE(CONTROL!$C$42, 86.7398, 86.7398) * CHOOSE(CONTROL!$C$21, $C$9, 100%, $E$9)</f>
        <v>86.739800000000002</v>
      </c>
      <c r="N870" s="14">
        <f>CHOOSE(CONTROL!$C$42, 86.7565, 86.7565) * CHOOSE(CONTROL!$C$21, $C$9, 100%, $E$9)</f>
        <v>86.756500000000003</v>
      </c>
      <c r="O870" s="14">
        <f>CHOOSE(CONTROL!$C$42, 87.0073, 87.0073) * CHOOSE(CONTROL!$C$21, $C$9, 100%, $E$9)</f>
        <v>87.007300000000001</v>
      </c>
      <c r="P870" s="14">
        <f>CHOOSE(CONTROL!$C$42, 87.0127, 87.0127) * CHOOSE(CONTROL!$C$21, $C$9, 100%, $E$9)</f>
        <v>87.012699999999995</v>
      </c>
      <c r="Q870" s="14">
        <f>CHOOSE(CONTROL!$C$42, 87.602, 87.602) * CHOOSE(CONTROL!$C$21, $C$9, 100%, $E$9)</f>
        <v>87.602000000000004</v>
      </c>
      <c r="R870" s="14">
        <f>CHOOSE(CONTROL!$C$42, 88.408, 88.408) * CHOOSE(CONTROL!$C$21, $C$9, 100%, $E$9)</f>
        <v>88.408000000000001</v>
      </c>
      <c r="S870" s="14">
        <f>CHOOSE(CONTROL!$C$42, 84.8425, 84.8425) * CHOOSE(CONTROL!$C$21, $C$9, 100%, $E$9)</f>
        <v>84.842500000000001</v>
      </c>
      <c r="T87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870" s="56">
        <f>(1000*CHOOSE(CONTROL!$C$42, 695, 695)*CHOOSE(CONTROL!$C$42, 0.5599, 0.5599)*CHOOSE(CONTROL!$C$42, 30, 30))/1000000</f>
        <v>11.673914999999997</v>
      </c>
      <c r="V870" s="56">
        <f>(1000*CHOOSE(CONTROL!$C$42, 500, 500)*CHOOSE(CONTROL!$C$42, 0.275, 0.275)*CHOOSE(CONTROL!$C$42, 30, 30))/1000000</f>
        <v>4.125</v>
      </c>
      <c r="W870" s="56">
        <f>(1000*CHOOSE(CONTROL!$C$42, 0.1146, 0.1146)*CHOOSE(CONTROL!$C$42, 121.5, 121.5)*CHOOSE(CONTROL!$C$42, 30, 30))/1000000</f>
        <v>0.417717</v>
      </c>
      <c r="X870" s="56">
        <f>(30*0.1790888*245000/1000000)+(30*0.2374*100000/1000000)</f>
        <v>2.0285026799999999</v>
      </c>
      <c r="Y870" s="56"/>
      <c r="Z870" s="14"/>
      <c r="AA870" s="55"/>
      <c r="AB870" s="49">
        <f>(B870*194.205+C870*267.466+D870*133.845+E870*53.484+F870*40+G870*185+H870*0+I870*100+J870*300)/(194.205+267.466+133.845+53.484+0+40+185+100+300)</f>
        <v>88.381347448901082</v>
      </c>
      <c r="AC870" s="45">
        <f>(M870*'RAP TEMPLATE-GAS AVAILABILITY'!O869+N870*'RAP TEMPLATE-GAS AVAILABILITY'!P869+O870*'RAP TEMPLATE-GAS AVAILABILITY'!Q869+P870*'RAP TEMPLATE-GAS AVAILABILITY'!R869)/('RAP TEMPLATE-GAS AVAILABILITY'!O869+'RAP TEMPLATE-GAS AVAILABILITY'!P869+'RAP TEMPLATE-GAS AVAILABILITY'!Q869+'RAP TEMPLATE-GAS AVAILABILITY'!R869)</f>
        <v>86.901268345323743</v>
      </c>
    </row>
    <row r="871" spans="1:29" ht="15.75" x14ac:dyDescent="0.25">
      <c r="A871" s="32">
        <v>67419</v>
      </c>
      <c r="B871" s="14">
        <f>CHOOSE(CONTROL!$C$42, 86.612, 86.612) * CHOOSE(CONTROL!$C$21, $C$9, 100%, $E$9)</f>
        <v>86.611999999999995</v>
      </c>
      <c r="C871" s="14">
        <f>CHOOSE(CONTROL!$C$42, 86.62, 86.62) * CHOOSE(CONTROL!$C$21, $C$9, 100%, $E$9)</f>
        <v>86.62</v>
      </c>
      <c r="D871" s="14">
        <f>CHOOSE(CONTROL!$C$42, 86.8791, 86.8791) * CHOOSE(CONTROL!$C$21, $C$9, 100%, $E$9)</f>
        <v>86.879099999999994</v>
      </c>
      <c r="E871" s="14">
        <f>CHOOSE(CONTROL!$C$42, 86.9106, 86.9106) * CHOOSE(CONTROL!$C$21, $C$9, 100%, $E$9)</f>
        <v>86.910600000000002</v>
      </c>
      <c r="F871" s="14">
        <f>CHOOSE(CONTROL!$C$42, 86.6342, 86.6342)*CHOOSE(CONTROL!$C$21, $C$9, 100%, $E$9)</f>
        <v>86.634200000000007</v>
      </c>
      <c r="G871" s="14">
        <f>CHOOSE(CONTROL!$C$42, 86.6514, 86.6514)*CHOOSE(CONTROL!$C$21, $C$9, 100%, $E$9)</f>
        <v>86.651399999999995</v>
      </c>
      <c r="H871" s="14">
        <f>CHOOSE(CONTROL!$C$42, 86.8992, 86.8992) * CHOOSE(CONTROL!$C$21, $C$9, 100%, $E$9)</f>
        <v>86.899199999999993</v>
      </c>
      <c r="I871" s="14">
        <f>CHOOSE(CONTROL!$C$42, 86.9044, 86.9044)* CHOOSE(CONTROL!$C$21, $C$9, 100%, $E$9)</f>
        <v>86.904399999999995</v>
      </c>
      <c r="J871" s="14">
        <f>CHOOSE(CONTROL!$C$42, 86.6272, 86.6272)* CHOOSE(CONTROL!$C$21, $C$9, 100%, $E$9)</f>
        <v>86.627200000000002</v>
      </c>
      <c r="K871" s="52">
        <f>CHOOSE(CONTROL!$C$42, 86.9005, 86.9005) * CHOOSE(CONTROL!$C$21, $C$9, 100%, $E$9)</f>
        <v>86.900499999999994</v>
      </c>
      <c r="L871" s="14">
        <f>CHOOSE(CONTROL!$C$42, 87.4862, 87.4862) * CHOOSE(CONTROL!$C$21, $C$9, 100%, $E$9)</f>
        <v>87.486199999999997</v>
      </c>
      <c r="M871" s="14">
        <f>CHOOSE(CONTROL!$C$42, 85.0768, 85.0768) * CHOOSE(CONTROL!$C$21, $C$9, 100%, $E$9)</f>
        <v>85.076800000000006</v>
      </c>
      <c r="N871" s="14">
        <f>CHOOSE(CONTROL!$C$42, 85.0936, 85.0936) * CHOOSE(CONTROL!$C$21, $C$9, 100%, $E$9)</f>
        <v>85.093599999999995</v>
      </c>
      <c r="O871" s="14">
        <f>CHOOSE(CONTROL!$C$42, 85.3439, 85.3439) * CHOOSE(CONTROL!$C$21, $C$9, 100%, $E$9)</f>
        <v>85.343900000000005</v>
      </c>
      <c r="P871" s="14">
        <f>CHOOSE(CONTROL!$C$42, 85.3442, 85.3442) * CHOOSE(CONTROL!$C$21, $C$9, 100%, $E$9)</f>
        <v>85.344200000000001</v>
      </c>
      <c r="Q871" s="14">
        <f>CHOOSE(CONTROL!$C$42, 85.9386, 85.9386) * CHOOSE(CONTROL!$C$21, $C$9, 100%, $E$9)</f>
        <v>85.938599999999994</v>
      </c>
      <c r="R871" s="14">
        <f>CHOOSE(CONTROL!$C$42, 86.7404, 86.7404) * CHOOSE(CONTROL!$C$21, $C$9, 100%, $E$9)</f>
        <v>86.740399999999994</v>
      </c>
      <c r="S871" s="14">
        <f>CHOOSE(CONTROL!$C$42, 83.2148, 83.2148) * CHOOSE(CONTROL!$C$21, $C$9, 100%, $E$9)</f>
        <v>83.214799999999997</v>
      </c>
      <c r="T87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871" s="56">
        <f>(1000*CHOOSE(CONTROL!$C$42, 695, 695)*CHOOSE(CONTROL!$C$42, 0.5599, 0.5599)*CHOOSE(CONTROL!$C$42, 31, 31))/1000000</f>
        <v>12.063045499999998</v>
      </c>
      <c r="V871" s="56">
        <f>(1000*CHOOSE(CONTROL!$C$42, 500, 500)*CHOOSE(CONTROL!$C$42, 0.275, 0.275)*CHOOSE(CONTROL!$C$42, 31, 31))/1000000</f>
        <v>4.2625000000000002</v>
      </c>
      <c r="W871" s="56">
        <f>(1000*CHOOSE(CONTROL!$C$42, 0.1146, 0.1146)*CHOOSE(CONTROL!$C$42, 121.5, 121.5)*CHOOSE(CONTROL!$C$42, 31, 31))/1000000</f>
        <v>0.43164089999999994</v>
      </c>
      <c r="X871" s="56">
        <f>(31*0.1790888*245000/1000000)+(31*0.2374*100000/1000000)</f>
        <v>2.0961194359999999</v>
      </c>
      <c r="Y871" s="56"/>
      <c r="Z871" s="14"/>
      <c r="AA871" s="55"/>
      <c r="AB871" s="49">
        <f>(B871*194.205+C871*267.466+D871*133.845+E871*53.484+F871*40+G871*185+H871*0+I871*100+J871*300)/(194.205+267.466+133.845+53.484+0+40+185+100+300)</f>
        <v>86.687225313893251</v>
      </c>
      <c r="AC871" s="45">
        <f>(M871*'RAP TEMPLATE-GAS AVAILABILITY'!O870+N871*'RAP TEMPLATE-GAS AVAILABILITY'!P870+O871*'RAP TEMPLATE-GAS AVAILABILITY'!Q870+P871*'RAP TEMPLATE-GAS AVAILABILITY'!R870)/('RAP TEMPLATE-GAS AVAILABILITY'!O870+'RAP TEMPLATE-GAS AVAILABILITY'!P870+'RAP TEMPLATE-GAS AVAILABILITY'!Q870+'RAP TEMPLATE-GAS AVAILABILITY'!R870)</f>
        <v>85.237301438848917</v>
      </c>
    </row>
    <row r="872" spans="1:29" ht="15.75" x14ac:dyDescent="0.25">
      <c r="A872" s="32">
        <v>67450</v>
      </c>
      <c r="B872" s="14">
        <f>CHOOSE(CONTROL!$C$42, 82.3344, 82.3344) * CHOOSE(CONTROL!$C$21, $C$9, 100%, $E$9)</f>
        <v>82.334400000000002</v>
      </c>
      <c r="C872" s="14">
        <f>CHOOSE(CONTROL!$C$42, 82.3424, 82.3424) * CHOOSE(CONTROL!$C$21, $C$9, 100%, $E$9)</f>
        <v>82.342399999999998</v>
      </c>
      <c r="D872" s="14">
        <f>CHOOSE(CONTROL!$C$42, 82.6015, 82.6015) * CHOOSE(CONTROL!$C$21, $C$9, 100%, $E$9)</f>
        <v>82.601500000000001</v>
      </c>
      <c r="E872" s="14">
        <f>CHOOSE(CONTROL!$C$42, 82.6329, 82.6329) * CHOOSE(CONTROL!$C$21, $C$9, 100%, $E$9)</f>
        <v>82.632900000000006</v>
      </c>
      <c r="F872" s="14">
        <f>CHOOSE(CONTROL!$C$42, 82.3568, 82.3568)*CHOOSE(CONTROL!$C$21, $C$9, 100%, $E$9)</f>
        <v>82.356800000000007</v>
      </c>
      <c r="G872" s="14">
        <f>CHOOSE(CONTROL!$C$42, 82.374, 82.374)*CHOOSE(CONTROL!$C$21, $C$9, 100%, $E$9)</f>
        <v>82.373999999999995</v>
      </c>
      <c r="H872" s="14">
        <f>CHOOSE(CONTROL!$C$42, 82.6216, 82.6216) * CHOOSE(CONTROL!$C$21, $C$9, 100%, $E$9)</f>
        <v>82.621600000000001</v>
      </c>
      <c r="I872" s="14">
        <f>CHOOSE(CONTROL!$C$42, 82.6133, 82.6133)* CHOOSE(CONTROL!$C$21, $C$9, 100%, $E$9)</f>
        <v>82.613299999999995</v>
      </c>
      <c r="J872" s="14">
        <f>CHOOSE(CONTROL!$C$42, 82.3498, 82.3498)* CHOOSE(CONTROL!$C$21, $C$9, 100%, $E$9)</f>
        <v>82.349800000000002</v>
      </c>
      <c r="K872" s="52">
        <f>CHOOSE(CONTROL!$C$42, 82.6094, 82.6094) * CHOOSE(CONTROL!$C$21, $C$9, 100%, $E$9)</f>
        <v>82.609399999999994</v>
      </c>
      <c r="L872" s="14">
        <f>CHOOSE(CONTROL!$C$42, 83.2086, 83.2086) * CHOOSE(CONTROL!$C$21, $C$9, 100%, $E$9)</f>
        <v>83.208600000000004</v>
      </c>
      <c r="M872" s="14">
        <f>CHOOSE(CONTROL!$C$42, 80.8763, 80.8763) * CHOOSE(CONTROL!$C$21, $C$9, 100%, $E$9)</f>
        <v>80.876300000000001</v>
      </c>
      <c r="N872" s="14">
        <f>CHOOSE(CONTROL!$C$42, 80.8931, 80.8931) * CHOOSE(CONTROL!$C$21, $C$9, 100%, $E$9)</f>
        <v>80.893100000000004</v>
      </c>
      <c r="O872" s="14">
        <f>CHOOSE(CONTROL!$C$42, 81.1432, 81.1432) * CHOOSE(CONTROL!$C$21, $C$9, 100%, $E$9)</f>
        <v>81.143199999999993</v>
      </c>
      <c r="P872" s="14">
        <f>CHOOSE(CONTROL!$C$42, 81.1306, 81.1306) * CHOOSE(CONTROL!$C$21, $C$9, 100%, $E$9)</f>
        <v>81.130600000000001</v>
      </c>
      <c r="Q872" s="14">
        <f>CHOOSE(CONTROL!$C$42, 81.7379, 81.7379) * CHOOSE(CONTROL!$C$21, $C$9, 100%, $E$9)</f>
        <v>81.737899999999996</v>
      </c>
      <c r="R872" s="14">
        <f>CHOOSE(CONTROL!$C$42, 82.5292, 82.5292) * CHOOSE(CONTROL!$C$21, $C$9, 100%, $E$9)</f>
        <v>82.529200000000003</v>
      </c>
      <c r="S872" s="14">
        <f>CHOOSE(CONTROL!$C$42, 79.1045, 79.1045) * CHOOSE(CONTROL!$C$21, $C$9, 100%, $E$9)</f>
        <v>79.104500000000002</v>
      </c>
      <c r="T87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72" s="56">
        <f>(1000*CHOOSE(CONTROL!$C$42, 695, 695)*CHOOSE(CONTROL!$C$42, 0.5599, 0.5599)*CHOOSE(CONTROL!$C$42, 31, 31))/1000000</f>
        <v>12.063045499999998</v>
      </c>
      <c r="V872" s="56">
        <f>(1000*CHOOSE(CONTROL!$C$42, 500, 500)*CHOOSE(CONTROL!$C$42, 0.275, 0.275)*CHOOSE(CONTROL!$C$42, 31, 31))/1000000</f>
        <v>4.2625000000000002</v>
      </c>
      <c r="W872" s="56">
        <f>(1000*CHOOSE(CONTROL!$C$42, 0.1146, 0.1146)*CHOOSE(CONTROL!$C$42, 121.5, 121.5)*CHOOSE(CONTROL!$C$42, 31, 31))/1000000</f>
        <v>0.43164089999999994</v>
      </c>
      <c r="X872" s="56">
        <f>(31*0.1790888*245000/1000000)+(31*0.2374*100000/1000000)</f>
        <v>2.0961194359999999</v>
      </c>
      <c r="Y872" s="56"/>
      <c r="Z872" s="14"/>
      <c r="AA872" s="55"/>
      <c r="AB872" s="49">
        <f>(B872*194.205+C872*267.466+D872*133.845+E872*53.484+F872*40+G872*185+H872*0+I872*100+J872*300)/(194.205+267.466+133.845+53.484+0+40+185+100+300)</f>
        <v>82.408643878728412</v>
      </c>
      <c r="AC872" s="45">
        <f>(M872*'RAP TEMPLATE-GAS AVAILABILITY'!O871+N872*'RAP TEMPLATE-GAS AVAILABILITY'!P871+O872*'RAP TEMPLATE-GAS AVAILABILITY'!Q871+P872*'RAP TEMPLATE-GAS AVAILABILITY'!R871)/('RAP TEMPLATE-GAS AVAILABILITY'!O871+'RAP TEMPLATE-GAS AVAILABILITY'!P871+'RAP TEMPLATE-GAS AVAILABILITY'!Q871+'RAP TEMPLATE-GAS AVAILABILITY'!R871)</f>
        <v>81.034825899280577</v>
      </c>
    </row>
    <row r="873" spans="1:29" ht="15.75" x14ac:dyDescent="0.25">
      <c r="A873" s="32">
        <v>67480</v>
      </c>
      <c r="B873" s="14">
        <f>CHOOSE(CONTROL!$C$42, 77.1076, 77.1076) * CHOOSE(CONTROL!$C$21, $C$9, 100%, $E$9)</f>
        <v>77.107600000000005</v>
      </c>
      <c r="C873" s="14">
        <f>CHOOSE(CONTROL!$C$42, 77.1157, 77.1157) * CHOOSE(CONTROL!$C$21, $C$9, 100%, $E$9)</f>
        <v>77.115700000000004</v>
      </c>
      <c r="D873" s="14">
        <f>CHOOSE(CONTROL!$C$42, 77.3748, 77.3748) * CHOOSE(CONTROL!$C$21, $C$9, 100%, $E$9)</f>
        <v>77.374799999999993</v>
      </c>
      <c r="E873" s="14">
        <f>CHOOSE(CONTROL!$C$42, 77.4062, 77.4062) * CHOOSE(CONTROL!$C$21, $C$9, 100%, $E$9)</f>
        <v>77.406199999999998</v>
      </c>
      <c r="F873" s="14">
        <f>CHOOSE(CONTROL!$C$42, 77.1301, 77.1301)*CHOOSE(CONTROL!$C$21, $C$9, 100%, $E$9)</f>
        <v>77.130099999999999</v>
      </c>
      <c r="G873" s="14">
        <f>CHOOSE(CONTROL!$C$42, 77.1473, 77.1473)*CHOOSE(CONTROL!$C$21, $C$9, 100%, $E$9)</f>
        <v>77.147300000000001</v>
      </c>
      <c r="H873" s="14">
        <f>CHOOSE(CONTROL!$C$42, 77.3949, 77.3949) * CHOOSE(CONTROL!$C$21, $C$9, 100%, $E$9)</f>
        <v>77.394900000000007</v>
      </c>
      <c r="I873" s="14">
        <f>CHOOSE(CONTROL!$C$42, 77.3702, 77.3702)* CHOOSE(CONTROL!$C$21, $C$9, 100%, $E$9)</f>
        <v>77.370199999999997</v>
      </c>
      <c r="J873" s="14">
        <f>CHOOSE(CONTROL!$C$42, 77.1231, 77.1231)* CHOOSE(CONTROL!$C$21, $C$9, 100%, $E$9)</f>
        <v>77.123099999999994</v>
      </c>
      <c r="K873" s="52">
        <f>CHOOSE(CONTROL!$C$42, 77.3663, 77.3663) * CHOOSE(CONTROL!$C$21, $C$9, 100%, $E$9)</f>
        <v>77.366299999999995</v>
      </c>
      <c r="L873" s="14">
        <f>CHOOSE(CONTROL!$C$42, 77.9819, 77.9819) * CHOOSE(CONTROL!$C$21, $C$9, 100%, $E$9)</f>
        <v>77.981899999999996</v>
      </c>
      <c r="M873" s="14">
        <f>CHOOSE(CONTROL!$C$42, 75.7436, 75.7436) * CHOOSE(CONTROL!$C$21, $C$9, 100%, $E$9)</f>
        <v>75.743600000000001</v>
      </c>
      <c r="N873" s="14">
        <f>CHOOSE(CONTROL!$C$42, 75.7605, 75.7605) * CHOOSE(CONTROL!$C$21, $C$9, 100%, $E$9)</f>
        <v>75.760499999999993</v>
      </c>
      <c r="O873" s="14">
        <f>CHOOSE(CONTROL!$C$42, 76.0105, 76.0105) * CHOOSE(CONTROL!$C$21, $C$9, 100%, $E$9)</f>
        <v>76.010499999999993</v>
      </c>
      <c r="P873" s="14">
        <f>CHOOSE(CONTROL!$C$42, 75.9821, 75.9821) * CHOOSE(CONTROL!$C$21, $C$9, 100%, $E$9)</f>
        <v>75.982100000000003</v>
      </c>
      <c r="Q873" s="14">
        <f>CHOOSE(CONTROL!$C$42, 76.6052, 76.6052) * CHOOSE(CONTROL!$C$21, $C$9, 100%, $E$9)</f>
        <v>76.605199999999996</v>
      </c>
      <c r="R873" s="14">
        <f>CHOOSE(CONTROL!$C$42, 77.3837, 77.3837) * CHOOSE(CONTROL!$C$21, $C$9, 100%, $E$9)</f>
        <v>77.383700000000005</v>
      </c>
      <c r="S873" s="14">
        <f>CHOOSE(CONTROL!$C$42, 74.0821, 74.0821) * CHOOSE(CONTROL!$C$21, $C$9, 100%, $E$9)</f>
        <v>74.082099999999997</v>
      </c>
      <c r="T87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73" s="56">
        <f>(1000*CHOOSE(CONTROL!$C$42, 695, 695)*CHOOSE(CONTROL!$C$42, 0.5599, 0.5599)*CHOOSE(CONTROL!$C$42, 30, 30))/1000000</f>
        <v>11.673914999999997</v>
      </c>
      <c r="V873" s="56">
        <f>(1000*CHOOSE(CONTROL!$C$42, 500, 500)*CHOOSE(CONTROL!$C$42, 0.275, 0.275)*CHOOSE(CONTROL!$C$42, 30, 30))/1000000</f>
        <v>4.125</v>
      </c>
      <c r="W873" s="56">
        <f>(1000*CHOOSE(CONTROL!$C$42, 0.1146, 0.1146)*CHOOSE(CONTROL!$C$42, 121.5, 121.5)*CHOOSE(CONTROL!$C$42, 30, 30))/1000000</f>
        <v>0.417717</v>
      </c>
      <c r="X873" s="56">
        <f>(30*0.1790888*245000/1000000)+(30*0.2374*100000/1000000)</f>
        <v>2.0285026799999999</v>
      </c>
      <c r="Y873" s="56"/>
      <c r="Z873" s="14"/>
      <c r="AA873" s="55"/>
      <c r="AB873" s="49">
        <f>(B873*194.205+C873*267.466+D873*133.845+E873*53.484+F873*40+G873*185+H873*0+I873*100+J873*300)/(194.205+267.466+133.845+53.484+0+40+185+100+300)</f>
        <v>77.180641350863411</v>
      </c>
      <c r="AC873" s="45">
        <f>(M873*'RAP TEMPLATE-GAS AVAILABILITY'!O872+N873*'RAP TEMPLATE-GAS AVAILABILITY'!P872+O873*'RAP TEMPLATE-GAS AVAILABILITY'!Q872+P873*'RAP TEMPLATE-GAS AVAILABILITY'!R872)/('RAP TEMPLATE-GAS AVAILABILITY'!O872+'RAP TEMPLATE-GAS AVAILABILITY'!P872+'RAP TEMPLATE-GAS AVAILABILITY'!Q872+'RAP TEMPLATE-GAS AVAILABILITY'!R872)</f>
        <v>75.899858273381298</v>
      </c>
    </row>
    <row r="874" spans="1:29" ht="15.75" x14ac:dyDescent="0.25">
      <c r="A874" s="32">
        <v>67511</v>
      </c>
      <c r="B874" s="14">
        <f>CHOOSE(CONTROL!$C$42, 75.5405, 75.5405) * CHOOSE(CONTROL!$C$21, $C$9, 100%, $E$9)</f>
        <v>75.540499999999994</v>
      </c>
      <c r="C874" s="14">
        <f>CHOOSE(CONTROL!$C$42, 75.5459, 75.5459) * CHOOSE(CONTROL!$C$21, $C$9, 100%, $E$9)</f>
        <v>75.545900000000003</v>
      </c>
      <c r="D874" s="14">
        <f>CHOOSE(CONTROL!$C$42, 75.8099, 75.8099) * CHOOSE(CONTROL!$C$21, $C$9, 100%, $E$9)</f>
        <v>75.809899999999999</v>
      </c>
      <c r="E874" s="14">
        <f>CHOOSE(CONTROL!$C$42, 75.839, 75.839) * CHOOSE(CONTROL!$C$21, $C$9, 100%, $E$9)</f>
        <v>75.838999999999999</v>
      </c>
      <c r="F874" s="14">
        <f>CHOOSE(CONTROL!$C$42, 75.5652, 75.5652)*CHOOSE(CONTROL!$C$21, $C$9, 100%, $E$9)</f>
        <v>75.565200000000004</v>
      </c>
      <c r="G874" s="14">
        <f>CHOOSE(CONTROL!$C$42, 75.5823, 75.5823)*CHOOSE(CONTROL!$C$21, $C$9, 100%, $E$9)</f>
        <v>75.582300000000004</v>
      </c>
      <c r="H874" s="14">
        <f>CHOOSE(CONTROL!$C$42, 75.8295, 75.8295) * CHOOSE(CONTROL!$C$21, $C$9, 100%, $E$9)</f>
        <v>75.829499999999996</v>
      </c>
      <c r="I874" s="14">
        <f>CHOOSE(CONTROL!$C$42, 75.8, 75.8)* CHOOSE(CONTROL!$C$21, $C$9, 100%, $E$9)</f>
        <v>75.8</v>
      </c>
      <c r="J874" s="14">
        <f>CHOOSE(CONTROL!$C$42, 75.5582, 75.5582)* CHOOSE(CONTROL!$C$21, $C$9, 100%, $E$9)</f>
        <v>75.558199999999999</v>
      </c>
      <c r="K874" s="52">
        <f>CHOOSE(CONTROL!$C$42, 75.7961, 75.7961) * CHOOSE(CONTROL!$C$21, $C$9, 100%, $E$9)</f>
        <v>75.796099999999996</v>
      </c>
      <c r="L874" s="14">
        <f>CHOOSE(CONTROL!$C$42, 76.4165, 76.4165) * CHOOSE(CONTROL!$C$21, $C$9, 100%, $E$9)</f>
        <v>76.416499999999999</v>
      </c>
      <c r="M874" s="14">
        <f>CHOOSE(CONTROL!$C$42, 74.2068, 74.2068) * CHOOSE(CONTROL!$C$21, $C$9, 100%, $E$9)</f>
        <v>74.206800000000001</v>
      </c>
      <c r="N874" s="14">
        <f>CHOOSE(CONTROL!$C$42, 74.2236, 74.2236) * CHOOSE(CONTROL!$C$21, $C$9, 100%, $E$9)</f>
        <v>74.223600000000005</v>
      </c>
      <c r="O874" s="14">
        <f>CHOOSE(CONTROL!$C$42, 74.4733, 74.4733) * CHOOSE(CONTROL!$C$21, $C$9, 100%, $E$9)</f>
        <v>74.473299999999995</v>
      </c>
      <c r="P874" s="14">
        <f>CHOOSE(CONTROL!$C$42, 74.4402, 74.4402) * CHOOSE(CONTROL!$C$21, $C$9, 100%, $E$9)</f>
        <v>74.440200000000004</v>
      </c>
      <c r="Q874" s="14">
        <f>CHOOSE(CONTROL!$C$42, 75.068, 75.068) * CHOOSE(CONTROL!$C$21, $C$9, 100%, $E$9)</f>
        <v>75.067999999999998</v>
      </c>
      <c r="R874" s="14">
        <f>CHOOSE(CONTROL!$C$42, 75.8426, 75.8426) * CHOOSE(CONTROL!$C$21, $C$9, 100%, $E$9)</f>
        <v>75.842600000000004</v>
      </c>
      <c r="S874" s="14">
        <f>CHOOSE(CONTROL!$C$42, 72.578, 72.578) * CHOOSE(CONTROL!$C$21, $C$9, 100%, $E$9)</f>
        <v>72.578000000000003</v>
      </c>
      <c r="T87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74" s="56">
        <f>(1000*CHOOSE(CONTROL!$C$42, 695, 695)*CHOOSE(CONTROL!$C$42, 0.5599, 0.5599)*CHOOSE(CONTROL!$C$42, 31, 31))/1000000</f>
        <v>12.063045499999998</v>
      </c>
      <c r="V874" s="56">
        <f>(1000*CHOOSE(CONTROL!$C$42, 500, 500)*CHOOSE(CONTROL!$C$42, 0.275, 0.275)*CHOOSE(CONTROL!$C$42, 31, 31))/1000000</f>
        <v>4.2625000000000002</v>
      </c>
      <c r="W874" s="56">
        <f>(1000*CHOOSE(CONTROL!$C$42, 0.1146, 0.1146)*CHOOSE(CONTROL!$C$42, 121.5, 121.5)*CHOOSE(CONTROL!$C$42, 31, 31))/1000000</f>
        <v>0.43164089999999994</v>
      </c>
      <c r="X874" s="56">
        <f>(31*0.1790888*245000/1000000)+(31*0.2374*100000/1000000)</f>
        <v>2.0961194359999999</v>
      </c>
      <c r="Y874" s="56"/>
      <c r="Z874" s="14"/>
      <c r="AA874" s="55"/>
      <c r="AB874" s="49">
        <f>(B874*131.881+C874*277.167+D874*79.08+E874*125.872+F874*40+G874*185+H874*0+I874*100+J874*300)/(131.881+277.167+79.08+125.872+0+40+185+100+300)</f>
        <v>75.621496485714275</v>
      </c>
      <c r="AC874" s="45">
        <f>(M874*'RAP TEMPLATE-GAS AVAILABILITY'!O873+N874*'RAP TEMPLATE-GAS AVAILABILITY'!P873+O874*'RAP TEMPLATE-GAS AVAILABILITY'!Q873+P874*'RAP TEMPLATE-GAS AVAILABILITY'!R873)/('RAP TEMPLATE-GAS AVAILABILITY'!O873+'RAP TEMPLATE-GAS AVAILABILITY'!P873+'RAP TEMPLATE-GAS AVAILABILITY'!Q873+'RAP TEMPLATE-GAS AVAILABILITY'!R873)</f>
        <v>74.362137410071952</v>
      </c>
    </row>
    <row r="875" spans="1:29" ht="15.75" x14ac:dyDescent="0.25">
      <c r="A875" s="32">
        <v>67541</v>
      </c>
      <c r="B875" s="14">
        <f>CHOOSE(CONTROL!$C$42, 77.53, 77.53) * CHOOSE(CONTROL!$C$21, $C$9, 100%, $E$9)</f>
        <v>77.53</v>
      </c>
      <c r="C875" s="14">
        <f>CHOOSE(CONTROL!$C$42, 77.535, 77.535) * CHOOSE(CONTROL!$C$21, $C$9, 100%, $E$9)</f>
        <v>77.534999999999997</v>
      </c>
      <c r="D875" s="14">
        <f>CHOOSE(CONTROL!$C$42, 77.6181, 77.6181) * CHOOSE(CONTROL!$C$21, $C$9, 100%, $E$9)</f>
        <v>77.618099999999998</v>
      </c>
      <c r="E875" s="14">
        <f>CHOOSE(CONTROL!$C$42, 77.6522, 77.6522) * CHOOSE(CONTROL!$C$21, $C$9, 100%, $E$9)</f>
        <v>77.652199999999993</v>
      </c>
      <c r="F875" s="14">
        <f>CHOOSE(CONTROL!$C$42, 77.5576, 77.5576)*CHOOSE(CONTROL!$C$21, $C$9, 100%, $E$9)</f>
        <v>77.557599999999994</v>
      </c>
      <c r="G875" s="14">
        <f>CHOOSE(CONTROL!$C$42, 77.5749, 77.5749)*CHOOSE(CONTROL!$C$21, $C$9, 100%, $E$9)</f>
        <v>77.5749</v>
      </c>
      <c r="H875" s="14">
        <f>CHOOSE(CONTROL!$C$42, 77.6414, 77.6414) * CHOOSE(CONTROL!$C$21, $C$9, 100%, $E$9)</f>
        <v>77.641400000000004</v>
      </c>
      <c r="I875" s="14">
        <f>CHOOSE(CONTROL!$C$42, 77.7924, 77.7924)* CHOOSE(CONTROL!$C$21, $C$9, 100%, $E$9)</f>
        <v>77.792400000000001</v>
      </c>
      <c r="J875" s="14">
        <f>CHOOSE(CONTROL!$C$42, 77.5506, 77.5506)* CHOOSE(CONTROL!$C$21, $C$9, 100%, $E$9)</f>
        <v>77.550600000000003</v>
      </c>
      <c r="K875" s="52">
        <f>CHOOSE(CONTROL!$C$42, 77.7885, 77.7885) * CHOOSE(CONTROL!$C$21, $C$9, 100%, $E$9)</f>
        <v>77.788499999999999</v>
      </c>
      <c r="L875" s="14">
        <f>CHOOSE(CONTROL!$C$42, 78.2284, 78.2284) * CHOOSE(CONTROL!$C$21, $C$9, 100%, $E$9)</f>
        <v>78.228399999999993</v>
      </c>
      <c r="M875" s="14">
        <f>CHOOSE(CONTROL!$C$42, 76.1634, 76.1634) * CHOOSE(CONTROL!$C$21, $C$9, 100%, $E$9)</f>
        <v>76.163399999999996</v>
      </c>
      <c r="N875" s="14">
        <f>CHOOSE(CONTROL!$C$42, 76.1804, 76.1804) * CHOOSE(CONTROL!$C$21, $C$9, 100%, $E$9)</f>
        <v>76.180400000000006</v>
      </c>
      <c r="O875" s="14">
        <f>CHOOSE(CONTROL!$C$42, 76.2526, 76.2526) * CHOOSE(CONTROL!$C$21, $C$9, 100%, $E$9)</f>
        <v>76.252600000000001</v>
      </c>
      <c r="P875" s="14">
        <f>CHOOSE(CONTROL!$C$42, 76.3966, 76.3966) * CHOOSE(CONTROL!$C$21, $C$9, 100%, $E$9)</f>
        <v>76.396600000000007</v>
      </c>
      <c r="Q875" s="14">
        <f>CHOOSE(CONTROL!$C$42, 76.8473, 76.8473) * CHOOSE(CONTROL!$C$21, $C$9, 100%, $E$9)</f>
        <v>76.847300000000004</v>
      </c>
      <c r="R875" s="14">
        <f>CHOOSE(CONTROL!$C$42, 77.6264, 77.6264) * CHOOSE(CONTROL!$C$21, $C$9, 100%, $E$9)</f>
        <v>77.626400000000004</v>
      </c>
      <c r="S875" s="14">
        <f>CHOOSE(CONTROL!$C$42, 74.49, 74.49) * CHOOSE(CONTROL!$C$21, $C$9, 100%, $E$9)</f>
        <v>74.489999999999995</v>
      </c>
      <c r="T87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75" s="56">
        <f>(1000*CHOOSE(CONTROL!$C$42, 695, 695)*CHOOSE(CONTROL!$C$42, 0.5599, 0.5599)*CHOOSE(CONTROL!$C$42, 30, 30))/1000000</f>
        <v>11.673914999999997</v>
      </c>
      <c r="V875" s="56">
        <f>(1000*CHOOSE(CONTROL!$C$42, 500, 500)*CHOOSE(CONTROL!$C$42, 0.275, 0.275)*CHOOSE(CONTROL!$C$42, 30, 30))/1000000</f>
        <v>4.125</v>
      </c>
      <c r="W875" s="56">
        <f>(1000*CHOOSE(CONTROL!$C$42, 0.1146, 0.1146)*CHOOSE(CONTROL!$C$42, 121.5, 121.5)*CHOOSE(CONTROL!$C$42, 30, 30))/1000000</f>
        <v>0.417717</v>
      </c>
      <c r="X875" s="56">
        <f>(30*0.1790888*100000/1000000)+(30*0.2374*100000/1000000)</f>
        <v>1.2494664</v>
      </c>
      <c r="Y875" s="56"/>
      <c r="Z875" s="14"/>
      <c r="AA875" s="55"/>
      <c r="AB875" s="49">
        <f>(B875*122.58+C875*297.941+D875*89.177+E875*40.302+F875*40+G875*160+H875*0+I875*100+J875*300)/(122.58+297.941+89.177+40.302+0+40+160+100+300)</f>
        <v>77.577807915739129</v>
      </c>
      <c r="AC875" s="45">
        <f>(M875*'RAP TEMPLATE-GAS AVAILABILITY'!O874+N875*'RAP TEMPLATE-GAS AVAILABILITY'!P874+O875*'RAP TEMPLATE-GAS AVAILABILITY'!Q874+P875*'RAP TEMPLATE-GAS AVAILABILITY'!R874)/('RAP TEMPLATE-GAS AVAILABILITY'!O874+'RAP TEMPLATE-GAS AVAILABILITY'!P874+'RAP TEMPLATE-GAS AVAILABILITY'!Q874+'RAP TEMPLATE-GAS AVAILABILITY'!R874)</f>
        <v>76.238361151079147</v>
      </c>
    </row>
    <row r="876" spans="1:29" ht="15.75" x14ac:dyDescent="0.25">
      <c r="A876" s="32">
        <v>67572</v>
      </c>
      <c r="B876" s="14">
        <f>CHOOSE(CONTROL!$C$42, 82.8153, 82.8153) * CHOOSE(CONTROL!$C$21, $C$9, 100%, $E$9)</f>
        <v>82.815299999999993</v>
      </c>
      <c r="C876" s="14">
        <f>CHOOSE(CONTROL!$C$42, 82.8203, 82.8203) * CHOOSE(CONTROL!$C$21, $C$9, 100%, $E$9)</f>
        <v>82.820300000000003</v>
      </c>
      <c r="D876" s="14">
        <f>CHOOSE(CONTROL!$C$42, 82.9034, 82.9034) * CHOOSE(CONTROL!$C$21, $C$9, 100%, $E$9)</f>
        <v>82.903400000000005</v>
      </c>
      <c r="E876" s="14">
        <f>CHOOSE(CONTROL!$C$42, 82.9375, 82.9375) * CHOOSE(CONTROL!$C$21, $C$9, 100%, $E$9)</f>
        <v>82.9375</v>
      </c>
      <c r="F876" s="14">
        <f>CHOOSE(CONTROL!$C$42, 82.8453, 82.8453)*CHOOSE(CONTROL!$C$21, $C$9, 100%, $E$9)</f>
        <v>82.845299999999995</v>
      </c>
      <c r="G876" s="14">
        <f>CHOOSE(CONTROL!$C$42, 82.8633, 82.8633)*CHOOSE(CONTROL!$C$21, $C$9, 100%, $E$9)</f>
        <v>82.863299999999995</v>
      </c>
      <c r="H876" s="14">
        <f>CHOOSE(CONTROL!$C$42, 82.9267, 82.9267) * CHOOSE(CONTROL!$C$21, $C$9, 100%, $E$9)</f>
        <v>82.926699999999997</v>
      </c>
      <c r="I876" s="14">
        <f>CHOOSE(CONTROL!$C$42, 83.0942, 83.0942)* CHOOSE(CONTROL!$C$21, $C$9, 100%, $E$9)</f>
        <v>83.094200000000001</v>
      </c>
      <c r="J876" s="14">
        <f>CHOOSE(CONTROL!$C$42, 82.8383, 82.8383)* CHOOSE(CONTROL!$C$21, $C$9, 100%, $E$9)</f>
        <v>82.838300000000004</v>
      </c>
      <c r="K876" s="52">
        <f>CHOOSE(CONTROL!$C$42, 83.0904, 83.0904) * CHOOSE(CONTROL!$C$21, $C$9, 100%, $E$9)</f>
        <v>83.090400000000002</v>
      </c>
      <c r="L876" s="14">
        <f>CHOOSE(CONTROL!$C$42, 83.5137, 83.5137) * CHOOSE(CONTROL!$C$21, $C$9, 100%, $E$9)</f>
        <v>83.5137</v>
      </c>
      <c r="M876" s="14">
        <f>CHOOSE(CONTROL!$C$42, 81.356, 81.356) * CHOOSE(CONTROL!$C$21, $C$9, 100%, $E$9)</f>
        <v>81.355999999999995</v>
      </c>
      <c r="N876" s="14">
        <f>CHOOSE(CONTROL!$C$42, 81.3737, 81.3737) * CHOOSE(CONTROL!$C$21, $C$9, 100%, $E$9)</f>
        <v>81.373699999999999</v>
      </c>
      <c r="O876" s="14">
        <f>CHOOSE(CONTROL!$C$42, 81.4428, 81.4428) * CHOOSE(CONTROL!$C$21, $C$9, 100%, $E$9)</f>
        <v>81.442800000000005</v>
      </c>
      <c r="P876" s="14">
        <f>CHOOSE(CONTROL!$C$42, 81.6028, 81.6028) * CHOOSE(CONTROL!$C$21, $C$9, 100%, $E$9)</f>
        <v>81.602800000000002</v>
      </c>
      <c r="Q876" s="14">
        <f>CHOOSE(CONTROL!$C$42, 82.0375, 82.0375) * CHOOSE(CONTROL!$C$21, $C$9, 100%, $E$9)</f>
        <v>82.037499999999994</v>
      </c>
      <c r="R876" s="14">
        <f>CHOOSE(CONTROL!$C$42, 82.8296, 82.8296) * CHOOSE(CONTROL!$C$21, $C$9, 100%, $E$9)</f>
        <v>82.829599999999999</v>
      </c>
      <c r="S876" s="14">
        <f>CHOOSE(CONTROL!$C$42, 79.5686, 79.5686) * CHOOSE(CONTROL!$C$21, $C$9, 100%, $E$9)</f>
        <v>79.568600000000004</v>
      </c>
      <c r="T87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76" s="56">
        <f>(1000*CHOOSE(CONTROL!$C$42, 695, 695)*CHOOSE(CONTROL!$C$42, 0.5599, 0.5599)*CHOOSE(CONTROL!$C$42, 31, 31))/1000000</f>
        <v>12.063045499999998</v>
      </c>
      <c r="V876" s="56">
        <f>(1000*CHOOSE(CONTROL!$C$42, 500, 500)*CHOOSE(CONTROL!$C$42, 0.275, 0.275)*CHOOSE(CONTROL!$C$42, 31, 31))/1000000</f>
        <v>4.2625000000000002</v>
      </c>
      <c r="W876" s="56">
        <f>(1000*CHOOSE(CONTROL!$C$42, 0.1146, 0.1146)*CHOOSE(CONTROL!$C$42, 121.5, 121.5)*CHOOSE(CONTROL!$C$42, 31, 31))/1000000</f>
        <v>0.43164089999999994</v>
      </c>
      <c r="X876" s="56">
        <f>(31*0.1790888*100000/1000000)+(31*0.2374*100000/1000000)</f>
        <v>1.2911152800000001</v>
      </c>
      <c r="Y876" s="56"/>
      <c r="Z876" s="14"/>
      <c r="AA876" s="55"/>
      <c r="AB876" s="49">
        <f>(B876*122.58+C876*297.941+D876*89.177+E876*40.302+F876*40+G876*160+H876*0+I876*100+J876*300)/(122.58+297.941+89.177+40.302+0+40+160+100+300)</f>
        <v>82.865683567913038</v>
      </c>
      <c r="AC876" s="45">
        <f>(M876*'RAP TEMPLATE-GAS AVAILABILITY'!O875+N876*'RAP TEMPLATE-GAS AVAILABILITY'!P875+O876*'RAP TEMPLATE-GAS AVAILABILITY'!Q875+P876*'RAP TEMPLATE-GAS AVAILABILITY'!R875)/('RAP TEMPLATE-GAS AVAILABILITY'!O875+'RAP TEMPLATE-GAS AVAILABILITY'!P875+'RAP TEMPLATE-GAS AVAILABILITY'!Q875+'RAP TEMPLATE-GAS AVAILABILITY'!R875)</f>
        <v>81.431870503597111</v>
      </c>
    </row>
    <row r="877" spans="1:29" ht="15.75" x14ac:dyDescent="0.25">
      <c r="A877" s="32">
        <v>67603</v>
      </c>
      <c r="B877" s="14">
        <f>CHOOSE(CONTROL!$C$42, 89.6799, 89.6799) * CHOOSE(CONTROL!$C$21, $C$9, 100%, $E$9)</f>
        <v>89.679900000000004</v>
      </c>
      <c r="C877" s="14">
        <f>CHOOSE(CONTROL!$C$42, 89.685, 89.685) * CHOOSE(CONTROL!$C$21, $C$9, 100%, $E$9)</f>
        <v>89.685000000000002</v>
      </c>
      <c r="D877" s="14">
        <f>CHOOSE(CONTROL!$C$42, 89.7784, 89.7784) * CHOOSE(CONTROL!$C$21, $C$9, 100%, $E$9)</f>
        <v>89.778400000000005</v>
      </c>
      <c r="E877" s="14">
        <f>CHOOSE(CONTROL!$C$42, 89.8126, 89.8126) * CHOOSE(CONTROL!$C$21, $C$9, 100%, $E$9)</f>
        <v>89.812600000000003</v>
      </c>
      <c r="F877" s="14">
        <f>CHOOSE(CONTROL!$C$42, 89.7072, 89.7072)*CHOOSE(CONTROL!$C$21, $C$9, 100%, $E$9)</f>
        <v>89.7072</v>
      </c>
      <c r="G877" s="14">
        <f>CHOOSE(CONTROL!$C$42, 89.7252, 89.7252)*CHOOSE(CONTROL!$C$21, $C$9, 100%, $E$9)</f>
        <v>89.725200000000001</v>
      </c>
      <c r="H877" s="14">
        <f>CHOOSE(CONTROL!$C$42, 89.8017, 89.8017) * CHOOSE(CONTROL!$C$21, $C$9, 100%, $E$9)</f>
        <v>89.801699999999997</v>
      </c>
      <c r="I877" s="14">
        <f>CHOOSE(CONTROL!$C$42, 89.9867, 89.9867)* CHOOSE(CONTROL!$C$21, $C$9, 100%, $E$9)</f>
        <v>89.986699999999999</v>
      </c>
      <c r="J877" s="14">
        <f>CHOOSE(CONTROL!$C$42, 89.7002, 89.7002)* CHOOSE(CONTROL!$C$21, $C$9, 100%, $E$9)</f>
        <v>89.700199999999995</v>
      </c>
      <c r="K877" s="52">
        <f>CHOOSE(CONTROL!$C$42, 89.9828, 89.9828) * CHOOSE(CONTROL!$C$21, $C$9, 100%, $E$9)</f>
        <v>89.982799999999997</v>
      </c>
      <c r="L877" s="14">
        <f>CHOOSE(CONTROL!$C$42, 90.3887, 90.3887) * CHOOSE(CONTROL!$C$21, $C$9, 100%, $E$9)</f>
        <v>90.3887</v>
      </c>
      <c r="M877" s="14">
        <f>CHOOSE(CONTROL!$C$42, 88.0945, 88.0945) * CHOOSE(CONTROL!$C$21, $C$9, 100%, $E$9)</f>
        <v>88.094499999999996</v>
      </c>
      <c r="N877" s="14">
        <f>CHOOSE(CONTROL!$C$42, 88.1121, 88.1121) * CHOOSE(CONTROL!$C$21, $C$9, 100%, $E$9)</f>
        <v>88.112099999999998</v>
      </c>
      <c r="O877" s="14">
        <f>CHOOSE(CONTROL!$C$42, 88.1942, 88.1942) * CHOOSE(CONTROL!$C$21, $C$9, 100%, $E$9)</f>
        <v>88.194199999999995</v>
      </c>
      <c r="P877" s="14">
        <f>CHOOSE(CONTROL!$C$42, 88.3709, 88.3709) * CHOOSE(CONTROL!$C$21, $C$9, 100%, $E$9)</f>
        <v>88.370900000000006</v>
      </c>
      <c r="Q877" s="14">
        <f>CHOOSE(CONTROL!$C$42, 88.7889, 88.7889) * CHOOSE(CONTROL!$C$21, $C$9, 100%, $E$9)</f>
        <v>88.788899999999998</v>
      </c>
      <c r="R877" s="14">
        <f>CHOOSE(CONTROL!$C$42, 89.5979, 89.5979) * CHOOSE(CONTROL!$C$21, $C$9, 100%, $E$9)</f>
        <v>89.597899999999996</v>
      </c>
      <c r="S877" s="14">
        <f>CHOOSE(CONTROL!$C$42, 86.1649, 86.1649) * CHOOSE(CONTROL!$C$21, $C$9, 100%, $E$9)</f>
        <v>86.164900000000003</v>
      </c>
      <c r="T87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77" s="56">
        <f>(1000*CHOOSE(CONTROL!$C$42, 695, 695)*CHOOSE(CONTROL!$C$42, 0.5599, 0.5599)*CHOOSE(CONTROL!$C$42, 31, 31))/1000000</f>
        <v>12.063045499999998</v>
      </c>
      <c r="V877" s="56">
        <f>(1000*CHOOSE(CONTROL!$C$42, 500, 500)*CHOOSE(CONTROL!$C$42, 0.275, 0.275)*CHOOSE(CONTROL!$C$42, 31, 31))/1000000</f>
        <v>4.2625000000000002</v>
      </c>
      <c r="W877" s="56">
        <f>(1000*CHOOSE(CONTROL!$C$42, 0.1146, 0.1146)*CHOOSE(CONTROL!$C$42, 121.5, 121.5)*CHOOSE(CONTROL!$C$42, 31, 31))/1000000</f>
        <v>0.43164089999999994</v>
      </c>
      <c r="X877" s="56">
        <f>(31*0.1790888*100000/1000000)+(31*0.2374*100000/1000000)</f>
        <v>1.2911152800000001</v>
      </c>
      <c r="Y877" s="56"/>
      <c r="Z877" s="14"/>
      <c r="AA877" s="55"/>
      <c r="AB877" s="49">
        <f>(B877*122.58+C877*297.941+D877*89.177+E877*40.302+F877*40+G877*160+H877*0+I877*100+J877*300)/(122.58+297.941+89.177+40.302+0+40+160+100+300)</f>
        <v>89.732736094782609</v>
      </c>
      <c r="AC877" s="45">
        <f>(M877*'RAP TEMPLATE-GAS AVAILABILITY'!O876+N877*'RAP TEMPLATE-GAS AVAILABILITY'!P876+O877*'RAP TEMPLATE-GAS AVAILABILITY'!Q876+P877*'RAP TEMPLATE-GAS AVAILABILITY'!R876)/('RAP TEMPLATE-GAS AVAILABILITY'!O876+'RAP TEMPLATE-GAS AVAILABILITY'!P876+'RAP TEMPLATE-GAS AVAILABILITY'!Q876+'RAP TEMPLATE-GAS AVAILABILITY'!R876)</f>
        <v>88.180470503597121</v>
      </c>
    </row>
    <row r="878" spans="1:29" ht="15.75" x14ac:dyDescent="0.25">
      <c r="A878" s="32">
        <v>67631</v>
      </c>
      <c r="B878" s="14">
        <f>CHOOSE(CONTROL!$C$42, 91.2762, 91.2762) * CHOOSE(CONTROL!$C$21, $C$9, 100%, $E$9)</f>
        <v>91.276200000000003</v>
      </c>
      <c r="C878" s="14">
        <f>CHOOSE(CONTROL!$C$42, 91.2812, 91.2812) * CHOOSE(CONTROL!$C$21, $C$9, 100%, $E$9)</f>
        <v>91.281199999999998</v>
      </c>
      <c r="D878" s="14">
        <f>CHOOSE(CONTROL!$C$42, 91.3747, 91.3747) * CHOOSE(CONTROL!$C$21, $C$9, 100%, $E$9)</f>
        <v>91.374700000000004</v>
      </c>
      <c r="E878" s="14">
        <f>CHOOSE(CONTROL!$C$42, 91.4088, 91.4088) * CHOOSE(CONTROL!$C$21, $C$9, 100%, $E$9)</f>
        <v>91.408799999999999</v>
      </c>
      <c r="F878" s="14">
        <f>CHOOSE(CONTROL!$C$42, 91.3031, 91.3031)*CHOOSE(CONTROL!$C$21, $C$9, 100%, $E$9)</f>
        <v>91.303100000000001</v>
      </c>
      <c r="G878" s="14">
        <f>CHOOSE(CONTROL!$C$42, 91.321, 91.321)*CHOOSE(CONTROL!$C$21, $C$9, 100%, $E$9)</f>
        <v>91.320999999999998</v>
      </c>
      <c r="H878" s="14">
        <f>CHOOSE(CONTROL!$C$42, 91.398, 91.398) * CHOOSE(CONTROL!$C$21, $C$9, 100%, $E$9)</f>
        <v>91.397999999999996</v>
      </c>
      <c r="I878" s="14">
        <f>CHOOSE(CONTROL!$C$42, 91.5879, 91.5879)* CHOOSE(CONTROL!$C$21, $C$9, 100%, $E$9)</f>
        <v>91.587900000000005</v>
      </c>
      <c r="J878" s="14">
        <f>CHOOSE(CONTROL!$C$42, 91.2961, 91.2961)* CHOOSE(CONTROL!$C$21, $C$9, 100%, $E$9)</f>
        <v>91.296099999999996</v>
      </c>
      <c r="K878" s="52">
        <f>CHOOSE(CONTROL!$C$42, 91.584, 91.584) * CHOOSE(CONTROL!$C$21, $C$9, 100%, $E$9)</f>
        <v>91.584000000000003</v>
      </c>
      <c r="L878" s="14">
        <f>CHOOSE(CONTROL!$C$42, 91.985, 91.985) * CHOOSE(CONTROL!$C$21, $C$9, 100%, $E$9)</f>
        <v>91.984999999999999</v>
      </c>
      <c r="M878" s="14">
        <f>CHOOSE(CONTROL!$C$42, 89.6617, 89.6617) * CHOOSE(CONTROL!$C$21, $C$9, 100%, $E$9)</f>
        <v>89.661699999999996</v>
      </c>
      <c r="N878" s="14">
        <f>CHOOSE(CONTROL!$C$42, 89.6792, 89.6792) * CHOOSE(CONTROL!$C$21, $C$9, 100%, $E$9)</f>
        <v>89.679199999999994</v>
      </c>
      <c r="O878" s="14">
        <f>CHOOSE(CONTROL!$C$42, 89.7618, 89.7618) * CHOOSE(CONTROL!$C$21, $C$9, 100%, $E$9)</f>
        <v>89.761799999999994</v>
      </c>
      <c r="P878" s="14">
        <f>CHOOSE(CONTROL!$C$42, 89.9433, 89.9433) * CHOOSE(CONTROL!$C$21, $C$9, 100%, $E$9)</f>
        <v>89.943299999999994</v>
      </c>
      <c r="Q878" s="14">
        <f>CHOOSE(CONTROL!$C$42, 90.3565, 90.3565) * CHOOSE(CONTROL!$C$21, $C$9, 100%, $E$9)</f>
        <v>90.356499999999997</v>
      </c>
      <c r="R878" s="14">
        <f>CHOOSE(CONTROL!$C$42, 91.1693, 91.1693) * CHOOSE(CONTROL!$C$21, $C$9, 100%, $E$9)</f>
        <v>91.169300000000007</v>
      </c>
      <c r="S878" s="14">
        <f>CHOOSE(CONTROL!$C$42, 87.6987, 87.6987) * CHOOSE(CONTROL!$C$21, $C$9, 100%, $E$9)</f>
        <v>87.698700000000002</v>
      </c>
      <c r="T87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78" s="56">
        <f>(1000*CHOOSE(CONTROL!$C$42, 695, 695)*CHOOSE(CONTROL!$C$42, 0.5599, 0.5599)*CHOOSE(CONTROL!$C$42, 28, 28))/1000000</f>
        <v>10.895653999999999</v>
      </c>
      <c r="V878" s="56">
        <f>(1000*CHOOSE(CONTROL!$C$42, 500, 500)*CHOOSE(CONTROL!$C$42, 0.275, 0.275)*CHOOSE(CONTROL!$C$42, 28, 28))/1000000</f>
        <v>3.85</v>
      </c>
      <c r="W878" s="56">
        <f>(1000*CHOOSE(CONTROL!$C$42, 0.1146, 0.1146)*CHOOSE(CONTROL!$C$42, 121.5, 121.5)*CHOOSE(CONTROL!$C$42, 28, 28))/1000000</f>
        <v>0.38986920000000003</v>
      </c>
      <c r="X878" s="56">
        <f>(28*0.1790888*100000/1000000)+(28*0.2374*100000/1000000)</f>
        <v>1.16616864</v>
      </c>
      <c r="Y878" s="56"/>
      <c r="Z878" s="14"/>
      <c r="AA878" s="55"/>
      <c r="AB878" s="49">
        <f>(B878*122.58+C878*297.941+D878*89.177+E878*40.302+F878*40+G878*160+H878*0+I878*100+J878*300)/(122.58+297.941+89.177+40.302+0+40+160+100+300)</f>
        <v>91.329244943217404</v>
      </c>
      <c r="AC878" s="45">
        <f>(M878*'RAP TEMPLATE-GAS AVAILABILITY'!O877+N878*'RAP TEMPLATE-GAS AVAILABILITY'!P877+O878*'RAP TEMPLATE-GAS AVAILABILITY'!Q877+P878*'RAP TEMPLATE-GAS AVAILABILITY'!R877)/('RAP TEMPLATE-GAS AVAILABILITY'!O877+'RAP TEMPLATE-GAS AVAILABILITY'!P877+'RAP TEMPLATE-GAS AVAILABILITY'!Q877+'RAP TEMPLATE-GAS AVAILABILITY'!R877)</f>
        <v>89.748594244604305</v>
      </c>
    </row>
    <row r="879" spans="1:29" ht="15.75" x14ac:dyDescent="0.25">
      <c r="A879" s="32">
        <v>67662</v>
      </c>
      <c r="B879" s="14">
        <f>CHOOSE(CONTROL!$C$42, 88.6851, 88.6851) * CHOOSE(CONTROL!$C$21, $C$9, 100%, $E$9)</f>
        <v>88.685100000000006</v>
      </c>
      <c r="C879" s="14">
        <f>CHOOSE(CONTROL!$C$42, 88.6901, 88.6901) * CHOOSE(CONTROL!$C$21, $C$9, 100%, $E$9)</f>
        <v>88.690100000000001</v>
      </c>
      <c r="D879" s="14">
        <f>CHOOSE(CONTROL!$C$42, 88.7836, 88.7836) * CHOOSE(CONTROL!$C$21, $C$9, 100%, $E$9)</f>
        <v>88.783600000000007</v>
      </c>
      <c r="E879" s="14">
        <f>CHOOSE(CONTROL!$C$42, 88.8177, 88.8177) * CHOOSE(CONTROL!$C$21, $C$9, 100%, $E$9)</f>
        <v>88.817700000000002</v>
      </c>
      <c r="F879" s="14">
        <f>CHOOSE(CONTROL!$C$42, 88.7111, 88.7111)*CHOOSE(CONTROL!$C$21, $C$9, 100%, $E$9)</f>
        <v>88.711100000000002</v>
      </c>
      <c r="G879" s="14">
        <f>CHOOSE(CONTROL!$C$42, 88.7288, 88.7288)*CHOOSE(CONTROL!$C$21, $C$9, 100%, $E$9)</f>
        <v>88.728800000000007</v>
      </c>
      <c r="H879" s="14">
        <f>CHOOSE(CONTROL!$C$42, 88.8069, 88.8069) * CHOOSE(CONTROL!$C$21, $C$9, 100%, $E$9)</f>
        <v>88.806899999999999</v>
      </c>
      <c r="I879" s="14">
        <f>CHOOSE(CONTROL!$C$42, 88.9887, 88.9887)* CHOOSE(CONTROL!$C$21, $C$9, 100%, $E$9)</f>
        <v>88.988699999999994</v>
      </c>
      <c r="J879" s="14">
        <f>CHOOSE(CONTROL!$C$42, 88.7041, 88.7041)* CHOOSE(CONTROL!$C$21, $C$9, 100%, $E$9)</f>
        <v>88.704099999999997</v>
      </c>
      <c r="K879" s="52">
        <f>CHOOSE(CONTROL!$C$42, 88.9848, 88.9848) * CHOOSE(CONTROL!$C$21, $C$9, 100%, $E$9)</f>
        <v>88.984800000000007</v>
      </c>
      <c r="L879" s="14">
        <f>CHOOSE(CONTROL!$C$42, 89.3939, 89.3939) * CHOOSE(CONTROL!$C$21, $C$9, 100%, $E$9)</f>
        <v>89.393900000000002</v>
      </c>
      <c r="M879" s="14">
        <f>CHOOSE(CONTROL!$C$42, 87.1163, 87.1163) * CHOOSE(CONTROL!$C$21, $C$9, 100%, $E$9)</f>
        <v>87.116299999999995</v>
      </c>
      <c r="N879" s="14">
        <f>CHOOSE(CONTROL!$C$42, 87.1336, 87.1336) * CHOOSE(CONTROL!$C$21, $C$9, 100%, $E$9)</f>
        <v>87.133600000000001</v>
      </c>
      <c r="O879" s="14">
        <f>CHOOSE(CONTROL!$C$42, 87.2172, 87.2172) * CHOOSE(CONTROL!$C$21, $C$9, 100%, $E$9)</f>
        <v>87.217200000000005</v>
      </c>
      <c r="P879" s="14">
        <f>CHOOSE(CONTROL!$C$42, 87.3909, 87.3909) * CHOOSE(CONTROL!$C$21, $C$9, 100%, $E$9)</f>
        <v>87.390900000000002</v>
      </c>
      <c r="Q879" s="14">
        <f>CHOOSE(CONTROL!$C$42, 87.8119, 87.8119) * CHOOSE(CONTROL!$C$21, $C$9, 100%, $E$9)</f>
        <v>87.811899999999994</v>
      </c>
      <c r="R879" s="14">
        <f>CHOOSE(CONTROL!$C$42, 88.6185, 88.6185) * CHOOSE(CONTROL!$C$21, $C$9, 100%, $E$9)</f>
        <v>88.618499999999997</v>
      </c>
      <c r="S879" s="14">
        <f>CHOOSE(CONTROL!$C$42, 85.2089, 85.2089) * CHOOSE(CONTROL!$C$21, $C$9, 100%, $E$9)</f>
        <v>85.2089</v>
      </c>
      <c r="T87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79" s="56">
        <f>(1000*CHOOSE(CONTROL!$C$42, 695, 695)*CHOOSE(CONTROL!$C$42, 0.5599, 0.5599)*CHOOSE(CONTROL!$C$42, 31, 31))/1000000</f>
        <v>12.063045499999998</v>
      </c>
      <c r="V879" s="56">
        <f>(1000*CHOOSE(CONTROL!$C$42, 500, 500)*CHOOSE(CONTROL!$C$42, 0.275, 0.275)*CHOOSE(CONTROL!$C$42, 31, 31))/1000000</f>
        <v>4.2625000000000002</v>
      </c>
      <c r="W879" s="56">
        <f>(1000*CHOOSE(CONTROL!$C$42, 0.1146, 0.1146)*CHOOSE(CONTROL!$C$42, 121.5, 121.5)*CHOOSE(CONTROL!$C$42, 31, 31))/1000000</f>
        <v>0.43164089999999994</v>
      </c>
      <c r="X879" s="56">
        <f>(31*0.1790888*100000/1000000)+(31*0.2374*100000/1000000)</f>
        <v>1.2911152800000001</v>
      </c>
      <c r="Y879" s="56"/>
      <c r="Z879" s="14"/>
      <c r="AA879" s="55"/>
      <c r="AB879" s="49">
        <f>(B879*122.58+C879*297.941+D879*89.177+E879*40.302+F879*40+G879*160+H879*0+I879*100+J879*300)/(122.58+297.941+89.177+40.302+0+40+160+100+300)</f>
        <v>88.737021464956513</v>
      </c>
      <c r="AC879" s="45">
        <f>(M879*'RAP TEMPLATE-GAS AVAILABILITY'!O878+N879*'RAP TEMPLATE-GAS AVAILABILITY'!P878+O879*'RAP TEMPLATE-GAS AVAILABILITY'!Q878+P879*'RAP TEMPLATE-GAS AVAILABILITY'!R878)/('RAP TEMPLATE-GAS AVAILABILITY'!O878+'RAP TEMPLATE-GAS AVAILABILITY'!P878+'RAP TEMPLATE-GAS AVAILABILITY'!Q878+'RAP TEMPLATE-GAS AVAILABILITY'!R878)</f>
        <v>87.202538129496403</v>
      </c>
    </row>
    <row r="880" spans="1:29" ht="15.75" x14ac:dyDescent="0.25">
      <c r="A880" s="32">
        <v>67692</v>
      </c>
      <c r="B880" s="14">
        <f>CHOOSE(CONTROL!$C$42, 88.4205, 88.4205) * CHOOSE(CONTROL!$C$21, $C$9, 100%, $E$9)</f>
        <v>88.420500000000004</v>
      </c>
      <c r="C880" s="14">
        <f>CHOOSE(CONTROL!$C$42, 88.425, 88.425) * CHOOSE(CONTROL!$C$21, $C$9, 100%, $E$9)</f>
        <v>88.424999999999997</v>
      </c>
      <c r="D880" s="14">
        <f>CHOOSE(CONTROL!$C$42, 88.6873, 88.6873) * CHOOSE(CONTROL!$C$21, $C$9, 100%, $E$9)</f>
        <v>88.687299999999993</v>
      </c>
      <c r="E880" s="14">
        <f>CHOOSE(CONTROL!$C$42, 88.7194, 88.7194) * CHOOSE(CONTROL!$C$21, $C$9, 100%, $E$9)</f>
        <v>88.719399999999993</v>
      </c>
      <c r="F880" s="14">
        <f>CHOOSE(CONTROL!$C$42, 88.4434, 88.4434)*CHOOSE(CONTROL!$C$21, $C$9, 100%, $E$9)</f>
        <v>88.443399999999997</v>
      </c>
      <c r="G880" s="14">
        <f>CHOOSE(CONTROL!$C$42, 88.4601, 88.4601)*CHOOSE(CONTROL!$C$21, $C$9, 100%, $E$9)</f>
        <v>88.460099999999997</v>
      </c>
      <c r="H880" s="14">
        <f>CHOOSE(CONTROL!$C$42, 88.7092, 88.7092) * CHOOSE(CONTROL!$C$21, $C$9, 100%, $E$9)</f>
        <v>88.709199999999996</v>
      </c>
      <c r="I880" s="14">
        <f>CHOOSE(CONTROL!$C$42, 88.72, 88.72)* CHOOSE(CONTROL!$C$21, $C$9, 100%, $E$9)</f>
        <v>88.72</v>
      </c>
      <c r="J880" s="14">
        <f>CHOOSE(CONTROL!$C$42, 88.4364, 88.4364)* CHOOSE(CONTROL!$C$21, $C$9, 100%, $E$9)</f>
        <v>88.436400000000006</v>
      </c>
      <c r="K880" s="52">
        <f>CHOOSE(CONTROL!$C$42, 88.7161, 88.7161) * CHOOSE(CONTROL!$C$21, $C$9, 100%, $E$9)</f>
        <v>88.716099999999997</v>
      </c>
      <c r="L880" s="14">
        <f>CHOOSE(CONTROL!$C$42, 89.2962, 89.2962) * CHOOSE(CONTROL!$C$21, $C$9, 100%, $E$9)</f>
        <v>89.296199999999999</v>
      </c>
      <c r="M880" s="14">
        <f>CHOOSE(CONTROL!$C$42, 86.8534, 86.8534) * CHOOSE(CONTROL!$C$21, $C$9, 100%, $E$9)</f>
        <v>86.853399999999993</v>
      </c>
      <c r="N880" s="14">
        <f>CHOOSE(CONTROL!$C$42, 86.8698, 86.8698) * CHOOSE(CONTROL!$C$21, $C$9, 100%, $E$9)</f>
        <v>86.869799999999998</v>
      </c>
      <c r="O880" s="14">
        <f>CHOOSE(CONTROL!$C$42, 87.1213, 87.1213) * CHOOSE(CONTROL!$C$21, $C$9, 100%, $E$9)</f>
        <v>87.121300000000005</v>
      </c>
      <c r="P880" s="14">
        <f>CHOOSE(CONTROL!$C$42, 87.127, 87.127) * CHOOSE(CONTROL!$C$21, $C$9, 100%, $E$9)</f>
        <v>87.126999999999995</v>
      </c>
      <c r="Q880" s="14">
        <f>CHOOSE(CONTROL!$C$42, 87.716, 87.716) * CHOOSE(CONTROL!$C$21, $C$9, 100%, $E$9)</f>
        <v>87.715999999999994</v>
      </c>
      <c r="R880" s="14">
        <f>CHOOSE(CONTROL!$C$42, 88.5223, 88.5223) * CHOOSE(CONTROL!$C$21, $C$9, 100%, $E$9)</f>
        <v>88.522300000000001</v>
      </c>
      <c r="S880" s="14">
        <f>CHOOSE(CONTROL!$C$42, 84.954, 84.954) * CHOOSE(CONTROL!$C$21, $C$9, 100%, $E$9)</f>
        <v>84.953999999999994</v>
      </c>
      <c r="T88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80" s="56">
        <f>(1000*CHOOSE(CONTROL!$C$42, 695, 695)*CHOOSE(CONTROL!$C$42, 0.5599, 0.5599)*CHOOSE(CONTROL!$C$42, 30, 30))/1000000</f>
        <v>11.673914999999997</v>
      </c>
      <c r="V880" s="56">
        <f>(1000*CHOOSE(CONTROL!$C$42, 500, 500)*CHOOSE(CONTROL!$C$42, 0.275, 0.275)*CHOOSE(CONTROL!$C$42, 30, 30))/1000000</f>
        <v>4.125</v>
      </c>
      <c r="W880" s="56">
        <f>(1000*CHOOSE(CONTROL!$C$42, 0.1146, 0.1146)*CHOOSE(CONTROL!$C$42, 121.5, 121.5)*CHOOSE(CONTROL!$C$42, 30, 30))/1000000</f>
        <v>0.417717</v>
      </c>
      <c r="X880" s="56">
        <f>(30*0.1790888*245000/1000000)+(30*0.2374*100000/1000000)</f>
        <v>2.0285026799999999</v>
      </c>
      <c r="Y880" s="56"/>
      <c r="Z880" s="14"/>
      <c r="AA880" s="55"/>
      <c r="AB880" s="49">
        <f>(B880*141.293+C880*267.993+D880*115.016+E880*89.698+F880*40+G880*185+H880*0+I880*100+J880*300)/(141.293+267.993+115.016+89.698+0+40+185+100+300)</f>
        <v>88.50255405125101</v>
      </c>
      <c r="AC880" s="45">
        <f>(M880*'RAP TEMPLATE-GAS AVAILABILITY'!O879+N880*'RAP TEMPLATE-GAS AVAILABILITY'!P879+O880*'RAP TEMPLATE-GAS AVAILABILITY'!Q879+P880*'RAP TEMPLATE-GAS AVAILABILITY'!R879)/('RAP TEMPLATE-GAS AVAILABILITY'!O879+'RAP TEMPLATE-GAS AVAILABILITY'!P879+'RAP TEMPLATE-GAS AVAILABILITY'!Q879+'RAP TEMPLATE-GAS AVAILABILITY'!R879)</f>
        <v>87.015133093525179</v>
      </c>
    </row>
    <row r="881" spans="1:29" ht="15.75" x14ac:dyDescent="0.25">
      <c r="A881" s="32">
        <v>67723</v>
      </c>
      <c r="B881" s="14">
        <f>CHOOSE(CONTROL!$C$42, 89.2023, 89.2023) * CHOOSE(CONTROL!$C$21, $C$9, 100%, $E$9)</f>
        <v>89.202299999999994</v>
      </c>
      <c r="C881" s="14">
        <f>CHOOSE(CONTROL!$C$42, 89.2103, 89.2103) * CHOOSE(CONTROL!$C$21, $C$9, 100%, $E$9)</f>
        <v>89.210300000000004</v>
      </c>
      <c r="D881" s="14">
        <f>CHOOSE(CONTROL!$C$42, 89.4694, 89.4694) * CHOOSE(CONTROL!$C$21, $C$9, 100%, $E$9)</f>
        <v>89.469399999999993</v>
      </c>
      <c r="E881" s="14">
        <f>CHOOSE(CONTROL!$C$42, 89.5008, 89.5008) * CHOOSE(CONTROL!$C$21, $C$9, 100%, $E$9)</f>
        <v>89.500799999999998</v>
      </c>
      <c r="F881" s="14">
        <f>CHOOSE(CONTROL!$C$42, 89.2238, 89.2238)*CHOOSE(CONTROL!$C$21, $C$9, 100%, $E$9)</f>
        <v>89.223799999999997</v>
      </c>
      <c r="G881" s="14">
        <f>CHOOSE(CONTROL!$C$42, 89.2408, 89.2408)*CHOOSE(CONTROL!$C$21, $C$9, 100%, $E$9)</f>
        <v>89.240799999999993</v>
      </c>
      <c r="H881" s="14">
        <f>CHOOSE(CONTROL!$C$42, 89.4895, 89.4895) * CHOOSE(CONTROL!$C$21, $C$9, 100%, $E$9)</f>
        <v>89.489500000000007</v>
      </c>
      <c r="I881" s="14">
        <f>CHOOSE(CONTROL!$C$42, 89.5027, 89.5027)* CHOOSE(CONTROL!$C$21, $C$9, 100%, $E$9)</f>
        <v>89.502700000000004</v>
      </c>
      <c r="J881" s="14">
        <f>CHOOSE(CONTROL!$C$42, 89.2168, 89.2168)* CHOOSE(CONTROL!$C$21, $C$9, 100%, $E$9)</f>
        <v>89.216800000000006</v>
      </c>
      <c r="K881" s="52">
        <f>CHOOSE(CONTROL!$C$42, 89.4988, 89.4988) * CHOOSE(CONTROL!$C$21, $C$9, 100%, $E$9)</f>
        <v>89.498800000000003</v>
      </c>
      <c r="L881" s="14">
        <f>CHOOSE(CONTROL!$C$42, 90.0765, 90.0765) * CHOOSE(CONTROL!$C$21, $C$9, 100%, $E$9)</f>
        <v>90.076499999999996</v>
      </c>
      <c r="M881" s="14">
        <f>CHOOSE(CONTROL!$C$42, 87.6198, 87.6198) * CHOOSE(CONTROL!$C$21, $C$9, 100%, $E$9)</f>
        <v>87.619799999999998</v>
      </c>
      <c r="N881" s="14">
        <f>CHOOSE(CONTROL!$C$42, 87.6364, 87.6364) * CHOOSE(CONTROL!$C$21, $C$9, 100%, $E$9)</f>
        <v>87.636399999999995</v>
      </c>
      <c r="O881" s="14">
        <f>CHOOSE(CONTROL!$C$42, 87.8875, 87.8875) * CHOOSE(CONTROL!$C$21, $C$9, 100%, $E$9)</f>
        <v>87.887500000000003</v>
      </c>
      <c r="P881" s="14">
        <f>CHOOSE(CONTROL!$C$42, 87.8957, 87.8957) * CHOOSE(CONTROL!$C$21, $C$9, 100%, $E$9)</f>
        <v>87.895700000000005</v>
      </c>
      <c r="Q881" s="14">
        <f>CHOOSE(CONTROL!$C$42, 88.4822, 88.4822) * CHOOSE(CONTROL!$C$21, $C$9, 100%, $E$9)</f>
        <v>88.482200000000006</v>
      </c>
      <c r="R881" s="14">
        <f>CHOOSE(CONTROL!$C$42, 89.2905, 89.2905) * CHOOSE(CONTROL!$C$21, $C$9, 100%, $E$9)</f>
        <v>89.290499999999994</v>
      </c>
      <c r="S881" s="14">
        <f>CHOOSE(CONTROL!$C$42, 85.7038, 85.7038) * CHOOSE(CONTROL!$C$21, $C$9, 100%, $E$9)</f>
        <v>85.703800000000001</v>
      </c>
      <c r="T88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81" s="56">
        <f>(1000*CHOOSE(CONTROL!$C$42, 695, 695)*CHOOSE(CONTROL!$C$42, 0.5599, 0.5599)*CHOOSE(CONTROL!$C$42, 31, 31))/1000000</f>
        <v>12.063045499999998</v>
      </c>
      <c r="V881" s="56">
        <f>(1000*CHOOSE(CONTROL!$C$42, 500, 500)*CHOOSE(CONTROL!$C$42, 0.275, 0.275)*CHOOSE(CONTROL!$C$42, 31, 31))/1000000</f>
        <v>4.2625000000000002</v>
      </c>
      <c r="W881" s="56">
        <f>(1000*CHOOSE(CONTROL!$C$42, 0.1146, 0.1146)*CHOOSE(CONTROL!$C$42, 121.5, 121.5)*CHOOSE(CONTROL!$C$42, 31, 31))/1000000</f>
        <v>0.43164089999999994</v>
      </c>
      <c r="X881" s="56">
        <f>(31*0.1790888*245000/1000000)+(31*0.2374*100000/1000000)</f>
        <v>2.0961194359999999</v>
      </c>
      <c r="Y881" s="56"/>
      <c r="Z881" s="14"/>
      <c r="AA881" s="55"/>
      <c r="AB881" s="49">
        <f>(B881*194.205+C881*267.466+D881*133.845+E881*53.484+F881*40+G881*185+H881*0+I881*100+J881*300)/(194.205+267.466+133.845+53.484+0+40+185+100+300)</f>
        <v>89.277831555337514</v>
      </c>
      <c r="AC881" s="45">
        <f>(M881*'RAP TEMPLATE-GAS AVAILABILITY'!O880+N881*'RAP TEMPLATE-GAS AVAILABILITY'!P880+O881*'RAP TEMPLATE-GAS AVAILABILITY'!Q880+P881*'RAP TEMPLATE-GAS AVAILABILITY'!R880)/('RAP TEMPLATE-GAS AVAILABILITY'!O880+'RAP TEMPLATE-GAS AVAILABILITY'!P880+'RAP TEMPLATE-GAS AVAILABILITY'!Q880+'RAP TEMPLATE-GAS AVAILABILITY'!R880)</f>
        <v>87.781784892086336</v>
      </c>
    </row>
    <row r="882" spans="1:29" ht="15.75" x14ac:dyDescent="0.25">
      <c r="A882" s="32">
        <v>67753</v>
      </c>
      <c r="B882" s="14">
        <f>CHOOSE(CONTROL!$C$42, 91.7323, 91.7323) * CHOOSE(CONTROL!$C$21, $C$9, 100%, $E$9)</f>
        <v>91.732299999999995</v>
      </c>
      <c r="C882" s="14">
        <f>CHOOSE(CONTROL!$C$42, 91.7403, 91.7403) * CHOOSE(CONTROL!$C$21, $C$9, 100%, $E$9)</f>
        <v>91.740300000000005</v>
      </c>
      <c r="D882" s="14">
        <f>CHOOSE(CONTROL!$C$42, 91.9994, 91.9994) * CHOOSE(CONTROL!$C$21, $C$9, 100%, $E$9)</f>
        <v>91.999399999999994</v>
      </c>
      <c r="E882" s="14">
        <f>CHOOSE(CONTROL!$C$42, 92.0309, 92.0309) * CHOOSE(CONTROL!$C$21, $C$9, 100%, $E$9)</f>
        <v>92.030900000000003</v>
      </c>
      <c r="F882" s="14">
        <f>CHOOSE(CONTROL!$C$42, 91.7541, 91.7541)*CHOOSE(CONTROL!$C$21, $C$9, 100%, $E$9)</f>
        <v>91.754099999999994</v>
      </c>
      <c r="G882" s="14">
        <f>CHOOSE(CONTROL!$C$42, 91.7711, 91.7711)*CHOOSE(CONTROL!$C$21, $C$9, 100%, $E$9)</f>
        <v>91.771100000000004</v>
      </c>
      <c r="H882" s="14">
        <f>CHOOSE(CONTROL!$C$42, 92.0195, 92.0195) * CHOOSE(CONTROL!$C$21, $C$9, 100%, $E$9)</f>
        <v>92.019499999999994</v>
      </c>
      <c r="I882" s="14">
        <f>CHOOSE(CONTROL!$C$42, 92.0407, 92.0407)* CHOOSE(CONTROL!$C$21, $C$9, 100%, $E$9)</f>
        <v>92.040700000000001</v>
      </c>
      <c r="J882" s="14">
        <f>CHOOSE(CONTROL!$C$42, 91.7471, 91.7471)* CHOOSE(CONTROL!$C$21, $C$9, 100%, $E$9)</f>
        <v>91.747100000000003</v>
      </c>
      <c r="K882" s="52">
        <f>CHOOSE(CONTROL!$C$42, 92.0368, 92.0368) * CHOOSE(CONTROL!$C$21, $C$9, 100%, $E$9)</f>
        <v>92.036799999999999</v>
      </c>
      <c r="L882" s="14">
        <f>CHOOSE(CONTROL!$C$42, 92.6065, 92.6065) * CHOOSE(CONTROL!$C$21, $C$9, 100%, $E$9)</f>
        <v>92.606499999999997</v>
      </c>
      <c r="M882" s="14">
        <f>CHOOSE(CONTROL!$C$42, 90.1045, 90.1045) * CHOOSE(CONTROL!$C$21, $C$9, 100%, $E$9)</f>
        <v>90.104500000000002</v>
      </c>
      <c r="N882" s="14">
        <f>CHOOSE(CONTROL!$C$42, 90.1213, 90.1213) * CHOOSE(CONTROL!$C$21, $C$9, 100%, $E$9)</f>
        <v>90.121300000000005</v>
      </c>
      <c r="O882" s="14">
        <f>CHOOSE(CONTROL!$C$42, 90.3721, 90.3721) * CHOOSE(CONTROL!$C$21, $C$9, 100%, $E$9)</f>
        <v>90.372100000000003</v>
      </c>
      <c r="P882" s="14">
        <f>CHOOSE(CONTROL!$C$42, 90.3878, 90.3878) * CHOOSE(CONTROL!$C$21, $C$9, 100%, $E$9)</f>
        <v>90.387799999999999</v>
      </c>
      <c r="Q882" s="14">
        <f>CHOOSE(CONTROL!$C$42, 90.9668, 90.9668) * CHOOSE(CONTROL!$C$21, $C$9, 100%, $E$9)</f>
        <v>90.966800000000006</v>
      </c>
      <c r="R882" s="14">
        <f>CHOOSE(CONTROL!$C$42, 91.7812, 91.7812) * CHOOSE(CONTROL!$C$21, $C$9, 100%, $E$9)</f>
        <v>91.781199999999998</v>
      </c>
      <c r="S882" s="14">
        <f>CHOOSE(CONTROL!$C$42, 88.1349, 88.1349) * CHOOSE(CONTROL!$C$21, $C$9, 100%, $E$9)</f>
        <v>88.134900000000002</v>
      </c>
      <c r="T88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882" s="56">
        <f>(1000*CHOOSE(CONTROL!$C$42, 695, 695)*CHOOSE(CONTROL!$C$42, 0.5599, 0.5599)*CHOOSE(CONTROL!$C$42, 30, 30))/1000000</f>
        <v>11.673914999999997</v>
      </c>
      <c r="V882" s="56">
        <f>(1000*CHOOSE(CONTROL!$C$42, 500, 500)*CHOOSE(CONTROL!$C$42, 0.275, 0.275)*CHOOSE(CONTROL!$C$42, 30, 30))/1000000</f>
        <v>4.125</v>
      </c>
      <c r="W882" s="56">
        <f>(1000*CHOOSE(CONTROL!$C$42, 0.1146, 0.1146)*CHOOSE(CONTROL!$C$42, 121.5, 121.5)*CHOOSE(CONTROL!$C$42, 30, 30))/1000000</f>
        <v>0.417717</v>
      </c>
      <c r="X882" s="56">
        <f>(30*0.1790888*245000/1000000)+(30*0.2374*100000/1000000)</f>
        <v>2.0285026799999999</v>
      </c>
      <c r="Y882" s="56"/>
      <c r="Z882" s="14"/>
      <c r="AA882" s="55"/>
      <c r="AB882" s="49">
        <f>(B882*194.205+C882*267.466+D882*133.845+E882*53.484+F882*40+G882*185+H882*0+I882*100+J882*300)/(194.205+267.466+133.845+53.484+0+40+185+100+300)</f>
        <v>91.808587323312423</v>
      </c>
      <c r="AC882" s="45">
        <f>(M882*'RAP TEMPLATE-GAS AVAILABILITY'!O881+N882*'RAP TEMPLATE-GAS AVAILABILITY'!P881+O882*'RAP TEMPLATE-GAS AVAILABILITY'!Q881+P882*'RAP TEMPLATE-GAS AVAILABILITY'!R881)/('RAP TEMPLATE-GAS AVAILABILITY'!O881+'RAP TEMPLATE-GAS AVAILABILITY'!P881+'RAP TEMPLATE-GAS AVAILABILITY'!Q881+'RAP TEMPLATE-GAS AVAILABILITY'!R881)</f>
        <v>90.26751582733813</v>
      </c>
    </row>
    <row r="883" spans="1:29" ht="15.75" x14ac:dyDescent="0.25">
      <c r="A883" s="32">
        <v>67784</v>
      </c>
      <c r="B883" s="14">
        <f>CHOOSE(CONTROL!$C$42, 89.9726, 89.9726) * CHOOSE(CONTROL!$C$21, $C$9, 100%, $E$9)</f>
        <v>89.9726</v>
      </c>
      <c r="C883" s="14">
        <f>CHOOSE(CONTROL!$C$42, 89.9807, 89.9807) * CHOOSE(CONTROL!$C$21, $C$9, 100%, $E$9)</f>
        <v>89.980699999999999</v>
      </c>
      <c r="D883" s="14">
        <f>CHOOSE(CONTROL!$C$42, 90.2398, 90.2398) * CHOOSE(CONTROL!$C$21, $C$9, 100%, $E$9)</f>
        <v>90.239800000000002</v>
      </c>
      <c r="E883" s="14">
        <f>CHOOSE(CONTROL!$C$42, 90.2712, 90.2712) * CHOOSE(CONTROL!$C$21, $C$9, 100%, $E$9)</f>
        <v>90.271199999999993</v>
      </c>
      <c r="F883" s="14">
        <f>CHOOSE(CONTROL!$C$42, 89.9948, 89.9948)*CHOOSE(CONTROL!$C$21, $C$9, 100%, $E$9)</f>
        <v>89.994799999999998</v>
      </c>
      <c r="G883" s="14">
        <f>CHOOSE(CONTROL!$C$42, 90.012, 90.012)*CHOOSE(CONTROL!$C$21, $C$9, 100%, $E$9)</f>
        <v>90.012</v>
      </c>
      <c r="H883" s="14">
        <f>CHOOSE(CONTROL!$C$42, 90.2599, 90.2599) * CHOOSE(CONTROL!$C$21, $C$9, 100%, $E$9)</f>
        <v>90.259900000000002</v>
      </c>
      <c r="I883" s="14">
        <f>CHOOSE(CONTROL!$C$42, 90.2755, 90.2755)* CHOOSE(CONTROL!$C$21, $C$9, 100%, $E$9)</f>
        <v>90.275499999999994</v>
      </c>
      <c r="J883" s="14">
        <f>CHOOSE(CONTROL!$C$42, 89.9878, 89.9878)* CHOOSE(CONTROL!$C$21, $C$9, 100%, $E$9)</f>
        <v>89.987799999999993</v>
      </c>
      <c r="K883" s="52">
        <f>CHOOSE(CONTROL!$C$42, 90.2716, 90.2716) * CHOOSE(CONTROL!$C$21, $C$9, 100%, $E$9)</f>
        <v>90.271600000000007</v>
      </c>
      <c r="L883" s="14">
        <f>CHOOSE(CONTROL!$C$42, 90.8469, 90.8469) * CHOOSE(CONTROL!$C$21, $C$9, 100%, $E$9)</f>
        <v>90.846900000000005</v>
      </c>
      <c r="M883" s="14">
        <f>CHOOSE(CONTROL!$C$42, 88.377, 88.377) * CHOOSE(CONTROL!$C$21, $C$9, 100%, $E$9)</f>
        <v>88.376999999999995</v>
      </c>
      <c r="N883" s="14">
        <f>CHOOSE(CONTROL!$C$42, 88.3938, 88.3938) * CHOOSE(CONTROL!$C$21, $C$9, 100%, $E$9)</f>
        <v>88.393799999999999</v>
      </c>
      <c r="O883" s="14">
        <f>CHOOSE(CONTROL!$C$42, 88.6441, 88.6441) * CHOOSE(CONTROL!$C$21, $C$9, 100%, $E$9)</f>
        <v>88.644099999999995</v>
      </c>
      <c r="P883" s="14">
        <f>CHOOSE(CONTROL!$C$42, 88.6545, 88.6545) * CHOOSE(CONTROL!$C$21, $C$9, 100%, $E$9)</f>
        <v>88.654499999999999</v>
      </c>
      <c r="Q883" s="14">
        <f>CHOOSE(CONTROL!$C$42, 89.2388, 89.2388) * CHOOSE(CONTROL!$C$21, $C$9, 100%, $E$9)</f>
        <v>89.238799999999998</v>
      </c>
      <c r="R883" s="14">
        <f>CHOOSE(CONTROL!$C$42, 90.0489, 90.0489) * CHOOSE(CONTROL!$C$21, $C$9, 100%, $E$9)</f>
        <v>90.048900000000003</v>
      </c>
      <c r="S883" s="14">
        <f>CHOOSE(CONTROL!$C$42, 86.4441, 86.4441) * CHOOSE(CONTROL!$C$21, $C$9, 100%, $E$9)</f>
        <v>86.444100000000006</v>
      </c>
      <c r="T88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883" s="56">
        <f>(1000*CHOOSE(CONTROL!$C$42, 695, 695)*CHOOSE(CONTROL!$C$42, 0.5599, 0.5599)*CHOOSE(CONTROL!$C$42, 31, 31))/1000000</f>
        <v>12.063045499999998</v>
      </c>
      <c r="V883" s="56">
        <f>(1000*CHOOSE(CONTROL!$C$42, 500, 500)*CHOOSE(CONTROL!$C$42, 0.275, 0.275)*CHOOSE(CONTROL!$C$42, 31, 31))/1000000</f>
        <v>4.2625000000000002</v>
      </c>
      <c r="W883" s="56">
        <f>(1000*CHOOSE(CONTROL!$C$42, 0.1146, 0.1146)*CHOOSE(CONTROL!$C$42, 121.5, 121.5)*CHOOSE(CONTROL!$C$42, 31, 31))/1000000</f>
        <v>0.43164089999999994</v>
      </c>
      <c r="X883" s="56">
        <f>(31*0.1790888*245000/1000000)+(31*0.2374*100000/1000000)</f>
        <v>2.0961194359999999</v>
      </c>
      <c r="Y883" s="56"/>
      <c r="Z883" s="14"/>
      <c r="AA883" s="55"/>
      <c r="AB883" s="49">
        <f>(B883*194.205+C883*267.466+D883*133.845+E883*53.484+F883*40+G883*185+H883*0+I883*100+J883*300)/(194.205+267.466+133.845+53.484+0+40+185+100+300)</f>
        <v>90.048680989795912</v>
      </c>
      <c r="AC883" s="45">
        <f>(M883*'RAP TEMPLATE-GAS AVAILABILITY'!O882+N883*'RAP TEMPLATE-GAS AVAILABILITY'!P882+O883*'RAP TEMPLATE-GAS AVAILABILITY'!Q882+P883*'RAP TEMPLATE-GAS AVAILABILITY'!R882)/('RAP TEMPLATE-GAS AVAILABILITY'!O882+'RAP TEMPLATE-GAS AVAILABILITY'!P882+'RAP TEMPLATE-GAS AVAILABILITY'!Q882+'RAP TEMPLATE-GAS AVAILABILITY'!R882)</f>
        <v>88.538954676258996</v>
      </c>
    </row>
    <row r="884" spans="1:29" ht="15.75" x14ac:dyDescent="0.25">
      <c r="A884" s="32">
        <v>67815</v>
      </c>
      <c r="B884" s="14">
        <f>CHOOSE(CONTROL!$C$42, 85.529, 85.529) * CHOOSE(CONTROL!$C$21, $C$9, 100%, $E$9)</f>
        <v>85.528999999999996</v>
      </c>
      <c r="C884" s="14">
        <f>CHOOSE(CONTROL!$C$42, 85.537, 85.537) * CHOOSE(CONTROL!$C$21, $C$9, 100%, $E$9)</f>
        <v>85.537000000000006</v>
      </c>
      <c r="D884" s="14">
        <f>CHOOSE(CONTROL!$C$42, 85.7961, 85.7961) * CHOOSE(CONTROL!$C$21, $C$9, 100%, $E$9)</f>
        <v>85.796099999999996</v>
      </c>
      <c r="E884" s="14">
        <f>CHOOSE(CONTROL!$C$42, 85.8276, 85.8276) * CHOOSE(CONTROL!$C$21, $C$9, 100%, $E$9)</f>
        <v>85.827600000000004</v>
      </c>
      <c r="F884" s="14">
        <f>CHOOSE(CONTROL!$C$42, 85.5514, 85.5514)*CHOOSE(CONTROL!$C$21, $C$9, 100%, $E$9)</f>
        <v>85.551400000000001</v>
      </c>
      <c r="G884" s="14">
        <f>CHOOSE(CONTROL!$C$42, 85.5686, 85.5686)*CHOOSE(CONTROL!$C$21, $C$9, 100%, $E$9)</f>
        <v>85.568600000000004</v>
      </c>
      <c r="H884" s="14">
        <f>CHOOSE(CONTROL!$C$42, 85.8162, 85.8162) * CHOOSE(CONTROL!$C$21, $C$9, 100%, $E$9)</f>
        <v>85.816199999999995</v>
      </c>
      <c r="I884" s="14">
        <f>CHOOSE(CONTROL!$C$42, 85.818, 85.818)* CHOOSE(CONTROL!$C$21, $C$9, 100%, $E$9)</f>
        <v>85.817999999999998</v>
      </c>
      <c r="J884" s="14">
        <f>CHOOSE(CONTROL!$C$42, 85.5444, 85.5444)* CHOOSE(CONTROL!$C$21, $C$9, 100%, $E$9)</f>
        <v>85.544399999999996</v>
      </c>
      <c r="K884" s="52">
        <f>CHOOSE(CONTROL!$C$42, 85.8141, 85.8141) * CHOOSE(CONTROL!$C$21, $C$9, 100%, $E$9)</f>
        <v>85.814099999999996</v>
      </c>
      <c r="L884" s="14">
        <f>CHOOSE(CONTROL!$C$42, 86.4032, 86.4032) * CHOOSE(CONTROL!$C$21, $C$9, 100%, $E$9)</f>
        <v>86.403199999999998</v>
      </c>
      <c r="M884" s="14">
        <f>CHOOSE(CONTROL!$C$42, 84.0134, 84.0134) * CHOOSE(CONTROL!$C$21, $C$9, 100%, $E$9)</f>
        <v>84.013400000000004</v>
      </c>
      <c r="N884" s="14">
        <f>CHOOSE(CONTROL!$C$42, 84.0303, 84.0303) * CHOOSE(CONTROL!$C$21, $C$9, 100%, $E$9)</f>
        <v>84.030299999999997</v>
      </c>
      <c r="O884" s="14">
        <f>CHOOSE(CONTROL!$C$42, 84.2804, 84.2804) * CHOOSE(CONTROL!$C$21, $C$9, 100%, $E$9)</f>
        <v>84.2804</v>
      </c>
      <c r="P884" s="14">
        <f>CHOOSE(CONTROL!$C$42, 84.2774, 84.2774) * CHOOSE(CONTROL!$C$21, $C$9, 100%, $E$9)</f>
        <v>84.2774</v>
      </c>
      <c r="Q884" s="14">
        <f>CHOOSE(CONTROL!$C$42, 84.8751, 84.8751) * CHOOSE(CONTROL!$C$21, $C$9, 100%, $E$9)</f>
        <v>84.875100000000003</v>
      </c>
      <c r="R884" s="14">
        <f>CHOOSE(CONTROL!$C$42, 85.6742, 85.6742) * CHOOSE(CONTROL!$C$21, $C$9, 100%, $E$9)</f>
        <v>85.674199999999999</v>
      </c>
      <c r="S884" s="14">
        <f>CHOOSE(CONTROL!$C$42, 82.1742, 82.1742) * CHOOSE(CONTROL!$C$21, $C$9, 100%, $E$9)</f>
        <v>82.174199999999999</v>
      </c>
      <c r="T88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84" s="56">
        <f>(1000*CHOOSE(CONTROL!$C$42, 695, 695)*CHOOSE(CONTROL!$C$42, 0.5599, 0.5599)*CHOOSE(CONTROL!$C$42, 31, 31))/1000000</f>
        <v>12.063045499999998</v>
      </c>
      <c r="V884" s="56">
        <f>(1000*CHOOSE(CONTROL!$C$42, 500, 500)*CHOOSE(CONTROL!$C$42, 0.275, 0.275)*CHOOSE(CONTROL!$C$42, 31, 31))/1000000</f>
        <v>4.2625000000000002</v>
      </c>
      <c r="W884" s="56">
        <f>(1000*CHOOSE(CONTROL!$C$42, 0.1146, 0.1146)*CHOOSE(CONTROL!$C$42, 121.5, 121.5)*CHOOSE(CONTROL!$C$42, 31, 31))/1000000</f>
        <v>0.43164089999999994</v>
      </c>
      <c r="X884" s="56">
        <f>(31*0.1790888*245000/1000000)+(31*0.2374*100000/1000000)</f>
        <v>2.0961194359999999</v>
      </c>
      <c r="Y884" s="56"/>
      <c r="Z884" s="14"/>
      <c r="AA884" s="55"/>
      <c r="AB884" s="49">
        <f>(B884*194.205+C884*267.466+D884*133.845+E884*53.484+F884*40+G884*185+H884*0+I884*100+J884*300)/(194.205+267.466+133.845+53.484+0+40+185+100+300)</f>
        <v>85.604040855494517</v>
      </c>
      <c r="AC884" s="45">
        <f>(M884*'RAP TEMPLATE-GAS AVAILABILITY'!O883+N884*'RAP TEMPLATE-GAS AVAILABILITY'!P883+O884*'RAP TEMPLATE-GAS AVAILABILITY'!Q883+P884*'RAP TEMPLATE-GAS AVAILABILITY'!R883)/('RAP TEMPLATE-GAS AVAILABILITY'!O883+'RAP TEMPLATE-GAS AVAILABILITY'!P883+'RAP TEMPLATE-GAS AVAILABILITY'!Q883+'RAP TEMPLATE-GAS AVAILABILITY'!R883)</f>
        <v>84.173372661870502</v>
      </c>
    </row>
    <row r="885" spans="1:29" ht="15.75" x14ac:dyDescent="0.25">
      <c r="A885" s="32">
        <v>67845</v>
      </c>
      <c r="B885" s="14">
        <f>CHOOSE(CONTROL!$C$42, 80.0995, 80.0995) * CHOOSE(CONTROL!$C$21, $C$9, 100%, $E$9)</f>
        <v>80.099500000000006</v>
      </c>
      <c r="C885" s="14">
        <f>CHOOSE(CONTROL!$C$42, 80.1075, 80.1075) * CHOOSE(CONTROL!$C$21, $C$9, 100%, $E$9)</f>
        <v>80.107500000000002</v>
      </c>
      <c r="D885" s="14">
        <f>CHOOSE(CONTROL!$C$42, 80.3666, 80.3666) * CHOOSE(CONTROL!$C$21, $C$9, 100%, $E$9)</f>
        <v>80.366600000000005</v>
      </c>
      <c r="E885" s="14">
        <f>CHOOSE(CONTROL!$C$42, 80.398, 80.398) * CHOOSE(CONTROL!$C$21, $C$9, 100%, $E$9)</f>
        <v>80.397999999999996</v>
      </c>
      <c r="F885" s="14">
        <f>CHOOSE(CONTROL!$C$42, 80.1219, 80.1219)*CHOOSE(CONTROL!$C$21, $C$9, 100%, $E$9)</f>
        <v>80.121899999999997</v>
      </c>
      <c r="G885" s="14">
        <f>CHOOSE(CONTROL!$C$42, 80.1392, 80.1392)*CHOOSE(CONTROL!$C$21, $C$9, 100%, $E$9)</f>
        <v>80.139200000000002</v>
      </c>
      <c r="H885" s="14">
        <f>CHOOSE(CONTROL!$C$42, 80.3867, 80.3867) * CHOOSE(CONTROL!$C$21, $C$9, 100%, $E$9)</f>
        <v>80.386700000000005</v>
      </c>
      <c r="I885" s="14">
        <f>CHOOSE(CONTROL!$C$42, 80.3714, 80.3714)* CHOOSE(CONTROL!$C$21, $C$9, 100%, $E$9)</f>
        <v>80.371399999999994</v>
      </c>
      <c r="J885" s="14">
        <f>CHOOSE(CONTROL!$C$42, 80.1149, 80.1149)* CHOOSE(CONTROL!$C$21, $C$9, 100%, $E$9)</f>
        <v>80.114900000000006</v>
      </c>
      <c r="K885" s="52">
        <f>CHOOSE(CONTROL!$C$42, 80.3675, 80.3675) * CHOOSE(CONTROL!$C$21, $C$9, 100%, $E$9)</f>
        <v>80.367500000000007</v>
      </c>
      <c r="L885" s="14">
        <f>CHOOSE(CONTROL!$C$42, 80.9737, 80.9737) * CHOOSE(CONTROL!$C$21, $C$9, 100%, $E$9)</f>
        <v>80.973699999999994</v>
      </c>
      <c r="M885" s="14">
        <f>CHOOSE(CONTROL!$C$42, 78.6816, 78.6816) * CHOOSE(CONTROL!$C$21, $C$9, 100%, $E$9)</f>
        <v>78.681600000000003</v>
      </c>
      <c r="N885" s="14">
        <f>CHOOSE(CONTROL!$C$42, 78.6985, 78.6985) * CHOOSE(CONTROL!$C$21, $C$9, 100%, $E$9)</f>
        <v>78.698499999999996</v>
      </c>
      <c r="O885" s="14">
        <f>CHOOSE(CONTROL!$C$42, 78.9485, 78.9485) * CHOOSE(CONTROL!$C$21, $C$9, 100%, $E$9)</f>
        <v>78.948499999999996</v>
      </c>
      <c r="P885" s="14">
        <f>CHOOSE(CONTROL!$C$42, 78.9291, 78.9291) * CHOOSE(CONTROL!$C$21, $C$9, 100%, $E$9)</f>
        <v>78.929100000000005</v>
      </c>
      <c r="Q885" s="14">
        <f>CHOOSE(CONTROL!$C$42, 79.5432, 79.5432) * CHOOSE(CONTROL!$C$21, $C$9, 100%, $E$9)</f>
        <v>79.543199999999999</v>
      </c>
      <c r="R885" s="14">
        <f>CHOOSE(CONTROL!$C$42, 80.329, 80.329) * CHOOSE(CONTROL!$C$21, $C$9, 100%, $E$9)</f>
        <v>80.328999999999994</v>
      </c>
      <c r="S885" s="14">
        <f>CHOOSE(CONTROL!$C$42, 76.9569, 76.9569) * CHOOSE(CONTROL!$C$21, $C$9, 100%, $E$9)</f>
        <v>76.956900000000005</v>
      </c>
      <c r="T88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85" s="56">
        <f>(1000*CHOOSE(CONTROL!$C$42, 695, 695)*CHOOSE(CONTROL!$C$42, 0.5599, 0.5599)*CHOOSE(CONTROL!$C$42, 30, 30))/1000000</f>
        <v>11.673914999999997</v>
      </c>
      <c r="V885" s="56">
        <f>(1000*CHOOSE(CONTROL!$C$42, 500, 500)*CHOOSE(CONTROL!$C$42, 0.275, 0.275)*CHOOSE(CONTROL!$C$42, 30, 30))/1000000</f>
        <v>4.125</v>
      </c>
      <c r="W885" s="56">
        <f>(1000*CHOOSE(CONTROL!$C$42, 0.1146, 0.1146)*CHOOSE(CONTROL!$C$42, 121.5, 121.5)*CHOOSE(CONTROL!$C$42, 30, 30))/1000000</f>
        <v>0.417717</v>
      </c>
      <c r="X885" s="56">
        <f>(30*0.1790888*245000/1000000)+(30*0.2374*100000/1000000)</f>
        <v>2.0285026799999999</v>
      </c>
      <c r="Y885" s="56"/>
      <c r="Z885" s="14"/>
      <c r="AA885" s="55"/>
      <c r="AB885" s="49">
        <f>(B885*194.205+C885*267.466+D885*133.845+E885*53.484+F885*40+G885*185+H885*0+I885*100+J885*300)/(194.205+267.466+133.845+53.484+0+40+185+100+300)</f>
        <v>80.173208949372054</v>
      </c>
      <c r="AC885" s="45">
        <f>(M885*'RAP TEMPLATE-GAS AVAILABILITY'!O884+N885*'RAP TEMPLATE-GAS AVAILABILITY'!P884+O885*'RAP TEMPLATE-GAS AVAILABILITY'!Q884+P885*'RAP TEMPLATE-GAS AVAILABILITY'!R884)/('RAP TEMPLATE-GAS AVAILABILITY'!O884+'RAP TEMPLATE-GAS AVAILABILITY'!P884+'RAP TEMPLATE-GAS AVAILABILITY'!Q884+'RAP TEMPLATE-GAS AVAILABILITY'!R884)</f>
        <v>78.839153237410073</v>
      </c>
    </row>
    <row r="886" spans="1:29" ht="15.75" x14ac:dyDescent="0.25">
      <c r="A886" s="32">
        <v>67876</v>
      </c>
      <c r="B886" s="14">
        <f>CHOOSE(CONTROL!$C$42, 78.4716, 78.4716) * CHOOSE(CONTROL!$C$21, $C$9, 100%, $E$9)</f>
        <v>78.471599999999995</v>
      </c>
      <c r="C886" s="14">
        <f>CHOOSE(CONTROL!$C$42, 78.4769, 78.4769) * CHOOSE(CONTROL!$C$21, $C$9, 100%, $E$9)</f>
        <v>78.476900000000001</v>
      </c>
      <c r="D886" s="14">
        <f>CHOOSE(CONTROL!$C$42, 78.741, 78.741) * CHOOSE(CONTROL!$C$21, $C$9, 100%, $E$9)</f>
        <v>78.741</v>
      </c>
      <c r="E886" s="14">
        <f>CHOOSE(CONTROL!$C$42, 78.7701, 78.7701) * CHOOSE(CONTROL!$C$21, $C$9, 100%, $E$9)</f>
        <v>78.770099999999999</v>
      </c>
      <c r="F886" s="14">
        <f>CHOOSE(CONTROL!$C$42, 78.4962, 78.4962)*CHOOSE(CONTROL!$C$21, $C$9, 100%, $E$9)</f>
        <v>78.496200000000002</v>
      </c>
      <c r="G886" s="14">
        <f>CHOOSE(CONTROL!$C$42, 78.5133, 78.5133)*CHOOSE(CONTROL!$C$21, $C$9, 100%, $E$9)</f>
        <v>78.513300000000001</v>
      </c>
      <c r="H886" s="14">
        <f>CHOOSE(CONTROL!$C$42, 78.7606, 78.7606) * CHOOSE(CONTROL!$C$21, $C$9, 100%, $E$9)</f>
        <v>78.760599999999997</v>
      </c>
      <c r="I886" s="14">
        <f>CHOOSE(CONTROL!$C$42, 78.7402, 78.7402)* CHOOSE(CONTROL!$C$21, $C$9, 100%, $E$9)</f>
        <v>78.740200000000002</v>
      </c>
      <c r="J886" s="14">
        <f>CHOOSE(CONTROL!$C$42, 78.4892, 78.4892)* CHOOSE(CONTROL!$C$21, $C$9, 100%, $E$9)</f>
        <v>78.489199999999997</v>
      </c>
      <c r="K886" s="52">
        <f>CHOOSE(CONTROL!$C$42, 78.7363, 78.7363) * CHOOSE(CONTROL!$C$21, $C$9, 100%, $E$9)</f>
        <v>78.7363</v>
      </c>
      <c r="L886" s="14">
        <f>CHOOSE(CONTROL!$C$42, 79.3476, 79.3476) * CHOOSE(CONTROL!$C$21, $C$9, 100%, $E$9)</f>
        <v>79.3476</v>
      </c>
      <c r="M886" s="14">
        <f>CHOOSE(CONTROL!$C$42, 77.0852, 77.0852) * CHOOSE(CONTROL!$C$21, $C$9, 100%, $E$9)</f>
        <v>77.0852</v>
      </c>
      <c r="N886" s="14">
        <f>CHOOSE(CONTROL!$C$42, 77.102, 77.102) * CHOOSE(CONTROL!$C$21, $C$9, 100%, $E$9)</f>
        <v>77.102000000000004</v>
      </c>
      <c r="O886" s="14">
        <f>CHOOSE(CONTROL!$C$42, 77.3516, 77.3516) * CHOOSE(CONTROL!$C$21, $C$9, 100%, $E$9)</f>
        <v>77.351600000000005</v>
      </c>
      <c r="P886" s="14">
        <f>CHOOSE(CONTROL!$C$42, 77.3274, 77.3274) * CHOOSE(CONTROL!$C$21, $C$9, 100%, $E$9)</f>
        <v>77.327399999999997</v>
      </c>
      <c r="Q886" s="14">
        <f>CHOOSE(CONTROL!$C$42, 77.9463, 77.9463) * CHOOSE(CONTROL!$C$21, $C$9, 100%, $E$9)</f>
        <v>77.946299999999994</v>
      </c>
      <c r="R886" s="14">
        <f>CHOOSE(CONTROL!$C$42, 78.7282, 78.7282) * CHOOSE(CONTROL!$C$21, $C$9, 100%, $E$9)</f>
        <v>78.728200000000001</v>
      </c>
      <c r="S886" s="14">
        <f>CHOOSE(CONTROL!$C$42, 75.3944, 75.3944) * CHOOSE(CONTROL!$C$21, $C$9, 100%, $E$9)</f>
        <v>75.394400000000005</v>
      </c>
      <c r="T88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86" s="56">
        <f>(1000*CHOOSE(CONTROL!$C$42, 695, 695)*CHOOSE(CONTROL!$C$42, 0.5599, 0.5599)*CHOOSE(CONTROL!$C$42, 31, 31))/1000000</f>
        <v>12.063045499999998</v>
      </c>
      <c r="V886" s="56">
        <f>(1000*CHOOSE(CONTROL!$C$42, 500, 500)*CHOOSE(CONTROL!$C$42, 0.275, 0.275)*CHOOSE(CONTROL!$C$42, 31, 31))/1000000</f>
        <v>4.2625000000000002</v>
      </c>
      <c r="W886" s="56">
        <f>(1000*CHOOSE(CONTROL!$C$42, 0.1146, 0.1146)*CHOOSE(CONTROL!$C$42, 121.5, 121.5)*CHOOSE(CONTROL!$C$42, 31, 31))/1000000</f>
        <v>0.43164089999999994</v>
      </c>
      <c r="X886" s="56">
        <f>(31*0.1790888*245000/1000000)+(31*0.2374*100000/1000000)</f>
        <v>2.0961194359999999</v>
      </c>
      <c r="Y886" s="56"/>
      <c r="Z886" s="14"/>
      <c r="AA886" s="55"/>
      <c r="AB886" s="49">
        <f>(B886*131.881+C886*277.167+D886*79.08+E886*125.872+F886*40+G886*185+H886*0+I886*100+J886*300)/(131.881+277.167+79.08+125.872+0+40+185+100+300)</f>
        <v>78.553266205891845</v>
      </c>
      <c r="AC886" s="45">
        <f>(M886*'RAP TEMPLATE-GAS AVAILABILITY'!O885+N886*'RAP TEMPLATE-GAS AVAILABILITY'!P885+O886*'RAP TEMPLATE-GAS AVAILABILITY'!Q885+P886*'RAP TEMPLATE-GAS AVAILABILITY'!R885)/('RAP TEMPLATE-GAS AVAILABILITY'!O885+'RAP TEMPLATE-GAS AVAILABILITY'!P885+'RAP TEMPLATE-GAS AVAILABILITY'!Q885+'RAP TEMPLATE-GAS AVAILABILITY'!R885)</f>
        <v>77.241758273381294</v>
      </c>
    </row>
    <row r="887" spans="1:29" ht="15.75" x14ac:dyDescent="0.25">
      <c r="A887" s="32">
        <v>67906</v>
      </c>
      <c r="B887" s="14">
        <f>CHOOSE(CONTROL!$C$42, 80.5382, 80.5382) * CHOOSE(CONTROL!$C$21, $C$9, 100%, $E$9)</f>
        <v>80.538200000000003</v>
      </c>
      <c r="C887" s="14">
        <f>CHOOSE(CONTROL!$C$42, 80.5433, 80.5433) * CHOOSE(CONTROL!$C$21, $C$9, 100%, $E$9)</f>
        <v>80.543300000000002</v>
      </c>
      <c r="D887" s="14">
        <f>CHOOSE(CONTROL!$C$42, 80.6264, 80.6264) * CHOOSE(CONTROL!$C$21, $C$9, 100%, $E$9)</f>
        <v>80.626400000000004</v>
      </c>
      <c r="E887" s="14">
        <f>CHOOSE(CONTROL!$C$42, 80.6605, 80.6605) * CHOOSE(CONTROL!$C$21, $C$9, 100%, $E$9)</f>
        <v>80.660499999999999</v>
      </c>
      <c r="F887" s="14">
        <f>CHOOSE(CONTROL!$C$42, 80.5659, 80.5659)*CHOOSE(CONTROL!$C$21, $C$9, 100%, $E$9)</f>
        <v>80.565899999999999</v>
      </c>
      <c r="G887" s="14">
        <f>CHOOSE(CONTROL!$C$42, 80.5832, 80.5832)*CHOOSE(CONTROL!$C$21, $C$9, 100%, $E$9)</f>
        <v>80.583200000000005</v>
      </c>
      <c r="H887" s="14">
        <f>CHOOSE(CONTROL!$C$42, 80.6497, 80.6497) * CHOOSE(CONTROL!$C$21, $C$9, 100%, $E$9)</f>
        <v>80.649699999999996</v>
      </c>
      <c r="I887" s="14">
        <f>CHOOSE(CONTROL!$C$42, 80.8101, 80.8101)* CHOOSE(CONTROL!$C$21, $C$9, 100%, $E$9)</f>
        <v>80.810100000000006</v>
      </c>
      <c r="J887" s="14">
        <f>CHOOSE(CONTROL!$C$42, 80.5589, 80.5589)* CHOOSE(CONTROL!$C$21, $C$9, 100%, $E$9)</f>
        <v>80.558899999999994</v>
      </c>
      <c r="K887" s="52">
        <f>CHOOSE(CONTROL!$C$42, 80.8062, 80.8062) * CHOOSE(CONTROL!$C$21, $C$9, 100%, $E$9)</f>
        <v>80.806200000000004</v>
      </c>
      <c r="L887" s="14">
        <f>CHOOSE(CONTROL!$C$42, 81.2367, 81.2367) * CHOOSE(CONTROL!$C$21, $C$9, 100%, $E$9)</f>
        <v>81.236699999999999</v>
      </c>
      <c r="M887" s="14">
        <f>CHOOSE(CONTROL!$C$42, 79.1176, 79.1176) * CHOOSE(CONTROL!$C$21, $C$9, 100%, $E$9)</f>
        <v>79.117599999999996</v>
      </c>
      <c r="N887" s="14">
        <f>CHOOSE(CONTROL!$C$42, 79.1346, 79.1346) * CHOOSE(CONTROL!$C$21, $C$9, 100%, $E$9)</f>
        <v>79.134600000000006</v>
      </c>
      <c r="O887" s="14">
        <f>CHOOSE(CONTROL!$C$42, 79.2067, 79.2067) * CHOOSE(CONTROL!$C$21, $C$9, 100%, $E$9)</f>
        <v>79.206699999999998</v>
      </c>
      <c r="P887" s="14">
        <f>CHOOSE(CONTROL!$C$42, 79.3599, 79.3599) * CHOOSE(CONTROL!$C$21, $C$9, 100%, $E$9)</f>
        <v>79.359899999999996</v>
      </c>
      <c r="Q887" s="14">
        <f>CHOOSE(CONTROL!$C$42, 79.8014, 79.8014) * CHOOSE(CONTROL!$C$21, $C$9, 100%, $E$9)</f>
        <v>79.801400000000001</v>
      </c>
      <c r="R887" s="14">
        <f>CHOOSE(CONTROL!$C$42, 80.5879, 80.5879) * CHOOSE(CONTROL!$C$21, $C$9, 100%, $E$9)</f>
        <v>80.587900000000005</v>
      </c>
      <c r="S887" s="14">
        <f>CHOOSE(CONTROL!$C$42, 77.3807, 77.3807) * CHOOSE(CONTROL!$C$21, $C$9, 100%, $E$9)</f>
        <v>77.380700000000004</v>
      </c>
      <c r="T88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87" s="56">
        <f>(1000*CHOOSE(CONTROL!$C$42, 695, 695)*CHOOSE(CONTROL!$C$42, 0.5599, 0.5599)*CHOOSE(CONTROL!$C$42, 30, 30))/1000000</f>
        <v>11.673914999999997</v>
      </c>
      <c r="V887" s="56">
        <f>(1000*CHOOSE(CONTROL!$C$42, 500, 500)*CHOOSE(CONTROL!$C$42, 0.275, 0.275)*CHOOSE(CONTROL!$C$42, 30, 30))/1000000</f>
        <v>4.125</v>
      </c>
      <c r="W887" s="56">
        <f>(1000*CHOOSE(CONTROL!$C$42, 0.1146, 0.1146)*CHOOSE(CONTROL!$C$42, 121.5, 121.5)*CHOOSE(CONTROL!$C$42, 30, 30))/1000000</f>
        <v>0.417717</v>
      </c>
      <c r="X887" s="56">
        <f>(30*0.1790888*100000/1000000)+(30*0.2374*100000/1000000)</f>
        <v>1.2494664</v>
      </c>
      <c r="Y887" s="56"/>
      <c r="Z887" s="14"/>
      <c r="AA887" s="55"/>
      <c r="AB887" s="49">
        <f>(B887*122.58+C887*297.941+D887*89.177+E887*40.302+F887*40+G887*160+H887*0+I887*100+J887*300)/(122.58+297.941+89.177+40.302+0+40+160+100+300)</f>
        <v>80.586914647913034</v>
      </c>
      <c r="AC887" s="45">
        <f>(M887*'RAP TEMPLATE-GAS AVAILABILITY'!O886+N887*'RAP TEMPLATE-GAS AVAILABILITY'!P886+O887*'RAP TEMPLATE-GAS AVAILABILITY'!Q886+P887*'RAP TEMPLATE-GAS AVAILABILITY'!R886)/('RAP TEMPLATE-GAS AVAILABILITY'!O886+'RAP TEMPLATE-GAS AVAILABILITY'!P886+'RAP TEMPLATE-GAS AVAILABILITY'!Q886+'RAP TEMPLATE-GAS AVAILABILITY'!R886)</f>
        <v>79.19382517985612</v>
      </c>
    </row>
    <row r="888" spans="1:29" ht="15.75" x14ac:dyDescent="0.25">
      <c r="A888" s="32">
        <v>67937</v>
      </c>
      <c r="B888" s="14">
        <f>CHOOSE(CONTROL!$C$42, 86.0287, 86.0287) * CHOOSE(CONTROL!$C$21, $C$9, 100%, $E$9)</f>
        <v>86.028700000000001</v>
      </c>
      <c r="C888" s="14">
        <f>CHOOSE(CONTROL!$C$42, 86.0337, 86.0337) * CHOOSE(CONTROL!$C$21, $C$9, 100%, $E$9)</f>
        <v>86.033699999999996</v>
      </c>
      <c r="D888" s="14">
        <f>CHOOSE(CONTROL!$C$42, 86.1168, 86.1168) * CHOOSE(CONTROL!$C$21, $C$9, 100%, $E$9)</f>
        <v>86.116799999999998</v>
      </c>
      <c r="E888" s="14">
        <f>CHOOSE(CONTROL!$C$42, 86.1509, 86.1509) * CHOOSE(CONTROL!$C$21, $C$9, 100%, $E$9)</f>
        <v>86.150899999999993</v>
      </c>
      <c r="F888" s="14">
        <f>CHOOSE(CONTROL!$C$42, 86.0587, 86.0587)*CHOOSE(CONTROL!$C$21, $C$9, 100%, $E$9)</f>
        <v>86.058700000000002</v>
      </c>
      <c r="G888" s="14">
        <f>CHOOSE(CONTROL!$C$42, 86.0767, 86.0767)*CHOOSE(CONTROL!$C$21, $C$9, 100%, $E$9)</f>
        <v>86.076700000000002</v>
      </c>
      <c r="H888" s="14">
        <f>CHOOSE(CONTROL!$C$42, 86.1401, 86.1401) * CHOOSE(CONTROL!$C$21, $C$9, 100%, $E$9)</f>
        <v>86.140100000000004</v>
      </c>
      <c r="I888" s="14">
        <f>CHOOSE(CONTROL!$C$42, 86.3177, 86.3177)* CHOOSE(CONTROL!$C$21, $C$9, 100%, $E$9)</f>
        <v>86.317700000000002</v>
      </c>
      <c r="J888" s="14">
        <f>CHOOSE(CONTROL!$C$42, 86.0517, 86.0517)* CHOOSE(CONTROL!$C$21, $C$9, 100%, $E$9)</f>
        <v>86.051699999999997</v>
      </c>
      <c r="K888" s="52">
        <f>CHOOSE(CONTROL!$C$42, 86.3138, 86.3138) * CHOOSE(CONTROL!$C$21, $C$9, 100%, $E$9)</f>
        <v>86.313800000000001</v>
      </c>
      <c r="L888" s="14">
        <f>CHOOSE(CONTROL!$C$42, 86.7271, 86.7271) * CHOOSE(CONTROL!$C$21, $C$9, 100%, $E$9)</f>
        <v>86.727099999999993</v>
      </c>
      <c r="M888" s="14">
        <f>CHOOSE(CONTROL!$C$42, 84.5116, 84.5116) * CHOOSE(CONTROL!$C$21, $C$9, 100%, $E$9)</f>
        <v>84.511600000000001</v>
      </c>
      <c r="N888" s="14">
        <f>CHOOSE(CONTROL!$C$42, 84.5293, 84.5293) * CHOOSE(CONTROL!$C$21, $C$9, 100%, $E$9)</f>
        <v>84.529300000000006</v>
      </c>
      <c r="O888" s="14">
        <f>CHOOSE(CONTROL!$C$42, 84.5984, 84.5984) * CHOOSE(CONTROL!$C$21, $C$9, 100%, $E$9)</f>
        <v>84.598399999999998</v>
      </c>
      <c r="P888" s="14">
        <f>CHOOSE(CONTROL!$C$42, 84.7681, 84.7681) * CHOOSE(CONTROL!$C$21, $C$9, 100%, $E$9)</f>
        <v>84.768100000000004</v>
      </c>
      <c r="Q888" s="14">
        <f>CHOOSE(CONTROL!$C$42, 85.1931, 85.1931) * CHOOSE(CONTROL!$C$21, $C$9, 100%, $E$9)</f>
        <v>85.193100000000001</v>
      </c>
      <c r="R888" s="14">
        <f>CHOOSE(CONTROL!$C$42, 85.9931, 85.9931) * CHOOSE(CONTROL!$C$21, $C$9, 100%, $E$9)</f>
        <v>85.993099999999998</v>
      </c>
      <c r="S888" s="14">
        <f>CHOOSE(CONTROL!$C$42, 82.6564, 82.6564) * CHOOSE(CONTROL!$C$21, $C$9, 100%, $E$9)</f>
        <v>82.656400000000005</v>
      </c>
      <c r="T88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88" s="56">
        <f>(1000*CHOOSE(CONTROL!$C$42, 695, 695)*CHOOSE(CONTROL!$C$42, 0.5599, 0.5599)*CHOOSE(CONTROL!$C$42, 31, 31))/1000000</f>
        <v>12.063045499999998</v>
      </c>
      <c r="V888" s="56">
        <f>(1000*CHOOSE(CONTROL!$C$42, 500, 500)*CHOOSE(CONTROL!$C$42, 0.275, 0.275)*CHOOSE(CONTROL!$C$42, 31, 31))/1000000</f>
        <v>4.2625000000000002</v>
      </c>
      <c r="W888" s="56">
        <f>(1000*CHOOSE(CONTROL!$C$42, 0.1146, 0.1146)*CHOOSE(CONTROL!$C$42, 121.5, 121.5)*CHOOSE(CONTROL!$C$42, 31, 31))/1000000</f>
        <v>0.43164089999999994</v>
      </c>
      <c r="X888" s="56">
        <f>(31*0.1790888*100000/1000000)+(31*0.2374*100000/1000000)</f>
        <v>1.2911152800000001</v>
      </c>
      <c r="Y888" s="56"/>
      <c r="Z888" s="14"/>
      <c r="AA888" s="55"/>
      <c r="AB888" s="49">
        <f>(B888*122.58+C888*297.941+D888*89.177+E888*40.302+F888*40+G888*160+H888*0+I888*100+J888*300)/(122.58+297.941+89.177+40.302+0+40+160+100+300)</f>
        <v>86.079961828782601</v>
      </c>
      <c r="AC888" s="45">
        <f>(M888*'RAP TEMPLATE-GAS AVAILABILITY'!O887+N888*'RAP TEMPLATE-GAS AVAILABILITY'!P887+O888*'RAP TEMPLATE-GAS AVAILABILITY'!Q887+P888*'RAP TEMPLATE-GAS AVAILABILITY'!R887)/('RAP TEMPLATE-GAS AVAILABILITY'!O887+'RAP TEMPLATE-GAS AVAILABILITY'!P887+'RAP TEMPLATE-GAS AVAILABILITY'!Q887+'RAP TEMPLATE-GAS AVAILABILITY'!R887)</f>
        <v>84.588866187050357</v>
      </c>
    </row>
    <row r="889" spans="1:29" ht="15.75" x14ac:dyDescent="0.25">
      <c r="A889" s="32">
        <v>67968</v>
      </c>
      <c r="B889" s="14">
        <f>CHOOSE(CONTROL!$C$42, 93.1597, 93.1597) * CHOOSE(CONTROL!$C$21, $C$9, 100%, $E$9)</f>
        <v>93.159700000000001</v>
      </c>
      <c r="C889" s="14">
        <f>CHOOSE(CONTROL!$C$42, 93.1648, 93.1648) * CHOOSE(CONTROL!$C$21, $C$9, 100%, $E$9)</f>
        <v>93.1648</v>
      </c>
      <c r="D889" s="14">
        <f>CHOOSE(CONTROL!$C$42, 93.2582, 93.2582) * CHOOSE(CONTROL!$C$21, $C$9, 100%, $E$9)</f>
        <v>93.258200000000002</v>
      </c>
      <c r="E889" s="14">
        <f>CHOOSE(CONTROL!$C$42, 93.2923, 93.2923) * CHOOSE(CONTROL!$C$21, $C$9, 100%, $E$9)</f>
        <v>93.292299999999997</v>
      </c>
      <c r="F889" s="14">
        <f>CHOOSE(CONTROL!$C$42, 93.187, 93.187)*CHOOSE(CONTROL!$C$21, $C$9, 100%, $E$9)</f>
        <v>93.186999999999998</v>
      </c>
      <c r="G889" s="14">
        <f>CHOOSE(CONTROL!$C$42, 93.205, 93.205)*CHOOSE(CONTROL!$C$21, $C$9, 100%, $E$9)</f>
        <v>93.204999999999998</v>
      </c>
      <c r="H889" s="14">
        <f>CHOOSE(CONTROL!$C$42, 93.2815, 93.2815) * CHOOSE(CONTROL!$C$21, $C$9, 100%, $E$9)</f>
        <v>93.281499999999994</v>
      </c>
      <c r="I889" s="14">
        <f>CHOOSE(CONTROL!$C$42, 93.4774, 93.4774)* CHOOSE(CONTROL!$C$21, $C$9, 100%, $E$9)</f>
        <v>93.477400000000003</v>
      </c>
      <c r="J889" s="14">
        <f>CHOOSE(CONTROL!$C$42, 93.18, 93.18)* CHOOSE(CONTROL!$C$21, $C$9, 100%, $E$9)</f>
        <v>93.18</v>
      </c>
      <c r="K889" s="52">
        <f>CHOOSE(CONTROL!$C$42, 93.4735, 93.4735) * CHOOSE(CONTROL!$C$21, $C$9, 100%, $E$9)</f>
        <v>93.473500000000001</v>
      </c>
      <c r="L889" s="14">
        <f>CHOOSE(CONTROL!$C$42, 93.8685, 93.8685) * CHOOSE(CONTROL!$C$21, $C$9, 100%, $E$9)</f>
        <v>93.868499999999997</v>
      </c>
      <c r="M889" s="14">
        <f>CHOOSE(CONTROL!$C$42, 91.5117, 91.5117) * CHOOSE(CONTROL!$C$21, $C$9, 100%, $E$9)</f>
        <v>91.511700000000005</v>
      </c>
      <c r="N889" s="14">
        <f>CHOOSE(CONTROL!$C$42, 91.5293, 91.5293) * CHOOSE(CONTROL!$C$21, $C$9, 100%, $E$9)</f>
        <v>91.529300000000006</v>
      </c>
      <c r="O889" s="14">
        <f>CHOOSE(CONTROL!$C$42, 91.6114, 91.6114) * CHOOSE(CONTROL!$C$21, $C$9, 100%, $E$9)</f>
        <v>91.611400000000003</v>
      </c>
      <c r="P889" s="14">
        <f>CHOOSE(CONTROL!$C$42, 91.7986, 91.7986) * CHOOSE(CONTROL!$C$21, $C$9, 100%, $E$9)</f>
        <v>91.798599999999993</v>
      </c>
      <c r="Q889" s="14">
        <f>CHOOSE(CONTROL!$C$42, 92.2061, 92.2061) * CHOOSE(CONTROL!$C$21, $C$9, 100%, $E$9)</f>
        <v>92.206100000000006</v>
      </c>
      <c r="R889" s="14">
        <f>CHOOSE(CONTROL!$C$42, 93.0236, 93.0236) * CHOOSE(CONTROL!$C$21, $C$9, 100%, $E$9)</f>
        <v>93.023600000000002</v>
      </c>
      <c r="S889" s="14">
        <f>CHOOSE(CONTROL!$C$42, 89.5086, 89.5086) * CHOOSE(CONTROL!$C$21, $C$9, 100%, $E$9)</f>
        <v>89.508600000000001</v>
      </c>
      <c r="T88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89" s="56">
        <f>(1000*CHOOSE(CONTROL!$C$42, 695, 695)*CHOOSE(CONTROL!$C$42, 0.5599, 0.5599)*CHOOSE(CONTROL!$C$42, 31, 31))/1000000</f>
        <v>12.063045499999998</v>
      </c>
      <c r="V889" s="56">
        <f>(1000*CHOOSE(CONTROL!$C$42, 500, 500)*CHOOSE(CONTROL!$C$42, 0.275, 0.275)*CHOOSE(CONTROL!$C$42, 31, 31))/1000000</f>
        <v>4.2625000000000002</v>
      </c>
      <c r="W889" s="56">
        <f>(1000*CHOOSE(CONTROL!$C$42, 0.1146, 0.1146)*CHOOSE(CONTROL!$C$42, 121.5, 121.5)*CHOOSE(CONTROL!$C$42, 31, 31))/1000000</f>
        <v>0.43164089999999994</v>
      </c>
      <c r="X889" s="56">
        <f>(31*0.1790888*100000/1000000)+(31*0.2374*100000/1000000)</f>
        <v>1.2911152800000001</v>
      </c>
      <c r="Y889" s="56"/>
      <c r="Z889" s="14"/>
      <c r="AA889" s="55"/>
      <c r="AB889" s="49">
        <f>(B889*122.58+C889*297.941+D889*89.177+E889*40.302+F889*40+G889*160+H889*0+I889*100+J889*300)/(122.58+297.941+89.177+40.302+0+40+160+100+300)</f>
        <v>93.213480416347821</v>
      </c>
      <c r="AC889" s="45">
        <f>(M889*'RAP TEMPLATE-GAS AVAILABILITY'!O888+N889*'RAP TEMPLATE-GAS AVAILABILITY'!P888+O889*'RAP TEMPLATE-GAS AVAILABILITY'!Q888+P889*'RAP TEMPLATE-GAS AVAILABILITY'!R888)/('RAP TEMPLATE-GAS AVAILABILITY'!O888+'RAP TEMPLATE-GAS AVAILABILITY'!P888+'RAP TEMPLATE-GAS AVAILABILITY'!Q888+'RAP TEMPLATE-GAS AVAILABILITY'!R888)</f>
        <v>91.59918129496404</v>
      </c>
    </row>
    <row r="890" spans="1:29" ht="15.75" x14ac:dyDescent="0.25">
      <c r="A890" s="32">
        <v>67996</v>
      </c>
      <c r="B890" s="14">
        <f>CHOOSE(CONTROL!$C$42, 94.8179, 94.8179) * CHOOSE(CONTROL!$C$21, $C$9, 100%, $E$9)</f>
        <v>94.817899999999995</v>
      </c>
      <c r="C890" s="14">
        <f>CHOOSE(CONTROL!$C$42, 94.823, 94.823) * CHOOSE(CONTROL!$C$21, $C$9, 100%, $E$9)</f>
        <v>94.822999999999993</v>
      </c>
      <c r="D890" s="14">
        <f>CHOOSE(CONTROL!$C$42, 94.9164, 94.9164) * CHOOSE(CONTROL!$C$21, $C$9, 100%, $E$9)</f>
        <v>94.916399999999996</v>
      </c>
      <c r="E890" s="14">
        <f>CHOOSE(CONTROL!$C$42, 94.9506, 94.9506) * CHOOSE(CONTROL!$C$21, $C$9, 100%, $E$9)</f>
        <v>94.950599999999994</v>
      </c>
      <c r="F890" s="14">
        <f>CHOOSE(CONTROL!$C$42, 94.8449, 94.8449)*CHOOSE(CONTROL!$C$21, $C$9, 100%, $E$9)</f>
        <v>94.844899999999996</v>
      </c>
      <c r="G890" s="14">
        <f>CHOOSE(CONTROL!$C$42, 94.8627, 94.8627)*CHOOSE(CONTROL!$C$21, $C$9, 100%, $E$9)</f>
        <v>94.862700000000004</v>
      </c>
      <c r="H890" s="14">
        <f>CHOOSE(CONTROL!$C$42, 94.9397, 94.9397) * CHOOSE(CONTROL!$C$21, $C$9, 100%, $E$9)</f>
        <v>94.939700000000002</v>
      </c>
      <c r="I890" s="14">
        <f>CHOOSE(CONTROL!$C$42, 95.1408, 95.1408)* CHOOSE(CONTROL!$C$21, $C$9, 100%, $E$9)</f>
        <v>95.140799999999999</v>
      </c>
      <c r="J890" s="14">
        <f>CHOOSE(CONTROL!$C$42, 94.8379, 94.8379)* CHOOSE(CONTROL!$C$21, $C$9, 100%, $E$9)</f>
        <v>94.837900000000005</v>
      </c>
      <c r="K890" s="52">
        <f>CHOOSE(CONTROL!$C$42, 95.1369, 95.1369) * CHOOSE(CONTROL!$C$21, $C$9, 100%, $E$9)</f>
        <v>95.136899999999997</v>
      </c>
      <c r="L890" s="14">
        <f>CHOOSE(CONTROL!$C$42, 95.5267, 95.5267) * CHOOSE(CONTROL!$C$21, $C$9, 100%, $E$9)</f>
        <v>95.526700000000005</v>
      </c>
      <c r="M890" s="14">
        <f>CHOOSE(CONTROL!$C$42, 93.1397, 93.1397) * CHOOSE(CONTROL!$C$21, $C$9, 100%, $E$9)</f>
        <v>93.139700000000005</v>
      </c>
      <c r="N890" s="14">
        <f>CHOOSE(CONTROL!$C$42, 93.1573, 93.1573) * CHOOSE(CONTROL!$C$21, $C$9, 100%, $E$9)</f>
        <v>93.157300000000006</v>
      </c>
      <c r="O890" s="14">
        <f>CHOOSE(CONTROL!$C$42, 93.2398, 93.2398) * CHOOSE(CONTROL!$C$21, $C$9, 100%, $E$9)</f>
        <v>93.239800000000002</v>
      </c>
      <c r="P890" s="14">
        <f>CHOOSE(CONTROL!$C$42, 93.432, 93.432) * CHOOSE(CONTROL!$C$21, $C$9, 100%, $E$9)</f>
        <v>93.432000000000002</v>
      </c>
      <c r="Q890" s="14">
        <f>CHOOSE(CONTROL!$C$42, 93.8345, 93.8345) * CHOOSE(CONTROL!$C$21, $C$9, 100%, $E$9)</f>
        <v>93.834500000000006</v>
      </c>
      <c r="R890" s="14">
        <f>CHOOSE(CONTROL!$C$42, 94.6561, 94.6561) * CHOOSE(CONTROL!$C$21, $C$9, 100%, $E$9)</f>
        <v>94.656099999999995</v>
      </c>
      <c r="S890" s="14">
        <f>CHOOSE(CONTROL!$C$42, 91.102, 91.102) * CHOOSE(CONTROL!$C$21, $C$9, 100%, $E$9)</f>
        <v>91.102000000000004</v>
      </c>
      <c r="T89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90" s="56">
        <f>(1000*CHOOSE(CONTROL!$C$42, 695, 695)*CHOOSE(CONTROL!$C$42, 0.5599, 0.5599)*CHOOSE(CONTROL!$C$42, 28, 28))/1000000</f>
        <v>10.895653999999999</v>
      </c>
      <c r="V890" s="56">
        <f>(1000*CHOOSE(CONTROL!$C$42, 500, 500)*CHOOSE(CONTROL!$C$42, 0.275, 0.275)*CHOOSE(CONTROL!$C$42, 28, 28))/1000000</f>
        <v>3.85</v>
      </c>
      <c r="W890" s="56">
        <f>(1000*CHOOSE(CONTROL!$C$42, 0.1146, 0.1146)*CHOOSE(CONTROL!$C$42, 121.5, 121.5)*CHOOSE(CONTROL!$C$42, 28, 28))/1000000</f>
        <v>0.38986920000000003</v>
      </c>
      <c r="X890" s="56">
        <f>(28*0.1790888*100000/1000000)+(28*0.2374*100000/1000000)</f>
        <v>1.16616864</v>
      </c>
      <c r="Y890" s="56"/>
      <c r="Z890" s="14"/>
      <c r="AA890" s="55"/>
      <c r="AB890" s="49">
        <f>(B890*122.58+C890*297.941+D890*89.177+E890*40.302+F890*40+G890*160+H890*0+I890*100+J890*300)/(122.58+297.941+89.177+40.302+0+40+160+100+300)</f>
        <v>94.87197783391305</v>
      </c>
      <c r="AC890" s="45">
        <f>(M890*'RAP TEMPLATE-GAS AVAILABILITY'!O889+N890*'RAP TEMPLATE-GAS AVAILABILITY'!P889+O890*'RAP TEMPLATE-GAS AVAILABILITY'!Q889+P890*'RAP TEMPLATE-GAS AVAILABILITY'!R889)/('RAP TEMPLATE-GAS AVAILABILITY'!O889+'RAP TEMPLATE-GAS AVAILABILITY'!P889+'RAP TEMPLATE-GAS AVAILABILITY'!Q889+'RAP TEMPLATE-GAS AVAILABILITY'!R889)</f>
        <v>93.228139568345327</v>
      </c>
    </row>
    <row r="891" spans="1:29" ht="15.75" x14ac:dyDescent="0.25">
      <c r="A891" s="32">
        <v>68027</v>
      </c>
      <c r="B891" s="14">
        <f>CHOOSE(CONTROL!$C$42, 92.1262, 92.1262) * CHOOSE(CONTROL!$C$21, $C$9, 100%, $E$9)</f>
        <v>92.126199999999997</v>
      </c>
      <c r="C891" s="14">
        <f>CHOOSE(CONTROL!$C$42, 92.1313, 92.1313) * CHOOSE(CONTROL!$C$21, $C$9, 100%, $E$9)</f>
        <v>92.131299999999996</v>
      </c>
      <c r="D891" s="14">
        <f>CHOOSE(CONTROL!$C$42, 92.2248, 92.2248) * CHOOSE(CONTROL!$C$21, $C$9, 100%, $E$9)</f>
        <v>92.224800000000002</v>
      </c>
      <c r="E891" s="14">
        <f>CHOOSE(CONTROL!$C$42, 92.2589, 92.2589) * CHOOSE(CONTROL!$C$21, $C$9, 100%, $E$9)</f>
        <v>92.258899999999997</v>
      </c>
      <c r="F891" s="14">
        <f>CHOOSE(CONTROL!$C$42, 92.1523, 92.1523)*CHOOSE(CONTROL!$C$21, $C$9, 100%, $E$9)</f>
        <v>92.152299999999997</v>
      </c>
      <c r="G891" s="14">
        <f>CHOOSE(CONTROL!$C$42, 92.1699, 92.1699)*CHOOSE(CONTROL!$C$21, $C$9, 100%, $E$9)</f>
        <v>92.169899999999998</v>
      </c>
      <c r="H891" s="14">
        <f>CHOOSE(CONTROL!$C$42, 92.2481, 92.2481) * CHOOSE(CONTROL!$C$21, $C$9, 100%, $E$9)</f>
        <v>92.248099999999994</v>
      </c>
      <c r="I891" s="14">
        <f>CHOOSE(CONTROL!$C$42, 92.4407, 92.4407)* CHOOSE(CONTROL!$C$21, $C$9, 100%, $E$9)</f>
        <v>92.440700000000007</v>
      </c>
      <c r="J891" s="14">
        <f>CHOOSE(CONTROL!$C$42, 92.1453, 92.1453)* CHOOSE(CONTROL!$C$21, $C$9, 100%, $E$9)</f>
        <v>92.145300000000006</v>
      </c>
      <c r="K891" s="52">
        <f>CHOOSE(CONTROL!$C$42, 92.4368, 92.4368) * CHOOSE(CONTROL!$C$21, $C$9, 100%, $E$9)</f>
        <v>92.436800000000005</v>
      </c>
      <c r="L891" s="14">
        <f>CHOOSE(CONTROL!$C$42, 92.8351, 92.8351) * CHOOSE(CONTROL!$C$21, $C$9, 100%, $E$9)</f>
        <v>92.835099999999997</v>
      </c>
      <c r="M891" s="14">
        <f>CHOOSE(CONTROL!$C$42, 90.4956, 90.4956) * CHOOSE(CONTROL!$C$21, $C$9, 100%, $E$9)</f>
        <v>90.495599999999996</v>
      </c>
      <c r="N891" s="14">
        <f>CHOOSE(CONTROL!$C$42, 90.5129, 90.5129) * CHOOSE(CONTROL!$C$21, $C$9, 100%, $E$9)</f>
        <v>90.512900000000002</v>
      </c>
      <c r="O891" s="14">
        <f>CHOOSE(CONTROL!$C$42, 90.5965, 90.5965) * CHOOSE(CONTROL!$C$21, $C$9, 100%, $E$9)</f>
        <v>90.596500000000006</v>
      </c>
      <c r="P891" s="14">
        <f>CHOOSE(CONTROL!$C$42, 90.7806, 90.7806) * CHOOSE(CONTROL!$C$21, $C$9, 100%, $E$9)</f>
        <v>90.780600000000007</v>
      </c>
      <c r="Q891" s="14">
        <f>CHOOSE(CONTROL!$C$42, 91.1912, 91.1912) * CHOOSE(CONTROL!$C$21, $C$9, 100%, $E$9)</f>
        <v>91.191199999999995</v>
      </c>
      <c r="R891" s="14">
        <f>CHOOSE(CONTROL!$C$42, 92.0062, 92.0062) * CHOOSE(CONTROL!$C$21, $C$9, 100%, $E$9)</f>
        <v>92.006200000000007</v>
      </c>
      <c r="S891" s="14">
        <f>CHOOSE(CONTROL!$C$42, 88.5156, 88.5156) * CHOOSE(CONTROL!$C$21, $C$9, 100%, $E$9)</f>
        <v>88.515600000000006</v>
      </c>
      <c r="T89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91" s="56">
        <f>(1000*CHOOSE(CONTROL!$C$42, 695, 695)*CHOOSE(CONTROL!$C$42, 0.5599, 0.5599)*CHOOSE(CONTROL!$C$42, 31, 31))/1000000</f>
        <v>12.063045499999998</v>
      </c>
      <c r="V891" s="56">
        <f>(1000*CHOOSE(CONTROL!$C$42, 500, 500)*CHOOSE(CONTROL!$C$42, 0.275, 0.275)*CHOOSE(CONTROL!$C$42, 31, 31))/1000000</f>
        <v>4.2625000000000002</v>
      </c>
      <c r="W891" s="56">
        <f>(1000*CHOOSE(CONTROL!$C$42, 0.1146, 0.1146)*CHOOSE(CONTROL!$C$42, 121.5, 121.5)*CHOOSE(CONTROL!$C$42, 31, 31))/1000000</f>
        <v>0.43164089999999994</v>
      </c>
      <c r="X891" s="56">
        <f>(31*0.1790888*100000/1000000)+(31*0.2374*100000/1000000)</f>
        <v>1.2911152800000001</v>
      </c>
      <c r="Y891" s="56"/>
      <c r="Z891" s="14"/>
      <c r="AA891" s="55"/>
      <c r="AB891" s="49">
        <f>(B891*122.58+C891*297.941+D891*89.177+E891*40.302+F891*40+G891*160+H891*0+I891*100+J891*300)/(122.58+297.941+89.177+40.302+0+40+160+100+300)</f>
        <v>92.179136023217396</v>
      </c>
      <c r="AC891" s="45">
        <f>(M891*'RAP TEMPLATE-GAS AVAILABILITY'!O890+N891*'RAP TEMPLATE-GAS AVAILABILITY'!P890+O891*'RAP TEMPLATE-GAS AVAILABILITY'!Q890+P891*'RAP TEMPLATE-GAS AVAILABILITY'!R890)/('RAP TEMPLATE-GAS AVAILABILITY'!O890+'RAP TEMPLATE-GAS AVAILABILITY'!P890+'RAP TEMPLATE-GAS AVAILABILITY'!Q890+'RAP TEMPLATE-GAS AVAILABILITY'!R890)</f>
        <v>90.583334532374096</v>
      </c>
    </row>
    <row r="892" spans="1:29" ht="15.75" x14ac:dyDescent="0.25">
      <c r="A892" s="32">
        <v>68057</v>
      </c>
      <c r="B892" s="14">
        <f>CHOOSE(CONTROL!$C$42, 91.8514, 91.8514) * CHOOSE(CONTROL!$C$21, $C$9, 100%, $E$9)</f>
        <v>91.851399999999998</v>
      </c>
      <c r="C892" s="14">
        <f>CHOOSE(CONTROL!$C$42, 91.8559, 91.8559) * CHOOSE(CONTROL!$C$21, $C$9, 100%, $E$9)</f>
        <v>91.855900000000005</v>
      </c>
      <c r="D892" s="14">
        <f>CHOOSE(CONTROL!$C$42, 92.1181, 92.1181) * CHOOSE(CONTROL!$C$21, $C$9, 100%, $E$9)</f>
        <v>92.118099999999998</v>
      </c>
      <c r="E892" s="14">
        <f>CHOOSE(CONTROL!$C$42, 92.1502, 92.1502) * CHOOSE(CONTROL!$C$21, $C$9, 100%, $E$9)</f>
        <v>92.150199999999998</v>
      </c>
      <c r="F892" s="14">
        <f>CHOOSE(CONTROL!$C$42, 91.8743, 91.8743)*CHOOSE(CONTROL!$C$21, $C$9, 100%, $E$9)</f>
        <v>91.874300000000005</v>
      </c>
      <c r="G892" s="14">
        <f>CHOOSE(CONTROL!$C$42, 91.891, 91.891)*CHOOSE(CONTROL!$C$21, $C$9, 100%, $E$9)</f>
        <v>91.891000000000005</v>
      </c>
      <c r="H892" s="14">
        <f>CHOOSE(CONTROL!$C$42, 92.14, 92.14) * CHOOSE(CONTROL!$C$21, $C$9, 100%, $E$9)</f>
        <v>92.14</v>
      </c>
      <c r="I892" s="14">
        <f>CHOOSE(CONTROL!$C$42, 92.1616, 92.1616)* CHOOSE(CONTROL!$C$21, $C$9, 100%, $E$9)</f>
        <v>92.161600000000007</v>
      </c>
      <c r="J892" s="14">
        <f>CHOOSE(CONTROL!$C$42, 91.8673, 91.8673)* CHOOSE(CONTROL!$C$21, $C$9, 100%, $E$9)</f>
        <v>91.8673</v>
      </c>
      <c r="K892" s="52">
        <f>CHOOSE(CONTROL!$C$42, 92.1577, 92.1577) * CHOOSE(CONTROL!$C$21, $C$9, 100%, $E$9)</f>
        <v>92.157700000000006</v>
      </c>
      <c r="L892" s="14">
        <f>CHOOSE(CONTROL!$C$42, 92.727, 92.727) * CHOOSE(CONTROL!$C$21, $C$9, 100%, $E$9)</f>
        <v>92.727000000000004</v>
      </c>
      <c r="M892" s="14">
        <f>CHOOSE(CONTROL!$C$42, 90.2226, 90.2226) * CHOOSE(CONTROL!$C$21, $C$9, 100%, $E$9)</f>
        <v>90.2226</v>
      </c>
      <c r="N892" s="14">
        <f>CHOOSE(CONTROL!$C$42, 90.239, 90.239) * CHOOSE(CONTROL!$C$21, $C$9, 100%, $E$9)</f>
        <v>90.239000000000004</v>
      </c>
      <c r="O892" s="14">
        <f>CHOOSE(CONTROL!$C$42, 90.4904, 90.4904) * CHOOSE(CONTROL!$C$21, $C$9, 100%, $E$9)</f>
        <v>90.490399999999994</v>
      </c>
      <c r="P892" s="14">
        <f>CHOOSE(CONTROL!$C$42, 90.5066, 90.5066) * CHOOSE(CONTROL!$C$21, $C$9, 100%, $E$9)</f>
        <v>90.506600000000006</v>
      </c>
      <c r="Q892" s="14">
        <f>CHOOSE(CONTROL!$C$42, 91.0851, 91.0851) * CHOOSE(CONTROL!$C$21, $C$9, 100%, $E$9)</f>
        <v>91.085099999999997</v>
      </c>
      <c r="R892" s="14">
        <f>CHOOSE(CONTROL!$C$42, 91.8998, 91.8998) * CHOOSE(CONTROL!$C$21, $C$9, 100%, $E$9)</f>
        <v>91.899799999999999</v>
      </c>
      <c r="S892" s="14">
        <f>CHOOSE(CONTROL!$C$42, 88.2507, 88.2507) * CHOOSE(CONTROL!$C$21, $C$9, 100%, $E$9)</f>
        <v>88.250699999999995</v>
      </c>
      <c r="T89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92" s="56">
        <f>(1000*CHOOSE(CONTROL!$C$42, 695, 695)*CHOOSE(CONTROL!$C$42, 0.5599, 0.5599)*CHOOSE(CONTROL!$C$42, 30, 30))/1000000</f>
        <v>11.673914999999997</v>
      </c>
      <c r="V892" s="56">
        <f>(1000*CHOOSE(CONTROL!$C$42, 500, 500)*CHOOSE(CONTROL!$C$42, 0.275, 0.275)*CHOOSE(CONTROL!$C$42, 30, 30))/1000000</f>
        <v>4.125</v>
      </c>
      <c r="W892" s="56">
        <f>(1000*CHOOSE(CONTROL!$C$42, 0.1146, 0.1146)*CHOOSE(CONTROL!$C$42, 121.5, 121.5)*CHOOSE(CONTROL!$C$42, 30, 30))/1000000</f>
        <v>0.417717</v>
      </c>
      <c r="X892" s="56">
        <f>(30*0.1790888*245000/1000000)+(30*0.2374*100000/1000000)</f>
        <v>2.0285026799999999</v>
      </c>
      <c r="Y892" s="56"/>
      <c r="Z892" s="14"/>
      <c r="AA892" s="55"/>
      <c r="AB892" s="49">
        <f>(B892*141.293+C892*267.993+D892*115.016+E892*89.698+F892*40+G892*185+H892*0+I892*100+J892*300)/(141.293+267.993+115.016+89.698+0+40+185+100+300)</f>
        <v>91.934301128410013</v>
      </c>
      <c r="AC892" s="45">
        <f>(M892*'RAP TEMPLATE-GAS AVAILABILITY'!O891+N892*'RAP TEMPLATE-GAS AVAILABILITY'!P891+O892*'RAP TEMPLATE-GAS AVAILABILITY'!Q891+P892*'RAP TEMPLATE-GAS AVAILABILITY'!R891)/('RAP TEMPLATE-GAS AVAILABILITY'!O891+'RAP TEMPLATE-GAS AVAILABILITY'!P891+'RAP TEMPLATE-GAS AVAILABILITY'!Q891+'RAP TEMPLATE-GAS AVAILABILITY'!R891)</f>
        <v>90.385784172661857</v>
      </c>
    </row>
    <row r="893" spans="1:29" ht="15.75" x14ac:dyDescent="0.25">
      <c r="A893" s="32">
        <v>68088</v>
      </c>
      <c r="B893" s="14">
        <f>CHOOSE(CONTROL!$C$42, 92.6634, 92.6634) * CHOOSE(CONTROL!$C$21, $C$9, 100%, $E$9)</f>
        <v>92.663399999999996</v>
      </c>
      <c r="C893" s="14">
        <f>CHOOSE(CONTROL!$C$42, 92.6715, 92.6715) * CHOOSE(CONTROL!$C$21, $C$9, 100%, $E$9)</f>
        <v>92.671499999999995</v>
      </c>
      <c r="D893" s="14">
        <f>CHOOSE(CONTROL!$C$42, 92.9305, 92.9305) * CHOOSE(CONTROL!$C$21, $C$9, 100%, $E$9)</f>
        <v>92.930499999999995</v>
      </c>
      <c r="E893" s="14">
        <f>CHOOSE(CONTROL!$C$42, 92.962, 92.962) * CHOOSE(CONTROL!$C$21, $C$9, 100%, $E$9)</f>
        <v>92.962000000000003</v>
      </c>
      <c r="F893" s="14">
        <f>CHOOSE(CONTROL!$C$42, 92.6849, 92.6849)*CHOOSE(CONTROL!$C$21, $C$9, 100%, $E$9)</f>
        <v>92.684899999999999</v>
      </c>
      <c r="G893" s="14">
        <f>CHOOSE(CONTROL!$C$42, 92.7019, 92.7019)*CHOOSE(CONTROL!$C$21, $C$9, 100%, $E$9)</f>
        <v>92.701899999999995</v>
      </c>
      <c r="H893" s="14">
        <f>CHOOSE(CONTROL!$C$42, 92.9506, 92.9506) * CHOOSE(CONTROL!$C$21, $C$9, 100%, $E$9)</f>
        <v>92.950599999999994</v>
      </c>
      <c r="I893" s="14">
        <f>CHOOSE(CONTROL!$C$42, 92.9747, 92.9747)* CHOOSE(CONTROL!$C$21, $C$9, 100%, $E$9)</f>
        <v>92.974699999999999</v>
      </c>
      <c r="J893" s="14">
        <f>CHOOSE(CONTROL!$C$42, 92.6779, 92.6779)* CHOOSE(CONTROL!$C$21, $C$9, 100%, $E$9)</f>
        <v>92.677899999999994</v>
      </c>
      <c r="K893" s="52">
        <f>CHOOSE(CONTROL!$C$42, 92.9708, 92.9708) * CHOOSE(CONTROL!$C$21, $C$9, 100%, $E$9)</f>
        <v>92.970799999999997</v>
      </c>
      <c r="L893" s="14">
        <f>CHOOSE(CONTROL!$C$42, 93.5376, 93.5376) * CHOOSE(CONTROL!$C$21, $C$9, 100%, $E$9)</f>
        <v>93.537599999999998</v>
      </c>
      <c r="M893" s="14">
        <f>CHOOSE(CONTROL!$C$42, 91.0187, 91.0187) * CHOOSE(CONTROL!$C$21, $C$9, 100%, $E$9)</f>
        <v>91.018699999999995</v>
      </c>
      <c r="N893" s="14">
        <f>CHOOSE(CONTROL!$C$42, 91.0353, 91.0353) * CHOOSE(CONTROL!$C$21, $C$9, 100%, $E$9)</f>
        <v>91.035300000000007</v>
      </c>
      <c r="O893" s="14">
        <f>CHOOSE(CONTROL!$C$42, 91.2865, 91.2865) * CHOOSE(CONTROL!$C$21, $C$9, 100%, $E$9)</f>
        <v>91.286500000000004</v>
      </c>
      <c r="P893" s="14">
        <f>CHOOSE(CONTROL!$C$42, 91.305, 91.305) * CHOOSE(CONTROL!$C$21, $C$9, 100%, $E$9)</f>
        <v>91.305000000000007</v>
      </c>
      <c r="Q893" s="14">
        <f>CHOOSE(CONTROL!$C$42, 91.8812, 91.8812) * CHOOSE(CONTROL!$C$21, $C$9, 100%, $E$9)</f>
        <v>91.881200000000007</v>
      </c>
      <c r="R893" s="14">
        <f>CHOOSE(CONTROL!$C$42, 92.6979, 92.6979) * CHOOSE(CONTROL!$C$21, $C$9, 100%, $E$9)</f>
        <v>92.697900000000004</v>
      </c>
      <c r="S893" s="14">
        <f>CHOOSE(CONTROL!$C$42, 89.0297, 89.0297) * CHOOSE(CONTROL!$C$21, $C$9, 100%, $E$9)</f>
        <v>89.029700000000005</v>
      </c>
      <c r="T89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93" s="56">
        <f>(1000*CHOOSE(CONTROL!$C$42, 695, 695)*CHOOSE(CONTROL!$C$42, 0.5599, 0.5599)*CHOOSE(CONTROL!$C$42, 31, 31))/1000000</f>
        <v>12.063045499999998</v>
      </c>
      <c r="V893" s="56">
        <f>(1000*CHOOSE(CONTROL!$C$42, 500, 500)*CHOOSE(CONTROL!$C$42, 0.275, 0.275)*CHOOSE(CONTROL!$C$42, 31, 31))/1000000</f>
        <v>4.2625000000000002</v>
      </c>
      <c r="W893" s="56">
        <f>(1000*CHOOSE(CONTROL!$C$42, 0.1146, 0.1146)*CHOOSE(CONTROL!$C$42, 121.5, 121.5)*CHOOSE(CONTROL!$C$42, 31, 31))/1000000</f>
        <v>0.43164089999999994</v>
      </c>
      <c r="X893" s="56">
        <f>(31*0.1790888*245000/1000000)+(31*0.2374*100000/1000000)</f>
        <v>2.0961194359999999</v>
      </c>
      <c r="Y893" s="56"/>
      <c r="Z893" s="14"/>
      <c r="AA893" s="55"/>
      <c r="AB893" s="49">
        <f>(B893*194.205+C893*267.466+D893*133.845+E893*53.484+F893*40+G893*185+H893*0+I893*100+J893*300)/(194.205+267.466+133.845+53.484+0+40+185+100+300)</f>
        <v>92.739812320643651</v>
      </c>
      <c r="AC893" s="45">
        <f>(M893*'RAP TEMPLATE-GAS AVAILABILITY'!O892+N893*'RAP TEMPLATE-GAS AVAILABILITY'!P892+O893*'RAP TEMPLATE-GAS AVAILABILITY'!Q892+P893*'RAP TEMPLATE-GAS AVAILABILITY'!R892)/('RAP TEMPLATE-GAS AVAILABILITY'!O892+'RAP TEMPLATE-GAS AVAILABILITY'!P892+'RAP TEMPLATE-GAS AVAILABILITY'!Q892+'RAP TEMPLATE-GAS AVAILABILITY'!R892)</f>
        <v>91.18222661870503</v>
      </c>
    </row>
    <row r="894" spans="1:29" ht="15.75" x14ac:dyDescent="0.25">
      <c r="A894" s="32">
        <v>68118</v>
      </c>
      <c r="B894" s="14">
        <f>CHOOSE(CONTROL!$C$42, 95.2916, 95.2916) * CHOOSE(CONTROL!$C$21, $C$9, 100%, $E$9)</f>
        <v>95.291600000000003</v>
      </c>
      <c r="C894" s="14">
        <f>CHOOSE(CONTROL!$C$42, 95.2996, 95.2996) * CHOOSE(CONTROL!$C$21, $C$9, 100%, $E$9)</f>
        <v>95.299599999999998</v>
      </c>
      <c r="D894" s="14">
        <f>CHOOSE(CONTROL!$C$42, 95.5587, 95.5587) * CHOOSE(CONTROL!$C$21, $C$9, 100%, $E$9)</f>
        <v>95.558700000000002</v>
      </c>
      <c r="E894" s="14">
        <f>CHOOSE(CONTROL!$C$42, 95.5902, 95.5902) * CHOOSE(CONTROL!$C$21, $C$9, 100%, $E$9)</f>
        <v>95.590199999999996</v>
      </c>
      <c r="F894" s="14">
        <f>CHOOSE(CONTROL!$C$42, 95.3134, 95.3134)*CHOOSE(CONTROL!$C$21, $C$9, 100%, $E$9)</f>
        <v>95.313400000000001</v>
      </c>
      <c r="G894" s="14">
        <f>CHOOSE(CONTROL!$C$42, 95.3304, 95.3304)*CHOOSE(CONTROL!$C$21, $C$9, 100%, $E$9)</f>
        <v>95.330399999999997</v>
      </c>
      <c r="H894" s="14">
        <f>CHOOSE(CONTROL!$C$42, 95.5788, 95.5788) * CHOOSE(CONTROL!$C$21, $C$9, 100%, $E$9)</f>
        <v>95.578800000000001</v>
      </c>
      <c r="I894" s="14">
        <f>CHOOSE(CONTROL!$C$42, 95.6112, 95.6112)* CHOOSE(CONTROL!$C$21, $C$9, 100%, $E$9)</f>
        <v>95.611199999999997</v>
      </c>
      <c r="J894" s="14">
        <f>CHOOSE(CONTROL!$C$42, 95.3064, 95.3064)* CHOOSE(CONTROL!$C$21, $C$9, 100%, $E$9)</f>
        <v>95.306399999999996</v>
      </c>
      <c r="K894" s="52">
        <f>CHOOSE(CONTROL!$C$42, 95.6073, 95.6073) * CHOOSE(CONTROL!$C$21, $C$9, 100%, $E$9)</f>
        <v>95.607299999999995</v>
      </c>
      <c r="L894" s="14">
        <f>CHOOSE(CONTROL!$C$42, 96.1658, 96.1658) * CHOOSE(CONTROL!$C$21, $C$9, 100%, $E$9)</f>
        <v>96.165800000000004</v>
      </c>
      <c r="M894" s="14">
        <f>CHOOSE(CONTROL!$C$42, 93.5998, 93.5998) * CHOOSE(CONTROL!$C$21, $C$9, 100%, $E$9)</f>
        <v>93.599800000000002</v>
      </c>
      <c r="N894" s="14">
        <f>CHOOSE(CONTROL!$C$42, 93.6166, 93.6166) * CHOOSE(CONTROL!$C$21, $C$9, 100%, $E$9)</f>
        <v>93.616600000000005</v>
      </c>
      <c r="O894" s="14">
        <f>CHOOSE(CONTROL!$C$42, 93.8674, 93.8674) * CHOOSE(CONTROL!$C$21, $C$9, 100%, $E$9)</f>
        <v>93.867400000000004</v>
      </c>
      <c r="P894" s="14">
        <f>CHOOSE(CONTROL!$C$42, 93.8939, 93.8939) * CHOOSE(CONTROL!$C$21, $C$9, 100%, $E$9)</f>
        <v>93.893900000000002</v>
      </c>
      <c r="Q894" s="14">
        <f>CHOOSE(CONTROL!$C$42, 94.4621, 94.4621) * CHOOSE(CONTROL!$C$21, $C$9, 100%, $E$9)</f>
        <v>94.462100000000007</v>
      </c>
      <c r="R894" s="14">
        <f>CHOOSE(CONTROL!$C$42, 95.2852, 95.2852) * CHOOSE(CONTROL!$C$21, $C$9, 100%, $E$9)</f>
        <v>95.285200000000003</v>
      </c>
      <c r="S894" s="14">
        <f>CHOOSE(CONTROL!$C$42, 91.5551, 91.5551) * CHOOSE(CONTROL!$C$21, $C$9, 100%, $E$9)</f>
        <v>91.555099999999996</v>
      </c>
      <c r="T89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894" s="56">
        <f>(1000*CHOOSE(CONTROL!$C$42, 695, 695)*CHOOSE(CONTROL!$C$42, 0.5599, 0.5599)*CHOOSE(CONTROL!$C$42, 30, 30))/1000000</f>
        <v>11.673914999999997</v>
      </c>
      <c r="V894" s="56">
        <f>(1000*CHOOSE(CONTROL!$C$42, 500, 500)*CHOOSE(CONTROL!$C$42, 0.275, 0.275)*CHOOSE(CONTROL!$C$42, 30, 30))/1000000</f>
        <v>4.125</v>
      </c>
      <c r="W894" s="56">
        <f>(1000*CHOOSE(CONTROL!$C$42, 0.1146, 0.1146)*CHOOSE(CONTROL!$C$42, 121.5, 121.5)*CHOOSE(CONTROL!$C$42, 30, 30))/1000000</f>
        <v>0.417717</v>
      </c>
      <c r="X894" s="56">
        <f>(30*0.1790888*245000/1000000)+(30*0.2374*100000/1000000)</f>
        <v>2.0285026799999999</v>
      </c>
      <c r="Y894" s="56"/>
      <c r="Z894" s="14"/>
      <c r="AA894" s="55"/>
      <c r="AB894" s="49">
        <f>(B894*194.205+C894*267.466+D894*133.845+E894*53.484+F894*40+G894*185+H894*0+I894*100+J894*300)/(194.205+267.466+133.845+53.484+0+40+185+100+300)</f>
        <v>95.368766444191522</v>
      </c>
      <c r="AC894" s="45">
        <f>(M894*'RAP TEMPLATE-GAS AVAILABILITY'!O893+N894*'RAP TEMPLATE-GAS AVAILABILITY'!P893+O894*'RAP TEMPLATE-GAS AVAILABILITY'!Q893+P894*'RAP TEMPLATE-GAS AVAILABILITY'!R893)/('RAP TEMPLATE-GAS AVAILABILITY'!O893+'RAP TEMPLATE-GAS AVAILABILITY'!P893+'RAP TEMPLATE-GAS AVAILABILITY'!Q893+'RAP TEMPLATE-GAS AVAILABILITY'!R893)</f>
        <v>93.764369784172658</v>
      </c>
    </row>
    <row r="895" spans="1:29" ht="15.75" x14ac:dyDescent="0.25">
      <c r="A895" s="32">
        <v>68149</v>
      </c>
      <c r="B895" s="14">
        <f>CHOOSE(CONTROL!$C$42, 93.4637, 93.4637) * CHOOSE(CONTROL!$C$21, $C$9, 100%, $E$9)</f>
        <v>93.463700000000003</v>
      </c>
      <c r="C895" s="14">
        <f>CHOOSE(CONTROL!$C$42, 93.4717, 93.4717) * CHOOSE(CONTROL!$C$21, $C$9, 100%, $E$9)</f>
        <v>93.471699999999998</v>
      </c>
      <c r="D895" s="14">
        <f>CHOOSE(CONTROL!$C$42, 93.7308, 93.7308) * CHOOSE(CONTROL!$C$21, $C$9, 100%, $E$9)</f>
        <v>93.730800000000002</v>
      </c>
      <c r="E895" s="14">
        <f>CHOOSE(CONTROL!$C$42, 93.7623, 93.7623) * CHOOSE(CONTROL!$C$21, $C$9, 100%, $E$9)</f>
        <v>93.762299999999996</v>
      </c>
      <c r="F895" s="14">
        <f>CHOOSE(CONTROL!$C$42, 93.4859, 93.4859)*CHOOSE(CONTROL!$C$21, $C$9, 100%, $E$9)</f>
        <v>93.485900000000001</v>
      </c>
      <c r="G895" s="14">
        <f>CHOOSE(CONTROL!$C$42, 93.5031, 93.5031)*CHOOSE(CONTROL!$C$21, $C$9, 100%, $E$9)</f>
        <v>93.503100000000003</v>
      </c>
      <c r="H895" s="14">
        <f>CHOOSE(CONTROL!$C$42, 93.7509, 93.7509) * CHOOSE(CONTROL!$C$21, $C$9, 100%, $E$9)</f>
        <v>93.750900000000001</v>
      </c>
      <c r="I895" s="14">
        <f>CHOOSE(CONTROL!$C$42, 93.7775, 93.7775)* CHOOSE(CONTROL!$C$21, $C$9, 100%, $E$9)</f>
        <v>93.777500000000003</v>
      </c>
      <c r="J895" s="14">
        <f>CHOOSE(CONTROL!$C$42, 93.4789, 93.4789)* CHOOSE(CONTROL!$C$21, $C$9, 100%, $E$9)</f>
        <v>93.478899999999996</v>
      </c>
      <c r="K895" s="52">
        <f>CHOOSE(CONTROL!$C$42, 93.7736, 93.7736) * CHOOSE(CONTROL!$C$21, $C$9, 100%, $E$9)</f>
        <v>93.773600000000002</v>
      </c>
      <c r="L895" s="14">
        <f>CHOOSE(CONTROL!$C$42, 94.3379, 94.3379) * CHOOSE(CONTROL!$C$21, $C$9, 100%, $E$9)</f>
        <v>94.337900000000005</v>
      </c>
      <c r="M895" s="14">
        <f>CHOOSE(CONTROL!$C$42, 91.8052, 91.8052) * CHOOSE(CONTROL!$C$21, $C$9, 100%, $E$9)</f>
        <v>91.805199999999999</v>
      </c>
      <c r="N895" s="14">
        <f>CHOOSE(CONTROL!$C$42, 91.8221, 91.8221) * CHOOSE(CONTROL!$C$21, $C$9, 100%, $E$9)</f>
        <v>91.822100000000006</v>
      </c>
      <c r="O895" s="14">
        <f>CHOOSE(CONTROL!$C$42, 92.0723, 92.0723) * CHOOSE(CONTROL!$C$21, $C$9, 100%, $E$9)</f>
        <v>92.072299999999998</v>
      </c>
      <c r="P895" s="14">
        <f>CHOOSE(CONTROL!$C$42, 92.0933, 92.0933) * CHOOSE(CONTROL!$C$21, $C$9, 100%, $E$9)</f>
        <v>92.093299999999999</v>
      </c>
      <c r="Q895" s="14">
        <f>CHOOSE(CONTROL!$C$42, 92.667, 92.667) * CHOOSE(CONTROL!$C$21, $C$9, 100%, $E$9)</f>
        <v>92.667000000000002</v>
      </c>
      <c r="R895" s="14">
        <f>CHOOSE(CONTROL!$C$42, 93.4857, 93.4857) * CHOOSE(CONTROL!$C$21, $C$9, 100%, $E$9)</f>
        <v>93.485699999999994</v>
      </c>
      <c r="S895" s="14">
        <f>CHOOSE(CONTROL!$C$42, 89.7986, 89.7986) * CHOOSE(CONTROL!$C$21, $C$9, 100%, $E$9)</f>
        <v>89.798599999999993</v>
      </c>
      <c r="T89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895" s="56">
        <f>(1000*CHOOSE(CONTROL!$C$42, 695, 695)*CHOOSE(CONTROL!$C$42, 0.5599, 0.5599)*CHOOSE(CONTROL!$C$42, 31, 31))/1000000</f>
        <v>12.063045499999998</v>
      </c>
      <c r="V895" s="56">
        <f>(1000*CHOOSE(CONTROL!$C$42, 500, 500)*CHOOSE(CONTROL!$C$42, 0.275, 0.275)*CHOOSE(CONTROL!$C$42, 31, 31))/1000000</f>
        <v>4.2625000000000002</v>
      </c>
      <c r="W895" s="56">
        <f>(1000*CHOOSE(CONTROL!$C$42, 0.1146, 0.1146)*CHOOSE(CONTROL!$C$42, 121.5, 121.5)*CHOOSE(CONTROL!$C$42, 31, 31))/1000000</f>
        <v>0.43164089999999994</v>
      </c>
      <c r="X895" s="56">
        <f>(31*0.1790888*245000/1000000)+(31*0.2374*100000/1000000)</f>
        <v>2.0961194359999999</v>
      </c>
      <c r="Y895" s="56"/>
      <c r="Z895" s="14"/>
      <c r="AA895" s="55"/>
      <c r="AB895" s="49">
        <f>(B895*194.205+C895*267.466+D895*133.845+E895*53.484+F895*40+G895*185+H895*0+I895*100+J895*300)/(194.205+267.466+133.845+53.484+0+40+185+100+300)</f>
        <v>93.540605062715855</v>
      </c>
      <c r="AC895" s="45">
        <f>(M895*'RAP TEMPLATE-GAS AVAILABILITY'!O894+N895*'RAP TEMPLATE-GAS AVAILABILITY'!P894+O895*'RAP TEMPLATE-GAS AVAILABILITY'!Q894+P895*'RAP TEMPLATE-GAS AVAILABILITY'!R894)/('RAP TEMPLATE-GAS AVAILABILITY'!O894+'RAP TEMPLATE-GAS AVAILABILITY'!P894+'RAP TEMPLATE-GAS AVAILABILITY'!Q894+'RAP TEMPLATE-GAS AVAILABILITY'!R894)</f>
        <v>91.968685611510793</v>
      </c>
    </row>
    <row r="896" spans="1:29" ht="15.75" x14ac:dyDescent="0.25">
      <c r="A896" s="32">
        <v>68180</v>
      </c>
      <c r="B896" s="14">
        <f>CHOOSE(CONTROL!$C$42, 88.8476, 88.8476) * CHOOSE(CONTROL!$C$21, $C$9, 100%, $E$9)</f>
        <v>88.8476</v>
      </c>
      <c r="C896" s="14">
        <f>CHOOSE(CONTROL!$C$42, 88.8556, 88.8556) * CHOOSE(CONTROL!$C$21, $C$9, 100%, $E$9)</f>
        <v>88.855599999999995</v>
      </c>
      <c r="D896" s="14">
        <f>CHOOSE(CONTROL!$C$42, 89.1147, 89.1147) * CHOOSE(CONTROL!$C$21, $C$9, 100%, $E$9)</f>
        <v>89.114699999999999</v>
      </c>
      <c r="E896" s="14">
        <f>CHOOSE(CONTROL!$C$42, 89.1462, 89.1462) * CHOOSE(CONTROL!$C$21, $C$9, 100%, $E$9)</f>
        <v>89.146199999999993</v>
      </c>
      <c r="F896" s="14">
        <f>CHOOSE(CONTROL!$C$42, 88.87, 88.87)*CHOOSE(CONTROL!$C$21, $C$9, 100%, $E$9)</f>
        <v>88.87</v>
      </c>
      <c r="G896" s="14">
        <f>CHOOSE(CONTROL!$C$42, 88.8872, 88.8872)*CHOOSE(CONTROL!$C$21, $C$9, 100%, $E$9)</f>
        <v>88.887200000000007</v>
      </c>
      <c r="H896" s="14">
        <f>CHOOSE(CONTROL!$C$42, 89.1348, 89.1348) * CHOOSE(CONTROL!$C$21, $C$9, 100%, $E$9)</f>
        <v>89.134799999999998</v>
      </c>
      <c r="I896" s="14">
        <f>CHOOSE(CONTROL!$C$42, 89.147, 89.147)* CHOOSE(CONTROL!$C$21, $C$9, 100%, $E$9)</f>
        <v>89.147000000000006</v>
      </c>
      <c r="J896" s="14">
        <f>CHOOSE(CONTROL!$C$42, 88.863, 88.863)* CHOOSE(CONTROL!$C$21, $C$9, 100%, $E$9)</f>
        <v>88.863</v>
      </c>
      <c r="K896" s="52">
        <f>CHOOSE(CONTROL!$C$42, 89.1431, 89.1431) * CHOOSE(CONTROL!$C$21, $C$9, 100%, $E$9)</f>
        <v>89.143100000000004</v>
      </c>
      <c r="L896" s="14">
        <f>CHOOSE(CONTROL!$C$42, 89.7218, 89.7218) * CHOOSE(CONTROL!$C$21, $C$9, 100%, $E$9)</f>
        <v>89.721800000000002</v>
      </c>
      <c r="M896" s="14">
        <f>CHOOSE(CONTROL!$C$42, 87.2724, 87.2724) * CHOOSE(CONTROL!$C$21, $C$9, 100%, $E$9)</f>
        <v>87.272400000000005</v>
      </c>
      <c r="N896" s="14">
        <f>CHOOSE(CONTROL!$C$42, 87.2893, 87.2893) * CHOOSE(CONTROL!$C$21, $C$9, 100%, $E$9)</f>
        <v>87.289299999999997</v>
      </c>
      <c r="O896" s="14">
        <f>CHOOSE(CONTROL!$C$42, 87.5393, 87.5393) * CHOOSE(CONTROL!$C$21, $C$9, 100%, $E$9)</f>
        <v>87.539299999999997</v>
      </c>
      <c r="P896" s="14">
        <f>CHOOSE(CONTROL!$C$42, 87.5463, 87.5463) * CHOOSE(CONTROL!$C$21, $C$9, 100%, $E$9)</f>
        <v>87.546300000000002</v>
      </c>
      <c r="Q896" s="14">
        <f>CHOOSE(CONTROL!$C$42, 88.134, 88.134) * CHOOSE(CONTROL!$C$21, $C$9, 100%, $E$9)</f>
        <v>88.134</v>
      </c>
      <c r="R896" s="14">
        <f>CHOOSE(CONTROL!$C$42, 88.9413, 88.9413) * CHOOSE(CONTROL!$C$21, $C$9, 100%, $E$9)</f>
        <v>88.941299999999998</v>
      </c>
      <c r="S896" s="14">
        <f>CHOOSE(CONTROL!$C$42, 85.363, 85.363) * CHOOSE(CONTROL!$C$21, $C$9, 100%, $E$9)</f>
        <v>85.363</v>
      </c>
      <c r="T89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96" s="56">
        <f>(1000*CHOOSE(CONTROL!$C$42, 695, 695)*CHOOSE(CONTROL!$C$42, 0.5599, 0.5599)*CHOOSE(CONTROL!$C$42, 31, 31))/1000000</f>
        <v>12.063045499999998</v>
      </c>
      <c r="V896" s="56">
        <f>(1000*CHOOSE(CONTROL!$C$42, 500, 500)*CHOOSE(CONTROL!$C$42, 0.275, 0.275)*CHOOSE(CONTROL!$C$42, 31, 31))/1000000</f>
        <v>4.2625000000000002</v>
      </c>
      <c r="W896" s="56">
        <f>(1000*CHOOSE(CONTROL!$C$42, 0.1146, 0.1146)*CHOOSE(CONTROL!$C$42, 121.5, 121.5)*CHOOSE(CONTROL!$C$42, 31, 31))/1000000</f>
        <v>0.43164089999999994</v>
      </c>
      <c r="X896" s="56">
        <f>(31*0.1790888*245000/1000000)+(31*0.2374*100000/1000000)</f>
        <v>2.0961194359999999</v>
      </c>
      <c r="Y896" s="56"/>
      <c r="Z896" s="14"/>
      <c r="AA896" s="55"/>
      <c r="AB896" s="49">
        <f>(B896*194.205+C896*267.466+D896*133.845+E896*53.484+F896*40+G896*185+H896*0+I896*100+J896*300)/(194.205+267.466+133.845+53.484+0+40+185+100+300)</f>
        <v>88.923457182025103</v>
      </c>
      <c r="AC896" s="45">
        <f>(M896*'RAP TEMPLATE-GAS AVAILABILITY'!O895+N896*'RAP TEMPLATE-GAS AVAILABILITY'!P895+O896*'RAP TEMPLATE-GAS AVAILABILITY'!Q895+P896*'RAP TEMPLATE-GAS AVAILABILITY'!R895)/('RAP TEMPLATE-GAS AVAILABILITY'!O895+'RAP TEMPLATE-GAS AVAILABILITY'!P895+'RAP TEMPLATE-GAS AVAILABILITY'!Q895+'RAP TEMPLATE-GAS AVAILABILITY'!R895)</f>
        <v>87.433751798561161</v>
      </c>
    </row>
    <row r="897" spans="1:29" ht="15.75" x14ac:dyDescent="0.25">
      <c r="A897" s="32">
        <v>68210</v>
      </c>
      <c r="B897" s="14">
        <f>CHOOSE(CONTROL!$C$42, 83.2074, 83.2074) * CHOOSE(CONTROL!$C$21, $C$9, 100%, $E$9)</f>
        <v>83.207400000000007</v>
      </c>
      <c r="C897" s="14">
        <f>CHOOSE(CONTROL!$C$42, 83.2154, 83.2154) * CHOOSE(CONTROL!$C$21, $C$9, 100%, $E$9)</f>
        <v>83.215400000000002</v>
      </c>
      <c r="D897" s="14">
        <f>CHOOSE(CONTROL!$C$42, 83.4745, 83.4745) * CHOOSE(CONTROL!$C$21, $C$9, 100%, $E$9)</f>
        <v>83.474500000000006</v>
      </c>
      <c r="E897" s="14">
        <f>CHOOSE(CONTROL!$C$42, 83.506, 83.506) * CHOOSE(CONTROL!$C$21, $C$9, 100%, $E$9)</f>
        <v>83.506</v>
      </c>
      <c r="F897" s="14">
        <f>CHOOSE(CONTROL!$C$42, 83.2299, 83.2299)*CHOOSE(CONTROL!$C$21, $C$9, 100%, $E$9)</f>
        <v>83.229900000000001</v>
      </c>
      <c r="G897" s="14">
        <f>CHOOSE(CONTROL!$C$42, 83.2471, 83.2471)*CHOOSE(CONTROL!$C$21, $C$9, 100%, $E$9)</f>
        <v>83.247100000000003</v>
      </c>
      <c r="H897" s="14">
        <f>CHOOSE(CONTROL!$C$42, 83.4946, 83.4946) * CHOOSE(CONTROL!$C$21, $C$9, 100%, $E$9)</f>
        <v>83.494600000000005</v>
      </c>
      <c r="I897" s="14">
        <f>CHOOSE(CONTROL!$C$42, 83.4891, 83.4891)* CHOOSE(CONTROL!$C$21, $C$9, 100%, $E$9)</f>
        <v>83.489099999999993</v>
      </c>
      <c r="J897" s="14">
        <f>CHOOSE(CONTROL!$C$42, 83.2229, 83.2229)* CHOOSE(CONTROL!$C$21, $C$9, 100%, $E$9)</f>
        <v>83.222899999999996</v>
      </c>
      <c r="K897" s="52">
        <f>CHOOSE(CONTROL!$C$42, 83.4852, 83.4852) * CHOOSE(CONTROL!$C$21, $C$9, 100%, $E$9)</f>
        <v>83.485200000000006</v>
      </c>
      <c r="L897" s="14">
        <f>CHOOSE(CONTROL!$C$42, 84.0816, 84.0816) * CHOOSE(CONTROL!$C$21, $C$9, 100%, $E$9)</f>
        <v>84.081599999999995</v>
      </c>
      <c r="M897" s="14">
        <f>CHOOSE(CONTROL!$C$42, 81.7337, 81.7337) * CHOOSE(CONTROL!$C$21, $C$9, 100%, $E$9)</f>
        <v>81.733699999999999</v>
      </c>
      <c r="N897" s="14">
        <f>CHOOSE(CONTROL!$C$42, 81.7506, 81.7506) * CHOOSE(CONTROL!$C$21, $C$9, 100%, $E$9)</f>
        <v>81.750600000000006</v>
      </c>
      <c r="O897" s="14">
        <f>CHOOSE(CONTROL!$C$42, 82.0005, 82.0005) * CHOOSE(CONTROL!$C$21, $C$9, 100%, $E$9)</f>
        <v>82.000500000000002</v>
      </c>
      <c r="P897" s="14">
        <f>CHOOSE(CONTROL!$C$42, 81.9905, 81.9905) * CHOOSE(CONTROL!$C$21, $C$9, 100%, $E$9)</f>
        <v>81.990499999999997</v>
      </c>
      <c r="Q897" s="14">
        <f>CHOOSE(CONTROL!$C$42, 82.5952, 82.5952) * CHOOSE(CONTROL!$C$21, $C$9, 100%, $E$9)</f>
        <v>82.595200000000006</v>
      </c>
      <c r="R897" s="14">
        <f>CHOOSE(CONTROL!$C$42, 83.3887, 83.3887) * CHOOSE(CONTROL!$C$21, $C$9, 100%, $E$9)</f>
        <v>83.3887</v>
      </c>
      <c r="S897" s="14">
        <f>CHOOSE(CONTROL!$C$42, 79.9433, 79.9433) * CHOOSE(CONTROL!$C$21, $C$9, 100%, $E$9)</f>
        <v>79.943299999999994</v>
      </c>
      <c r="T89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97" s="56">
        <f>(1000*CHOOSE(CONTROL!$C$42, 695, 695)*CHOOSE(CONTROL!$C$42, 0.5599, 0.5599)*CHOOSE(CONTROL!$C$42, 30, 30))/1000000</f>
        <v>11.673914999999997</v>
      </c>
      <c r="V897" s="56">
        <f>(1000*CHOOSE(CONTROL!$C$42, 500, 500)*CHOOSE(CONTROL!$C$42, 0.275, 0.275)*CHOOSE(CONTROL!$C$42, 30, 30))/1000000</f>
        <v>4.125</v>
      </c>
      <c r="W897" s="56">
        <f>(1000*CHOOSE(CONTROL!$C$42, 0.1146, 0.1146)*CHOOSE(CONTROL!$C$42, 121.5, 121.5)*CHOOSE(CONTROL!$C$42, 30, 30))/1000000</f>
        <v>0.417717</v>
      </c>
      <c r="X897" s="56">
        <f>(30*0.1790888*245000/1000000)+(30*0.2374*100000/1000000)</f>
        <v>2.0285026799999999</v>
      </c>
      <c r="Y897" s="56"/>
      <c r="Z897" s="14"/>
      <c r="AA897" s="55"/>
      <c r="AB897" s="49">
        <f>(B897*194.205+C897*267.466+D897*133.845+E897*53.484+F897*40+G897*185+H897*0+I897*100+J897*300)/(194.205+267.466+133.845+53.484+0+40+185+100+300)</f>
        <v>83.281909065855572</v>
      </c>
      <c r="AC897" s="45">
        <f>(M897*'RAP TEMPLATE-GAS AVAILABILITY'!O896+N897*'RAP TEMPLATE-GAS AVAILABILITY'!P896+O897*'RAP TEMPLATE-GAS AVAILABILITY'!Q896+P897*'RAP TEMPLATE-GAS AVAILABILITY'!R896)/('RAP TEMPLATE-GAS AVAILABILITY'!O896+'RAP TEMPLATE-GAS AVAILABILITY'!P896+'RAP TEMPLATE-GAS AVAILABILITY'!Q896+'RAP TEMPLATE-GAS AVAILABILITY'!R896)</f>
        <v>81.892546043165467</v>
      </c>
    </row>
    <row r="898" spans="1:29" ht="15.75" x14ac:dyDescent="0.25">
      <c r="A898" s="32">
        <v>68241</v>
      </c>
      <c r="B898" s="14">
        <f>CHOOSE(CONTROL!$C$42, 81.5164, 81.5164) * CHOOSE(CONTROL!$C$21, $C$9, 100%, $E$9)</f>
        <v>81.516400000000004</v>
      </c>
      <c r="C898" s="14">
        <f>CHOOSE(CONTROL!$C$42, 81.5217, 81.5217) * CHOOSE(CONTROL!$C$21, $C$9, 100%, $E$9)</f>
        <v>81.521699999999996</v>
      </c>
      <c r="D898" s="14">
        <f>CHOOSE(CONTROL!$C$42, 81.7858, 81.7858) * CHOOSE(CONTROL!$C$21, $C$9, 100%, $E$9)</f>
        <v>81.785799999999995</v>
      </c>
      <c r="E898" s="14">
        <f>CHOOSE(CONTROL!$C$42, 81.8149, 81.8149) * CHOOSE(CONTROL!$C$21, $C$9, 100%, $E$9)</f>
        <v>81.814899999999994</v>
      </c>
      <c r="F898" s="14">
        <f>CHOOSE(CONTROL!$C$42, 81.5411, 81.5411)*CHOOSE(CONTROL!$C$21, $C$9, 100%, $E$9)</f>
        <v>81.5411</v>
      </c>
      <c r="G898" s="14">
        <f>CHOOSE(CONTROL!$C$42, 81.5582, 81.5582)*CHOOSE(CONTROL!$C$21, $C$9, 100%, $E$9)</f>
        <v>81.558199999999999</v>
      </c>
      <c r="H898" s="14">
        <f>CHOOSE(CONTROL!$C$42, 81.8054, 81.8054) * CHOOSE(CONTROL!$C$21, $C$9, 100%, $E$9)</f>
        <v>81.805400000000006</v>
      </c>
      <c r="I898" s="14">
        <f>CHOOSE(CONTROL!$C$42, 81.7946, 81.7946)* CHOOSE(CONTROL!$C$21, $C$9, 100%, $E$9)</f>
        <v>81.794600000000003</v>
      </c>
      <c r="J898" s="14">
        <f>CHOOSE(CONTROL!$C$42, 81.5341, 81.5341)* CHOOSE(CONTROL!$C$21, $C$9, 100%, $E$9)</f>
        <v>81.534099999999995</v>
      </c>
      <c r="K898" s="52">
        <f>CHOOSE(CONTROL!$C$42, 81.7907, 81.7907) * CHOOSE(CONTROL!$C$21, $C$9, 100%, $E$9)</f>
        <v>81.790700000000001</v>
      </c>
      <c r="L898" s="14">
        <f>CHOOSE(CONTROL!$C$42, 82.3924, 82.3924) * CHOOSE(CONTROL!$C$21, $C$9, 100%, $E$9)</f>
        <v>82.392399999999995</v>
      </c>
      <c r="M898" s="14">
        <f>CHOOSE(CONTROL!$C$42, 80.0752, 80.0752) * CHOOSE(CONTROL!$C$21, $C$9, 100%, $E$9)</f>
        <v>80.075199999999995</v>
      </c>
      <c r="N898" s="14">
        <f>CHOOSE(CONTROL!$C$42, 80.092, 80.092) * CHOOSE(CONTROL!$C$21, $C$9, 100%, $E$9)</f>
        <v>80.091999999999999</v>
      </c>
      <c r="O898" s="14">
        <f>CHOOSE(CONTROL!$C$42, 80.3417, 80.3417) * CHOOSE(CONTROL!$C$21, $C$9, 100%, $E$9)</f>
        <v>80.341700000000003</v>
      </c>
      <c r="P898" s="14">
        <f>CHOOSE(CONTROL!$C$42, 80.3266, 80.3266) * CHOOSE(CONTROL!$C$21, $C$9, 100%, $E$9)</f>
        <v>80.326599999999999</v>
      </c>
      <c r="Q898" s="14">
        <f>CHOOSE(CONTROL!$C$42, 80.9364, 80.9364) * CHOOSE(CONTROL!$C$21, $C$9, 100%, $E$9)</f>
        <v>80.936400000000006</v>
      </c>
      <c r="R898" s="14">
        <f>CHOOSE(CONTROL!$C$42, 81.7257, 81.7257) * CHOOSE(CONTROL!$C$21, $C$9, 100%, $E$9)</f>
        <v>81.725700000000003</v>
      </c>
      <c r="S898" s="14">
        <f>CHOOSE(CONTROL!$C$42, 78.3202, 78.3202) * CHOOSE(CONTROL!$C$21, $C$9, 100%, $E$9)</f>
        <v>78.3202</v>
      </c>
      <c r="T89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98" s="56">
        <f>(1000*CHOOSE(CONTROL!$C$42, 695, 695)*CHOOSE(CONTROL!$C$42, 0.5599, 0.5599)*CHOOSE(CONTROL!$C$42, 31, 31))/1000000</f>
        <v>12.063045499999998</v>
      </c>
      <c r="V898" s="56">
        <f>(1000*CHOOSE(CONTROL!$C$42, 500, 500)*CHOOSE(CONTROL!$C$42, 0.275, 0.275)*CHOOSE(CONTROL!$C$42, 31, 31))/1000000</f>
        <v>4.2625000000000002</v>
      </c>
      <c r="W898" s="56">
        <f>(1000*CHOOSE(CONTROL!$C$42, 0.1146, 0.1146)*CHOOSE(CONTROL!$C$42, 121.5, 121.5)*CHOOSE(CONTROL!$C$42, 31, 31))/1000000</f>
        <v>0.43164089999999994</v>
      </c>
      <c r="X898" s="56">
        <f>(31*0.1790888*245000/1000000)+(31*0.2374*100000/1000000)</f>
        <v>2.0961194359999999</v>
      </c>
      <c r="Y898" s="56"/>
      <c r="Z898" s="14"/>
      <c r="AA898" s="55"/>
      <c r="AB898" s="49">
        <f>(B898*131.881+C898*277.167+D898*79.08+E898*125.872+F898*40+G898*185+H898*0+I898*100+J898*300)/(131.881+277.167+79.08+125.872+0+40+185+100+300)</f>
        <v>81.598883397175129</v>
      </c>
      <c r="AC898" s="45">
        <f>(M898*'RAP TEMPLATE-GAS AVAILABILITY'!O897+N898*'RAP TEMPLATE-GAS AVAILABILITY'!P897+O898*'RAP TEMPLATE-GAS AVAILABILITY'!Q897+P898*'RAP TEMPLATE-GAS AVAILABILITY'!R897)/('RAP TEMPLATE-GAS AVAILABILITY'!O897+'RAP TEMPLATE-GAS AVAILABILITY'!P897+'RAP TEMPLATE-GAS AVAILABILITY'!Q897+'RAP TEMPLATE-GAS AVAILABILITY'!R897)</f>
        <v>80.233127338129492</v>
      </c>
    </row>
    <row r="899" spans="1:29" ht="15.75" x14ac:dyDescent="0.25">
      <c r="A899" s="32">
        <v>68271</v>
      </c>
      <c r="B899" s="14">
        <f>CHOOSE(CONTROL!$C$42, 83.6633, 83.6633) * CHOOSE(CONTROL!$C$21, $C$9, 100%, $E$9)</f>
        <v>83.663300000000007</v>
      </c>
      <c r="C899" s="14">
        <f>CHOOSE(CONTROL!$C$42, 83.6683, 83.6683) * CHOOSE(CONTROL!$C$21, $C$9, 100%, $E$9)</f>
        <v>83.668300000000002</v>
      </c>
      <c r="D899" s="14">
        <f>CHOOSE(CONTROL!$C$42, 83.7514, 83.7514) * CHOOSE(CONTROL!$C$21, $C$9, 100%, $E$9)</f>
        <v>83.751400000000004</v>
      </c>
      <c r="E899" s="14">
        <f>CHOOSE(CONTROL!$C$42, 83.7855, 83.7855) * CHOOSE(CONTROL!$C$21, $C$9, 100%, $E$9)</f>
        <v>83.785499999999999</v>
      </c>
      <c r="F899" s="14">
        <f>CHOOSE(CONTROL!$C$42, 83.6909, 83.6909)*CHOOSE(CONTROL!$C$21, $C$9, 100%, $E$9)</f>
        <v>83.690899999999999</v>
      </c>
      <c r="G899" s="14">
        <f>CHOOSE(CONTROL!$C$42, 83.7083, 83.7083)*CHOOSE(CONTROL!$C$21, $C$9, 100%, $E$9)</f>
        <v>83.708299999999994</v>
      </c>
      <c r="H899" s="14">
        <f>CHOOSE(CONTROL!$C$42, 83.7747, 83.7747) * CHOOSE(CONTROL!$C$21, $C$9, 100%, $E$9)</f>
        <v>83.774699999999996</v>
      </c>
      <c r="I899" s="14">
        <f>CHOOSE(CONTROL!$C$42, 83.9449, 83.9449)* CHOOSE(CONTROL!$C$21, $C$9, 100%, $E$9)</f>
        <v>83.944900000000004</v>
      </c>
      <c r="J899" s="14">
        <f>CHOOSE(CONTROL!$C$42, 83.6839, 83.6839)* CHOOSE(CONTROL!$C$21, $C$9, 100%, $E$9)</f>
        <v>83.683899999999994</v>
      </c>
      <c r="K899" s="52">
        <f>CHOOSE(CONTROL!$C$42, 83.941, 83.941) * CHOOSE(CONTROL!$C$21, $C$9, 100%, $E$9)</f>
        <v>83.941000000000003</v>
      </c>
      <c r="L899" s="14">
        <f>CHOOSE(CONTROL!$C$42, 84.3617, 84.3617) * CHOOSE(CONTROL!$C$21, $C$9, 100%, $E$9)</f>
        <v>84.361699999999999</v>
      </c>
      <c r="M899" s="14">
        <f>CHOOSE(CONTROL!$C$42, 82.1864, 82.1864) * CHOOSE(CONTROL!$C$21, $C$9, 100%, $E$9)</f>
        <v>82.186400000000006</v>
      </c>
      <c r="N899" s="14">
        <f>CHOOSE(CONTROL!$C$42, 82.2034, 82.2034) * CHOOSE(CONTROL!$C$21, $C$9, 100%, $E$9)</f>
        <v>82.203400000000002</v>
      </c>
      <c r="O899" s="14">
        <f>CHOOSE(CONTROL!$C$42, 82.2756, 82.2756) * CHOOSE(CONTROL!$C$21, $C$9, 100%, $E$9)</f>
        <v>82.275599999999997</v>
      </c>
      <c r="P899" s="14">
        <f>CHOOSE(CONTROL!$C$42, 82.4382, 82.4382) * CHOOSE(CONTROL!$C$21, $C$9, 100%, $E$9)</f>
        <v>82.438199999999995</v>
      </c>
      <c r="Q899" s="14">
        <f>CHOOSE(CONTROL!$C$42, 82.8703, 82.8703) * CHOOSE(CONTROL!$C$21, $C$9, 100%, $E$9)</f>
        <v>82.8703</v>
      </c>
      <c r="R899" s="14">
        <f>CHOOSE(CONTROL!$C$42, 83.6644, 83.6644) * CHOOSE(CONTROL!$C$21, $C$9, 100%, $E$9)</f>
        <v>83.664400000000001</v>
      </c>
      <c r="S899" s="14">
        <f>CHOOSE(CONTROL!$C$42, 80.3835, 80.3835) * CHOOSE(CONTROL!$C$21, $C$9, 100%, $E$9)</f>
        <v>80.383499999999998</v>
      </c>
      <c r="T89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99" s="56">
        <f>(1000*CHOOSE(CONTROL!$C$42, 695, 695)*CHOOSE(CONTROL!$C$42, 0.5599, 0.5599)*CHOOSE(CONTROL!$C$42, 30, 30))/1000000</f>
        <v>11.673914999999997</v>
      </c>
      <c r="V899" s="56">
        <f>(1000*CHOOSE(CONTROL!$C$42, 500, 500)*CHOOSE(CONTROL!$C$42, 0.275, 0.275)*CHOOSE(CONTROL!$C$42, 30, 30))/1000000</f>
        <v>4.125</v>
      </c>
      <c r="W899" s="56">
        <f>(1000*CHOOSE(CONTROL!$C$42, 0.1146, 0.1146)*CHOOSE(CONTROL!$C$42, 121.5, 121.5)*CHOOSE(CONTROL!$C$42, 30, 30))/1000000</f>
        <v>0.417717</v>
      </c>
      <c r="X899" s="56">
        <f>(30*0.1790888*100000/1000000)+(30*0.2374*100000/1000000)</f>
        <v>1.2494664</v>
      </c>
      <c r="Y899" s="56"/>
      <c r="Z899" s="14"/>
      <c r="AA899" s="55"/>
      <c r="AB899" s="49">
        <f>(B899*122.58+C899*297.941+D899*89.177+E899*40.302+F899*40+G899*160+H899*0+I899*100+J899*300)/(122.58+297.941+89.177+40.302+0+40+160+100+300)</f>
        <v>83.712791394000007</v>
      </c>
      <c r="AC899" s="45">
        <f>(M899*'RAP TEMPLATE-GAS AVAILABILITY'!O898+N899*'RAP TEMPLATE-GAS AVAILABILITY'!P898+O899*'RAP TEMPLATE-GAS AVAILABILITY'!Q898+P899*'RAP TEMPLATE-GAS AVAILABILITY'!R898)/('RAP TEMPLATE-GAS AVAILABILITY'!O898+'RAP TEMPLATE-GAS AVAILABILITY'!P898+'RAP TEMPLATE-GAS AVAILABILITY'!Q898+'RAP TEMPLATE-GAS AVAILABILITY'!R898)</f>
        <v>82.26403741007195</v>
      </c>
    </row>
    <row r="900" spans="1:29" ht="15.75" x14ac:dyDescent="0.25">
      <c r="A900" s="32">
        <v>68302</v>
      </c>
      <c r="B900" s="14">
        <f>CHOOSE(CONTROL!$C$42, 89.3667, 89.3667) * CHOOSE(CONTROL!$C$21, $C$9, 100%, $E$9)</f>
        <v>89.366699999999994</v>
      </c>
      <c r="C900" s="14">
        <f>CHOOSE(CONTROL!$C$42, 89.3718, 89.3718) * CHOOSE(CONTROL!$C$21, $C$9, 100%, $E$9)</f>
        <v>89.371799999999993</v>
      </c>
      <c r="D900" s="14">
        <f>CHOOSE(CONTROL!$C$42, 89.4549, 89.4549) * CHOOSE(CONTROL!$C$21, $C$9, 100%, $E$9)</f>
        <v>89.454899999999995</v>
      </c>
      <c r="E900" s="14">
        <f>CHOOSE(CONTROL!$C$42, 89.489, 89.489) * CHOOSE(CONTROL!$C$21, $C$9, 100%, $E$9)</f>
        <v>89.489000000000004</v>
      </c>
      <c r="F900" s="14">
        <f>CHOOSE(CONTROL!$C$42, 89.3968, 89.3968)*CHOOSE(CONTROL!$C$21, $C$9, 100%, $E$9)</f>
        <v>89.396799999999999</v>
      </c>
      <c r="G900" s="14">
        <f>CHOOSE(CONTROL!$C$42, 89.4148, 89.4148)*CHOOSE(CONTROL!$C$21, $C$9, 100%, $E$9)</f>
        <v>89.4148</v>
      </c>
      <c r="H900" s="14">
        <f>CHOOSE(CONTROL!$C$42, 89.4782, 89.4782) * CHOOSE(CONTROL!$C$21, $C$9, 100%, $E$9)</f>
        <v>89.478200000000001</v>
      </c>
      <c r="I900" s="14">
        <f>CHOOSE(CONTROL!$C$42, 89.6663, 89.6663)* CHOOSE(CONTROL!$C$21, $C$9, 100%, $E$9)</f>
        <v>89.666300000000007</v>
      </c>
      <c r="J900" s="14">
        <f>CHOOSE(CONTROL!$C$42, 89.3898, 89.3898)* CHOOSE(CONTROL!$C$21, $C$9, 100%, $E$9)</f>
        <v>89.389799999999994</v>
      </c>
      <c r="K900" s="52">
        <f>CHOOSE(CONTROL!$C$42, 89.6624, 89.6624) * CHOOSE(CONTROL!$C$21, $C$9, 100%, $E$9)</f>
        <v>89.662400000000005</v>
      </c>
      <c r="L900" s="14">
        <f>CHOOSE(CONTROL!$C$42, 90.0652, 90.0652) * CHOOSE(CONTROL!$C$21, $C$9, 100%, $E$9)</f>
        <v>90.065200000000004</v>
      </c>
      <c r="M900" s="14">
        <f>CHOOSE(CONTROL!$C$42, 87.7897, 87.7897) * CHOOSE(CONTROL!$C$21, $C$9, 100%, $E$9)</f>
        <v>87.789699999999996</v>
      </c>
      <c r="N900" s="14">
        <f>CHOOSE(CONTROL!$C$42, 87.8074, 87.8074) * CHOOSE(CONTROL!$C$21, $C$9, 100%, $E$9)</f>
        <v>87.807400000000001</v>
      </c>
      <c r="O900" s="14">
        <f>CHOOSE(CONTROL!$C$42, 87.8765, 87.8765) * CHOOSE(CONTROL!$C$21, $C$9, 100%, $E$9)</f>
        <v>87.876499999999993</v>
      </c>
      <c r="P900" s="14">
        <f>CHOOSE(CONTROL!$C$42, 88.0563, 88.0563) * CHOOSE(CONTROL!$C$21, $C$9, 100%, $E$9)</f>
        <v>88.056299999999993</v>
      </c>
      <c r="Q900" s="14">
        <f>CHOOSE(CONTROL!$C$42, 88.4712, 88.4712) * CHOOSE(CONTROL!$C$21, $C$9, 100%, $E$9)</f>
        <v>88.471199999999996</v>
      </c>
      <c r="R900" s="14">
        <f>CHOOSE(CONTROL!$C$42, 89.2793, 89.2793) * CHOOSE(CONTROL!$C$21, $C$9, 100%, $E$9)</f>
        <v>89.279300000000006</v>
      </c>
      <c r="S900" s="14">
        <f>CHOOSE(CONTROL!$C$42, 85.864, 85.864) * CHOOSE(CONTROL!$C$21, $C$9, 100%, $E$9)</f>
        <v>85.864000000000004</v>
      </c>
      <c r="T90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00" s="56">
        <f>(1000*CHOOSE(CONTROL!$C$42, 695, 695)*CHOOSE(CONTROL!$C$42, 0.5599, 0.5599)*CHOOSE(CONTROL!$C$42, 31, 31))/1000000</f>
        <v>12.063045499999998</v>
      </c>
      <c r="V900" s="56">
        <f>(1000*CHOOSE(CONTROL!$C$42, 500, 500)*CHOOSE(CONTROL!$C$42, 0.275, 0.275)*CHOOSE(CONTROL!$C$42, 31, 31))/1000000</f>
        <v>4.2625000000000002</v>
      </c>
      <c r="W900" s="56">
        <f>(1000*CHOOSE(CONTROL!$C$42, 0.1146, 0.1146)*CHOOSE(CONTROL!$C$42, 121.5, 121.5)*CHOOSE(CONTROL!$C$42, 31, 31))/1000000</f>
        <v>0.43164089999999994</v>
      </c>
      <c r="X900" s="56">
        <f>(31*0.1790888*100000/1000000)+(31*0.2374*100000/1000000)</f>
        <v>1.2911152800000001</v>
      </c>
      <c r="Y900" s="56"/>
      <c r="Z900" s="14"/>
      <c r="AA900" s="55"/>
      <c r="AB900" s="49">
        <f>(B900*122.58+C900*297.941+D900*89.177+E900*40.302+F900*40+G900*160+H900*0+I900*100+J900*300)/(122.58+297.941+89.177+40.302+0+40+160+100+300)</f>
        <v>89.418964213130437</v>
      </c>
      <c r="AC900" s="45">
        <f>(M900*'RAP TEMPLATE-GAS AVAILABILITY'!O899+N900*'RAP TEMPLATE-GAS AVAILABILITY'!P899+O900*'RAP TEMPLATE-GAS AVAILABILITY'!Q899+P900*'RAP TEMPLATE-GAS AVAILABILITY'!R899)/('RAP TEMPLATE-GAS AVAILABILITY'!O899+'RAP TEMPLATE-GAS AVAILABILITY'!P899+'RAP TEMPLATE-GAS AVAILABILITY'!Q899+'RAP TEMPLATE-GAS AVAILABILITY'!R899)</f>
        <v>87.868419424460427</v>
      </c>
    </row>
    <row r="901" spans="1:29" ht="15.75" x14ac:dyDescent="0.25">
      <c r="A901" s="32">
        <v>68333</v>
      </c>
      <c r="B901" s="14">
        <f>CHOOSE(CONTROL!$C$42, 96.7745, 96.7745) * CHOOSE(CONTROL!$C$21, $C$9, 100%, $E$9)</f>
        <v>96.774500000000003</v>
      </c>
      <c r="C901" s="14">
        <f>CHOOSE(CONTROL!$C$42, 96.7796, 96.7796) * CHOOSE(CONTROL!$C$21, $C$9, 100%, $E$9)</f>
        <v>96.779600000000002</v>
      </c>
      <c r="D901" s="14">
        <f>CHOOSE(CONTROL!$C$42, 96.8731, 96.8731) * CHOOSE(CONTROL!$C$21, $C$9, 100%, $E$9)</f>
        <v>96.873099999999994</v>
      </c>
      <c r="E901" s="14">
        <f>CHOOSE(CONTROL!$C$42, 96.9072, 96.9072) * CHOOSE(CONTROL!$C$21, $C$9, 100%, $E$9)</f>
        <v>96.907200000000003</v>
      </c>
      <c r="F901" s="14">
        <f>CHOOSE(CONTROL!$C$42, 96.8018, 96.8018)*CHOOSE(CONTROL!$C$21, $C$9, 100%, $E$9)</f>
        <v>96.8018</v>
      </c>
      <c r="G901" s="14">
        <f>CHOOSE(CONTROL!$C$42, 96.8198, 96.8198)*CHOOSE(CONTROL!$C$21, $C$9, 100%, $E$9)</f>
        <v>96.819800000000001</v>
      </c>
      <c r="H901" s="14">
        <f>CHOOSE(CONTROL!$C$42, 96.8964, 96.8964) * CHOOSE(CONTROL!$C$21, $C$9, 100%, $E$9)</f>
        <v>96.8964</v>
      </c>
      <c r="I901" s="14">
        <f>CHOOSE(CONTROL!$C$42, 97.1035, 97.1035)* CHOOSE(CONTROL!$C$21, $C$9, 100%, $E$9)</f>
        <v>97.103499999999997</v>
      </c>
      <c r="J901" s="14">
        <f>CHOOSE(CONTROL!$C$42, 96.7948, 96.7948)* CHOOSE(CONTROL!$C$21, $C$9, 100%, $E$9)</f>
        <v>96.794799999999995</v>
      </c>
      <c r="K901" s="52">
        <f>CHOOSE(CONTROL!$C$42, 97.0996, 97.0996) * CHOOSE(CONTROL!$C$21, $C$9, 100%, $E$9)</f>
        <v>97.099599999999995</v>
      </c>
      <c r="L901" s="14">
        <f>CHOOSE(CONTROL!$C$42, 97.4834, 97.4834) * CHOOSE(CONTROL!$C$21, $C$9, 100%, $E$9)</f>
        <v>97.483400000000003</v>
      </c>
      <c r="M901" s="14">
        <f>CHOOSE(CONTROL!$C$42, 95.0615, 95.0615) * CHOOSE(CONTROL!$C$21, $C$9, 100%, $E$9)</f>
        <v>95.061499999999995</v>
      </c>
      <c r="N901" s="14">
        <f>CHOOSE(CONTROL!$C$42, 95.0791, 95.0791) * CHOOSE(CONTROL!$C$21, $C$9, 100%, $E$9)</f>
        <v>95.079099999999997</v>
      </c>
      <c r="O901" s="14">
        <f>CHOOSE(CONTROL!$C$42, 95.1612, 95.1612) * CHOOSE(CONTROL!$C$21, $C$9, 100%, $E$9)</f>
        <v>95.161199999999994</v>
      </c>
      <c r="P901" s="14">
        <f>CHOOSE(CONTROL!$C$42, 95.3593, 95.3593) * CHOOSE(CONTROL!$C$21, $C$9, 100%, $E$9)</f>
        <v>95.359300000000005</v>
      </c>
      <c r="Q901" s="14">
        <f>CHOOSE(CONTROL!$C$42, 95.7559, 95.7559) * CHOOSE(CONTROL!$C$21, $C$9, 100%, $E$9)</f>
        <v>95.755899999999997</v>
      </c>
      <c r="R901" s="14">
        <f>CHOOSE(CONTROL!$C$42, 96.5823, 96.5823) * CHOOSE(CONTROL!$C$21, $C$9, 100%, $E$9)</f>
        <v>96.582300000000004</v>
      </c>
      <c r="S901" s="14">
        <f>CHOOSE(CONTROL!$C$42, 92.9821, 92.9821) * CHOOSE(CONTROL!$C$21, $C$9, 100%, $E$9)</f>
        <v>92.982100000000003</v>
      </c>
      <c r="T90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01" s="56">
        <f>(1000*CHOOSE(CONTROL!$C$42, 695, 695)*CHOOSE(CONTROL!$C$42, 0.5599, 0.5599)*CHOOSE(CONTROL!$C$42, 31, 31))/1000000</f>
        <v>12.063045499999998</v>
      </c>
      <c r="V901" s="56">
        <f>(1000*CHOOSE(CONTROL!$C$42, 500, 500)*CHOOSE(CONTROL!$C$42, 0.275, 0.275)*CHOOSE(CONTROL!$C$42, 31, 31))/1000000</f>
        <v>4.2625000000000002</v>
      </c>
      <c r="W901" s="56">
        <f>(1000*CHOOSE(CONTROL!$C$42, 0.1146, 0.1146)*CHOOSE(CONTROL!$C$42, 121.5, 121.5)*CHOOSE(CONTROL!$C$42, 31, 31))/1000000</f>
        <v>0.43164089999999994</v>
      </c>
      <c r="X901" s="56">
        <f>(31*0.1790888*100000/1000000)+(31*0.2374*100000/1000000)</f>
        <v>1.2911152800000001</v>
      </c>
      <c r="Y901" s="56"/>
      <c r="Z901" s="14"/>
      <c r="AA901" s="55"/>
      <c r="AB901" s="49">
        <f>(B901*122.58+C901*297.941+D901*89.177+E901*40.302+F901*40+G901*160+H901*0+I901*100+J901*300)/(122.58+297.941+89.177+40.302+0+40+160+100+300)</f>
        <v>96.829274284086949</v>
      </c>
      <c r="AC901" s="45">
        <f>(M901*'RAP TEMPLATE-GAS AVAILABILITY'!O900+N901*'RAP TEMPLATE-GAS AVAILABILITY'!P900+O901*'RAP TEMPLATE-GAS AVAILABILITY'!Q900+P901*'RAP TEMPLATE-GAS AVAILABILITY'!R900)/('RAP TEMPLATE-GAS AVAILABILITY'!O900+'RAP TEMPLATE-GAS AVAILABILITY'!P900+'RAP TEMPLATE-GAS AVAILABILITY'!Q900+'RAP TEMPLATE-GAS AVAILABILITY'!R900)</f>
        <v>95.150549640287764</v>
      </c>
    </row>
    <row r="902" spans="1:29" ht="15.75" x14ac:dyDescent="0.25">
      <c r="A902" s="32">
        <v>68361</v>
      </c>
      <c r="B902" s="14">
        <f>CHOOSE(CONTROL!$C$42, 98.4971, 98.4971) * CHOOSE(CONTROL!$C$21, $C$9, 100%, $E$9)</f>
        <v>98.497100000000003</v>
      </c>
      <c r="C902" s="14">
        <f>CHOOSE(CONTROL!$C$42, 98.5022, 98.5022) * CHOOSE(CONTROL!$C$21, $C$9, 100%, $E$9)</f>
        <v>98.502200000000002</v>
      </c>
      <c r="D902" s="14">
        <f>CHOOSE(CONTROL!$C$42, 98.5956, 98.5956) * CHOOSE(CONTROL!$C$21, $C$9, 100%, $E$9)</f>
        <v>98.595600000000005</v>
      </c>
      <c r="E902" s="14">
        <f>CHOOSE(CONTROL!$C$42, 98.6297, 98.6297) * CHOOSE(CONTROL!$C$21, $C$9, 100%, $E$9)</f>
        <v>98.6297</v>
      </c>
      <c r="F902" s="14">
        <f>CHOOSE(CONTROL!$C$42, 98.524, 98.524)*CHOOSE(CONTROL!$C$21, $C$9, 100%, $E$9)</f>
        <v>98.524000000000001</v>
      </c>
      <c r="G902" s="14">
        <f>CHOOSE(CONTROL!$C$42, 98.5419, 98.5419)*CHOOSE(CONTROL!$C$21, $C$9, 100%, $E$9)</f>
        <v>98.541899999999998</v>
      </c>
      <c r="H902" s="14">
        <f>CHOOSE(CONTROL!$C$42, 98.6189, 98.6189) * CHOOSE(CONTROL!$C$21, $C$9, 100%, $E$9)</f>
        <v>98.618899999999996</v>
      </c>
      <c r="I902" s="14">
        <f>CHOOSE(CONTROL!$C$42, 98.8315, 98.8315)* CHOOSE(CONTROL!$C$21, $C$9, 100%, $E$9)</f>
        <v>98.831500000000005</v>
      </c>
      <c r="J902" s="14">
        <f>CHOOSE(CONTROL!$C$42, 98.517, 98.517)* CHOOSE(CONTROL!$C$21, $C$9, 100%, $E$9)</f>
        <v>98.516999999999996</v>
      </c>
      <c r="K902" s="52">
        <f>CHOOSE(CONTROL!$C$42, 98.8276, 98.8276) * CHOOSE(CONTROL!$C$21, $C$9, 100%, $E$9)</f>
        <v>98.827600000000004</v>
      </c>
      <c r="L902" s="14">
        <f>CHOOSE(CONTROL!$C$42, 99.2059, 99.2059) * CHOOSE(CONTROL!$C$21, $C$9, 100%, $E$9)</f>
        <v>99.2059</v>
      </c>
      <c r="M902" s="14">
        <f>CHOOSE(CONTROL!$C$42, 96.7527, 96.7527) * CHOOSE(CONTROL!$C$21, $C$9, 100%, $E$9)</f>
        <v>96.752700000000004</v>
      </c>
      <c r="N902" s="14">
        <f>CHOOSE(CONTROL!$C$42, 96.7703, 96.7703) * CHOOSE(CONTROL!$C$21, $C$9, 100%, $E$9)</f>
        <v>96.770300000000006</v>
      </c>
      <c r="O902" s="14">
        <f>CHOOSE(CONTROL!$C$42, 96.8528, 96.8528) * CHOOSE(CONTROL!$C$21, $C$9, 100%, $E$9)</f>
        <v>96.852800000000002</v>
      </c>
      <c r="P902" s="14">
        <f>CHOOSE(CONTROL!$C$42, 97.0561, 97.0561) * CHOOSE(CONTROL!$C$21, $C$9, 100%, $E$9)</f>
        <v>97.056100000000001</v>
      </c>
      <c r="Q902" s="14">
        <f>CHOOSE(CONTROL!$C$42, 97.4475, 97.4475) * CHOOSE(CONTROL!$C$21, $C$9, 100%, $E$9)</f>
        <v>97.447500000000005</v>
      </c>
      <c r="R902" s="14">
        <f>CHOOSE(CONTROL!$C$42, 98.2781, 98.2781) * CHOOSE(CONTROL!$C$21, $C$9, 100%, $E$9)</f>
        <v>98.278099999999995</v>
      </c>
      <c r="S902" s="14">
        <f>CHOOSE(CONTROL!$C$42, 94.6373, 94.6373) * CHOOSE(CONTROL!$C$21, $C$9, 100%, $E$9)</f>
        <v>94.637299999999996</v>
      </c>
      <c r="T90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902" s="56">
        <f>(1000*CHOOSE(CONTROL!$C$42, 695, 695)*CHOOSE(CONTROL!$C$42, 0.5599, 0.5599)*CHOOSE(CONTROL!$C$42, 28, 28))/1000000</f>
        <v>10.895653999999999</v>
      </c>
      <c r="V902" s="56">
        <f>(1000*CHOOSE(CONTROL!$C$42, 500, 500)*CHOOSE(CONTROL!$C$42, 0.275, 0.275)*CHOOSE(CONTROL!$C$42, 28, 28))/1000000</f>
        <v>3.85</v>
      </c>
      <c r="W902" s="56">
        <f>(1000*CHOOSE(CONTROL!$C$42, 0.1146, 0.1146)*CHOOSE(CONTROL!$C$42, 121.5, 121.5)*CHOOSE(CONTROL!$C$42, 28, 28))/1000000</f>
        <v>0.38986920000000003</v>
      </c>
      <c r="X902" s="56">
        <f>(28*0.1790888*100000/1000000)+(28*0.2374*100000/1000000)</f>
        <v>1.16616864</v>
      </c>
      <c r="Y902" s="56"/>
      <c r="Z902" s="14"/>
      <c r="AA902" s="55"/>
      <c r="AB902" s="49">
        <f>(B902*122.58+C902*297.941+D902*89.177+E902*40.302+F902*40+G902*160+H902*0+I902*100+J902*300)/(122.58+297.941+89.177+40.302+0+40+160+100+300)</f>
        <v>98.552144764173931</v>
      </c>
      <c r="AC902" s="45">
        <f>(M902*'RAP TEMPLATE-GAS AVAILABILITY'!O901+N902*'RAP TEMPLATE-GAS AVAILABILITY'!P901+O902*'RAP TEMPLATE-GAS AVAILABILITY'!Q901+P902*'RAP TEMPLATE-GAS AVAILABILITY'!R901)/('RAP TEMPLATE-GAS AVAILABILITY'!O901+'RAP TEMPLATE-GAS AVAILABILITY'!P901+'RAP TEMPLATE-GAS AVAILABILITY'!Q901+'RAP TEMPLATE-GAS AVAILABILITY'!R901)</f>
        <v>96.842736690647484</v>
      </c>
    </row>
    <row r="903" spans="1:29" ht="15.75" x14ac:dyDescent="0.25">
      <c r="A903" s="32">
        <v>68392</v>
      </c>
      <c r="B903" s="14">
        <f>CHOOSE(CONTROL!$C$42, 95.701, 95.701) * CHOOSE(CONTROL!$C$21, $C$9, 100%, $E$9)</f>
        <v>95.700999999999993</v>
      </c>
      <c r="C903" s="14">
        <f>CHOOSE(CONTROL!$C$42, 95.706, 95.706) * CHOOSE(CONTROL!$C$21, $C$9, 100%, $E$9)</f>
        <v>95.706000000000003</v>
      </c>
      <c r="D903" s="14">
        <f>CHOOSE(CONTROL!$C$42, 95.7995, 95.7995) * CHOOSE(CONTROL!$C$21, $C$9, 100%, $E$9)</f>
        <v>95.799499999999995</v>
      </c>
      <c r="E903" s="14">
        <f>CHOOSE(CONTROL!$C$42, 95.8336, 95.8336) * CHOOSE(CONTROL!$C$21, $C$9, 100%, $E$9)</f>
        <v>95.833600000000004</v>
      </c>
      <c r="F903" s="14">
        <f>CHOOSE(CONTROL!$C$42, 95.727, 95.727)*CHOOSE(CONTROL!$C$21, $C$9, 100%, $E$9)</f>
        <v>95.727000000000004</v>
      </c>
      <c r="G903" s="14">
        <f>CHOOSE(CONTROL!$C$42, 95.7447, 95.7447)*CHOOSE(CONTROL!$C$21, $C$9, 100%, $E$9)</f>
        <v>95.744699999999995</v>
      </c>
      <c r="H903" s="14">
        <f>CHOOSE(CONTROL!$C$42, 95.8228, 95.8228) * CHOOSE(CONTROL!$C$21, $C$9, 100%, $E$9)</f>
        <v>95.822800000000001</v>
      </c>
      <c r="I903" s="14">
        <f>CHOOSE(CONTROL!$C$42, 96.0266, 96.0266)* CHOOSE(CONTROL!$C$21, $C$9, 100%, $E$9)</f>
        <v>96.026600000000002</v>
      </c>
      <c r="J903" s="14">
        <f>CHOOSE(CONTROL!$C$42, 95.72, 95.72)* CHOOSE(CONTROL!$C$21, $C$9, 100%, $E$9)</f>
        <v>95.72</v>
      </c>
      <c r="K903" s="52">
        <f>CHOOSE(CONTROL!$C$42, 96.0227, 96.0227) * CHOOSE(CONTROL!$C$21, $C$9, 100%, $E$9)</f>
        <v>96.0227</v>
      </c>
      <c r="L903" s="14">
        <f>CHOOSE(CONTROL!$C$42, 96.4098, 96.4098) * CHOOSE(CONTROL!$C$21, $C$9, 100%, $E$9)</f>
        <v>96.409800000000004</v>
      </c>
      <c r="M903" s="14">
        <f>CHOOSE(CONTROL!$C$42, 94.006, 94.006) * CHOOSE(CONTROL!$C$21, $C$9, 100%, $E$9)</f>
        <v>94.006</v>
      </c>
      <c r="N903" s="14">
        <f>CHOOSE(CONTROL!$C$42, 94.0234, 94.0234) * CHOOSE(CONTROL!$C$21, $C$9, 100%, $E$9)</f>
        <v>94.023399999999995</v>
      </c>
      <c r="O903" s="14">
        <f>CHOOSE(CONTROL!$C$42, 94.107, 94.107) * CHOOSE(CONTROL!$C$21, $C$9, 100%, $E$9)</f>
        <v>94.106999999999999</v>
      </c>
      <c r="P903" s="14">
        <f>CHOOSE(CONTROL!$C$42, 94.3018, 94.3018) * CHOOSE(CONTROL!$C$21, $C$9, 100%, $E$9)</f>
        <v>94.3018</v>
      </c>
      <c r="Q903" s="14">
        <f>CHOOSE(CONTROL!$C$42, 94.7017, 94.7017) * CHOOSE(CONTROL!$C$21, $C$9, 100%, $E$9)</f>
        <v>94.701700000000002</v>
      </c>
      <c r="R903" s="14">
        <f>CHOOSE(CONTROL!$C$42, 95.5254, 95.5254) * CHOOSE(CONTROL!$C$21, $C$9, 100%, $E$9)</f>
        <v>95.525400000000005</v>
      </c>
      <c r="S903" s="14">
        <f>CHOOSE(CONTROL!$C$42, 91.9505, 91.9505) * CHOOSE(CONTROL!$C$21, $C$9, 100%, $E$9)</f>
        <v>91.950500000000005</v>
      </c>
      <c r="T90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03" s="56">
        <f>(1000*CHOOSE(CONTROL!$C$42, 695, 695)*CHOOSE(CONTROL!$C$42, 0.5599, 0.5599)*CHOOSE(CONTROL!$C$42, 31, 31))/1000000</f>
        <v>12.063045499999998</v>
      </c>
      <c r="V903" s="56">
        <f>(1000*CHOOSE(CONTROL!$C$42, 500, 500)*CHOOSE(CONTROL!$C$42, 0.275, 0.275)*CHOOSE(CONTROL!$C$42, 31, 31))/1000000</f>
        <v>4.2625000000000002</v>
      </c>
      <c r="W903" s="56">
        <f>(1000*CHOOSE(CONTROL!$C$42, 0.1146, 0.1146)*CHOOSE(CONTROL!$C$42, 121.5, 121.5)*CHOOSE(CONTROL!$C$42, 31, 31))/1000000</f>
        <v>0.43164089999999994</v>
      </c>
      <c r="X903" s="56">
        <f>(31*0.1790888*100000/1000000)+(31*0.2374*100000/1000000)</f>
        <v>1.2911152800000001</v>
      </c>
      <c r="Y903" s="56"/>
      <c r="Z903" s="14"/>
      <c r="AA903" s="55"/>
      <c r="AB903" s="49">
        <f>(B903*122.58+C903*297.941+D903*89.177+E903*40.302+F903*40+G903*160+H903*0+I903*100+J903*300)/(122.58+297.941+89.177+40.302+0+40+160+100+300)</f>
        <v>95.754834508434783</v>
      </c>
      <c r="AC903" s="45">
        <f>(M903*'RAP TEMPLATE-GAS AVAILABILITY'!O902+N903*'RAP TEMPLATE-GAS AVAILABILITY'!P902+O903*'RAP TEMPLATE-GAS AVAILABILITY'!Q902+P903*'RAP TEMPLATE-GAS AVAILABILITY'!R902)/('RAP TEMPLATE-GAS AVAILABILITY'!O902+'RAP TEMPLATE-GAS AVAILABILITY'!P902+'RAP TEMPLATE-GAS AVAILABILITY'!Q902+'RAP TEMPLATE-GAS AVAILABILITY'!R902)</f>
        <v>94.09533956834531</v>
      </c>
    </row>
    <row r="904" spans="1:29" ht="15.75" x14ac:dyDescent="0.25">
      <c r="A904" s="32">
        <v>68422</v>
      </c>
      <c r="B904" s="14">
        <f>CHOOSE(CONTROL!$C$42, 95.4154, 95.4154) * CHOOSE(CONTROL!$C$21, $C$9, 100%, $E$9)</f>
        <v>95.415400000000005</v>
      </c>
      <c r="C904" s="14">
        <f>CHOOSE(CONTROL!$C$42, 95.4199, 95.4199) * CHOOSE(CONTROL!$C$21, $C$9, 100%, $E$9)</f>
        <v>95.419899999999998</v>
      </c>
      <c r="D904" s="14">
        <f>CHOOSE(CONTROL!$C$42, 95.6822, 95.6822) * CHOOSE(CONTROL!$C$21, $C$9, 100%, $E$9)</f>
        <v>95.682199999999995</v>
      </c>
      <c r="E904" s="14">
        <f>CHOOSE(CONTROL!$C$42, 95.7143, 95.7143) * CHOOSE(CONTROL!$C$21, $C$9, 100%, $E$9)</f>
        <v>95.714299999999994</v>
      </c>
      <c r="F904" s="14">
        <f>CHOOSE(CONTROL!$C$42, 95.4383, 95.4383)*CHOOSE(CONTROL!$C$21, $C$9, 100%, $E$9)</f>
        <v>95.438299999999998</v>
      </c>
      <c r="G904" s="14">
        <f>CHOOSE(CONTROL!$C$42, 95.455, 95.455)*CHOOSE(CONTROL!$C$21, $C$9, 100%, $E$9)</f>
        <v>95.454999999999998</v>
      </c>
      <c r="H904" s="14">
        <f>CHOOSE(CONTROL!$C$42, 95.7041, 95.7041) * CHOOSE(CONTROL!$C$21, $C$9, 100%, $E$9)</f>
        <v>95.704099999999997</v>
      </c>
      <c r="I904" s="14">
        <f>CHOOSE(CONTROL!$C$42, 95.7368, 95.7368)* CHOOSE(CONTROL!$C$21, $C$9, 100%, $E$9)</f>
        <v>95.736800000000002</v>
      </c>
      <c r="J904" s="14">
        <f>CHOOSE(CONTROL!$C$42, 95.4313, 95.4313)* CHOOSE(CONTROL!$C$21, $C$9, 100%, $E$9)</f>
        <v>95.431299999999993</v>
      </c>
      <c r="K904" s="52">
        <f>CHOOSE(CONTROL!$C$42, 95.7329, 95.7329) * CHOOSE(CONTROL!$C$21, $C$9, 100%, $E$9)</f>
        <v>95.732900000000001</v>
      </c>
      <c r="L904" s="14">
        <f>CHOOSE(CONTROL!$C$42, 96.2911, 96.2911) * CHOOSE(CONTROL!$C$21, $C$9, 100%, $E$9)</f>
        <v>96.2911</v>
      </c>
      <c r="M904" s="14">
        <f>CHOOSE(CONTROL!$C$42, 93.7225, 93.7225) * CHOOSE(CONTROL!$C$21, $C$9, 100%, $E$9)</f>
        <v>93.722499999999997</v>
      </c>
      <c r="N904" s="14">
        <f>CHOOSE(CONTROL!$C$42, 93.7389, 93.7389) * CHOOSE(CONTROL!$C$21, $C$9, 100%, $E$9)</f>
        <v>93.738900000000001</v>
      </c>
      <c r="O904" s="14">
        <f>CHOOSE(CONTROL!$C$42, 93.9903, 93.9903) * CHOOSE(CONTROL!$C$21, $C$9, 100%, $E$9)</f>
        <v>93.990300000000005</v>
      </c>
      <c r="P904" s="14">
        <f>CHOOSE(CONTROL!$C$42, 94.0172, 94.0172) * CHOOSE(CONTROL!$C$21, $C$9, 100%, $E$9)</f>
        <v>94.017200000000003</v>
      </c>
      <c r="Q904" s="14">
        <f>CHOOSE(CONTROL!$C$42, 94.585, 94.585) * CHOOSE(CONTROL!$C$21, $C$9, 100%, $E$9)</f>
        <v>94.584999999999994</v>
      </c>
      <c r="R904" s="14">
        <f>CHOOSE(CONTROL!$C$42, 95.4085, 95.4085) * CHOOSE(CONTROL!$C$21, $C$9, 100%, $E$9)</f>
        <v>95.408500000000004</v>
      </c>
      <c r="S904" s="14">
        <f>CHOOSE(CONTROL!$C$42, 91.6754, 91.6754) * CHOOSE(CONTROL!$C$21, $C$9, 100%, $E$9)</f>
        <v>91.675399999999996</v>
      </c>
      <c r="T90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904" s="56">
        <f>(1000*CHOOSE(CONTROL!$C$42, 695, 695)*CHOOSE(CONTROL!$C$42, 0.5599, 0.5599)*CHOOSE(CONTROL!$C$42, 30, 30))/1000000</f>
        <v>11.673914999999997</v>
      </c>
      <c r="V904" s="56">
        <f>(1000*CHOOSE(CONTROL!$C$42, 500, 500)*CHOOSE(CONTROL!$C$42, 0.275, 0.275)*CHOOSE(CONTROL!$C$42, 30, 30))/1000000</f>
        <v>4.125</v>
      </c>
      <c r="W904" s="56">
        <f>(1000*CHOOSE(CONTROL!$C$42, 0.1146, 0.1146)*CHOOSE(CONTROL!$C$42, 121.5, 121.5)*CHOOSE(CONTROL!$C$42, 30, 30))/1000000</f>
        <v>0.417717</v>
      </c>
      <c r="X904" s="56">
        <f>(30*0.1790888*245000/1000000)+(30*0.2374*100000/1000000)</f>
        <v>2.0285026799999999</v>
      </c>
      <c r="Y904" s="56"/>
      <c r="Z904" s="14"/>
      <c r="AA904" s="55"/>
      <c r="AB904" s="49">
        <f>(B904*141.293+C904*267.993+D904*115.016+E904*89.698+F904*40+G904*185+H904*0+I904*100+J904*300)/(141.293+267.993+115.016+89.698+0+40+185+100+300)</f>
        <v>95.499221605730412</v>
      </c>
      <c r="AC904" s="45">
        <f>(M904*'RAP TEMPLATE-GAS AVAILABILITY'!O903+N904*'RAP TEMPLATE-GAS AVAILABILITY'!P903+O904*'RAP TEMPLATE-GAS AVAILABILITY'!Q903+P904*'RAP TEMPLATE-GAS AVAILABILITY'!R903)/('RAP TEMPLATE-GAS AVAILABILITY'!O903+'RAP TEMPLATE-GAS AVAILABILITY'!P903+'RAP TEMPLATE-GAS AVAILABILITY'!Q903+'RAP TEMPLATE-GAS AVAILABILITY'!R903)</f>
        <v>93.887223741007205</v>
      </c>
    </row>
    <row r="905" spans="1:29" ht="15.75" x14ac:dyDescent="0.25">
      <c r="A905" s="32">
        <v>68453</v>
      </c>
      <c r="B905" s="14">
        <f>CHOOSE(CONTROL!$C$42, 96.2589, 96.2589) * CHOOSE(CONTROL!$C$21, $C$9, 100%, $E$9)</f>
        <v>96.258899999999997</v>
      </c>
      <c r="C905" s="14">
        <f>CHOOSE(CONTROL!$C$42, 96.2669, 96.2669) * CHOOSE(CONTROL!$C$21, $C$9, 100%, $E$9)</f>
        <v>96.266900000000007</v>
      </c>
      <c r="D905" s="14">
        <f>CHOOSE(CONTROL!$C$42, 96.526, 96.526) * CHOOSE(CONTROL!$C$21, $C$9, 100%, $E$9)</f>
        <v>96.525999999999996</v>
      </c>
      <c r="E905" s="14">
        <f>CHOOSE(CONTROL!$C$42, 96.5575, 96.5575) * CHOOSE(CONTROL!$C$21, $C$9, 100%, $E$9)</f>
        <v>96.557500000000005</v>
      </c>
      <c r="F905" s="14">
        <f>CHOOSE(CONTROL!$C$42, 96.2804, 96.2804)*CHOOSE(CONTROL!$C$21, $C$9, 100%, $E$9)</f>
        <v>96.2804</v>
      </c>
      <c r="G905" s="14">
        <f>CHOOSE(CONTROL!$C$42, 96.2974, 96.2974)*CHOOSE(CONTROL!$C$21, $C$9, 100%, $E$9)</f>
        <v>96.297399999999996</v>
      </c>
      <c r="H905" s="14">
        <f>CHOOSE(CONTROL!$C$42, 96.5461, 96.5461) * CHOOSE(CONTROL!$C$21, $C$9, 100%, $E$9)</f>
        <v>96.546099999999996</v>
      </c>
      <c r="I905" s="14">
        <f>CHOOSE(CONTROL!$C$42, 96.5815, 96.5815)* CHOOSE(CONTROL!$C$21, $C$9, 100%, $E$9)</f>
        <v>96.581500000000005</v>
      </c>
      <c r="J905" s="14">
        <f>CHOOSE(CONTROL!$C$42, 96.2734, 96.2734)* CHOOSE(CONTROL!$C$21, $C$9, 100%, $E$9)</f>
        <v>96.273399999999995</v>
      </c>
      <c r="K905" s="52">
        <f>CHOOSE(CONTROL!$C$42, 96.5776, 96.5776) * CHOOSE(CONTROL!$C$21, $C$9, 100%, $E$9)</f>
        <v>96.577600000000004</v>
      </c>
      <c r="L905" s="14">
        <f>CHOOSE(CONTROL!$C$42, 97.1331, 97.1331) * CHOOSE(CONTROL!$C$21, $C$9, 100%, $E$9)</f>
        <v>97.133099999999999</v>
      </c>
      <c r="M905" s="14">
        <f>CHOOSE(CONTROL!$C$42, 94.5495, 94.5495) * CHOOSE(CONTROL!$C$21, $C$9, 100%, $E$9)</f>
        <v>94.549499999999995</v>
      </c>
      <c r="N905" s="14">
        <f>CHOOSE(CONTROL!$C$42, 94.5661, 94.5661) * CHOOSE(CONTROL!$C$21, $C$9, 100%, $E$9)</f>
        <v>94.566100000000006</v>
      </c>
      <c r="O905" s="14">
        <f>CHOOSE(CONTROL!$C$42, 94.8173, 94.8173) * CHOOSE(CONTROL!$C$21, $C$9, 100%, $E$9)</f>
        <v>94.817300000000003</v>
      </c>
      <c r="P905" s="14">
        <f>CHOOSE(CONTROL!$C$42, 94.8467, 94.8467) * CHOOSE(CONTROL!$C$21, $C$9, 100%, $E$9)</f>
        <v>94.846699999999998</v>
      </c>
      <c r="Q905" s="14">
        <f>CHOOSE(CONTROL!$C$42, 95.412, 95.412) * CHOOSE(CONTROL!$C$21, $C$9, 100%, $E$9)</f>
        <v>95.412000000000006</v>
      </c>
      <c r="R905" s="14">
        <f>CHOOSE(CONTROL!$C$42, 96.2375, 96.2375) * CHOOSE(CONTROL!$C$21, $C$9, 100%, $E$9)</f>
        <v>96.237499999999997</v>
      </c>
      <c r="S905" s="14">
        <f>CHOOSE(CONTROL!$C$42, 92.4845, 92.4845) * CHOOSE(CONTROL!$C$21, $C$9, 100%, $E$9)</f>
        <v>92.484499999999997</v>
      </c>
      <c r="T90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905" s="56">
        <f>(1000*CHOOSE(CONTROL!$C$42, 695, 695)*CHOOSE(CONTROL!$C$42, 0.5599, 0.5599)*CHOOSE(CONTROL!$C$42, 31, 31))/1000000</f>
        <v>12.063045499999998</v>
      </c>
      <c r="V905" s="56">
        <f>(1000*CHOOSE(CONTROL!$C$42, 500, 500)*CHOOSE(CONTROL!$C$42, 0.275, 0.275)*CHOOSE(CONTROL!$C$42, 31, 31))/1000000</f>
        <v>4.2625000000000002</v>
      </c>
      <c r="W905" s="56">
        <f>(1000*CHOOSE(CONTROL!$C$42, 0.1146, 0.1146)*CHOOSE(CONTROL!$C$42, 121.5, 121.5)*CHOOSE(CONTROL!$C$42, 31, 31))/1000000</f>
        <v>0.43164089999999994</v>
      </c>
      <c r="X905" s="56">
        <f>(31*0.1790888*245000/1000000)+(31*0.2374*100000/1000000)</f>
        <v>2.0961194359999999</v>
      </c>
      <c r="Y905" s="56"/>
      <c r="Z905" s="14"/>
      <c r="AA905" s="55"/>
      <c r="AB905" s="49">
        <f>(B905*194.205+C905*267.466+D905*133.845+E905*53.484+F905*40+G905*185+H905*0+I905*100+J905*300)/(194.205+267.466+133.845+53.484+0+40+185+100+300)</f>
        <v>96.336178296624809</v>
      </c>
      <c r="AC905" s="45">
        <f>(M905*'RAP TEMPLATE-GAS AVAILABILITY'!O904+N905*'RAP TEMPLATE-GAS AVAILABILITY'!P904+O905*'RAP TEMPLATE-GAS AVAILABILITY'!Q904+P905*'RAP TEMPLATE-GAS AVAILABILITY'!R904)/('RAP TEMPLATE-GAS AVAILABILITY'!O904+'RAP TEMPLATE-GAS AVAILABILITY'!P904+'RAP TEMPLATE-GAS AVAILABILITY'!Q904+'RAP TEMPLATE-GAS AVAILABILITY'!R904)</f>
        <v>94.714594964028791</v>
      </c>
    </row>
    <row r="906" spans="1:29" ht="15.75" x14ac:dyDescent="0.25">
      <c r="A906" s="32">
        <v>68483</v>
      </c>
      <c r="B906" s="14">
        <f>CHOOSE(CONTROL!$C$42, 98.9891, 98.9891) * CHOOSE(CONTROL!$C$21, $C$9, 100%, $E$9)</f>
        <v>98.989099999999993</v>
      </c>
      <c r="C906" s="14">
        <f>CHOOSE(CONTROL!$C$42, 98.9971, 98.9971) * CHOOSE(CONTROL!$C$21, $C$9, 100%, $E$9)</f>
        <v>98.997100000000003</v>
      </c>
      <c r="D906" s="14">
        <f>CHOOSE(CONTROL!$C$42, 99.2562, 99.2562) * CHOOSE(CONTROL!$C$21, $C$9, 100%, $E$9)</f>
        <v>99.256200000000007</v>
      </c>
      <c r="E906" s="14">
        <f>CHOOSE(CONTROL!$C$42, 99.2877, 99.2877) * CHOOSE(CONTROL!$C$21, $C$9, 100%, $E$9)</f>
        <v>99.287700000000001</v>
      </c>
      <c r="F906" s="14">
        <f>CHOOSE(CONTROL!$C$42, 99.0109, 99.0109)*CHOOSE(CONTROL!$C$21, $C$9, 100%, $E$9)</f>
        <v>99.010900000000007</v>
      </c>
      <c r="G906" s="14">
        <f>CHOOSE(CONTROL!$C$42, 99.0279, 99.0279)*CHOOSE(CONTROL!$C$21, $C$9, 100%, $E$9)</f>
        <v>99.027900000000002</v>
      </c>
      <c r="H906" s="14">
        <f>CHOOSE(CONTROL!$C$42, 99.2763, 99.2763) * CHOOSE(CONTROL!$C$21, $C$9, 100%, $E$9)</f>
        <v>99.276300000000006</v>
      </c>
      <c r="I906" s="14">
        <f>CHOOSE(CONTROL!$C$42, 99.3202, 99.3202)* CHOOSE(CONTROL!$C$21, $C$9, 100%, $E$9)</f>
        <v>99.3202</v>
      </c>
      <c r="J906" s="14">
        <f>CHOOSE(CONTROL!$C$42, 99.0039, 99.0039)* CHOOSE(CONTROL!$C$21, $C$9, 100%, $E$9)</f>
        <v>99.003900000000002</v>
      </c>
      <c r="K906" s="52">
        <f>CHOOSE(CONTROL!$C$42, 99.3163, 99.3163) * CHOOSE(CONTROL!$C$21, $C$9, 100%, $E$9)</f>
        <v>99.316299999999998</v>
      </c>
      <c r="L906" s="14">
        <f>CHOOSE(CONTROL!$C$42, 99.8633, 99.8633) * CHOOSE(CONTROL!$C$21, $C$9, 100%, $E$9)</f>
        <v>99.863299999999995</v>
      </c>
      <c r="M906" s="14">
        <f>CHOOSE(CONTROL!$C$42, 97.2308, 97.2308) * CHOOSE(CONTROL!$C$21, $C$9, 100%, $E$9)</f>
        <v>97.230800000000002</v>
      </c>
      <c r="N906" s="14">
        <f>CHOOSE(CONTROL!$C$42, 97.2475, 97.2475) * CHOOSE(CONTROL!$C$21, $C$9, 100%, $E$9)</f>
        <v>97.247500000000002</v>
      </c>
      <c r="O906" s="14">
        <f>CHOOSE(CONTROL!$C$42, 97.4983, 97.4983) * CHOOSE(CONTROL!$C$21, $C$9, 100%, $E$9)</f>
        <v>97.4983</v>
      </c>
      <c r="P906" s="14">
        <f>CHOOSE(CONTROL!$C$42, 97.536, 97.536) * CHOOSE(CONTROL!$C$21, $C$9, 100%, $E$9)</f>
        <v>97.536000000000001</v>
      </c>
      <c r="Q906" s="14">
        <f>CHOOSE(CONTROL!$C$42, 98.093, 98.093) * CHOOSE(CONTROL!$C$21, $C$9, 100%, $E$9)</f>
        <v>98.093000000000004</v>
      </c>
      <c r="R906" s="14">
        <f>CHOOSE(CONTROL!$C$42, 98.9253, 98.9253) * CHOOSE(CONTROL!$C$21, $C$9, 100%, $E$9)</f>
        <v>98.925299999999993</v>
      </c>
      <c r="S906" s="14">
        <f>CHOOSE(CONTROL!$C$42, 95.108, 95.108) * CHOOSE(CONTROL!$C$21, $C$9, 100%, $E$9)</f>
        <v>95.108000000000004</v>
      </c>
      <c r="T90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06" s="56">
        <f>(1000*CHOOSE(CONTROL!$C$42, 695, 695)*CHOOSE(CONTROL!$C$42, 0.5599, 0.5599)*CHOOSE(CONTROL!$C$42, 30, 30))/1000000</f>
        <v>11.673914999999997</v>
      </c>
      <c r="V906" s="56">
        <f>(1000*CHOOSE(CONTROL!$C$42, 500, 500)*CHOOSE(CONTROL!$C$42, 0.275, 0.275)*CHOOSE(CONTROL!$C$42, 30, 30))/1000000</f>
        <v>4.125</v>
      </c>
      <c r="W906" s="56">
        <f>(1000*CHOOSE(CONTROL!$C$42, 0.1146, 0.1146)*CHOOSE(CONTROL!$C$42, 121.5, 121.5)*CHOOSE(CONTROL!$C$42, 30, 30))/1000000</f>
        <v>0.417717</v>
      </c>
      <c r="X906" s="56">
        <f>(30*0.1790888*245000/1000000)+(30*0.2374*100000/1000000)</f>
        <v>2.0285026799999999</v>
      </c>
      <c r="Y906" s="56"/>
      <c r="Z906" s="14"/>
      <c r="AA906" s="55"/>
      <c r="AB906" s="49">
        <f>(B906*194.205+C906*267.466+D906*133.845+E906*53.484+F906*40+G906*185+H906*0+I906*100+J906*300)/(194.205+267.466+133.845+53.484+0+40+185+100+300)</f>
        <v>99.067169112951348</v>
      </c>
      <c r="AC906" s="45">
        <f>(M906*'RAP TEMPLATE-GAS AVAILABILITY'!O905+N906*'RAP TEMPLATE-GAS AVAILABILITY'!P905+O906*'RAP TEMPLATE-GAS AVAILABILITY'!Q905+P906*'RAP TEMPLATE-GAS AVAILABILITY'!R905)/('RAP TEMPLATE-GAS AVAILABILITY'!O905+'RAP TEMPLATE-GAS AVAILABILITY'!P905+'RAP TEMPLATE-GAS AVAILABILITY'!Q905+'RAP TEMPLATE-GAS AVAILABILITY'!R905)</f>
        <v>97.396915827338148</v>
      </c>
    </row>
    <row r="907" spans="1:29" ht="15.75" x14ac:dyDescent="0.25">
      <c r="A907" s="32">
        <v>68514</v>
      </c>
      <c r="B907" s="14">
        <f>CHOOSE(CONTROL!$C$42, 97.0902, 97.0902) * CHOOSE(CONTROL!$C$21, $C$9, 100%, $E$9)</f>
        <v>97.090199999999996</v>
      </c>
      <c r="C907" s="14">
        <f>CHOOSE(CONTROL!$C$42, 97.0983, 97.0983) * CHOOSE(CONTROL!$C$21, $C$9, 100%, $E$9)</f>
        <v>97.098299999999995</v>
      </c>
      <c r="D907" s="14">
        <f>CHOOSE(CONTROL!$C$42, 97.3573, 97.3573) * CHOOSE(CONTROL!$C$21, $C$9, 100%, $E$9)</f>
        <v>97.357299999999995</v>
      </c>
      <c r="E907" s="14">
        <f>CHOOSE(CONTROL!$C$42, 97.3888, 97.3888) * CHOOSE(CONTROL!$C$21, $C$9, 100%, $E$9)</f>
        <v>97.388800000000003</v>
      </c>
      <c r="F907" s="14">
        <f>CHOOSE(CONTROL!$C$42, 97.1124, 97.1124)*CHOOSE(CONTROL!$C$21, $C$9, 100%, $E$9)</f>
        <v>97.112399999999994</v>
      </c>
      <c r="G907" s="14">
        <f>CHOOSE(CONTROL!$C$42, 97.1296, 97.1296)*CHOOSE(CONTROL!$C$21, $C$9, 100%, $E$9)</f>
        <v>97.129599999999996</v>
      </c>
      <c r="H907" s="14">
        <f>CHOOSE(CONTROL!$C$42, 97.3774, 97.3774) * CHOOSE(CONTROL!$C$21, $C$9, 100%, $E$9)</f>
        <v>97.377399999999994</v>
      </c>
      <c r="I907" s="14">
        <f>CHOOSE(CONTROL!$C$42, 97.4154, 97.4154)* CHOOSE(CONTROL!$C$21, $C$9, 100%, $E$9)</f>
        <v>97.415400000000005</v>
      </c>
      <c r="J907" s="14">
        <f>CHOOSE(CONTROL!$C$42, 97.1054, 97.1054)* CHOOSE(CONTROL!$C$21, $C$9, 100%, $E$9)</f>
        <v>97.105400000000003</v>
      </c>
      <c r="K907" s="52">
        <f>CHOOSE(CONTROL!$C$42, 97.4115, 97.4115) * CHOOSE(CONTROL!$C$21, $C$9, 100%, $E$9)</f>
        <v>97.411500000000004</v>
      </c>
      <c r="L907" s="14">
        <f>CHOOSE(CONTROL!$C$42, 97.9644, 97.9644) * CHOOSE(CONTROL!$C$21, $C$9, 100%, $E$9)</f>
        <v>97.964399999999998</v>
      </c>
      <c r="M907" s="14">
        <f>CHOOSE(CONTROL!$C$42, 95.3665, 95.3665) * CHOOSE(CONTROL!$C$21, $C$9, 100%, $E$9)</f>
        <v>95.366500000000002</v>
      </c>
      <c r="N907" s="14">
        <f>CHOOSE(CONTROL!$C$42, 95.3834, 95.3834) * CHOOSE(CONTROL!$C$21, $C$9, 100%, $E$9)</f>
        <v>95.383399999999995</v>
      </c>
      <c r="O907" s="14">
        <f>CHOOSE(CONTROL!$C$42, 95.6336, 95.6336) * CHOOSE(CONTROL!$C$21, $C$9, 100%, $E$9)</f>
        <v>95.633600000000001</v>
      </c>
      <c r="P907" s="14">
        <f>CHOOSE(CONTROL!$C$42, 95.6656, 95.6656) * CHOOSE(CONTROL!$C$21, $C$9, 100%, $E$9)</f>
        <v>95.665599999999998</v>
      </c>
      <c r="Q907" s="14">
        <f>CHOOSE(CONTROL!$C$42, 96.2283, 96.2283) * CHOOSE(CONTROL!$C$21, $C$9, 100%, $E$9)</f>
        <v>96.228300000000004</v>
      </c>
      <c r="R907" s="14">
        <f>CHOOSE(CONTROL!$C$42, 97.0559, 97.0559) * CHOOSE(CONTROL!$C$21, $C$9, 100%, $E$9)</f>
        <v>97.055899999999994</v>
      </c>
      <c r="S907" s="14">
        <f>CHOOSE(CONTROL!$C$42, 93.2834, 93.2834) * CHOOSE(CONTROL!$C$21, $C$9, 100%, $E$9)</f>
        <v>93.2834</v>
      </c>
      <c r="T90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07" s="56">
        <f>(1000*CHOOSE(CONTROL!$C$42, 695, 695)*CHOOSE(CONTROL!$C$42, 0.5599, 0.5599)*CHOOSE(CONTROL!$C$42, 31, 31))/1000000</f>
        <v>12.063045499999998</v>
      </c>
      <c r="V907" s="56">
        <f>(1000*CHOOSE(CONTROL!$C$42, 500, 500)*CHOOSE(CONTROL!$C$42, 0.275, 0.275)*CHOOSE(CONTROL!$C$42, 31, 31))/1000000</f>
        <v>4.2625000000000002</v>
      </c>
      <c r="W907" s="56">
        <f>(1000*CHOOSE(CONTROL!$C$42, 0.1146, 0.1146)*CHOOSE(CONTROL!$C$42, 121.5, 121.5)*CHOOSE(CONTROL!$C$42, 31, 31))/1000000</f>
        <v>0.43164089999999994</v>
      </c>
      <c r="X907" s="56">
        <f>(31*0.1790888*245000/1000000)+(31*0.2374*100000/1000000)</f>
        <v>2.0961194359999999</v>
      </c>
      <c r="Y907" s="56"/>
      <c r="Z907" s="14"/>
      <c r="AA907" s="55"/>
      <c r="AB907" s="49">
        <f>(B907*194.205+C907*267.466+D907*133.845+E907*53.484+F907*40+G907*185+H907*0+I907*100+J907*300)/(194.205+267.466+133.845+53.484+0+40+185+100+300)</f>
        <v>97.168020876373618</v>
      </c>
      <c r="AC907" s="45">
        <f>(M907*'RAP TEMPLATE-GAS AVAILABILITY'!O906+N907*'RAP TEMPLATE-GAS AVAILABILITY'!P906+O907*'RAP TEMPLATE-GAS AVAILABILITY'!Q906+P907*'RAP TEMPLATE-GAS AVAILABILITY'!R906)/('RAP TEMPLATE-GAS AVAILABILITY'!O906+'RAP TEMPLATE-GAS AVAILABILITY'!P906+'RAP TEMPLATE-GAS AVAILABILITY'!Q906+'RAP TEMPLATE-GAS AVAILABILITY'!R906)</f>
        <v>95.531568345323748</v>
      </c>
    </row>
    <row r="908" spans="1:29" ht="15.75" x14ac:dyDescent="0.25">
      <c r="A908" s="32">
        <v>68545</v>
      </c>
      <c r="B908" s="14">
        <f>CHOOSE(CONTROL!$C$42, 92.295, 92.295) * CHOOSE(CONTROL!$C$21, $C$9, 100%, $E$9)</f>
        <v>92.295000000000002</v>
      </c>
      <c r="C908" s="14">
        <f>CHOOSE(CONTROL!$C$42, 92.303, 92.303) * CHOOSE(CONTROL!$C$21, $C$9, 100%, $E$9)</f>
        <v>92.302999999999997</v>
      </c>
      <c r="D908" s="14">
        <f>CHOOSE(CONTROL!$C$42, 92.5621, 92.5621) * CHOOSE(CONTROL!$C$21, $C$9, 100%, $E$9)</f>
        <v>92.562100000000001</v>
      </c>
      <c r="E908" s="14">
        <f>CHOOSE(CONTROL!$C$42, 92.5936, 92.5936) * CHOOSE(CONTROL!$C$21, $C$9, 100%, $E$9)</f>
        <v>92.593599999999995</v>
      </c>
      <c r="F908" s="14">
        <f>CHOOSE(CONTROL!$C$42, 92.3174, 92.3174)*CHOOSE(CONTROL!$C$21, $C$9, 100%, $E$9)</f>
        <v>92.317400000000006</v>
      </c>
      <c r="G908" s="14">
        <f>CHOOSE(CONTROL!$C$42, 92.3346, 92.3346)*CHOOSE(CONTROL!$C$21, $C$9, 100%, $E$9)</f>
        <v>92.334599999999995</v>
      </c>
      <c r="H908" s="14">
        <f>CHOOSE(CONTROL!$C$42, 92.5822, 92.5822) * CHOOSE(CONTROL!$C$21, $C$9, 100%, $E$9)</f>
        <v>92.5822</v>
      </c>
      <c r="I908" s="14">
        <f>CHOOSE(CONTROL!$C$42, 92.6052, 92.6052)* CHOOSE(CONTROL!$C$21, $C$9, 100%, $E$9)</f>
        <v>92.605199999999996</v>
      </c>
      <c r="J908" s="14">
        <f>CHOOSE(CONTROL!$C$42, 92.3104, 92.3104)* CHOOSE(CONTROL!$C$21, $C$9, 100%, $E$9)</f>
        <v>92.310400000000001</v>
      </c>
      <c r="K908" s="52">
        <f>CHOOSE(CONTROL!$C$42, 92.6013, 92.6013) * CHOOSE(CONTROL!$C$21, $C$9, 100%, $E$9)</f>
        <v>92.601299999999995</v>
      </c>
      <c r="L908" s="14">
        <f>CHOOSE(CONTROL!$C$42, 93.1692, 93.1692) * CHOOSE(CONTROL!$C$21, $C$9, 100%, $E$9)</f>
        <v>93.169200000000004</v>
      </c>
      <c r="M908" s="14">
        <f>CHOOSE(CONTROL!$C$42, 90.6577, 90.6577) * CHOOSE(CONTROL!$C$21, $C$9, 100%, $E$9)</f>
        <v>90.657700000000006</v>
      </c>
      <c r="N908" s="14">
        <f>CHOOSE(CONTROL!$C$42, 90.6746, 90.6746) * CHOOSE(CONTROL!$C$21, $C$9, 100%, $E$9)</f>
        <v>90.674599999999998</v>
      </c>
      <c r="O908" s="14">
        <f>CHOOSE(CONTROL!$C$42, 90.9247, 90.9247) * CHOOSE(CONTROL!$C$21, $C$9, 100%, $E$9)</f>
        <v>90.924700000000001</v>
      </c>
      <c r="P908" s="14">
        <f>CHOOSE(CONTROL!$C$42, 90.9421, 90.9421) * CHOOSE(CONTROL!$C$21, $C$9, 100%, $E$9)</f>
        <v>90.942099999999996</v>
      </c>
      <c r="Q908" s="14">
        <f>CHOOSE(CONTROL!$C$42, 91.5194, 91.5194) * CHOOSE(CONTROL!$C$21, $C$9, 100%, $E$9)</f>
        <v>91.519400000000005</v>
      </c>
      <c r="R908" s="14">
        <f>CHOOSE(CONTROL!$C$42, 92.3352, 92.3352) * CHOOSE(CONTROL!$C$21, $C$9, 100%, $E$9)</f>
        <v>92.3352</v>
      </c>
      <c r="S908" s="14">
        <f>CHOOSE(CONTROL!$C$42, 88.6756, 88.6756) * CHOOSE(CONTROL!$C$21, $C$9, 100%, $E$9)</f>
        <v>88.675600000000003</v>
      </c>
      <c r="T90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08" s="56">
        <f>(1000*CHOOSE(CONTROL!$C$42, 695, 695)*CHOOSE(CONTROL!$C$42, 0.5599, 0.5599)*CHOOSE(CONTROL!$C$42, 31, 31))/1000000</f>
        <v>12.063045499999998</v>
      </c>
      <c r="V908" s="56">
        <f>(1000*CHOOSE(CONTROL!$C$42, 500, 500)*CHOOSE(CONTROL!$C$42, 0.275, 0.275)*CHOOSE(CONTROL!$C$42, 31, 31))/1000000</f>
        <v>4.2625000000000002</v>
      </c>
      <c r="W908" s="56">
        <f>(1000*CHOOSE(CONTROL!$C$42, 0.1146, 0.1146)*CHOOSE(CONTROL!$C$42, 121.5, 121.5)*CHOOSE(CONTROL!$C$42, 31, 31))/1000000</f>
        <v>0.43164089999999994</v>
      </c>
      <c r="X908" s="56">
        <f>(31*0.1790888*245000/1000000)+(31*0.2374*100000/1000000)</f>
        <v>2.0961194359999999</v>
      </c>
      <c r="Y908" s="56"/>
      <c r="Z908" s="14"/>
      <c r="AA908" s="55"/>
      <c r="AB908" s="49">
        <f>(B908*194.205+C908*267.466+D908*133.845+E908*53.484+F908*40+G908*185+H908*0+I908*100+J908*300)/(194.205+267.466+133.845+53.484+0+40+185+100+300)</f>
        <v>92.371704905729985</v>
      </c>
      <c r="AC908" s="45">
        <f>(M908*'RAP TEMPLATE-GAS AVAILABILITY'!O907+N908*'RAP TEMPLATE-GAS AVAILABILITY'!P907+O908*'RAP TEMPLATE-GAS AVAILABILITY'!Q907+P908*'RAP TEMPLATE-GAS AVAILABILITY'!R907)/('RAP TEMPLATE-GAS AVAILABILITY'!O907+'RAP TEMPLATE-GAS AVAILABILITY'!P907+'RAP TEMPLATE-GAS AVAILABILITY'!Q907+'RAP TEMPLATE-GAS AVAILABILITY'!R907)</f>
        <v>90.820607913669065</v>
      </c>
    </row>
    <row r="909" spans="1:29" ht="15.75" x14ac:dyDescent="0.25">
      <c r="A909" s="32">
        <v>68575</v>
      </c>
      <c r="B909" s="14">
        <f>CHOOSE(CONTROL!$C$42, 86.4359, 86.4359) * CHOOSE(CONTROL!$C$21, $C$9, 100%, $E$9)</f>
        <v>86.435900000000004</v>
      </c>
      <c r="C909" s="14">
        <f>CHOOSE(CONTROL!$C$42, 86.4439, 86.4439) * CHOOSE(CONTROL!$C$21, $C$9, 100%, $E$9)</f>
        <v>86.443899999999999</v>
      </c>
      <c r="D909" s="14">
        <f>CHOOSE(CONTROL!$C$42, 86.703, 86.703) * CHOOSE(CONTROL!$C$21, $C$9, 100%, $E$9)</f>
        <v>86.703000000000003</v>
      </c>
      <c r="E909" s="14">
        <f>CHOOSE(CONTROL!$C$42, 86.7345, 86.7345) * CHOOSE(CONTROL!$C$21, $C$9, 100%, $E$9)</f>
        <v>86.734499999999997</v>
      </c>
      <c r="F909" s="14">
        <f>CHOOSE(CONTROL!$C$42, 86.4584, 86.4584)*CHOOSE(CONTROL!$C$21, $C$9, 100%, $E$9)</f>
        <v>86.458399999999997</v>
      </c>
      <c r="G909" s="14">
        <f>CHOOSE(CONTROL!$C$42, 86.4756, 86.4756)*CHOOSE(CONTROL!$C$21, $C$9, 100%, $E$9)</f>
        <v>86.4756</v>
      </c>
      <c r="H909" s="14">
        <f>CHOOSE(CONTROL!$C$42, 86.7231, 86.7231) * CHOOSE(CONTROL!$C$21, $C$9, 100%, $E$9)</f>
        <v>86.723100000000002</v>
      </c>
      <c r="I909" s="14">
        <f>CHOOSE(CONTROL!$C$42, 86.7277, 86.7277)* CHOOSE(CONTROL!$C$21, $C$9, 100%, $E$9)</f>
        <v>86.727699999999999</v>
      </c>
      <c r="J909" s="14">
        <f>CHOOSE(CONTROL!$C$42, 86.4514, 86.4514)* CHOOSE(CONTROL!$C$21, $C$9, 100%, $E$9)</f>
        <v>86.451400000000007</v>
      </c>
      <c r="K909" s="52">
        <f>CHOOSE(CONTROL!$C$42, 86.7238, 86.7238) * CHOOSE(CONTROL!$C$21, $C$9, 100%, $E$9)</f>
        <v>86.723799999999997</v>
      </c>
      <c r="L909" s="14">
        <f>CHOOSE(CONTROL!$C$42, 87.3101, 87.3101) * CHOOSE(CONTROL!$C$21, $C$9, 100%, $E$9)</f>
        <v>87.310100000000006</v>
      </c>
      <c r="M909" s="14">
        <f>CHOOSE(CONTROL!$C$42, 84.9041, 84.9041) * CHOOSE(CONTROL!$C$21, $C$9, 100%, $E$9)</f>
        <v>84.9041</v>
      </c>
      <c r="N909" s="14">
        <f>CHOOSE(CONTROL!$C$42, 84.921, 84.921) * CHOOSE(CONTROL!$C$21, $C$9, 100%, $E$9)</f>
        <v>84.921000000000006</v>
      </c>
      <c r="O909" s="14">
        <f>CHOOSE(CONTROL!$C$42, 85.171, 85.171) * CHOOSE(CONTROL!$C$21, $C$9, 100%, $E$9)</f>
        <v>85.171000000000006</v>
      </c>
      <c r="P909" s="14">
        <f>CHOOSE(CONTROL!$C$42, 85.1707, 85.1707) * CHOOSE(CONTROL!$C$21, $C$9, 100%, $E$9)</f>
        <v>85.170699999999997</v>
      </c>
      <c r="Q909" s="14">
        <f>CHOOSE(CONTROL!$C$42, 85.7657, 85.7657) * CHOOSE(CONTROL!$C$21, $C$9, 100%, $E$9)</f>
        <v>85.765699999999995</v>
      </c>
      <c r="R909" s="14">
        <f>CHOOSE(CONTROL!$C$42, 86.5671, 86.5671) * CHOOSE(CONTROL!$C$21, $C$9, 100%, $E$9)</f>
        <v>86.567099999999996</v>
      </c>
      <c r="S909" s="14">
        <f>CHOOSE(CONTROL!$C$42, 83.0456, 83.0456) * CHOOSE(CONTROL!$C$21, $C$9, 100%, $E$9)</f>
        <v>83.045599999999993</v>
      </c>
      <c r="T90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09" s="56">
        <f>(1000*CHOOSE(CONTROL!$C$42, 695, 695)*CHOOSE(CONTROL!$C$42, 0.5599, 0.5599)*CHOOSE(CONTROL!$C$42, 30, 30))/1000000</f>
        <v>11.673914999999997</v>
      </c>
      <c r="V909" s="56">
        <f>(1000*CHOOSE(CONTROL!$C$42, 500, 500)*CHOOSE(CONTROL!$C$42, 0.275, 0.275)*CHOOSE(CONTROL!$C$42, 30, 30))/1000000</f>
        <v>4.125</v>
      </c>
      <c r="W909" s="56">
        <f>(1000*CHOOSE(CONTROL!$C$42, 0.1146, 0.1146)*CHOOSE(CONTROL!$C$42, 121.5, 121.5)*CHOOSE(CONTROL!$C$42, 30, 30))/1000000</f>
        <v>0.417717</v>
      </c>
      <c r="X909" s="56">
        <f>(30*0.1790888*245000/1000000)+(30*0.2374*100000/1000000)</f>
        <v>2.0285026799999999</v>
      </c>
      <c r="Y909" s="56"/>
      <c r="Z909" s="14"/>
      <c r="AA909" s="55"/>
      <c r="AB909" s="49">
        <f>(B909*194.205+C909*267.466+D909*133.845+E909*53.484+F909*40+G909*185+H909*0+I909*100+J909*300)/(194.205+267.466+133.845+53.484+0+40+185+100+300)</f>
        <v>86.511201844505507</v>
      </c>
      <c r="AC909" s="45">
        <f>(M909*'RAP TEMPLATE-GAS AVAILABILITY'!O908+N909*'RAP TEMPLATE-GAS AVAILABILITY'!P908+O909*'RAP TEMPLATE-GAS AVAILABILITY'!Q908+P909*'RAP TEMPLATE-GAS AVAILABILITY'!R908)/('RAP TEMPLATE-GAS AVAILABILITY'!O908+'RAP TEMPLATE-GAS AVAILABILITY'!P908+'RAP TEMPLATE-GAS AVAILABILITY'!Q908+'RAP TEMPLATE-GAS AVAILABILITY'!R908)</f>
        <v>85.064401438848918</v>
      </c>
    </row>
    <row r="910" spans="1:29" ht="15.75" x14ac:dyDescent="0.25">
      <c r="A910" s="32">
        <v>68606</v>
      </c>
      <c r="B910" s="14">
        <f>CHOOSE(CONTROL!$C$42, 84.6794, 84.6794) * CHOOSE(CONTROL!$C$21, $C$9, 100%, $E$9)</f>
        <v>84.679400000000001</v>
      </c>
      <c r="C910" s="14">
        <f>CHOOSE(CONTROL!$C$42, 84.6847, 84.6847) * CHOOSE(CONTROL!$C$21, $C$9, 100%, $E$9)</f>
        <v>84.684700000000007</v>
      </c>
      <c r="D910" s="14">
        <f>CHOOSE(CONTROL!$C$42, 84.9488, 84.9488) * CHOOSE(CONTROL!$C$21, $C$9, 100%, $E$9)</f>
        <v>84.948800000000006</v>
      </c>
      <c r="E910" s="14">
        <f>CHOOSE(CONTROL!$C$42, 84.9779, 84.9779) * CHOOSE(CONTROL!$C$21, $C$9, 100%, $E$9)</f>
        <v>84.977900000000005</v>
      </c>
      <c r="F910" s="14">
        <f>CHOOSE(CONTROL!$C$42, 84.704, 84.704)*CHOOSE(CONTROL!$C$21, $C$9, 100%, $E$9)</f>
        <v>84.703999999999994</v>
      </c>
      <c r="G910" s="14">
        <f>CHOOSE(CONTROL!$C$42, 84.7211, 84.7211)*CHOOSE(CONTROL!$C$21, $C$9, 100%, $E$9)</f>
        <v>84.721100000000007</v>
      </c>
      <c r="H910" s="14">
        <f>CHOOSE(CONTROL!$C$42, 84.9684, 84.9684) * CHOOSE(CONTROL!$C$21, $C$9, 100%, $E$9)</f>
        <v>84.968400000000003</v>
      </c>
      <c r="I910" s="14">
        <f>CHOOSE(CONTROL!$C$42, 84.9675, 84.9675)* CHOOSE(CONTROL!$C$21, $C$9, 100%, $E$9)</f>
        <v>84.967500000000001</v>
      </c>
      <c r="J910" s="14">
        <f>CHOOSE(CONTROL!$C$42, 84.697, 84.697)* CHOOSE(CONTROL!$C$21, $C$9, 100%, $E$9)</f>
        <v>84.697000000000003</v>
      </c>
      <c r="K910" s="52">
        <f>CHOOSE(CONTROL!$C$42, 84.9636, 84.9636) * CHOOSE(CONTROL!$C$21, $C$9, 100%, $E$9)</f>
        <v>84.9636</v>
      </c>
      <c r="L910" s="14">
        <f>CHOOSE(CONTROL!$C$42, 85.5554, 85.5554) * CHOOSE(CONTROL!$C$21, $C$9, 100%, $E$9)</f>
        <v>85.555400000000006</v>
      </c>
      <c r="M910" s="14">
        <f>CHOOSE(CONTROL!$C$42, 83.1813, 83.1813) * CHOOSE(CONTROL!$C$21, $C$9, 100%, $E$9)</f>
        <v>83.181299999999993</v>
      </c>
      <c r="N910" s="14">
        <f>CHOOSE(CONTROL!$C$42, 83.1981, 83.1981) * CHOOSE(CONTROL!$C$21, $C$9, 100%, $E$9)</f>
        <v>83.198099999999997</v>
      </c>
      <c r="O910" s="14">
        <f>CHOOSE(CONTROL!$C$42, 83.4478, 83.4478) * CHOOSE(CONTROL!$C$21, $C$9, 100%, $E$9)</f>
        <v>83.447800000000001</v>
      </c>
      <c r="P910" s="14">
        <f>CHOOSE(CONTROL!$C$42, 83.4422, 83.4422) * CHOOSE(CONTROL!$C$21, $C$9, 100%, $E$9)</f>
        <v>83.4422</v>
      </c>
      <c r="Q910" s="14">
        <f>CHOOSE(CONTROL!$C$42, 84.0425, 84.0425) * CHOOSE(CONTROL!$C$21, $C$9, 100%, $E$9)</f>
        <v>84.042500000000004</v>
      </c>
      <c r="R910" s="14">
        <f>CHOOSE(CONTROL!$C$42, 84.8396, 84.8396) * CHOOSE(CONTROL!$C$21, $C$9, 100%, $E$9)</f>
        <v>84.839600000000004</v>
      </c>
      <c r="S910" s="14">
        <f>CHOOSE(CONTROL!$C$42, 81.3595, 81.3595) * CHOOSE(CONTROL!$C$21, $C$9, 100%, $E$9)</f>
        <v>81.359499999999997</v>
      </c>
      <c r="T91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10" s="56">
        <f>(1000*CHOOSE(CONTROL!$C$42, 695, 695)*CHOOSE(CONTROL!$C$42, 0.5599, 0.5599)*CHOOSE(CONTROL!$C$42, 31, 31))/1000000</f>
        <v>12.063045499999998</v>
      </c>
      <c r="V910" s="56">
        <f>(1000*CHOOSE(CONTROL!$C$42, 500, 500)*CHOOSE(CONTROL!$C$42, 0.275, 0.275)*CHOOSE(CONTROL!$C$42, 31, 31))/1000000</f>
        <v>4.2625000000000002</v>
      </c>
      <c r="W910" s="56">
        <f>(1000*CHOOSE(CONTROL!$C$42, 0.1146, 0.1146)*CHOOSE(CONTROL!$C$42, 121.5, 121.5)*CHOOSE(CONTROL!$C$42, 31, 31))/1000000</f>
        <v>0.43164089999999994</v>
      </c>
      <c r="X910" s="56">
        <f>(31*0.1790888*245000/1000000)+(31*0.2374*100000/1000000)</f>
        <v>2.0961194359999999</v>
      </c>
      <c r="Y910" s="56"/>
      <c r="Z910" s="14"/>
      <c r="AA910" s="55"/>
      <c r="AB910" s="49">
        <f>(B910*131.881+C910*277.167+D910*79.08+E910*125.872+F910*40+G910*185+H910*0+I910*100+J910*300)/(131.881+277.167+79.08+125.872+0+40+185+100+300)</f>
        <v>84.762640055770788</v>
      </c>
      <c r="AC910" s="45">
        <f>(M910*'RAP TEMPLATE-GAS AVAILABILITY'!O909+N910*'RAP TEMPLATE-GAS AVAILABILITY'!P909+O910*'RAP TEMPLATE-GAS AVAILABILITY'!Q909+P910*'RAP TEMPLATE-GAS AVAILABILITY'!R909)/('RAP TEMPLATE-GAS AVAILABILITY'!O909+'RAP TEMPLATE-GAS AVAILABILITY'!P909+'RAP TEMPLATE-GAS AVAILABILITY'!Q909+'RAP TEMPLATE-GAS AVAILABILITY'!R909)</f>
        <v>83.340594244604318</v>
      </c>
    </row>
    <row r="911" spans="1:29" ht="15.75" x14ac:dyDescent="0.25">
      <c r="A911" s="32">
        <v>68636</v>
      </c>
      <c r="B911" s="14">
        <f>CHOOSE(CONTROL!$C$42, 86.9096, 86.9096) * CHOOSE(CONTROL!$C$21, $C$9, 100%, $E$9)</f>
        <v>86.909599999999998</v>
      </c>
      <c r="C911" s="14">
        <f>CHOOSE(CONTROL!$C$42, 86.9146, 86.9146) * CHOOSE(CONTROL!$C$21, $C$9, 100%, $E$9)</f>
        <v>86.914599999999993</v>
      </c>
      <c r="D911" s="14">
        <f>CHOOSE(CONTROL!$C$42, 86.9977, 86.9977) * CHOOSE(CONTROL!$C$21, $C$9, 100%, $E$9)</f>
        <v>86.997699999999995</v>
      </c>
      <c r="E911" s="14">
        <f>CHOOSE(CONTROL!$C$42, 87.0318, 87.0318) * CHOOSE(CONTROL!$C$21, $C$9, 100%, $E$9)</f>
        <v>87.031800000000004</v>
      </c>
      <c r="F911" s="14">
        <f>CHOOSE(CONTROL!$C$42, 86.9372, 86.9372)*CHOOSE(CONTROL!$C$21, $C$9, 100%, $E$9)</f>
        <v>86.937200000000004</v>
      </c>
      <c r="G911" s="14">
        <f>CHOOSE(CONTROL!$C$42, 86.9546, 86.9546)*CHOOSE(CONTROL!$C$21, $C$9, 100%, $E$9)</f>
        <v>86.954599999999999</v>
      </c>
      <c r="H911" s="14">
        <f>CHOOSE(CONTROL!$C$42, 87.021, 87.021) * CHOOSE(CONTROL!$C$21, $C$9, 100%, $E$9)</f>
        <v>87.021000000000001</v>
      </c>
      <c r="I911" s="14">
        <f>CHOOSE(CONTROL!$C$42, 87.2014, 87.2014)* CHOOSE(CONTROL!$C$21, $C$9, 100%, $E$9)</f>
        <v>87.201400000000007</v>
      </c>
      <c r="J911" s="14">
        <f>CHOOSE(CONTROL!$C$42, 86.9302, 86.9302)* CHOOSE(CONTROL!$C$21, $C$9, 100%, $E$9)</f>
        <v>86.930199999999999</v>
      </c>
      <c r="K911" s="52">
        <f>CHOOSE(CONTROL!$C$42, 87.1975, 87.1975) * CHOOSE(CONTROL!$C$21, $C$9, 100%, $E$9)</f>
        <v>87.197500000000005</v>
      </c>
      <c r="L911" s="14">
        <f>CHOOSE(CONTROL!$C$42, 87.608, 87.608) * CHOOSE(CONTROL!$C$21, $C$9, 100%, $E$9)</f>
        <v>87.608000000000004</v>
      </c>
      <c r="M911" s="14">
        <f>CHOOSE(CONTROL!$C$42, 85.3743, 85.3743) * CHOOSE(CONTROL!$C$21, $C$9, 100%, $E$9)</f>
        <v>85.374300000000005</v>
      </c>
      <c r="N911" s="14">
        <f>CHOOSE(CONTROL!$C$42, 85.3914, 85.3914) * CHOOSE(CONTROL!$C$21, $C$9, 100%, $E$9)</f>
        <v>85.391400000000004</v>
      </c>
      <c r="O911" s="14">
        <f>CHOOSE(CONTROL!$C$42, 85.4635, 85.4635) * CHOOSE(CONTROL!$C$21, $C$9, 100%, $E$9)</f>
        <v>85.463499999999996</v>
      </c>
      <c r="P911" s="14">
        <f>CHOOSE(CONTROL!$C$42, 85.6359, 85.6359) * CHOOSE(CONTROL!$C$21, $C$9, 100%, $E$9)</f>
        <v>85.635900000000007</v>
      </c>
      <c r="Q911" s="14">
        <f>CHOOSE(CONTROL!$C$42, 86.0582, 86.0582) * CHOOSE(CONTROL!$C$21, $C$9, 100%, $E$9)</f>
        <v>86.058199999999999</v>
      </c>
      <c r="R911" s="14">
        <f>CHOOSE(CONTROL!$C$42, 86.8603, 86.8603) * CHOOSE(CONTROL!$C$21, $C$9, 100%, $E$9)</f>
        <v>86.860299999999995</v>
      </c>
      <c r="S911" s="14">
        <f>CHOOSE(CONTROL!$C$42, 83.5029, 83.5029) * CHOOSE(CONTROL!$C$21, $C$9, 100%, $E$9)</f>
        <v>83.502899999999997</v>
      </c>
      <c r="T91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11" s="56">
        <f>(1000*CHOOSE(CONTROL!$C$42, 695, 695)*CHOOSE(CONTROL!$C$42, 0.5599, 0.5599)*CHOOSE(CONTROL!$C$42, 30, 30))/1000000</f>
        <v>11.673914999999997</v>
      </c>
      <c r="V911" s="56">
        <f>(1000*CHOOSE(CONTROL!$C$42, 500, 500)*CHOOSE(CONTROL!$C$42, 0.275, 0.275)*CHOOSE(CONTROL!$C$42, 30, 30))/1000000</f>
        <v>4.125</v>
      </c>
      <c r="W911" s="56">
        <f>(1000*CHOOSE(CONTROL!$C$42, 0.1146, 0.1146)*CHOOSE(CONTROL!$C$42, 121.5, 121.5)*CHOOSE(CONTROL!$C$42, 30, 30))/1000000</f>
        <v>0.417717</v>
      </c>
      <c r="X911" s="56">
        <f>(30*0.1790888*100000/1000000)+(30*0.2374*100000/1000000)</f>
        <v>1.2494664</v>
      </c>
      <c r="Y911" s="56"/>
      <c r="Z911" s="14"/>
      <c r="AA911" s="55"/>
      <c r="AB911" s="49">
        <f>(B911*122.58+C911*297.941+D911*89.177+E911*40.302+F911*40+G911*160+H911*0+I911*100+J911*300)/(122.58+297.941+89.177+40.302+0+40+160+100+300)</f>
        <v>86.959978350521737</v>
      </c>
      <c r="AC911" s="45">
        <f>(M911*'RAP TEMPLATE-GAS AVAILABILITY'!O910+N911*'RAP TEMPLATE-GAS AVAILABILITY'!P910+O911*'RAP TEMPLATE-GAS AVAILABILITY'!Q910+P911*'RAP TEMPLATE-GAS AVAILABILITY'!R910)/('RAP TEMPLATE-GAS AVAILABILITY'!O910+'RAP TEMPLATE-GAS AVAILABILITY'!P910+'RAP TEMPLATE-GAS AVAILABILITY'!Q910+'RAP TEMPLATE-GAS AVAILABILITY'!R910)</f>
        <v>85.45335323741007</v>
      </c>
    </row>
    <row r="912" spans="1:29" ht="15.75" x14ac:dyDescent="0.25">
      <c r="A912" s="32">
        <v>68667</v>
      </c>
      <c r="B912" s="14">
        <f>CHOOSE(CONTROL!$C$42, 92.8344, 92.8344) * CHOOSE(CONTROL!$C$21, $C$9, 100%, $E$9)</f>
        <v>92.834400000000002</v>
      </c>
      <c r="C912" s="14">
        <f>CHOOSE(CONTROL!$C$42, 92.8395, 92.8395) * CHOOSE(CONTROL!$C$21, $C$9, 100%, $E$9)</f>
        <v>92.839500000000001</v>
      </c>
      <c r="D912" s="14">
        <f>CHOOSE(CONTROL!$C$42, 92.9225, 92.9225) * CHOOSE(CONTROL!$C$21, $C$9, 100%, $E$9)</f>
        <v>92.922499999999999</v>
      </c>
      <c r="E912" s="14">
        <f>CHOOSE(CONTROL!$C$42, 92.9566, 92.9566) * CHOOSE(CONTROL!$C$21, $C$9, 100%, $E$9)</f>
        <v>92.956599999999995</v>
      </c>
      <c r="F912" s="14">
        <f>CHOOSE(CONTROL!$C$42, 92.8644, 92.8644)*CHOOSE(CONTROL!$C$21, $C$9, 100%, $E$9)</f>
        <v>92.864400000000003</v>
      </c>
      <c r="G912" s="14">
        <f>CHOOSE(CONTROL!$C$42, 92.8825, 92.8825)*CHOOSE(CONTROL!$C$21, $C$9, 100%, $E$9)</f>
        <v>92.882499999999993</v>
      </c>
      <c r="H912" s="14">
        <f>CHOOSE(CONTROL!$C$42, 92.9458, 92.9458) * CHOOSE(CONTROL!$C$21, $C$9, 100%, $E$9)</f>
        <v>92.945800000000006</v>
      </c>
      <c r="I912" s="14">
        <f>CHOOSE(CONTROL!$C$42, 93.1448, 93.1448)* CHOOSE(CONTROL!$C$21, $C$9, 100%, $E$9)</f>
        <v>93.144800000000004</v>
      </c>
      <c r="J912" s="14">
        <f>CHOOSE(CONTROL!$C$42, 92.8574, 92.8574)* CHOOSE(CONTROL!$C$21, $C$9, 100%, $E$9)</f>
        <v>92.857399999999998</v>
      </c>
      <c r="K912" s="52">
        <f>CHOOSE(CONTROL!$C$42, 93.1409, 93.1409) * CHOOSE(CONTROL!$C$21, $C$9, 100%, $E$9)</f>
        <v>93.140900000000002</v>
      </c>
      <c r="L912" s="14">
        <f>CHOOSE(CONTROL!$C$42, 93.5328, 93.5328) * CHOOSE(CONTROL!$C$21, $C$9, 100%, $E$9)</f>
        <v>93.532799999999995</v>
      </c>
      <c r="M912" s="14">
        <f>CHOOSE(CONTROL!$C$42, 91.1949, 91.1949) * CHOOSE(CONTROL!$C$21, $C$9, 100%, $E$9)</f>
        <v>91.194900000000004</v>
      </c>
      <c r="N912" s="14">
        <f>CHOOSE(CONTROL!$C$42, 91.2126, 91.2126) * CHOOSE(CONTROL!$C$21, $C$9, 100%, $E$9)</f>
        <v>91.212599999999995</v>
      </c>
      <c r="O912" s="14">
        <f>CHOOSE(CONTROL!$C$42, 91.2817, 91.2817) * CHOOSE(CONTROL!$C$21, $C$9, 100%, $E$9)</f>
        <v>91.281700000000001</v>
      </c>
      <c r="P912" s="14">
        <f>CHOOSE(CONTROL!$C$42, 91.472, 91.472) * CHOOSE(CONTROL!$C$21, $C$9, 100%, $E$9)</f>
        <v>91.471999999999994</v>
      </c>
      <c r="Q912" s="14">
        <f>CHOOSE(CONTROL!$C$42, 91.8764, 91.8764) * CHOOSE(CONTROL!$C$21, $C$9, 100%, $E$9)</f>
        <v>91.876400000000004</v>
      </c>
      <c r="R912" s="14">
        <f>CHOOSE(CONTROL!$C$42, 92.6931, 92.6931) * CHOOSE(CONTROL!$C$21, $C$9, 100%, $E$9)</f>
        <v>92.693100000000001</v>
      </c>
      <c r="S912" s="14">
        <f>CHOOSE(CONTROL!$C$42, 89.196, 89.196) * CHOOSE(CONTROL!$C$21, $C$9, 100%, $E$9)</f>
        <v>89.195999999999998</v>
      </c>
      <c r="T91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12" s="56">
        <f>(1000*CHOOSE(CONTROL!$C$42, 695, 695)*CHOOSE(CONTROL!$C$42, 0.5599, 0.5599)*CHOOSE(CONTROL!$C$42, 31, 31))/1000000</f>
        <v>12.063045499999998</v>
      </c>
      <c r="V912" s="56">
        <f>(1000*CHOOSE(CONTROL!$C$42, 500, 500)*CHOOSE(CONTROL!$C$42, 0.275, 0.275)*CHOOSE(CONTROL!$C$42, 31, 31))/1000000</f>
        <v>4.2625000000000002</v>
      </c>
      <c r="W912" s="56">
        <f>(1000*CHOOSE(CONTROL!$C$42, 0.1146, 0.1146)*CHOOSE(CONTROL!$C$42, 121.5, 121.5)*CHOOSE(CONTROL!$C$42, 31, 31))/1000000</f>
        <v>0.43164089999999994</v>
      </c>
      <c r="X912" s="56">
        <f>(31*0.1790888*100000/1000000)+(31*0.2374*100000/1000000)</f>
        <v>1.2911152800000001</v>
      </c>
      <c r="Y912" s="56"/>
      <c r="Z912" s="14"/>
      <c r="AA912" s="55"/>
      <c r="AB912" s="49">
        <f>(B912*122.58+C912*297.941+D912*89.177+E912*40.302+F912*40+G912*160+H912*0+I912*100+J912*300)/(122.58+297.941+89.177+40.302+0+40+160+100+300)</f>
        <v>92.887562519304353</v>
      </c>
      <c r="AC912" s="45">
        <f>(M912*'RAP TEMPLATE-GAS AVAILABILITY'!O911+N912*'RAP TEMPLATE-GAS AVAILABILITY'!P911+O912*'RAP TEMPLATE-GAS AVAILABILITY'!Q911+P912*'RAP TEMPLATE-GAS AVAILABILITY'!R911)/('RAP TEMPLATE-GAS AVAILABILITY'!O911+'RAP TEMPLATE-GAS AVAILABILITY'!P911+'RAP TEMPLATE-GAS AVAILABILITY'!Q911+'RAP TEMPLATE-GAS AVAILABILITY'!R911)</f>
        <v>91.275130215827332</v>
      </c>
    </row>
    <row r="913" spans="1:29" ht="15.75" x14ac:dyDescent="0.25">
      <c r="A913" s="32">
        <v>68698</v>
      </c>
      <c r="B913" s="14">
        <f>CHOOSE(CONTROL!$C$42, 100.5296, 100.5296) * CHOOSE(CONTROL!$C$21, $C$9, 100%, $E$9)</f>
        <v>100.5296</v>
      </c>
      <c r="C913" s="14">
        <f>CHOOSE(CONTROL!$C$42, 100.5347, 100.5347) * CHOOSE(CONTROL!$C$21, $C$9, 100%, $E$9)</f>
        <v>100.5347</v>
      </c>
      <c r="D913" s="14">
        <f>CHOOSE(CONTROL!$C$42, 100.6282, 100.6282) * CHOOSE(CONTROL!$C$21, $C$9, 100%, $E$9)</f>
        <v>100.62820000000001</v>
      </c>
      <c r="E913" s="14">
        <f>CHOOSE(CONTROL!$C$42, 100.6623, 100.6623) * CHOOSE(CONTROL!$C$21, $C$9, 100%, $E$9)</f>
        <v>100.6623</v>
      </c>
      <c r="F913" s="14">
        <f>CHOOSE(CONTROL!$C$42, 100.5569, 100.5569)*CHOOSE(CONTROL!$C$21, $C$9, 100%, $E$9)</f>
        <v>100.5569</v>
      </c>
      <c r="G913" s="14">
        <f>CHOOSE(CONTROL!$C$42, 100.5749, 100.5749)*CHOOSE(CONTROL!$C$21, $C$9, 100%, $E$9)</f>
        <v>100.5749</v>
      </c>
      <c r="H913" s="14">
        <f>CHOOSE(CONTROL!$C$42, 100.6515, 100.6515) * CHOOSE(CONTROL!$C$21, $C$9, 100%, $E$9)</f>
        <v>100.6515</v>
      </c>
      <c r="I913" s="14">
        <f>CHOOSE(CONTROL!$C$42, 100.8704, 100.8704)* CHOOSE(CONTROL!$C$21, $C$9, 100%, $E$9)</f>
        <v>100.8704</v>
      </c>
      <c r="J913" s="14">
        <f>CHOOSE(CONTROL!$C$42, 100.5499, 100.5499)* CHOOSE(CONTROL!$C$21, $C$9, 100%, $E$9)</f>
        <v>100.54989999999999</v>
      </c>
      <c r="K913" s="52">
        <f>CHOOSE(CONTROL!$C$42, 100.8665, 100.8665) * CHOOSE(CONTROL!$C$21, $C$9, 100%, $E$9)</f>
        <v>100.8665</v>
      </c>
      <c r="L913" s="14">
        <f>CHOOSE(CONTROL!$C$42, 101.2385, 101.2385) * CHOOSE(CONTROL!$C$21, $C$9, 100%, $E$9)</f>
        <v>101.2385</v>
      </c>
      <c r="M913" s="14">
        <f>CHOOSE(CONTROL!$C$42, 98.7491, 98.7491) * CHOOSE(CONTROL!$C$21, $C$9, 100%, $E$9)</f>
        <v>98.749099999999999</v>
      </c>
      <c r="N913" s="14">
        <f>CHOOSE(CONTROL!$C$42, 98.7667, 98.7667) * CHOOSE(CONTROL!$C$21, $C$9, 100%, $E$9)</f>
        <v>98.7667</v>
      </c>
      <c r="O913" s="14">
        <f>CHOOSE(CONTROL!$C$42, 98.8488, 98.8488) * CHOOSE(CONTROL!$C$21, $C$9, 100%, $E$9)</f>
        <v>98.848799999999997</v>
      </c>
      <c r="P913" s="14">
        <f>CHOOSE(CONTROL!$C$42, 99.0582, 99.0582) * CHOOSE(CONTROL!$C$21, $C$9, 100%, $E$9)</f>
        <v>99.058199999999999</v>
      </c>
      <c r="Q913" s="14">
        <f>CHOOSE(CONTROL!$C$42, 99.4435, 99.4435) * CHOOSE(CONTROL!$C$21, $C$9, 100%, $E$9)</f>
        <v>99.4435</v>
      </c>
      <c r="R913" s="14">
        <f>CHOOSE(CONTROL!$C$42, 100.2791, 100.2791) * CHOOSE(CONTROL!$C$21, $C$9, 100%, $E$9)</f>
        <v>100.2791</v>
      </c>
      <c r="S913" s="14">
        <f>CHOOSE(CONTROL!$C$42, 96.5904, 96.5904) * CHOOSE(CONTROL!$C$21, $C$9, 100%, $E$9)</f>
        <v>96.590400000000002</v>
      </c>
      <c r="T91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13" s="56">
        <f>(1000*CHOOSE(CONTROL!$C$42, 695, 695)*CHOOSE(CONTROL!$C$42, 0.5599, 0.5599)*CHOOSE(CONTROL!$C$42, 31, 31))/1000000</f>
        <v>12.063045499999998</v>
      </c>
      <c r="V913" s="56">
        <f>(1000*CHOOSE(CONTROL!$C$42, 500, 500)*CHOOSE(CONTROL!$C$42, 0.275, 0.275)*CHOOSE(CONTROL!$C$42, 31, 31))/1000000</f>
        <v>4.2625000000000002</v>
      </c>
      <c r="W913" s="56">
        <f>(1000*CHOOSE(CONTROL!$C$42, 0.1146, 0.1146)*CHOOSE(CONTROL!$C$42, 121.5, 121.5)*CHOOSE(CONTROL!$C$42, 31, 31))/1000000</f>
        <v>0.43164089999999994</v>
      </c>
      <c r="X913" s="56">
        <f>(31*0.1790888*100000/1000000)+(31*0.2374*100000/1000000)</f>
        <v>1.2911152800000001</v>
      </c>
      <c r="Y913" s="56"/>
      <c r="Z913" s="14"/>
      <c r="AA913" s="55"/>
      <c r="AB913" s="49">
        <f>(B913*122.58+C913*297.941+D913*89.177+E913*40.302+F913*40+G913*160+H913*0+I913*100+J913*300)/(122.58+297.941+89.177+40.302+0+40+160+100+300)</f>
        <v>100.58540037104349</v>
      </c>
      <c r="AC913" s="45">
        <f>(M913*'RAP TEMPLATE-GAS AVAILABILITY'!O912+N913*'RAP TEMPLATE-GAS AVAILABILITY'!P912+O913*'RAP TEMPLATE-GAS AVAILABILITY'!Q912+P913*'RAP TEMPLATE-GAS AVAILABILITY'!R912)/('RAP TEMPLATE-GAS AVAILABILITY'!O912+'RAP TEMPLATE-GAS AVAILABILITY'!P912+'RAP TEMPLATE-GAS AVAILABILITY'!Q912+'RAP TEMPLATE-GAS AVAILABILITY'!R912)</f>
        <v>98.83977553956835</v>
      </c>
    </row>
    <row r="914" spans="1:29" ht="15.75" x14ac:dyDescent="0.25">
      <c r="A914" s="32">
        <v>68727</v>
      </c>
      <c r="B914" s="14">
        <f>CHOOSE(CONTROL!$C$42, 102.319, 102.319) * CHOOSE(CONTROL!$C$21, $C$9, 100%, $E$9)</f>
        <v>102.319</v>
      </c>
      <c r="C914" s="14">
        <f>CHOOSE(CONTROL!$C$42, 102.3241, 102.3241) * CHOOSE(CONTROL!$C$21, $C$9, 100%, $E$9)</f>
        <v>102.3241</v>
      </c>
      <c r="D914" s="14">
        <f>CHOOSE(CONTROL!$C$42, 102.4176, 102.4176) * CHOOSE(CONTROL!$C$21, $C$9, 100%, $E$9)</f>
        <v>102.41759999999999</v>
      </c>
      <c r="E914" s="14">
        <f>CHOOSE(CONTROL!$C$42, 102.4517, 102.4517) * CHOOSE(CONTROL!$C$21, $C$9, 100%, $E$9)</f>
        <v>102.4517</v>
      </c>
      <c r="F914" s="14">
        <f>CHOOSE(CONTROL!$C$42, 102.346, 102.346)*CHOOSE(CONTROL!$C$21, $C$9, 100%, $E$9)</f>
        <v>102.346</v>
      </c>
      <c r="G914" s="14">
        <f>CHOOSE(CONTROL!$C$42, 102.3639, 102.3639)*CHOOSE(CONTROL!$C$21, $C$9, 100%, $E$9)</f>
        <v>102.3639</v>
      </c>
      <c r="H914" s="14">
        <f>CHOOSE(CONTROL!$C$42, 102.4409, 102.4409) * CHOOSE(CONTROL!$C$21, $C$9, 100%, $E$9)</f>
        <v>102.4409</v>
      </c>
      <c r="I914" s="14">
        <f>CHOOSE(CONTROL!$C$42, 102.6654, 102.6654)* CHOOSE(CONTROL!$C$21, $C$9, 100%, $E$9)</f>
        <v>102.66540000000001</v>
      </c>
      <c r="J914" s="14">
        <f>CHOOSE(CONTROL!$C$42, 102.339, 102.339)* CHOOSE(CONTROL!$C$21, $C$9, 100%, $E$9)</f>
        <v>102.339</v>
      </c>
      <c r="K914" s="52">
        <f>CHOOSE(CONTROL!$C$42, 102.6615, 102.6615) * CHOOSE(CONTROL!$C$21, $C$9, 100%, $E$9)</f>
        <v>102.6615</v>
      </c>
      <c r="L914" s="14">
        <f>CHOOSE(CONTROL!$C$42, 103.0279, 103.0279) * CHOOSE(CONTROL!$C$21, $C$9, 100%, $E$9)</f>
        <v>103.0279</v>
      </c>
      <c r="M914" s="14">
        <f>CHOOSE(CONTROL!$C$42, 100.5059, 100.5059) * CHOOSE(CONTROL!$C$21, $C$9, 100%, $E$9)</f>
        <v>100.5059</v>
      </c>
      <c r="N914" s="14">
        <f>CHOOSE(CONTROL!$C$42, 100.5235, 100.5235) * CHOOSE(CONTROL!$C$21, $C$9, 100%, $E$9)</f>
        <v>100.5235</v>
      </c>
      <c r="O914" s="14">
        <f>CHOOSE(CONTROL!$C$42, 100.606, 100.606) * CHOOSE(CONTROL!$C$21, $C$9, 100%, $E$9)</f>
        <v>100.60599999999999</v>
      </c>
      <c r="P914" s="14">
        <f>CHOOSE(CONTROL!$C$42, 100.8209, 100.8209) * CHOOSE(CONTROL!$C$21, $C$9, 100%, $E$9)</f>
        <v>100.82089999999999</v>
      </c>
      <c r="Q914" s="14">
        <f>CHOOSE(CONTROL!$C$42, 101.2007, 101.2007) * CHOOSE(CONTROL!$C$21, $C$9, 100%, $E$9)</f>
        <v>101.2007</v>
      </c>
      <c r="R914" s="14">
        <f>CHOOSE(CONTROL!$C$42, 102.0407, 102.0407) * CHOOSE(CONTROL!$C$21, $C$9, 100%, $E$9)</f>
        <v>102.0407</v>
      </c>
      <c r="S914" s="14">
        <f>CHOOSE(CONTROL!$C$42, 98.3098, 98.3098) * CHOOSE(CONTROL!$C$21, $C$9, 100%, $E$9)</f>
        <v>98.309799999999996</v>
      </c>
      <c r="T91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914" s="56">
        <f>(1000*CHOOSE(CONTROL!$C$42, 695, 695)*CHOOSE(CONTROL!$C$42, 0.5599, 0.5599)*CHOOSE(CONTROL!$C$42, 29, 29))/1000000</f>
        <v>11.284784499999999</v>
      </c>
      <c r="V914" s="56">
        <f>(1000*CHOOSE(CONTROL!$C$42, 500, 500)*CHOOSE(CONTROL!$C$42, 0.275, 0.275)*CHOOSE(CONTROL!$C$42, 29, 29))/1000000</f>
        <v>3.9874999999999998</v>
      </c>
      <c r="W914" s="56">
        <f>(1000*CHOOSE(CONTROL!$C$42, 0.1146, 0.1146)*CHOOSE(CONTROL!$C$42, 121.5, 121.5)*CHOOSE(CONTROL!$C$42, 29, 29))/1000000</f>
        <v>0.40379309999999996</v>
      </c>
      <c r="X914" s="56">
        <f>(29*0.1790888*100000/1000000)+(29*0.2374*100000/1000000)</f>
        <v>1.2078175199999999</v>
      </c>
      <c r="Y914" s="56"/>
      <c r="Z914" s="14"/>
      <c r="AA914" s="55"/>
      <c r="AB914" s="49">
        <f>(B914*122.58+C914*297.941+D914*89.177+E914*40.302+F914*40+G914*160+H914*0+I914*100+J914*300)/(122.58+297.941+89.177+40.302+0+40+160+100+300)</f>
        <v>102.37514297973912</v>
      </c>
      <c r="AC914" s="45">
        <f>(M914*'RAP TEMPLATE-GAS AVAILABILITY'!O913+N914*'RAP TEMPLATE-GAS AVAILABILITY'!P913+O914*'RAP TEMPLATE-GAS AVAILABILITY'!Q913+P914*'RAP TEMPLATE-GAS AVAILABILITY'!R913)/('RAP TEMPLATE-GAS AVAILABILITY'!O913+'RAP TEMPLATE-GAS AVAILABILITY'!P913+'RAP TEMPLATE-GAS AVAILABILITY'!Q913+'RAP TEMPLATE-GAS AVAILABILITY'!R913)</f>
        <v>100.59760575539568</v>
      </c>
    </row>
    <row r="915" spans="1:29" ht="15.75" x14ac:dyDescent="0.25">
      <c r="A915" s="32">
        <v>68758</v>
      </c>
      <c r="B915" s="14">
        <f>CHOOSE(CONTROL!$C$42, 99.4144, 99.4144) * CHOOSE(CONTROL!$C$21, $C$9, 100%, $E$9)</f>
        <v>99.414400000000001</v>
      </c>
      <c r="C915" s="14">
        <f>CHOOSE(CONTROL!$C$42, 99.4195, 99.4195) * CHOOSE(CONTROL!$C$21, $C$9, 100%, $E$9)</f>
        <v>99.419499999999999</v>
      </c>
      <c r="D915" s="14">
        <f>CHOOSE(CONTROL!$C$42, 99.5129, 99.5129) * CHOOSE(CONTROL!$C$21, $C$9, 100%, $E$9)</f>
        <v>99.512900000000002</v>
      </c>
      <c r="E915" s="14">
        <f>CHOOSE(CONTROL!$C$42, 99.547, 99.547) * CHOOSE(CONTROL!$C$21, $C$9, 100%, $E$9)</f>
        <v>99.546999999999997</v>
      </c>
      <c r="F915" s="14">
        <f>CHOOSE(CONTROL!$C$42, 99.4405, 99.4405)*CHOOSE(CONTROL!$C$21, $C$9, 100%, $E$9)</f>
        <v>99.4405</v>
      </c>
      <c r="G915" s="14">
        <f>CHOOSE(CONTROL!$C$42, 99.4581, 99.4581)*CHOOSE(CONTROL!$C$21, $C$9, 100%, $E$9)</f>
        <v>99.458100000000002</v>
      </c>
      <c r="H915" s="14">
        <f>CHOOSE(CONTROL!$C$42, 99.5362, 99.5362) * CHOOSE(CONTROL!$C$21, $C$9, 100%, $E$9)</f>
        <v>99.536199999999994</v>
      </c>
      <c r="I915" s="14">
        <f>CHOOSE(CONTROL!$C$42, 99.7516, 99.7516)* CHOOSE(CONTROL!$C$21, $C$9, 100%, $E$9)</f>
        <v>99.751599999999996</v>
      </c>
      <c r="J915" s="14">
        <f>CHOOSE(CONTROL!$C$42, 99.4335, 99.4335)* CHOOSE(CONTROL!$C$21, $C$9, 100%, $E$9)</f>
        <v>99.433499999999995</v>
      </c>
      <c r="K915" s="52">
        <f>CHOOSE(CONTROL!$C$42, 99.7478, 99.7478) * CHOOSE(CONTROL!$C$21, $C$9, 100%, $E$9)</f>
        <v>99.747799999999998</v>
      </c>
      <c r="L915" s="14">
        <f>CHOOSE(CONTROL!$C$42, 100.1232, 100.1232) * CHOOSE(CONTROL!$C$21, $C$9, 100%, $E$9)</f>
        <v>100.1232</v>
      </c>
      <c r="M915" s="14">
        <f>CHOOSE(CONTROL!$C$42, 97.6527, 97.6527) * CHOOSE(CONTROL!$C$21, $C$9, 100%, $E$9)</f>
        <v>97.652699999999996</v>
      </c>
      <c r="N915" s="14">
        <f>CHOOSE(CONTROL!$C$42, 97.67, 97.67) * CHOOSE(CONTROL!$C$21, $C$9, 100%, $E$9)</f>
        <v>97.67</v>
      </c>
      <c r="O915" s="14">
        <f>CHOOSE(CONTROL!$C$42, 97.7536, 97.7536) * CHOOSE(CONTROL!$C$21, $C$9, 100%, $E$9)</f>
        <v>97.753600000000006</v>
      </c>
      <c r="P915" s="14">
        <f>CHOOSE(CONTROL!$C$42, 97.9597, 97.9597) * CHOOSE(CONTROL!$C$21, $C$9, 100%, $E$9)</f>
        <v>97.959699999999998</v>
      </c>
      <c r="Q915" s="14">
        <f>CHOOSE(CONTROL!$C$42, 98.3483, 98.3483) * CHOOSE(CONTROL!$C$21, $C$9, 100%, $E$9)</f>
        <v>98.348299999999995</v>
      </c>
      <c r="R915" s="14">
        <f>CHOOSE(CONTROL!$C$42, 99.1812, 99.1812) * CHOOSE(CONTROL!$C$21, $C$9, 100%, $E$9)</f>
        <v>99.181200000000004</v>
      </c>
      <c r="S915" s="14">
        <f>CHOOSE(CONTROL!$C$42, 95.5188, 95.5188) * CHOOSE(CONTROL!$C$21, $C$9, 100%, $E$9)</f>
        <v>95.518799999999999</v>
      </c>
      <c r="T91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15" s="56">
        <f>(1000*CHOOSE(CONTROL!$C$42, 695, 695)*CHOOSE(CONTROL!$C$42, 0.5599, 0.5599)*CHOOSE(CONTROL!$C$42, 31, 31))/1000000</f>
        <v>12.063045499999998</v>
      </c>
      <c r="V915" s="56">
        <f>(1000*CHOOSE(CONTROL!$C$42, 500, 500)*CHOOSE(CONTROL!$C$42, 0.275, 0.275)*CHOOSE(CONTROL!$C$42, 31, 31))/1000000</f>
        <v>4.2625000000000002</v>
      </c>
      <c r="W915" s="56">
        <f>(1000*CHOOSE(CONTROL!$C$42, 0.1146, 0.1146)*CHOOSE(CONTROL!$C$42, 121.5, 121.5)*CHOOSE(CONTROL!$C$42, 31, 31))/1000000</f>
        <v>0.43164089999999994</v>
      </c>
      <c r="X915" s="56">
        <f>(31*0.1790888*100000/1000000)+(31*0.2374*100000/1000000)</f>
        <v>1.2911152800000001</v>
      </c>
      <c r="Y915" s="56"/>
      <c r="Z915" s="14"/>
      <c r="AA915" s="55"/>
      <c r="AB915" s="49">
        <f>(B915*122.58+C915*297.941+D915*89.177+E915*40.302+F915*40+G915*160+H915*0+I915*100+J915*300)/(122.58+297.941+89.177+40.302+0+40+160+100+300)</f>
        <v>99.469298677217395</v>
      </c>
      <c r="AC915" s="45">
        <f>(M915*'RAP TEMPLATE-GAS AVAILABILITY'!O914+N915*'RAP TEMPLATE-GAS AVAILABILITY'!P914+O915*'RAP TEMPLATE-GAS AVAILABILITY'!Q914+P915*'RAP TEMPLATE-GAS AVAILABILITY'!R914)/('RAP TEMPLATE-GAS AVAILABILITY'!O914+'RAP TEMPLATE-GAS AVAILABILITY'!P914+'RAP TEMPLATE-GAS AVAILABILITY'!Q914+'RAP TEMPLATE-GAS AVAILABILITY'!R914)</f>
        <v>97.743600000000001</v>
      </c>
    </row>
    <row r="916" spans="1:29" ht="15.75" x14ac:dyDescent="0.25">
      <c r="A916" s="32">
        <v>68788</v>
      </c>
      <c r="B916" s="14">
        <f>CHOOSE(CONTROL!$C$42, 99.1178, 99.1178) * CHOOSE(CONTROL!$C$21, $C$9, 100%, $E$9)</f>
        <v>99.117800000000003</v>
      </c>
      <c r="C916" s="14">
        <f>CHOOSE(CONTROL!$C$42, 99.1223, 99.1223) * CHOOSE(CONTROL!$C$21, $C$9, 100%, $E$9)</f>
        <v>99.122299999999996</v>
      </c>
      <c r="D916" s="14">
        <f>CHOOSE(CONTROL!$C$42, 99.3845, 99.3845) * CHOOSE(CONTROL!$C$21, $C$9, 100%, $E$9)</f>
        <v>99.384500000000003</v>
      </c>
      <c r="E916" s="14">
        <f>CHOOSE(CONTROL!$C$42, 99.4166, 99.4166) * CHOOSE(CONTROL!$C$21, $C$9, 100%, $E$9)</f>
        <v>99.416600000000003</v>
      </c>
      <c r="F916" s="14">
        <f>CHOOSE(CONTROL!$C$42, 99.1406, 99.1406)*CHOOSE(CONTROL!$C$21, $C$9, 100%, $E$9)</f>
        <v>99.140600000000006</v>
      </c>
      <c r="G916" s="14">
        <f>CHOOSE(CONTROL!$C$42, 99.1573, 99.1573)*CHOOSE(CONTROL!$C$21, $C$9, 100%, $E$9)</f>
        <v>99.157300000000006</v>
      </c>
      <c r="H916" s="14">
        <f>CHOOSE(CONTROL!$C$42, 99.4064, 99.4064) * CHOOSE(CONTROL!$C$21, $C$9, 100%, $E$9)</f>
        <v>99.406400000000005</v>
      </c>
      <c r="I916" s="14">
        <f>CHOOSE(CONTROL!$C$42, 99.4507, 99.4507)* CHOOSE(CONTROL!$C$21, $C$9, 100%, $E$9)</f>
        <v>99.450699999999998</v>
      </c>
      <c r="J916" s="14">
        <f>CHOOSE(CONTROL!$C$42, 99.1336, 99.1336)* CHOOSE(CONTROL!$C$21, $C$9, 100%, $E$9)</f>
        <v>99.133600000000001</v>
      </c>
      <c r="K916" s="52">
        <f>CHOOSE(CONTROL!$C$42, 99.4468, 99.4468) * CHOOSE(CONTROL!$C$21, $C$9, 100%, $E$9)</f>
        <v>99.446799999999996</v>
      </c>
      <c r="L916" s="14">
        <f>CHOOSE(CONTROL!$C$42, 99.9934, 99.9934) * CHOOSE(CONTROL!$C$21, $C$9, 100%, $E$9)</f>
        <v>99.993399999999994</v>
      </c>
      <c r="M916" s="14">
        <f>CHOOSE(CONTROL!$C$42, 97.3582, 97.3582) * CHOOSE(CONTROL!$C$21, $C$9, 100%, $E$9)</f>
        <v>97.358199999999997</v>
      </c>
      <c r="N916" s="14">
        <f>CHOOSE(CONTROL!$C$42, 97.3746, 97.3746) * CHOOSE(CONTROL!$C$21, $C$9, 100%, $E$9)</f>
        <v>97.374600000000001</v>
      </c>
      <c r="O916" s="14">
        <f>CHOOSE(CONTROL!$C$42, 97.6261, 97.6261) * CHOOSE(CONTROL!$C$21, $C$9, 100%, $E$9)</f>
        <v>97.626099999999994</v>
      </c>
      <c r="P916" s="14">
        <f>CHOOSE(CONTROL!$C$42, 97.6642, 97.6642) * CHOOSE(CONTROL!$C$21, $C$9, 100%, $E$9)</f>
        <v>97.664199999999994</v>
      </c>
      <c r="Q916" s="14">
        <f>CHOOSE(CONTROL!$C$42, 98.2208, 98.2208) * CHOOSE(CONTROL!$C$21, $C$9, 100%, $E$9)</f>
        <v>98.220799999999997</v>
      </c>
      <c r="R916" s="14">
        <f>CHOOSE(CONTROL!$C$42, 99.0533, 99.0533) * CHOOSE(CONTROL!$C$21, $C$9, 100%, $E$9)</f>
        <v>99.053299999999993</v>
      </c>
      <c r="S916" s="14">
        <f>CHOOSE(CONTROL!$C$42, 95.233, 95.233) * CHOOSE(CONTROL!$C$21, $C$9, 100%, $E$9)</f>
        <v>95.233000000000004</v>
      </c>
      <c r="T91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916" s="56">
        <f>(1000*CHOOSE(CONTROL!$C$42, 695, 695)*CHOOSE(CONTROL!$C$42, 0.5599, 0.5599)*CHOOSE(CONTROL!$C$42, 30, 30))/1000000</f>
        <v>11.673914999999997</v>
      </c>
      <c r="V916" s="56">
        <f>(1000*CHOOSE(CONTROL!$C$42, 500, 500)*CHOOSE(CONTROL!$C$42, 0.275, 0.275)*CHOOSE(CONTROL!$C$42, 30, 30))/1000000</f>
        <v>4.125</v>
      </c>
      <c r="W916" s="56">
        <f>(1000*CHOOSE(CONTROL!$C$42, 0.1146, 0.1146)*CHOOSE(CONTROL!$C$42, 121.5, 121.5)*CHOOSE(CONTROL!$C$42, 30, 30))/1000000</f>
        <v>0.417717</v>
      </c>
      <c r="X916" s="56">
        <f>(30*0.1790888*245000/1000000)+(30*0.2374*100000/1000000)</f>
        <v>2.0285026799999999</v>
      </c>
      <c r="Y916" s="56"/>
      <c r="Z916" s="14"/>
      <c r="AA916" s="55"/>
      <c r="AB916" s="49">
        <f>(B916*141.293+C916*267.993+D916*115.016+E916*89.698+F916*40+G916*185+H916*0+I916*100+J916*300)/(141.293+267.993+115.016+89.698+0+40+185+100+300)</f>
        <v>99.202490878208238</v>
      </c>
      <c r="AC916" s="45">
        <f>(M916*'RAP TEMPLATE-GAS AVAILABILITY'!O915+N916*'RAP TEMPLATE-GAS AVAILABILITY'!P915+O916*'RAP TEMPLATE-GAS AVAILABILITY'!Q915+P916*'RAP TEMPLATE-GAS AVAILABILITY'!R915)/('RAP TEMPLATE-GAS AVAILABILITY'!O915+'RAP TEMPLATE-GAS AVAILABILITY'!P915+'RAP TEMPLATE-GAS AVAILABILITY'!Q915+'RAP TEMPLATE-GAS AVAILABILITY'!R915)</f>
        <v>97.524594964028779</v>
      </c>
    </row>
    <row r="917" spans="1:29" ht="15.75" x14ac:dyDescent="0.25">
      <c r="A917" s="32">
        <v>68819</v>
      </c>
      <c r="B917" s="14">
        <f>CHOOSE(CONTROL!$C$42, 99.9939, 99.9939) * CHOOSE(CONTROL!$C$21, $C$9, 100%, $E$9)</f>
        <v>99.993899999999996</v>
      </c>
      <c r="C917" s="14">
        <f>CHOOSE(CONTROL!$C$42, 100.0019, 100.0019) * CHOOSE(CONTROL!$C$21, $C$9, 100%, $E$9)</f>
        <v>100.00190000000001</v>
      </c>
      <c r="D917" s="14">
        <f>CHOOSE(CONTROL!$C$42, 100.261, 100.261) * CHOOSE(CONTROL!$C$21, $C$9, 100%, $E$9)</f>
        <v>100.261</v>
      </c>
      <c r="E917" s="14">
        <f>CHOOSE(CONTROL!$C$42, 100.2925, 100.2925) * CHOOSE(CONTROL!$C$21, $C$9, 100%, $E$9)</f>
        <v>100.2925</v>
      </c>
      <c r="F917" s="14">
        <f>CHOOSE(CONTROL!$C$42, 100.0154, 100.0154)*CHOOSE(CONTROL!$C$21, $C$9, 100%, $E$9)</f>
        <v>100.0154</v>
      </c>
      <c r="G917" s="14">
        <f>CHOOSE(CONTROL!$C$42, 100.0324, 100.0324)*CHOOSE(CONTROL!$C$21, $C$9, 100%, $E$9)</f>
        <v>100.0324</v>
      </c>
      <c r="H917" s="14">
        <f>CHOOSE(CONTROL!$C$42, 100.2811, 100.2811) * CHOOSE(CONTROL!$C$21, $C$9, 100%, $E$9)</f>
        <v>100.2811</v>
      </c>
      <c r="I917" s="14">
        <f>CHOOSE(CONTROL!$C$42, 100.3282, 100.3282)* CHOOSE(CONTROL!$C$21, $C$9, 100%, $E$9)</f>
        <v>100.3282</v>
      </c>
      <c r="J917" s="14">
        <f>CHOOSE(CONTROL!$C$42, 100.0084, 100.0084)* CHOOSE(CONTROL!$C$21, $C$9, 100%, $E$9)</f>
        <v>100.00839999999999</v>
      </c>
      <c r="K917" s="52">
        <f>CHOOSE(CONTROL!$C$42, 100.3243, 100.3243) * CHOOSE(CONTROL!$C$21, $C$9, 100%, $E$9)</f>
        <v>100.32429999999999</v>
      </c>
      <c r="L917" s="14">
        <f>CHOOSE(CONTROL!$C$42, 100.8681, 100.8681) * CHOOSE(CONTROL!$C$21, $C$9, 100%, $E$9)</f>
        <v>100.8681</v>
      </c>
      <c r="M917" s="14">
        <f>CHOOSE(CONTROL!$C$42, 98.2173, 98.2173) * CHOOSE(CONTROL!$C$21, $C$9, 100%, $E$9)</f>
        <v>98.217299999999994</v>
      </c>
      <c r="N917" s="14">
        <f>CHOOSE(CONTROL!$C$42, 98.234, 98.234) * CHOOSE(CONTROL!$C$21, $C$9, 100%, $E$9)</f>
        <v>98.233999999999995</v>
      </c>
      <c r="O917" s="14">
        <f>CHOOSE(CONTROL!$C$42, 98.4851, 98.4851) * CHOOSE(CONTROL!$C$21, $C$9, 100%, $E$9)</f>
        <v>98.485100000000003</v>
      </c>
      <c r="P917" s="14">
        <f>CHOOSE(CONTROL!$C$42, 98.5258, 98.5258) * CHOOSE(CONTROL!$C$21, $C$9, 100%, $E$9)</f>
        <v>98.525800000000004</v>
      </c>
      <c r="Q917" s="14">
        <f>CHOOSE(CONTROL!$C$42, 99.0798, 99.0798) * CHOOSE(CONTROL!$C$21, $C$9, 100%, $E$9)</f>
        <v>99.079800000000006</v>
      </c>
      <c r="R917" s="14">
        <f>CHOOSE(CONTROL!$C$42, 99.9145, 99.9145) * CHOOSE(CONTROL!$C$21, $C$9, 100%, $E$9)</f>
        <v>99.914500000000004</v>
      </c>
      <c r="S917" s="14">
        <f>CHOOSE(CONTROL!$C$42, 96.0735, 96.0735) * CHOOSE(CONTROL!$C$21, $C$9, 100%, $E$9)</f>
        <v>96.073499999999996</v>
      </c>
      <c r="T91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917" s="56">
        <f>(1000*CHOOSE(CONTROL!$C$42, 695, 695)*CHOOSE(CONTROL!$C$42, 0.5599, 0.5599)*CHOOSE(CONTROL!$C$42, 31, 31))/1000000</f>
        <v>12.063045499999998</v>
      </c>
      <c r="V917" s="56">
        <f>(1000*CHOOSE(CONTROL!$C$42, 500, 500)*CHOOSE(CONTROL!$C$42, 0.275, 0.275)*CHOOSE(CONTROL!$C$42, 31, 31))/1000000</f>
        <v>4.2625000000000002</v>
      </c>
      <c r="W917" s="56">
        <f>(1000*CHOOSE(CONTROL!$C$42, 0.1146, 0.1146)*CHOOSE(CONTROL!$C$42, 121.5, 121.5)*CHOOSE(CONTROL!$C$42, 31, 31))/1000000</f>
        <v>0.43164089999999994</v>
      </c>
      <c r="X917" s="56">
        <f>(31*0.1790888*245000/1000000)+(31*0.2374*100000/1000000)</f>
        <v>2.0961194359999999</v>
      </c>
      <c r="Y917" s="56"/>
      <c r="Z917" s="14"/>
      <c r="AA917" s="55"/>
      <c r="AB917" s="49">
        <f>(B917*194.205+C917*267.466+D917*133.845+E917*53.484+F917*40+G917*185+H917*0+I917*100+J917*300)/(194.205+267.466+133.845+53.484+0+40+185+100+300)</f>
        <v>100.07209666397175</v>
      </c>
      <c r="AC917" s="45">
        <f>(M917*'RAP TEMPLATE-GAS AVAILABILITY'!O916+N917*'RAP TEMPLATE-GAS AVAILABILITY'!P916+O917*'RAP TEMPLATE-GAS AVAILABILITY'!Q916+P917*'RAP TEMPLATE-GAS AVAILABILITY'!R916)/('RAP TEMPLATE-GAS AVAILABILITY'!O916+'RAP TEMPLATE-GAS AVAILABILITY'!P916+'RAP TEMPLATE-GAS AVAILABILITY'!Q916+'RAP TEMPLATE-GAS AVAILABILITY'!R916)</f>
        <v>98.384026618705036</v>
      </c>
    </row>
    <row r="918" spans="1:29" ht="15.75" x14ac:dyDescent="0.25">
      <c r="A918" s="32">
        <v>68849</v>
      </c>
      <c r="B918" s="14">
        <f>CHOOSE(CONTROL!$C$42, 102.83, 102.83) * CHOOSE(CONTROL!$C$21, $C$9, 100%, $E$9)</f>
        <v>102.83</v>
      </c>
      <c r="C918" s="14">
        <f>CHOOSE(CONTROL!$C$42, 102.8381, 102.8381) * CHOOSE(CONTROL!$C$21, $C$9, 100%, $E$9)</f>
        <v>102.8381</v>
      </c>
      <c r="D918" s="14">
        <f>CHOOSE(CONTROL!$C$42, 103.0972, 103.0972) * CHOOSE(CONTROL!$C$21, $C$9, 100%, $E$9)</f>
        <v>103.0972</v>
      </c>
      <c r="E918" s="14">
        <f>CHOOSE(CONTROL!$C$42, 103.1286, 103.1286) * CHOOSE(CONTROL!$C$21, $C$9, 100%, $E$9)</f>
        <v>103.12860000000001</v>
      </c>
      <c r="F918" s="14">
        <f>CHOOSE(CONTROL!$C$42, 102.8518, 102.8518)*CHOOSE(CONTROL!$C$21, $C$9, 100%, $E$9)</f>
        <v>102.8518</v>
      </c>
      <c r="G918" s="14">
        <f>CHOOSE(CONTROL!$C$42, 102.8689, 102.8689)*CHOOSE(CONTROL!$C$21, $C$9, 100%, $E$9)</f>
        <v>102.8689</v>
      </c>
      <c r="H918" s="14">
        <f>CHOOSE(CONTROL!$C$42, 103.1173, 103.1173) * CHOOSE(CONTROL!$C$21, $C$9, 100%, $E$9)</f>
        <v>103.1173</v>
      </c>
      <c r="I918" s="14">
        <f>CHOOSE(CONTROL!$C$42, 103.1732, 103.1732)* CHOOSE(CONTROL!$C$21, $C$9, 100%, $E$9)</f>
        <v>103.17319999999999</v>
      </c>
      <c r="J918" s="14">
        <f>CHOOSE(CONTROL!$C$42, 102.8448, 102.8448)* CHOOSE(CONTROL!$C$21, $C$9, 100%, $E$9)</f>
        <v>102.84480000000001</v>
      </c>
      <c r="K918" s="52">
        <f>CHOOSE(CONTROL!$C$42, 103.1693, 103.1693) * CHOOSE(CONTROL!$C$21, $C$9, 100%, $E$9)</f>
        <v>103.16930000000001</v>
      </c>
      <c r="L918" s="14">
        <f>CHOOSE(CONTROL!$C$42, 103.7043, 103.7043) * CHOOSE(CONTROL!$C$21, $C$9, 100%, $E$9)</f>
        <v>103.7043</v>
      </c>
      <c r="M918" s="14">
        <f>CHOOSE(CONTROL!$C$42, 101.0027, 101.0027) * CHOOSE(CONTROL!$C$21, $C$9, 100%, $E$9)</f>
        <v>101.0027</v>
      </c>
      <c r="N918" s="14">
        <f>CHOOSE(CONTROL!$C$42, 101.0194, 101.0194) * CHOOSE(CONTROL!$C$21, $C$9, 100%, $E$9)</f>
        <v>101.0194</v>
      </c>
      <c r="O918" s="14">
        <f>CHOOSE(CONTROL!$C$42, 101.2702, 101.2702) * CHOOSE(CONTROL!$C$21, $C$9, 100%, $E$9)</f>
        <v>101.2702</v>
      </c>
      <c r="P918" s="14">
        <f>CHOOSE(CONTROL!$C$42, 101.3195, 101.3195) * CHOOSE(CONTROL!$C$21, $C$9, 100%, $E$9)</f>
        <v>101.31950000000001</v>
      </c>
      <c r="Q918" s="14">
        <f>CHOOSE(CONTROL!$C$42, 101.8649, 101.8649) * CHOOSE(CONTROL!$C$21, $C$9, 100%, $E$9)</f>
        <v>101.86490000000001</v>
      </c>
      <c r="R918" s="14">
        <f>CHOOSE(CONTROL!$C$42, 102.7066, 102.7066) * CHOOSE(CONTROL!$C$21, $C$9, 100%, $E$9)</f>
        <v>102.70659999999999</v>
      </c>
      <c r="S918" s="14">
        <f>CHOOSE(CONTROL!$C$42, 98.7988, 98.7988) * CHOOSE(CONTROL!$C$21, $C$9, 100%, $E$9)</f>
        <v>98.7988</v>
      </c>
      <c r="T91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18" s="56">
        <f>(1000*CHOOSE(CONTROL!$C$42, 695, 695)*CHOOSE(CONTROL!$C$42, 0.5599, 0.5599)*CHOOSE(CONTROL!$C$42, 30, 30))/1000000</f>
        <v>11.673914999999997</v>
      </c>
      <c r="V918" s="56">
        <f>(1000*CHOOSE(CONTROL!$C$42, 500, 500)*CHOOSE(CONTROL!$C$42, 0.275, 0.275)*CHOOSE(CONTROL!$C$42, 30, 30))/1000000</f>
        <v>4.125</v>
      </c>
      <c r="W918" s="56">
        <f>(1000*CHOOSE(CONTROL!$C$42, 0.1146, 0.1146)*CHOOSE(CONTROL!$C$42, 121.5, 121.5)*CHOOSE(CONTROL!$C$42, 30, 30))/1000000</f>
        <v>0.417717</v>
      </c>
      <c r="X918" s="56">
        <f>(30*0.1790888*245000/1000000)+(30*0.2374*100000/1000000)</f>
        <v>2.0285026799999999</v>
      </c>
      <c r="Y918" s="56"/>
      <c r="Z918" s="14"/>
      <c r="AA918" s="55"/>
      <c r="AB918" s="49">
        <f>(B918*194.205+C918*267.466+D918*133.845+E918*53.484+F918*40+G918*185+H918*0+I918*100+J918*300)/(194.205+267.466+133.845+53.484+0+40+185+100+300)</f>
        <v>102.90906489874413</v>
      </c>
      <c r="AC918" s="45">
        <f>(M918*'RAP TEMPLATE-GAS AVAILABILITY'!O917+N918*'RAP TEMPLATE-GAS AVAILABILITY'!P917+O918*'RAP TEMPLATE-GAS AVAILABILITY'!Q917+P918*'RAP TEMPLATE-GAS AVAILABILITY'!R917)/('RAP TEMPLATE-GAS AVAILABILITY'!O917+'RAP TEMPLATE-GAS AVAILABILITY'!P917+'RAP TEMPLATE-GAS AVAILABILITY'!Q917+'RAP TEMPLATE-GAS AVAILABILITY'!R917)</f>
        <v>101.17048489208635</v>
      </c>
    </row>
    <row r="919" spans="1:29" ht="15.75" x14ac:dyDescent="0.25">
      <c r="A919" s="32">
        <v>68880</v>
      </c>
      <c r="B919" s="14">
        <f>CHOOSE(CONTROL!$C$42, 100.8575, 100.8575) * CHOOSE(CONTROL!$C$21, $C$9, 100%, $E$9)</f>
        <v>100.8575</v>
      </c>
      <c r="C919" s="14">
        <f>CHOOSE(CONTROL!$C$42, 100.8655, 100.8655) * CHOOSE(CONTROL!$C$21, $C$9, 100%, $E$9)</f>
        <v>100.8655</v>
      </c>
      <c r="D919" s="14">
        <f>CHOOSE(CONTROL!$C$42, 101.1246, 101.1246) * CHOOSE(CONTROL!$C$21, $C$9, 100%, $E$9)</f>
        <v>101.1246</v>
      </c>
      <c r="E919" s="14">
        <f>CHOOSE(CONTROL!$C$42, 101.1561, 101.1561) * CHOOSE(CONTROL!$C$21, $C$9, 100%, $E$9)</f>
        <v>101.1561</v>
      </c>
      <c r="F919" s="14">
        <f>CHOOSE(CONTROL!$C$42, 100.8797, 100.8797)*CHOOSE(CONTROL!$C$21, $C$9, 100%, $E$9)</f>
        <v>100.8797</v>
      </c>
      <c r="G919" s="14">
        <f>CHOOSE(CONTROL!$C$42, 100.8968, 100.8968)*CHOOSE(CONTROL!$C$21, $C$9, 100%, $E$9)</f>
        <v>100.8968</v>
      </c>
      <c r="H919" s="14">
        <f>CHOOSE(CONTROL!$C$42, 101.1447, 101.1447) * CHOOSE(CONTROL!$C$21, $C$9, 100%, $E$9)</f>
        <v>101.1447</v>
      </c>
      <c r="I919" s="14">
        <f>CHOOSE(CONTROL!$C$42, 101.1945, 101.1945)* CHOOSE(CONTROL!$C$21, $C$9, 100%, $E$9)</f>
        <v>101.19450000000001</v>
      </c>
      <c r="J919" s="14">
        <f>CHOOSE(CONTROL!$C$42, 100.8727, 100.8727)* CHOOSE(CONTROL!$C$21, $C$9, 100%, $E$9)</f>
        <v>100.87269999999999</v>
      </c>
      <c r="K919" s="52">
        <f>CHOOSE(CONTROL!$C$42, 101.1906, 101.1906) * CHOOSE(CONTROL!$C$21, $C$9, 100%, $E$9)</f>
        <v>101.1906</v>
      </c>
      <c r="L919" s="14">
        <f>CHOOSE(CONTROL!$C$42, 101.7317, 101.7317) * CHOOSE(CONTROL!$C$21, $C$9, 100%, $E$9)</f>
        <v>101.7317</v>
      </c>
      <c r="M919" s="14">
        <f>CHOOSE(CONTROL!$C$42, 99.066, 99.066) * CHOOSE(CONTROL!$C$21, $C$9, 100%, $E$9)</f>
        <v>99.066000000000003</v>
      </c>
      <c r="N919" s="14">
        <f>CHOOSE(CONTROL!$C$42, 99.0829, 99.0829) * CHOOSE(CONTROL!$C$21, $C$9, 100%, $E$9)</f>
        <v>99.082899999999995</v>
      </c>
      <c r="O919" s="14">
        <f>CHOOSE(CONTROL!$C$42, 99.3331, 99.3331) * CHOOSE(CONTROL!$C$21, $C$9, 100%, $E$9)</f>
        <v>99.333100000000002</v>
      </c>
      <c r="P919" s="14">
        <f>CHOOSE(CONTROL!$C$42, 99.3765, 99.3765) * CHOOSE(CONTROL!$C$21, $C$9, 100%, $E$9)</f>
        <v>99.376499999999993</v>
      </c>
      <c r="Q919" s="14">
        <f>CHOOSE(CONTROL!$C$42, 99.9278, 99.9278) * CHOOSE(CONTROL!$C$21, $C$9, 100%, $E$9)</f>
        <v>99.927800000000005</v>
      </c>
      <c r="R919" s="14">
        <f>CHOOSE(CONTROL!$C$42, 100.7647, 100.7647) * CHOOSE(CONTROL!$C$21, $C$9, 100%, $E$9)</f>
        <v>100.7647</v>
      </c>
      <c r="S919" s="14">
        <f>CHOOSE(CONTROL!$C$42, 96.9033, 96.9033) * CHOOSE(CONTROL!$C$21, $C$9, 100%, $E$9)</f>
        <v>96.903300000000002</v>
      </c>
      <c r="T91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19" s="56">
        <f>(1000*CHOOSE(CONTROL!$C$42, 695, 695)*CHOOSE(CONTROL!$C$42, 0.5599, 0.5599)*CHOOSE(CONTROL!$C$42, 31, 31))/1000000</f>
        <v>12.063045499999998</v>
      </c>
      <c r="V919" s="56">
        <f>(1000*CHOOSE(CONTROL!$C$42, 500, 500)*CHOOSE(CONTROL!$C$42, 0.275, 0.275)*CHOOSE(CONTROL!$C$42, 31, 31))/1000000</f>
        <v>4.2625000000000002</v>
      </c>
      <c r="W919" s="56">
        <f>(1000*CHOOSE(CONTROL!$C$42, 0.1146, 0.1146)*CHOOSE(CONTROL!$C$42, 121.5, 121.5)*CHOOSE(CONTROL!$C$42, 31, 31))/1000000</f>
        <v>0.43164089999999994</v>
      </c>
      <c r="X919" s="56">
        <f>(31*0.1790888*245000/1000000)+(31*0.2374*100000/1000000)</f>
        <v>2.0961194359999999</v>
      </c>
      <c r="Y919" s="56"/>
      <c r="Z919" s="14"/>
      <c r="AA919" s="55"/>
      <c r="AB919" s="49">
        <f>(B919*194.205+C919*267.466+D919*133.845+E919*53.484+F919*40+G919*185+H919*0+I919*100+J919*300)/(194.205+267.466+133.845+53.484+0+40+185+100+300)</f>
        <v>100.93621157762949</v>
      </c>
      <c r="AC919" s="45">
        <f>(M919*'RAP TEMPLATE-GAS AVAILABILITY'!O918+N919*'RAP TEMPLATE-GAS AVAILABILITY'!P918+O919*'RAP TEMPLATE-GAS AVAILABILITY'!Q918+P919*'RAP TEMPLATE-GAS AVAILABILITY'!R918)/('RAP TEMPLATE-GAS AVAILABILITY'!O918+'RAP TEMPLATE-GAS AVAILABILITY'!P918+'RAP TEMPLATE-GAS AVAILABILITY'!Q918+'RAP TEMPLATE-GAS AVAILABILITY'!R918)</f>
        <v>99.232708633093523</v>
      </c>
    </row>
    <row r="920" spans="1:29" ht="15.75" x14ac:dyDescent="0.25">
      <c r="A920" s="32">
        <v>68911</v>
      </c>
      <c r="B920" s="14">
        <f>CHOOSE(CONTROL!$C$42, 95.8762, 95.8762) * CHOOSE(CONTROL!$C$21, $C$9, 100%, $E$9)</f>
        <v>95.876199999999997</v>
      </c>
      <c r="C920" s="14">
        <f>CHOOSE(CONTROL!$C$42, 95.8842, 95.8842) * CHOOSE(CONTROL!$C$21, $C$9, 100%, $E$9)</f>
        <v>95.884200000000007</v>
      </c>
      <c r="D920" s="14">
        <f>CHOOSE(CONTROL!$C$42, 96.1433, 96.1433) * CHOOSE(CONTROL!$C$21, $C$9, 100%, $E$9)</f>
        <v>96.143299999999996</v>
      </c>
      <c r="E920" s="14">
        <f>CHOOSE(CONTROL!$C$42, 96.1748, 96.1748) * CHOOSE(CONTROL!$C$21, $C$9, 100%, $E$9)</f>
        <v>96.174800000000005</v>
      </c>
      <c r="F920" s="14">
        <f>CHOOSE(CONTROL!$C$42, 95.8986, 95.8986)*CHOOSE(CONTROL!$C$21, $C$9, 100%, $E$9)</f>
        <v>95.898600000000002</v>
      </c>
      <c r="G920" s="14">
        <f>CHOOSE(CONTROL!$C$42, 95.9158, 95.9158)*CHOOSE(CONTROL!$C$21, $C$9, 100%, $E$9)</f>
        <v>95.915800000000004</v>
      </c>
      <c r="H920" s="14">
        <f>CHOOSE(CONTROL!$C$42, 96.1634, 96.1634) * CHOOSE(CONTROL!$C$21, $C$9, 100%, $E$9)</f>
        <v>96.163399999999996</v>
      </c>
      <c r="I920" s="14">
        <f>CHOOSE(CONTROL!$C$42, 96.1976, 96.1976)* CHOOSE(CONTROL!$C$21, $C$9, 100%, $E$9)</f>
        <v>96.197599999999994</v>
      </c>
      <c r="J920" s="14">
        <f>CHOOSE(CONTROL!$C$42, 95.8916, 95.8916)* CHOOSE(CONTROL!$C$21, $C$9, 100%, $E$9)</f>
        <v>95.891599999999997</v>
      </c>
      <c r="K920" s="52">
        <f>CHOOSE(CONTROL!$C$42, 96.1937, 96.1937) * CHOOSE(CONTROL!$C$21, $C$9, 100%, $E$9)</f>
        <v>96.193700000000007</v>
      </c>
      <c r="L920" s="14">
        <f>CHOOSE(CONTROL!$C$42, 96.7504, 96.7504) * CHOOSE(CONTROL!$C$21, $C$9, 100%, $E$9)</f>
        <v>96.750399999999999</v>
      </c>
      <c r="M920" s="14">
        <f>CHOOSE(CONTROL!$C$42, 94.1745, 94.1745) * CHOOSE(CONTROL!$C$21, $C$9, 100%, $E$9)</f>
        <v>94.174499999999995</v>
      </c>
      <c r="N920" s="14">
        <f>CHOOSE(CONTROL!$C$42, 94.1914, 94.1914) * CHOOSE(CONTROL!$C$21, $C$9, 100%, $E$9)</f>
        <v>94.191400000000002</v>
      </c>
      <c r="O920" s="14">
        <f>CHOOSE(CONTROL!$C$42, 94.4414, 94.4414) * CHOOSE(CONTROL!$C$21, $C$9, 100%, $E$9)</f>
        <v>94.441400000000002</v>
      </c>
      <c r="P920" s="14">
        <f>CHOOSE(CONTROL!$C$42, 94.4697, 94.4697) * CHOOSE(CONTROL!$C$21, $C$9, 100%, $E$9)</f>
        <v>94.469700000000003</v>
      </c>
      <c r="Q920" s="14">
        <f>CHOOSE(CONTROL!$C$42, 95.0361, 95.0361) * CHOOSE(CONTROL!$C$21, $C$9, 100%, $E$9)</f>
        <v>95.036100000000005</v>
      </c>
      <c r="R920" s="14">
        <f>CHOOSE(CONTROL!$C$42, 95.8607, 95.8607) * CHOOSE(CONTROL!$C$21, $C$9, 100%, $E$9)</f>
        <v>95.860699999999994</v>
      </c>
      <c r="S920" s="14">
        <f>CHOOSE(CONTROL!$C$42, 92.1168, 92.1168) * CHOOSE(CONTROL!$C$21, $C$9, 100%, $E$9)</f>
        <v>92.116799999999998</v>
      </c>
      <c r="T92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20" s="56">
        <f>(1000*CHOOSE(CONTROL!$C$42, 695, 695)*CHOOSE(CONTROL!$C$42, 0.5599, 0.5599)*CHOOSE(CONTROL!$C$42, 31, 31))/1000000</f>
        <v>12.063045499999998</v>
      </c>
      <c r="V920" s="56">
        <f>(1000*CHOOSE(CONTROL!$C$42, 500, 500)*CHOOSE(CONTROL!$C$42, 0.275, 0.275)*CHOOSE(CONTROL!$C$42, 31, 31))/1000000</f>
        <v>4.2625000000000002</v>
      </c>
      <c r="W920" s="56">
        <f>(1000*CHOOSE(CONTROL!$C$42, 0.1146, 0.1146)*CHOOSE(CONTROL!$C$42, 121.5, 121.5)*CHOOSE(CONTROL!$C$42, 31, 31))/1000000</f>
        <v>0.43164089999999994</v>
      </c>
      <c r="X920" s="56">
        <f>(31*0.1790888*245000/1000000)+(31*0.2374*100000/1000000)</f>
        <v>2.0961194359999999</v>
      </c>
      <c r="Y920" s="56"/>
      <c r="Z920" s="14"/>
      <c r="AA920" s="55"/>
      <c r="AB920" s="49">
        <f>(B920*194.205+C920*267.466+D920*133.845+E920*53.484+F920*40+G920*185+H920*0+I920*100+J920*300)/(194.205+267.466+133.845+53.484+0+40+185+100+300)</f>
        <v>95.953784026609114</v>
      </c>
      <c r="AC920" s="45">
        <f>(M920*'RAP TEMPLATE-GAS AVAILABILITY'!O919+N920*'RAP TEMPLATE-GAS AVAILABILITY'!P919+O920*'RAP TEMPLATE-GAS AVAILABILITY'!Q919+P920*'RAP TEMPLATE-GAS AVAILABILITY'!R919)/('RAP TEMPLATE-GAS AVAILABILITY'!O919+'RAP TEMPLATE-GAS AVAILABILITY'!P919+'RAP TEMPLATE-GAS AVAILABILITY'!Q919+'RAP TEMPLATE-GAS AVAILABILITY'!R919)</f>
        <v>94.338916546762576</v>
      </c>
    </row>
    <row r="921" spans="1:29" ht="15.75" x14ac:dyDescent="0.25">
      <c r="A921" s="32">
        <v>68941</v>
      </c>
      <c r="B921" s="14">
        <f>CHOOSE(CONTROL!$C$42, 89.7897, 89.7897) * CHOOSE(CONTROL!$C$21, $C$9, 100%, $E$9)</f>
        <v>89.789699999999996</v>
      </c>
      <c r="C921" s="14">
        <f>CHOOSE(CONTROL!$C$42, 89.7978, 89.7978) * CHOOSE(CONTROL!$C$21, $C$9, 100%, $E$9)</f>
        <v>89.797799999999995</v>
      </c>
      <c r="D921" s="14">
        <f>CHOOSE(CONTROL!$C$42, 90.0569, 90.0569) * CHOOSE(CONTROL!$C$21, $C$9, 100%, $E$9)</f>
        <v>90.056899999999999</v>
      </c>
      <c r="E921" s="14">
        <f>CHOOSE(CONTROL!$C$42, 90.0883, 90.0883) * CHOOSE(CONTROL!$C$21, $C$9, 100%, $E$9)</f>
        <v>90.088300000000004</v>
      </c>
      <c r="F921" s="14">
        <f>CHOOSE(CONTROL!$C$42, 89.8122, 89.8122)*CHOOSE(CONTROL!$C$21, $C$9, 100%, $E$9)</f>
        <v>89.812200000000004</v>
      </c>
      <c r="G921" s="14">
        <f>CHOOSE(CONTROL!$C$42, 89.8294, 89.8294)*CHOOSE(CONTROL!$C$21, $C$9, 100%, $E$9)</f>
        <v>89.829400000000007</v>
      </c>
      <c r="H921" s="14">
        <f>CHOOSE(CONTROL!$C$42, 90.077, 90.077) * CHOOSE(CONTROL!$C$21, $C$9, 100%, $E$9)</f>
        <v>90.076999999999998</v>
      </c>
      <c r="I921" s="14">
        <f>CHOOSE(CONTROL!$C$42, 90.092, 90.092)* CHOOSE(CONTROL!$C$21, $C$9, 100%, $E$9)</f>
        <v>90.091999999999999</v>
      </c>
      <c r="J921" s="14">
        <f>CHOOSE(CONTROL!$C$42, 89.8052, 89.8052)* CHOOSE(CONTROL!$C$21, $C$9, 100%, $E$9)</f>
        <v>89.805199999999999</v>
      </c>
      <c r="K921" s="52">
        <f>CHOOSE(CONTROL!$C$42, 90.0882, 90.0882) * CHOOSE(CONTROL!$C$21, $C$9, 100%, $E$9)</f>
        <v>90.088200000000001</v>
      </c>
      <c r="L921" s="14">
        <f>CHOOSE(CONTROL!$C$42, 90.664, 90.664) * CHOOSE(CONTROL!$C$21, $C$9, 100%, $E$9)</f>
        <v>90.664000000000001</v>
      </c>
      <c r="M921" s="14">
        <f>CHOOSE(CONTROL!$C$42, 88.1976, 88.1976) * CHOOSE(CONTROL!$C$21, $C$9, 100%, $E$9)</f>
        <v>88.197599999999994</v>
      </c>
      <c r="N921" s="14">
        <f>CHOOSE(CONTROL!$C$42, 88.2145, 88.2145) * CHOOSE(CONTROL!$C$21, $C$9, 100%, $E$9)</f>
        <v>88.214500000000001</v>
      </c>
      <c r="O921" s="14">
        <f>CHOOSE(CONTROL!$C$42, 88.4645, 88.4645) * CHOOSE(CONTROL!$C$21, $C$9, 100%, $E$9)</f>
        <v>88.464500000000001</v>
      </c>
      <c r="P921" s="14">
        <f>CHOOSE(CONTROL!$C$42, 88.4744, 88.4744) * CHOOSE(CONTROL!$C$21, $C$9, 100%, $E$9)</f>
        <v>88.474400000000003</v>
      </c>
      <c r="Q921" s="14">
        <f>CHOOSE(CONTROL!$C$42, 89.0592, 89.0592) * CHOOSE(CONTROL!$C$21, $C$9, 100%, $E$9)</f>
        <v>89.059200000000004</v>
      </c>
      <c r="R921" s="14">
        <f>CHOOSE(CONTROL!$C$42, 89.8688, 89.8688) * CHOOSE(CONTROL!$C$21, $C$9, 100%, $E$9)</f>
        <v>89.868799999999993</v>
      </c>
      <c r="S921" s="14">
        <f>CHOOSE(CONTROL!$C$42, 86.2683, 86.2683) * CHOOSE(CONTROL!$C$21, $C$9, 100%, $E$9)</f>
        <v>86.268299999999996</v>
      </c>
      <c r="T92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21" s="56">
        <f>(1000*CHOOSE(CONTROL!$C$42, 695, 695)*CHOOSE(CONTROL!$C$42, 0.5599, 0.5599)*CHOOSE(CONTROL!$C$42, 30, 30))/1000000</f>
        <v>11.673914999999997</v>
      </c>
      <c r="V921" s="56">
        <f>(1000*CHOOSE(CONTROL!$C$42, 500, 500)*CHOOSE(CONTROL!$C$42, 0.275, 0.275)*CHOOSE(CONTROL!$C$42, 30, 30))/1000000</f>
        <v>4.125</v>
      </c>
      <c r="W921" s="56">
        <f>(1000*CHOOSE(CONTROL!$C$42, 0.1146, 0.1146)*CHOOSE(CONTROL!$C$42, 121.5, 121.5)*CHOOSE(CONTROL!$C$42, 30, 30))/1000000</f>
        <v>0.417717</v>
      </c>
      <c r="X921" s="56">
        <f>(30*0.1790888*245000/1000000)+(30*0.2374*100000/1000000)</f>
        <v>2.0285026799999999</v>
      </c>
      <c r="Y921" s="56"/>
      <c r="Z921" s="14"/>
      <c r="AA921" s="55"/>
      <c r="AB921" s="49">
        <f>(B921*194.205+C921*267.466+D921*133.845+E921*53.484+F921*40+G921*185+H921*0+I921*100+J921*300)/(194.205+267.466+133.845+53.484+0+40+185+100+300)</f>
        <v>89.865857520408156</v>
      </c>
      <c r="AC921" s="45">
        <f>(M921*'RAP TEMPLATE-GAS AVAILABILITY'!O920+N921*'RAP TEMPLATE-GAS AVAILABILITY'!P920+O921*'RAP TEMPLATE-GAS AVAILABILITY'!Q920+P921*'RAP TEMPLATE-GAS AVAILABILITY'!R920)/('RAP TEMPLATE-GAS AVAILABILITY'!O920+'RAP TEMPLATE-GAS AVAILABILITY'!P920+'RAP TEMPLATE-GAS AVAILABILITY'!Q920+'RAP TEMPLATE-GAS AVAILABILITY'!R920)</f>
        <v>88.359369064748208</v>
      </c>
    </row>
    <row r="922" spans="1:29" ht="15.75" x14ac:dyDescent="0.25">
      <c r="A922" s="32">
        <v>68972</v>
      </c>
      <c r="B922" s="14">
        <f>CHOOSE(CONTROL!$C$42, 87.9651, 87.9651) * CHOOSE(CONTROL!$C$21, $C$9, 100%, $E$9)</f>
        <v>87.965100000000007</v>
      </c>
      <c r="C922" s="14">
        <f>CHOOSE(CONTROL!$C$42, 87.9704, 87.9704) * CHOOSE(CONTROL!$C$21, $C$9, 100%, $E$9)</f>
        <v>87.970399999999998</v>
      </c>
      <c r="D922" s="14">
        <f>CHOOSE(CONTROL!$C$42, 88.2345, 88.2345) * CHOOSE(CONTROL!$C$21, $C$9, 100%, $E$9)</f>
        <v>88.234499999999997</v>
      </c>
      <c r="E922" s="14">
        <f>CHOOSE(CONTROL!$C$42, 88.2636, 88.2636) * CHOOSE(CONTROL!$C$21, $C$9, 100%, $E$9)</f>
        <v>88.263599999999997</v>
      </c>
      <c r="F922" s="14">
        <f>CHOOSE(CONTROL!$C$42, 87.9898, 87.9898)*CHOOSE(CONTROL!$C$21, $C$9, 100%, $E$9)</f>
        <v>87.989800000000002</v>
      </c>
      <c r="G922" s="14">
        <f>CHOOSE(CONTROL!$C$42, 88.0069, 88.0069)*CHOOSE(CONTROL!$C$21, $C$9, 100%, $E$9)</f>
        <v>88.006900000000002</v>
      </c>
      <c r="H922" s="14">
        <f>CHOOSE(CONTROL!$C$42, 88.2541, 88.2541) * CHOOSE(CONTROL!$C$21, $C$9, 100%, $E$9)</f>
        <v>88.254099999999994</v>
      </c>
      <c r="I922" s="14">
        <f>CHOOSE(CONTROL!$C$42, 88.2635, 88.2635)* CHOOSE(CONTROL!$C$21, $C$9, 100%, $E$9)</f>
        <v>88.263499999999993</v>
      </c>
      <c r="J922" s="14">
        <f>CHOOSE(CONTROL!$C$42, 87.9828, 87.9828)* CHOOSE(CONTROL!$C$21, $C$9, 100%, $E$9)</f>
        <v>87.982799999999997</v>
      </c>
      <c r="K922" s="52">
        <f>CHOOSE(CONTROL!$C$42, 88.2596, 88.2596) * CHOOSE(CONTROL!$C$21, $C$9, 100%, $E$9)</f>
        <v>88.259600000000006</v>
      </c>
      <c r="L922" s="14">
        <f>CHOOSE(CONTROL!$C$42, 88.8411, 88.8411) * CHOOSE(CONTROL!$C$21, $C$9, 100%, $E$9)</f>
        <v>88.841099999999997</v>
      </c>
      <c r="M922" s="14">
        <f>CHOOSE(CONTROL!$C$42, 86.4079, 86.4079) * CHOOSE(CONTROL!$C$21, $C$9, 100%, $E$9)</f>
        <v>86.407899999999998</v>
      </c>
      <c r="N922" s="14">
        <f>CHOOSE(CONTROL!$C$42, 86.4247, 86.4247) * CHOOSE(CONTROL!$C$21, $C$9, 100%, $E$9)</f>
        <v>86.424700000000001</v>
      </c>
      <c r="O922" s="14">
        <f>CHOOSE(CONTROL!$C$42, 86.6744, 86.6744) * CHOOSE(CONTROL!$C$21, $C$9, 100%, $E$9)</f>
        <v>86.674400000000006</v>
      </c>
      <c r="P922" s="14">
        <f>CHOOSE(CONTROL!$C$42, 86.6788, 86.6788) * CHOOSE(CONTROL!$C$21, $C$9, 100%, $E$9)</f>
        <v>86.678799999999995</v>
      </c>
      <c r="Q922" s="14">
        <f>CHOOSE(CONTROL!$C$42, 87.2691, 87.2691) * CHOOSE(CONTROL!$C$21, $C$9, 100%, $E$9)</f>
        <v>87.269099999999995</v>
      </c>
      <c r="R922" s="14">
        <f>CHOOSE(CONTROL!$C$42, 88.0743, 88.0743) * CHOOSE(CONTROL!$C$21, $C$9, 100%, $E$9)</f>
        <v>88.074299999999994</v>
      </c>
      <c r="S922" s="14">
        <f>CHOOSE(CONTROL!$C$42, 84.5167, 84.5167) * CHOOSE(CONTROL!$C$21, $C$9, 100%, $E$9)</f>
        <v>84.5167</v>
      </c>
      <c r="T92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22" s="56">
        <f>(1000*CHOOSE(CONTROL!$C$42, 695, 695)*CHOOSE(CONTROL!$C$42, 0.5599, 0.5599)*CHOOSE(CONTROL!$C$42, 31, 31))/1000000</f>
        <v>12.063045499999998</v>
      </c>
      <c r="V922" s="56">
        <f>(1000*CHOOSE(CONTROL!$C$42, 500, 500)*CHOOSE(CONTROL!$C$42, 0.275, 0.275)*CHOOSE(CONTROL!$C$42, 31, 31))/1000000</f>
        <v>4.2625000000000002</v>
      </c>
      <c r="W922" s="56">
        <f>(1000*CHOOSE(CONTROL!$C$42, 0.1146, 0.1146)*CHOOSE(CONTROL!$C$42, 121.5, 121.5)*CHOOSE(CONTROL!$C$42, 31, 31))/1000000</f>
        <v>0.43164089999999994</v>
      </c>
      <c r="X922" s="56">
        <f>(31*0.1790888*245000/1000000)+(31*0.2374*100000/1000000)</f>
        <v>2.0961194359999999</v>
      </c>
      <c r="Y922" s="56"/>
      <c r="Z922" s="14"/>
      <c r="AA922" s="55"/>
      <c r="AB922" s="49">
        <f>(B922*131.881+C922*277.167+D922*79.08+E922*125.872+F922*40+G922*185+H922*0+I922*100+J922*300)/(131.881+277.167+79.08+125.872+0+40+185+100+300)</f>
        <v>88.04921374422922</v>
      </c>
      <c r="AC922" s="45">
        <f>(M922*'RAP TEMPLATE-GAS AVAILABILITY'!O921+N922*'RAP TEMPLATE-GAS AVAILABILITY'!P921+O922*'RAP TEMPLATE-GAS AVAILABILITY'!Q921+P922*'RAP TEMPLATE-GAS AVAILABILITY'!R921)/('RAP TEMPLATE-GAS AVAILABILITY'!O921+'RAP TEMPLATE-GAS AVAILABILITY'!P921+'RAP TEMPLATE-GAS AVAILABILITY'!Q921+'RAP TEMPLATE-GAS AVAILABILITY'!R921)</f>
        <v>86.568633093525193</v>
      </c>
    </row>
    <row r="923" spans="1:29" ht="15.75" x14ac:dyDescent="0.25">
      <c r="A923" s="32">
        <v>69002</v>
      </c>
      <c r="B923" s="14">
        <f>CHOOSE(CONTROL!$C$42, 90.2819, 90.2819) * CHOOSE(CONTROL!$C$21, $C$9, 100%, $E$9)</f>
        <v>90.281899999999993</v>
      </c>
      <c r="C923" s="14">
        <f>CHOOSE(CONTROL!$C$42, 90.2869, 90.2869) * CHOOSE(CONTROL!$C$21, $C$9, 100%, $E$9)</f>
        <v>90.286900000000003</v>
      </c>
      <c r="D923" s="14">
        <f>CHOOSE(CONTROL!$C$42, 90.37, 90.37) * CHOOSE(CONTROL!$C$21, $C$9, 100%, $E$9)</f>
        <v>90.37</v>
      </c>
      <c r="E923" s="14">
        <f>CHOOSE(CONTROL!$C$42, 90.4041, 90.4041) * CHOOSE(CONTROL!$C$21, $C$9, 100%, $E$9)</f>
        <v>90.4041</v>
      </c>
      <c r="F923" s="14">
        <f>CHOOSE(CONTROL!$C$42, 90.3095, 90.3095)*CHOOSE(CONTROL!$C$21, $C$9, 100%, $E$9)</f>
        <v>90.3095</v>
      </c>
      <c r="G923" s="14">
        <f>CHOOSE(CONTROL!$C$42, 90.3269, 90.3269)*CHOOSE(CONTROL!$C$21, $C$9, 100%, $E$9)</f>
        <v>90.326899999999995</v>
      </c>
      <c r="H923" s="14">
        <f>CHOOSE(CONTROL!$C$42, 90.3933, 90.3933) * CHOOSE(CONTROL!$C$21, $C$9, 100%, $E$9)</f>
        <v>90.393299999999996</v>
      </c>
      <c r="I923" s="14">
        <f>CHOOSE(CONTROL!$C$42, 90.5842, 90.5842)* CHOOSE(CONTROL!$C$21, $C$9, 100%, $E$9)</f>
        <v>90.584199999999996</v>
      </c>
      <c r="J923" s="14">
        <f>CHOOSE(CONTROL!$C$42, 90.3025, 90.3025)* CHOOSE(CONTROL!$C$21, $C$9, 100%, $E$9)</f>
        <v>90.302499999999995</v>
      </c>
      <c r="K923" s="52">
        <f>CHOOSE(CONTROL!$C$42, 90.5804, 90.5804) * CHOOSE(CONTROL!$C$21, $C$9, 100%, $E$9)</f>
        <v>90.580399999999997</v>
      </c>
      <c r="L923" s="14">
        <f>CHOOSE(CONTROL!$C$42, 90.9803, 90.9803) * CHOOSE(CONTROL!$C$21, $C$9, 100%, $E$9)</f>
        <v>90.9803</v>
      </c>
      <c r="M923" s="14">
        <f>CHOOSE(CONTROL!$C$42, 88.6859, 88.6859) * CHOOSE(CONTROL!$C$21, $C$9, 100%, $E$9)</f>
        <v>88.685900000000004</v>
      </c>
      <c r="N923" s="14">
        <f>CHOOSE(CONTROL!$C$42, 88.703, 88.703) * CHOOSE(CONTROL!$C$21, $C$9, 100%, $E$9)</f>
        <v>88.703000000000003</v>
      </c>
      <c r="O923" s="14">
        <f>CHOOSE(CONTROL!$C$42, 88.7751, 88.7751) * CHOOSE(CONTROL!$C$21, $C$9, 100%, $E$9)</f>
        <v>88.775099999999995</v>
      </c>
      <c r="P923" s="14">
        <f>CHOOSE(CONTROL!$C$42, 88.9577, 88.9577) * CHOOSE(CONTROL!$C$21, $C$9, 100%, $E$9)</f>
        <v>88.957700000000003</v>
      </c>
      <c r="Q923" s="14">
        <f>CHOOSE(CONTROL!$C$42, 89.3698, 89.3698) * CHOOSE(CONTROL!$C$21, $C$9, 100%, $E$9)</f>
        <v>89.369799999999998</v>
      </c>
      <c r="R923" s="14">
        <f>CHOOSE(CONTROL!$C$42, 90.1802, 90.1802) * CHOOSE(CONTROL!$C$21, $C$9, 100%, $E$9)</f>
        <v>90.180199999999999</v>
      </c>
      <c r="S923" s="14">
        <f>CHOOSE(CONTROL!$C$42, 86.7433, 86.7433) * CHOOSE(CONTROL!$C$21, $C$9, 100%, $E$9)</f>
        <v>86.743300000000005</v>
      </c>
      <c r="T92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23" s="56">
        <f>(1000*CHOOSE(CONTROL!$C$42, 695, 695)*CHOOSE(CONTROL!$C$42, 0.5599, 0.5599)*CHOOSE(CONTROL!$C$42, 30, 30))/1000000</f>
        <v>11.673914999999997</v>
      </c>
      <c r="V923" s="56">
        <f>(1000*CHOOSE(CONTROL!$C$42, 500, 500)*CHOOSE(CONTROL!$C$42, 0.275, 0.275)*CHOOSE(CONTROL!$C$42, 30, 30))/1000000</f>
        <v>4.125</v>
      </c>
      <c r="W923" s="56">
        <f>(1000*CHOOSE(CONTROL!$C$42, 0.1146, 0.1146)*CHOOSE(CONTROL!$C$42, 121.5, 121.5)*CHOOSE(CONTROL!$C$42, 30, 30))/1000000</f>
        <v>0.417717</v>
      </c>
      <c r="X923" s="56">
        <f>(30*0.1790888*100000/1000000)+(30*0.2374*100000/1000000)</f>
        <v>1.2494664</v>
      </c>
      <c r="Y923" s="56"/>
      <c r="Z923" s="14"/>
      <c r="AA923" s="55"/>
      <c r="AB923" s="49">
        <f>(B923*122.58+C923*297.941+D923*89.177+E923*40.302+F923*40+G923*160+H923*0+I923*100+J923*300)/(122.58+297.941+89.177+40.302+0+40+160+100+300)</f>
        <v>90.333191393999996</v>
      </c>
      <c r="AC923" s="45">
        <f>(M923*'RAP TEMPLATE-GAS AVAILABILITY'!O922+N923*'RAP TEMPLATE-GAS AVAILABILITY'!P922+O923*'RAP TEMPLATE-GAS AVAILABILITY'!Q922+P923*'RAP TEMPLATE-GAS AVAILABILITY'!R922)/('RAP TEMPLATE-GAS AVAILABILITY'!O922+'RAP TEMPLATE-GAS AVAILABILITY'!P922+'RAP TEMPLATE-GAS AVAILABILITY'!Q922+'RAP TEMPLATE-GAS AVAILABILITY'!R922)</f>
        <v>88.766420863309364</v>
      </c>
    </row>
    <row r="924" spans="1:29" ht="15.75" x14ac:dyDescent="0.25">
      <c r="A924" s="32">
        <v>69033</v>
      </c>
      <c r="B924" s="14">
        <f>CHOOSE(CONTROL!$C$42, 96.4366, 96.4366) * CHOOSE(CONTROL!$C$21, $C$9, 100%, $E$9)</f>
        <v>96.436599999999999</v>
      </c>
      <c r="C924" s="14">
        <f>CHOOSE(CONTROL!$C$42, 96.4417, 96.4417) * CHOOSE(CONTROL!$C$21, $C$9, 100%, $E$9)</f>
        <v>96.441699999999997</v>
      </c>
      <c r="D924" s="14">
        <f>CHOOSE(CONTROL!$C$42, 96.5247, 96.5247) * CHOOSE(CONTROL!$C$21, $C$9, 100%, $E$9)</f>
        <v>96.524699999999996</v>
      </c>
      <c r="E924" s="14">
        <f>CHOOSE(CONTROL!$C$42, 96.5588, 96.5588) * CHOOSE(CONTROL!$C$21, $C$9, 100%, $E$9)</f>
        <v>96.558800000000005</v>
      </c>
      <c r="F924" s="14">
        <f>CHOOSE(CONTROL!$C$42, 96.4667, 96.4667)*CHOOSE(CONTROL!$C$21, $C$9, 100%, $E$9)</f>
        <v>96.466700000000003</v>
      </c>
      <c r="G924" s="14">
        <f>CHOOSE(CONTROL!$C$42, 96.4847, 96.4847)*CHOOSE(CONTROL!$C$21, $C$9, 100%, $E$9)</f>
        <v>96.484700000000004</v>
      </c>
      <c r="H924" s="14">
        <f>CHOOSE(CONTROL!$C$42, 96.548, 96.548) * CHOOSE(CONTROL!$C$21, $C$9, 100%, $E$9)</f>
        <v>96.548000000000002</v>
      </c>
      <c r="I924" s="14">
        <f>CHOOSE(CONTROL!$C$42, 96.7582, 96.7582)* CHOOSE(CONTROL!$C$21, $C$9, 100%, $E$9)</f>
        <v>96.758200000000002</v>
      </c>
      <c r="J924" s="14">
        <f>CHOOSE(CONTROL!$C$42, 96.4597, 96.4597)* CHOOSE(CONTROL!$C$21, $C$9, 100%, $E$9)</f>
        <v>96.459699999999998</v>
      </c>
      <c r="K924" s="52">
        <f>CHOOSE(CONTROL!$C$42, 96.7544, 96.7544) * CHOOSE(CONTROL!$C$21, $C$9, 100%, $E$9)</f>
        <v>96.754400000000004</v>
      </c>
      <c r="L924" s="14">
        <f>CHOOSE(CONTROL!$C$42, 97.135, 97.135) * CHOOSE(CONTROL!$C$21, $C$9, 100%, $E$9)</f>
        <v>97.135000000000005</v>
      </c>
      <c r="M924" s="14">
        <f>CHOOSE(CONTROL!$C$42, 94.7324, 94.7324) * CHOOSE(CONTROL!$C$21, $C$9, 100%, $E$9)</f>
        <v>94.732399999999998</v>
      </c>
      <c r="N924" s="14">
        <f>CHOOSE(CONTROL!$C$42, 94.75, 94.75) * CHOOSE(CONTROL!$C$21, $C$9, 100%, $E$9)</f>
        <v>94.75</v>
      </c>
      <c r="O924" s="14">
        <f>CHOOSE(CONTROL!$C$42, 94.8191, 94.8191) * CHOOSE(CONTROL!$C$21, $C$9, 100%, $E$9)</f>
        <v>94.819100000000006</v>
      </c>
      <c r="P924" s="14">
        <f>CHOOSE(CONTROL!$C$42, 95.0203, 95.0203) * CHOOSE(CONTROL!$C$21, $C$9, 100%, $E$9)</f>
        <v>95.020300000000006</v>
      </c>
      <c r="Q924" s="14">
        <f>CHOOSE(CONTROL!$C$42, 95.4138, 95.4138) * CHOOSE(CONTROL!$C$21, $C$9, 100%, $E$9)</f>
        <v>95.413799999999995</v>
      </c>
      <c r="R924" s="14">
        <f>CHOOSE(CONTROL!$C$42, 96.2394, 96.2394) * CHOOSE(CONTROL!$C$21, $C$9, 100%, $E$9)</f>
        <v>96.239400000000003</v>
      </c>
      <c r="S924" s="14">
        <f>CHOOSE(CONTROL!$C$42, 92.6574, 92.6574) * CHOOSE(CONTROL!$C$21, $C$9, 100%, $E$9)</f>
        <v>92.657399999999996</v>
      </c>
      <c r="T92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24" s="56">
        <f>(1000*CHOOSE(CONTROL!$C$42, 695, 695)*CHOOSE(CONTROL!$C$42, 0.5599, 0.5599)*CHOOSE(CONTROL!$C$42, 31, 31))/1000000</f>
        <v>12.063045499999998</v>
      </c>
      <c r="V924" s="56">
        <f>(1000*CHOOSE(CONTROL!$C$42, 500, 500)*CHOOSE(CONTROL!$C$42, 0.275, 0.275)*CHOOSE(CONTROL!$C$42, 31, 31))/1000000</f>
        <v>4.2625000000000002</v>
      </c>
      <c r="W924" s="56">
        <f>(1000*CHOOSE(CONTROL!$C$42, 0.1146, 0.1146)*CHOOSE(CONTROL!$C$42, 121.5, 121.5)*CHOOSE(CONTROL!$C$42, 31, 31))/1000000</f>
        <v>0.43164089999999994</v>
      </c>
      <c r="X924" s="56">
        <f>(31*0.1790888*100000/1000000)+(31*0.2374*100000/1000000)</f>
        <v>1.2911152800000001</v>
      </c>
      <c r="Y924" s="56"/>
      <c r="Z924" s="14"/>
      <c r="AA924" s="55"/>
      <c r="AB924" s="49">
        <f>(B924*122.58+C924*297.941+D924*89.177+E924*40.302+F924*40+G924*160+H924*0+I924*100+J924*300)/(122.58+297.941+89.177+40.302+0+40+160+100+300)</f>
        <v>96.490765997565219</v>
      </c>
      <c r="AC924" s="45">
        <f>(M924*'RAP TEMPLATE-GAS AVAILABILITY'!O923+N924*'RAP TEMPLATE-GAS AVAILABILITY'!P923+O924*'RAP TEMPLATE-GAS AVAILABILITY'!Q923+P924*'RAP TEMPLATE-GAS AVAILABILITY'!R923)/('RAP TEMPLATE-GAS AVAILABILITY'!O923+'RAP TEMPLATE-GAS AVAILABILITY'!P923+'RAP TEMPLATE-GAS AVAILABILITY'!Q923+'RAP TEMPLATE-GAS AVAILABILITY'!R923)</f>
        <v>94.814133093525172</v>
      </c>
    </row>
    <row r="925" spans="1:29" ht="15.75" x14ac:dyDescent="0.25">
      <c r="A925" s="32">
        <v>69064</v>
      </c>
      <c r="B925" s="14">
        <f>CHOOSE(CONTROL!$C$42, 104.4305, 104.4305) * CHOOSE(CONTROL!$C$21, $C$9, 100%, $E$9)</f>
        <v>104.43049999999999</v>
      </c>
      <c r="C925" s="14">
        <f>CHOOSE(CONTROL!$C$42, 104.4355, 104.4355) * CHOOSE(CONTROL!$C$21, $C$9, 100%, $E$9)</f>
        <v>104.4355</v>
      </c>
      <c r="D925" s="14">
        <f>CHOOSE(CONTROL!$C$42, 104.529, 104.529) * CHOOSE(CONTROL!$C$21, $C$9, 100%, $E$9)</f>
        <v>104.529</v>
      </c>
      <c r="E925" s="14">
        <f>CHOOSE(CONTROL!$C$42, 104.5631, 104.5631) * CHOOSE(CONTROL!$C$21, $C$9, 100%, $E$9)</f>
        <v>104.56310000000001</v>
      </c>
      <c r="F925" s="14">
        <f>CHOOSE(CONTROL!$C$42, 104.4578, 104.4578)*CHOOSE(CONTROL!$C$21, $C$9, 100%, $E$9)</f>
        <v>104.45780000000001</v>
      </c>
      <c r="G925" s="14">
        <f>CHOOSE(CONTROL!$C$42, 104.4757, 104.4757)*CHOOSE(CONTROL!$C$21, $C$9, 100%, $E$9)</f>
        <v>104.4757</v>
      </c>
      <c r="H925" s="14">
        <f>CHOOSE(CONTROL!$C$42, 104.5523, 104.5523) * CHOOSE(CONTROL!$C$21, $C$9, 100%, $E$9)</f>
        <v>104.5523</v>
      </c>
      <c r="I925" s="14">
        <f>CHOOSE(CONTROL!$C$42, 104.7834, 104.7834)* CHOOSE(CONTROL!$C$21, $C$9, 100%, $E$9)</f>
        <v>104.7834</v>
      </c>
      <c r="J925" s="14">
        <f>CHOOSE(CONTROL!$C$42, 104.4508, 104.4508)* CHOOSE(CONTROL!$C$21, $C$9, 100%, $E$9)</f>
        <v>104.4508</v>
      </c>
      <c r="K925" s="52">
        <f>CHOOSE(CONTROL!$C$42, 104.7795, 104.7795) * CHOOSE(CONTROL!$C$21, $C$9, 100%, $E$9)</f>
        <v>104.7795</v>
      </c>
      <c r="L925" s="14">
        <f>CHOOSE(CONTROL!$C$42, 105.1393, 105.1393) * CHOOSE(CONTROL!$C$21, $C$9, 100%, $E$9)</f>
        <v>105.13930000000001</v>
      </c>
      <c r="M925" s="14">
        <f>CHOOSE(CONTROL!$C$42, 102.5797, 102.5797) * CHOOSE(CONTROL!$C$21, $C$9, 100%, $E$9)</f>
        <v>102.5797</v>
      </c>
      <c r="N925" s="14">
        <f>CHOOSE(CONTROL!$C$42, 102.5974, 102.5974) * CHOOSE(CONTROL!$C$21, $C$9, 100%, $E$9)</f>
        <v>102.59739999999999</v>
      </c>
      <c r="O925" s="14">
        <f>CHOOSE(CONTROL!$C$42, 102.6794, 102.6794) * CHOOSE(CONTROL!$C$21, $C$9, 100%, $E$9)</f>
        <v>102.6794</v>
      </c>
      <c r="P925" s="14">
        <f>CHOOSE(CONTROL!$C$42, 102.9007, 102.9007) * CHOOSE(CONTROL!$C$21, $C$9, 100%, $E$9)</f>
        <v>102.9007</v>
      </c>
      <c r="Q925" s="14">
        <f>CHOOSE(CONTROL!$C$42, 103.2741, 103.2741) * CHOOSE(CONTROL!$C$21, $C$9, 100%, $E$9)</f>
        <v>103.2741</v>
      </c>
      <c r="R925" s="14">
        <f>CHOOSE(CONTROL!$C$42, 104.1193, 104.1193) * CHOOSE(CONTROL!$C$21, $C$9, 100%, $E$9)</f>
        <v>104.1193</v>
      </c>
      <c r="S925" s="14">
        <f>CHOOSE(CONTROL!$C$42, 100.3387, 100.3387) * CHOOSE(CONTROL!$C$21, $C$9, 100%, $E$9)</f>
        <v>100.3387</v>
      </c>
      <c r="T92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25" s="56">
        <f>(1000*CHOOSE(CONTROL!$C$42, 695, 695)*CHOOSE(CONTROL!$C$42, 0.5599, 0.5599)*CHOOSE(CONTROL!$C$42, 31, 31))/1000000</f>
        <v>12.063045499999998</v>
      </c>
      <c r="V925" s="56">
        <f>(1000*CHOOSE(CONTROL!$C$42, 500, 500)*CHOOSE(CONTROL!$C$42, 0.275, 0.275)*CHOOSE(CONTROL!$C$42, 31, 31))/1000000</f>
        <v>4.2625000000000002</v>
      </c>
      <c r="W925" s="56">
        <f>(1000*CHOOSE(CONTROL!$C$42, 0.1146, 0.1146)*CHOOSE(CONTROL!$C$42, 121.5, 121.5)*CHOOSE(CONTROL!$C$42, 31, 31))/1000000</f>
        <v>0.43164089999999994</v>
      </c>
      <c r="X925" s="56">
        <f>(31*0.1790888*100000/1000000)+(31*0.2374*100000/1000000)</f>
        <v>1.2911152800000001</v>
      </c>
      <c r="Y925" s="56"/>
      <c r="Z925" s="14"/>
      <c r="AA925" s="55"/>
      <c r="AB925" s="49">
        <f>(B925*122.58+C925*297.941+D925*89.177+E925*40.302+F925*40+G925*160+H925*0+I925*100+J925*300)/(122.58+297.941+89.177+40.302+0+40+160+100+300)</f>
        <v>104.48730146495652</v>
      </c>
      <c r="AC925" s="45">
        <f>(M925*'RAP TEMPLATE-GAS AVAILABILITY'!O924+N925*'RAP TEMPLATE-GAS AVAILABILITY'!P924+O925*'RAP TEMPLATE-GAS AVAILABILITY'!Q924+P925*'RAP TEMPLATE-GAS AVAILABILITY'!R924)/('RAP TEMPLATE-GAS AVAILABILITY'!O924+'RAP TEMPLATE-GAS AVAILABILITY'!P924+'RAP TEMPLATE-GAS AVAILABILITY'!Q924+'RAP TEMPLATE-GAS AVAILABILITY'!R924)</f>
        <v>102.67209352517987</v>
      </c>
    </row>
    <row r="926" spans="1:29" ht="15.75" x14ac:dyDescent="0.25">
      <c r="A926" s="32">
        <v>69092</v>
      </c>
      <c r="B926" s="14">
        <f>CHOOSE(CONTROL!$C$42, 106.2893, 106.2893) * CHOOSE(CONTROL!$C$21, $C$9, 100%, $E$9)</f>
        <v>106.2893</v>
      </c>
      <c r="C926" s="14">
        <f>CHOOSE(CONTROL!$C$42, 106.2944, 106.2944) * CHOOSE(CONTROL!$C$21, $C$9, 100%, $E$9)</f>
        <v>106.2944</v>
      </c>
      <c r="D926" s="14">
        <f>CHOOSE(CONTROL!$C$42, 106.3878, 106.3878) * CHOOSE(CONTROL!$C$21, $C$9, 100%, $E$9)</f>
        <v>106.3878</v>
      </c>
      <c r="E926" s="14">
        <f>CHOOSE(CONTROL!$C$42, 106.422, 106.422) * CHOOSE(CONTROL!$C$21, $C$9, 100%, $E$9)</f>
        <v>106.422</v>
      </c>
      <c r="F926" s="14">
        <f>CHOOSE(CONTROL!$C$42, 106.3163, 106.3163)*CHOOSE(CONTROL!$C$21, $C$9, 100%, $E$9)</f>
        <v>106.3163</v>
      </c>
      <c r="G926" s="14">
        <f>CHOOSE(CONTROL!$C$42, 106.3341, 106.3341)*CHOOSE(CONTROL!$C$21, $C$9, 100%, $E$9)</f>
        <v>106.33410000000001</v>
      </c>
      <c r="H926" s="14">
        <f>CHOOSE(CONTROL!$C$42, 106.4112, 106.4112) * CHOOSE(CONTROL!$C$21, $C$9, 100%, $E$9)</f>
        <v>106.41119999999999</v>
      </c>
      <c r="I926" s="14">
        <f>CHOOSE(CONTROL!$C$42, 106.6481, 106.6481)* CHOOSE(CONTROL!$C$21, $C$9, 100%, $E$9)</f>
        <v>106.6481</v>
      </c>
      <c r="J926" s="14">
        <f>CHOOSE(CONTROL!$C$42, 106.3093, 106.3093)* CHOOSE(CONTROL!$C$21, $C$9, 100%, $E$9)</f>
        <v>106.30929999999999</v>
      </c>
      <c r="K926" s="52">
        <f>CHOOSE(CONTROL!$C$42, 106.6442, 106.6442) * CHOOSE(CONTROL!$C$21, $C$9, 100%, $E$9)</f>
        <v>106.6442</v>
      </c>
      <c r="L926" s="14">
        <f>CHOOSE(CONTROL!$C$42, 106.9982, 106.9982) * CHOOSE(CONTROL!$C$21, $C$9, 100%, $E$9)</f>
        <v>106.9982</v>
      </c>
      <c r="M926" s="14">
        <f>CHOOSE(CONTROL!$C$42, 104.4048, 104.4048) * CHOOSE(CONTROL!$C$21, $C$9, 100%, $E$9)</f>
        <v>104.40479999999999</v>
      </c>
      <c r="N926" s="14">
        <f>CHOOSE(CONTROL!$C$42, 104.4223, 104.4223) * CHOOSE(CONTROL!$C$21, $C$9, 100%, $E$9)</f>
        <v>104.42230000000001</v>
      </c>
      <c r="O926" s="14">
        <f>CHOOSE(CONTROL!$C$42, 104.5049, 104.5049) * CHOOSE(CONTROL!$C$21, $C$9, 100%, $E$9)</f>
        <v>104.50490000000001</v>
      </c>
      <c r="P926" s="14">
        <f>CHOOSE(CONTROL!$C$42, 104.7317, 104.7317) * CHOOSE(CONTROL!$C$21, $C$9, 100%, $E$9)</f>
        <v>104.7317</v>
      </c>
      <c r="Q926" s="14">
        <f>CHOOSE(CONTROL!$C$42, 105.0996, 105.0996) * CHOOSE(CONTROL!$C$21, $C$9, 100%, $E$9)</f>
        <v>105.0996</v>
      </c>
      <c r="R926" s="14">
        <f>CHOOSE(CONTROL!$C$42, 105.9493, 105.9493) * CHOOSE(CONTROL!$C$21, $C$9, 100%, $E$9)</f>
        <v>105.94929999999999</v>
      </c>
      <c r="S926" s="14">
        <f>CHOOSE(CONTROL!$C$42, 102.1249, 102.1249) * CHOOSE(CONTROL!$C$21, $C$9, 100%, $E$9)</f>
        <v>102.1249</v>
      </c>
      <c r="T92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926" s="56">
        <f>(1000*CHOOSE(CONTROL!$C$42, 695, 695)*CHOOSE(CONTROL!$C$42, 0.5599, 0.5599)*CHOOSE(CONTROL!$C$42, 28, 28))/1000000</f>
        <v>10.895653999999999</v>
      </c>
      <c r="V926" s="56">
        <f>(1000*CHOOSE(CONTROL!$C$42, 500, 500)*CHOOSE(CONTROL!$C$42, 0.275, 0.275)*CHOOSE(CONTROL!$C$42, 28, 28))/1000000</f>
        <v>3.85</v>
      </c>
      <c r="W926" s="56">
        <f>(1000*CHOOSE(CONTROL!$C$42, 0.1146, 0.1146)*CHOOSE(CONTROL!$C$42, 121.5, 121.5)*CHOOSE(CONTROL!$C$42, 28, 28))/1000000</f>
        <v>0.38986920000000003</v>
      </c>
      <c r="X926" s="56">
        <f>(28*0.1790888*100000/1000000)+(28*0.2374*100000/1000000)</f>
        <v>1.16616864</v>
      </c>
      <c r="Y926" s="56"/>
      <c r="Z926" s="14"/>
      <c r="AA926" s="55"/>
      <c r="AB926" s="49">
        <f>(B926*122.58+C926*297.941+D926*89.177+E926*40.302+F926*40+G926*160+H926*0+I926*100+J926*300)/(122.58+297.941+89.177+40.302+0+40+160+100+300)</f>
        <v>106.34649957304347</v>
      </c>
      <c r="AC926" s="45">
        <f>(M926*'RAP TEMPLATE-GAS AVAILABILITY'!O925+N926*'RAP TEMPLATE-GAS AVAILABILITY'!P925+O926*'RAP TEMPLATE-GAS AVAILABILITY'!Q925+P926*'RAP TEMPLATE-GAS AVAILABILITY'!R925)/('RAP TEMPLATE-GAS AVAILABILITY'!O925+'RAP TEMPLATE-GAS AVAILABILITY'!P925+'RAP TEMPLATE-GAS AVAILABILITY'!Q925+'RAP TEMPLATE-GAS AVAILABILITY'!R925)</f>
        <v>104.49821223021581</v>
      </c>
    </row>
    <row r="927" spans="1:29" ht="15.75" x14ac:dyDescent="0.25">
      <c r="A927" s="32">
        <v>69123</v>
      </c>
      <c r="B927" s="14">
        <f>CHOOSE(CONTROL!$C$42, 103.272, 103.272) * CHOOSE(CONTROL!$C$21, $C$9, 100%, $E$9)</f>
        <v>103.27200000000001</v>
      </c>
      <c r="C927" s="14">
        <f>CHOOSE(CONTROL!$C$42, 103.277, 103.277) * CHOOSE(CONTROL!$C$21, $C$9, 100%, $E$9)</f>
        <v>103.277</v>
      </c>
      <c r="D927" s="14">
        <f>CHOOSE(CONTROL!$C$42, 103.3705, 103.3705) * CHOOSE(CONTROL!$C$21, $C$9, 100%, $E$9)</f>
        <v>103.37050000000001</v>
      </c>
      <c r="E927" s="14">
        <f>CHOOSE(CONTROL!$C$42, 103.4046, 103.4046) * CHOOSE(CONTROL!$C$21, $C$9, 100%, $E$9)</f>
        <v>103.4046</v>
      </c>
      <c r="F927" s="14">
        <f>CHOOSE(CONTROL!$C$42, 103.298, 103.298)*CHOOSE(CONTROL!$C$21, $C$9, 100%, $E$9)</f>
        <v>103.298</v>
      </c>
      <c r="G927" s="14">
        <f>CHOOSE(CONTROL!$C$42, 103.3157, 103.3157)*CHOOSE(CONTROL!$C$21, $C$9, 100%, $E$9)</f>
        <v>103.31570000000001</v>
      </c>
      <c r="H927" s="14">
        <f>CHOOSE(CONTROL!$C$42, 103.3938, 103.3938) * CHOOSE(CONTROL!$C$21, $C$9, 100%, $E$9)</f>
        <v>103.3938</v>
      </c>
      <c r="I927" s="14">
        <f>CHOOSE(CONTROL!$C$42, 103.6213, 103.6213)* CHOOSE(CONTROL!$C$21, $C$9, 100%, $E$9)</f>
        <v>103.62130000000001</v>
      </c>
      <c r="J927" s="14">
        <f>CHOOSE(CONTROL!$C$42, 103.291, 103.291)* CHOOSE(CONTROL!$C$21, $C$9, 100%, $E$9)</f>
        <v>103.291</v>
      </c>
      <c r="K927" s="52">
        <f>CHOOSE(CONTROL!$C$42, 103.6174, 103.6174) * CHOOSE(CONTROL!$C$21, $C$9, 100%, $E$9)</f>
        <v>103.6174</v>
      </c>
      <c r="L927" s="14">
        <f>CHOOSE(CONTROL!$C$42, 103.9808, 103.9808) * CHOOSE(CONTROL!$C$21, $C$9, 100%, $E$9)</f>
        <v>103.9808</v>
      </c>
      <c r="M927" s="14">
        <f>CHOOSE(CONTROL!$C$42, 101.4409, 101.4409) * CHOOSE(CONTROL!$C$21, $C$9, 100%, $E$9)</f>
        <v>101.4409</v>
      </c>
      <c r="N927" s="14">
        <f>CHOOSE(CONTROL!$C$42, 101.4582, 101.4582) * CHOOSE(CONTROL!$C$21, $C$9, 100%, $E$9)</f>
        <v>101.45820000000001</v>
      </c>
      <c r="O927" s="14">
        <f>CHOOSE(CONTROL!$C$42, 101.5418, 101.5418) * CHOOSE(CONTROL!$C$21, $C$9, 100%, $E$9)</f>
        <v>101.54179999999999</v>
      </c>
      <c r="P927" s="14">
        <f>CHOOSE(CONTROL!$C$42, 101.7595, 101.7595) * CHOOSE(CONTROL!$C$21, $C$9, 100%, $E$9)</f>
        <v>101.7595</v>
      </c>
      <c r="Q927" s="14">
        <f>CHOOSE(CONTROL!$C$42, 102.1365, 102.1365) * CHOOSE(CONTROL!$C$21, $C$9, 100%, $E$9)</f>
        <v>102.1365</v>
      </c>
      <c r="R927" s="14">
        <f>CHOOSE(CONTROL!$C$42, 102.9788, 102.9788) * CHOOSE(CONTROL!$C$21, $C$9, 100%, $E$9)</f>
        <v>102.97880000000001</v>
      </c>
      <c r="S927" s="14">
        <f>CHOOSE(CONTROL!$C$42, 99.2255, 99.2255) * CHOOSE(CONTROL!$C$21, $C$9, 100%, $E$9)</f>
        <v>99.225499999999997</v>
      </c>
      <c r="T92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27" s="56">
        <f>(1000*CHOOSE(CONTROL!$C$42, 695, 695)*CHOOSE(CONTROL!$C$42, 0.5599, 0.5599)*CHOOSE(CONTROL!$C$42, 31, 31))/1000000</f>
        <v>12.063045499999998</v>
      </c>
      <c r="V927" s="56">
        <f>(1000*CHOOSE(CONTROL!$C$42, 500, 500)*CHOOSE(CONTROL!$C$42, 0.275, 0.275)*CHOOSE(CONTROL!$C$42, 31, 31))/1000000</f>
        <v>4.2625000000000002</v>
      </c>
      <c r="W927" s="56">
        <f>(1000*CHOOSE(CONTROL!$C$42, 0.1146, 0.1146)*CHOOSE(CONTROL!$C$42, 121.5, 121.5)*CHOOSE(CONTROL!$C$42, 31, 31))/1000000</f>
        <v>0.43164089999999994</v>
      </c>
      <c r="X927" s="56">
        <f>(31*0.1790888*100000/1000000)+(31*0.2374*100000/1000000)</f>
        <v>1.2911152800000001</v>
      </c>
      <c r="Y927" s="56"/>
      <c r="Z927" s="14"/>
      <c r="AA927" s="55"/>
      <c r="AB927" s="49">
        <f>(B927*122.58+C927*297.941+D927*89.177+E927*40.302+F927*40+G927*160+H927*0+I927*100+J927*300)/(122.58+297.941+89.177+40.302+0+40+160+100+300)</f>
        <v>103.32789537800001</v>
      </c>
      <c r="AC927" s="45">
        <f>(M927*'RAP TEMPLATE-GAS AVAILABILITY'!O926+N927*'RAP TEMPLATE-GAS AVAILABILITY'!P926+O927*'RAP TEMPLATE-GAS AVAILABILITY'!Q926+P927*'RAP TEMPLATE-GAS AVAILABILITY'!R926)/('RAP TEMPLATE-GAS AVAILABILITY'!O926+'RAP TEMPLATE-GAS AVAILABILITY'!P926+'RAP TEMPLATE-GAS AVAILABILITY'!Q926+'RAP TEMPLATE-GAS AVAILABILITY'!R926)</f>
        <v>101.5334690647482</v>
      </c>
    </row>
    <row r="928" spans="1:29" ht="15.75" x14ac:dyDescent="0.25">
      <c r="A928" s="32">
        <v>69153</v>
      </c>
      <c r="B928" s="14">
        <f>CHOOSE(CONTROL!$C$42, 102.9638, 102.9638) * CHOOSE(CONTROL!$C$21, $C$9, 100%, $E$9)</f>
        <v>102.96380000000001</v>
      </c>
      <c r="C928" s="14">
        <f>CHOOSE(CONTROL!$C$42, 102.9683, 102.9683) * CHOOSE(CONTROL!$C$21, $C$9, 100%, $E$9)</f>
        <v>102.9683</v>
      </c>
      <c r="D928" s="14">
        <f>CHOOSE(CONTROL!$C$42, 103.2305, 103.2305) * CHOOSE(CONTROL!$C$21, $C$9, 100%, $E$9)</f>
        <v>103.23050000000001</v>
      </c>
      <c r="E928" s="14">
        <f>CHOOSE(CONTROL!$C$42, 103.2626, 103.2626) * CHOOSE(CONTROL!$C$21, $C$9, 100%, $E$9)</f>
        <v>103.26260000000001</v>
      </c>
      <c r="F928" s="14">
        <f>CHOOSE(CONTROL!$C$42, 102.9866, 102.9866)*CHOOSE(CONTROL!$C$21, $C$9, 100%, $E$9)</f>
        <v>102.9866</v>
      </c>
      <c r="G928" s="14">
        <f>CHOOSE(CONTROL!$C$42, 103.0033, 103.0033)*CHOOSE(CONTROL!$C$21, $C$9, 100%, $E$9)</f>
        <v>103.0033</v>
      </c>
      <c r="H928" s="14">
        <f>CHOOSE(CONTROL!$C$42, 103.2524, 103.2524) * CHOOSE(CONTROL!$C$21, $C$9, 100%, $E$9)</f>
        <v>103.25239999999999</v>
      </c>
      <c r="I928" s="14">
        <f>CHOOSE(CONTROL!$C$42, 103.3087, 103.3087)* CHOOSE(CONTROL!$C$21, $C$9, 100%, $E$9)</f>
        <v>103.3087</v>
      </c>
      <c r="J928" s="14">
        <f>CHOOSE(CONTROL!$C$42, 102.9796, 102.9796)* CHOOSE(CONTROL!$C$21, $C$9, 100%, $E$9)</f>
        <v>102.9796</v>
      </c>
      <c r="K928" s="52">
        <f>CHOOSE(CONTROL!$C$42, 103.3048, 103.3048) * CHOOSE(CONTROL!$C$21, $C$9, 100%, $E$9)</f>
        <v>103.3048</v>
      </c>
      <c r="L928" s="14">
        <f>CHOOSE(CONTROL!$C$42, 103.8394, 103.8394) * CHOOSE(CONTROL!$C$21, $C$9, 100%, $E$9)</f>
        <v>103.8394</v>
      </c>
      <c r="M928" s="14">
        <f>CHOOSE(CONTROL!$C$42, 101.135, 101.135) * CHOOSE(CONTROL!$C$21, $C$9, 100%, $E$9)</f>
        <v>101.13500000000001</v>
      </c>
      <c r="N928" s="14">
        <f>CHOOSE(CONTROL!$C$42, 101.1514, 101.1514) * CHOOSE(CONTROL!$C$21, $C$9, 100%, $E$9)</f>
        <v>101.1514</v>
      </c>
      <c r="O928" s="14">
        <f>CHOOSE(CONTROL!$C$42, 101.4029, 101.4029) * CHOOSE(CONTROL!$C$21, $C$9, 100%, $E$9)</f>
        <v>101.4029</v>
      </c>
      <c r="P928" s="14">
        <f>CHOOSE(CONTROL!$C$42, 101.4526, 101.4526) * CHOOSE(CONTROL!$C$21, $C$9, 100%, $E$9)</f>
        <v>101.4526</v>
      </c>
      <c r="Q928" s="14">
        <f>CHOOSE(CONTROL!$C$42, 101.9976, 101.9976) * CHOOSE(CONTROL!$C$21, $C$9, 100%, $E$9)</f>
        <v>101.99760000000001</v>
      </c>
      <c r="R928" s="14">
        <f>CHOOSE(CONTROL!$C$42, 102.8396, 102.8396) * CHOOSE(CONTROL!$C$21, $C$9, 100%, $E$9)</f>
        <v>102.8396</v>
      </c>
      <c r="S928" s="14">
        <f>CHOOSE(CONTROL!$C$42, 98.9286, 98.9286) * CHOOSE(CONTROL!$C$21, $C$9, 100%, $E$9)</f>
        <v>98.928600000000003</v>
      </c>
      <c r="T92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928" s="56">
        <f>(1000*CHOOSE(CONTROL!$C$42, 695, 695)*CHOOSE(CONTROL!$C$42, 0.5599, 0.5599)*CHOOSE(CONTROL!$C$42, 30, 30))/1000000</f>
        <v>11.673914999999997</v>
      </c>
      <c r="V928" s="56">
        <f>(1000*CHOOSE(CONTROL!$C$42, 500, 500)*CHOOSE(CONTROL!$C$42, 0.275, 0.275)*CHOOSE(CONTROL!$C$42, 30, 30))/1000000</f>
        <v>4.125</v>
      </c>
      <c r="W928" s="56">
        <f>(1000*CHOOSE(CONTROL!$C$42, 0.1146, 0.1146)*CHOOSE(CONTROL!$C$42, 121.5, 121.5)*CHOOSE(CONTROL!$C$42, 30, 30))/1000000</f>
        <v>0.417717</v>
      </c>
      <c r="X928" s="56">
        <f>(30*0.1790888*245000/1000000)+(30*0.2374*100000/1000000)</f>
        <v>2.0285026799999999</v>
      </c>
      <c r="Y928" s="56"/>
      <c r="Z928" s="14"/>
      <c r="AA928" s="55"/>
      <c r="AB928" s="49">
        <f>(B928*141.293+C928*267.993+D928*115.016+E928*89.698+F928*40+G928*185+H928*0+I928*100+J928*300)/(141.293+267.993+115.016+89.698+0+40+185+100+300)</f>
        <v>103.04945940121065</v>
      </c>
      <c r="AC928" s="45">
        <f>(M928*'RAP TEMPLATE-GAS AVAILABILITY'!O927+N928*'RAP TEMPLATE-GAS AVAILABILITY'!P927+O928*'RAP TEMPLATE-GAS AVAILABILITY'!Q927+P928*'RAP TEMPLATE-GAS AVAILABILITY'!R927)/('RAP TEMPLATE-GAS AVAILABILITY'!O927+'RAP TEMPLATE-GAS AVAILABILITY'!P927+'RAP TEMPLATE-GAS AVAILABILITY'!Q927+'RAP TEMPLATE-GAS AVAILABILITY'!R927)</f>
        <v>101.30306402877697</v>
      </c>
    </row>
    <row r="929" spans="1:29" ht="15.75" x14ac:dyDescent="0.25">
      <c r="A929" s="32">
        <v>69184</v>
      </c>
      <c r="B929" s="14">
        <f>CHOOSE(CONTROL!$C$42, 103.8739, 103.8739) * CHOOSE(CONTROL!$C$21, $C$9, 100%, $E$9)</f>
        <v>103.87390000000001</v>
      </c>
      <c r="C929" s="14">
        <f>CHOOSE(CONTROL!$C$42, 103.8819, 103.8819) * CHOOSE(CONTROL!$C$21, $C$9, 100%, $E$9)</f>
        <v>103.8819</v>
      </c>
      <c r="D929" s="14">
        <f>CHOOSE(CONTROL!$C$42, 104.141, 104.141) * CHOOSE(CONTROL!$C$21, $C$9, 100%, $E$9)</f>
        <v>104.14100000000001</v>
      </c>
      <c r="E929" s="14">
        <f>CHOOSE(CONTROL!$C$42, 104.1724, 104.1724) * CHOOSE(CONTROL!$C$21, $C$9, 100%, $E$9)</f>
        <v>104.1724</v>
      </c>
      <c r="F929" s="14">
        <f>CHOOSE(CONTROL!$C$42, 103.8954, 103.8954)*CHOOSE(CONTROL!$C$21, $C$9, 100%, $E$9)</f>
        <v>103.8954</v>
      </c>
      <c r="G929" s="14">
        <f>CHOOSE(CONTROL!$C$42, 103.9123, 103.9123)*CHOOSE(CONTROL!$C$21, $C$9, 100%, $E$9)</f>
        <v>103.9123</v>
      </c>
      <c r="H929" s="14">
        <f>CHOOSE(CONTROL!$C$42, 104.1611, 104.1611) * CHOOSE(CONTROL!$C$21, $C$9, 100%, $E$9)</f>
        <v>104.1611</v>
      </c>
      <c r="I929" s="14">
        <f>CHOOSE(CONTROL!$C$42, 104.2203, 104.2203)* CHOOSE(CONTROL!$C$21, $C$9, 100%, $E$9)</f>
        <v>104.22029999999999</v>
      </c>
      <c r="J929" s="14">
        <f>CHOOSE(CONTROL!$C$42, 103.8884, 103.8884)* CHOOSE(CONTROL!$C$21, $C$9, 100%, $E$9)</f>
        <v>103.8884</v>
      </c>
      <c r="K929" s="52">
        <f>CHOOSE(CONTROL!$C$42, 104.2164, 104.2164) * CHOOSE(CONTROL!$C$21, $C$9, 100%, $E$9)</f>
        <v>104.21639999999999</v>
      </c>
      <c r="L929" s="14">
        <f>CHOOSE(CONTROL!$C$42, 104.7481, 104.7481) * CHOOSE(CONTROL!$C$21, $C$9, 100%, $E$9)</f>
        <v>104.74809999999999</v>
      </c>
      <c r="M929" s="14">
        <f>CHOOSE(CONTROL!$C$42, 102.0275, 102.0275) * CHOOSE(CONTROL!$C$21, $C$9, 100%, $E$9)</f>
        <v>102.0275</v>
      </c>
      <c r="N929" s="14">
        <f>CHOOSE(CONTROL!$C$42, 102.0441, 102.0441) * CHOOSE(CONTROL!$C$21, $C$9, 100%, $E$9)</f>
        <v>102.0441</v>
      </c>
      <c r="O929" s="14">
        <f>CHOOSE(CONTROL!$C$42, 102.2952, 102.2952) * CHOOSE(CONTROL!$C$21, $C$9, 100%, $E$9)</f>
        <v>102.29519999999999</v>
      </c>
      <c r="P929" s="14">
        <f>CHOOSE(CONTROL!$C$42, 102.3477, 102.3477) * CHOOSE(CONTROL!$C$21, $C$9, 100%, $E$9)</f>
        <v>102.3477</v>
      </c>
      <c r="Q929" s="14">
        <f>CHOOSE(CONTROL!$C$42, 102.8899, 102.8899) * CHOOSE(CONTROL!$C$21, $C$9, 100%, $E$9)</f>
        <v>102.8899</v>
      </c>
      <c r="R929" s="14">
        <f>CHOOSE(CONTROL!$C$42, 103.7342, 103.7342) * CHOOSE(CONTROL!$C$21, $C$9, 100%, $E$9)</f>
        <v>103.7342</v>
      </c>
      <c r="S929" s="14">
        <f>CHOOSE(CONTROL!$C$42, 99.8018, 99.8018) * CHOOSE(CONTROL!$C$21, $C$9, 100%, $E$9)</f>
        <v>99.8018</v>
      </c>
      <c r="T92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929" s="56">
        <f>(1000*CHOOSE(CONTROL!$C$42, 695, 695)*CHOOSE(CONTROL!$C$42, 0.5599, 0.5599)*CHOOSE(CONTROL!$C$42, 31, 31))/1000000</f>
        <v>12.063045499999998</v>
      </c>
      <c r="V929" s="56">
        <f>(1000*CHOOSE(CONTROL!$C$42, 500, 500)*CHOOSE(CONTROL!$C$42, 0.275, 0.275)*CHOOSE(CONTROL!$C$42, 31, 31))/1000000</f>
        <v>4.2625000000000002</v>
      </c>
      <c r="W929" s="56">
        <f>(1000*CHOOSE(CONTROL!$C$42, 0.1146, 0.1146)*CHOOSE(CONTROL!$C$42, 121.5, 121.5)*CHOOSE(CONTROL!$C$42, 31, 31))/1000000</f>
        <v>0.43164089999999994</v>
      </c>
      <c r="X929" s="56">
        <f>(31*0.1790888*245000/1000000)+(31*0.2374*100000/1000000)</f>
        <v>2.0961194359999999</v>
      </c>
      <c r="Y929" s="56"/>
      <c r="Z929" s="14"/>
      <c r="AA929" s="55"/>
      <c r="AB929" s="49">
        <f>(B929*194.205+C929*267.466+D929*133.845+E929*53.484+F929*40+G929*185+H929*0+I929*100+J929*300)/(194.205+267.466+133.845+53.484+0+40+185+100+300)</f>
        <v>103.95302770918367</v>
      </c>
      <c r="AC929" s="45">
        <f>(M929*'RAP TEMPLATE-GAS AVAILABILITY'!O928+N929*'RAP TEMPLATE-GAS AVAILABILITY'!P928+O929*'RAP TEMPLATE-GAS AVAILABILITY'!Q928+P929*'RAP TEMPLATE-GAS AVAILABILITY'!R928)/('RAP TEMPLATE-GAS AVAILABILITY'!O928+'RAP TEMPLATE-GAS AVAILABILITY'!P928+'RAP TEMPLATE-GAS AVAILABILITY'!Q928+'RAP TEMPLATE-GAS AVAILABILITY'!R928)</f>
        <v>102.19585899280575</v>
      </c>
    </row>
    <row r="930" spans="1:29" ht="15.75" x14ac:dyDescent="0.25">
      <c r="A930" s="32">
        <v>69214</v>
      </c>
      <c r="B930" s="14">
        <f>CHOOSE(CONTROL!$C$42, 106.82, 106.82) * CHOOSE(CONTROL!$C$21, $C$9, 100%, $E$9)</f>
        <v>106.82</v>
      </c>
      <c r="C930" s="14">
        <f>CHOOSE(CONTROL!$C$42, 106.8281, 106.8281) * CHOOSE(CONTROL!$C$21, $C$9, 100%, $E$9)</f>
        <v>106.82810000000001</v>
      </c>
      <c r="D930" s="14">
        <f>CHOOSE(CONTROL!$C$42, 107.0872, 107.0872) * CHOOSE(CONTROL!$C$21, $C$9, 100%, $E$9)</f>
        <v>107.0872</v>
      </c>
      <c r="E930" s="14">
        <f>CHOOSE(CONTROL!$C$42, 107.1186, 107.1186) * CHOOSE(CONTROL!$C$21, $C$9, 100%, $E$9)</f>
        <v>107.1186</v>
      </c>
      <c r="F930" s="14">
        <f>CHOOSE(CONTROL!$C$42, 106.8418, 106.8418)*CHOOSE(CONTROL!$C$21, $C$9, 100%, $E$9)</f>
        <v>106.84180000000001</v>
      </c>
      <c r="G930" s="14">
        <f>CHOOSE(CONTROL!$C$42, 106.8589, 106.8589)*CHOOSE(CONTROL!$C$21, $C$9, 100%, $E$9)</f>
        <v>106.85890000000001</v>
      </c>
      <c r="H930" s="14">
        <f>CHOOSE(CONTROL!$C$42, 107.1073, 107.1073) * CHOOSE(CONTROL!$C$21, $C$9, 100%, $E$9)</f>
        <v>107.1073</v>
      </c>
      <c r="I930" s="14">
        <f>CHOOSE(CONTROL!$C$42, 107.1757, 107.1757)* CHOOSE(CONTROL!$C$21, $C$9, 100%, $E$9)</f>
        <v>107.17570000000001</v>
      </c>
      <c r="J930" s="14">
        <f>CHOOSE(CONTROL!$C$42, 106.8348, 106.8348)* CHOOSE(CONTROL!$C$21, $C$9, 100%, $E$9)</f>
        <v>106.8348</v>
      </c>
      <c r="K930" s="52">
        <f>CHOOSE(CONTROL!$C$42, 107.1718, 107.1718) * CHOOSE(CONTROL!$C$21, $C$9, 100%, $E$9)</f>
        <v>107.1718</v>
      </c>
      <c r="L930" s="14">
        <f>CHOOSE(CONTROL!$C$42, 107.6943, 107.6943) * CHOOSE(CONTROL!$C$21, $C$9, 100%, $E$9)</f>
        <v>107.6943</v>
      </c>
      <c r="M930" s="14">
        <f>CHOOSE(CONTROL!$C$42, 104.9209, 104.9209) * CHOOSE(CONTROL!$C$21, $C$9, 100%, $E$9)</f>
        <v>104.9209</v>
      </c>
      <c r="N930" s="14">
        <f>CHOOSE(CONTROL!$C$42, 104.9376, 104.9376) * CHOOSE(CONTROL!$C$21, $C$9, 100%, $E$9)</f>
        <v>104.9376</v>
      </c>
      <c r="O930" s="14">
        <f>CHOOSE(CONTROL!$C$42, 105.1884, 105.1884) * CHOOSE(CONTROL!$C$21, $C$9, 100%, $E$9)</f>
        <v>105.1884</v>
      </c>
      <c r="P930" s="14">
        <f>CHOOSE(CONTROL!$C$42, 105.2498, 105.2498) * CHOOSE(CONTROL!$C$21, $C$9, 100%, $E$9)</f>
        <v>105.24979999999999</v>
      </c>
      <c r="Q930" s="14">
        <f>CHOOSE(CONTROL!$C$42, 105.7831, 105.7831) * CHOOSE(CONTROL!$C$21, $C$9, 100%, $E$9)</f>
        <v>105.7831</v>
      </c>
      <c r="R930" s="14">
        <f>CHOOSE(CONTROL!$C$42, 106.6346, 106.6346) * CHOOSE(CONTROL!$C$21, $C$9, 100%, $E$9)</f>
        <v>106.63460000000001</v>
      </c>
      <c r="S930" s="14">
        <f>CHOOSE(CONTROL!$C$42, 102.6327, 102.6327) * CHOOSE(CONTROL!$C$21, $C$9, 100%, $E$9)</f>
        <v>102.6327</v>
      </c>
      <c r="T93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30" s="56">
        <f>(1000*CHOOSE(CONTROL!$C$42, 695, 695)*CHOOSE(CONTROL!$C$42, 0.5599, 0.5599)*CHOOSE(CONTROL!$C$42, 30, 30))/1000000</f>
        <v>11.673914999999997</v>
      </c>
      <c r="V930" s="56">
        <f>(1000*CHOOSE(CONTROL!$C$42, 500, 500)*CHOOSE(CONTROL!$C$42, 0.275, 0.275)*CHOOSE(CONTROL!$C$42, 30, 30))/1000000</f>
        <v>4.125</v>
      </c>
      <c r="W930" s="56">
        <f>(1000*CHOOSE(CONTROL!$C$42, 0.1146, 0.1146)*CHOOSE(CONTROL!$C$42, 121.5, 121.5)*CHOOSE(CONTROL!$C$42, 30, 30))/1000000</f>
        <v>0.417717</v>
      </c>
      <c r="X930" s="56">
        <f>(30*0.1790888*245000/1000000)+(30*0.2374*100000/1000000)</f>
        <v>2.0285026799999999</v>
      </c>
      <c r="Y930" s="56"/>
      <c r="Z930" s="14"/>
      <c r="AA930" s="55"/>
      <c r="AB930" s="49">
        <f>(B930*194.205+C930*267.466+D930*133.845+E930*53.484+F930*40+G930*185+H930*0+I930*100+J930*300)/(194.205+267.466+133.845+53.484+0+40+185+100+300)</f>
        <v>106.90004606043956</v>
      </c>
      <c r="AC930" s="45">
        <f>(M930*'RAP TEMPLATE-GAS AVAILABILITY'!O929+N930*'RAP TEMPLATE-GAS AVAILABILITY'!P929+O930*'RAP TEMPLATE-GAS AVAILABILITY'!Q929+P930*'RAP TEMPLATE-GAS AVAILABILITY'!R929)/('RAP TEMPLATE-GAS AVAILABILITY'!O929+'RAP TEMPLATE-GAS AVAILABILITY'!P929+'RAP TEMPLATE-GAS AVAILABILITY'!Q929+'RAP TEMPLATE-GAS AVAILABILITY'!R929)</f>
        <v>105.09042589928056</v>
      </c>
    </row>
    <row r="931" spans="1:29" ht="15.75" x14ac:dyDescent="0.25">
      <c r="A931" s="32">
        <v>69245</v>
      </c>
      <c r="B931" s="14">
        <f>CHOOSE(CONTROL!$C$42, 104.771, 104.771) * CHOOSE(CONTROL!$C$21, $C$9, 100%, $E$9)</f>
        <v>104.771</v>
      </c>
      <c r="C931" s="14">
        <f>CHOOSE(CONTROL!$C$42, 104.779, 104.779) * CHOOSE(CONTROL!$C$21, $C$9, 100%, $E$9)</f>
        <v>104.779</v>
      </c>
      <c r="D931" s="14">
        <f>CHOOSE(CONTROL!$C$42, 105.0381, 105.0381) * CHOOSE(CONTROL!$C$21, $C$9, 100%, $E$9)</f>
        <v>105.0381</v>
      </c>
      <c r="E931" s="14">
        <f>CHOOSE(CONTROL!$C$42, 105.0695, 105.0695) * CHOOSE(CONTROL!$C$21, $C$9, 100%, $E$9)</f>
        <v>105.06950000000001</v>
      </c>
      <c r="F931" s="14">
        <f>CHOOSE(CONTROL!$C$42, 104.7932, 104.7932)*CHOOSE(CONTROL!$C$21, $C$9, 100%, $E$9)</f>
        <v>104.7932</v>
      </c>
      <c r="G931" s="14">
        <f>CHOOSE(CONTROL!$C$42, 104.8103, 104.8103)*CHOOSE(CONTROL!$C$21, $C$9, 100%, $E$9)</f>
        <v>104.8103</v>
      </c>
      <c r="H931" s="14">
        <f>CHOOSE(CONTROL!$C$42, 105.0582, 105.0582) * CHOOSE(CONTROL!$C$21, $C$9, 100%, $E$9)</f>
        <v>105.0582</v>
      </c>
      <c r="I931" s="14">
        <f>CHOOSE(CONTROL!$C$42, 105.1202, 105.1202)* CHOOSE(CONTROL!$C$21, $C$9, 100%, $E$9)</f>
        <v>105.1202</v>
      </c>
      <c r="J931" s="14">
        <f>CHOOSE(CONTROL!$C$42, 104.7862, 104.7862)* CHOOSE(CONTROL!$C$21, $C$9, 100%, $E$9)</f>
        <v>104.78619999999999</v>
      </c>
      <c r="K931" s="52">
        <f>CHOOSE(CONTROL!$C$42, 105.1163, 105.1163) * CHOOSE(CONTROL!$C$21, $C$9, 100%, $E$9)</f>
        <v>105.1163</v>
      </c>
      <c r="L931" s="14">
        <f>CHOOSE(CONTROL!$C$42, 105.6452, 105.6452) * CHOOSE(CONTROL!$C$21, $C$9, 100%, $E$9)</f>
        <v>105.6452</v>
      </c>
      <c r="M931" s="14">
        <f>CHOOSE(CONTROL!$C$42, 102.9091, 102.9091) * CHOOSE(CONTROL!$C$21, $C$9, 100%, $E$9)</f>
        <v>102.9091</v>
      </c>
      <c r="N931" s="14">
        <f>CHOOSE(CONTROL!$C$42, 102.9259, 102.9259) * CHOOSE(CONTROL!$C$21, $C$9, 100%, $E$9)</f>
        <v>102.9259</v>
      </c>
      <c r="O931" s="14">
        <f>CHOOSE(CONTROL!$C$42, 103.1762, 103.1762) * CHOOSE(CONTROL!$C$21, $C$9, 100%, $E$9)</f>
        <v>103.17619999999999</v>
      </c>
      <c r="P931" s="14">
        <f>CHOOSE(CONTROL!$C$42, 103.2314, 103.2314) * CHOOSE(CONTROL!$C$21, $C$9, 100%, $E$9)</f>
        <v>103.23139999999999</v>
      </c>
      <c r="Q931" s="14">
        <f>CHOOSE(CONTROL!$C$42, 103.7709, 103.7709) * CHOOSE(CONTROL!$C$21, $C$9, 100%, $E$9)</f>
        <v>103.7709</v>
      </c>
      <c r="R931" s="14">
        <f>CHOOSE(CONTROL!$C$42, 104.6173, 104.6173) * CHOOSE(CONTROL!$C$21, $C$9, 100%, $E$9)</f>
        <v>104.6173</v>
      </c>
      <c r="S931" s="14">
        <f>CHOOSE(CONTROL!$C$42, 100.6638, 100.6638) * CHOOSE(CONTROL!$C$21, $C$9, 100%, $E$9)</f>
        <v>100.66379999999999</v>
      </c>
      <c r="T93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31" s="56">
        <f>(1000*CHOOSE(CONTROL!$C$42, 695, 695)*CHOOSE(CONTROL!$C$42, 0.5599, 0.5599)*CHOOSE(CONTROL!$C$42, 31, 31))/1000000</f>
        <v>12.063045499999998</v>
      </c>
      <c r="V931" s="56">
        <f>(1000*CHOOSE(CONTROL!$C$42, 500, 500)*CHOOSE(CONTROL!$C$42, 0.275, 0.275)*CHOOSE(CONTROL!$C$42, 31, 31))/1000000</f>
        <v>4.2625000000000002</v>
      </c>
      <c r="W931" s="56">
        <f>(1000*CHOOSE(CONTROL!$C$42, 0.1146, 0.1146)*CHOOSE(CONTROL!$C$42, 121.5, 121.5)*CHOOSE(CONTROL!$C$42, 31, 31))/1000000</f>
        <v>0.43164089999999994</v>
      </c>
      <c r="X931" s="56">
        <f>(31*0.1790888*245000/1000000)+(31*0.2374*100000/1000000)</f>
        <v>2.0961194359999999</v>
      </c>
      <c r="Y931" s="56"/>
      <c r="Z931" s="14"/>
      <c r="AA931" s="55"/>
      <c r="AB931" s="49">
        <f>(B931*194.205+C931*267.466+D931*133.845+E931*53.484+F931*40+G931*185+H931*0+I931*100+J931*300)/(194.205+267.466+133.845+53.484+0+40+185+100+300)</f>
        <v>104.85066499332812</v>
      </c>
      <c r="AC931" s="45">
        <f>(M931*'RAP TEMPLATE-GAS AVAILABILITY'!O930+N931*'RAP TEMPLATE-GAS AVAILABILITY'!P930+O931*'RAP TEMPLATE-GAS AVAILABILITY'!Q930+P931*'RAP TEMPLATE-GAS AVAILABILITY'!R930)/('RAP TEMPLATE-GAS AVAILABILITY'!O930+'RAP TEMPLATE-GAS AVAILABILITY'!P930+'RAP TEMPLATE-GAS AVAILABILITY'!Q930+'RAP TEMPLATE-GAS AVAILABILITY'!R930)</f>
        <v>103.07750071942446</v>
      </c>
    </row>
    <row r="932" spans="1:29" ht="15.75" x14ac:dyDescent="0.25">
      <c r="A932" s="32">
        <v>69276</v>
      </c>
      <c r="B932" s="14">
        <f>CHOOSE(CONTROL!$C$42, 99.5963, 99.5963) * CHOOSE(CONTROL!$C$21, $C$9, 100%, $E$9)</f>
        <v>99.596299999999999</v>
      </c>
      <c r="C932" s="14">
        <f>CHOOSE(CONTROL!$C$42, 99.6044, 99.6044) * CHOOSE(CONTROL!$C$21, $C$9, 100%, $E$9)</f>
        <v>99.604399999999998</v>
      </c>
      <c r="D932" s="14">
        <f>CHOOSE(CONTROL!$C$42, 99.8635, 99.8635) * CHOOSE(CONTROL!$C$21, $C$9, 100%, $E$9)</f>
        <v>99.863500000000002</v>
      </c>
      <c r="E932" s="14">
        <f>CHOOSE(CONTROL!$C$42, 99.8949, 99.8949) * CHOOSE(CONTROL!$C$21, $C$9, 100%, $E$9)</f>
        <v>99.894900000000007</v>
      </c>
      <c r="F932" s="14">
        <f>CHOOSE(CONTROL!$C$42, 99.6187, 99.6187)*CHOOSE(CONTROL!$C$21, $C$9, 100%, $E$9)</f>
        <v>99.618700000000004</v>
      </c>
      <c r="G932" s="14">
        <f>CHOOSE(CONTROL!$C$42, 99.636, 99.636)*CHOOSE(CONTROL!$C$21, $C$9, 100%, $E$9)</f>
        <v>99.635999999999996</v>
      </c>
      <c r="H932" s="14">
        <f>CHOOSE(CONTROL!$C$42, 99.8836, 99.8836) * CHOOSE(CONTROL!$C$21, $C$9, 100%, $E$9)</f>
        <v>99.883600000000001</v>
      </c>
      <c r="I932" s="14">
        <f>CHOOSE(CONTROL!$C$42, 99.9294, 99.9294)* CHOOSE(CONTROL!$C$21, $C$9, 100%, $E$9)</f>
        <v>99.929400000000001</v>
      </c>
      <c r="J932" s="14">
        <f>CHOOSE(CONTROL!$C$42, 99.6117, 99.6117)* CHOOSE(CONTROL!$C$21, $C$9, 100%, $E$9)</f>
        <v>99.611699999999999</v>
      </c>
      <c r="K932" s="52">
        <f>CHOOSE(CONTROL!$C$42, 99.9255, 99.9255) * CHOOSE(CONTROL!$C$21, $C$9, 100%, $E$9)</f>
        <v>99.9255</v>
      </c>
      <c r="L932" s="14">
        <f>CHOOSE(CONTROL!$C$42, 100.4706, 100.4706) * CHOOSE(CONTROL!$C$21, $C$9, 100%, $E$9)</f>
        <v>100.4706</v>
      </c>
      <c r="M932" s="14">
        <f>CHOOSE(CONTROL!$C$42, 97.8278, 97.8278) * CHOOSE(CONTROL!$C$21, $C$9, 100%, $E$9)</f>
        <v>97.827799999999996</v>
      </c>
      <c r="N932" s="14">
        <f>CHOOSE(CONTROL!$C$42, 97.8446, 97.8446) * CHOOSE(CONTROL!$C$21, $C$9, 100%, $E$9)</f>
        <v>97.8446</v>
      </c>
      <c r="O932" s="14">
        <f>CHOOSE(CONTROL!$C$42, 98.0947, 98.0947) * CHOOSE(CONTROL!$C$21, $C$9, 100%, $E$9)</f>
        <v>98.094700000000003</v>
      </c>
      <c r="P932" s="14">
        <f>CHOOSE(CONTROL!$C$42, 98.1342, 98.1342) * CHOOSE(CONTROL!$C$21, $C$9, 100%, $E$9)</f>
        <v>98.134200000000007</v>
      </c>
      <c r="Q932" s="14">
        <f>CHOOSE(CONTROL!$C$42, 98.6894, 98.6894) * CHOOSE(CONTROL!$C$21, $C$9, 100%, $E$9)</f>
        <v>98.689400000000006</v>
      </c>
      <c r="R932" s="14">
        <f>CHOOSE(CONTROL!$C$42, 99.5231, 99.5231) * CHOOSE(CONTROL!$C$21, $C$9, 100%, $E$9)</f>
        <v>99.523099999999999</v>
      </c>
      <c r="S932" s="14">
        <f>CHOOSE(CONTROL!$C$42, 95.6915, 95.6915) * CHOOSE(CONTROL!$C$21, $C$9, 100%, $E$9)</f>
        <v>95.691500000000005</v>
      </c>
      <c r="T93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32" s="56">
        <f>(1000*CHOOSE(CONTROL!$C$42, 695, 695)*CHOOSE(CONTROL!$C$42, 0.5599, 0.5599)*CHOOSE(CONTROL!$C$42, 31, 31))/1000000</f>
        <v>12.063045499999998</v>
      </c>
      <c r="V932" s="56">
        <f>(1000*CHOOSE(CONTROL!$C$42, 500, 500)*CHOOSE(CONTROL!$C$42, 0.275, 0.275)*CHOOSE(CONTROL!$C$42, 31, 31))/1000000</f>
        <v>4.2625000000000002</v>
      </c>
      <c r="W932" s="56">
        <f>(1000*CHOOSE(CONTROL!$C$42, 0.1146, 0.1146)*CHOOSE(CONTROL!$C$42, 121.5, 121.5)*CHOOSE(CONTROL!$C$42, 31, 31))/1000000</f>
        <v>0.43164089999999994</v>
      </c>
      <c r="X932" s="56">
        <f>(31*0.1790888*245000/1000000)+(31*0.2374*100000/1000000)</f>
        <v>2.0961194359999999</v>
      </c>
      <c r="Y932" s="56"/>
      <c r="Z932" s="14"/>
      <c r="AA932" s="55"/>
      <c r="AB932" s="49">
        <f>(B932*194.205+C932*267.466+D932*133.845+E932*53.484+F932*40+G932*185+H932*0+I932*100+J932*300)/(194.205+267.466+133.845+53.484+0+40+185+100+300)</f>
        <v>99.674848415227629</v>
      </c>
      <c r="AC932" s="45">
        <f>(M932*'RAP TEMPLATE-GAS AVAILABILITY'!O931+N932*'RAP TEMPLATE-GAS AVAILABILITY'!P931+O932*'RAP TEMPLATE-GAS AVAILABILITY'!Q931+P932*'RAP TEMPLATE-GAS AVAILABILITY'!R931)/('RAP TEMPLATE-GAS AVAILABILITY'!O931+'RAP TEMPLATE-GAS AVAILABILITY'!P931+'RAP TEMPLATE-GAS AVAILABILITY'!Q931+'RAP TEMPLATE-GAS AVAILABILITY'!R931)</f>
        <v>97.993822302158279</v>
      </c>
    </row>
    <row r="933" spans="1:29" ht="15.75" x14ac:dyDescent="0.25">
      <c r="A933" s="32">
        <v>69306</v>
      </c>
      <c r="B933" s="14">
        <f>CHOOSE(CONTROL!$C$42, 93.2737, 93.2737) * CHOOSE(CONTROL!$C$21, $C$9, 100%, $E$9)</f>
        <v>93.273700000000005</v>
      </c>
      <c r="C933" s="14">
        <f>CHOOSE(CONTROL!$C$42, 93.2817, 93.2817) * CHOOSE(CONTROL!$C$21, $C$9, 100%, $E$9)</f>
        <v>93.281700000000001</v>
      </c>
      <c r="D933" s="14">
        <f>CHOOSE(CONTROL!$C$42, 93.5408, 93.5408) * CHOOSE(CONTROL!$C$21, $C$9, 100%, $E$9)</f>
        <v>93.540800000000004</v>
      </c>
      <c r="E933" s="14">
        <f>CHOOSE(CONTROL!$C$42, 93.5723, 93.5723) * CHOOSE(CONTROL!$C$21, $C$9, 100%, $E$9)</f>
        <v>93.572299999999998</v>
      </c>
      <c r="F933" s="14">
        <f>CHOOSE(CONTROL!$C$42, 93.2962, 93.2962)*CHOOSE(CONTROL!$C$21, $C$9, 100%, $E$9)</f>
        <v>93.296199999999999</v>
      </c>
      <c r="G933" s="14">
        <f>CHOOSE(CONTROL!$C$42, 93.3134, 93.3134)*CHOOSE(CONTROL!$C$21, $C$9, 100%, $E$9)</f>
        <v>93.313400000000001</v>
      </c>
      <c r="H933" s="14">
        <f>CHOOSE(CONTROL!$C$42, 93.5609, 93.5609) * CHOOSE(CONTROL!$C$21, $C$9, 100%, $E$9)</f>
        <v>93.560900000000004</v>
      </c>
      <c r="I933" s="14">
        <f>CHOOSE(CONTROL!$C$42, 93.5869, 93.5869)* CHOOSE(CONTROL!$C$21, $C$9, 100%, $E$9)</f>
        <v>93.5869</v>
      </c>
      <c r="J933" s="14">
        <f>CHOOSE(CONTROL!$C$42, 93.2892, 93.2892)* CHOOSE(CONTROL!$C$21, $C$9, 100%, $E$9)</f>
        <v>93.289199999999994</v>
      </c>
      <c r="K933" s="52">
        <f>CHOOSE(CONTROL!$C$42, 93.583, 93.583) * CHOOSE(CONTROL!$C$21, $C$9, 100%, $E$9)</f>
        <v>93.582999999999998</v>
      </c>
      <c r="L933" s="14">
        <f>CHOOSE(CONTROL!$C$42, 94.1479, 94.1479) * CHOOSE(CONTROL!$C$21, $C$9, 100%, $E$9)</f>
        <v>94.147900000000007</v>
      </c>
      <c r="M933" s="14">
        <f>CHOOSE(CONTROL!$C$42, 91.6189, 91.6189) * CHOOSE(CONTROL!$C$21, $C$9, 100%, $E$9)</f>
        <v>91.618899999999996</v>
      </c>
      <c r="N933" s="14">
        <f>CHOOSE(CONTROL!$C$42, 91.6358, 91.6358) * CHOOSE(CONTROL!$C$21, $C$9, 100%, $E$9)</f>
        <v>91.635800000000003</v>
      </c>
      <c r="O933" s="14">
        <f>CHOOSE(CONTROL!$C$42, 91.8858, 91.8858) * CHOOSE(CONTROL!$C$21, $C$9, 100%, $E$9)</f>
        <v>91.885800000000003</v>
      </c>
      <c r="P933" s="14">
        <f>CHOOSE(CONTROL!$C$42, 91.9062, 91.9062) * CHOOSE(CONTROL!$C$21, $C$9, 100%, $E$9)</f>
        <v>91.906199999999998</v>
      </c>
      <c r="Q933" s="14">
        <f>CHOOSE(CONTROL!$C$42, 92.4805, 92.4805) * CHOOSE(CONTROL!$C$21, $C$9, 100%, $E$9)</f>
        <v>92.480500000000006</v>
      </c>
      <c r="R933" s="14">
        <f>CHOOSE(CONTROL!$C$42, 93.2987, 93.2987) * CHOOSE(CONTROL!$C$21, $C$9, 100%, $E$9)</f>
        <v>93.298699999999997</v>
      </c>
      <c r="S933" s="14">
        <f>CHOOSE(CONTROL!$C$42, 89.6161, 89.6161) * CHOOSE(CONTROL!$C$21, $C$9, 100%, $E$9)</f>
        <v>89.616100000000003</v>
      </c>
      <c r="T93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33" s="56">
        <f>(1000*CHOOSE(CONTROL!$C$42, 695, 695)*CHOOSE(CONTROL!$C$42, 0.5599, 0.5599)*CHOOSE(CONTROL!$C$42, 30, 30))/1000000</f>
        <v>11.673914999999997</v>
      </c>
      <c r="V933" s="56">
        <f>(1000*CHOOSE(CONTROL!$C$42, 500, 500)*CHOOSE(CONTROL!$C$42, 0.275, 0.275)*CHOOSE(CONTROL!$C$42, 30, 30))/1000000</f>
        <v>4.125</v>
      </c>
      <c r="W933" s="56">
        <f>(1000*CHOOSE(CONTROL!$C$42, 0.1146, 0.1146)*CHOOSE(CONTROL!$C$42, 121.5, 121.5)*CHOOSE(CONTROL!$C$42, 30, 30))/1000000</f>
        <v>0.417717</v>
      </c>
      <c r="X933" s="56">
        <f>(30*0.1790888*245000/1000000)+(30*0.2374*100000/1000000)</f>
        <v>2.0285026799999999</v>
      </c>
      <c r="Y933" s="56"/>
      <c r="Z933" s="14"/>
      <c r="AA933" s="55"/>
      <c r="AB933" s="49">
        <f>(B933*194.205+C933*267.466+D933*133.845+E933*53.484+F933*40+G933*185+H933*0+I933*100+J933*300)/(194.205+267.466+133.845+53.484+0+40+185+100+300)</f>
        <v>93.350681593328105</v>
      </c>
      <c r="AC933" s="45">
        <f>(M933*'RAP TEMPLATE-GAS AVAILABILITY'!O932+N933*'RAP TEMPLATE-GAS AVAILABILITY'!P932+O933*'RAP TEMPLATE-GAS AVAILABILITY'!Q932+P933*'RAP TEMPLATE-GAS AVAILABILITY'!R932)/('RAP TEMPLATE-GAS AVAILABILITY'!O932+'RAP TEMPLATE-GAS AVAILABILITY'!P932+'RAP TEMPLATE-GAS AVAILABILITY'!Q932+'RAP TEMPLATE-GAS AVAILABILITY'!R932)</f>
        <v>91.782179856115121</v>
      </c>
    </row>
    <row r="934" spans="1:29" ht="15.75" x14ac:dyDescent="0.25">
      <c r="A934" s="32">
        <v>69337</v>
      </c>
      <c r="B934" s="14">
        <f>CHOOSE(CONTROL!$C$42, 91.3784, 91.3784) * CHOOSE(CONTROL!$C$21, $C$9, 100%, $E$9)</f>
        <v>91.378399999999999</v>
      </c>
      <c r="C934" s="14">
        <f>CHOOSE(CONTROL!$C$42, 91.3837, 91.3837) * CHOOSE(CONTROL!$C$21, $C$9, 100%, $E$9)</f>
        <v>91.383700000000005</v>
      </c>
      <c r="D934" s="14">
        <f>CHOOSE(CONTROL!$C$42, 91.6477, 91.6477) * CHOOSE(CONTROL!$C$21, $C$9, 100%, $E$9)</f>
        <v>91.6477</v>
      </c>
      <c r="E934" s="14">
        <f>CHOOSE(CONTROL!$C$42, 91.6769, 91.6769) * CHOOSE(CONTROL!$C$21, $C$9, 100%, $E$9)</f>
        <v>91.676900000000003</v>
      </c>
      <c r="F934" s="14">
        <f>CHOOSE(CONTROL!$C$42, 91.403, 91.403)*CHOOSE(CONTROL!$C$21, $C$9, 100%, $E$9)</f>
        <v>91.403000000000006</v>
      </c>
      <c r="G934" s="14">
        <f>CHOOSE(CONTROL!$C$42, 91.4201, 91.4201)*CHOOSE(CONTROL!$C$21, $C$9, 100%, $E$9)</f>
        <v>91.420100000000005</v>
      </c>
      <c r="H934" s="14">
        <f>CHOOSE(CONTROL!$C$42, 91.6673, 91.6673) * CHOOSE(CONTROL!$C$21, $C$9, 100%, $E$9)</f>
        <v>91.667299999999997</v>
      </c>
      <c r="I934" s="14">
        <f>CHOOSE(CONTROL!$C$42, 91.6874, 91.6874)* CHOOSE(CONTROL!$C$21, $C$9, 100%, $E$9)</f>
        <v>91.687399999999997</v>
      </c>
      <c r="J934" s="14">
        <f>CHOOSE(CONTROL!$C$42, 91.396, 91.396)* CHOOSE(CONTROL!$C$21, $C$9, 100%, $E$9)</f>
        <v>91.396000000000001</v>
      </c>
      <c r="K934" s="52">
        <f>CHOOSE(CONTROL!$C$42, 91.6835, 91.6835) * CHOOSE(CONTROL!$C$21, $C$9, 100%, $E$9)</f>
        <v>91.683499999999995</v>
      </c>
      <c r="L934" s="14">
        <f>CHOOSE(CONTROL!$C$42, 92.2543, 92.2543) * CHOOSE(CONTROL!$C$21, $C$9, 100%, $E$9)</f>
        <v>92.254300000000001</v>
      </c>
      <c r="M934" s="14">
        <f>CHOOSE(CONTROL!$C$42, 89.7598, 89.7598) * CHOOSE(CONTROL!$C$21, $C$9, 100%, $E$9)</f>
        <v>89.759799999999998</v>
      </c>
      <c r="N934" s="14">
        <f>CHOOSE(CONTROL!$C$42, 89.7766, 89.7766) * CHOOSE(CONTROL!$C$21, $C$9, 100%, $E$9)</f>
        <v>89.776600000000002</v>
      </c>
      <c r="O934" s="14">
        <f>CHOOSE(CONTROL!$C$42, 90.0262, 90.0262) * CHOOSE(CONTROL!$C$21, $C$9, 100%, $E$9)</f>
        <v>90.026200000000003</v>
      </c>
      <c r="P934" s="14">
        <f>CHOOSE(CONTROL!$C$42, 90.0409, 90.0409) * CHOOSE(CONTROL!$C$21, $C$9, 100%, $E$9)</f>
        <v>90.040899999999993</v>
      </c>
      <c r="Q934" s="14">
        <f>CHOOSE(CONTROL!$C$42, 90.6209, 90.6209) * CHOOSE(CONTROL!$C$21, $C$9, 100%, $E$9)</f>
        <v>90.620900000000006</v>
      </c>
      <c r="R934" s="14">
        <f>CHOOSE(CONTROL!$C$42, 91.4345, 91.4345) * CHOOSE(CONTROL!$C$21, $C$9, 100%, $E$9)</f>
        <v>91.4345</v>
      </c>
      <c r="S934" s="14">
        <f>CHOOSE(CONTROL!$C$42, 87.7965, 87.7965) * CHOOSE(CONTROL!$C$21, $C$9, 100%, $E$9)</f>
        <v>87.796499999999995</v>
      </c>
      <c r="T9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34" s="56">
        <f>(1000*CHOOSE(CONTROL!$C$42, 695, 695)*CHOOSE(CONTROL!$C$42, 0.5599, 0.5599)*CHOOSE(CONTROL!$C$42, 31, 31))/1000000</f>
        <v>12.063045499999998</v>
      </c>
      <c r="V934" s="56">
        <f>(1000*CHOOSE(CONTROL!$C$42, 500, 500)*CHOOSE(CONTROL!$C$42, 0.275, 0.275)*CHOOSE(CONTROL!$C$42, 31, 31))/1000000</f>
        <v>4.2625000000000002</v>
      </c>
      <c r="W934" s="56">
        <f>(1000*CHOOSE(CONTROL!$C$42, 0.1146, 0.1146)*CHOOSE(CONTROL!$C$42, 121.5, 121.5)*CHOOSE(CONTROL!$C$42, 31, 31))/1000000</f>
        <v>0.43164089999999994</v>
      </c>
      <c r="X934" s="56">
        <f>(31*0.1790888*245000/1000000)+(31*0.2374*100000/1000000)</f>
        <v>2.0961194359999999</v>
      </c>
      <c r="Y934" s="56"/>
      <c r="Z934" s="14"/>
      <c r="AA934" s="55"/>
      <c r="AB934" s="49">
        <f>(B934*131.881+C934*277.167+D934*79.08+E934*125.872+F934*40+G934*185+H934*0+I934*100+J934*300)/(131.881+277.167+79.08+125.872+0+40+185+100+300)</f>
        <v>91.463320517433431</v>
      </c>
      <c r="AC934" s="45">
        <f>(M934*'RAP TEMPLATE-GAS AVAILABILITY'!O933+N934*'RAP TEMPLATE-GAS AVAILABILITY'!P933+O934*'RAP TEMPLATE-GAS AVAILABILITY'!Q933+P934*'RAP TEMPLATE-GAS AVAILABILITY'!R933)/('RAP TEMPLATE-GAS AVAILABILITY'!O933+'RAP TEMPLATE-GAS AVAILABILITY'!P933+'RAP TEMPLATE-GAS AVAILABILITY'!Q933+'RAP TEMPLATE-GAS AVAILABILITY'!R933)</f>
        <v>89.92195539568344</v>
      </c>
    </row>
    <row r="935" spans="1:29" ht="15.75" x14ac:dyDescent="0.25">
      <c r="A935" s="32">
        <v>69367</v>
      </c>
      <c r="B935" s="14">
        <f>CHOOSE(CONTROL!$C$42, 93.785, 93.785) * CHOOSE(CONTROL!$C$21, $C$9, 100%, $E$9)</f>
        <v>93.784999999999997</v>
      </c>
      <c r="C935" s="14">
        <f>CHOOSE(CONTROL!$C$42, 93.7901, 93.7901) * CHOOSE(CONTROL!$C$21, $C$9, 100%, $E$9)</f>
        <v>93.790099999999995</v>
      </c>
      <c r="D935" s="14">
        <f>CHOOSE(CONTROL!$C$42, 93.8731, 93.8731) * CHOOSE(CONTROL!$C$21, $C$9, 100%, $E$9)</f>
        <v>93.873099999999994</v>
      </c>
      <c r="E935" s="14">
        <f>CHOOSE(CONTROL!$C$42, 93.9072, 93.9072) * CHOOSE(CONTROL!$C$21, $C$9, 100%, $E$9)</f>
        <v>93.907200000000003</v>
      </c>
      <c r="F935" s="14">
        <f>CHOOSE(CONTROL!$C$42, 93.8126, 93.8126)*CHOOSE(CONTROL!$C$21, $C$9, 100%, $E$9)</f>
        <v>93.812600000000003</v>
      </c>
      <c r="G935" s="14">
        <f>CHOOSE(CONTROL!$C$42, 93.83, 93.83)*CHOOSE(CONTROL!$C$21, $C$9, 100%, $E$9)</f>
        <v>93.83</v>
      </c>
      <c r="H935" s="14">
        <f>CHOOSE(CONTROL!$C$42, 93.8964, 93.8964) * CHOOSE(CONTROL!$C$21, $C$9, 100%, $E$9)</f>
        <v>93.8964</v>
      </c>
      <c r="I935" s="14">
        <f>CHOOSE(CONTROL!$C$42, 94.0984, 94.0984)* CHOOSE(CONTROL!$C$21, $C$9, 100%, $E$9)</f>
        <v>94.098399999999998</v>
      </c>
      <c r="J935" s="14">
        <f>CHOOSE(CONTROL!$C$42, 93.8056, 93.8056)* CHOOSE(CONTROL!$C$21, $C$9, 100%, $E$9)</f>
        <v>93.805599999999998</v>
      </c>
      <c r="K935" s="52">
        <f>CHOOSE(CONTROL!$C$42, 94.0945, 94.0945) * CHOOSE(CONTROL!$C$21, $C$9, 100%, $E$9)</f>
        <v>94.094499999999996</v>
      </c>
      <c r="L935" s="14">
        <f>CHOOSE(CONTROL!$C$42, 94.4834, 94.4834) * CHOOSE(CONTROL!$C$21, $C$9, 100%, $E$9)</f>
        <v>94.483400000000003</v>
      </c>
      <c r="M935" s="14">
        <f>CHOOSE(CONTROL!$C$42, 92.1261, 92.1261) * CHOOSE(CONTROL!$C$21, $C$9, 100%, $E$9)</f>
        <v>92.126099999999994</v>
      </c>
      <c r="N935" s="14">
        <f>CHOOSE(CONTROL!$C$42, 92.1431, 92.1431) * CHOOSE(CONTROL!$C$21, $C$9, 100%, $E$9)</f>
        <v>92.143100000000004</v>
      </c>
      <c r="O935" s="14">
        <f>CHOOSE(CONTROL!$C$42, 92.2153, 92.2153) * CHOOSE(CONTROL!$C$21, $C$9, 100%, $E$9)</f>
        <v>92.215299999999999</v>
      </c>
      <c r="P935" s="14">
        <f>CHOOSE(CONTROL!$C$42, 92.4084, 92.4084) * CHOOSE(CONTROL!$C$21, $C$9, 100%, $E$9)</f>
        <v>92.4084</v>
      </c>
      <c r="Q935" s="14">
        <f>CHOOSE(CONTROL!$C$42, 92.81, 92.81) * CHOOSE(CONTROL!$C$21, $C$9, 100%, $E$9)</f>
        <v>92.81</v>
      </c>
      <c r="R935" s="14">
        <f>CHOOSE(CONTROL!$C$42, 93.629, 93.629) * CHOOSE(CONTROL!$C$21, $C$9, 100%, $E$9)</f>
        <v>93.629000000000005</v>
      </c>
      <c r="S935" s="14">
        <f>CHOOSE(CONTROL!$C$42, 90.1095, 90.1095) * CHOOSE(CONTROL!$C$21, $C$9, 100%, $E$9)</f>
        <v>90.109499999999997</v>
      </c>
      <c r="T9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35" s="56">
        <f>(1000*CHOOSE(CONTROL!$C$42, 695, 695)*CHOOSE(CONTROL!$C$42, 0.5599, 0.5599)*CHOOSE(CONTROL!$C$42, 30, 30))/1000000</f>
        <v>11.673914999999997</v>
      </c>
      <c r="V935" s="56">
        <f>(1000*CHOOSE(CONTROL!$C$42, 500, 500)*CHOOSE(CONTROL!$C$42, 0.275, 0.275)*CHOOSE(CONTROL!$C$42, 30, 30))/1000000</f>
        <v>4.125</v>
      </c>
      <c r="W935" s="56">
        <f>(1000*CHOOSE(CONTROL!$C$42, 0.1146, 0.1146)*CHOOSE(CONTROL!$C$42, 121.5, 121.5)*CHOOSE(CONTROL!$C$42, 30, 30))/1000000</f>
        <v>0.417717</v>
      </c>
      <c r="X935" s="56">
        <f>(30*0.1790888*100000/1000000)+(30*0.2374*100000/1000000)</f>
        <v>1.2494664</v>
      </c>
      <c r="Y935" s="56"/>
      <c r="Z935" s="14"/>
      <c r="AA935" s="55"/>
      <c r="AB935" s="49">
        <f>(B935*122.58+C935*297.941+D935*89.177+E935*40.302+F935*40+G935*160+H935*0+I935*100+J935*300)/(122.58+297.941+89.177+40.302+0+40+160+100+300)</f>
        <v>93.837282519304352</v>
      </c>
      <c r="AC935" s="45">
        <f>(M935*'RAP TEMPLATE-GAS AVAILABILITY'!O934+N935*'RAP TEMPLATE-GAS AVAILABILITY'!P934+O935*'RAP TEMPLATE-GAS AVAILABILITY'!Q934+P935*'RAP TEMPLATE-GAS AVAILABILITY'!R934)/('RAP TEMPLATE-GAS AVAILABILITY'!O934+'RAP TEMPLATE-GAS AVAILABILITY'!P934+'RAP TEMPLATE-GAS AVAILABILITY'!Q934+'RAP TEMPLATE-GAS AVAILABILITY'!R934)</f>
        <v>92.20812589928056</v>
      </c>
    </row>
    <row r="936" spans="1:29" ht="15.75" x14ac:dyDescent="0.25">
      <c r="A936" s="32">
        <v>69398</v>
      </c>
      <c r="B936" s="14">
        <f>CHOOSE(CONTROL!$C$42, 100.1786, 100.1786) * CHOOSE(CONTROL!$C$21, $C$9, 100%, $E$9)</f>
        <v>100.1786</v>
      </c>
      <c r="C936" s="14">
        <f>CHOOSE(CONTROL!$C$42, 100.1836, 100.1836) * CHOOSE(CONTROL!$C$21, $C$9, 100%, $E$9)</f>
        <v>100.1836</v>
      </c>
      <c r="D936" s="14">
        <f>CHOOSE(CONTROL!$C$42, 100.2667, 100.2667) * CHOOSE(CONTROL!$C$21, $C$9, 100%, $E$9)</f>
        <v>100.2667</v>
      </c>
      <c r="E936" s="14">
        <f>CHOOSE(CONTROL!$C$42, 100.3008, 100.3008) * CHOOSE(CONTROL!$C$21, $C$9, 100%, $E$9)</f>
        <v>100.3008</v>
      </c>
      <c r="F936" s="14">
        <f>CHOOSE(CONTROL!$C$42, 100.2086, 100.2086)*CHOOSE(CONTROL!$C$21, $C$9, 100%, $E$9)</f>
        <v>100.2086</v>
      </c>
      <c r="G936" s="14">
        <f>CHOOSE(CONTROL!$C$42, 100.2267, 100.2267)*CHOOSE(CONTROL!$C$21, $C$9, 100%, $E$9)</f>
        <v>100.22669999999999</v>
      </c>
      <c r="H936" s="14">
        <f>CHOOSE(CONTROL!$C$42, 100.29, 100.29) * CHOOSE(CONTROL!$C$21, $C$9, 100%, $E$9)</f>
        <v>100.29</v>
      </c>
      <c r="I936" s="14">
        <f>CHOOSE(CONTROL!$C$42, 100.512, 100.512)* CHOOSE(CONTROL!$C$21, $C$9, 100%, $E$9)</f>
        <v>100.512</v>
      </c>
      <c r="J936" s="14">
        <f>CHOOSE(CONTROL!$C$42, 100.2016, 100.2016)* CHOOSE(CONTROL!$C$21, $C$9, 100%, $E$9)</f>
        <v>100.2016</v>
      </c>
      <c r="K936" s="52">
        <f>CHOOSE(CONTROL!$C$42, 100.5081, 100.5081) * CHOOSE(CONTROL!$C$21, $C$9, 100%, $E$9)</f>
        <v>100.5081</v>
      </c>
      <c r="L936" s="14">
        <f>CHOOSE(CONTROL!$C$42, 100.877, 100.877) * CHOOSE(CONTROL!$C$21, $C$9, 100%, $E$9)</f>
        <v>100.877</v>
      </c>
      <c r="M936" s="14">
        <f>CHOOSE(CONTROL!$C$42, 98.407, 98.407) * CHOOSE(CONTROL!$C$21, $C$9, 100%, $E$9)</f>
        <v>98.406999999999996</v>
      </c>
      <c r="N936" s="14">
        <f>CHOOSE(CONTROL!$C$42, 98.4247, 98.4247) * CHOOSE(CONTROL!$C$21, $C$9, 100%, $E$9)</f>
        <v>98.424700000000001</v>
      </c>
      <c r="O936" s="14">
        <f>CHOOSE(CONTROL!$C$42, 98.4938, 98.4938) * CHOOSE(CONTROL!$C$21, $C$9, 100%, $E$9)</f>
        <v>98.493799999999993</v>
      </c>
      <c r="P936" s="14">
        <f>CHOOSE(CONTROL!$C$42, 98.7063, 98.7063) * CHOOSE(CONTROL!$C$21, $C$9, 100%, $E$9)</f>
        <v>98.706299999999999</v>
      </c>
      <c r="Q936" s="14">
        <f>CHOOSE(CONTROL!$C$42, 99.0885, 99.0885) * CHOOSE(CONTROL!$C$21, $C$9, 100%, $E$9)</f>
        <v>99.088499999999996</v>
      </c>
      <c r="R936" s="14">
        <f>CHOOSE(CONTROL!$C$42, 99.9232, 99.9232) * CHOOSE(CONTROL!$C$21, $C$9, 100%, $E$9)</f>
        <v>99.923199999999994</v>
      </c>
      <c r="S936" s="14">
        <f>CHOOSE(CONTROL!$C$42, 96.2531, 96.2531) * CHOOSE(CONTROL!$C$21, $C$9, 100%, $E$9)</f>
        <v>96.253100000000003</v>
      </c>
      <c r="T9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36" s="56">
        <f>(1000*CHOOSE(CONTROL!$C$42, 695, 695)*CHOOSE(CONTROL!$C$42, 0.5599, 0.5599)*CHOOSE(CONTROL!$C$42, 31, 31))/1000000</f>
        <v>12.063045499999998</v>
      </c>
      <c r="V936" s="56">
        <f>(1000*CHOOSE(CONTROL!$C$42, 500, 500)*CHOOSE(CONTROL!$C$42, 0.275, 0.275)*CHOOSE(CONTROL!$C$42, 31, 31))/1000000</f>
        <v>4.2625000000000002</v>
      </c>
      <c r="W936" s="56">
        <f>(1000*CHOOSE(CONTROL!$C$42, 0.1146, 0.1146)*CHOOSE(CONTROL!$C$42, 121.5, 121.5)*CHOOSE(CONTROL!$C$42, 31, 31))/1000000</f>
        <v>0.43164089999999994</v>
      </c>
      <c r="X936" s="56">
        <f>(31*0.1790888*100000/1000000)+(31*0.2374*100000/1000000)</f>
        <v>1.2911152800000001</v>
      </c>
      <c r="Y936" s="56"/>
      <c r="Z936" s="14"/>
      <c r="AA936" s="55"/>
      <c r="AB936" s="49">
        <f>(B936*122.58+C936*297.941+D936*89.177+E936*40.302+F936*40+G936*160+H936*0+I936*100+J936*300)/(122.58+297.941+89.177+40.302+0+40+160+100+300)</f>
        <v>100.23373661139129</v>
      </c>
      <c r="AC936" s="45">
        <f>(M936*'RAP TEMPLATE-GAS AVAILABILITY'!O935+N936*'RAP TEMPLATE-GAS AVAILABILITY'!P935+O936*'RAP TEMPLATE-GAS AVAILABILITY'!Q935+P936*'RAP TEMPLATE-GAS AVAILABILITY'!R935)/('RAP TEMPLATE-GAS AVAILABILITY'!O935+'RAP TEMPLATE-GAS AVAILABILITY'!P935+'RAP TEMPLATE-GAS AVAILABILITY'!Q935+'RAP TEMPLATE-GAS AVAILABILITY'!R935)</f>
        <v>98.490424460431655</v>
      </c>
    </row>
    <row r="937" spans="1:29" ht="15.75" x14ac:dyDescent="0.25">
      <c r="A937" s="32">
        <v>69429</v>
      </c>
      <c r="B937" s="14">
        <f>CHOOSE(CONTROL!$C$42, 108.4827, 108.4827) * CHOOSE(CONTROL!$C$21, $C$9, 100%, $E$9)</f>
        <v>108.48269999999999</v>
      </c>
      <c r="C937" s="14">
        <f>CHOOSE(CONTROL!$C$42, 108.4877, 108.4877) * CHOOSE(CONTROL!$C$21, $C$9, 100%, $E$9)</f>
        <v>108.4877</v>
      </c>
      <c r="D937" s="14">
        <f>CHOOSE(CONTROL!$C$42, 108.5812, 108.5812) * CHOOSE(CONTROL!$C$21, $C$9, 100%, $E$9)</f>
        <v>108.5812</v>
      </c>
      <c r="E937" s="14">
        <f>CHOOSE(CONTROL!$C$42, 108.6153, 108.6153) * CHOOSE(CONTROL!$C$21, $C$9, 100%, $E$9)</f>
        <v>108.6153</v>
      </c>
      <c r="F937" s="14">
        <f>CHOOSE(CONTROL!$C$42, 108.51, 108.51)*CHOOSE(CONTROL!$C$21, $C$9, 100%, $E$9)</f>
        <v>108.51</v>
      </c>
      <c r="G937" s="14">
        <f>CHOOSE(CONTROL!$C$42, 108.5279, 108.5279)*CHOOSE(CONTROL!$C$21, $C$9, 100%, $E$9)</f>
        <v>108.5279</v>
      </c>
      <c r="H937" s="14">
        <f>CHOOSE(CONTROL!$C$42, 108.6045, 108.6045) * CHOOSE(CONTROL!$C$21, $C$9, 100%, $E$9)</f>
        <v>108.6045</v>
      </c>
      <c r="I937" s="14">
        <f>CHOOSE(CONTROL!$C$42, 108.8483, 108.8483)* CHOOSE(CONTROL!$C$21, $C$9, 100%, $E$9)</f>
        <v>108.84829999999999</v>
      </c>
      <c r="J937" s="14">
        <f>CHOOSE(CONTROL!$C$42, 108.503, 108.503)* CHOOSE(CONTROL!$C$21, $C$9, 100%, $E$9)</f>
        <v>108.503</v>
      </c>
      <c r="K937" s="52">
        <f>CHOOSE(CONTROL!$C$42, 108.8444, 108.8444) * CHOOSE(CONTROL!$C$21, $C$9, 100%, $E$9)</f>
        <v>108.84439999999999</v>
      </c>
      <c r="L937" s="14">
        <f>CHOOSE(CONTROL!$C$42, 109.1915, 109.1915) * CHOOSE(CONTROL!$C$21, $C$9, 100%, $E$9)</f>
        <v>109.1915</v>
      </c>
      <c r="M937" s="14">
        <f>CHOOSE(CONTROL!$C$42, 106.5591, 106.5591) * CHOOSE(CONTROL!$C$21, $C$9, 100%, $E$9)</f>
        <v>106.5591</v>
      </c>
      <c r="N937" s="14">
        <f>CHOOSE(CONTROL!$C$42, 106.5767, 106.5767) * CHOOSE(CONTROL!$C$21, $C$9, 100%, $E$9)</f>
        <v>106.5767</v>
      </c>
      <c r="O937" s="14">
        <f>CHOOSE(CONTROL!$C$42, 106.6588, 106.6588) * CHOOSE(CONTROL!$C$21, $C$9, 100%, $E$9)</f>
        <v>106.6588</v>
      </c>
      <c r="P937" s="14">
        <f>CHOOSE(CONTROL!$C$42, 106.8922, 106.8922) * CHOOSE(CONTROL!$C$21, $C$9, 100%, $E$9)</f>
        <v>106.8922</v>
      </c>
      <c r="Q937" s="14">
        <f>CHOOSE(CONTROL!$C$42, 107.2535, 107.2535) * CHOOSE(CONTROL!$C$21, $C$9, 100%, $E$9)</f>
        <v>107.2535</v>
      </c>
      <c r="R937" s="14">
        <f>CHOOSE(CONTROL!$C$42, 108.1086, 108.1086) * CHOOSE(CONTROL!$C$21, $C$9, 100%, $E$9)</f>
        <v>108.1086</v>
      </c>
      <c r="S937" s="14">
        <f>CHOOSE(CONTROL!$C$42, 104.2325, 104.2325) * CHOOSE(CONTROL!$C$21, $C$9, 100%, $E$9)</f>
        <v>104.2325</v>
      </c>
      <c r="T9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37" s="56">
        <f>(1000*CHOOSE(CONTROL!$C$42, 695, 695)*CHOOSE(CONTROL!$C$42, 0.5599, 0.5599)*CHOOSE(CONTROL!$C$42, 31, 31))/1000000</f>
        <v>12.063045499999998</v>
      </c>
      <c r="V937" s="56">
        <f>(1000*CHOOSE(CONTROL!$C$42, 500, 500)*CHOOSE(CONTROL!$C$42, 0.275, 0.275)*CHOOSE(CONTROL!$C$42, 31, 31))/1000000</f>
        <v>4.2625000000000002</v>
      </c>
      <c r="W937" s="56">
        <f>(1000*CHOOSE(CONTROL!$C$42, 0.1146, 0.1146)*CHOOSE(CONTROL!$C$42, 121.5, 121.5)*CHOOSE(CONTROL!$C$42, 31, 31))/1000000</f>
        <v>0.43164089999999994</v>
      </c>
      <c r="X937" s="56">
        <f>(31*0.1790888*100000/1000000)+(31*0.2374*100000/1000000)</f>
        <v>1.2911152800000001</v>
      </c>
      <c r="Y937" s="56"/>
      <c r="Z937" s="14"/>
      <c r="AA937" s="55"/>
      <c r="AB937" s="49">
        <f>(B937*122.58+C937*297.941+D937*89.177+E937*40.302+F937*40+G937*160+H937*0+I937*100+J937*300)/(122.58+297.941+89.177+40.302+0+40+160+100+300)</f>
        <v>108.54060581278262</v>
      </c>
      <c r="AC937" s="45">
        <f>(M937*'RAP TEMPLATE-GAS AVAILABILITY'!O936+N937*'RAP TEMPLATE-GAS AVAILABILITY'!P936+O937*'RAP TEMPLATE-GAS AVAILABILITY'!Q936+P937*'RAP TEMPLATE-GAS AVAILABILITY'!R936)/('RAP TEMPLATE-GAS AVAILABILITY'!O936+'RAP TEMPLATE-GAS AVAILABILITY'!P936+'RAP TEMPLATE-GAS AVAILABILITY'!Q936+'RAP TEMPLATE-GAS AVAILABILITY'!R936)</f>
        <v>106.65322877697842</v>
      </c>
    </row>
    <row r="938" spans="1:29" ht="15.75" x14ac:dyDescent="0.25">
      <c r="A938" s="32">
        <v>69457</v>
      </c>
      <c r="B938" s="14">
        <f>CHOOSE(CONTROL!$C$42, 110.4137, 110.4137) * CHOOSE(CONTROL!$C$21, $C$9, 100%, $E$9)</f>
        <v>110.41370000000001</v>
      </c>
      <c r="C938" s="14">
        <f>CHOOSE(CONTROL!$C$42, 110.4187, 110.4187) * CHOOSE(CONTROL!$C$21, $C$9, 100%, $E$9)</f>
        <v>110.4187</v>
      </c>
      <c r="D938" s="14">
        <f>CHOOSE(CONTROL!$C$42, 110.5122, 110.5122) * CHOOSE(CONTROL!$C$21, $C$9, 100%, $E$9)</f>
        <v>110.51220000000001</v>
      </c>
      <c r="E938" s="14">
        <f>CHOOSE(CONTROL!$C$42, 110.5463, 110.5463) * CHOOSE(CONTROL!$C$21, $C$9, 100%, $E$9)</f>
        <v>110.5463</v>
      </c>
      <c r="F938" s="14">
        <f>CHOOSE(CONTROL!$C$42, 110.4406, 110.4406)*CHOOSE(CONTROL!$C$21, $C$9, 100%, $E$9)</f>
        <v>110.4406</v>
      </c>
      <c r="G938" s="14">
        <f>CHOOSE(CONTROL!$C$42, 110.4585, 110.4585)*CHOOSE(CONTROL!$C$21, $C$9, 100%, $E$9)</f>
        <v>110.4585</v>
      </c>
      <c r="H938" s="14">
        <f>CHOOSE(CONTROL!$C$42, 110.5355, 110.5355) * CHOOSE(CONTROL!$C$21, $C$9, 100%, $E$9)</f>
        <v>110.5355</v>
      </c>
      <c r="I938" s="14">
        <f>CHOOSE(CONTROL!$C$42, 110.7853, 110.7853)* CHOOSE(CONTROL!$C$21, $C$9, 100%, $E$9)</f>
        <v>110.78530000000001</v>
      </c>
      <c r="J938" s="14">
        <f>CHOOSE(CONTROL!$C$42, 110.4336, 110.4336)* CHOOSE(CONTROL!$C$21, $C$9, 100%, $E$9)</f>
        <v>110.4336</v>
      </c>
      <c r="K938" s="52">
        <f>CHOOSE(CONTROL!$C$42, 110.7815, 110.7815) * CHOOSE(CONTROL!$C$21, $C$9, 100%, $E$9)</f>
        <v>110.78149999999999</v>
      </c>
      <c r="L938" s="14">
        <f>CHOOSE(CONTROL!$C$42, 111.1225, 111.1225) * CHOOSE(CONTROL!$C$21, $C$9, 100%, $E$9)</f>
        <v>111.1225</v>
      </c>
      <c r="M938" s="14">
        <f>CHOOSE(CONTROL!$C$42, 108.455, 108.455) * CHOOSE(CONTROL!$C$21, $C$9, 100%, $E$9)</f>
        <v>108.455</v>
      </c>
      <c r="N938" s="14">
        <f>CHOOSE(CONTROL!$C$42, 108.4725, 108.4725) * CHOOSE(CONTROL!$C$21, $C$9, 100%, $E$9)</f>
        <v>108.4725</v>
      </c>
      <c r="O938" s="14">
        <f>CHOOSE(CONTROL!$C$42, 108.555, 108.555) * CHOOSE(CONTROL!$C$21, $C$9, 100%, $E$9)</f>
        <v>108.55500000000001</v>
      </c>
      <c r="P938" s="14">
        <f>CHOOSE(CONTROL!$C$42, 108.7943, 108.7943) * CHOOSE(CONTROL!$C$21, $C$9, 100%, $E$9)</f>
        <v>108.79430000000001</v>
      </c>
      <c r="Q938" s="14">
        <f>CHOOSE(CONTROL!$C$42, 109.1497, 109.1497) * CHOOSE(CONTROL!$C$21, $C$9, 100%, $E$9)</f>
        <v>109.1497</v>
      </c>
      <c r="R938" s="14">
        <f>CHOOSE(CONTROL!$C$42, 110.0096, 110.0096) * CHOOSE(CONTROL!$C$21, $C$9, 100%, $E$9)</f>
        <v>110.00960000000001</v>
      </c>
      <c r="S938" s="14">
        <f>CHOOSE(CONTROL!$C$42, 106.0879, 106.0879) * CHOOSE(CONTROL!$C$21, $C$9, 100%, $E$9)</f>
        <v>106.0879</v>
      </c>
      <c r="T93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938" s="56">
        <f>(1000*CHOOSE(CONTROL!$C$42, 695, 695)*CHOOSE(CONTROL!$C$42, 0.5599, 0.5599)*CHOOSE(CONTROL!$C$42, 28, 28))/1000000</f>
        <v>10.895653999999999</v>
      </c>
      <c r="V938" s="56">
        <f>(1000*CHOOSE(CONTROL!$C$42, 500, 500)*CHOOSE(CONTROL!$C$42, 0.275, 0.275)*CHOOSE(CONTROL!$C$42, 28, 28))/1000000</f>
        <v>3.85</v>
      </c>
      <c r="W938" s="56">
        <f>(1000*CHOOSE(CONTROL!$C$42, 0.1146, 0.1146)*CHOOSE(CONTROL!$C$42, 121.5, 121.5)*CHOOSE(CONTROL!$C$42, 28, 28))/1000000</f>
        <v>0.38986920000000003</v>
      </c>
      <c r="X938" s="56">
        <f>(28*0.1790888*100000/1000000)+(28*0.2374*100000/1000000)</f>
        <v>1.16616864</v>
      </c>
      <c r="Y938" s="56"/>
      <c r="Z938" s="14"/>
      <c r="AA938" s="55"/>
      <c r="AB938" s="49">
        <f>(B938*122.58+C938*297.941+D938*89.177+E938*40.302+F938*40+G938*160+H938*0+I938*100+J938*300)/(122.58+297.941+89.177+40.302+0+40+160+100+300)</f>
        <v>110.47195363886956</v>
      </c>
      <c r="AC938" s="45">
        <f>(M938*'RAP TEMPLATE-GAS AVAILABILITY'!O937+N938*'RAP TEMPLATE-GAS AVAILABILITY'!P937+O938*'RAP TEMPLATE-GAS AVAILABILITY'!Q937+P938*'RAP TEMPLATE-GAS AVAILABILITY'!R937)/('RAP TEMPLATE-GAS AVAILABILITY'!O937+'RAP TEMPLATE-GAS AVAILABILITY'!P937+'RAP TEMPLATE-GAS AVAILABILITY'!Q937+'RAP TEMPLATE-GAS AVAILABILITY'!R937)</f>
        <v>108.55015107913671</v>
      </c>
    </row>
    <row r="939" spans="1:29" ht="15.75" x14ac:dyDescent="0.25">
      <c r="A939" s="32">
        <v>69488</v>
      </c>
      <c r="B939" s="14">
        <f>CHOOSE(CONTROL!$C$42, 107.2792, 107.2792) * CHOOSE(CONTROL!$C$21, $C$9, 100%, $E$9)</f>
        <v>107.2792</v>
      </c>
      <c r="C939" s="14">
        <f>CHOOSE(CONTROL!$C$42, 107.2843, 107.2843) * CHOOSE(CONTROL!$C$21, $C$9, 100%, $E$9)</f>
        <v>107.2843</v>
      </c>
      <c r="D939" s="14">
        <f>CHOOSE(CONTROL!$C$42, 107.3777, 107.3777) * CHOOSE(CONTROL!$C$21, $C$9, 100%, $E$9)</f>
        <v>107.3777</v>
      </c>
      <c r="E939" s="14">
        <f>CHOOSE(CONTROL!$C$42, 107.4118, 107.4118) * CHOOSE(CONTROL!$C$21, $C$9, 100%, $E$9)</f>
        <v>107.4118</v>
      </c>
      <c r="F939" s="14">
        <f>CHOOSE(CONTROL!$C$42, 107.3053, 107.3053)*CHOOSE(CONTROL!$C$21, $C$9, 100%, $E$9)</f>
        <v>107.3053</v>
      </c>
      <c r="G939" s="14">
        <f>CHOOSE(CONTROL!$C$42, 107.3229, 107.3229)*CHOOSE(CONTROL!$C$21, $C$9, 100%, $E$9)</f>
        <v>107.3229</v>
      </c>
      <c r="H939" s="14">
        <f>CHOOSE(CONTROL!$C$42, 107.401, 107.401) * CHOOSE(CONTROL!$C$21, $C$9, 100%, $E$9)</f>
        <v>107.401</v>
      </c>
      <c r="I939" s="14">
        <f>CHOOSE(CONTROL!$C$42, 107.6411, 107.6411)* CHOOSE(CONTROL!$C$21, $C$9, 100%, $E$9)</f>
        <v>107.64109999999999</v>
      </c>
      <c r="J939" s="14">
        <f>CHOOSE(CONTROL!$C$42, 107.2983, 107.2983)* CHOOSE(CONTROL!$C$21, $C$9, 100%, $E$9)</f>
        <v>107.2983</v>
      </c>
      <c r="K939" s="52">
        <f>CHOOSE(CONTROL!$C$42, 107.6372, 107.6372) * CHOOSE(CONTROL!$C$21, $C$9, 100%, $E$9)</f>
        <v>107.63720000000001</v>
      </c>
      <c r="L939" s="14">
        <f>CHOOSE(CONTROL!$C$42, 107.988, 107.988) * CHOOSE(CONTROL!$C$21, $C$9, 100%, $E$9)</f>
        <v>107.988</v>
      </c>
      <c r="M939" s="14">
        <f>CHOOSE(CONTROL!$C$42, 105.376, 105.376) * CHOOSE(CONTROL!$C$21, $C$9, 100%, $E$9)</f>
        <v>105.376</v>
      </c>
      <c r="N939" s="14">
        <f>CHOOSE(CONTROL!$C$42, 105.3934, 105.3934) * CHOOSE(CONTROL!$C$21, $C$9, 100%, $E$9)</f>
        <v>105.3934</v>
      </c>
      <c r="O939" s="14">
        <f>CHOOSE(CONTROL!$C$42, 105.4769, 105.4769) * CHOOSE(CONTROL!$C$21, $C$9, 100%, $E$9)</f>
        <v>105.4769</v>
      </c>
      <c r="P939" s="14">
        <f>CHOOSE(CONTROL!$C$42, 105.7068, 105.7068) * CHOOSE(CONTROL!$C$21, $C$9, 100%, $E$9)</f>
        <v>105.7068</v>
      </c>
      <c r="Q939" s="14">
        <f>CHOOSE(CONTROL!$C$42, 106.0716, 106.0716) * CHOOSE(CONTROL!$C$21, $C$9, 100%, $E$9)</f>
        <v>106.0716</v>
      </c>
      <c r="R939" s="14">
        <f>CHOOSE(CONTROL!$C$42, 106.9238, 106.9238) * CHOOSE(CONTROL!$C$21, $C$9, 100%, $E$9)</f>
        <v>106.9238</v>
      </c>
      <c r="S939" s="14">
        <f>CHOOSE(CONTROL!$C$42, 103.076, 103.076) * CHOOSE(CONTROL!$C$21, $C$9, 100%, $E$9)</f>
        <v>103.07599999999999</v>
      </c>
      <c r="T9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39" s="56">
        <f>(1000*CHOOSE(CONTROL!$C$42, 695, 695)*CHOOSE(CONTROL!$C$42, 0.5599, 0.5599)*CHOOSE(CONTROL!$C$42, 31, 31))/1000000</f>
        <v>12.063045499999998</v>
      </c>
      <c r="V939" s="56">
        <f>(1000*CHOOSE(CONTROL!$C$42, 500, 500)*CHOOSE(CONTROL!$C$42, 0.275, 0.275)*CHOOSE(CONTROL!$C$42, 31, 31))/1000000</f>
        <v>4.2625000000000002</v>
      </c>
      <c r="W939" s="56">
        <f>(1000*CHOOSE(CONTROL!$C$42, 0.1146, 0.1146)*CHOOSE(CONTROL!$C$42, 121.5, 121.5)*CHOOSE(CONTROL!$C$42, 31, 31))/1000000</f>
        <v>0.43164089999999994</v>
      </c>
      <c r="X939" s="56">
        <f>(31*0.1790888*100000/1000000)+(31*0.2374*100000/1000000)</f>
        <v>1.2911152800000001</v>
      </c>
      <c r="Y939" s="56"/>
      <c r="Z939" s="14"/>
      <c r="AA939" s="55"/>
      <c r="AB939" s="49">
        <f>(B939*122.58+C939*297.941+D939*89.177+E939*40.302+F939*40+G939*160+H939*0+I939*100+J939*300)/(122.58+297.941+89.177+40.302+0+40+160+100+300)</f>
        <v>107.33624650330435</v>
      </c>
      <c r="AC939" s="45">
        <f>(M939*'RAP TEMPLATE-GAS AVAILABILITY'!O938+N939*'RAP TEMPLATE-GAS AVAILABILITY'!P938+O939*'RAP TEMPLATE-GAS AVAILABILITY'!Q938+P939*'RAP TEMPLATE-GAS AVAILABILITY'!R938)/('RAP TEMPLATE-GAS AVAILABILITY'!O938+'RAP TEMPLATE-GAS AVAILABILITY'!P938+'RAP TEMPLATE-GAS AVAILABILITY'!Q938+'RAP TEMPLATE-GAS AVAILABILITY'!R938)</f>
        <v>105.47033021582735</v>
      </c>
    </row>
    <row r="940" spans="1:29" ht="15.75" x14ac:dyDescent="0.25">
      <c r="A940" s="32">
        <v>69518</v>
      </c>
      <c r="B940" s="14">
        <f>CHOOSE(CONTROL!$C$42, 106.959, 106.959) * CHOOSE(CONTROL!$C$21, $C$9, 100%, $E$9)</f>
        <v>106.959</v>
      </c>
      <c r="C940" s="14">
        <f>CHOOSE(CONTROL!$C$42, 106.9635, 106.9635) * CHOOSE(CONTROL!$C$21, $C$9, 100%, $E$9)</f>
        <v>106.9635</v>
      </c>
      <c r="D940" s="14">
        <f>CHOOSE(CONTROL!$C$42, 107.2257, 107.2257) * CHOOSE(CONTROL!$C$21, $C$9, 100%, $E$9)</f>
        <v>107.2257</v>
      </c>
      <c r="E940" s="14">
        <f>CHOOSE(CONTROL!$C$42, 107.2578, 107.2578) * CHOOSE(CONTROL!$C$21, $C$9, 100%, $E$9)</f>
        <v>107.2578</v>
      </c>
      <c r="F940" s="14">
        <f>CHOOSE(CONTROL!$C$42, 106.9819, 106.9819)*CHOOSE(CONTROL!$C$21, $C$9, 100%, $E$9)</f>
        <v>106.9819</v>
      </c>
      <c r="G940" s="14">
        <f>CHOOSE(CONTROL!$C$42, 106.9986, 106.9986)*CHOOSE(CONTROL!$C$21, $C$9, 100%, $E$9)</f>
        <v>106.9986</v>
      </c>
      <c r="H940" s="14">
        <f>CHOOSE(CONTROL!$C$42, 107.2476, 107.2476) * CHOOSE(CONTROL!$C$21, $C$9, 100%, $E$9)</f>
        <v>107.24760000000001</v>
      </c>
      <c r="I940" s="14">
        <f>CHOOSE(CONTROL!$C$42, 107.3165, 107.3165)* CHOOSE(CONTROL!$C$21, $C$9, 100%, $E$9)</f>
        <v>107.3165</v>
      </c>
      <c r="J940" s="14">
        <f>CHOOSE(CONTROL!$C$42, 106.9749, 106.9749)* CHOOSE(CONTROL!$C$21, $C$9, 100%, $E$9)</f>
        <v>106.97490000000001</v>
      </c>
      <c r="K940" s="52">
        <f>CHOOSE(CONTROL!$C$42, 107.3126, 107.3126) * CHOOSE(CONTROL!$C$21, $C$9, 100%, $E$9)</f>
        <v>107.3126</v>
      </c>
      <c r="L940" s="14">
        <f>CHOOSE(CONTROL!$C$42, 107.8346, 107.8346) * CHOOSE(CONTROL!$C$21, $C$9, 100%, $E$9)</f>
        <v>107.83459999999999</v>
      </c>
      <c r="M940" s="14">
        <f>CHOOSE(CONTROL!$C$42, 105.0584, 105.0584) * CHOOSE(CONTROL!$C$21, $C$9, 100%, $E$9)</f>
        <v>105.05840000000001</v>
      </c>
      <c r="N940" s="14">
        <f>CHOOSE(CONTROL!$C$42, 105.0748, 105.0748) * CHOOSE(CONTROL!$C$21, $C$9, 100%, $E$9)</f>
        <v>105.0748</v>
      </c>
      <c r="O940" s="14">
        <f>CHOOSE(CONTROL!$C$42, 105.3263, 105.3263) * CHOOSE(CONTROL!$C$21, $C$9, 100%, $E$9)</f>
        <v>105.3263</v>
      </c>
      <c r="P940" s="14">
        <f>CHOOSE(CONTROL!$C$42, 105.3881, 105.3881) * CHOOSE(CONTROL!$C$21, $C$9, 100%, $E$9)</f>
        <v>105.38809999999999</v>
      </c>
      <c r="Q940" s="14">
        <f>CHOOSE(CONTROL!$C$42, 105.921, 105.921) * CHOOSE(CONTROL!$C$21, $C$9, 100%, $E$9)</f>
        <v>105.92100000000001</v>
      </c>
      <c r="R940" s="14">
        <f>CHOOSE(CONTROL!$C$42, 106.7728, 106.7728) * CHOOSE(CONTROL!$C$21, $C$9, 100%, $E$9)</f>
        <v>106.7728</v>
      </c>
      <c r="S940" s="14">
        <f>CHOOSE(CONTROL!$C$42, 102.7676, 102.7676) * CHOOSE(CONTROL!$C$21, $C$9, 100%, $E$9)</f>
        <v>102.7676</v>
      </c>
      <c r="T9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940" s="56">
        <f>(1000*CHOOSE(CONTROL!$C$42, 695, 695)*CHOOSE(CONTROL!$C$42, 0.5599, 0.5599)*CHOOSE(CONTROL!$C$42, 30, 30))/1000000</f>
        <v>11.673914999999997</v>
      </c>
      <c r="V940" s="56">
        <f>(1000*CHOOSE(CONTROL!$C$42, 500, 500)*CHOOSE(CONTROL!$C$42, 0.275, 0.275)*CHOOSE(CONTROL!$C$42, 30, 30))/1000000</f>
        <v>4.125</v>
      </c>
      <c r="W940" s="56">
        <f>(1000*CHOOSE(CONTROL!$C$42, 0.1146, 0.1146)*CHOOSE(CONTROL!$C$42, 121.5, 121.5)*CHOOSE(CONTROL!$C$42, 30, 30))/1000000</f>
        <v>0.417717</v>
      </c>
      <c r="X940" s="56">
        <f>(30*0.1790888*245000/1000000)+(30*0.2374*100000/1000000)</f>
        <v>2.0285026799999999</v>
      </c>
      <c r="Y940" s="56"/>
      <c r="Z940" s="14"/>
      <c r="AA940" s="55"/>
      <c r="AB940" s="49">
        <f>(B940*141.293+C940*267.993+D940*115.016+E940*89.698+F940*40+G940*185+H940*0+I940*100+J940*300)/(141.293+267.993+115.016+89.698+0+40+185+100+300)</f>
        <v>107.04571872324455</v>
      </c>
      <c r="AC940" s="45">
        <f>(M940*'RAP TEMPLATE-GAS AVAILABILITY'!O939+N940*'RAP TEMPLATE-GAS AVAILABILITY'!P939+O940*'RAP TEMPLATE-GAS AVAILABILITY'!Q939+P940*'RAP TEMPLATE-GAS AVAILABILITY'!R939)/('RAP TEMPLATE-GAS AVAILABILITY'!O939+'RAP TEMPLATE-GAS AVAILABILITY'!P939+'RAP TEMPLATE-GAS AVAILABILITY'!Q939+'RAP TEMPLATE-GAS AVAILABILITY'!R939)</f>
        <v>105.22820503597123</v>
      </c>
    </row>
    <row r="941" spans="1:29" ht="15.75" x14ac:dyDescent="0.25">
      <c r="A941" s="32">
        <v>69549</v>
      </c>
      <c r="B941" s="14">
        <f>CHOOSE(CONTROL!$C$42, 107.9044, 107.9044) * CHOOSE(CONTROL!$C$21, $C$9, 100%, $E$9)</f>
        <v>107.9044</v>
      </c>
      <c r="C941" s="14">
        <f>CHOOSE(CONTROL!$C$42, 107.9124, 107.9124) * CHOOSE(CONTROL!$C$21, $C$9, 100%, $E$9)</f>
        <v>107.91240000000001</v>
      </c>
      <c r="D941" s="14">
        <f>CHOOSE(CONTROL!$C$42, 108.1715, 108.1715) * CHOOSE(CONTROL!$C$21, $C$9, 100%, $E$9)</f>
        <v>108.17149999999999</v>
      </c>
      <c r="E941" s="14">
        <f>CHOOSE(CONTROL!$C$42, 108.2029, 108.2029) * CHOOSE(CONTROL!$C$21, $C$9, 100%, $E$9)</f>
        <v>108.2029</v>
      </c>
      <c r="F941" s="14">
        <f>CHOOSE(CONTROL!$C$42, 107.9259, 107.9259)*CHOOSE(CONTROL!$C$21, $C$9, 100%, $E$9)</f>
        <v>107.9259</v>
      </c>
      <c r="G941" s="14">
        <f>CHOOSE(CONTROL!$C$42, 107.9429, 107.9429)*CHOOSE(CONTROL!$C$21, $C$9, 100%, $E$9)</f>
        <v>107.94289999999999</v>
      </c>
      <c r="H941" s="14">
        <f>CHOOSE(CONTROL!$C$42, 108.1916, 108.1916) * CHOOSE(CONTROL!$C$21, $C$9, 100%, $E$9)</f>
        <v>108.19159999999999</v>
      </c>
      <c r="I941" s="14">
        <f>CHOOSE(CONTROL!$C$42, 108.2634, 108.2634)* CHOOSE(CONTROL!$C$21, $C$9, 100%, $E$9)</f>
        <v>108.2634</v>
      </c>
      <c r="J941" s="14">
        <f>CHOOSE(CONTROL!$C$42, 107.9189, 107.9189)* CHOOSE(CONTROL!$C$21, $C$9, 100%, $E$9)</f>
        <v>107.91889999999999</v>
      </c>
      <c r="K941" s="52">
        <f>CHOOSE(CONTROL!$C$42, 108.2595, 108.2595) * CHOOSE(CONTROL!$C$21, $C$9, 100%, $E$9)</f>
        <v>108.2595</v>
      </c>
      <c r="L941" s="14">
        <f>CHOOSE(CONTROL!$C$42, 108.7786, 108.7786) * CHOOSE(CONTROL!$C$21, $C$9, 100%, $E$9)</f>
        <v>108.7786</v>
      </c>
      <c r="M941" s="14">
        <f>CHOOSE(CONTROL!$C$42, 105.9855, 105.9855) * CHOOSE(CONTROL!$C$21, $C$9, 100%, $E$9)</f>
        <v>105.9855</v>
      </c>
      <c r="N941" s="14">
        <f>CHOOSE(CONTROL!$C$42, 106.0021, 106.0021) * CHOOSE(CONTROL!$C$21, $C$9, 100%, $E$9)</f>
        <v>106.0021</v>
      </c>
      <c r="O941" s="14">
        <f>CHOOSE(CONTROL!$C$42, 106.2533, 106.2533) * CHOOSE(CONTROL!$C$21, $C$9, 100%, $E$9)</f>
        <v>106.2533</v>
      </c>
      <c r="P941" s="14">
        <f>CHOOSE(CONTROL!$C$42, 106.3179, 106.3179) * CHOOSE(CONTROL!$C$21, $C$9, 100%, $E$9)</f>
        <v>106.31789999999999</v>
      </c>
      <c r="Q941" s="14">
        <f>CHOOSE(CONTROL!$C$42, 106.848, 106.848) * CHOOSE(CONTROL!$C$21, $C$9, 100%, $E$9)</f>
        <v>106.848</v>
      </c>
      <c r="R941" s="14">
        <f>CHOOSE(CONTROL!$C$42, 107.7021, 107.7021) * CHOOSE(CONTROL!$C$21, $C$9, 100%, $E$9)</f>
        <v>107.7021</v>
      </c>
      <c r="S941" s="14">
        <f>CHOOSE(CONTROL!$C$42, 103.6747, 103.6747) * CHOOSE(CONTROL!$C$21, $C$9, 100%, $E$9)</f>
        <v>103.6747</v>
      </c>
      <c r="T94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941" s="56">
        <f>(1000*CHOOSE(CONTROL!$C$42, 695, 695)*CHOOSE(CONTROL!$C$42, 0.5599, 0.5599)*CHOOSE(CONTROL!$C$42, 31, 31))/1000000</f>
        <v>12.063045499999998</v>
      </c>
      <c r="V941" s="56">
        <f>(1000*CHOOSE(CONTROL!$C$42, 500, 500)*CHOOSE(CONTROL!$C$42, 0.275, 0.275)*CHOOSE(CONTROL!$C$42, 31, 31))/1000000</f>
        <v>4.2625000000000002</v>
      </c>
      <c r="W941" s="56">
        <f>(1000*CHOOSE(CONTROL!$C$42, 0.1146, 0.1146)*CHOOSE(CONTROL!$C$42, 121.5, 121.5)*CHOOSE(CONTROL!$C$42, 31, 31))/1000000</f>
        <v>0.43164089999999994</v>
      </c>
      <c r="X941" s="56">
        <f>(31*0.1790888*245000/1000000)+(31*0.2374*100000/1000000)</f>
        <v>2.0961194359999999</v>
      </c>
      <c r="Y941" s="56"/>
      <c r="Z941" s="14"/>
      <c r="AA941" s="55"/>
      <c r="AB941" s="49">
        <f>(B941*194.205+C941*267.466+D941*133.845+E941*53.484+F941*40+G941*185+H941*0+I941*100+J941*300)/(194.205+267.466+133.845+53.484+0+40+185+100+300)</f>
        <v>107.98453124136579</v>
      </c>
      <c r="AC941" s="45">
        <f>(M941*'RAP TEMPLATE-GAS AVAILABILITY'!O940+N941*'RAP TEMPLATE-GAS AVAILABILITY'!P940+O941*'RAP TEMPLATE-GAS AVAILABILITY'!Q940+P941*'RAP TEMPLATE-GAS AVAILABILITY'!R940)/('RAP TEMPLATE-GAS AVAILABILITY'!O940+'RAP TEMPLATE-GAS AVAILABILITY'!P940+'RAP TEMPLATE-GAS AVAILABILITY'!Q940+'RAP TEMPLATE-GAS AVAILABILITY'!R940)</f>
        <v>106.15565971223022</v>
      </c>
    </row>
    <row r="942" spans="1:29" ht="15.75" x14ac:dyDescent="0.25">
      <c r="A942" s="32">
        <v>69579</v>
      </c>
      <c r="B942" s="14">
        <f>CHOOSE(CONTROL!$C$42, 110.9649, 110.9649) * CHOOSE(CONTROL!$C$21, $C$9, 100%, $E$9)</f>
        <v>110.9649</v>
      </c>
      <c r="C942" s="14">
        <f>CHOOSE(CONTROL!$C$42, 110.9729, 110.9729) * CHOOSE(CONTROL!$C$21, $C$9, 100%, $E$9)</f>
        <v>110.9729</v>
      </c>
      <c r="D942" s="14">
        <f>CHOOSE(CONTROL!$C$42, 111.232, 111.232) * CHOOSE(CONTROL!$C$21, $C$9, 100%, $E$9)</f>
        <v>111.232</v>
      </c>
      <c r="E942" s="14">
        <f>CHOOSE(CONTROL!$C$42, 111.2635, 111.2635) * CHOOSE(CONTROL!$C$21, $C$9, 100%, $E$9)</f>
        <v>111.26349999999999</v>
      </c>
      <c r="F942" s="14">
        <f>CHOOSE(CONTROL!$C$42, 110.9867, 110.9867)*CHOOSE(CONTROL!$C$21, $C$9, 100%, $E$9)</f>
        <v>110.9867</v>
      </c>
      <c r="G942" s="14">
        <f>CHOOSE(CONTROL!$C$42, 111.0037, 111.0037)*CHOOSE(CONTROL!$C$21, $C$9, 100%, $E$9)</f>
        <v>111.00369999999999</v>
      </c>
      <c r="H942" s="14">
        <f>CHOOSE(CONTROL!$C$42, 111.2521, 111.2521) * CHOOSE(CONTROL!$C$21, $C$9, 100%, $E$9)</f>
        <v>111.2521</v>
      </c>
      <c r="I942" s="14">
        <f>CHOOSE(CONTROL!$C$42, 111.3335, 111.3335)* CHOOSE(CONTROL!$C$21, $C$9, 100%, $E$9)</f>
        <v>111.3335</v>
      </c>
      <c r="J942" s="14">
        <f>CHOOSE(CONTROL!$C$42, 110.9797, 110.9797)* CHOOSE(CONTROL!$C$21, $C$9, 100%, $E$9)</f>
        <v>110.97969999999999</v>
      </c>
      <c r="K942" s="52">
        <f>CHOOSE(CONTROL!$C$42, 111.3296, 111.3296) * CHOOSE(CONTROL!$C$21, $C$9, 100%, $E$9)</f>
        <v>111.3296</v>
      </c>
      <c r="L942" s="14">
        <f>CHOOSE(CONTROL!$C$42, 111.8391, 111.8391) * CHOOSE(CONTROL!$C$21, $C$9, 100%, $E$9)</f>
        <v>111.8391</v>
      </c>
      <c r="M942" s="14">
        <f>CHOOSE(CONTROL!$C$42, 108.9912, 108.9912) * CHOOSE(CONTROL!$C$21, $C$9, 100%, $E$9)</f>
        <v>108.99120000000001</v>
      </c>
      <c r="N942" s="14">
        <f>CHOOSE(CONTROL!$C$42, 109.0079, 109.0079) * CHOOSE(CONTROL!$C$21, $C$9, 100%, $E$9)</f>
        <v>109.00790000000001</v>
      </c>
      <c r="O942" s="14">
        <f>CHOOSE(CONTROL!$C$42, 109.2587, 109.2587) * CHOOSE(CONTROL!$C$21, $C$9, 100%, $E$9)</f>
        <v>109.2587</v>
      </c>
      <c r="P942" s="14">
        <f>CHOOSE(CONTROL!$C$42, 109.3326, 109.3326) * CHOOSE(CONTROL!$C$21, $C$9, 100%, $E$9)</f>
        <v>109.3326</v>
      </c>
      <c r="Q942" s="14">
        <f>CHOOSE(CONTROL!$C$42, 109.8534, 109.8534) * CHOOSE(CONTROL!$C$21, $C$9, 100%, $E$9)</f>
        <v>109.85339999999999</v>
      </c>
      <c r="R942" s="14">
        <f>CHOOSE(CONTROL!$C$42, 110.7151, 110.7151) * CHOOSE(CONTROL!$C$21, $C$9, 100%, $E$9)</f>
        <v>110.71510000000001</v>
      </c>
      <c r="S942" s="14">
        <f>CHOOSE(CONTROL!$C$42, 106.6155, 106.6155) * CHOOSE(CONTROL!$C$21, $C$9, 100%, $E$9)</f>
        <v>106.6155</v>
      </c>
      <c r="T94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42" s="56">
        <f>(1000*CHOOSE(CONTROL!$C$42, 695, 695)*CHOOSE(CONTROL!$C$42, 0.5599, 0.5599)*CHOOSE(CONTROL!$C$42, 30, 30))/1000000</f>
        <v>11.673914999999997</v>
      </c>
      <c r="V942" s="56">
        <f>(1000*CHOOSE(CONTROL!$C$42, 500, 500)*CHOOSE(CONTROL!$C$42, 0.275, 0.275)*CHOOSE(CONTROL!$C$42, 30, 30))/1000000</f>
        <v>4.125</v>
      </c>
      <c r="W942" s="56">
        <f>(1000*CHOOSE(CONTROL!$C$42, 0.1146, 0.1146)*CHOOSE(CONTROL!$C$42, 121.5, 121.5)*CHOOSE(CONTROL!$C$42, 30, 30))/1000000</f>
        <v>0.417717</v>
      </c>
      <c r="X942" s="56">
        <f>(30*0.1790888*245000/1000000)+(30*0.2374*100000/1000000)</f>
        <v>2.0285026799999999</v>
      </c>
      <c r="Y942" s="56"/>
      <c r="Z942" s="14"/>
      <c r="AA942" s="55"/>
      <c r="AB942" s="49">
        <f>(B942*194.205+C942*267.466+D942*133.845+E942*53.484+F942*40+G942*185+H942*0+I942*100+J942*300)/(194.205+267.466+133.845+53.484+0+40+185+100+300)</f>
        <v>111.04591259803767</v>
      </c>
      <c r="AC942" s="45">
        <f>(M942*'RAP TEMPLATE-GAS AVAILABILITY'!O941+N942*'RAP TEMPLATE-GAS AVAILABILITY'!P941+O942*'RAP TEMPLATE-GAS AVAILABILITY'!Q941+P942*'RAP TEMPLATE-GAS AVAILABILITY'!R941)/('RAP TEMPLATE-GAS AVAILABILITY'!O941+'RAP TEMPLATE-GAS AVAILABILITY'!P941+'RAP TEMPLATE-GAS AVAILABILITY'!Q941+'RAP TEMPLATE-GAS AVAILABILITY'!R941)</f>
        <v>109.16252446043167</v>
      </c>
    </row>
    <row r="943" spans="1:29" ht="15.75" x14ac:dyDescent="0.25">
      <c r="A943" s="32">
        <v>69610</v>
      </c>
      <c r="B943" s="14">
        <f>CHOOSE(CONTROL!$C$42, 108.8363, 108.8363) * CHOOSE(CONTROL!$C$21, $C$9, 100%, $E$9)</f>
        <v>108.83629999999999</v>
      </c>
      <c r="C943" s="14">
        <f>CHOOSE(CONTROL!$C$42, 108.8443, 108.8443) * CHOOSE(CONTROL!$C$21, $C$9, 100%, $E$9)</f>
        <v>108.8443</v>
      </c>
      <c r="D943" s="14">
        <f>CHOOSE(CONTROL!$C$42, 109.1034, 109.1034) * CHOOSE(CONTROL!$C$21, $C$9, 100%, $E$9)</f>
        <v>109.10339999999999</v>
      </c>
      <c r="E943" s="14">
        <f>CHOOSE(CONTROL!$C$42, 109.1349, 109.1349) * CHOOSE(CONTROL!$C$21, $C$9, 100%, $E$9)</f>
        <v>109.1349</v>
      </c>
      <c r="F943" s="14">
        <f>CHOOSE(CONTROL!$C$42, 108.8585, 108.8585)*CHOOSE(CONTROL!$C$21, $C$9, 100%, $E$9)</f>
        <v>108.85850000000001</v>
      </c>
      <c r="G943" s="14">
        <f>CHOOSE(CONTROL!$C$42, 108.8756, 108.8756)*CHOOSE(CONTROL!$C$21, $C$9, 100%, $E$9)</f>
        <v>108.87560000000001</v>
      </c>
      <c r="H943" s="14">
        <f>CHOOSE(CONTROL!$C$42, 109.1235, 109.1235) * CHOOSE(CONTROL!$C$21, $C$9, 100%, $E$9)</f>
        <v>109.12350000000001</v>
      </c>
      <c r="I943" s="14">
        <f>CHOOSE(CONTROL!$C$42, 109.1982, 109.1982)* CHOOSE(CONTROL!$C$21, $C$9, 100%, $E$9)</f>
        <v>109.1982</v>
      </c>
      <c r="J943" s="14">
        <f>CHOOSE(CONTROL!$C$42, 108.8515, 108.8515)* CHOOSE(CONTROL!$C$21, $C$9, 100%, $E$9)</f>
        <v>108.8515</v>
      </c>
      <c r="K943" s="52">
        <f>CHOOSE(CONTROL!$C$42, 109.1943, 109.1943) * CHOOSE(CONTROL!$C$21, $C$9, 100%, $E$9)</f>
        <v>109.1943</v>
      </c>
      <c r="L943" s="14">
        <f>CHOOSE(CONTROL!$C$42, 109.7105, 109.7105) * CHOOSE(CONTROL!$C$21, $C$9, 100%, $E$9)</f>
        <v>109.7105</v>
      </c>
      <c r="M943" s="14">
        <f>CHOOSE(CONTROL!$C$42, 106.9013, 106.9013) * CHOOSE(CONTROL!$C$21, $C$9, 100%, $E$9)</f>
        <v>106.90130000000001</v>
      </c>
      <c r="N943" s="14">
        <f>CHOOSE(CONTROL!$C$42, 106.9181, 106.9181) * CHOOSE(CONTROL!$C$21, $C$9, 100%, $E$9)</f>
        <v>106.9181</v>
      </c>
      <c r="O943" s="14">
        <f>CHOOSE(CONTROL!$C$42, 107.1684, 107.1684) * CHOOSE(CONTROL!$C$21, $C$9, 100%, $E$9)</f>
        <v>107.16840000000001</v>
      </c>
      <c r="P943" s="14">
        <f>CHOOSE(CONTROL!$C$42, 107.2358, 107.2358) * CHOOSE(CONTROL!$C$21, $C$9, 100%, $E$9)</f>
        <v>107.2358</v>
      </c>
      <c r="Q943" s="14">
        <f>CHOOSE(CONTROL!$C$42, 107.7631, 107.7631) * CHOOSE(CONTROL!$C$21, $C$9, 100%, $E$9)</f>
        <v>107.76309999999999</v>
      </c>
      <c r="R943" s="14">
        <f>CHOOSE(CONTROL!$C$42, 108.6195, 108.6195) * CHOOSE(CONTROL!$C$21, $C$9, 100%, $E$9)</f>
        <v>108.6195</v>
      </c>
      <c r="S943" s="14">
        <f>CHOOSE(CONTROL!$C$42, 104.5701, 104.5701) * CHOOSE(CONTROL!$C$21, $C$9, 100%, $E$9)</f>
        <v>104.5701</v>
      </c>
      <c r="T94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43" s="56">
        <f>(1000*CHOOSE(CONTROL!$C$42, 695, 695)*CHOOSE(CONTROL!$C$42, 0.5599, 0.5599)*CHOOSE(CONTROL!$C$42, 31, 31))/1000000</f>
        <v>12.063045499999998</v>
      </c>
      <c r="V943" s="56">
        <f>(1000*CHOOSE(CONTROL!$C$42, 500, 500)*CHOOSE(CONTROL!$C$42, 0.275, 0.275)*CHOOSE(CONTROL!$C$42, 31, 31))/1000000</f>
        <v>4.2625000000000002</v>
      </c>
      <c r="W943" s="56">
        <f>(1000*CHOOSE(CONTROL!$C$42, 0.1146, 0.1146)*CHOOSE(CONTROL!$C$42, 121.5, 121.5)*CHOOSE(CONTROL!$C$42, 31, 31))/1000000</f>
        <v>0.43164089999999994</v>
      </c>
      <c r="X943" s="56">
        <f>(31*0.1790888*245000/1000000)+(31*0.2374*100000/1000000)</f>
        <v>2.0961194359999999</v>
      </c>
      <c r="Y943" s="56"/>
      <c r="Z943" s="14"/>
      <c r="AA943" s="55"/>
      <c r="AB943" s="49">
        <f>(B943*194.205+C943*267.466+D943*133.845+E943*53.484+F943*40+G943*185+H943*0+I943*100+J943*300)/(194.205+267.466+133.845+53.484+0+40+185+100+300)</f>
        <v>108.91696605172686</v>
      </c>
      <c r="AC943" s="45">
        <f>(M943*'RAP TEMPLATE-GAS AVAILABILITY'!O942+N943*'RAP TEMPLATE-GAS AVAILABILITY'!P942+O943*'RAP TEMPLATE-GAS AVAILABILITY'!Q942+P943*'RAP TEMPLATE-GAS AVAILABILITY'!R942)/('RAP TEMPLATE-GAS AVAILABILITY'!O942+'RAP TEMPLATE-GAS AVAILABILITY'!P942+'RAP TEMPLATE-GAS AVAILABILITY'!Q942+'RAP TEMPLATE-GAS AVAILABILITY'!R942)</f>
        <v>107.07145611510791</v>
      </c>
    </row>
    <row r="944" spans="1:29" ht="15.75" x14ac:dyDescent="0.25">
      <c r="A944" s="32">
        <v>69641</v>
      </c>
      <c r="B944" s="14">
        <f>CHOOSE(CONTROL!$C$42, 103.4609, 103.4609) * CHOOSE(CONTROL!$C$21, $C$9, 100%, $E$9)</f>
        <v>103.4609</v>
      </c>
      <c r="C944" s="14">
        <f>CHOOSE(CONTROL!$C$42, 103.4689, 103.4689) * CHOOSE(CONTROL!$C$21, $C$9, 100%, $E$9)</f>
        <v>103.4689</v>
      </c>
      <c r="D944" s="14">
        <f>CHOOSE(CONTROL!$C$42, 103.728, 103.728) * CHOOSE(CONTROL!$C$21, $C$9, 100%, $E$9)</f>
        <v>103.72799999999999</v>
      </c>
      <c r="E944" s="14">
        <f>CHOOSE(CONTROL!$C$42, 103.7594, 103.7594) * CHOOSE(CONTROL!$C$21, $C$9, 100%, $E$9)</f>
        <v>103.7594</v>
      </c>
      <c r="F944" s="14">
        <f>CHOOSE(CONTROL!$C$42, 103.4833, 103.4833)*CHOOSE(CONTROL!$C$21, $C$9, 100%, $E$9)</f>
        <v>103.4833</v>
      </c>
      <c r="G944" s="14">
        <f>CHOOSE(CONTROL!$C$42, 103.5005, 103.5005)*CHOOSE(CONTROL!$C$21, $C$9, 100%, $E$9)</f>
        <v>103.5005</v>
      </c>
      <c r="H944" s="14">
        <f>CHOOSE(CONTROL!$C$42, 103.7481, 103.7481) * CHOOSE(CONTROL!$C$21, $C$9, 100%, $E$9)</f>
        <v>103.74809999999999</v>
      </c>
      <c r="I944" s="14">
        <f>CHOOSE(CONTROL!$C$42, 103.806, 103.806)* CHOOSE(CONTROL!$C$21, $C$9, 100%, $E$9)</f>
        <v>103.806</v>
      </c>
      <c r="J944" s="14">
        <f>CHOOSE(CONTROL!$C$42, 103.4763, 103.4763)* CHOOSE(CONTROL!$C$21, $C$9, 100%, $E$9)</f>
        <v>103.47629999999999</v>
      </c>
      <c r="K944" s="52">
        <f>CHOOSE(CONTROL!$C$42, 103.8021, 103.8021) * CHOOSE(CONTROL!$C$21, $C$9, 100%, $E$9)</f>
        <v>103.8021</v>
      </c>
      <c r="L944" s="14">
        <f>CHOOSE(CONTROL!$C$42, 104.3351, 104.3351) * CHOOSE(CONTROL!$C$21, $C$9, 100%, $E$9)</f>
        <v>104.3351</v>
      </c>
      <c r="M944" s="14">
        <f>CHOOSE(CONTROL!$C$42, 101.6228, 101.6228) * CHOOSE(CONTROL!$C$21, $C$9, 100%, $E$9)</f>
        <v>101.6228</v>
      </c>
      <c r="N944" s="14">
        <f>CHOOSE(CONTROL!$C$42, 101.6397, 101.6397) * CHOOSE(CONTROL!$C$21, $C$9, 100%, $E$9)</f>
        <v>101.6397</v>
      </c>
      <c r="O944" s="14">
        <f>CHOOSE(CONTROL!$C$42, 101.8897, 101.8897) * CHOOSE(CONTROL!$C$21, $C$9, 100%, $E$9)</f>
        <v>101.8897</v>
      </c>
      <c r="P944" s="14">
        <f>CHOOSE(CONTROL!$C$42, 101.9409, 101.9409) * CHOOSE(CONTROL!$C$21, $C$9, 100%, $E$9)</f>
        <v>101.9409</v>
      </c>
      <c r="Q944" s="14">
        <f>CHOOSE(CONTROL!$C$42, 102.4844, 102.4844) * CHOOSE(CONTROL!$C$21, $C$9, 100%, $E$9)</f>
        <v>102.48439999999999</v>
      </c>
      <c r="R944" s="14">
        <f>CHOOSE(CONTROL!$C$42, 103.3276, 103.3276) * CHOOSE(CONTROL!$C$21, $C$9, 100%, $E$9)</f>
        <v>103.3276</v>
      </c>
      <c r="S944" s="14">
        <f>CHOOSE(CONTROL!$C$42, 99.4049, 99.4049) * CHOOSE(CONTROL!$C$21, $C$9, 100%, $E$9)</f>
        <v>99.404899999999998</v>
      </c>
      <c r="T94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44" s="56">
        <f>(1000*CHOOSE(CONTROL!$C$42, 695, 695)*CHOOSE(CONTROL!$C$42, 0.5599, 0.5599)*CHOOSE(CONTROL!$C$42, 31, 31))/1000000</f>
        <v>12.063045499999998</v>
      </c>
      <c r="V944" s="56">
        <f>(1000*CHOOSE(CONTROL!$C$42, 500, 500)*CHOOSE(CONTROL!$C$42, 0.275, 0.275)*CHOOSE(CONTROL!$C$42, 31, 31))/1000000</f>
        <v>4.2625000000000002</v>
      </c>
      <c r="W944" s="56">
        <f>(1000*CHOOSE(CONTROL!$C$42, 0.1146, 0.1146)*CHOOSE(CONTROL!$C$42, 121.5, 121.5)*CHOOSE(CONTROL!$C$42, 31, 31))/1000000</f>
        <v>0.43164089999999994</v>
      </c>
      <c r="X944" s="56">
        <f>(31*0.1790888*245000/1000000)+(31*0.2374*100000/1000000)</f>
        <v>2.0961194359999999</v>
      </c>
      <c r="Y944" s="56"/>
      <c r="Z944" s="14"/>
      <c r="AA944" s="55"/>
      <c r="AB944" s="49">
        <f>(B944*194.205+C944*267.466+D944*133.845+E944*53.484+F944*40+G944*185+H944*0+I944*100+J944*300)/(194.205+267.466+133.845+53.484+0+40+185+100+300)</f>
        <v>103.54034011106751</v>
      </c>
      <c r="AC944" s="45">
        <f>(M944*'RAP TEMPLATE-GAS AVAILABILITY'!O943+N944*'RAP TEMPLATE-GAS AVAILABILITY'!P943+O944*'RAP TEMPLATE-GAS AVAILABILITY'!Q943+P944*'RAP TEMPLATE-GAS AVAILABILITY'!R943)/('RAP TEMPLATE-GAS AVAILABILITY'!O943+'RAP TEMPLATE-GAS AVAILABILITY'!P943+'RAP TEMPLATE-GAS AVAILABILITY'!Q943+'RAP TEMPLATE-GAS AVAILABILITY'!R943)</f>
        <v>101.79051151079136</v>
      </c>
    </row>
    <row r="945" spans="1:29" ht="15.75" x14ac:dyDescent="0.25">
      <c r="A945" s="32">
        <v>69671</v>
      </c>
      <c r="B945" s="14">
        <f>CHOOSE(CONTROL!$C$42, 96.8929, 96.8929) * CHOOSE(CONTROL!$C$21, $C$9, 100%, $E$9)</f>
        <v>96.892899999999997</v>
      </c>
      <c r="C945" s="14">
        <f>CHOOSE(CONTROL!$C$42, 96.9009, 96.9009) * CHOOSE(CONTROL!$C$21, $C$9, 100%, $E$9)</f>
        <v>96.900899999999993</v>
      </c>
      <c r="D945" s="14">
        <f>CHOOSE(CONTROL!$C$42, 97.16, 97.16) * CHOOSE(CONTROL!$C$21, $C$9, 100%, $E$9)</f>
        <v>97.16</v>
      </c>
      <c r="E945" s="14">
        <f>CHOOSE(CONTROL!$C$42, 97.1915, 97.1915) * CHOOSE(CONTROL!$C$21, $C$9, 100%, $E$9)</f>
        <v>97.191500000000005</v>
      </c>
      <c r="F945" s="14">
        <f>CHOOSE(CONTROL!$C$42, 96.9153, 96.9153)*CHOOSE(CONTROL!$C$21, $C$9, 100%, $E$9)</f>
        <v>96.915300000000002</v>
      </c>
      <c r="G945" s="14">
        <f>CHOOSE(CONTROL!$C$42, 96.9326, 96.9326)*CHOOSE(CONTROL!$C$21, $C$9, 100%, $E$9)</f>
        <v>96.932599999999994</v>
      </c>
      <c r="H945" s="14">
        <f>CHOOSE(CONTROL!$C$42, 97.1801, 97.1801) * CHOOSE(CONTROL!$C$21, $C$9, 100%, $E$9)</f>
        <v>97.180099999999996</v>
      </c>
      <c r="I945" s="14">
        <f>CHOOSE(CONTROL!$C$42, 97.2174, 97.2174)* CHOOSE(CONTROL!$C$21, $C$9, 100%, $E$9)</f>
        <v>97.217399999999998</v>
      </c>
      <c r="J945" s="14">
        <f>CHOOSE(CONTROL!$C$42, 96.9083, 96.9083)* CHOOSE(CONTROL!$C$21, $C$9, 100%, $E$9)</f>
        <v>96.908299999999997</v>
      </c>
      <c r="K945" s="52">
        <f>CHOOSE(CONTROL!$C$42, 97.2135, 97.2135) * CHOOSE(CONTROL!$C$21, $C$9, 100%, $E$9)</f>
        <v>97.213499999999996</v>
      </c>
      <c r="L945" s="14">
        <f>CHOOSE(CONTROL!$C$42, 97.7671, 97.7671) * CHOOSE(CONTROL!$C$21, $C$9, 100%, $E$9)</f>
        <v>97.767099999999999</v>
      </c>
      <c r="M945" s="14">
        <f>CHOOSE(CONTROL!$C$42, 95.173, 95.173) * CHOOSE(CONTROL!$C$21, $C$9, 100%, $E$9)</f>
        <v>95.173000000000002</v>
      </c>
      <c r="N945" s="14">
        <f>CHOOSE(CONTROL!$C$42, 95.1899, 95.1899) * CHOOSE(CONTROL!$C$21, $C$9, 100%, $E$9)</f>
        <v>95.189899999999994</v>
      </c>
      <c r="O945" s="14">
        <f>CHOOSE(CONTROL!$C$42, 95.4398, 95.4398) * CHOOSE(CONTROL!$C$21, $C$9, 100%, $E$9)</f>
        <v>95.439800000000005</v>
      </c>
      <c r="P945" s="14">
        <f>CHOOSE(CONTROL!$C$42, 95.4712, 95.4712) * CHOOSE(CONTROL!$C$21, $C$9, 100%, $E$9)</f>
        <v>95.471199999999996</v>
      </c>
      <c r="Q945" s="14">
        <f>CHOOSE(CONTROL!$C$42, 96.0345, 96.0345) * CHOOSE(CONTROL!$C$21, $C$9, 100%, $E$9)</f>
        <v>96.034499999999994</v>
      </c>
      <c r="R945" s="14">
        <f>CHOOSE(CONTROL!$C$42, 96.8616, 96.8616) * CHOOSE(CONTROL!$C$21, $C$9, 100%, $E$9)</f>
        <v>96.861599999999996</v>
      </c>
      <c r="S945" s="14">
        <f>CHOOSE(CONTROL!$C$42, 93.0937, 93.0937) * CHOOSE(CONTROL!$C$21, $C$9, 100%, $E$9)</f>
        <v>93.093699999999998</v>
      </c>
      <c r="T94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45" s="56">
        <f>(1000*CHOOSE(CONTROL!$C$42, 695, 695)*CHOOSE(CONTROL!$C$42, 0.5599, 0.5599)*CHOOSE(CONTROL!$C$42, 30, 30))/1000000</f>
        <v>11.673914999999997</v>
      </c>
      <c r="V945" s="56">
        <f>(1000*CHOOSE(CONTROL!$C$42, 500, 500)*CHOOSE(CONTROL!$C$42, 0.275, 0.275)*CHOOSE(CONTROL!$C$42, 30, 30))/1000000</f>
        <v>4.125</v>
      </c>
      <c r="W945" s="56">
        <f>(1000*CHOOSE(CONTROL!$C$42, 0.1146, 0.1146)*CHOOSE(CONTROL!$C$42, 121.5, 121.5)*CHOOSE(CONTROL!$C$42, 30, 30))/1000000</f>
        <v>0.417717</v>
      </c>
      <c r="X945" s="56">
        <f>(30*0.1790888*245000/1000000)+(30*0.2374*100000/1000000)</f>
        <v>2.0285026799999999</v>
      </c>
      <c r="Y945" s="56"/>
      <c r="Z945" s="14"/>
      <c r="AA945" s="55"/>
      <c r="AB945" s="49">
        <f>(B945*194.205+C945*267.466+D945*133.845+E945*53.484+F945*40+G945*185+H945*0+I945*100+J945*300)/(194.205+267.466+133.845+53.484+0+40+185+100+300)</f>
        <v>96.970741875902675</v>
      </c>
      <c r="AC945" s="45">
        <f>(M945*'RAP TEMPLATE-GAS AVAILABILITY'!O944+N945*'RAP TEMPLATE-GAS AVAILABILITY'!P944+O945*'RAP TEMPLATE-GAS AVAILABILITY'!Q944+P945*'RAP TEMPLATE-GAS AVAILABILITY'!R944)/('RAP TEMPLATE-GAS AVAILABILITY'!O944+'RAP TEMPLATE-GAS AVAILABILITY'!P944+'RAP TEMPLATE-GAS AVAILABILITY'!Q944+'RAP TEMPLATE-GAS AVAILABILITY'!R944)</f>
        <v>95.33780287769784</v>
      </c>
    </row>
    <row r="946" spans="1:29" ht="15.75" x14ac:dyDescent="0.25">
      <c r="A946" s="32">
        <v>69702</v>
      </c>
      <c r="B946" s="14">
        <f>CHOOSE(CONTROL!$C$42, 94.924, 94.924) * CHOOSE(CONTROL!$C$21, $C$9, 100%, $E$9)</f>
        <v>94.924000000000007</v>
      </c>
      <c r="C946" s="14">
        <f>CHOOSE(CONTROL!$C$42, 94.9294, 94.9294) * CHOOSE(CONTROL!$C$21, $C$9, 100%, $E$9)</f>
        <v>94.929400000000001</v>
      </c>
      <c r="D946" s="14">
        <f>CHOOSE(CONTROL!$C$42, 95.1934, 95.1934) * CHOOSE(CONTROL!$C$21, $C$9, 100%, $E$9)</f>
        <v>95.193399999999997</v>
      </c>
      <c r="E946" s="14">
        <f>CHOOSE(CONTROL!$C$42, 95.2225, 95.2225) * CHOOSE(CONTROL!$C$21, $C$9, 100%, $E$9)</f>
        <v>95.222499999999997</v>
      </c>
      <c r="F946" s="14">
        <f>CHOOSE(CONTROL!$C$42, 94.9487, 94.9487)*CHOOSE(CONTROL!$C$21, $C$9, 100%, $E$9)</f>
        <v>94.948700000000002</v>
      </c>
      <c r="G946" s="14">
        <f>CHOOSE(CONTROL!$C$42, 94.9658, 94.9658)*CHOOSE(CONTROL!$C$21, $C$9, 100%, $E$9)</f>
        <v>94.965800000000002</v>
      </c>
      <c r="H946" s="14">
        <f>CHOOSE(CONTROL!$C$42, 95.213, 95.213) * CHOOSE(CONTROL!$C$21, $C$9, 100%, $E$9)</f>
        <v>95.212999999999994</v>
      </c>
      <c r="I946" s="14">
        <f>CHOOSE(CONTROL!$C$42, 95.2442, 95.2442)* CHOOSE(CONTROL!$C$21, $C$9, 100%, $E$9)</f>
        <v>95.244200000000006</v>
      </c>
      <c r="J946" s="14">
        <f>CHOOSE(CONTROL!$C$42, 94.9417, 94.9417)* CHOOSE(CONTROL!$C$21, $C$9, 100%, $E$9)</f>
        <v>94.941699999999997</v>
      </c>
      <c r="K946" s="52">
        <f>CHOOSE(CONTROL!$C$42, 95.2403, 95.2403) * CHOOSE(CONTROL!$C$21, $C$9, 100%, $E$9)</f>
        <v>95.240300000000005</v>
      </c>
      <c r="L946" s="14">
        <f>CHOOSE(CONTROL!$C$42, 95.8, 95.8) * CHOOSE(CONTROL!$C$21, $C$9, 100%, $E$9)</f>
        <v>95.8</v>
      </c>
      <c r="M946" s="14">
        <f>CHOOSE(CONTROL!$C$42, 93.2417, 93.2417) * CHOOSE(CONTROL!$C$21, $C$9, 100%, $E$9)</f>
        <v>93.241699999999994</v>
      </c>
      <c r="N946" s="14">
        <f>CHOOSE(CONTROL!$C$42, 93.2585, 93.2585) * CHOOSE(CONTROL!$C$21, $C$9, 100%, $E$9)</f>
        <v>93.258499999999998</v>
      </c>
      <c r="O946" s="14">
        <f>CHOOSE(CONTROL!$C$42, 93.5081, 93.5081) * CHOOSE(CONTROL!$C$21, $C$9, 100%, $E$9)</f>
        <v>93.508099999999999</v>
      </c>
      <c r="P946" s="14">
        <f>CHOOSE(CONTROL!$C$42, 93.5336, 93.5336) * CHOOSE(CONTROL!$C$21, $C$9, 100%, $E$9)</f>
        <v>93.533600000000007</v>
      </c>
      <c r="Q946" s="14">
        <f>CHOOSE(CONTROL!$C$42, 94.1028, 94.1028) * CHOOSE(CONTROL!$C$21, $C$9, 100%, $E$9)</f>
        <v>94.102800000000002</v>
      </c>
      <c r="R946" s="14">
        <f>CHOOSE(CONTROL!$C$42, 94.9251, 94.9251) * CHOOSE(CONTROL!$C$21, $C$9, 100%, $E$9)</f>
        <v>94.9251</v>
      </c>
      <c r="S946" s="14">
        <f>CHOOSE(CONTROL!$C$42, 91.2036, 91.2036) * CHOOSE(CONTROL!$C$21, $C$9, 100%, $E$9)</f>
        <v>91.203599999999994</v>
      </c>
      <c r="T9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46" s="56">
        <f>(1000*CHOOSE(CONTROL!$C$42, 695, 695)*CHOOSE(CONTROL!$C$42, 0.5599, 0.5599)*CHOOSE(CONTROL!$C$42, 31, 31))/1000000</f>
        <v>12.063045499999998</v>
      </c>
      <c r="V946" s="56">
        <f>(1000*CHOOSE(CONTROL!$C$42, 500, 500)*CHOOSE(CONTROL!$C$42, 0.275, 0.275)*CHOOSE(CONTROL!$C$42, 31, 31))/1000000</f>
        <v>4.2625000000000002</v>
      </c>
      <c r="W946" s="56">
        <f>(1000*CHOOSE(CONTROL!$C$42, 0.1146, 0.1146)*CHOOSE(CONTROL!$C$42, 121.5, 121.5)*CHOOSE(CONTROL!$C$42, 31, 31))/1000000</f>
        <v>0.43164089999999994</v>
      </c>
      <c r="X946" s="56">
        <f>(31*0.1790888*245000/1000000)+(31*0.2374*100000/1000000)</f>
        <v>2.0961194359999999</v>
      </c>
      <c r="Y946" s="56"/>
      <c r="Z946" s="14"/>
      <c r="AA946" s="55"/>
      <c r="AB946" s="49">
        <f>(B946*131.881+C946*277.167+D946*79.08+E946*125.872+F946*40+G946*185+H946*0+I946*100+J946*300)/(131.881+277.167+79.08+125.872+0+40+185+100+300)</f>
        <v>95.009895597901519</v>
      </c>
      <c r="AC946" s="45">
        <f>(M946*'RAP TEMPLATE-GAS AVAILABILITY'!O945+N946*'RAP TEMPLATE-GAS AVAILABILITY'!P945+O946*'RAP TEMPLATE-GAS AVAILABILITY'!Q945+P946*'RAP TEMPLATE-GAS AVAILABILITY'!R945)/('RAP TEMPLATE-GAS AVAILABILITY'!O945+'RAP TEMPLATE-GAS AVAILABILITY'!P945+'RAP TEMPLATE-GAS AVAILABILITY'!Q945+'RAP TEMPLATE-GAS AVAILABILITY'!R945)</f>
        <v>93.405409352517992</v>
      </c>
    </row>
    <row r="947" spans="1:29" ht="15.75" x14ac:dyDescent="0.25">
      <c r="A947" s="32">
        <v>69732</v>
      </c>
      <c r="B947" s="14">
        <f>CHOOSE(CONTROL!$C$42, 97.4241, 97.4241) * CHOOSE(CONTROL!$C$21, $C$9, 100%, $E$9)</f>
        <v>97.424099999999996</v>
      </c>
      <c r="C947" s="14">
        <f>CHOOSE(CONTROL!$C$42, 97.4292, 97.4292) * CHOOSE(CONTROL!$C$21, $C$9, 100%, $E$9)</f>
        <v>97.429199999999994</v>
      </c>
      <c r="D947" s="14">
        <f>CHOOSE(CONTROL!$C$42, 97.5122, 97.5122) * CHOOSE(CONTROL!$C$21, $C$9, 100%, $E$9)</f>
        <v>97.512200000000007</v>
      </c>
      <c r="E947" s="14">
        <f>CHOOSE(CONTROL!$C$42, 97.5463, 97.5463) * CHOOSE(CONTROL!$C$21, $C$9, 100%, $E$9)</f>
        <v>97.546300000000002</v>
      </c>
      <c r="F947" s="14">
        <f>CHOOSE(CONTROL!$C$42, 97.4517, 97.4517)*CHOOSE(CONTROL!$C$21, $C$9, 100%, $E$9)</f>
        <v>97.451700000000002</v>
      </c>
      <c r="G947" s="14">
        <f>CHOOSE(CONTROL!$C$42, 97.4691, 97.4691)*CHOOSE(CONTROL!$C$21, $C$9, 100%, $E$9)</f>
        <v>97.469099999999997</v>
      </c>
      <c r="H947" s="14">
        <f>CHOOSE(CONTROL!$C$42, 97.5355, 97.5355) * CHOOSE(CONTROL!$C$21, $C$9, 100%, $E$9)</f>
        <v>97.535499999999999</v>
      </c>
      <c r="I947" s="14">
        <f>CHOOSE(CONTROL!$C$42, 97.7489, 97.7489)* CHOOSE(CONTROL!$C$21, $C$9, 100%, $E$9)</f>
        <v>97.748900000000006</v>
      </c>
      <c r="J947" s="14">
        <f>CHOOSE(CONTROL!$C$42, 97.4447, 97.4447)* CHOOSE(CONTROL!$C$21, $C$9, 100%, $E$9)</f>
        <v>97.444699999999997</v>
      </c>
      <c r="K947" s="52">
        <f>CHOOSE(CONTROL!$C$42, 97.745, 97.745) * CHOOSE(CONTROL!$C$21, $C$9, 100%, $E$9)</f>
        <v>97.745000000000005</v>
      </c>
      <c r="L947" s="14">
        <f>CHOOSE(CONTROL!$C$42, 98.1225, 98.1225) * CHOOSE(CONTROL!$C$21, $C$9, 100%, $E$9)</f>
        <v>98.122500000000002</v>
      </c>
      <c r="M947" s="14">
        <f>CHOOSE(CONTROL!$C$42, 95.6997, 95.6997) * CHOOSE(CONTROL!$C$21, $C$9, 100%, $E$9)</f>
        <v>95.699700000000007</v>
      </c>
      <c r="N947" s="14">
        <f>CHOOSE(CONTROL!$C$42, 95.7168, 95.7168) * CHOOSE(CONTROL!$C$21, $C$9, 100%, $E$9)</f>
        <v>95.716800000000006</v>
      </c>
      <c r="O947" s="14">
        <f>CHOOSE(CONTROL!$C$42, 95.7889, 95.7889) * CHOOSE(CONTROL!$C$21, $C$9, 100%, $E$9)</f>
        <v>95.788899999999998</v>
      </c>
      <c r="P947" s="14">
        <f>CHOOSE(CONTROL!$C$42, 95.993, 95.993) * CHOOSE(CONTROL!$C$21, $C$9, 100%, $E$9)</f>
        <v>95.992999999999995</v>
      </c>
      <c r="Q947" s="14">
        <f>CHOOSE(CONTROL!$C$42, 96.3836, 96.3836) * CHOOSE(CONTROL!$C$21, $C$9, 100%, $E$9)</f>
        <v>96.383600000000001</v>
      </c>
      <c r="R947" s="14">
        <f>CHOOSE(CONTROL!$C$42, 97.2115, 97.2115) * CHOOSE(CONTROL!$C$21, $C$9, 100%, $E$9)</f>
        <v>97.211500000000001</v>
      </c>
      <c r="S947" s="14">
        <f>CHOOSE(CONTROL!$C$42, 93.6063, 93.6063) * CHOOSE(CONTROL!$C$21, $C$9, 100%, $E$9)</f>
        <v>93.606300000000005</v>
      </c>
      <c r="T9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47" s="56">
        <f>(1000*CHOOSE(CONTROL!$C$42, 695, 695)*CHOOSE(CONTROL!$C$42, 0.5599, 0.5599)*CHOOSE(CONTROL!$C$42, 30, 30))/1000000</f>
        <v>11.673914999999997</v>
      </c>
      <c r="V947" s="56">
        <f>(1000*CHOOSE(CONTROL!$C$42, 500, 500)*CHOOSE(CONTROL!$C$42, 0.275, 0.275)*CHOOSE(CONTROL!$C$42, 30, 30))/1000000</f>
        <v>4.125</v>
      </c>
      <c r="W947" s="56">
        <f>(1000*CHOOSE(CONTROL!$C$42, 0.1146, 0.1146)*CHOOSE(CONTROL!$C$42, 121.5, 121.5)*CHOOSE(CONTROL!$C$42, 30, 30))/1000000</f>
        <v>0.417717</v>
      </c>
      <c r="X947" s="56">
        <f>(30*0.1790888*100000/1000000)+(30*0.2374*100000/1000000)</f>
        <v>1.2494664</v>
      </c>
      <c r="Y947" s="56"/>
      <c r="Z947" s="14"/>
      <c r="AA947" s="55"/>
      <c r="AB947" s="49">
        <f>(B947*122.58+C947*297.941+D947*89.177+E947*40.302+F947*40+G947*160+H947*0+I947*100+J947*300)/(122.58+297.941+89.177+40.302+0+40+160+100+300)</f>
        <v>97.477373823652172</v>
      </c>
      <c r="AC947" s="45">
        <f>(M947*'RAP TEMPLATE-GAS AVAILABILITY'!O946+N947*'RAP TEMPLATE-GAS AVAILABILITY'!P946+O947*'RAP TEMPLATE-GAS AVAILABILITY'!Q946+P947*'RAP TEMPLATE-GAS AVAILABILITY'!R946)/('RAP TEMPLATE-GAS AVAILABILITY'!O946+'RAP TEMPLATE-GAS AVAILABILITY'!P946+'RAP TEMPLATE-GAS AVAILABILITY'!Q946+'RAP TEMPLATE-GAS AVAILABILITY'!R946)</f>
        <v>95.783314388489202</v>
      </c>
    </row>
    <row r="948" spans="1:29" ht="15.75" x14ac:dyDescent="0.25">
      <c r="A948" s="32">
        <v>69763</v>
      </c>
      <c r="B948" s="14">
        <f>CHOOSE(CONTROL!$C$42, 104.0658, 104.0658) * CHOOSE(CONTROL!$C$21, $C$9, 100%, $E$9)</f>
        <v>104.0658</v>
      </c>
      <c r="C948" s="14">
        <f>CHOOSE(CONTROL!$C$42, 104.0709, 104.0709) * CHOOSE(CONTROL!$C$21, $C$9, 100%, $E$9)</f>
        <v>104.07089999999999</v>
      </c>
      <c r="D948" s="14">
        <f>CHOOSE(CONTROL!$C$42, 104.1539, 104.1539) * CHOOSE(CONTROL!$C$21, $C$9, 100%, $E$9)</f>
        <v>104.15389999999999</v>
      </c>
      <c r="E948" s="14">
        <f>CHOOSE(CONTROL!$C$42, 104.188, 104.188) * CHOOSE(CONTROL!$C$21, $C$9, 100%, $E$9)</f>
        <v>104.188</v>
      </c>
      <c r="F948" s="14">
        <f>CHOOSE(CONTROL!$C$42, 104.0959, 104.0959)*CHOOSE(CONTROL!$C$21, $C$9, 100%, $E$9)</f>
        <v>104.0959</v>
      </c>
      <c r="G948" s="14">
        <f>CHOOSE(CONTROL!$C$42, 104.1139, 104.1139)*CHOOSE(CONTROL!$C$21, $C$9, 100%, $E$9)</f>
        <v>104.1139</v>
      </c>
      <c r="H948" s="14">
        <f>CHOOSE(CONTROL!$C$42, 104.1772, 104.1772) * CHOOSE(CONTROL!$C$21, $C$9, 100%, $E$9)</f>
        <v>104.1772</v>
      </c>
      <c r="I948" s="14">
        <f>CHOOSE(CONTROL!$C$42, 104.4113, 104.4113)* CHOOSE(CONTROL!$C$21, $C$9, 100%, $E$9)</f>
        <v>104.4113</v>
      </c>
      <c r="J948" s="14">
        <f>CHOOSE(CONTROL!$C$42, 104.0889, 104.0889)* CHOOSE(CONTROL!$C$21, $C$9, 100%, $E$9)</f>
        <v>104.0889</v>
      </c>
      <c r="K948" s="52">
        <f>CHOOSE(CONTROL!$C$42, 104.4074, 104.4074) * CHOOSE(CONTROL!$C$21, $C$9, 100%, $E$9)</f>
        <v>104.4074</v>
      </c>
      <c r="L948" s="14">
        <f>CHOOSE(CONTROL!$C$42, 104.7642, 104.7642) * CHOOSE(CONTROL!$C$21, $C$9, 100%, $E$9)</f>
        <v>104.7642</v>
      </c>
      <c r="M948" s="14">
        <f>CHOOSE(CONTROL!$C$42, 102.2243, 102.2243) * CHOOSE(CONTROL!$C$21, $C$9, 100%, $E$9)</f>
        <v>102.2243</v>
      </c>
      <c r="N948" s="14">
        <f>CHOOSE(CONTROL!$C$42, 102.242, 102.242) * CHOOSE(CONTROL!$C$21, $C$9, 100%, $E$9)</f>
        <v>102.242</v>
      </c>
      <c r="O948" s="14">
        <f>CHOOSE(CONTROL!$C$42, 102.3111, 102.3111) * CHOOSE(CONTROL!$C$21, $C$9, 100%, $E$9)</f>
        <v>102.3111</v>
      </c>
      <c r="P948" s="14">
        <f>CHOOSE(CONTROL!$C$42, 102.5353, 102.5353) * CHOOSE(CONTROL!$C$21, $C$9, 100%, $E$9)</f>
        <v>102.53530000000001</v>
      </c>
      <c r="Q948" s="14">
        <f>CHOOSE(CONTROL!$C$42, 102.9058, 102.9058) * CHOOSE(CONTROL!$C$21, $C$9, 100%, $E$9)</f>
        <v>102.9058</v>
      </c>
      <c r="R948" s="14">
        <f>CHOOSE(CONTROL!$C$42, 103.7501, 103.7501) * CHOOSE(CONTROL!$C$21, $C$9, 100%, $E$9)</f>
        <v>103.7501</v>
      </c>
      <c r="S948" s="14">
        <f>CHOOSE(CONTROL!$C$42, 99.9883, 99.9883) * CHOOSE(CONTROL!$C$21, $C$9, 100%, $E$9)</f>
        <v>99.988299999999995</v>
      </c>
      <c r="T9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48" s="56">
        <f>(1000*CHOOSE(CONTROL!$C$42, 695, 695)*CHOOSE(CONTROL!$C$42, 0.5599, 0.5599)*CHOOSE(CONTROL!$C$42, 31, 31))/1000000</f>
        <v>12.063045499999998</v>
      </c>
      <c r="V948" s="56">
        <f>(1000*CHOOSE(CONTROL!$C$42, 500, 500)*CHOOSE(CONTROL!$C$42, 0.275, 0.275)*CHOOSE(CONTROL!$C$42, 31, 31))/1000000</f>
        <v>4.2625000000000002</v>
      </c>
      <c r="W948" s="56">
        <f>(1000*CHOOSE(CONTROL!$C$42, 0.1146, 0.1146)*CHOOSE(CONTROL!$C$42, 121.5, 121.5)*CHOOSE(CONTROL!$C$42, 31, 31))/1000000</f>
        <v>0.43164089999999994</v>
      </c>
      <c r="X948" s="56">
        <f>(31*0.1790888*100000/1000000)+(31*0.2374*100000/1000000)</f>
        <v>1.2911152800000001</v>
      </c>
      <c r="Y948" s="56"/>
      <c r="Z948" s="14"/>
      <c r="AA948" s="55"/>
      <c r="AB948" s="49">
        <f>(B948*122.58+C948*297.941+D948*89.177+E948*40.302+F948*40+G948*160+H948*0+I948*100+J948*300)/(122.58+297.941+89.177+40.302+0+40+160+100+300)</f>
        <v>104.12204425843478</v>
      </c>
      <c r="AC948" s="45">
        <f>(M948*'RAP TEMPLATE-GAS AVAILABILITY'!O947+N948*'RAP TEMPLATE-GAS AVAILABILITY'!P947+O948*'RAP TEMPLATE-GAS AVAILABILITY'!Q947+P948*'RAP TEMPLATE-GAS AVAILABILITY'!R947)/('RAP TEMPLATE-GAS AVAILABILITY'!O947+'RAP TEMPLATE-GAS AVAILABILITY'!P947+'RAP TEMPLATE-GAS AVAILABILITY'!Q947+'RAP TEMPLATE-GAS AVAILABILITY'!R947)</f>
        <v>102.30940791366906</v>
      </c>
    </row>
    <row r="949" spans="1:29" ht="15.75" x14ac:dyDescent="0.25">
      <c r="A949" s="32">
        <v>69794</v>
      </c>
      <c r="B949" s="14">
        <f>CHOOSE(CONTROL!$C$42, 112.6921, 112.6921) * CHOOSE(CONTROL!$C$21, $C$9, 100%, $E$9)</f>
        <v>112.6921</v>
      </c>
      <c r="C949" s="14">
        <f>CHOOSE(CONTROL!$C$42, 112.6972, 112.6972) * CHOOSE(CONTROL!$C$21, $C$9, 100%, $E$9)</f>
        <v>112.6972</v>
      </c>
      <c r="D949" s="14">
        <f>CHOOSE(CONTROL!$C$42, 112.7907, 112.7907) * CHOOSE(CONTROL!$C$21, $C$9, 100%, $E$9)</f>
        <v>112.7907</v>
      </c>
      <c r="E949" s="14">
        <f>CHOOSE(CONTROL!$C$42, 112.8248, 112.8248) * CHOOSE(CONTROL!$C$21, $C$9, 100%, $E$9)</f>
        <v>112.8248</v>
      </c>
      <c r="F949" s="14">
        <f>CHOOSE(CONTROL!$C$42, 112.7194, 112.7194)*CHOOSE(CONTROL!$C$21, $C$9, 100%, $E$9)</f>
        <v>112.71939999999999</v>
      </c>
      <c r="G949" s="14">
        <f>CHOOSE(CONTROL!$C$42, 112.7374, 112.7374)*CHOOSE(CONTROL!$C$21, $C$9, 100%, $E$9)</f>
        <v>112.73739999999999</v>
      </c>
      <c r="H949" s="14">
        <f>CHOOSE(CONTROL!$C$42, 112.814, 112.814) * CHOOSE(CONTROL!$C$21, $C$9, 100%, $E$9)</f>
        <v>112.81399999999999</v>
      </c>
      <c r="I949" s="14">
        <f>CHOOSE(CONTROL!$C$42, 113.071, 113.071)* CHOOSE(CONTROL!$C$21, $C$9, 100%, $E$9)</f>
        <v>113.071</v>
      </c>
      <c r="J949" s="14">
        <f>CHOOSE(CONTROL!$C$42, 112.7124, 112.7124)* CHOOSE(CONTROL!$C$21, $C$9, 100%, $E$9)</f>
        <v>112.7124</v>
      </c>
      <c r="K949" s="52">
        <f>CHOOSE(CONTROL!$C$42, 113.0671, 113.0671) * CHOOSE(CONTROL!$C$21, $C$9, 100%, $E$9)</f>
        <v>113.0671</v>
      </c>
      <c r="L949" s="14">
        <f>CHOOSE(CONTROL!$C$42, 113.401, 113.401) * CHOOSE(CONTROL!$C$21, $C$9, 100%, $E$9)</f>
        <v>113.401</v>
      </c>
      <c r="M949" s="14">
        <f>CHOOSE(CONTROL!$C$42, 110.6928, 110.6928) * CHOOSE(CONTROL!$C$21, $C$9, 100%, $E$9)</f>
        <v>110.69280000000001</v>
      </c>
      <c r="N949" s="14">
        <f>CHOOSE(CONTROL!$C$42, 110.7104, 110.7104) * CHOOSE(CONTROL!$C$21, $C$9, 100%, $E$9)</f>
        <v>110.71040000000001</v>
      </c>
      <c r="O949" s="14">
        <f>CHOOSE(CONTROL!$C$42, 110.7925, 110.7925) * CHOOSE(CONTROL!$C$21, $C$9, 100%, $E$9)</f>
        <v>110.7925</v>
      </c>
      <c r="P949" s="14">
        <f>CHOOSE(CONTROL!$C$42, 111.0387, 111.0387) * CHOOSE(CONTROL!$C$21, $C$9, 100%, $E$9)</f>
        <v>111.03870000000001</v>
      </c>
      <c r="Q949" s="14">
        <f>CHOOSE(CONTROL!$C$42, 111.3872, 111.3872) * CHOOSE(CONTROL!$C$21, $C$9, 100%, $E$9)</f>
        <v>111.38720000000001</v>
      </c>
      <c r="R949" s="14">
        <f>CHOOSE(CONTROL!$C$42, 112.2527, 112.2527) * CHOOSE(CONTROL!$C$21, $C$9, 100%, $E$9)</f>
        <v>112.2527</v>
      </c>
      <c r="S949" s="14">
        <f>CHOOSE(CONTROL!$C$42, 108.2773, 108.2773) * CHOOSE(CONTROL!$C$21, $C$9, 100%, $E$9)</f>
        <v>108.2773</v>
      </c>
      <c r="T9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49" s="56">
        <f>(1000*CHOOSE(CONTROL!$C$42, 695, 695)*CHOOSE(CONTROL!$C$42, 0.5599, 0.5599)*CHOOSE(CONTROL!$C$42, 31, 31))/1000000</f>
        <v>12.063045499999998</v>
      </c>
      <c r="V949" s="56">
        <f>(1000*CHOOSE(CONTROL!$C$42, 500, 500)*CHOOSE(CONTROL!$C$42, 0.275, 0.275)*CHOOSE(CONTROL!$C$42, 31, 31))/1000000</f>
        <v>4.2625000000000002</v>
      </c>
      <c r="W949" s="56">
        <f>(1000*CHOOSE(CONTROL!$C$42, 0.1146, 0.1146)*CHOOSE(CONTROL!$C$42, 121.5, 121.5)*CHOOSE(CONTROL!$C$42, 31, 31))/1000000</f>
        <v>0.43164089999999994</v>
      </c>
      <c r="X949" s="56">
        <f>(31*0.1790888*100000/1000000)+(31*0.2374*100000/1000000)</f>
        <v>1.2911152800000001</v>
      </c>
      <c r="Y949" s="56"/>
      <c r="Z949" s="14"/>
      <c r="AA949" s="55"/>
      <c r="AB949" s="49">
        <f>(B949*122.58+C949*297.941+D949*89.177+E949*40.302+F949*40+G949*160+H949*0+I949*100+J949*300)/(122.58+297.941+89.177+40.302+0+40+160+100+300)</f>
        <v>112.75121341452173</v>
      </c>
      <c r="AC949" s="45">
        <f>(M949*'RAP TEMPLATE-GAS AVAILABILITY'!O948+N949*'RAP TEMPLATE-GAS AVAILABILITY'!P948+O949*'RAP TEMPLATE-GAS AVAILABILITY'!Q948+P949*'RAP TEMPLATE-GAS AVAILABILITY'!R948)/('RAP TEMPLATE-GAS AVAILABILITY'!O948+'RAP TEMPLATE-GAS AVAILABILITY'!P948+'RAP TEMPLATE-GAS AVAILABILITY'!Q948+'RAP TEMPLATE-GAS AVAILABILITY'!R948)</f>
        <v>110.78877050359712</v>
      </c>
    </row>
    <row r="950" spans="1:29" ht="15.75" x14ac:dyDescent="0.25">
      <c r="A950" s="32">
        <v>69822</v>
      </c>
      <c r="B950" s="14">
        <f>CHOOSE(CONTROL!$C$42, 114.698, 114.698) * CHOOSE(CONTROL!$C$21, $C$9, 100%, $E$9)</f>
        <v>114.69799999999999</v>
      </c>
      <c r="C950" s="14">
        <f>CHOOSE(CONTROL!$C$42, 114.7031, 114.7031) * CHOOSE(CONTROL!$C$21, $C$9, 100%, $E$9)</f>
        <v>114.70310000000001</v>
      </c>
      <c r="D950" s="14">
        <f>CHOOSE(CONTROL!$C$42, 114.7966, 114.7966) * CHOOSE(CONTROL!$C$21, $C$9, 100%, $E$9)</f>
        <v>114.7966</v>
      </c>
      <c r="E950" s="14">
        <f>CHOOSE(CONTROL!$C$42, 114.8307, 114.8307) * CHOOSE(CONTROL!$C$21, $C$9, 100%, $E$9)</f>
        <v>114.83069999999999</v>
      </c>
      <c r="F950" s="14">
        <f>CHOOSE(CONTROL!$C$42, 114.725, 114.725)*CHOOSE(CONTROL!$C$21, $C$9, 100%, $E$9)</f>
        <v>114.72499999999999</v>
      </c>
      <c r="G950" s="14">
        <f>CHOOSE(CONTROL!$C$42, 114.7429, 114.7429)*CHOOSE(CONTROL!$C$21, $C$9, 100%, $E$9)</f>
        <v>114.74290000000001</v>
      </c>
      <c r="H950" s="14">
        <f>CHOOSE(CONTROL!$C$42, 114.8199, 114.8199) * CHOOSE(CONTROL!$C$21, $C$9, 100%, $E$9)</f>
        <v>114.8199</v>
      </c>
      <c r="I950" s="14">
        <f>CHOOSE(CONTROL!$C$42, 115.0832, 115.0832)* CHOOSE(CONTROL!$C$21, $C$9, 100%, $E$9)</f>
        <v>115.08320000000001</v>
      </c>
      <c r="J950" s="14">
        <f>CHOOSE(CONTROL!$C$42, 114.718, 114.718)* CHOOSE(CONTROL!$C$21, $C$9, 100%, $E$9)</f>
        <v>114.718</v>
      </c>
      <c r="K950" s="52">
        <f>CHOOSE(CONTROL!$C$42, 115.0793, 115.0793) * CHOOSE(CONTROL!$C$21, $C$9, 100%, $E$9)</f>
        <v>115.0793</v>
      </c>
      <c r="L950" s="14">
        <f>CHOOSE(CONTROL!$C$42, 115.4069, 115.4069) * CHOOSE(CONTROL!$C$21, $C$9, 100%, $E$9)</f>
        <v>115.40689999999999</v>
      </c>
      <c r="M950" s="14">
        <f>CHOOSE(CONTROL!$C$42, 112.6623, 112.6623) * CHOOSE(CONTROL!$C$21, $C$9, 100%, $E$9)</f>
        <v>112.6623</v>
      </c>
      <c r="N950" s="14">
        <f>CHOOSE(CONTROL!$C$42, 112.6798, 112.6798) * CHOOSE(CONTROL!$C$21, $C$9, 100%, $E$9)</f>
        <v>112.6798</v>
      </c>
      <c r="O950" s="14">
        <f>CHOOSE(CONTROL!$C$42, 112.7623, 112.7623) * CHOOSE(CONTROL!$C$21, $C$9, 100%, $E$9)</f>
        <v>112.7623</v>
      </c>
      <c r="P950" s="14">
        <f>CHOOSE(CONTROL!$C$42, 113.0146, 113.0146) * CHOOSE(CONTROL!$C$21, $C$9, 100%, $E$9)</f>
        <v>113.0146</v>
      </c>
      <c r="Q950" s="14">
        <f>CHOOSE(CONTROL!$C$42, 113.357, 113.357) * CHOOSE(CONTROL!$C$21, $C$9, 100%, $E$9)</f>
        <v>113.357</v>
      </c>
      <c r="R950" s="14">
        <f>CHOOSE(CONTROL!$C$42, 114.2274, 114.2274) * CHOOSE(CONTROL!$C$21, $C$9, 100%, $E$9)</f>
        <v>114.2274</v>
      </c>
      <c r="S950" s="14">
        <f>CHOOSE(CONTROL!$C$42, 110.2048, 110.2048) * CHOOSE(CONTROL!$C$21, $C$9, 100%, $E$9)</f>
        <v>110.20480000000001</v>
      </c>
      <c r="T95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950" s="56">
        <f>(1000*CHOOSE(CONTROL!$C$42, 695, 695)*CHOOSE(CONTROL!$C$42, 0.5599, 0.5599)*CHOOSE(CONTROL!$C$42, 28, 28))/1000000</f>
        <v>10.895653999999999</v>
      </c>
      <c r="V950" s="56">
        <f>(1000*CHOOSE(CONTROL!$C$42, 500, 500)*CHOOSE(CONTROL!$C$42, 0.275, 0.275)*CHOOSE(CONTROL!$C$42, 28, 28))/1000000</f>
        <v>3.85</v>
      </c>
      <c r="W950" s="56">
        <f>(1000*CHOOSE(CONTROL!$C$42, 0.1146, 0.1146)*CHOOSE(CONTROL!$C$42, 121.5, 121.5)*CHOOSE(CONTROL!$C$42, 28, 28))/1000000</f>
        <v>0.38986920000000003</v>
      </c>
      <c r="X950" s="56">
        <f>(28*0.1790888*100000/1000000)+(28*0.2374*100000/1000000)</f>
        <v>1.16616864</v>
      </c>
      <c r="Y950" s="56"/>
      <c r="Z950" s="14"/>
      <c r="AA950" s="55"/>
      <c r="AB950" s="49">
        <f>(B950*122.58+C950*297.941+D950*89.177+E950*40.302+F950*40+G950*160+H950*0+I950*100+J950*300)/(122.58+297.941+89.177+40.302+0+40+160+100+300)</f>
        <v>114.7575168927826</v>
      </c>
      <c r="AC950" s="45">
        <f>(M950*'RAP TEMPLATE-GAS AVAILABILITY'!O949+N950*'RAP TEMPLATE-GAS AVAILABILITY'!P949+O950*'RAP TEMPLATE-GAS AVAILABILITY'!Q949+P950*'RAP TEMPLATE-GAS AVAILABILITY'!R949)/('RAP TEMPLATE-GAS AVAILABILITY'!O949+'RAP TEMPLATE-GAS AVAILABILITY'!P949+'RAP TEMPLATE-GAS AVAILABILITY'!Q949+'RAP TEMPLATE-GAS AVAILABILITY'!R949)</f>
        <v>112.75932158273383</v>
      </c>
    </row>
    <row r="951" spans="1:29" ht="15.75" x14ac:dyDescent="0.25">
      <c r="A951" s="32">
        <v>69853</v>
      </c>
      <c r="B951" s="14">
        <f>CHOOSE(CONTROL!$C$42, 111.442, 111.442) * CHOOSE(CONTROL!$C$21, $C$9, 100%, $E$9)</f>
        <v>111.44199999999999</v>
      </c>
      <c r="C951" s="14">
        <f>CHOOSE(CONTROL!$C$42, 111.447, 111.447) * CHOOSE(CONTROL!$C$21, $C$9, 100%, $E$9)</f>
        <v>111.447</v>
      </c>
      <c r="D951" s="14">
        <f>CHOOSE(CONTROL!$C$42, 111.5405, 111.5405) * CHOOSE(CONTROL!$C$21, $C$9, 100%, $E$9)</f>
        <v>111.54049999999999</v>
      </c>
      <c r="E951" s="14">
        <f>CHOOSE(CONTROL!$C$42, 111.5746, 111.5746) * CHOOSE(CONTROL!$C$21, $C$9, 100%, $E$9)</f>
        <v>111.5746</v>
      </c>
      <c r="F951" s="14">
        <f>CHOOSE(CONTROL!$C$42, 111.468, 111.468)*CHOOSE(CONTROL!$C$21, $C$9, 100%, $E$9)</f>
        <v>111.468</v>
      </c>
      <c r="G951" s="14">
        <f>CHOOSE(CONTROL!$C$42, 111.4857, 111.4857)*CHOOSE(CONTROL!$C$21, $C$9, 100%, $E$9)</f>
        <v>111.48569999999999</v>
      </c>
      <c r="H951" s="14">
        <f>CHOOSE(CONTROL!$C$42, 111.5638, 111.5638) * CHOOSE(CONTROL!$C$21, $C$9, 100%, $E$9)</f>
        <v>111.5638</v>
      </c>
      <c r="I951" s="14">
        <f>CHOOSE(CONTROL!$C$42, 111.8169, 111.8169)* CHOOSE(CONTROL!$C$21, $C$9, 100%, $E$9)</f>
        <v>111.8169</v>
      </c>
      <c r="J951" s="14">
        <f>CHOOSE(CONTROL!$C$42, 111.461, 111.461)* CHOOSE(CONTROL!$C$21, $C$9, 100%, $E$9)</f>
        <v>111.461</v>
      </c>
      <c r="K951" s="52">
        <f>CHOOSE(CONTROL!$C$42, 111.813, 111.813) * CHOOSE(CONTROL!$C$21, $C$9, 100%, $E$9)</f>
        <v>111.813</v>
      </c>
      <c r="L951" s="14">
        <f>CHOOSE(CONTROL!$C$42, 112.1508, 112.1508) * CHOOSE(CONTROL!$C$21, $C$9, 100%, $E$9)</f>
        <v>112.1508</v>
      </c>
      <c r="M951" s="14">
        <f>CHOOSE(CONTROL!$C$42, 109.4639, 109.4639) * CHOOSE(CONTROL!$C$21, $C$9, 100%, $E$9)</f>
        <v>109.4639</v>
      </c>
      <c r="N951" s="14">
        <f>CHOOSE(CONTROL!$C$42, 109.4812, 109.4812) * CHOOSE(CONTROL!$C$21, $C$9, 100%, $E$9)</f>
        <v>109.4812</v>
      </c>
      <c r="O951" s="14">
        <f>CHOOSE(CONTROL!$C$42, 109.5648, 109.5648) * CHOOSE(CONTROL!$C$21, $C$9, 100%, $E$9)</f>
        <v>109.56480000000001</v>
      </c>
      <c r="P951" s="14">
        <f>CHOOSE(CONTROL!$C$42, 109.8072, 109.8072) * CHOOSE(CONTROL!$C$21, $C$9, 100%, $E$9)</f>
        <v>109.80719999999999</v>
      </c>
      <c r="Q951" s="14">
        <f>CHOOSE(CONTROL!$C$42, 110.1595, 110.1595) * CHOOSE(CONTROL!$C$21, $C$9, 100%, $E$9)</f>
        <v>110.15949999999999</v>
      </c>
      <c r="R951" s="14">
        <f>CHOOSE(CONTROL!$C$42, 111.0219, 111.0219) * CHOOSE(CONTROL!$C$21, $C$9, 100%, $E$9)</f>
        <v>111.0219</v>
      </c>
      <c r="S951" s="14">
        <f>CHOOSE(CONTROL!$C$42, 107.076, 107.076) * CHOOSE(CONTROL!$C$21, $C$9, 100%, $E$9)</f>
        <v>107.07599999999999</v>
      </c>
      <c r="T9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51" s="56">
        <f>(1000*CHOOSE(CONTROL!$C$42, 695, 695)*CHOOSE(CONTROL!$C$42, 0.5599, 0.5599)*CHOOSE(CONTROL!$C$42, 31, 31))/1000000</f>
        <v>12.063045499999998</v>
      </c>
      <c r="V951" s="56">
        <f>(1000*CHOOSE(CONTROL!$C$42, 500, 500)*CHOOSE(CONTROL!$C$42, 0.275, 0.275)*CHOOSE(CONTROL!$C$42, 31, 31))/1000000</f>
        <v>4.2625000000000002</v>
      </c>
      <c r="W951" s="56">
        <f>(1000*CHOOSE(CONTROL!$C$42, 0.1146, 0.1146)*CHOOSE(CONTROL!$C$42, 121.5, 121.5)*CHOOSE(CONTROL!$C$42, 31, 31))/1000000</f>
        <v>0.43164089999999994</v>
      </c>
      <c r="X951" s="56">
        <f>(31*0.1790888*100000/1000000)+(31*0.2374*100000/1000000)</f>
        <v>1.2911152800000001</v>
      </c>
      <c r="Y951" s="56"/>
      <c r="Z951" s="14"/>
      <c r="AA951" s="55"/>
      <c r="AB951" s="49">
        <f>(B951*122.58+C951*297.941+D951*89.177+E951*40.302+F951*40+G951*160+H951*0+I951*100+J951*300)/(122.58+297.941+89.177+40.302+0+40+160+100+300)</f>
        <v>111.50012146495652</v>
      </c>
      <c r="AC951" s="45">
        <f>(M951*'RAP TEMPLATE-GAS AVAILABILITY'!O950+N951*'RAP TEMPLATE-GAS AVAILABILITY'!P950+O951*'RAP TEMPLATE-GAS AVAILABILITY'!Q950+P951*'RAP TEMPLATE-GAS AVAILABILITY'!R950)/('RAP TEMPLATE-GAS AVAILABILITY'!O950+'RAP TEMPLATE-GAS AVAILABILITY'!P950+'RAP TEMPLATE-GAS AVAILABILITY'!Q950+'RAP TEMPLATE-GAS AVAILABILITY'!R950)</f>
        <v>109.56002302158274</v>
      </c>
    </row>
    <row r="952" spans="1:29" ht="15.75" x14ac:dyDescent="0.25">
      <c r="A952" s="32">
        <v>69883</v>
      </c>
      <c r="B952" s="14">
        <f>CHOOSE(CONTROL!$C$42, 111.1093, 111.1093) * CHOOSE(CONTROL!$C$21, $C$9, 100%, $E$9)</f>
        <v>111.1093</v>
      </c>
      <c r="C952" s="14">
        <f>CHOOSE(CONTROL!$C$42, 111.1138, 111.1138) * CHOOSE(CONTROL!$C$21, $C$9, 100%, $E$9)</f>
        <v>111.1138</v>
      </c>
      <c r="D952" s="14">
        <f>CHOOSE(CONTROL!$C$42, 111.376, 111.376) * CHOOSE(CONTROL!$C$21, $C$9, 100%, $E$9)</f>
        <v>111.376</v>
      </c>
      <c r="E952" s="14">
        <f>CHOOSE(CONTROL!$C$42, 111.4081, 111.4081) * CHOOSE(CONTROL!$C$21, $C$9, 100%, $E$9)</f>
        <v>111.4081</v>
      </c>
      <c r="F952" s="14">
        <f>CHOOSE(CONTROL!$C$42, 111.1321, 111.1321)*CHOOSE(CONTROL!$C$21, $C$9, 100%, $E$9)</f>
        <v>111.13209999999999</v>
      </c>
      <c r="G952" s="14">
        <f>CHOOSE(CONTROL!$C$42, 111.1489, 111.1489)*CHOOSE(CONTROL!$C$21, $C$9, 100%, $E$9)</f>
        <v>111.1489</v>
      </c>
      <c r="H952" s="14">
        <f>CHOOSE(CONTROL!$C$42, 111.3979, 111.3979) * CHOOSE(CONTROL!$C$21, $C$9, 100%, $E$9)</f>
        <v>111.39790000000001</v>
      </c>
      <c r="I952" s="14">
        <f>CHOOSE(CONTROL!$C$42, 111.4798, 111.4798)* CHOOSE(CONTROL!$C$21, $C$9, 100%, $E$9)</f>
        <v>111.4798</v>
      </c>
      <c r="J952" s="14">
        <f>CHOOSE(CONTROL!$C$42, 111.1251, 111.1251)* CHOOSE(CONTROL!$C$21, $C$9, 100%, $E$9)</f>
        <v>111.1251</v>
      </c>
      <c r="K952" s="52">
        <f>CHOOSE(CONTROL!$C$42, 111.4759, 111.4759) * CHOOSE(CONTROL!$C$21, $C$9, 100%, $E$9)</f>
        <v>111.4759</v>
      </c>
      <c r="L952" s="14">
        <f>CHOOSE(CONTROL!$C$42, 111.9849, 111.9849) * CHOOSE(CONTROL!$C$21, $C$9, 100%, $E$9)</f>
        <v>111.9849</v>
      </c>
      <c r="M952" s="14">
        <f>CHOOSE(CONTROL!$C$42, 109.1341, 109.1341) * CHOOSE(CONTROL!$C$21, $C$9, 100%, $E$9)</f>
        <v>109.1341</v>
      </c>
      <c r="N952" s="14">
        <f>CHOOSE(CONTROL!$C$42, 109.1505, 109.1505) * CHOOSE(CONTROL!$C$21, $C$9, 100%, $E$9)</f>
        <v>109.15049999999999</v>
      </c>
      <c r="O952" s="14">
        <f>CHOOSE(CONTROL!$C$42, 109.4019, 109.4019) * CHOOSE(CONTROL!$C$21, $C$9, 100%, $E$9)</f>
        <v>109.4019</v>
      </c>
      <c r="P952" s="14">
        <f>CHOOSE(CONTROL!$C$42, 109.4762, 109.4762) * CHOOSE(CONTROL!$C$21, $C$9, 100%, $E$9)</f>
        <v>109.47620000000001</v>
      </c>
      <c r="Q952" s="14">
        <f>CHOOSE(CONTROL!$C$42, 109.9966, 109.9966) * CHOOSE(CONTROL!$C$21, $C$9, 100%, $E$9)</f>
        <v>109.9966</v>
      </c>
      <c r="R952" s="14">
        <f>CHOOSE(CONTROL!$C$42, 110.8586, 110.8586) * CHOOSE(CONTROL!$C$21, $C$9, 100%, $E$9)</f>
        <v>110.8586</v>
      </c>
      <c r="S952" s="14">
        <f>CHOOSE(CONTROL!$C$42, 106.7557, 106.7557) * CHOOSE(CONTROL!$C$21, $C$9, 100%, $E$9)</f>
        <v>106.7557</v>
      </c>
      <c r="T9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952" s="56">
        <f>(1000*CHOOSE(CONTROL!$C$42, 695, 695)*CHOOSE(CONTROL!$C$42, 0.5599, 0.5599)*CHOOSE(CONTROL!$C$42, 30, 30))/1000000</f>
        <v>11.673914999999997</v>
      </c>
      <c r="V952" s="56">
        <f>(1000*CHOOSE(CONTROL!$C$42, 500, 500)*CHOOSE(CONTROL!$C$42, 0.275, 0.275)*CHOOSE(CONTROL!$C$42, 30, 30))/1000000</f>
        <v>4.125</v>
      </c>
      <c r="W952" s="56">
        <f>(1000*CHOOSE(CONTROL!$C$42, 0.1146, 0.1146)*CHOOSE(CONTROL!$C$42, 121.5, 121.5)*CHOOSE(CONTROL!$C$42, 30, 30))/1000000</f>
        <v>0.417717</v>
      </c>
      <c r="X952" s="56">
        <f>(30*0.1790888*245000/1000000)+(30*0.2374*100000/1000000)</f>
        <v>2.0285026799999999</v>
      </c>
      <c r="Y952" s="56"/>
      <c r="Z952" s="14"/>
      <c r="AA952" s="55"/>
      <c r="AB952" s="49">
        <f>(B952*141.293+C952*267.993+D952*115.016+E952*89.698+F952*40+G952*185+H952*0+I952*100+J952*300)/(141.293+267.993+115.016+89.698+0+40+185+100+300)</f>
        <v>111.19704051501211</v>
      </c>
      <c r="AC952" s="45">
        <f>(M952*'RAP TEMPLATE-GAS AVAILABILITY'!O951+N952*'RAP TEMPLATE-GAS AVAILABILITY'!P951+O952*'RAP TEMPLATE-GAS AVAILABILITY'!Q951+P952*'RAP TEMPLATE-GAS AVAILABILITY'!R951)/('RAP TEMPLATE-GAS AVAILABILITY'!O951+'RAP TEMPLATE-GAS AVAILABILITY'!P951+'RAP TEMPLATE-GAS AVAILABILITY'!Q951+'RAP TEMPLATE-GAS AVAILABILITY'!R951)</f>
        <v>109.30564388489209</v>
      </c>
    </row>
    <row r="953" spans="1:29" ht="15.75" x14ac:dyDescent="0.25">
      <c r="A953" s="32">
        <v>69914</v>
      </c>
      <c r="B953" s="14">
        <f>CHOOSE(CONTROL!$C$42, 112.0913, 112.0913) * CHOOSE(CONTROL!$C$21, $C$9, 100%, $E$9)</f>
        <v>112.0913</v>
      </c>
      <c r="C953" s="14">
        <f>CHOOSE(CONTROL!$C$42, 112.0993, 112.0993) * CHOOSE(CONTROL!$C$21, $C$9, 100%, $E$9)</f>
        <v>112.0993</v>
      </c>
      <c r="D953" s="14">
        <f>CHOOSE(CONTROL!$C$42, 112.3584, 112.3584) * CHOOSE(CONTROL!$C$21, $C$9, 100%, $E$9)</f>
        <v>112.3584</v>
      </c>
      <c r="E953" s="14">
        <f>CHOOSE(CONTROL!$C$42, 112.3899, 112.3899) * CHOOSE(CONTROL!$C$21, $C$9, 100%, $E$9)</f>
        <v>112.3899</v>
      </c>
      <c r="F953" s="14">
        <f>CHOOSE(CONTROL!$C$42, 112.1128, 112.1128)*CHOOSE(CONTROL!$C$21, $C$9, 100%, $E$9)</f>
        <v>112.11279999999999</v>
      </c>
      <c r="G953" s="14">
        <f>CHOOSE(CONTROL!$C$42, 112.1298, 112.1298)*CHOOSE(CONTROL!$C$21, $C$9, 100%, $E$9)</f>
        <v>112.1298</v>
      </c>
      <c r="H953" s="14">
        <f>CHOOSE(CONTROL!$C$42, 112.3785, 112.3785) * CHOOSE(CONTROL!$C$21, $C$9, 100%, $E$9)</f>
        <v>112.3785</v>
      </c>
      <c r="I953" s="14">
        <f>CHOOSE(CONTROL!$C$42, 112.4634, 112.4634)* CHOOSE(CONTROL!$C$21, $C$9, 100%, $E$9)</f>
        <v>112.46339999999999</v>
      </c>
      <c r="J953" s="14">
        <f>CHOOSE(CONTROL!$C$42, 112.1058, 112.1058)* CHOOSE(CONTROL!$C$21, $C$9, 100%, $E$9)</f>
        <v>112.1058</v>
      </c>
      <c r="K953" s="52">
        <f>CHOOSE(CONTROL!$C$42, 112.4596, 112.4596) * CHOOSE(CONTROL!$C$21, $C$9, 100%, $E$9)</f>
        <v>112.45959999999999</v>
      </c>
      <c r="L953" s="14">
        <f>CHOOSE(CONTROL!$C$42, 112.9655, 112.9655) * CHOOSE(CONTROL!$C$21, $C$9, 100%, $E$9)</f>
        <v>112.96550000000001</v>
      </c>
      <c r="M953" s="14">
        <f>CHOOSE(CONTROL!$C$42, 110.0971, 110.0971) * CHOOSE(CONTROL!$C$21, $C$9, 100%, $E$9)</f>
        <v>110.0971</v>
      </c>
      <c r="N953" s="14">
        <f>CHOOSE(CONTROL!$C$42, 110.1138, 110.1138) * CHOOSE(CONTROL!$C$21, $C$9, 100%, $E$9)</f>
        <v>110.1138</v>
      </c>
      <c r="O953" s="14">
        <f>CHOOSE(CONTROL!$C$42, 110.3649, 110.3649) * CHOOSE(CONTROL!$C$21, $C$9, 100%, $E$9)</f>
        <v>110.36490000000001</v>
      </c>
      <c r="P953" s="14">
        <f>CHOOSE(CONTROL!$C$42, 110.4421, 110.4421) * CHOOSE(CONTROL!$C$21, $C$9, 100%, $E$9)</f>
        <v>110.4421</v>
      </c>
      <c r="Q953" s="14">
        <f>CHOOSE(CONTROL!$C$42, 110.9596, 110.9596) * CHOOSE(CONTROL!$C$21, $C$9, 100%, $E$9)</f>
        <v>110.95959999999999</v>
      </c>
      <c r="R953" s="14">
        <f>CHOOSE(CONTROL!$C$42, 111.824, 111.824) * CHOOSE(CONTROL!$C$21, $C$9, 100%, $E$9)</f>
        <v>111.824</v>
      </c>
      <c r="S953" s="14">
        <f>CHOOSE(CONTROL!$C$42, 107.6979, 107.6979) * CHOOSE(CONTROL!$C$21, $C$9, 100%, $E$9)</f>
        <v>107.6979</v>
      </c>
      <c r="T95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953" s="56">
        <f>(1000*CHOOSE(CONTROL!$C$42, 695, 695)*CHOOSE(CONTROL!$C$42, 0.5599, 0.5599)*CHOOSE(CONTROL!$C$42, 31, 31))/1000000</f>
        <v>12.063045499999998</v>
      </c>
      <c r="V953" s="56">
        <f>(1000*CHOOSE(CONTROL!$C$42, 500, 500)*CHOOSE(CONTROL!$C$42, 0.275, 0.275)*CHOOSE(CONTROL!$C$42, 31, 31))/1000000</f>
        <v>4.2625000000000002</v>
      </c>
      <c r="W953" s="56">
        <f>(1000*CHOOSE(CONTROL!$C$42, 0.1146, 0.1146)*CHOOSE(CONTROL!$C$42, 121.5, 121.5)*CHOOSE(CONTROL!$C$42, 31, 31))/1000000</f>
        <v>0.43164089999999994</v>
      </c>
      <c r="X953" s="56">
        <f>(31*0.1790888*245000/1000000)+(31*0.2374*100000/1000000)</f>
        <v>2.0961194359999999</v>
      </c>
      <c r="Y953" s="56"/>
      <c r="Z953" s="14"/>
      <c r="AA953" s="55"/>
      <c r="AB953" s="49">
        <f>(B953*194.205+C953*267.466+D953*133.845+E953*53.484+F953*40+G953*185+H953*0+I953*100+J953*300)/(194.205+267.466+133.845+53.484+0+40+185+100+300)</f>
        <v>112.17246369693878</v>
      </c>
      <c r="AC953" s="45">
        <f>(M953*'RAP TEMPLATE-GAS AVAILABILITY'!O952+N953*'RAP TEMPLATE-GAS AVAILABILITY'!P952+O953*'RAP TEMPLATE-GAS AVAILABILITY'!Q952+P953*'RAP TEMPLATE-GAS AVAILABILITY'!R952)/('RAP TEMPLATE-GAS AVAILABILITY'!O952+'RAP TEMPLATE-GAS AVAILABILITY'!P952+'RAP TEMPLATE-GAS AVAILABILITY'!Q952+'RAP TEMPLATE-GAS AVAILABILITY'!R952)</f>
        <v>110.26907841726617</v>
      </c>
    </row>
    <row r="954" spans="1:29" ht="15.75" x14ac:dyDescent="0.25">
      <c r="A954" s="32">
        <v>69944</v>
      </c>
      <c r="B954" s="14">
        <f>CHOOSE(CONTROL!$C$42, 115.2706, 115.2706) * CHOOSE(CONTROL!$C$21, $C$9, 100%, $E$9)</f>
        <v>115.2706</v>
      </c>
      <c r="C954" s="14">
        <f>CHOOSE(CONTROL!$C$42, 115.2786, 115.2786) * CHOOSE(CONTROL!$C$21, $C$9, 100%, $E$9)</f>
        <v>115.2786</v>
      </c>
      <c r="D954" s="14">
        <f>CHOOSE(CONTROL!$C$42, 115.5377, 115.5377) * CHOOSE(CONTROL!$C$21, $C$9, 100%, $E$9)</f>
        <v>115.5377</v>
      </c>
      <c r="E954" s="14">
        <f>CHOOSE(CONTROL!$C$42, 115.5692, 115.5692) * CHOOSE(CONTROL!$C$21, $C$9, 100%, $E$9)</f>
        <v>115.5692</v>
      </c>
      <c r="F954" s="14">
        <f>CHOOSE(CONTROL!$C$42, 115.2924, 115.2924)*CHOOSE(CONTROL!$C$21, $C$9, 100%, $E$9)</f>
        <v>115.2924</v>
      </c>
      <c r="G954" s="14">
        <f>CHOOSE(CONTROL!$C$42, 115.3094, 115.3094)*CHOOSE(CONTROL!$C$21, $C$9, 100%, $E$9)</f>
        <v>115.3094</v>
      </c>
      <c r="H954" s="14">
        <f>CHOOSE(CONTROL!$C$42, 115.5578, 115.5578) * CHOOSE(CONTROL!$C$21, $C$9, 100%, $E$9)</f>
        <v>115.5578</v>
      </c>
      <c r="I954" s="14">
        <f>CHOOSE(CONTROL!$C$42, 115.6527, 115.6527)* CHOOSE(CONTROL!$C$21, $C$9, 100%, $E$9)</f>
        <v>115.6527</v>
      </c>
      <c r="J954" s="14">
        <f>CHOOSE(CONTROL!$C$42, 115.2854, 115.2854)* CHOOSE(CONTROL!$C$21, $C$9, 100%, $E$9)</f>
        <v>115.2854</v>
      </c>
      <c r="K954" s="52">
        <f>CHOOSE(CONTROL!$C$42, 115.6488, 115.6488) * CHOOSE(CONTROL!$C$21, $C$9, 100%, $E$9)</f>
        <v>115.64879999999999</v>
      </c>
      <c r="L954" s="14">
        <f>CHOOSE(CONTROL!$C$42, 116.1448, 116.1448) * CHOOSE(CONTROL!$C$21, $C$9, 100%, $E$9)</f>
        <v>116.1448</v>
      </c>
      <c r="M954" s="14">
        <f>CHOOSE(CONTROL!$C$42, 113.2195, 113.2195) * CHOOSE(CONTROL!$C$21, $C$9, 100%, $E$9)</f>
        <v>113.2195</v>
      </c>
      <c r="N954" s="14">
        <f>CHOOSE(CONTROL!$C$42, 113.2362, 113.2362) * CHOOSE(CONTROL!$C$21, $C$9, 100%, $E$9)</f>
        <v>113.2362</v>
      </c>
      <c r="O954" s="14">
        <f>CHOOSE(CONTROL!$C$42, 113.487, 113.487) * CHOOSE(CONTROL!$C$21, $C$9, 100%, $E$9)</f>
        <v>113.48699999999999</v>
      </c>
      <c r="P954" s="14">
        <f>CHOOSE(CONTROL!$C$42, 113.5738, 113.5738) * CHOOSE(CONTROL!$C$21, $C$9, 100%, $E$9)</f>
        <v>113.57380000000001</v>
      </c>
      <c r="Q954" s="14">
        <f>CHOOSE(CONTROL!$C$42, 114.0817, 114.0817) * CHOOSE(CONTROL!$C$21, $C$9, 100%, $E$9)</f>
        <v>114.0817</v>
      </c>
      <c r="R954" s="14">
        <f>CHOOSE(CONTROL!$C$42, 114.9539, 114.9539) * CHOOSE(CONTROL!$C$21, $C$9, 100%, $E$9)</f>
        <v>114.9539</v>
      </c>
      <c r="S954" s="14">
        <f>CHOOSE(CONTROL!$C$42, 110.7529, 110.7529) * CHOOSE(CONTROL!$C$21, $C$9, 100%, $E$9)</f>
        <v>110.7529</v>
      </c>
      <c r="T95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54" s="56">
        <f>(1000*CHOOSE(CONTROL!$C$42, 695, 695)*CHOOSE(CONTROL!$C$42, 0.5599, 0.5599)*CHOOSE(CONTROL!$C$42, 30, 30))/1000000</f>
        <v>11.673914999999997</v>
      </c>
      <c r="V954" s="56">
        <f>(1000*CHOOSE(CONTROL!$C$42, 500, 500)*CHOOSE(CONTROL!$C$42, 0.275, 0.275)*CHOOSE(CONTROL!$C$42, 30, 30))/1000000</f>
        <v>4.125</v>
      </c>
      <c r="W954" s="56">
        <f>(1000*CHOOSE(CONTROL!$C$42, 0.1146, 0.1146)*CHOOSE(CONTROL!$C$42, 121.5, 121.5)*CHOOSE(CONTROL!$C$42, 30, 30))/1000000</f>
        <v>0.417717</v>
      </c>
      <c r="X954" s="56">
        <f>(30*0.1790888*245000/1000000)+(30*0.2374*100000/1000000)</f>
        <v>2.0285026799999999</v>
      </c>
      <c r="Y954" s="56"/>
      <c r="Z954" s="14"/>
      <c r="AA954" s="55"/>
      <c r="AB954" s="49">
        <f>(B954*194.205+C954*267.466+D954*133.845+E954*53.484+F954*40+G954*185+H954*0+I954*100+J954*300)/(194.205+267.466+133.845+53.484+0+40+185+100+300)</f>
        <v>115.35267225266875</v>
      </c>
      <c r="AC954" s="45">
        <f>(M954*'RAP TEMPLATE-GAS AVAILABILITY'!O953+N954*'RAP TEMPLATE-GAS AVAILABILITY'!P953+O954*'RAP TEMPLATE-GAS AVAILABILITY'!Q953+P954*'RAP TEMPLATE-GAS AVAILABILITY'!R953)/('RAP TEMPLATE-GAS AVAILABILITY'!O953+'RAP TEMPLATE-GAS AVAILABILITY'!P953+'RAP TEMPLATE-GAS AVAILABILITY'!Q953+'RAP TEMPLATE-GAS AVAILABILITY'!R953)</f>
        <v>113.39268057553957</v>
      </c>
    </row>
    <row r="955" spans="1:29" ht="15.75" x14ac:dyDescent="0.25">
      <c r="A955" s="32">
        <v>69975</v>
      </c>
      <c r="B955" s="14">
        <f>CHOOSE(CONTROL!$C$42, 113.0594, 113.0594) * CHOOSE(CONTROL!$C$21, $C$9, 100%, $E$9)</f>
        <v>113.0594</v>
      </c>
      <c r="C955" s="14">
        <f>CHOOSE(CONTROL!$C$42, 113.0674, 113.0674) * CHOOSE(CONTROL!$C$21, $C$9, 100%, $E$9)</f>
        <v>113.06740000000001</v>
      </c>
      <c r="D955" s="14">
        <f>CHOOSE(CONTROL!$C$42, 113.3265, 113.3265) * CHOOSE(CONTROL!$C$21, $C$9, 100%, $E$9)</f>
        <v>113.3265</v>
      </c>
      <c r="E955" s="14">
        <f>CHOOSE(CONTROL!$C$42, 113.3579, 113.3579) * CHOOSE(CONTROL!$C$21, $C$9, 100%, $E$9)</f>
        <v>113.3579</v>
      </c>
      <c r="F955" s="14">
        <f>CHOOSE(CONTROL!$C$42, 113.0816, 113.0816)*CHOOSE(CONTROL!$C$21, $C$9, 100%, $E$9)</f>
        <v>113.08159999999999</v>
      </c>
      <c r="G955" s="14">
        <f>CHOOSE(CONTROL!$C$42, 113.0987, 113.0987)*CHOOSE(CONTROL!$C$21, $C$9, 100%, $E$9)</f>
        <v>113.09869999999999</v>
      </c>
      <c r="H955" s="14">
        <f>CHOOSE(CONTROL!$C$42, 113.3466, 113.3466) * CHOOSE(CONTROL!$C$21, $C$9, 100%, $E$9)</f>
        <v>113.3466</v>
      </c>
      <c r="I955" s="14">
        <f>CHOOSE(CONTROL!$C$42, 113.4345, 113.4345)* CHOOSE(CONTROL!$C$21, $C$9, 100%, $E$9)</f>
        <v>113.4345</v>
      </c>
      <c r="J955" s="14">
        <f>CHOOSE(CONTROL!$C$42, 113.0746, 113.0746)* CHOOSE(CONTROL!$C$21, $C$9, 100%, $E$9)</f>
        <v>113.0746</v>
      </c>
      <c r="K955" s="52">
        <f>CHOOSE(CONTROL!$C$42, 113.4307, 113.4307) * CHOOSE(CONTROL!$C$21, $C$9, 100%, $E$9)</f>
        <v>113.4307</v>
      </c>
      <c r="L955" s="14">
        <f>CHOOSE(CONTROL!$C$42, 113.9336, 113.9336) * CHOOSE(CONTROL!$C$21, $C$9, 100%, $E$9)</f>
        <v>113.9336</v>
      </c>
      <c r="M955" s="14">
        <f>CHOOSE(CONTROL!$C$42, 111.0484, 111.0484) * CHOOSE(CONTROL!$C$21, $C$9, 100%, $E$9)</f>
        <v>111.0484</v>
      </c>
      <c r="N955" s="14">
        <f>CHOOSE(CONTROL!$C$42, 111.0653, 111.0653) * CHOOSE(CONTROL!$C$21, $C$9, 100%, $E$9)</f>
        <v>111.06529999999999</v>
      </c>
      <c r="O955" s="14">
        <f>CHOOSE(CONTROL!$C$42, 111.3155, 111.3155) * CHOOSE(CONTROL!$C$21, $C$9, 100%, $E$9)</f>
        <v>111.3155</v>
      </c>
      <c r="P955" s="14">
        <f>CHOOSE(CONTROL!$C$42, 111.3957, 111.3957) * CHOOSE(CONTROL!$C$21, $C$9, 100%, $E$9)</f>
        <v>111.39570000000001</v>
      </c>
      <c r="Q955" s="14">
        <f>CHOOSE(CONTROL!$C$42, 111.9102, 111.9102) * CHOOSE(CONTROL!$C$21, $C$9, 100%, $E$9)</f>
        <v>111.9102</v>
      </c>
      <c r="R955" s="14">
        <f>CHOOSE(CONTROL!$C$42, 112.777, 112.777) * CHOOSE(CONTROL!$C$21, $C$9, 100%, $E$9)</f>
        <v>112.777</v>
      </c>
      <c r="S955" s="14">
        <f>CHOOSE(CONTROL!$C$42, 108.6281, 108.6281) * CHOOSE(CONTROL!$C$21, $C$9, 100%, $E$9)</f>
        <v>108.6281</v>
      </c>
      <c r="T95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55" s="56">
        <f>(1000*CHOOSE(CONTROL!$C$42, 695, 695)*CHOOSE(CONTROL!$C$42, 0.5599, 0.5599)*CHOOSE(CONTROL!$C$42, 31, 31))/1000000</f>
        <v>12.063045499999998</v>
      </c>
      <c r="V955" s="56">
        <f>(1000*CHOOSE(CONTROL!$C$42, 500, 500)*CHOOSE(CONTROL!$C$42, 0.275, 0.275)*CHOOSE(CONTROL!$C$42, 31, 31))/1000000</f>
        <v>4.2625000000000002</v>
      </c>
      <c r="W955" s="56">
        <f>(1000*CHOOSE(CONTROL!$C$42, 0.1146, 0.1146)*CHOOSE(CONTROL!$C$42, 121.5, 121.5)*CHOOSE(CONTROL!$C$42, 31, 31))/1000000</f>
        <v>0.43164089999999994</v>
      </c>
      <c r="X955" s="56">
        <f>(31*0.1790888*245000/1000000)+(31*0.2374*100000/1000000)</f>
        <v>2.0961194359999999</v>
      </c>
      <c r="Y955" s="56"/>
      <c r="Z955" s="14"/>
      <c r="AA955" s="55"/>
      <c r="AB955" s="49">
        <f>(B955*194.205+C955*267.466+D955*133.845+E955*53.484+F955*40+G955*185+H955*0+I955*100+J955*300)/(194.205+267.466+133.845+53.484+0+40+185+100+300)</f>
        <v>113.14109796036108</v>
      </c>
      <c r="AC955" s="45">
        <f>(M955*'RAP TEMPLATE-GAS AVAILABILITY'!O954+N955*'RAP TEMPLATE-GAS AVAILABILITY'!P954+O955*'RAP TEMPLATE-GAS AVAILABILITY'!Q954+P955*'RAP TEMPLATE-GAS AVAILABILITY'!R954)/('RAP TEMPLATE-GAS AVAILABILITY'!O954+'RAP TEMPLATE-GAS AVAILABILITY'!P954+'RAP TEMPLATE-GAS AVAILABILITY'!Q954+'RAP TEMPLATE-GAS AVAILABILITY'!R954)</f>
        <v>111.22040359712233</v>
      </c>
    </row>
    <row r="956" spans="1:29" ht="15.75" x14ac:dyDescent="0.25">
      <c r="A956" s="32">
        <v>70006</v>
      </c>
      <c r="B956" s="14">
        <f>CHOOSE(CONTROL!$C$42, 107.4753, 107.4753) * CHOOSE(CONTROL!$C$21, $C$9, 100%, $E$9)</f>
        <v>107.4753</v>
      </c>
      <c r="C956" s="14">
        <f>CHOOSE(CONTROL!$C$42, 107.4834, 107.4834) * CHOOSE(CONTROL!$C$21, $C$9, 100%, $E$9)</f>
        <v>107.4834</v>
      </c>
      <c r="D956" s="14">
        <f>CHOOSE(CONTROL!$C$42, 107.7425, 107.7425) * CHOOSE(CONTROL!$C$21, $C$9, 100%, $E$9)</f>
        <v>107.74250000000001</v>
      </c>
      <c r="E956" s="14">
        <f>CHOOSE(CONTROL!$C$42, 107.7739, 107.7739) * CHOOSE(CONTROL!$C$21, $C$9, 100%, $E$9)</f>
        <v>107.7739</v>
      </c>
      <c r="F956" s="14">
        <f>CHOOSE(CONTROL!$C$42, 107.4978, 107.4978)*CHOOSE(CONTROL!$C$21, $C$9, 100%, $E$9)</f>
        <v>107.4978</v>
      </c>
      <c r="G956" s="14">
        <f>CHOOSE(CONTROL!$C$42, 107.515, 107.515)*CHOOSE(CONTROL!$C$21, $C$9, 100%, $E$9)</f>
        <v>107.515</v>
      </c>
      <c r="H956" s="14">
        <f>CHOOSE(CONTROL!$C$42, 107.7626, 107.7626) * CHOOSE(CONTROL!$C$21, $C$9, 100%, $E$9)</f>
        <v>107.76260000000001</v>
      </c>
      <c r="I956" s="14">
        <f>CHOOSE(CONTROL!$C$42, 107.833, 107.833)* CHOOSE(CONTROL!$C$21, $C$9, 100%, $E$9)</f>
        <v>107.833</v>
      </c>
      <c r="J956" s="14">
        <f>CHOOSE(CONTROL!$C$42, 107.4908, 107.4908)* CHOOSE(CONTROL!$C$21, $C$9, 100%, $E$9)</f>
        <v>107.49079999999999</v>
      </c>
      <c r="K956" s="52">
        <f>CHOOSE(CONTROL!$C$42, 107.8292, 107.8292) * CHOOSE(CONTROL!$C$21, $C$9, 100%, $E$9)</f>
        <v>107.8292</v>
      </c>
      <c r="L956" s="14">
        <f>CHOOSE(CONTROL!$C$42, 108.3496, 108.3496) * CHOOSE(CONTROL!$C$21, $C$9, 100%, $E$9)</f>
        <v>108.3496</v>
      </c>
      <c r="M956" s="14">
        <f>CHOOSE(CONTROL!$C$42, 105.565, 105.565) * CHOOSE(CONTROL!$C$21, $C$9, 100%, $E$9)</f>
        <v>105.565</v>
      </c>
      <c r="N956" s="14">
        <f>CHOOSE(CONTROL!$C$42, 105.5819, 105.5819) * CHOOSE(CONTROL!$C$21, $C$9, 100%, $E$9)</f>
        <v>105.5819</v>
      </c>
      <c r="O956" s="14">
        <f>CHOOSE(CONTROL!$C$42, 105.832, 105.832) * CHOOSE(CONTROL!$C$21, $C$9, 100%, $E$9)</f>
        <v>105.83199999999999</v>
      </c>
      <c r="P956" s="14">
        <f>CHOOSE(CONTROL!$C$42, 105.8953, 105.8953) * CHOOSE(CONTROL!$C$21, $C$9, 100%, $E$9)</f>
        <v>105.89530000000001</v>
      </c>
      <c r="Q956" s="14">
        <f>CHOOSE(CONTROL!$C$42, 106.4267, 106.4267) * CHOOSE(CONTROL!$C$21, $C$9, 100%, $E$9)</f>
        <v>106.4267</v>
      </c>
      <c r="R956" s="14">
        <f>CHOOSE(CONTROL!$C$42, 107.2797, 107.2797) * CHOOSE(CONTROL!$C$21, $C$9, 100%, $E$9)</f>
        <v>107.27970000000001</v>
      </c>
      <c r="S956" s="14">
        <f>CHOOSE(CONTROL!$C$42, 103.2624, 103.2624) * CHOOSE(CONTROL!$C$21, $C$9, 100%, $E$9)</f>
        <v>103.2624</v>
      </c>
      <c r="T95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56" s="56">
        <f>(1000*CHOOSE(CONTROL!$C$42, 695, 695)*CHOOSE(CONTROL!$C$42, 0.5599, 0.5599)*CHOOSE(CONTROL!$C$42, 31, 31))/1000000</f>
        <v>12.063045499999998</v>
      </c>
      <c r="V956" s="56">
        <f>(1000*CHOOSE(CONTROL!$C$42, 500, 500)*CHOOSE(CONTROL!$C$42, 0.275, 0.275)*CHOOSE(CONTROL!$C$42, 31, 31))/1000000</f>
        <v>4.2625000000000002</v>
      </c>
      <c r="W956" s="56">
        <f>(1000*CHOOSE(CONTROL!$C$42, 0.1146, 0.1146)*CHOOSE(CONTROL!$C$42, 121.5, 121.5)*CHOOSE(CONTROL!$C$42, 31, 31))/1000000</f>
        <v>0.43164089999999994</v>
      </c>
      <c r="X956" s="56">
        <f>(31*0.1790888*245000/1000000)+(31*0.2374*100000/1000000)</f>
        <v>2.0961194359999999</v>
      </c>
      <c r="Y956" s="56"/>
      <c r="Z956" s="14"/>
      <c r="AA956" s="55"/>
      <c r="AB956" s="49">
        <f>(B956*194.205+C956*267.466+D956*133.845+E956*53.484+F956*40+G956*185+H956*0+I956*100+J956*300)/(194.205+267.466+133.845+53.484+0+40+185+100+300)</f>
        <v>107.55580602904239</v>
      </c>
      <c r="AC956" s="45">
        <f>(M956*'RAP TEMPLATE-GAS AVAILABILITY'!O955+N956*'RAP TEMPLATE-GAS AVAILABILITY'!P955+O956*'RAP TEMPLATE-GAS AVAILABILITY'!Q955+P956*'RAP TEMPLATE-GAS AVAILABILITY'!R955)/('RAP TEMPLATE-GAS AVAILABILITY'!O955+'RAP TEMPLATE-GAS AVAILABILITY'!P955+'RAP TEMPLATE-GAS AVAILABILITY'!Q955+'RAP TEMPLATE-GAS AVAILABILITY'!R955)</f>
        <v>105.73451223021581</v>
      </c>
    </row>
    <row r="957" spans="1:29" ht="15.75" x14ac:dyDescent="0.25">
      <c r="A957" s="32">
        <v>70036</v>
      </c>
      <c r="B957" s="14">
        <f>CHOOSE(CONTROL!$C$42, 100.6525, 100.6525) * CHOOSE(CONTROL!$C$21, $C$9, 100%, $E$9)</f>
        <v>100.6525</v>
      </c>
      <c r="C957" s="14">
        <f>CHOOSE(CONTROL!$C$42, 100.6605, 100.6605) * CHOOSE(CONTROL!$C$21, $C$9, 100%, $E$9)</f>
        <v>100.6605</v>
      </c>
      <c r="D957" s="14">
        <f>CHOOSE(CONTROL!$C$42, 100.9196, 100.9196) * CHOOSE(CONTROL!$C$21, $C$9, 100%, $E$9)</f>
        <v>100.9196</v>
      </c>
      <c r="E957" s="14">
        <f>CHOOSE(CONTROL!$C$42, 100.9511, 100.9511) * CHOOSE(CONTROL!$C$21, $C$9, 100%, $E$9)</f>
        <v>100.9511</v>
      </c>
      <c r="F957" s="14">
        <f>CHOOSE(CONTROL!$C$42, 100.675, 100.675)*CHOOSE(CONTROL!$C$21, $C$9, 100%, $E$9)</f>
        <v>100.675</v>
      </c>
      <c r="G957" s="14">
        <f>CHOOSE(CONTROL!$C$42, 100.6922, 100.6922)*CHOOSE(CONTROL!$C$21, $C$9, 100%, $E$9)</f>
        <v>100.6922</v>
      </c>
      <c r="H957" s="14">
        <f>CHOOSE(CONTROL!$C$42, 100.9397, 100.9397) * CHOOSE(CONTROL!$C$21, $C$9, 100%, $E$9)</f>
        <v>100.9397</v>
      </c>
      <c r="I957" s="14">
        <f>CHOOSE(CONTROL!$C$42, 100.9888, 100.9888)* CHOOSE(CONTROL!$C$21, $C$9, 100%, $E$9)</f>
        <v>100.9888</v>
      </c>
      <c r="J957" s="14">
        <f>CHOOSE(CONTROL!$C$42, 100.668, 100.668)* CHOOSE(CONTROL!$C$21, $C$9, 100%, $E$9)</f>
        <v>100.66800000000001</v>
      </c>
      <c r="K957" s="52">
        <f>CHOOSE(CONTROL!$C$42, 100.9849, 100.9849) * CHOOSE(CONTROL!$C$21, $C$9, 100%, $E$9)</f>
        <v>100.9849</v>
      </c>
      <c r="L957" s="14">
        <f>CHOOSE(CONTROL!$C$42, 101.5267, 101.5267) * CHOOSE(CONTROL!$C$21, $C$9, 100%, $E$9)</f>
        <v>101.52670000000001</v>
      </c>
      <c r="M957" s="14">
        <f>CHOOSE(CONTROL!$C$42, 98.865, 98.865) * CHOOSE(CONTROL!$C$21, $C$9, 100%, $E$9)</f>
        <v>98.864999999999995</v>
      </c>
      <c r="N957" s="14">
        <f>CHOOSE(CONTROL!$C$42, 98.8819, 98.8819) * CHOOSE(CONTROL!$C$21, $C$9, 100%, $E$9)</f>
        <v>98.881900000000002</v>
      </c>
      <c r="O957" s="14">
        <f>CHOOSE(CONTROL!$C$42, 99.1318, 99.1318) * CHOOSE(CONTROL!$C$21, $C$9, 100%, $E$9)</f>
        <v>99.131799999999998</v>
      </c>
      <c r="P957" s="14">
        <f>CHOOSE(CONTROL!$C$42, 99.1745, 99.1745) * CHOOSE(CONTROL!$C$21, $C$9, 100%, $E$9)</f>
        <v>99.174499999999995</v>
      </c>
      <c r="Q957" s="14">
        <f>CHOOSE(CONTROL!$C$42, 99.7265, 99.7265) * CHOOSE(CONTROL!$C$21, $C$9, 100%, $E$9)</f>
        <v>99.726500000000001</v>
      </c>
      <c r="R957" s="14">
        <f>CHOOSE(CONTROL!$C$42, 100.5628, 100.5628) * CHOOSE(CONTROL!$C$21, $C$9, 100%, $E$9)</f>
        <v>100.5628</v>
      </c>
      <c r="S957" s="14">
        <f>CHOOSE(CONTROL!$C$42, 96.7063, 96.7063) * CHOOSE(CONTROL!$C$21, $C$9, 100%, $E$9)</f>
        <v>96.706299999999999</v>
      </c>
      <c r="T95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57" s="56">
        <f>(1000*CHOOSE(CONTROL!$C$42, 695, 695)*CHOOSE(CONTROL!$C$42, 0.5599, 0.5599)*CHOOSE(CONTROL!$C$42, 30, 30))/1000000</f>
        <v>11.673914999999997</v>
      </c>
      <c r="V957" s="56">
        <f>(1000*CHOOSE(CONTROL!$C$42, 500, 500)*CHOOSE(CONTROL!$C$42, 0.275, 0.275)*CHOOSE(CONTROL!$C$42, 30, 30))/1000000</f>
        <v>4.125</v>
      </c>
      <c r="W957" s="56">
        <f>(1000*CHOOSE(CONTROL!$C$42, 0.1146, 0.1146)*CHOOSE(CONTROL!$C$42, 121.5, 121.5)*CHOOSE(CONTROL!$C$42, 30, 30))/1000000</f>
        <v>0.417717</v>
      </c>
      <c r="X957" s="56">
        <f>(30*0.1790888*245000/1000000)+(30*0.2374*100000/1000000)</f>
        <v>2.0285026799999999</v>
      </c>
      <c r="Y957" s="56"/>
      <c r="Z957" s="14"/>
      <c r="AA957" s="55"/>
      <c r="AB957" s="49">
        <f>(B957*194.205+C957*267.466+D957*133.845+E957*53.484+F957*40+G957*185+H957*0+I957*100+J957*300)/(194.205+267.466+133.845+53.484+0+40+185+100+300)</f>
        <v>100.73129478014128</v>
      </c>
      <c r="AC957" s="45">
        <f>(M957*'RAP TEMPLATE-GAS AVAILABILITY'!O956+N957*'RAP TEMPLATE-GAS AVAILABILITY'!P956+O957*'RAP TEMPLATE-GAS AVAILABILITY'!Q956+P957*'RAP TEMPLATE-GAS AVAILABILITY'!R956)/('RAP TEMPLATE-GAS AVAILABILITY'!O956+'RAP TEMPLATE-GAS AVAILABILITY'!P956+'RAP TEMPLATE-GAS AVAILABILITY'!Q956+'RAP TEMPLATE-GAS AVAILABILITY'!R956)</f>
        <v>99.031428776978402</v>
      </c>
    </row>
    <row r="958" spans="1:29" ht="15.75" x14ac:dyDescent="0.25">
      <c r="A958" s="32">
        <v>70067</v>
      </c>
      <c r="B958" s="14">
        <f>CHOOSE(CONTROL!$C$42, 98.6073, 98.6073) * CHOOSE(CONTROL!$C$21, $C$9, 100%, $E$9)</f>
        <v>98.607299999999995</v>
      </c>
      <c r="C958" s="14">
        <f>CHOOSE(CONTROL!$C$42, 98.6126, 98.6126) * CHOOSE(CONTROL!$C$21, $C$9, 100%, $E$9)</f>
        <v>98.6126</v>
      </c>
      <c r="D958" s="14">
        <f>CHOOSE(CONTROL!$C$42, 98.8767, 98.8767) * CHOOSE(CONTROL!$C$21, $C$9, 100%, $E$9)</f>
        <v>98.8767</v>
      </c>
      <c r="E958" s="14">
        <f>CHOOSE(CONTROL!$C$42, 98.9058, 98.9058) * CHOOSE(CONTROL!$C$21, $C$9, 100%, $E$9)</f>
        <v>98.905799999999999</v>
      </c>
      <c r="F958" s="14">
        <f>CHOOSE(CONTROL!$C$42, 98.632, 98.632)*CHOOSE(CONTROL!$C$21, $C$9, 100%, $E$9)</f>
        <v>98.632000000000005</v>
      </c>
      <c r="G958" s="14">
        <f>CHOOSE(CONTROL!$C$42, 98.649, 98.649)*CHOOSE(CONTROL!$C$21, $C$9, 100%, $E$9)</f>
        <v>98.649000000000001</v>
      </c>
      <c r="H958" s="14">
        <f>CHOOSE(CONTROL!$C$42, 98.8963, 98.8963) * CHOOSE(CONTROL!$C$21, $C$9, 100%, $E$9)</f>
        <v>98.896299999999997</v>
      </c>
      <c r="I958" s="14">
        <f>CHOOSE(CONTROL!$C$42, 98.939, 98.939)* CHOOSE(CONTROL!$C$21, $C$9, 100%, $E$9)</f>
        <v>98.938999999999993</v>
      </c>
      <c r="J958" s="14">
        <f>CHOOSE(CONTROL!$C$42, 98.625, 98.625)* CHOOSE(CONTROL!$C$21, $C$9, 100%, $E$9)</f>
        <v>98.625</v>
      </c>
      <c r="K958" s="52">
        <f>CHOOSE(CONTROL!$C$42, 98.9351, 98.9351) * CHOOSE(CONTROL!$C$21, $C$9, 100%, $E$9)</f>
        <v>98.935100000000006</v>
      </c>
      <c r="L958" s="14">
        <f>CHOOSE(CONTROL!$C$42, 99.4833, 99.4833) * CHOOSE(CONTROL!$C$21, $C$9, 100%, $E$9)</f>
        <v>99.4833</v>
      </c>
      <c r="M958" s="14">
        <f>CHOOSE(CONTROL!$C$42, 96.8587, 96.8587) * CHOOSE(CONTROL!$C$21, $C$9, 100%, $E$9)</f>
        <v>96.858699999999999</v>
      </c>
      <c r="N958" s="14">
        <f>CHOOSE(CONTROL!$C$42, 96.8755, 96.8755) * CHOOSE(CONTROL!$C$21, $C$9, 100%, $E$9)</f>
        <v>96.875500000000002</v>
      </c>
      <c r="O958" s="14">
        <f>CHOOSE(CONTROL!$C$42, 97.1252, 97.1252) * CHOOSE(CONTROL!$C$21, $C$9, 100%, $E$9)</f>
        <v>97.125200000000007</v>
      </c>
      <c r="P958" s="14">
        <f>CHOOSE(CONTROL!$C$42, 97.1617, 97.1617) * CHOOSE(CONTROL!$C$21, $C$9, 100%, $E$9)</f>
        <v>97.161699999999996</v>
      </c>
      <c r="Q958" s="14">
        <f>CHOOSE(CONTROL!$C$42, 97.7199, 97.7199) * CHOOSE(CONTROL!$C$21, $C$9, 100%, $E$9)</f>
        <v>97.719899999999996</v>
      </c>
      <c r="R958" s="14">
        <f>CHOOSE(CONTROL!$C$42, 98.5512, 98.5512) * CHOOSE(CONTROL!$C$21, $C$9, 100%, $E$9)</f>
        <v>98.551199999999994</v>
      </c>
      <c r="S958" s="14">
        <f>CHOOSE(CONTROL!$C$42, 94.7428, 94.7428) * CHOOSE(CONTROL!$C$21, $C$9, 100%, $E$9)</f>
        <v>94.742800000000003</v>
      </c>
      <c r="T9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58" s="56">
        <f>(1000*CHOOSE(CONTROL!$C$42, 695, 695)*CHOOSE(CONTROL!$C$42, 0.5599, 0.5599)*CHOOSE(CONTROL!$C$42, 31, 31))/1000000</f>
        <v>12.063045499999998</v>
      </c>
      <c r="V958" s="56">
        <f>(1000*CHOOSE(CONTROL!$C$42, 500, 500)*CHOOSE(CONTROL!$C$42, 0.275, 0.275)*CHOOSE(CONTROL!$C$42, 31, 31))/1000000</f>
        <v>4.2625000000000002</v>
      </c>
      <c r="W958" s="56">
        <f>(1000*CHOOSE(CONTROL!$C$42, 0.1146, 0.1146)*CHOOSE(CONTROL!$C$42, 121.5, 121.5)*CHOOSE(CONTROL!$C$42, 31, 31))/1000000</f>
        <v>0.43164089999999994</v>
      </c>
      <c r="X958" s="56">
        <f>(31*0.1790888*245000/1000000)+(31*0.2374*100000/1000000)</f>
        <v>2.0961194359999999</v>
      </c>
      <c r="Y958" s="56"/>
      <c r="Z958" s="14"/>
      <c r="AA958" s="55"/>
      <c r="AB958" s="49">
        <f>(B958*131.881+C958*277.167+D958*79.08+E958*125.872+F958*40+G958*185+H958*0+I958*100+J958*300)/(131.881+277.167+79.08+125.872+0+40+185+100+300)</f>
        <v>98.694086464164641</v>
      </c>
      <c r="AC958" s="45">
        <f>(M958*'RAP TEMPLATE-GAS AVAILABILITY'!O957+N958*'RAP TEMPLATE-GAS AVAILABILITY'!P957+O958*'RAP TEMPLATE-GAS AVAILABILITY'!Q957+P958*'RAP TEMPLATE-GAS AVAILABILITY'!R957)/('RAP TEMPLATE-GAS AVAILABILITY'!O957+'RAP TEMPLATE-GAS AVAILABILITY'!P957+'RAP TEMPLATE-GAS AVAILABILITY'!Q957+'RAP TEMPLATE-GAS AVAILABILITY'!R957)</f>
        <v>97.024051798561146</v>
      </c>
    </row>
    <row r="959" spans="1:29" ht="15.75" x14ac:dyDescent="0.25">
      <c r="A959" s="32">
        <v>70097</v>
      </c>
      <c r="B959" s="14">
        <f>CHOOSE(CONTROL!$C$42, 101.2044, 101.2044) * CHOOSE(CONTROL!$C$21, $C$9, 100%, $E$9)</f>
        <v>101.20440000000001</v>
      </c>
      <c r="C959" s="14">
        <f>CHOOSE(CONTROL!$C$42, 101.2095, 101.2095) * CHOOSE(CONTROL!$C$21, $C$9, 100%, $E$9)</f>
        <v>101.20950000000001</v>
      </c>
      <c r="D959" s="14">
        <f>CHOOSE(CONTROL!$C$42, 101.2926, 101.2926) * CHOOSE(CONTROL!$C$21, $C$9, 100%, $E$9)</f>
        <v>101.29259999999999</v>
      </c>
      <c r="E959" s="14">
        <f>CHOOSE(CONTROL!$C$42, 101.3267, 101.3267) * CHOOSE(CONTROL!$C$21, $C$9, 100%, $E$9)</f>
        <v>101.3267</v>
      </c>
      <c r="F959" s="14">
        <f>CHOOSE(CONTROL!$C$42, 101.232, 101.232)*CHOOSE(CONTROL!$C$21, $C$9, 100%, $E$9)</f>
        <v>101.232</v>
      </c>
      <c r="G959" s="14">
        <f>CHOOSE(CONTROL!$C$42, 101.2494, 101.2494)*CHOOSE(CONTROL!$C$21, $C$9, 100%, $E$9)</f>
        <v>101.24939999999999</v>
      </c>
      <c r="H959" s="14">
        <f>CHOOSE(CONTROL!$C$42, 101.3159, 101.3159) * CHOOSE(CONTROL!$C$21, $C$9, 100%, $E$9)</f>
        <v>101.3159</v>
      </c>
      <c r="I959" s="14">
        <f>CHOOSE(CONTROL!$C$42, 101.541, 101.541)* CHOOSE(CONTROL!$C$21, $C$9, 100%, $E$9)</f>
        <v>101.541</v>
      </c>
      <c r="J959" s="14">
        <f>CHOOSE(CONTROL!$C$42, 101.225, 101.225)* CHOOSE(CONTROL!$C$21, $C$9, 100%, $E$9)</f>
        <v>101.22499999999999</v>
      </c>
      <c r="K959" s="52">
        <f>CHOOSE(CONTROL!$C$42, 101.5371, 101.5371) * CHOOSE(CONTROL!$C$21, $C$9, 100%, $E$9)</f>
        <v>101.5371</v>
      </c>
      <c r="L959" s="14">
        <f>CHOOSE(CONTROL!$C$42, 101.9029, 101.9029) * CHOOSE(CONTROL!$C$21, $C$9, 100%, $E$9)</f>
        <v>101.9029</v>
      </c>
      <c r="M959" s="14">
        <f>CHOOSE(CONTROL!$C$42, 99.412, 99.412) * CHOOSE(CONTROL!$C$21, $C$9, 100%, $E$9)</f>
        <v>99.412000000000006</v>
      </c>
      <c r="N959" s="14">
        <f>CHOOSE(CONTROL!$C$42, 99.4291, 99.4291) * CHOOSE(CONTROL!$C$21, $C$9, 100%, $E$9)</f>
        <v>99.429100000000005</v>
      </c>
      <c r="O959" s="14">
        <f>CHOOSE(CONTROL!$C$42, 99.5012, 99.5012) * CHOOSE(CONTROL!$C$21, $C$9, 100%, $E$9)</f>
        <v>99.501199999999997</v>
      </c>
      <c r="P959" s="14">
        <f>CHOOSE(CONTROL!$C$42, 99.7168, 99.7168) * CHOOSE(CONTROL!$C$21, $C$9, 100%, $E$9)</f>
        <v>99.716800000000006</v>
      </c>
      <c r="Q959" s="14">
        <f>CHOOSE(CONTROL!$C$42, 100.0959, 100.0959) * CHOOSE(CONTROL!$C$21, $C$9, 100%, $E$9)</f>
        <v>100.0959</v>
      </c>
      <c r="R959" s="14">
        <f>CHOOSE(CONTROL!$C$42, 100.9331, 100.9331) * CHOOSE(CONTROL!$C$21, $C$9, 100%, $E$9)</f>
        <v>100.9331</v>
      </c>
      <c r="S959" s="14">
        <f>CHOOSE(CONTROL!$C$42, 97.2388, 97.2388) * CHOOSE(CONTROL!$C$21, $C$9, 100%, $E$9)</f>
        <v>97.238799999999998</v>
      </c>
      <c r="T9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59" s="56">
        <f>(1000*CHOOSE(CONTROL!$C$42, 695, 695)*CHOOSE(CONTROL!$C$42, 0.5599, 0.5599)*CHOOSE(CONTROL!$C$42, 30, 30))/1000000</f>
        <v>11.673914999999997</v>
      </c>
      <c r="V959" s="56">
        <f>(1000*CHOOSE(CONTROL!$C$42, 500, 500)*CHOOSE(CONTROL!$C$42, 0.275, 0.275)*CHOOSE(CONTROL!$C$42, 30, 30))/1000000</f>
        <v>4.125</v>
      </c>
      <c r="W959" s="56">
        <f>(1000*CHOOSE(CONTROL!$C$42, 0.1146, 0.1146)*CHOOSE(CONTROL!$C$42, 121.5, 121.5)*CHOOSE(CONTROL!$C$42, 30, 30))/1000000</f>
        <v>0.417717</v>
      </c>
      <c r="X959" s="56">
        <f>(30*0.1790888*100000/1000000)+(30*0.2374*100000/1000000)</f>
        <v>1.2494664</v>
      </c>
      <c r="Y959" s="56"/>
      <c r="Z959" s="14"/>
      <c r="AA959" s="55"/>
      <c r="AB959" s="49">
        <f>(B959*122.58+C959*297.941+D959*89.177+E959*40.302+F959*40+G959*160+H959*0+I959*100+J959*300)/(122.58+297.941+89.177+40.302+0+40+160+100+300)</f>
        <v>101.25871116965219</v>
      </c>
      <c r="AC959" s="45">
        <f>(M959*'RAP TEMPLATE-GAS AVAILABILITY'!O958+N959*'RAP TEMPLATE-GAS AVAILABILITY'!P958+O959*'RAP TEMPLATE-GAS AVAILABILITY'!Q958+P959*'RAP TEMPLATE-GAS AVAILABILITY'!R958)/('RAP TEMPLATE-GAS AVAILABILITY'!O958+'RAP TEMPLATE-GAS AVAILABILITY'!P958+'RAP TEMPLATE-GAS AVAILABILITY'!Q958+'RAP TEMPLATE-GAS AVAILABILITY'!R958)</f>
        <v>99.497269064748224</v>
      </c>
    </row>
    <row r="960" spans="1:29" ht="15.75" x14ac:dyDescent="0.25">
      <c r="A960" s="32">
        <v>70128</v>
      </c>
      <c r="B960" s="14">
        <f>CHOOSE(CONTROL!$C$42, 108.1038, 108.1038) * CHOOSE(CONTROL!$C$21, $C$9, 100%, $E$9)</f>
        <v>108.10380000000001</v>
      </c>
      <c r="C960" s="14">
        <f>CHOOSE(CONTROL!$C$42, 108.1089, 108.1089) * CHOOSE(CONTROL!$C$21, $C$9, 100%, $E$9)</f>
        <v>108.10890000000001</v>
      </c>
      <c r="D960" s="14">
        <f>CHOOSE(CONTROL!$C$42, 108.192, 108.192) * CHOOSE(CONTROL!$C$21, $C$9, 100%, $E$9)</f>
        <v>108.19199999999999</v>
      </c>
      <c r="E960" s="14">
        <f>CHOOSE(CONTROL!$C$42, 108.2261, 108.2261) * CHOOSE(CONTROL!$C$21, $C$9, 100%, $E$9)</f>
        <v>108.2261</v>
      </c>
      <c r="F960" s="14">
        <f>CHOOSE(CONTROL!$C$42, 108.1339, 108.1339)*CHOOSE(CONTROL!$C$21, $C$9, 100%, $E$9)</f>
        <v>108.1339</v>
      </c>
      <c r="G960" s="14">
        <f>CHOOSE(CONTROL!$C$42, 108.1519, 108.1519)*CHOOSE(CONTROL!$C$21, $C$9, 100%, $E$9)</f>
        <v>108.1519</v>
      </c>
      <c r="H960" s="14">
        <f>CHOOSE(CONTROL!$C$42, 108.2153, 108.2153) * CHOOSE(CONTROL!$C$21, $C$9, 100%, $E$9)</f>
        <v>108.2153</v>
      </c>
      <c r="I960" s="14">
        <f>CHOOSE(CONTROL!$C$42, 108.462, 108.462)* CHOOSE(CONTROL!$C$21, $C$9, 100%, $E$9)</f>
        <v>108.462</v>
      </c>
      <c r="J960" s="14">
        <f>CHOOSE(CONTROL!$C$42, 108.1269, 108.1269)* CHOOSE(CONTROL!$C$21, $C$9, 100%, $E$9)</f>
        <v>108.12690000000001</v>
      </c>
      <c r="K960" s="52">
        <f>CHOOSE(CONTROL!$C$42, 108.4581, 108.4581) * CHOOSE(CONTROL!$C$21, $C$9, 100%, $E$9)</f>
        <v>108.4581</v>
      </c>
      <c r="L960" s="14">
        <f>CHOOSE(CONTROL!$C$42, 108.8023, 108.8023) * CHOOSE(CONTROL!$C$21, $C$9, 100%, $E$9)</f>
        <v>108.8023</v>
      </c>
      <c r="M960" s="14">
        <f>CHOOSE(CONTROL!$C$42, 106.1898, 106.1898) * CHOOSE(CONTROL!$C$21, $C$9, 100%, $E$9)</f>
        <v>106.18980000000001</v>
      </c>
      <c r="N960" s="14">
        <f>CHOOSE(CONTROL!$C$42, 106.2074, 106.2074) * CHOOSE(CONTROL!$C$21, $C$9, 100%, $E$9)</f>
        <v>106.20740000000001</v>
      </c>
      <c r="O960" s="14">
        <f>CHOOSE(CONTROL!$C$42, 106.2765, 106.2765) * CHOOSE(CONTROL!$C$21, $C$9, 100%, $E$9)</f>
        <v>106.2765</v>
      </c>
      <c r="P960" s="14">
        <f>CHOOSE(CONTROL!$C$42, 106.5129, 106.5129) * CHOOSE(CONTROL!$C$21, $C$9, 100%, $E$9)</f>
        <v>106.5129</v>
      </c>
      <c r="Q960" s="14">
        <f>CHOOSE(CONTROL!$C$42, 106.8712, 106.8712) * CHOOSE(CONTROL!$C$21, $C$9, 100%, $E$9)</f>
        <v>106.8712</v>
      </c>
      <c r="R960" s="14">
        <f>CHOOSE(CONTROL!$C$42, 107.7254, 107.7254) * CHOOSE(CONTROL!$C$21, $C$9, 100%, $E$9)</f>
        <v>107.72539999999999</v>
      </c>
      <c r="S960" s="14">
        <f>CHOOSE(CONTROL!$C$42, 103.8684, 103.8684) * CHOOSE(CONTROL!$C$21, $C$9, 100%, $E$9)</f>
        <v>103.86839999999999</v>
      </c>
      <c r="T9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60" s="56">
        <f>(1000*CHOOSE(CONTROL!$C$42, 695, 695)*CHOOSE(CONTROL!$C$42, 0.5599, 0.5599)*CHOOSE(CONTROL!$C$42, 31, 31))/1000000</f>
        <v>12.063045499999998</v>
      </c>
      <c r="V960" s="56">
        <f>(1000*CHOOSE(CONTROL!$C$42, 500, 500)*CHOOSE(CONTROL!$C$42, 0.275, 0.275)*CHOOSE(CONTROL!$C$42, 31, 31))/1000000</f>
        <v>4.2625000000000002</v>
      </c>
      <c r="W960" s="56">
        <f>(1000*CHOOSE(CONTROL!$C$42, 0.1146, 0.1146)*CHOOSE(CONTROL!$C$42, 121.5, 121.5)*CHOOSE(CONTROL!$C$42, 31, 31))/1000000</f>
        <v>0.43164089999999994</v>
      </c>
      <c r="X960" s="56">
        <f>(31*0.1790888*100000/1000000)+(31*0.2374*100000/1000000)</f>
        <v>1.2911152800000001</v>
      </c>
      <c r="Y960" s="56"/>
      <c r="Z960" s="14"/>
      <c r="AA960" s="55"/>
      <c r="AB960" s="49">
        <f>(B960*122.58+C960*297.941+D960*89.177+E960*40.302+F960*40+G960*160+H960*0+I960*100+J960*300)/(122.58+297.941+89.177+40.302+0+40+160+100+300)</f>
        <v>108.16115986530436</v>
      </c>
      <c r="AC960" s="45">
        <f>(M960*'RAP TEMPLATE-GAS AVAILABILITY'!O959+N960*'RAP TEMPLATE-GAS AVAILABILITY'!P959+O960*'RAP TEMPLATE-GAS AVAILABILITY'!Q959+P960*'RAP TEMPLATE-GAS AVAILABILITY'!R959)/('RAP TEMPLATE-GAS AVAILABILITY'!O959+'RAP TEMPLATE-GAS AVAILABILITY'!P959+'RAP TEMPLATE-GAS AVAILABILITY'!Q959+'RAP TEMPLATE-GAS AVAILABILITY'!R959)</f>
        <v>106.27659784172661</v>
      </c>
    </row>
    <row r="961" spans="1:29" ht="15.75" x14ac:dyDescent="0.25">
      <c r="A961" s="32">
        <v>70159</v>
      </c>
      <c r="B961" s="14">
        <f>CHOOSE(CONTROL!$C$42, 117.0649, 117.0649) * CHOOSE(CONTROL!$C$21, $C$9, 100%, $E$9)</f>
        <v>117.06489999999999</v>
      </c>
      <c r="C961" s="14">
        <f>CHOOSE(CONTROL!$C$42, 117.07, 117.07) * CHOOSE(CONTROL!$C$21, $C$9, 100%, $E$9)</f>
        <v>117.07</v>
      </c>
      <c r="D961" s="14">
        <f>CHOOSE(CONTROL!$C$42, 117.1635, 117.1635) * CHOOSE(CONTROL!$C$21, $C$9, 100%, $E$9)</f>
        <v>117.1635</v>
      </c>
      <c r="E961" s="14">
        <f>CHOOSE(CONTROL!$C$42, 117.1976, 117.1976) * CHOOSE(CONTROL!$C$21, $C$9, 100%, $E$9)</f>
        <v>117.19759999999999</v>
      </c>
      <c r="F961" s="14">
        <f>CHOOSE(CONTROL!$C$42, 117.0923, 117.0923)*CHOOSE(CONTROL!$C$21, $C$9, 100%, $E$9)</f>
        <v>117.09229999999999</v>
      </c>
      <c r="G961" s="14">
        <f>CHOOSE(CONTROL!$C$42, 117.1102, 117.1102)*CHOOSE(CONTROL!$C$21, $C$9, 100%, $E$9)</f>
        <v>117.11020000000001</v>
      </c>
      <c r="H961" s="14">
        <f>CHOOSE(CONTROL!$C$42, 117.1868, 117.1868) * CHOOSE(CONTROL!$C$21, $C$9, 100%, $E$9)</f>
        <v>117.18680000000001</v>
      </c>
      <c r="I961" s="14">
        <f>CHOOSE(CONTROL!$C$42, 117.4575, 117.4575)* CHOOSE(CONTROL!$C$21, $C$9, 100%, $E$9)</f>
        <v>117.4575</v>
      </c>
      <c r="J961" s="14">
        <f>CHOOSE(CONTROL!$C$42, 117.0853, 117.0853)* CHOOSE(CONTROL!$C$21, $C$9, 100%, $E$9)</f>
        <v>117.0853</v>
      </c>
      <c r="K961" s="52">
        <f>CHOOSE(CONTROL!$C$42, 117.4536, 117.4536) * CHOOSE(CONTROL!$C$21, $C$9, 100%, $E$9)</f>
        <v>117.45359999999999</v>
      </c>
      <c r="L961" s="14">
        <f>CHOOSE(CONTROL!$C$42, 117.7738, 117.7738) * CHOOSE(CONTROL!$C$21, $C$9, 100%, $E$9)</f>
        <v>117.77379999999999</v>
      </c>
      <c r="M961" s="14">
        <f>CHOOSE(CONTROL!$C$42, 114.987, 114.987) * CHOOSE(CONTROL!$C$21, $C$9, 100%, $E$9)</f>
        <v>114.98699999999999</v>
      </c>
      <c r="N961" s="14">
        <f>CHOOSE(CONTROL!$C$42, 115.0046, 115.0046) * CHOOSE(CONTROL!$C$21, $C$9, 100%, $E$9)</f>
        <v>115.0046</v>
      </c>
      <c r="O961" s="14">
        <f>CHOOSE(CONTROL!$C$42, 115.0867, 115.0867) * CHOOSE(CONTROL!$C$21, $C$9, 100%, $E$9)</f>
        <v>115.08669999999999</v>
      </c>
      <c r="P961" s="14">
        <f>CHOOSE(CONTROL!$C$42, 115.3461, 115.3461) * CHOOSE(CONTROL!$C$21, $C$9, 100%, $E$9)</f>
        <v>115.34610000000001</v>
      </c>
      <c r="Q961" s="14">
        <f>CHOOSE(CONTROL!$C$42, 115.6814, 115.6814) * CHOOSE(CONTROL!$C$21, $C$9, 100%, $E$9)</f>
        <v>115.6814</v>
      </c>
      <c r="R961" s="14">
        <f>CHOOSE(CONTROL!$C$42, 116.5576, 116.5576) * CHOOSE(CONTROL!$C$21, $C$9, 100%, $E$9)</f>
        <v>116.55759999999999</v>
      </c>
      <c r="S961" s="14">
        <f>CHOOSE(CONTROL!$C$42, 112.4792, 112.4792) * CHOOSE(CONTROL!$C$21, $C$9, 100%, $E$9)</f>
        <v>112.47920000000001</v>
      </c>
      <c r="T9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61" s="56">
        <f>(1000*CHOOSE(CONTROL!$C$42, 695, 695)*CHOOSE(CONTROL!$C$42, 0.5599, 0.5599)*CHOOSE(CONTROL!$C$42, 31, 31))/1000000</f>
        <v>12.063045499999998</v>
      </c>
      <c r="V961" s="56">
        <f>(1000*CHOOSE(CONTROL!$C$42, 500, 500)*CHOOSE(CONTROL!$C$42, 0.275, 0.275)*CHOOSE(CONTROL!$C$42, 31, 31))/1000000</f>
        <v>4.2625000000000002</v>
      </c>
      <c r="W961" s="56">
        <f>(1000*CHOOSE(CONTROL!$C$42, 0.1146, 0.1146)*CHOOSE(CONTROL!$C$42, 121.5, 121.5)*CHOOSE(CONTROL!$C$42, 31, 31))/1000000</f>
        <v>0.43164089999999994</v>
      </c>
      <c r="X961" s="56">
        <f>(31*0.1790888*100000/1000000)+(31*0.2374*100000/1000000)</f>
        <v>1.2911152800000001</v>
      </c>
      <c r="Y961" s="56"/>
      <c r="Z961" s="14"/>
      <c r="AA961" s="55"/>
      <c r="AB961" s="49">
        <f>(B961*122.58+C961*297.941+D961*89.177+E961*40.302+F961*40+G961*160+H961*0+I961*100+J961*300)/(122.58+297.941+89.177+40.302+0+40+160+100+300)</f>
        <v>117.12523428408694</v>
      </c>
      <c r="AC961" s="45">
        <f>(M961*'RAP TEMPLATE-GAS AVAILABILITY'!O960+N961*'RAP TEMPLATE-GAS AVAILABILITY'!P960+O961*'RAP TEMPLATE-GAS AVAILABILITY'!Q960+P961*'RAP TEMPLATE-GAS AVAILABILITY'!R960)/('RAP TEMPLATE-GAS AVAILABILITY'!O960+'RAP TEMPLATE-GAS AVAILABILITY'!P960+'RAP TEMPLATE-GAS AVAILABILITY'!Q960+'RAP TEMPLATE-GAS AVAILABILITY'!R960)</f>
        <v>115.08486978417267</v>
      </c>
    </row>
    <row r="962" spans="1:29" ht="15.75" x14ac:dyDescent="0.25">
      <c r="A962" s="32">
        <v>70188</v>
      </c>
      <c r="B962" s="14">
        <f>CHOOSE(CONTROL!$C$42, 119.1487, 119.1487) * CHOOSE(CONTROL!$C$21, $C$9, 100%, $E$9)</f>
        <v>119.14870000000001</v>
      </c>
      <c r="C962" s="14">
        <f>CHOOSE(CONTROL!$C$42, 119.1538, 119.1538) * CHOOSE(CONTROL!$C$21, $C$9, 100%, $E$9)</f>
        <v>119.1538</v>
      </c>
      <c r="D962" s="14">
        <f>CHOOSE(CONTROL!$C$42, 119.2472, 119.2472) * CHOOSE(CONTROL!$C$21, $C$9, 100%, $E$9)</f>
        <v>119.24720000000001</v>
      </c>
      <c r="E962" s="14">
        <f>CHOOSE(CONTROL!$C$42, 119.2813, 119.2813) * CHOOSE(CONTROL!$C$21, $C$9, 100%, $E$9)</f>
        <v>119.2813</v>
      </c>
      <c r="F962" s="14">
        <f>CHOOSE(CONTROL!$C$42, 119.1756, 119.1756)*CHOOSE(CONTROL!$C$21, $C$9, 100%, $E$9)</f>
        <v>119.1756</v>
      </c>
      <c r="G962" s="14">
        <f>CHOOSE(CONTROL!$C$42, 119.1935, 119.1935)*CHOOSE(CONTROL!$C$21, $C$9, 100%, $E$9)</f>
        <v>119.1935</v>
      </c>
      <c r="H962" s="14">
        <f>CHOOSE(CONTROL!$C$42, 119.2705, 119.2705) * CHOOSE(CONTROL!$C$21, $C$9, 100%, $E$9)</f>
        <v>119.2705</v>
      </c>
      <c r="I962" s="14">
        <f>CHOOSE(CONTROL!$C$42, 119.5478, 119.5478)* CHOOSE(CONTROL!$C$21, $C$9, 100%, $E$9)</f>
        <v>119.5478</v>
      </c>
      <c r="J962" s="14">
        <f>CHOOSE(CONTROL!$C$42, 119.1686, 119.1686)* CHOOSE(CONTROL!$C$21, $C$9, 100%, $E$9)</f>
        <v>119.1686</v>
      </c>
      <c r="K962" s="52">
        <f>CHOOSE(CONTROL!$C$42, 119.5439, 119.5439) * CHOOSE(CONTROL!$C$21, $C$9, 100%, $E$9)</f>
        <v>119.54389999999999</v>
      </c>
      <c r="L962" s="14">
        <f>CHOOSE(CONTROL!$C$42, 119.8575, 119.8575) * CHOOSE(CONTROL!$C$21, $C$9, 100%, $E$9)</f>
        <v>119.8575</v>
      </c>
      <c r="M962" s="14">
        <f>CHOOSE(CONTROL!$C$42, 117.0329, 117.0329) * CHOOSE(CONTROL!$C$21, $C$9, 100%, $E$9)</f>
        <v>117.0329</v>
      </c>
      <c r="N962" s="14">
        <f>CHOOSE(CONTROL!$C$42, 117.0504, 117.0504) * CHOOSE(CONTROL!$C$21, $C$9, 100%, $E$9)</f>
        <v>117.0504</v>
      </c>
      <c r="O962" s="14">
        <f>CHOOSE(CONTROL!$C$42, 117.133, 117.133) * CHOOSE(CONTROL!$C$21, $C$9, 100%, $E$9)</f>
        <v>117.133</v>
      </c>
      <c r="P962" s="14">
        <f>CHOOSE(CONTROL!$C$42, 117.3986, 117.3986) * CHOOSE(CONTROL!$C$21, $C$9, 100%, $E$9)</f>
        <v>117.3986</v>
      </c>
      <c r="Q962" s="14">
        <f>CHOOSE(CONTROL!$C$42, 117.7277, 117.7277) * CHOOSE(CONTROL!$C$21, $C$9, 100%, $E$9)</f>
        <v>117.7277</v>
      </c>
      <c r="R962" s="14">
        <f>CHOOSE(CONTROL!$C$42, 118.609, 118.609) * CHOOSE(CONTROL!$C$21, $C$9, 100%, $E$9)</f>
        <v>118.60899999999999</v>
      </c>
      <c r="S962" s="14">
        <f>CHOOSE(CONTROL!$C$42, 114.4814, 114.4814) * CHOOSE(CONTROL!$C$21, $C$9, 100%, $E$9)</f>
        <v>114.48139999999999</v>
      </c>
      <c r="T96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962" s="56">
        <f>(1000*CHOOSE(CONTROL!$C$42, 695, 695)*CHOOSE(CONTROL!$C$42, 0.5599, 0.5599)*CHOOSE(CONTROL!$C$42, 29, 29))/1000000</f>
        <v>11.284784499999999</v>
      </c>
      <c r="V962" s="56">
        <f>(1000*CHOOSE(CONTROL!$C$42, 500, 500)*CHOOSE(CONTROL!$C$42, 0.275, 0.275)*CHOOSE(CONTROL!$C$42, 29, 29))/1000000</f>
        <v>3.9874999999999998</v>
      </c>
      <c r="W962" s="56">
        <f>(1000*CHOOSE(CONTROL!$C$42, 0.1146, 0.1146)*CHOOSE(CONTROL!$C$42, 121.5, 121.5)*CHOOSE(CONTROL!$C$42, 29, 29))/1000000</f>
        <v>0.40379309999999996</v>
      </c>
      <c r="X962" s="56">
        <f>(29*0.1790888*100000/1000000)+(29*0.2374*100000/1000000)</f>
        <v>1.2078175199999999</v>
      </c>
      <c r="Y962" s="56"/>
      <c r="Z962" s="14"/>
      <c r="AA962" s="55"/>
      <c r="AB962" s="49">
        <f>(B962*122.58+C962*297.941+D962*89.177+E962*40.302+F962*40+G962*160+H962*0+I962*100+J962*300)/(122.58+297.941+89.177+40.302+0+40+160+100+300)</f>
        <v>119.20937085113043</v>
      </c>
      <c r="AC962" s="45">
        <f>(M962*'RAP TEMPLATE-GAS AVAILABILITY'!O961+N962*'RAP TEMPLATE-GAS AVAILABILITY'!P961+O962*'RAP TEMPLATE-GAS AVAILABILITY'!Q961+P962*'RAP TEMPLATE-GAS AVAILABILITY'!R961)/('RAP TEMPLATE-GAS AVAILABILITY'!O961+'RAP TEMPLATE-GAS AVAILABILITY'!P961+'RAP TEMPLATE-GAS AVAILABILITY'!Q961+'RAP TEMPLATE-GAS AVAILABILITY'!R961)</f>
        <v>117.13189496402877</v>
      </c>
    </row>
    <row r="963" spans="1:29" ht="15.75" x14ac:dyDescent="0.25">
      <c r="A963" s="32">
        <v>70219</v>
      </c>
      <c r="B963" s="14">
        <f>CHOOSE(CONTROL!$C$42, 115.7663, 115.7663) * CHOOSE(CONTROL!$C$21, $C$9, 100%, $E$9)</f>
        <v>115.7663</v>
      </c>
      <c r="C963" s="14">
        <f>CHOOSE(CONTROL!$C$42, 115.7713, 115.7713) * CHOOSE(CONTROL!$C$21, $C$9, 100%, $E$9)</f>
        <v>115.7713</v>
      </c>
      <c r="D963" s="14">
        <f>CHOOSE(CONTROL!$C$42, 115.8648, 115.8648) * CHOOSE(CONTROL!$C$21, $C$9, 100%, $E$9)</f>
        <v>115.8648</v>
      </c>
      <c r="E963" s="14">
        <f>CHOOSE(CONTROL!$C$42, 115.8989, 115.8989) * CHOOSE(CONTROL!$C$21, $C$9, 100%, $E$9)</f>
        <v>115.8989</v>
      </c>
      <c r="F963" s="14">
        <f>CHOOSE(CONTROL!$C$42, 115.7923, 115.7923)*CHOOSE(CONTROL!$C$21, $C$9, 100%, $E$9)</f>
        <v>115.7923</v>
      </c>
      <c r="G963" s="14">
        <f>CHOOSE(CONTROL!$C$42, 115.81, 115.81)*CHOOSE(CONTROL!$C$21, $C$9, 100%, $E$9)</f>
        <v>115.81</v>
      </c>
      <c r="H963" s="14">
        <f>CHOOSE(CONTROL!$C$42, 115.8881, 115.8881) * CHOOSE(CONTROL!$C$21, $C$9, 100%, $E$9)</f>
        <v>115.88809999999999</v>
      </c>
      <c r="I963" s="14">
        <f>CHOOSE(CONTROL!$C$42, 116.1547, 116.1547)* CHOOSE(CONTROL!$C$21, $C$9, 100%, $E$9)</f>
        <v>116.15470000000001</v>
      </c>
      <c r="J963" s="14">
        <f>CHOOSE(CONTROL!$C$42, 115.7853, 115.7853)* CHOOSE(CONTROL!$C$21, $C$9, 100%, $E$9)</f>
        <v>115.78530000000001</v>
      </c>
      <c r="K963" s="52">
        <f>CHOOSE(CONTROL!$C$42, 116.1508, 116.1508) * CHOOSE(CONTROL!$C$21, $C$9, 100%, $E$9)</f>
        <v>116.1508</v>
      </c>
      <c r="L963" s="14">
        <f>CHOOSE(CONTROL!$C$42, 116.4751, 116.4751) * CHOOSE(CONTROL!$C$21, $C$9, 100%, $E$9)</f>
        <v>116.4751</v>
      </c>
      <c r="M963" s="14">
        <f>CHOOSE(CONTROL!$C$42, 113.7104, 113.7104) * CHOOSE(CONTROL!$C$21, $C$9, 100%, $E$9)</f>
        <v>113.71040000000001</v>
      </c>
      <c r="N963" s="14">
        <f>CHOOSE(CONTROL!$C$42, 113.7278, 113.7278) * CHOOSE(CONTROL!$C$21, $C$9, 100%, $E$9)</f>
        <v>113.7278</v>
      </c>
      <c r="O963" s="14">
        <f>CHOOSE(CONTROL!$C$42, 113.8113, 113.8113) * CHOOSE(CONTROL!$C$21, $C$9, 100%, $E$9)</f>
        <v>113.8113</v>
      </c>
      <c r="P963" s="14">
        <f>CHOOSE(CONTROL!$C$42, 114.0668, 114.0668) * CHOOSE(CONTROL!$C$21, $C$9, 100%, $E$9)</f>
        <v>114.0668</v>
      </c>
      <c r="Q963" s="14">
        <f>CHOOSE(CONTROL!$C$42, 114.406, 114.406) * CHOOSE(CONTROL!$C$21, $C$9, 100%, $E$9)</f>
        <v>114.40600000000001</v>
      </c>
      <c r="R963" s="14">
        <f>CHOOSE(CONTROL!$C$42, 115.2791, 115.2791) * CHOOSE(CONTROL!$C$21, $C$9, 100%, $E$9)</f>
        <v>115.2791</v>
      </c>
      <c r="S963" s="14">
        <f>CHOOSE(CONTROL!$C$42, 111.2313, 111.2313) * CHOOSE(CONTROL!$C$21, $C$9, 100%, $E$9)</f>
        <v>111.2313</v>
      </c>
      <c r="T9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63" s="56">
        <f>(1000*CHOOSE(CONTROL!$C$42, 695, 695)*CHOOSE(CONTROL!$C$42, 0.5599, 0.5599)*CHOOSE(CONTROL!$C$42, 31, 31))/1000000</f>
        <v>12.063045499999998</v>
      </c>
      <c r="V963" s="56">
        <f>(1000*CHOOSE(CONTROL!$C$42, 500, 500)*CHOOSE(CONTROL!$C$42, 0.275, 0.275)*CHOOSE(CONTROL!$C$42, 31, 31))/1000000</f>
        <v>4.2625000000000002</v>
      </c>
      <c r="W963" s="56">
        <f>(1000*CHOOSE(CONTROL!$C$42, 0.1146, 0.1146)*CHOOSE(CONTROL!$C$42, 121.5, 121.5)*CHOOSE(CONTROL!$C$42, 31, 31))/1000000</f>
        <v>0.43164089999999994</v>
      </c>
      <c r="X963" s="56">
        <f>(31*0.1790888*100000/1000000)+(31*0.2374*100000/1000000)</f>
        <v>1.2911152800000001</v>
      </c>
      <c r="Y963" s="56"/>
      <c r="Z963" s="14"/>
      <c r="AA963" s="55"/>
      <c r="AB963" s="49">
        <f>(B963*122.58+C963*297.941+D963*89.177+E963*40.302+F963*40+G963*160+H963*0+I963*100+J963*300)/(122.58+297.941+89.177+40.302+0+40+160+100+300)</f>
        <v>115.82559537799999</v>
      </c>
      <c r="AC963" s="45">
        <f>(M963*'RAP TEMPLATE-GAS AVAILABILITY'!O962+N963*'RAP TEMPLATE-GAS AVAILABILITY'!P962+O963*'RAP TEMPLATE-GAS AVAILABILITY'!Q962+P963*'RAP TEMPLATE-GAS AVAILABILITY'!R962)/('RAP TEMPLATE-GAS AVAILABILITY'!O962+'RAP TEMPLATE-GAS AVAILABILITY'!P962+'RAP TEMPLATE-GAS AVAILABILITY'!Q962+'RAP TEMPLATE-GAS AVAILABILITY'!R962)</f>
        <v>113.80841366906475</v>
      </c>
    </row>
    <row r="964" spans="1:29" ht="15.75" x14ac:dyDescent="0.25">
      <c r="A964" s="32">
        <v>70249</v>
      </c>
      <c r="B964" s="14">
        <f>CHOOSE(CONTROL!$C$42, 115.4207, 115.4207) * CHOOSE(CONTROL!$C$21, $C$9, 100%, $E$9)</f>
        <v>115.4207</v>
      </c>
      <c r="C964" s="14">
        <f>CHOOSE(CONTROL!$C$42, 115.4252, 115.4252) * CHOOSE(CONTROL!$C$21, $C$9, 100%, $E$9)</f>
        <v>115.4252</v>
      </c>
      <c r="D964" s="14">
        <f>CHOOSE(CONTROL!$C$42, 115.6874, 115.6874) * CHOOSE(CONTROL!$C$21, $C$9, 100%, $E$9)</f>
        <v>115.6874</v>
      </c>
      <c r="E964" s="14">
        <f>CHOOSE(CONTROL!$C$42, 115.7195, 115.7195) * CHOOSE(CONTROL!$C$21, $C$9, 100%, $E$9)</f>
        <v>115.7195</v>
      </c>
      <c r="F964" s="14">
        <f>CHOOSE(CONTROL!$C$42, 115.4435, 115.4435)*CHOOSE(CONTROL!$C$21, $C$9, 100%, $E$9)</f>
        <v>115.4435</v>
      </c>
      <c r="G964" s="14">
        <f>CHOOSE(CONTROL!$C$42, 115.4602, 115.4602)*CHOOSE(CONTROL!$C$21, $C$9, 100%, $E$9)</f>
        <v>115.4602</v>
      </c>
      <c r="H964" s="14">
        <f>CHOOSE(CONTROL!$C$42, 115.7093, 115.7093) * CHOOSE(CONTROL!$C$21, $C$9, 100%, $E$9)</f>
        <v>115.7093</v>
      </c>
      <c r="I964" s="14">
        <f>CHOOSE(CONTROL!$C$42, 115.8046, 115.8046)* CHOOSE(CONTROL!$C$21, $C$9, 100%, $E$9)</f>
        <v>115.80459999999999</v>
      </c>
      <c r="J964" s="14">
        <f>CHOOSE(CONTROL!$C$42, 115.4365, 115.4365)* CHOOSE(CONTROL!$C$21, $C$9, 100%, $E$9)</f>
        <v>115.4365</v>
      </c>
      <c r="K964" s="52">
        <f>CHOOSE(CONTROL!$C$42, 115.8008, 115.8008) * CHOOSE(CONTROL!$C$21, $C$9, 100%, $E$9)</f>
        <v>115.8008</v>
      </c>
      <c r="L964" s="14">
        <f>CHOOSE(CONTROL!$C$42, 116.2963, 116.2963) * CHOOSE(CONTROL!$C$21, $C$9, 100%, $E$9)</f>
        <v>116.2963</v>
      </c>
      <c r="M964" s="14">
        <f>CHOOSE(CONTROL!$C$42, 113.3679, 113.3679) * CHOOSE(CONTROL!$C$21, $C$9, 100%, $E$9)</f>
        <v>113.36790000000001</v>
      </c>
      <c r="N964" s="14">
        <f>CHOOSE(CONTROL!$C$42, 113.3843, 113.3843) * CHOOSE(CONTROL!$C$21, $C$9, 100%, $E$9)</f>
        <v>113.3843</v>
      </c>
      <c r="O964" s="14">
        <f>CHOOSE(CONTROL!$C$42, 113.6357, 113.6357) * CHOOSE(CONTROL!$C$21, $C$9, 100%, $E$9)</f>
        <v>113.6357</v>
      </c>
      <c r="P964" s="14">
        <f>CHOOSE(CONTROL!$C$42, 113.7231, 113.7231) * CHOOSE(CONTROL!$C$21, $C$9, 100%, $E$9)</f>
        <v>113.7231</v>
      </c>
      <c r="Q964" s="14">
        <f>CHOOSE(CONTROL!$C$42, 114.2304, 114.2304) * CHOOSE(CONTROL!$C$21, $C$9, 100%, $E$9)</f>
        <v>114.2304</v>
      </c>
      <c r="R964" s="14">
        <f>CHOOSE(CONTROL!$C$42, 115.103, 115.103) * CHOOSE(CONTROL!$C$21, $C$9, 100%, $E$9)</f>
        <v>115.10299999999999</v>
      </c>
      <c r="S964" s="14">
        <f>CHOOSE(CONTROL!$C$42, 110.8984, 110.8984) * CHOOSE(CONTROL!$C$21, $C$9, 100%, $E$9)</f>
        <v>110.8984</v>
      </c>
      <c r="T9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964" s="56">
        <f>(1000*CHOOSE(CONTROL!$C$42, 695, 695)*CHOOSE(CONTROL!$C$42, 0.5599, 0.5599)*CHOOSE(CONTROL!$C$42, 30, 30))/1000000</f>
        <v>11.673914999999997</v>
      </c>
      <c r="V964" s="56">
        <f>(1000*CHOOSE(CONTROL!$C$42, 500, 500)*CHOOSE(CONTROL!$C$42, 0.275, 0.275)*CHOOSE(CONTROL!$C$42, 30, 30))/1000000</f>
        <v>4.125</v>
      </c>
      <c r="W964" s="56">
        <f>(1000*CHOOSE(CONTROL!$C$42, 0.1146, 0.1146)*CHOOSE(CONTROL!$C$42, 121.5, 121.5)*CHOOSE(CONTROL!$C$42, 30, 30))/1000000</f>
        <v>0.417717</v>
      </c>
      <c r="X964" s="56">
        <f>(30*0.1790888*245000/1000000)+(30*0.2374*100000/1000000)</f>
        <v>2.0285026799999999</v>
      </c>
      <c r="Y964" s="56"/>
      <c r="Z964" s="14"/>
      <c r="AA964" s="55"/>
      <c r="AB964" s="49">
        <f>(B964*141.293+C964*267.993+D964*115.016+E964*89.698+F964*40+G964*185+H964*0+I964*100+J964*300)/(141.293+267.993+115.016+89.698+0+40+185+100+300)</f>
        <v>115.50950710096851</v>
      </c>
      <c r="AC964" s="45">
        <f>(M964*'RAP TEMPLATE-GAS AVAILABILITY'!O963+N964*'RAP TEMPLATE-GAS AVAILABILITY'!P963+O964*'RAP TEMPLATE-GAS AVAILABILITY'!Q963+P964*'RAP TEMPLATE-GAS AVAILABILITY'!R963)/('RAP TEMPLATE-GAS AVAILABILITY'!O963+'RAP TEMPLATE-GAS AVAILABILITY'!P963+'RAP TEMPLATE-GAS AVAILABILITY'!Q963+'RAP TEMPLATE-GAS AVAILABILITY'!R963)</f>
        <v>113.5413287769784</v>
      </c>
    </row>
    <row r="965" spans="1:29" ht="15.75" x14ac:dyDescent="0.25">
      <c r="A965" s="32">
        <v>70280</v>
      </c>
      <c r="B965" s="14">
        <f>CHOOSE(CONTROL!$C$42, 116.4407, 116.4407) * CHOOSE(CONTROL!$C$21, $C$9, 100%, $E$9)</f>
        <v>116.44070000000001</v>
      </c>
      <c r="C965" s="14">
        <f>CHOOSE(CONTROL!$C$42, 116.4487, 116.4487) * CHOOSE(CONTROL!$C$21, $C$9, 100%, $E$9)</f>
        <v>116.4487</v>
      </c>
      <c r="D965" s="14">
        <f>CHOOSE(CONTROL!$C$42, 116.7078, 116.7078) * CHOOSE(CONTROL!$C$21, $C$9, 100%, $E$9)</f>
        <v>116.70780000000001</v>
      </c>
      <c r="E965" s="14">
        <f>CHOOSE(CONTROL!$C$42, 116.7393, 116.7393) * CHOOSE(CONTROL!$C$21, $C$9, 100%, $E$9)</f>
        <v>116.7393</v>
      </c>
      <c r="F965" s="14">
        <f>CHOOSE(CONTROL!$C$42, 116.4622, 116.4622)*CHOOSE(CONTROL!$C$21, $C$9, 100%, $E$9)</f>
        <v>116.4622</v>
      </c>
      <c r="G965" s="14">
        <f>CHOOSE(CONTROL!$C$42, 116.4792, 116.4792)*CHOOSE(CONTROL!$C$21, $C$9, 100%, $E$9)</f>
        <v>116.47920000000001</v>
      </c>
      <c r="H965" s="14">
        <f>CHOOSE(CONTROL!$C$42, 116.7279, 116.7279) * CHOOSE(CONTROL!$C$21, $C$9, 100%, $E$9)</f>
        <v>116.72790000000001</v>
      </c>
      <c r="I965" s="14">
        <f>CHOOSE(CONTROL!$C$42, 116.8265, 116.8265)* CHOOSE(CONTROL!$C$21, $C$9, 100%, $E$9)</f>
        <v>116.8265</v>
      </c>
      <c r="J965" s="14">
        <f>CHOOSE(CONTROL!$C$42, 116.4552, 116.4552)* CHOOSE(CONTROL!$C$21, $C$9, 100%, $E$9)</f>
        <v>116.4552</v>
      </c>
      <c r="K965" s="52">
        <f>CHOOSE(CONTROL!$C$42, 116.8226, 116.8226) * CHOOSE(CONTROL!$C$21, $C$9, 100%, $E$9)</f>
        <v>116.82259999999999</v>
      </c>
      <c r="L965" s="14">
        <f>CHOOSE(CONTROL!$C$42, 117.3149, 117.3149) * CHOOSE(CONTROL!$C$21, $C$9, 100%, $E$9)</f>
        <v>117.31489999999999</v>
      </c>
      <c r="M965" s="14">
        <f>CHOOSE(CONTROL!$C$42, 114.3683, 114.3683) * CHOOSE(CONTROL!$C$21, $C$9, 100%, $E$9)</f>
        <v>114.3683</v>
      </c>
      <c r="N965" s="14">
        <f>CHOOSE(CONTROL!$C$42, 114.3849, 114.3849) * CHOOSE(CONTROL!$C$21, $C$9, 100%, $E$9)</f>
        <v>114.3849</v>
      </c>
      <c r="O965" s="14">
        <f>CHOOSE(CONTROL!$C$42, 114.636, 114.636) * CHOOSE(CONTROL!$C$21, $C$9, 100%, $E$9)</f>
        <v>114.636</v>
      </c>
      <c r="P965" s="14">
        <f>CHOOSE(CONTROL!$C$42, 114.7264, 114.7264) * CHOOSE(CONTROL!$C$21, $C$9, 100%, $E$9)</f>
        <v>114.7264</v>
      </c>
      <c r="Q965" s="14">
        <f>CHOOSE(CONTROL!$C$42, 115.2307, 115.2307) * CHOOSE(CONTROL!$C$21, $C$9, 100%, $E$9)</f>
        <v>115.2307</v>
      </c>
      <c r="R965" s="14">
        <f>CHOOSE(CONTROL!$C$42, 116.1058, 116.1058) * CHOOSE(CONTROL!$C$21, $C$9, 100%, $E$9)</f>
        <v>116.1058</v>
      </c>
      <c r="S965" s="14">
        <f>CHOOSE(CONTROL!$C$42, 111.8772, 111.8772) * CHOOSE(CONTROL!$C$21, $C$9, 100%, $E$9)</f>
        <v>111.8772</v>
      </c>
      <c r="T9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965" s="56">
        <f>(1000*CHOOSE(CONTROL!$C$42, 695, 695)*CHOOSE(CONTROL!$C$42, 0.5599, 0.5599)*CHOOSE(CONTROL!$C$42, 31, 31))/1000000</f>
        <v>12.063045499999998</v>
      </c>
      <c r="V965" s="56">
        <f>(1000*CHOOSE(CONTROL!$C$42, 500, 500)*CHOOSE(CONTROL!$C$42, 0.275, 0.275)*CHOOSE(CONTROL!$C$42, 31, 31))/1000000</f>
        <v>4.2625000000000002</v>
      </c>
      <c r="W965" s="56">
        <f>(1000*CHOOSE(CONTROL!$C$42, 0.1146, 0.1146)*CHOOSE(CONTROL!$C$42, 121.5, 121.5)*CHOOSE(CONTROL!$C$42, 31, 31))/1000000</f>
        <v>0.43164089999999994</v>
      </c>
      <c r="X965" s="56">
        <f>(31*0.1790888*245000/1000000)+(31*0.2374*100000/1000000)</f>
        <v>2.0961194359999999</v>
      </c>
      <c r="Y965" s="56"/>
      <c r="Z965" s="14"/>
      <c r="AA965" s="55"/>
      <c r="AB965" s="49">
        <f>(B965*194.205+C965*267.466+D965*133.845+E965*53.484+F965*40+G965*185+H965*0+I965*100+J965*300)/(194.205+267.466+133.845+53.484+0+40+185+100+300)</f>
        <v>116.52293905015699</v>
      </c>
      <c r="AC965" s="45">
        <f>(M965*'RAP TEMPLATE-GAS AVAILABILITY'!O964+N965*'RAP TEMPLATE-GAS AVAILABILITY'!P964+O965*'RAP TEMPLATE-GAS AVAILABILITY'!Q964+P965*'RAP TEMPLATE-GAS AVAILABILITY'!R964)/('RAP TEMPLATE-GAS AVAILABILITY'!O964+'RAP TEMPLATE-GAS AVAILABILITY'!P964+'RAP TEMPLATE-GAS AVAILABILITY'!Q964+'RAP TEMPLATE-GAS AVAILABILITY'!R964)</f>
        <v>114.54211223021582</v>
      </c>
    </row>
    <row r="966" spans="1:29" ht="15.75" x14ac:dyDescent="0.25">
      <c r="A966" s="32">
        <v>70310</v>
      </c>
      <c r="B966" s="14">
        <f>CHOOSE(CONTROL!$C$42, 119.7434, 119.7434) * CHOOSE(CONTROL!$C$21, $C$9, 100%, $E$9)</f>
        <v>119.74339999999999</v>
      </c>
      <c r="C966" s="14">
        <f>CHOOSE(CONTROL!$C$42, 119.7514, 119.7514) * CHOOSE(CONTROL!$C$21, $C$9, 100%, $E$9)</f>
        <v>119.7514</v>
      </c>
      <c r="D966" s="14">
        <f>CHOOSE(CONTROL!$C$42, 120.0105, 120.0105) * CHOOSE(CONTROL!$C$21, $C$9, 100%, $E$9)</f>
        <v>120.01049999999999</v>
      </c>
      <c r="E966" s="14">
        <f>CHOOSE(CONTROL!$C$42, 120.0419, 120.0419) * CHOOSE(CONTROL!$C$21, $C$9, 100%, $E$9)</f>
        <v>120.0419</v>
      </c>
      <c r="F966" s="14">
        <f>CHOOSE(CONTROL!$C$42, 119.7651, 119.7651)*CHOOSE(CONTROL!$C$21, $C$9, 100%, $E$9)</f>
        <v>119.7651</v>
      </c>
      <c r="G966" s="14">
        <f>CHOOSE(CONTROL!$C$42, 119.7822, 119.7822)*CHOOSE(CONTROL!$C$21, $C$9, 100%, $E$9)</f>
        <v>119.7822</v>
      </c>
      <c r="H966" s="14">
        <f>CHOOSE(CONTROL!$C$42, 120.0306, 120.0306) * CHOOSE(CONTROL!$C$21, $C$9, 100%, $E$9)</f>
        <v>120.03060000000001</v>
      </c>
      <c r="I966" s="14">
        <f>CHOOSE(CONTROL!$C$42, 120.1395, 120.1395)* CHOOSE(CONTROL!$C$21, $C$9, 100%, $E$9)</f>
        <v>120.1395</v>
      </c>
      <c r="J966" s="14">
        <f>CHOOSE(CONTROL!$C$42, 119.7581, 119.7581)* CHOOSE(CONTROL!$C$21, $C$9, 100%, $E$9)</f>
        <v>119.7581</v>
      </c>
      <c r="K966" s="52">
        <f>CHOOSE(CONTROL!$C$42, 120.1356, 120.1356) * CHOOSE(CONTROL!$C$21, $C$9, 100%, $E$9)</f>
        <v>120.1356</v>
      </c>
      <c r="L966" s="14">
        <f>CHOOSE(CONTROL!$C$42, 120.6176, 120.6176) * CHOOSE(CONTROL!$C$21, $C$9, 100%, $E$9)</f>
        <v>120.6176</v>
      </c>
      <c r="M966" s="14">
        <f>CHOOSE(CONTROL!$C$42, 117.6118, 117.6118) * CHOOSE(CONTROL!$C$21, $C$9, 100%, $E$9)</f>
        <v>117.6118</v>
      </c>
      <c r="N966" s="14">
        <f>CHOOSE(CONTROL!$C$42, 117.6285, 117.6285) * CHOOSE(CONTROL!$C$21, $C$9, 100%, $E$9)</f>
        <v>117.6285</v>
      </c>
      <c r="O966" s="14">
        <f>CHOOSE(CONTROL!$C$42, 117.8793, 117.8793) * CHOOSE(CONTROL!$C$21, $C$9, 100%, $E$9)</f>
        <v>117.8793</v>
      </c>
      <c r="P966" s="14">
        <f>CHOOSE(CONTROL!$C$42, 117.9797, 117.9797) * CHOOSE(CONTROL!$C$21, $C$9, 100%, $E$9)</f>
        <v>117.97969999999999</v>
      </c>
      <c r="Q966" s="14">
        <f>CHOOSE(CONTROL!$C$42, 118.474, 118.474) * CHOOSE(CONTROL!$C$21, $C$9, 100%, $E$9)</f>
        <v>118.474</v>
      </c>
      <c r="R966" s="14">
        <f>CHOOSE(CONTROL!$C$42, 119.3572, 119.3572) * CHOOSE(CONTROL!$C$21, $C$9, 100%, $E$9)</f>
        <v>119.35720000000001</v>
      </c>
      <c r="S966" s="14">
        <f>CHOOSE(CONTROL!$C$42, 115.0508, 115.0508) * CHOOSE(CONTROL!$C$21, $C$9, 100%, $E$9)</f>
        <v>115.0508</v>
      </c>
      <c r="T9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66" s="56">
        <f>(1000*CHOOSE(CONTROL!$C$42, 695, 695)*CHOOSE(CONTROL!$C$42, 0.5599, 0.5599)*CHOOSE(CONTROL!$C$42, 30, 30))/1000000</f>
        <v>11.673914999999997</v>
      </c>
      <c r="V966" s="56">
        <f>(1000*CHOOSE(CONTROL!$C$42, 500, 500)*CHOOSE(CONTROL!$C$42, 0.275, 0.275)*CHOOSE(CONTROL!$C$42, 30, 30))/1000000</f>
        <v>4.125</v>
      </c>
      <c r="W966" s="56">
        <f>(1000*CHOOSE(CONTROL!$C$42, 0.1146, 0.1146)*CHOOSE(CONTROL!$C$42, 121.5, 121.5)*CHOOSE(CONTROL!$C$42, 30, 30))/1000000</f>
        <v>0.417717</v>
      </c>
      <c r="X966" s="56">
        <f>(30*0.1790888*245000/1000000)+(30*0.2374*100000/1000000)</f>
        <v>2.0285026799999999</v>
      </c>
      <c r="Y966" s="56"/>
      <c r="Z966" s="14"/>
      <c r="AA966" s="55"/>
      <c r="AB966" s="49">
        <f>(B966*194.205+C966*267.466+D966*133.845+E966*53.484+F966*40+G966*185+H966*0+I966*100+J966*300)/(194.205+267.466+133.845+53.484+0+40+185+100+300)</f>
        <v>119.82654026805339</v>
      </c>
      <c r="AC966" s="45">
        <f>(M966*'RAP TEMPLATE-GAS AVAILABILITY'!O965+N966*'RAP TEMPLATE-GAS AVAILABILITY'!P965+O966*'RAP TEMPLATE-GAS AVAILABILITY'!Q965+P966*'RAP TEMPLATE-GAS AVAILABILITY'!R965)/('RAP TEMPLATE-GAS AVAILABILITY'!O965+'RAP TEMPLATE-GAS AVAILABILITY'!P965+'RAP TEMPLATE-GAS AVAILABILITY'!Q965+'RAP TEMPLATE-GAS AVAILABILITY'!R965)</f>
        <v>117.78693741007194</v>
      </c>
    </row>
    <row r="967" spans="1:29" ht="15.75" x14ac:dyDescent="0.25">
      <c r="A967" s="32">
        <v>70341</v>
      </c>
      <c r="B967" s="14">
        <f>CHOOSE(CONTROL!$C$42, 117.4463, 117.4463) * CHOOSE(CONTROL!$C$21, $C$9, 100%, $E$9)</f>
        <v>117.44629999999999</v>
      </c>
      <c r="C967" s="14">
        <f>CHOOSE(CONTROL!$C$42, 117.4544, 117.4544) * CHOOSE(CONTROL!$C$21, $C$9, 100%, $E$9)</f>
        <v>117.45440000000001</v>
      </c>
      <c r="D967" s="14">
        <f>CHOOSE(CONTROL!$C$42, 117.7135, 117.7135) * CHOOSE(CONTROL!$C$21, $C$9, 100%, $E$9)</f>
        <v>117.7135</v>
      </c>
      <c r="E967" s="14">
        <f>CHOOSE(CONTROL!$C$42, 117.7449, 117.7449) * CHOOSE(CONTROL!$C$21, $C$9, 100%, $E$9)</f>
        <v>117.7449</v>
      </c>
      <c r="F967" s="14">
        <f>CHOOSE(CONTROL!$C$42, 117.4685, 117.4685)*CHOOSE(CONTROL!$C$21, $C$9, 100%, $E$9)</f>
        <v>117.46850000000001</v>
      </c>
      <c r="G967" s="14">
        <f>CHOOSE(CONTROL!$C$42, 117.4857, 117.4857)*CHOOSE(CONTROL!$C$21, $C$9, 100%, $E$9)</f>
        <v>117.48569999999999</v>
      </c>
      <c r="H967" s="14">
        <f>CHOOSE(CONTROL!$C$42, 117.7335, 117.7335) * CHOOSE(CONTROL!$C$21, $C$9, 100%, $E$9)</f>
        <v>117.73350000000001</v>
      </c>
      <c r="I967" s="14">
        <f>CHOOSE(CONTROL!$C$42, 117.8353, 117.8353)* CHOOSE(CONTROL!$C$21, $C$9, 100%, $E$9)</f>
        <v>117.8353</v>
      </c>
      <c r="J967" s="14">
        <f>CHOOSE(CONTROL!$C$42, 117.4615, 117.4615)* CHOOSE(CONTROL!$C$21, $C$9, 100%, $E$9)</f>
        <v>117.4615</v>
      </c>
      <c r="K967" s="52">
        <f>CHOOSE(CONTROL!$C$42, 117.8314, 117.8314) * CHOOSE(CONTROL!$C$21, $C$9, 100%, $E$9)</f>
        <v>117.8314</v>
      </c>
      <c r="L967" s="14">
        <f>CHOOSE(CONTROL!$C$42, 118.3205, 118.3205) * CHOOSE(CONTROL!$C$21, $C$9, 100%, $E$9)</f>
        <v>118.3205</v>
      </c>
      <c r="M967" s="14">
        <f>CHOOSE(CONTROL!$C$42, 115.3565, 115.3565) * CHOOSE(CONTROL!$C$21, $C$9, 100%, $E$9)</f>
        <v>115.3565</v>
      </c>
      <c r="N967" s="14">
        <f>CHOOSE(CONTROL!$C$42, 115.3733, 115.3733) * CHOOSE(CONTROL!$C$21, $C$9, 100%, $E$9)</f>
        <v>115.3733</v>
      </c>
      <c r="O967" s="14">
        <f>CHOOSE(CONTROL!$C$42, 115.6236, 115.6236) * CHOOSE(CONTROL!$C$21, $C$9, 100%, $E$9)</f>
        <v>115.6236</v>
      </c>
      <c r="P967" s="14">
        <f>CHOOSE(CONTROL!$C$42, 115.717, 115.717) * CHOOSE(CONTROL!$C$21, $C$9, 100%, $E$9)</f>
        <v>115.717</v>
      </c>
      <c r="Q967" s="14">
        <f>CHOOSE(CONTROL!$C$42, 116.2183, 116.2183) * CHOOSE(CONTROL!$C$21, $C$9, 100%, $E$9)</f>
        <v>116.2183</v>
      </c>
      <c r="R967" s="14">
        <f>CHOOSE(CONTROL!$C$42, 117.0958, 117.0958) * CHOOSE(CONTROL!$C$21, $C$9, 100%, $E$9)</f>
        <v>117.0958</v>
      </c>
      <c r="S967" s="14">
        <f>CHOOSE(CONTROL!$C$42, 112.8436, 112.8436) * CHOOSE(CONTROL!$C$21, $C$9, 100%, $E$9)</f>
        <v>112.8436</v>
      </c>
      <c r="T9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67" s="56">
        <f>(1000*CHOOSE(CONTROL!$C$42, 695, 695)*CHOOSE(CONTROL!$C$42, 0.5599, 0.5599)*CHOOSE(CONTROL!$C$42, 31, 31))/1000000</f>
        <v>12.063045499999998</v>
      </c>
      <c r="V967" s="56">
        <f>(1000*CHOOSE(CONTROL!$C$42, 500, 500)*CHOOSE(CONTROL!$C$42, 0.275, 0.275)*CHOOSE(CONTROL!$C$42, 31, 31))/1000000</f>
        <v>4.2625000000000002</v>
      </c>
      <c r="W967" s="56">
        <f>(1000*CHOOSE(CONTROL!$C$42, 0.1146, 0.1146)*CHOOSE(CONTROL!$C$42, 121.5, 121.5)*CHOOSE(CONTROL!$C$42, 31, 31))/1000000</f>
        <v>0.43164089999999994</v>
      </c>
      <c r="X967" s="56">
        <f>(31*0.1790888*245000/1000000)+(31*0.2374*100000/1000000)</f>
        <v>2.0961194359999999</v>
      </c>
      <c r="Y967" s="56"/>
      <c r="Z967" s="14"/>
      <c r="AA967" s="55"/>
      <c r="AB967" s="49">
        <f>(B967*194.205+C967*267.466+D967*133.845+E967*53.484+F967*40+G967*185+H967*0+I967*100+J967*300)/(194.205+267.466+133.845+53.484+0+40+185+100+300)</f>
        <v>117.52913923155417</v>
      </c>
      <c r="AC967" s="45">
        <f>(M967*'RAP TEMPLATE-GAS AVAILABILITY'!O966+N967*'RAP TEMPLATE-GAS AVAILABILITY'!P966+O967*'RAP TEMPLATE-GAS AVAILABILITY'!Q966+P967*'RAP TEMPLATE-GAS AVAILABILITY'!R966)/('RAP TEMPLATE-GAS AVAILABILITY'!O966+'RAP TEMPLATE-GAS AVAILABILITY'!P966+'RAP TEMPLATE-GAS AVAILABILITY'!Q966+'RAP TEMPLATE-GAS AVAILABILITY'!R966)</f>
        <v>115.53039712230216</v>
      </c>
    </row>
    <row r="968" spans="1:29" ht="15.75" x14ac:dyDescent="0.25">
      <c r="A968" s="32">
        <v>70372</v>
      </c>
      <c r="B968" s="14">
        <f>CHOOSE(CONTROL!$C$42, 111.6456, 111.6456) * CHOOSE(CONTROL!$C$21, $C$9, 100%, $E$9)</f>
        <v>111.6456</v>
      </c>
      <c r="C968" s="14">
        <f>CHOOSE(CONTROL!$C$42, 111.6536, 111.6536) * CHOOSE(CONTROL!$C$21, $C$9, 100%, $E$9)</f>
        <v>111.6536</v>
      </c>
      <c r="D968" s="14">
        <f>CHOOSE(CONTROL!$C$42, 111.9127, 111.9127) * CHOOSE(CONTROL!$C$21, $C$9, 100%, $E$9)</f>
        <v>111.9127</v>
      </c>
      <c r="E968" s="14">
        <f>CHOOSE(CONTROL!$C$42, 111.9442, 111.9442) * CHOOSE(CONTROL!$C$21, $C$9, 100%, $E$9)</f>
        <v>111.9442</v>
      </c>
      <c r="F968" s="14">
        <f>CHOOSE(CONTROL!$C$42, 111.668, 111.668)*CHOOSE(CONTROL!$C$21, $C$9, 100%, $E$9)</f>
        <v>111.66800000000001</v>
      </c>
      <c r="G968" s="14">
        <f>CHOOSE(CONTROL!$C$42, 111.6852, 111.6852)*CHOOSE(CONTROL!$C$21, $C$9, 100%, $E$9)</f>
        <v>111.68519999999999</v>
      </c>
      <c r="H968" s="14">
        <f>CHOOSE(CONTROL!$C$42, 111.9328, 111.9328) * CHOOSE(CONTROL!$C$21, $C$9, 100%, $E$9)</f>
        <v>111.9328</v>
      </c>
      <c r="I968" s="14">
        <f>CHOOSE(CONTROL!$C$42, 112.0164, 112.0164)* CHOOSE(CONTROL!$C$21, $C$9, 100%, $E$9)</f>
        <v>112.0164</v>
      </c>
      <c r="J968" s="14">
        <f>CHOOSE(CONTROL!$C$42, 111.661, 111.661)* CHOOSE(CONTROL!$C$21, $C$9, 100%, $E$9)</f>
        <v>111.661</v>
      </c>
      <c r="K968" s="52">
        <f>CHOOSE(CONTROL!$C$42, 112.0125, 112.0125) * CHOOSE(CONTROL!$C$21, $C$9, 100%, $E$9)</f>
        <v>112.0125</v>
      </c>
      <c r="L968" s="14">
        <f>CHOOSE(CONTROL!$C$42, 112.5198, 112.5198) * CHOOSE(CONTROL!$C$21, $C$9, 100%, $E$9)</f>
        <v>112.5198</v>
      </c>
      <c r="M968" s="14">
        <f>CHOOSE(CONTROL!$C$42, 109.6603, 109.6603) * CHOOSE(CONTROL!$C$21, $C$9, 100%, $E$9)</f>
        <v>109.66030000000001</v>
      </c>
      <c r="N968" s="14">
        <f>CHOOSE(CONTROL!$C$42, 109.6772, 109.6772) * CHOOSE(CONTROL!$C$21, $C$9, 100%, $E$9)</f>
        <v>109.6772</v>
      </c>
      <c r="O968" s="14">
        <f>CHOOSE(CONTROL!$C$42, 109.9272, 109.9272) * CHOOSE(CONTROL!$C$21, $C$9, 100%, $E$9)</f>
        <v>109.9272</v>
      </c>
      <c r="P968" s="14">
        <f>CHOOSE(CONTROL!$C$42, 110.0031, 110.0031) * CHOOSE(CONTROL!$C$21, $C$9, 100%, $E$9)</f>
        <v>110.0031</v>
      </c>
      <c r="Q968" s="14">
        <f>CHOOSE(CONTROL!$C$42, 110.5219, 110.5219) * CHOOSE(CONTROL!$C$21, $C$9, 100%, $E$9)</f>
        <v>110.5219</v>
      </c>
      <c r="R968" s="14">
        <f>CHOOSE(CONTROL!$C$42, 111.3852, 111.3852) * CHOOSE(CONTROL!$C$21, $C$9, 100%, $E$9)</f>
        <v>111.3852</v>
      </c>
      <c r="S968" s="14">
        <f>CHOOSE(CONTROL!$C$42, 107.2696, 107.2696) * CHOOSE(CONTROL!$C$21, $C$9, 100%, $E$9)</f>
        <v>107.2696</v>
      </c>
      <c r="T9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68" s="56">
        <f>(1000*CHOOSE(CONTROL!$C$42, 695, 695)*CHOOSE(CONTROL!$C$42, 0.5599, 0.5599)*CHOOSE(CONTROL!$C$42, 31, 31))/1000000</f>
        <v>12.063045499999998</v>
      </c>
      <c r="V968" s="56">
        <f>(1000*CHOOSE(CONTROL!$C$42, 500, 500)*CHOOSE(CONTROL!$C$42, 0.275, 0.275)*CHOOSE(CONTROL!$C$42, 31, 31))/1000000</f>
        <v>4.2625000000000002</v>
      </c>
      <c r="W968" s="56">
        <f>(1000*CHOOSE(CONTROL!$C$42, 0.1146, 0.1146)*CHOOSE(CONTROL!$C$42, 121.5, 121.5)*CHOOSE(CONTROL!$C$42, 31, 31))/1000000</f>
        <v>0.43164089999999994</v>
      </c>
      <c r="X968" s="56">
        <f>(31*0.1790888*245000/1000000)+(31*0.2374*100000/1000000)</f>
        <v>2.0961194359999999</v>
      </c>
      <c r="Y968" s="56"/>
      <c r="Z968" s="14"/>
      <c r="AA968" s="55"/>
      <c r="AB968" s="49">
        <f>(B968*194.205+C968*267.466+D968*133.845+E968*53.484+F968*40+G968*185+H968*0+I968*100+J968*300)/(194.205+267.466+133.845+53.484+0+40+185+100+300)</f>
        <v>111.72706157762951</v>
      </c>
      <c r="AC968" s="45">
        <f>(M968*'RAP TEMPLATE-GAS AVAILABILITY'!O967+N968*'RAP TEMPLATE-GAS AVAILABILITY'!P967+O968*'RAP TEMPLATE-GAS AVAILABILITY'!Q967+P968*'RAP TEMPLATE-GAS AVAILABILITY'!R967)/('RAP TEMPLATE-GAS AVAILABILITY'!O967+'RAP TEMPLATE-GAS AVAILABILITY'!P967+'RAP TEMPLATE-GAS AVAILABILITY'!Q967+'RAP TEMPLATE-GAS AVAILABILITY'!R967)</f>
        <v>109.83156546762589</v>
      </c>
    </row>
    <row r="969" spans="1:29" ht="15.75" x14ac:dyDescent="0.25">
      <c r="A969" s="32">
        <v>70402</v>
      </c>
      <c r="B969" s="14">
        <f>CHOOSE(CONTROL!$C$42, 104.558, 104.558) * CHOOSE(CONTROL!$C$21, $C$9, 100%, $E$9)</f>
        <v>104.55800000000001</v>
      </c>
      <c r="C969" s="14">
        <f>CHOOSE(CONTROL!$C$42, 104.566, 104.566) * CHOOSE(CONTROL!$C$21, $C$9, 100%, $E$9)</f>
        <v>104.566</v>
      </c>
      <c r="D969" s="14">
        <f>CHOOSE(CONTROL!$C$42, 104.8251, 104.8251) * CHOOSE(CONTROL!$C$21, $C$9, 100%, $E$9)</f>
        <v>104.82510000000001</v>
      </c>
      <c r="E969" s="14">
        <f>CHOOSE(CONTROL!$C$42, 104.8566, 104.8566) * CHOOSE(CONTROL!$C$21, $C$9, 100%, $E$9)</f>
        <v>104.8566</v>
      </c>
      <c r="F969" s="14">
        <f>CHOOSE(CONTROL!$C$42, 104.5805, 104.5805)*CHOOSE(CONTROL!$C$21, $C$9, 100%, $E$9)</f>
        <v>104.5805</v>
      </c>
      <c r="G969" s="14">
        <f>CHOOSE(CONTROL!$C$42, 104.5977, 104.5977)*CHOOSE(CONTROL!$C$21, $C$9, 100%, $E$9)</f>
        <v>104.5977</v>
      </c>
      <c r="H969" s="14">
        <f>CHOOSE(CONTROL!$C$42, 104.8452, 104.8452) * CHOOSE(CONTROL!$C$21, $C$9, 100%, $E$9)</f>
        <v>104.84520000000001</v>
      </c>
      <c r="I969" s="14">
        <f>CHOOSE(CONTROL!$C$42, 104.9066, 104.9066)* CHOOSE(CONTROL!$C$21, $C$9, 100%, $E$9)</f>
        <v>104.9066</v>
      </c>
      <c r="J969" s="14">
        <f>CHOOSE(CONTROL!$C$42, 104.5735, 104.5735)* CHOOSE(CONTROL!$C$21, $C$9, 100%, $E$9)</f>
        <v>104.5735</v>
      </c>
      <c r="K969" s="52">
        <f>CHOOSE(CONTROL!$C$42, 104.9027, 104.9027) * CHOOSE(CONTROL!$C$21, $C$9, 100%, $E$9)</f>
        <v>104.9027</v>
      </c>
      <c r="L969" s="14">
        <f>CHOOSE(CONTROL!$C$42, 105.4322, 105.4322) * CHOOSE(CONTROL!$C$21, $C$9, 100%, $E$9)</f>
        <v>105.43219999999999</v>
      </c>
      <c r="M969" s="14">
        <f>CHOOSE(CONTROL!$C$42, 102.7002, 102.7002) * CHOOSE(CONTROL!$C$21, $C$9, 100%, $E$9)</f>
        <v>102.7002</v>
      </c>
      <c r="N969" s="14">
        <f>CHOOSE(CONTROL!$C$42, 102.7171, 102.7171) * CHOOSE(CONTROL!$C$21, $C$9, 100%, $E$9)</f>
        <v>102.7171</v>
      </c>
      <c r="O969" s="14">
        <f>CHOOSE(CONTROL!$C$42, 102.9671, 102.9671) * CHOOSE(CONTROL!$C$21, $C$9, 100%, $E$9)</f>
        <v>102.9671</v>
      </c>
      <c r="P969" s="14">
        <f>CHOOSE(CONTROL!$C$42, 103.0216, 103.0216) * CHOOSE(CONTROL!$C$21, $C$9, 100%, $E$9)</f>
        <v>103.02160000000001</v>
      </c>
      <c r="Q969" s="14">
        <f>CHOOSE(CONTROL!$C$42, 103.5618, 103.5618) * CHOOSE(CONTROL!$C$21, $C$9, 100%, $E$9)</f>
        <v>103.56180000000001</v>
      </c>
      <c r="R969" s="14">
        <f>CHOOSE(CONTROL!$C$42, 104.4077, 104.4077) * CHOOSE(CONTROL!$C$21, $C$9, 100%, $E$9)</f>
        <v>104.40770000000001</v>
      </c>
      <c r="S969" s="14">
        <f>CHOOSE(CONTROL!$C$42, 100.4592, 100.4592) * CHOOSE(CONTROL!$C$21, $C$9, 100%, $E$9)</f>
        <v>100.4592</v>
      </c>
      <c r="T9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69" s="56">
        <f>(1000*CHOOSE(CONTROL!$C$42, 695, 695)*CHOOSE(CONTROL!$C$42, 0.5599, 0.5599)*CHOOSE(CONTROL!$C$42, 30, 30))/1000000</f>
        <v>11.673914999999997</v>
      </c>
      <c r="V969" s="56">
        <f>(1000*CHOOSE(CONTROL!$C$42, 500, 500)*CHOOSE(CONTROL!$C$42, 0.275, 0.275)*CHOOSE(CONTROL!$C$42, 30, 30))/1000000</f>
        <v>4.125</v>
      </c>
      <c r="W969" s="56">
        <f>(1000*CHOOSE(CONTROL!$C$42, 0.1146, 0.1146)*CHOOSE(CONTROL!$C$42, 121.5, 121.5)*CHOOSE(CONTROL!$C$42, 30, 30))/1000000</f>
        <v>0.417717</v>
      </c>
      <c r="X969" s="56">
        <f>(30*0.1790888*245000/1000000)+(30*0.2374*100000/1000000)</f>
        <v>2.0285026799999999</v>
      </c>
      <c r="Y969" s="56"/>
      <c r="Z969" s="14"/>
      <c r="AA969" s="55"/>
      <c r="AB969" s="49">
        <f>(B969*194.205+C969*267.466+D969*133.845+E969*53.484+F969*40+G969*185+H969*0+I969*100+J969*300)/(194.205+267.466+133.845+53.484+0+40+185+100+300)</f>
        <v>104.63776024324962</v>
      </c>
      <c r="AC969" s="45">
        <f>(M969*'RAP TEMPLATE-GAS AVAILABILITY'!O968+N969*'RAP TEMPLATE-GAS AVAILABILITY'!P968+O969*'RAP TEMPLATE-GAS AVAILABILITY'!Q968+P969*'RAP TEMPLATE-GAS AVAILABILITY'!R968)/('RAP TEMPLATE-GAS AVAILABILITY'!O968+'RAP TEMPLATE-GAS AVAILABILITY'!P968+'RAP TEMPLATE-GAS AVAILABILITY'!Q968+'RAP TEMPLATE-GAS AVAILABILITY'!R968)</f>
        <v>102.86838633093525</v>
      </c>
    </row>
    <row r="970" spans="1:29" ht="15.75" x14ac:dyDescent="0.25">
      <c r="A970" s="32">
        <v>70433</v>
      </c>
      <c r="B970" s="14">
        <f>CHOOSE(CONTROL!$C$42, 102.4335, 102.4335) * CHOOSE(CONTROL!$C$21, $C$9, 100%, $E$9)</f>
        <v>102.4335</v>
      </c>
      <c r="C970" s="14">
        <f>CHOOSE(CONTROL!$C$42, 102.4389, 102.4389) * CHOOSE(CONTROL!$C$21, $C$9, 100%, $E$9)</f>
        <v>102.4389</v>
      </c>
      <c r="D970" s="14">
        <f>CHOOSE(CONTROL!$C$42, 102.7029, 102.7029) * CHOOSE(CONTROL!$C$21, $C$9, 100%, $E$9)</f>
        <v>102.7029</v>
      </c>
      <c r="E970" s="14">
        <f>CHOOSE(CONTROL!$C$42, 102.732, 102.732) * CHOOSE(CONTROL!$C$21, $C$9, 100%, $E$9)</f>
        <v>102.732</v>
      </c>
      <c r="F970" s="14">
        <f>CHOOSE(CONTROL!$C$42, 102.4582, 102.4582)*CHOOSE(CONTROL!$C$21, $C$9, 100%, $E$9)</f>
        <v>102.45820000000001</v>
      </c>
      <c r="G970" s="14">
        <f>CHOOSE(CONTROL!$C$42, 102.4753, 102.4753)*CHOOSE(CONTROL!$C$21, $C$9, 100%, $E$9)</f>
        <v>102.4753</v>
      </c>
      <c r="H970" s="14">
        <f>CHOOSE(CONTROL!$C$42, 102.7225, 102.7225) * CHOOSE(CONTROL!$C$21, $C$9, 100%, $E$9)</f>
        <v>102.7225</v>
      </c>
      <c r="I970" s="14">
        <f>CHOOSE(CONTROL!$C$42, 102.7772, 102.7772)* CHOOSE(CONTROL!$C$21, $C$9, 100%, $E$9)</f>
        <v>102.77719999999999</v>
      </c>
      <c r="J970" s="14">
        <f>CHOOSE(CONTROL!$C$42, 102.4512, 102.4512)* CHOOSE(CONTROL!$C$21, $C$9, 100%, $E$9)</f>
        <v>102.4512</v>
      </c>
      <c r="K970" s="52">
        <f>CHOOSE(CONTROL!$C$42, 102.7733, 102.7733) * CHOOSE(CONTROL!$C$21, $C$9, 100%, $E$9)</f>
        <v>102.77330000000001</v>
      </c>
      <c r="L970" s="14">
        <f>CHOOSE(CONTROL!$C$42, 103.3095, 103.3095) * CHOOSE(CONTROL!$C$21, $C$9, 100%, $E$9)</f>
        <v>103.3095</v>
      </c>
      <c r="M970" s="14">
        <f>CHOOSE(CONTROL!$C$42, 100.6161, 100.6161) * CHOOSE(CONTROL!$C$21, $C$9, 100%, $E$9)</f>
        <v>100.6161</v>
      </c>
      <c r="N970" s="14">
        <f>CHOOSE(CONTROL!$C$42, 100.6329, 100.6329) * CHOOSE(CONTROL!$C$21, $C$9, 100%, $E$9)</f>
        <v>100.63290000000001</v>
      </c>
      <c r="O970" s="14">
        <f>CHOOSE(CONTROL!$C$42, 100.8826, 100.8826) * CHOOSE(CONTROL!$C$21, $C$9, 100%, $E$9)</f>
        <v>100.8826</v>
      </c>
      <c r="P970" s="14">
        <f>CHOOSE(CONTROL!$C$42, 100.9307, 100.9307) * CHOOSE(CONTROL!$C$21, $C$9, 100%, $E$9)</f>
        <v>100.9307</v>
      </c>
      <c r="Q970" s="14">
        <f>CHOOSE(CONTROL!$C$42, 101.4773, 101.4773) * CHOOSE(CONTROL!$C$21, $C$9, 100%, $E$9)</f>
        <v>101.4773</v>
      </c>
      <c r="R970" s="14">
        <f>CHOOSE(CONTROL!$C$42, 102.3179, 102.3179) * CHOOSE(CONTROL!$C$21, $C$9, 100%, $E$9)</f>
        <v>102.31789999999999</v>
      </c>
      <c r="S970" s="14">
        <f>CHOOSE(CONTROL!$C$42, 98.4194, 98.4194) * CHOOSE(CONTROL!$C$21, $C$9, 100%, $E$9)</f>
        <v>98.419399999999996</v>
      </c>
      <c r="T9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70" s="56">
        <f>(1000*CHOOSE(CONTROL!$C$42, 695, 695)*CHOOSE(CONTROL!$C$42, 0.5599, 0.5599)*CHOOSE(CONTROL!$C$42, 31, 31))/1000000</f>
        <v>12.063045499999998</v>
      </c>
      <c r="V970" s="56">
        <f>(1000*CHOOSE(CONTROL!$C$42, 500, 500)*CHOOSE(CONTROL!$C$42, 0.275, 0.275)*CHOOSE(CONTROL!$C$42, 31, 31))/1000000</f>
        <v>4.2625000000000002</v>
      </c>
      <c r="W970" s="56">
        <f>(1000*CHOOSE(CONTROL!$C$42, 0.1146, 0.1146)*CHOOSE(CONTROL!$C$42, 121.5, 121.5)*CHOOSE(CONTROL!$C$42, 31, 31))/1000000</f>
        <v>0.43164089999999994</v>
      </c>
      <c r="X970" s="56">
        <f>(31*0.1790888*245000/1000000)+(31*0.2374*100000/1000000)</f>
        <v>2.0961194359999999</v>
      </c>
      <c r="Y970" s="56"/>
      <c r="Z970" s="14"/>
      <c r="AA970" s="55"/>
      <c r="AB970" s="49">
        <f>(B970*131.881+C970*277.167+D970*79.08+E970*125.872+F970*40+G970*185+H970*0+I970*100+J970*300)/(131.881+277.167+79.08+125.872+0+40+185+100+300)</f>
        <v>102.52129228878127</v>
      </c>
      <c r="AC970" s="45">
        <f>(M970*'RAP TEMPLATE-GAS AVAILABILITY'!O969+N970*'RAP TEMPLATE-GAS AVAILABILITY'!P969+O970*'RAP TEMPLATE-GAS AVAILABILITY'!Q969+P970*'RAP TEMPLATE-GAS AVAILABILITY'!R969)/('RAP TEMPLATE-GAS AVAILABILITY'!O969+'RAP TEMPLATE-GAS AVAILABILITY'!P969+'RAP TEMPLATE-GAS AVAILABILITY'!Q969+'RAP TEMPLATE-GAS AVAILABILITY'!R969)</f>
        <v>100.78312086330935</v>
      </c>
    </row>
    <row r="971" spans="1:29" ht="15.75" x14ac:dyDescent="0.25">
      <c r="A971" s="32">
        <v>70463</v>
      </c>
      <c r="B971" s="14">
        <f>CHOOSE(CONTROL!$C$42, 105.1314, 105.1314) * CHOOSE(CONTROL!$C$21, $C$9, 100%, $E$9)</f>
        <v>105.1314</v>
      </c>
      <c r="C971" s="14">
        <f>CHOOSE(CONTROL!$C$42, 105.1365, 105.1365) * CHOOSE(CONTROL!$C$21, $C$9, 100%, $E$9)</f>
        <v>105.1365</v>
      </c>
      <c r="D971" s="14">
        <f>CHOOSE(CONTROL!$C$42, 105.2196, 105.2196) * CHOOSE(CONTROL!$C$21, $C$9, 100%, $E$9)</f>
        <v>105.2196</v>
      </c>
      <c r="E971" s="14">
        <f>CHOOSE(CONTROL!$C$42, 105.2537, 105.2537) * CHOOSE(CONTROL!$C$21, $C$9, 100%, $E$9)</f>
        <v>105.25369999999999</v>
      </c>
      <c r="F971" s="14">
        <f>CHOOSE(CONTROL!$C$42, 105.1591, 105.1591)*CHOOSE(CONTROL!$C$21, $C$9, 100%, $E$9)</f>
        <v>105.1591</v>
      </c>
      <c r="G971" s="14">
        <f>CHOOSE(CONTROL!$C$42, 105.1764, 105.1764)*CHOOSE(CONTROL!$C$21, $C$9, 100%, $E$9)</f>
        <v>105.1764</v>
      </c>
      <c r="H971" s="14">
        <f>CHOOSE(CONTROL!$C$42, 105.2429, 105.2429) * CHOOSE(CONTROL!$C$21, $C$9, 100%, $E$9)</f>
        <v>105.24290000000001</v>
      </c>
      <c r="I971" s="14">
        <f>CHOOSE(CONTROL!$C$42, 105.4803, 105.4803)* CHOOSE(CONTROL!$C$21, $C$9, 100%, $E$9)</f>
        <v>105.4803</v>
      </c>
      <c r="J971" s="14">
        <f>CHOOSE(CONTROL!$C$42, 105.1521, 105.1521)* CHOOSE(CONTROL!$C$21, $C$9, 100%, $E$9)</f>
        <v>105.1521</v>
      </c>
      <c r="K971" s="52">
        <f>CHOOSE(CONTROL!$C$42, 105.4764, 105.4764) * CHOOSE(CONTROL!$C$21, $C$9, 100%, $E$9)</f>
        <v>105.4764</v>
      </c>
      <c r="L971" s="14">
        <f>CHOOSE(CONTROL!$C$42, 105.8299, 105.8299) * CHOOSE(CONTROL!$C$21, $C$9, 100%, $E$9)</f>
        <v>105.82989999999999</v>
      </c>
      <c r="M971" s="14">
        <f>CHOOSE(CONTROL!$C$42, 103.2684, 103.2684) * CHOOSE(CONTROL!$C$21, $C$9, 100%, $E$9)</f>
        <v>103.2684</v>
      </c>
      <c r="N971" s="14">
        <f>CHOOSE(CONTROL!$C$42, 103.2855, 103.2855) * CHOOSE(CONTROL!$C$21, $C$9, 100%, $E$9)</f>
        <v>103.2855</v>
      </c>
      <c r="O971" s="14">
        <f>CHOOSE(CONTROL!$C$42, 103.3576, 103.3576) * CHOOSE(CONTROL!$C$21, $C$9, 100%, $E$9)</f>
        <v>103.35760000000001</v>
      </c>
      <c r="P971" s="14">
        <f>CHOOSE(CONTROL!$C$42, 103.585, 103.585) * CHOOSE(CONTROL!$C$21, $C$9, 100%, $E$9)</f>
        <v>103.58499999999999</v>
      </c>
      <c r="Q971" s="14">
        <f>CHOOSE(CONTROL!$C$42, 103.9523, 103.9523) * CHOOSE(CONTROL!$C$21, $C$9, 100%, $E$9)</f>
        <v>103.95229999999999</v>
      </c>
      <c r="R971" s="14">
        <f>CHOOSE(CONTROL!$C$42, 104.7992, 104.7992) * CHOOSE(CONTROL!$C$21, $C$9, 100%, $E$9)</f>
        <v>104.7992</v>
      </c>
      <c r="S971" s="14">
        <f>CHOOSE(CONTROL!$C$42, 101.0123, 101.0123) * CHOOSE(CONTROL!$C$21, $C$9, 100%, $E$9)</f>
        <v>101.0123</v>
      </c>
      <c r="T9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71" s="56">
        <f>(1000*CHOOSE(CONTROL!$C$42, 695, 695)*CHOOSE(CONTROL!$C$42, 0.5599, 0.5599)*CHOOSE(CONTROL!$C$42, 30, 30))/1000000</f>
        <v>11.673914999999997</v>
      </c>
      <c r="V971" s="56">
        <f>(1000*CHOOSE(CONTROL!$C$42, 500, 500)*CHOOSE(CONTROL!$C$42, 0.275, 0.275)*CHOOSE(CONTROL!$C$42, 30, 30))/1000000</f>
        <v>4.125</v>
      </c>
      <c r="W971" s="56">
        <f>(1000*CHOOSE(CONTROL!$C$42, 0.1146, 0.1146)*CHOOSE(CONTROL!$C$42, 121.5, 121.5)*CHOOSE(CONTROL!$C$42, 30, 30))/1000000</f>
        <v>0.417717</v>
      </c>
      <c r="X971" s="56">
        <f>(30*0.1790888*100000/1000000)+(30*0.2374*100000/1000000)</f>
        <v>1.2494664</v>
      </c>
      <c r="Y971" s="56"/>
      <c r="Z971" s="14"/>
      <c r="AA971" s="55"/>
      <c r="AB971" s="49">
        <f>(B971*122.58+C971*297.941+D971*89.177+E971*40.302+F971*40+G971*160+H971*0+I971*100+J971*300)/(122.58+297.941+89.177+40.302+0+40+160+100+300)</f>
        <v>105.18681030008696</v>
      </c>
      <c r="AC971" s="45">
        <f>(M971*'RAP TEMPLATE-GAS AVAILABILITY'!O970+N971*'RAP TEMPLATE-GAS AVAILABILITY'!P970+O971*'RAP TEMPLATE-GAS AVAILABILITY'!Q970+P971*'RAP TEMPLATE-GAS AVAILABILITY'!R970)/('RAP TEMPLATE-GAS AVAILABILITY'!O970+'RAP TEMPLATE-GAS AVAILABILITY'!P970+'RAP TEMPLATE-GAS AVAILABILITY'!Q970+'RAP TEMPLATE-GAS AVAILABILITY'!R970)</f>
        <v>103.35536690647484</v>
      </c>
    </row>
    <row r="972" spans="1:29" ht="15.75" x14ac:dyDescent="0.25">
      <c r="A972" s="32">
        <v>70494</v>
      </c>
      <c r="B972" s="14">
        <f>CHOOSE(CONTROL!$C$42, 112.2986, 112.2986) * CHOOSE(CONTROL!$C$21, $C$9, 100%, $E$9)</f>
        <v>112.29859999999999</v>
      </c>
      <c r="C972" s="14">
        <f>CHOOSE(CONTROL!$C$42, 112.3037, 112.3037) * CHOOSE(CONTROL!$C$21, $C$9, 100%, $E$9)</f>
        <v>112.30370000000001</v>
      </c>
      <c r="D972" s="14">
        <f>CHOOSE(CONTROL!$C$42, 112.3867, 112.3867) * CHOOSE(CONTROL!$C$21, $C$9, 100%, $E$9)</f>
        <v>112.3867</v>
      </c>
      <c r="E972" s="14">
        <f>CHOOSE(CONTROL!$C$42, 112.4208, 112.4208) * CHOOSE(CONTROL!$C$21, $C$9, 100%, $E$9)</f>
        <v>112.4208</v>
      </c>
      <c r="F972" s="14">
        <f>CHOOSE(CONTROL!$C$42, 112.3287, 112.3287)*CHOOSE(CONTROL!$C$21, $C$9, 100%, $E$9)</f>
        <v>112.3287</v>
      </c>
      <c r="G972" s="14">
        <f>CHOOSE(CONTROL!$C$42, 112.3467, 112.3467)*CHOOSE(CONTROL!$C$21, $C$9, 100%, $E$9)</f>
        <v>112.3467</v>
      </c>
      <c r="H972" s="14">
        <f>CHOOSE(CONTROL!$C$42, 112.41, 112.41) * CHOOSE(CONTROL!$C$21, $C$9, 100%, $E$9)</f>
        <v>112.41</v>
      </c>
      <c r="I972" s="14">
        <f>CHOOSE(CONTROL!$C$42, 112.6699, 112.6699)* CHOOSE(CONTROL!$C$21, $C$9, 100%, $E$9)</f>
        <v>112.6699</v>
      </c>
      <c r="J972" s="14">
        <f>CHOOSE(CONTROL!$C$42, 112.3217, 112.3217)* CHOOSE(CONTROL!$C$21, $C$9, 100%, $E$9)</f>
        <v>112.32170000000001</v>
      </c>
      <c r="K972" s="52">
        <f>CHOOSE(CONTROL!$C$42, 112.666, 112.666) * CHOOSE(CONTROL!$C$21, $C$9, 100%, $E$9)</f>
        <v>112.666</v>
      </c>
      <c r="L972" s="14">
        <f>CHOOSE(CONTROL!$C$42, 112.997, 112.997) * CHOOSE(CONTROL!$C$21, $C$9, 100%, $E$9)</f>
        <v>112.997</v>
      </c>
      <c r="M972" s="14">
        <f>CHOOSE(CONTROL!$C$42, 110.3091, 110.3091) * CHOOSE(CONTROL!$C$21, $C$9, 100%, $E$9)</f>
        <v>110.3091</v>
      </c>
      <c r="N972" s="14">
        <f>CHOOSE(CONTROL!$C$42, 110.3267, 110.3267) * CHOOSE(CONTROL!$C$21, $C$9, 100%, $E$9)</f>
        <v>110.3267</v>
      </c>
      <c r="O972" s="14">
        <f>CHOOSE(CONTROL!$C$42, 110.3958, 110.3958) * CHOOSE(CONTROL!$C$21, $C$9, 100%, $E$9)</f>
        <v>110.39579999999999</v>
      </c>
      <c r="P972" s="14">
        <f>CHOOSE(CONTROL!$C$42, 110.6449, 110.6449) * CHOOSE(CONTROL!$C$21, $C$9, 100%, $E$9)</f>
        <v>110.64490000000001</v>
      </c>
      <c r="Q972" s="14">
        <f>CHOOSE(CONTROL!$C$42, 110.9905, 110.9905) * CHOOSE(CONTROL!$C$21, $C$9, 100%, $E$9)</f>
        <v>110.9905</v>
      </c>
      <c r="R972" s="14">
        <f>CHOOSE(CONTROL!$C$42, 111.855, 111.855) * CHOOSE(CONTROL!$C$21, $C$9, 100%, $E$9)</f>
        <v>111.855</v>
      </c>
      <c r="S972" s="14">
        <f>CHOOSE(CONTROL!$C$42, 107.8992, 107.8992) * CHOOSE(CONTROL!$C$21, $C$9, 100%, $E$9)</f>
        <v>107.89919999999999</v>
      </c>
      <c r="T9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72" s="56">
        <f>(1000*CHOOSE(CONTROL!$C$42, 695, 695)*CHOOSE(CONTROL!$C$42, 0.5599, 0.5599)*CHOOSE(CONTROL!$C$42, 31, 31))/1000000</f>
        <v>12.063045499999998</v>
      </c>
      <c r="V972" s="56">
        <f>(1000*CHOOSE(CONTROL!$C$42, 500, 500)*CHOOSE(CONTROL!$C$42, 0.275, 0.275)*CHOOSE(CONTROL!$C$42, 31, 31))/1000000</f>
        <v>4.2625000000000002</v>
      </c>
      <c r="W972" s="56">
        <f>(1000*CHOOSE(CONTROL!$C$42, 0.1146, 0.1146)*CHOOSE(CONTROL!$C$42, 121.5, 121.5)*CHOOSE(CONTROL!$C$42, 31, 31))/1000000</f>
        <v>0.43164089999999994</v>
      </c>
      <c r="X972" s="56">
        <f>(31*0.1790888*100000/1000000)+(31*0.2374*100000/1000000)</f>
        <v>1.2911152800000001</v>
      </c>
      <c r="Y972" s="56"/>
      <c r="Z972" s="14"/>
      <c r="AA972" s="55"/>
      <c r="AB972" s="49">
        <f>(B972*122.58+C972*297.941+D972*89.177+E972*40.302+F972*40+G972*160+H972*0+I972*100+J972*300)/(122.58+297.941+89.177+40.302+0+40+160+100+300)</f>
        <v>112.35708773669565</v>
      </c>
      <c r="AC972" s="45">
        <f>(M972*'RAP TEMPLATE-GAS AVAILABILITY'!O971+N972*'RAP TEMPLATE-GAS AVAILABILITY'!P971+O972*'RAP TEMPLATE-GAS AVAILABILITY'!Q971+P972*'RAP TEMPLATE-GAS AVAILABILITY'!R971)/('RAP TEMPLATE-GAS AVAILABILITY'!O971+'RAP TEMPLATE-GAS AVAILABILITY'!P971+'RAP TEMPLATE-GAS AVAILABILITY'!Q971+'RAP TEMPLATE-GAS AVAILABILITY'!R971)</f>
        <v>110.39772517985612</v>
      </c>
    </row>
    <row r="973" spans="1:29" ht="15.75" x14ac:dyDescent="0.25">
      <c r="A973" s="32">
        <v>70525</v>
      </c>
      <c r="B973" s="14">
        <f>CHOOSE(CONTROL!$C$42, 121.6075, 121.6075) * CHOOSE(CONTROL!$C$21, $C$9, 100%, $E$9)</f>
        <v>121.6075</v>
      </c>
      <c r="C973" s="14">
        <f>CHOOSE(CONTROL!$C$42, 121.6125, 121.6125) * CHOOSE(CONTROL!$C$21, $C$9, 100%, $E$9)</f>
        <v>121.6125</v>
      </c>
      <c r="D973" s="14">
        <f>CHOOSE(CONTROL!$C$42, 121.706, 121.706) * CHOOSE(CONTROL!$C$21, $C$9, 100%, $E$9)</f>
        <v>121.706</v>
      </c>
      <c r="E973" s="14">
        <f>CHOOSE(CONTROL!$C$42, 121.7401, 121.7401) * CHOOSE(CONTROL!$C$21, $C$9, 100%, $E$9)</f>
        <v>121.7401</v>
      </c>
      <c r="F973" s="14">
        <f>CHOOSE(CONTROL!$C$42, 121.6348, 121.6348)*CHOOSE(CONTROL!$C$21, $C$9, 100%, $E$9)</f>
        <v>121.6348</v>
      </c>
      <c r="G973" s="14">
        <f>CHOOSE(CONTROL!$C$42, 121.6527, 121.6527)*CHOOSE(CONTROL!$C$21, $C$9, 100%, $E$9)</f>
        <v>121.6527</v>
      </c>
      <c r="H973" s="14">
        <f>CHOOSE(CONTROL!$C$42, 121.7293, 121.7293) * CHOOSE(CONTROL!$C$21, $C$9, 100%, $E$9)</f>
        <v>121.72929999999999</v>
      </c>
      <c r="I973" s="14">
        <f>CHOOSE(CONTROL!$C$42, 122.0142, 122.0142)* CHOOSE(CONTROL!$C$21, $C$9, 100%, $E$9)</f>
        <v>122.0142</v>
      </c>
      <c r="J973" s="14">
        <f>CHOOSE(CONTROL!$C$42, 121.6278, 121.6278)* CHOOSE(CONTROL!$C$21, $C$9, 100%, $E$9)</f>
        <v>121.62779999999999</v>
      </c>
      <c r="K973" s="52">
        <f>CHOOSE(CONTROL!$C$42, 122.0103, 122.0103) * CHOOSE(CONTROL!$C$21, $C$9, 100%, $E$9)</f>
        <v>122.0103</v>
      </c>
      <c r="L973" s="14">
        <f>CHOOSE(CONTROL!$C$42, 122.3163, 122.3163) * CHOOSE(CONTROL!$C$21, $C$9, 100%, $E$9)</f>
        <v>122.3163</v>
      </c>
      <c r="M973" s="14">
        <f>CHOOSE(CONTROL!$C$42, 119.4478, 119.4478) * CHOOSE(CONTROL!$C$21, $C$9, 100%, $E$9)</f>
        <v>119.4478</v>
      </c>
      <c r="N973" s="14">
        <f>CHOOSE(CONTROL!$C$42, 119.4654, 119.4654) * CHOOSE(CONTROL!$C$21, $C$9, 100%, $E$9)</f>
        <v>119.4654</v>
      </c>
      <c r="O973" s="14">
        <f>CHOOSE(CONTROL!$C$42, 119.5475, 119.5475) * CHOOSE(CONTROL!$C$21, $C$9, 100%, $E$9)</f>
        <v>119.5475</v>
      </c>
      <c r="P973" s="14">
        <f>CHOOSE(CONTROL!$C$42, 119.8206, 119.8206) * CHOOSE(CONTROL!$C$21, $C$9, 100%, $E$9)</f>
        <v>119.8206</v>
      </c>
      <c r="Q973" s="14">
        <f>CHOOSE(CONTROL!$C$42, 120.1422, 120.1422) * CHOOSE(CONTROL!$C$21, $C$9, 100%, $E$9)</f>
        <v>120.1422</v>
      </c>
      <c r="R973" s="14">
        <f>CHOOSE(CONTROL!$C$42, 121.0295, 121.0295) * CHOOSE(CONTROL!$C$21, $C$9, 100%, $E$9)</f>
        <v>121.0295</v>
      </c>
      <c r="S973" s="14">
        <f>CHOOSE(CONTROL!$C$42, 116.8441, 116.8441) * CHOOSE(CONTROL!$C$21, $C$9, 100%, $E$9)</f>
        <v>116.8441</v>
      </c>
      <c r="T9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73" s="56">
        <f>(1000*CHOOSE(CONTROL!$C$42, 695, 695)*CHOOSE(CONTROL!$C$42, 0.5599, 0.5599)*CHOOSE(CONTROL!$C$42, 31, 31))/1000000</f>
        <v>12.063045499999998</v>
      </c>
      <c r="V973" s="56">
        <f>(1000*CHOOSE(CONTROL!$C$42, 500, 500)*CHOOSE(CONTROL!$C$42, 0.275, 0.275)*CHOOSE(CONTROL!$C$42, 31, 31))/1000000</f>
        <v>4.2625000000000002</v>
      </c>
      <c r="W973" s="56">
        <f>(1000*CHOOSE(CONTROL!$C$42, 0.1146, 0.1146)*CHOOSE(CONTROL!$C$42, 121.5, 121.5)*CHOOSE(CONTROL!$C$42, 31, 31))/1000000</f>
        <v>0.43164089999999994</v>
      </c>
      <c r="X973" s="56">
        <f>(31*0.1790888*100000/1000000)+(31*0.2374*100000/1000000)</f>
        <v>1.2911152800000001</v>
      </c>
      <c r="Y973" s="56"/>
      <c r="Z973" s="14"/>
      <c r="AA973" s="55"/>
      <c r="AB973" s="49">
        <f>(B973*122.58+C973*297.941+D973*89.177+E973*40.302+F973*40+G973*160+H973*0+I973*100+J973*300)/(122.58+297.941+89.177+40.302+0+40+160+100+300)</f>
        <v>121.66897972582606</v>
      </c>
      <c r="AC973" s="45">
        <f>(M973*'RAP TEMPLATE-GAS AVAILABILITY'!O972+N973*'RAP TEMPLATE-GAS AVAILABILITY'!P972+O973*'RAP TEMPLATE-GAS AVAILABILITY'!Q972+P973*'RAP TEMPLATE-GAS AVAILABILITY'!R972)/('RAP TEMPLATE-GAS AVAILABILITY'!O972+'RAP TEMPLATE-GAS AVAILABILITY'!P972+'RAP TEMPLATE-GAS AVAILABILITY'!Q972+'RAP TEMPLATE-GAS AVAILABILITY'!R972)</f>
        <v>119.54764100719426</v>
      </c>
    </row>
    <row r="974" spans="1:29" ht="15.75" x14ac:dyDescent="0.25">
      <c r="A974" s="32">
        <v>70553</v>
      </c>
      <c r="B974" s="14">
        <f>CHOOSE(CONTROL!$C$42, 123.7721, 123.7721) * CHOOSE(CONTROL!$C$21, $C$9, 100%, $E$9)</f>
        <v>123.77209999999999</v>
      </c>
      <c r="C974" s="14">
        <f>CHOOSE(CONTROL!$C$42, 123.7771, 123.7771) * CHOOSE(CONTROL!$C$21, $C$9, 100%, $E$9)</f>
        <v>123.7771</v>
      </c>
      <c r="D974" s="14">
        <f>CHOOSE(CONTROL!$C$42, 123.8706, 123.8706) * CHOOSE(CONTROL!$C$21, $C$9, 100%, $E$9)</f>
        <v>123.8706</v>
      </c>
      <c r="E974" s="14">
        <f>CHOOSE(CONTROL!$C$42, 123.9047, 123.9047) * CHOOSE(CONTROL!$C$21, $C$9, 100%, $E$9)</f>
        <v>123.90470000000001</v>
      </c>
      <c r="F974" s="14">
        <f>CHOOSE(CONTROL!$C$42, 123.799, 123.799)*CHOOSE(CONTROL!$C$21, $C$9, 100%, $E$9)</f>
        <v>123.79900000000001</v>
      </c>
      <c r="G974" s="14">
        <f>CHOOSE(CONTROL!$C$42, 123.8169, 123.8169)*CHOOSE(CONTROL!$C$21, $C$9, 100%, $E$9)</f>
        <v>123.8169</v>
      </c>
      <c r="H974" s="14">
        <f>CHOOSE(CONTROL!$C$42, 123.8939, 123.8939) * CHOOSE(CONTROL!$C$21, $C$9, 100%, $E$9)</f>
        <v>123.8939</v>
      </c>
      <c r="I974" s="14">
        <f>CHOOSE(CONTROL!$C$42, 124.1856, 124.1856)* CHOOSE(CONTROL!$C$21, $C$9, 100%, $E$9)</f>
        <v>124.18559999999999</v>
      </c>
      <c r="J974" s="14">
        <f>CHOOSE(CONTROL!$C$42, 123.792, 123.792)* CHOOSE(CONTROL!$C$21, $C$9, 100%, $E$9)</f>
        <v>123.792</v>
      </c>
      <c r="K974" s="52">
        <f>CHOOSE(CONTROL!$C$42, 124.1817, 124.1817) * CHOOSE(CONTROL!$C$21, $C$9, 100%, $E$9)</f>
        <v>124.18170000000001</v>
      </c>
      <c r="L974" s="14">
        <f>CHOOSE(CONTROL!$C$42, 124.4809, 124.4809) * CHOOSE(CONTROL!$C$21, $C$9, 100%, $E$9)</f>
        <v>124.48090000000001</v>
      </c>
      <c r="M974" s="14">
        <f>CHOOSE(CONTROL!$C$42, 121.5731, 121.5731) * CHOOSE(CONTROL!$C$21, $C$9, 100%, $E$9)</f>
        <v>121.5731</v>
      </c>
      <c r="N974" s="14">
        <f>CHOOSE(CONTROL!$C$42, 121.5907, 121.5907) * CHOOSE(CONTROL!$C$21, $C$9, 100%, $E$9)</f>
        <v>121.5907</v>
      </c>
      <c r="O974" s="14">
        <f>CHOOSE(CONTROL!$C$42, 121.6732, 121.6732) * CHOOSE(CONTROL!$C$21, $C$9, 100%, $E$9)</f>
        <v>121.67319999999999</v>
      </c>
      <c r="P974" s="14">
        <f>CHOOSE(CONTROL!$C$42, 121.9528, 121.9528) * CHOOSE(CONTROL!$C$21, $C$9, 100%, $E$9)</f>
        <v>121.9528</v>
      </c>
      <c r="Q974" s="14">
        <f>CHOOSE(CONTROL!$C$42, 122.2679, 122.2679) * CHOOSE(CONTROL!$C$21, $C$9, 100%, $E$9)</f>
        <v>122.2679</v>
      </c>
      <c r="R974" s="14">
        <f>CHOOSE(CONTROL!$C$42, 123.1605, 123.1605) * CHOOSE(CONTROL!$C$21, $C$9, 100%, $E$9)</f>
        <v>123.1605</v>
      </c>
      <c r="S974" s="14">
        <f>CHOOSE(CONTROL!$C$42, 118.924, 118.924) * CHOOSE(CONTROL!$C$21, $C$9, 100%, $E$9)</f>
        <v>118.92400000000001</v>
      </c>
      <c r="T97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974" s="56">
        <f>(1000*CHOOSE(CONTROL!$C$42, 695, 695)*CHOOSE(CONTROL!$C$42, 0.5599, 0.5599)*CHOOSE(CONTROL!$C$42, 28, 28))/1000000</f>
        <v>10.895653999999999</v>
      </c>
      <c r="V974" s="56">
        <f>(1000*CHOOSE(CONTROL!$C$42, 500, 500)*CHOOSE(CONTROL!$C$42, 0.275, 0.275)*CHOOSE(CONTROL!$C$42, 28, 28))/1000000</f>
        <v>3.85</v>
      </c>
      <c r="W974" s="56">
        <f>(1000*CHOOSE(CONTROL!$C$42, 0.1146, 0.1146)*CHOOSE(CONTROL!$C$42, 121.5, 121.5)*CHOOSE(CONTROL!$C$42, 28, 28))/1000000</f>
        <v>0.38986920000000003</v>
      </c>
      <c r="X974" s="56">
        <f>(28*0.1790888*100000/1000000)+(28*0.2374*100000/1000000)</f>
        <v>1.16616864</v>
      </c>
      <c r="Y974" s="56"/>
      <c r="Z974" s="14"/>
      <c r="AA974" s="55"/>
      <c r="AB974" s="49">
        <f>(B974*122.58+C974*297.941+D974*89.177+E974*40.302+F974*40+G974*160+H974*0+I974*100+J974*300)/(122.58+297.941+89.177+40.302+0+40+160+100+300)</f>
        <v>123.83399711713044</v>
      </c>
      <c r="AC974" s="45">
        <f>(M974*'RAP TEMPLATE-GAS AVAILABILITY'!O973+N974*'RAP TEMPLATE-GAS AVAILABILITY'!P973+O974*'RAP TEMPLATE-GAS AVAILABILITY'!Q973+P974*'RAP TEMPLATE-GAS AVAILABILITY'!R973)/('RAP TEMPLATE-GAS AVAILABILITY'!O973+'RAP TEMPLATE-GAS AVAILABILITY'!P973+'RAP TEMPLATE-GAS AVAILABILITY'!Q973+'RAP TEMPLATE-GAS AVAILABILITY'!R973)</f>
        <v>121.67411510791366</v>
      </c>
    </row>
    <row r="975" spans="1:29" ht="15.75" x14ac:dyDescent="0.25">
      <c r="A975" s="32">
        <v>70584</v>
      </c>
      <c r="B975" s="14">
        <f>CHOOSE(CONTROL!$C$42, 120.2584, 120.2584) * CHOOSE(CONTROL!$C$21, $C$9, 100%, $E$9)</f>
        <v>120.25839999999999</v>
      </c>
      <c r="C975" s="14">
        <f>CHOOSE(CONTROL!$C$42, 120.2634, 120.2634) * CHOOSE(CONTROL!$C$21, $C$9, 100%, $E$9)</f>
        <v>120.2634</v>
      </c>
      <c r="D975" s="14">
        <f>CHOOSE(CONTROL!$C$42, 120.3569, 120.3569) * CHOOSE(CONTROL!$C$21, $C$9, 100%, $E$9)</f>
        <v>120.3569</v>
      </c>
      <c r="E975" s="14">
        <f>CHOOSE(CONTROL!$C$42, 120.391, 120.391) * CHOOSE(CONTROL!$C$21, $C$9, 100%, $E$9)</f>
        <v>120.39100000000001</v>
      </c>
      <c r="F975" s="14">
        <f>CHOOSE(CONTROL!$C$42, 120.2844, 120.2844)*CHOOSE(CONTROL!$C$21, $C$9, 100%, $E$9)</f>
        <v>120.28440000000001</v>
      </c>
      <c r="G975" s="14">
        <f>CHOOSE(CONTROL!$C$42, 120.3021, 120.3021)*CHOOSE(CONTROL!$C$21, $C$9, 100%, $E$9)</f>
        <v>120.3021</v>
      </c>
      <c r="H975" s="14">
        <f>CHOOSE(CONTROL!$C$42, 120.3802, 120.3802) * CHOOSE(CONTROL!$C$21, $C$9, 100%, $E$9)</f>
        <v>120.3802</v>
      </c>
      <c r="I975" s="14">
        <f>CHOOSE(CONTROL!$C$42, 120.6609, 120.6609)* CHOOSE(CONTROL!$C$21, $C$9, 100%, $E$9)</f>
        <v>120.6609</v>
      </c>
      <c r="J975" s="14">
        <f>CHOOSE(CONTROL!$C$42, 120.2774, 120.2774)* CHOOSE(CONTROL!$C$21, $C$9, 100%, $E$9)</f>
        <v>120.2774</v>
      </c>
      <c r="K975" s="52">
        <f>CHOOSE(CONTROL!$C$42, 120.657, 120.657) * CHOOSE(CONTROL!$C$21, $C$9, 100%, $E$9)</f>
        <v>120.657</v>
      </c>
      <c r="L975" s="14">
        <f>CHOOSE(CONTROL!$C$42, 120.9672, 120.9672) * CHOOSE(CONTROL!$C$21, $C$9, 100%, $E$9)</f>
        <v>120.96720000000001</v>
      </c>
      <c r="M975" s="14">
        <f>CHOOSE(CONTROL!$C$42, 118.1217, 118.1217) * CHOOSE(CONTROL!$C$21, $C$9, 100%, $E$9)</f>
        <v>118.1217</v>
      </c>
      <c r="N975" s="14">
        <f>CHOOSE(CONTROL!$C$42, 118.1391, 118.1391) * CHOOSE(CONTROL!$C$21, $C$9, 100%, $E$9)</f>
        <v>118.1391</v>
      </c>
      <c r="O975" s="14">
        <f>CHOOSE(CONTROL!$C$42, 118.2227, 118.2227) * CHOOSE(CONTROL!$C$21, $C$9, 100%, $E$9)</f>
        <v>118.2227</v>
      </c>
      <c r="P975" s="14">
        <f>CHOOSE(CONTROL!$C$42, 118.4917, 118.4917) * CHOOSE(CONTROL!$C$21, $C$9, 100%, $E$9)</f>
        <v>118.49169999999999</v>
      </c>
      <c r="Q975" s="14">
        <f>CHOOSE(CONTROL!$C$42, 118.8174, 118.8174) * CHOOSE(CONTROL!$C$21, $C$9, 100%, $E$9)</f>
        <v>118.81740000000001</v>
      </c>
      <c r="R975" s="14">
        <f>CHOOSE(CONTROL!$C$42, 119.7014, 119.7014) * CHOOSE(CONTROL!$C$21, $C$9, 100%, $E$9)</f>
        <v>119.70140000000001</v>
      </c>
      <c r="S975" s="14">
        <f>CHOOSE(CONTROL!$C$42, 115.5477, 115.5477) * CHOOSE(CONTROL!$C$21, $C$9, 100%, $E$9)</f>
        <v>115.54770000000001</v>
      </c>
      <c r="T9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75" s="56">
        <f>(1000*CHOOSE(CONTROL!$C$42, 695, 695)*CHOOSE(CONTROL!$C$42, 0.5599, 0.5599)*CHOOSE(CONTROL!$C$42, 31, 31))/1000000</f>
        <v>12.063045499999998</v>
      </c>
      <c r="V975" s="56">
        <f>(1000*CHOOSE(CONTROL!$C$42, 500, 500)*CHOOSE(CONTROL!$C$42, 0.275, 0.275)*CHOOSE(CONTROL!$C$42, 31, 31))/1000000</f>
        <v>4.2625000000000002</v>
      </c>
      <c r="W975" s="56">
        <f>(1000*CHOOSE(CONTROL!$C$42, 0.1146, 0.1146)*CHOOSE(CONTROL!$C$42, 121.5, 121.5)*CHOOSE(CONTROL!$C$42, 31, 31))/1000000</f>
        <v>0.43164089999999994</v>
      </c>
      <c r="X975" s="56">
        <f>(31*0.1790888*100000/1000000)+(31*0.2374*100000/1000000)</f>
        <v>1.2911152800000001</v>
      </c>
      <c r="Y975" s="56"/>
      <c r="Z975" s="14"/>
      <c r="AA975" s="55"/>
      <c r="AB975" s="49">
        <f>(B975*122.58+C975*297.941+D975*89.177+E975*40.302+F975*40+G975*160+H975*0+I975*100+J975*300)/(122.58+297.941+89.177+40.302+0+40+160+100+300)</f>
        <v>120.31892146495652</v>
      </c>
      <c r="AC975" s="45">
        <f>(M975*'RAP TEMPLATE-GAS AVAILABILITY'!O974+N975*'RAP TEMPLATE-GAS AVAILABILITY'!P974+O975*'RAP TEMPLATE-GAS AVAILABILITY'!Q974+P975*'RAP TEMPLATE-GAS AVAILABILITY'!R974)/('RAP TEMPLATE-GAS AVAILABILITY'!O974+'RAP TEMPLATE-GAS AVAILABILITY'!P974+'RAP TEMPLATE-GAS AVAILABILITY'!Q974+'RAP TEMPLATE-GAS AVAILABILITY'!R974)</f>
        <v>118.22171582733814</v>
      </c>
    </row>
    <row r="976" spans="1:29" ht="15.75" x14ac:dyDescent="0.25">
      <c r="A976" s="32">
        <v>70614</v>
      </c>
      <c r="B976" s="14">
        <f>CHOOSE(CONTROL!$C$42, 119.8993, 119.8993) * CHOOSE(CONTROL!$C$21, $C$9, 100%, $E$9)</f>
        <v>119.8993</v>
      </c>
      <c r="C976" s="14">
        <f>CHOOSE(CONTROL!$C$42, 119.9038, 119.9038) * CHOOSE(CONTROL!$C$21, $C$9, 100%, $E$9)</f>
        <v>119.9038</v>
      </c>
      <c r="D976" s="14">
        <f>CHOOSE(CONTROL!$C$42, 120.166, 120.166) * CHOOSE(CONTROL!$C$21, $C$9, 100%, $E$9)</f>
        <v>120.166</v>
      </c>
      <c r="E976" s="14">
        <f>CHOOSE(CONTROL!$C$42, 120.1982, 120.1982) * CHOOSE(CONTROL!$C$21, $C$9, 100%, $E$9)</f>
        <v>120.1982</v>
      </c>
      <c r="F976" s="14">
        <f>CHOOSE(CONTROL!$C$42, 119.9222, 119.9222)*CHOOSE(CONTROL!$C$21, $C$9, 100%, $E$9)</f>
        <v>119.9222</v>
      </c>
      <c r="G976" s="14">
        <f>CHOOSE(CONTROL!$C$42, 119.9389, 119.9389)*CHOOSE(CONTROL!$C$21, $C$9, 100%, $E$9)</f>
        <v>119.9389</v>
      </c>
      <c r="H976" s="14">
        <f>CHOOSE(CONTROL!$C$42, 120.1879, 120.1879) * CHOOSE(CONTROL!$C$21, $C$9, 100%, $E$9)</f>
        <v>120.1879</v>
      </c>
      <c r="I976" s="14">
        <f>CHOOSE(CONTROL!$C$42, 120.2973, 120.2973)* CHOOSE(CONTROL!$C$21, $C$9, 100%, $E$9)</f>
        <v>120.29730000000001</v>
      </c>
      <c r="J976" s="14">
        <f>CHOOSE(CONTROL!$C$42, 119.9152, 119.9152)* CHOOSE(CONTROL!$C$21, $C$9, 100%, $E$9)</f>
        <v>119.9152</v>
      </c>
      <c r="K976" s="52">
        <f>CHOOSE(CONTROL!$C$42, 120.2934, 120.2934) * CHOOSE(CONTROL!$C$21, $C$9, 100%, $E$9)</f>
        <v>120.29340000000001</v>
      </c>
      <c r="L976" s="14">
        <f>CHOOSE(CONTROL!$C$42, 120.7749, 120.7749) * CHOOSE(CONTROL!$C$21, $C$9, 100%, $E$9)</f>
        <v>120.7749</v>
      </c>
      <c r="M976" s="14">
        <f>CHOOSE(CONTROL!$C$42, 117.766, 117.766) * CHOOSE(CONTROL!$C$21, $C$9, 100%, $E$9)</f>
        <v>117.76600000000001</v>
      </c>
      <c r="N976" s="14">
        <f>CHOOSE(CONTROL!$C$42, 117.7824, 117.7824) * CHOOSE(CONTROL!$C$21, $C$9, 100%, $E$9)</f>
        <v>117.7824</v>
      </c>
      <c r="O976" s="14">
        <f>CHOOSE(CONTROL!$C$42, 118.0338, 118.0338) * CHOOSE(CONTROL!$C$21, $C$9, 100%, $E$9)</f>
        <v>118.0338</v>
      </c>
      <c r="P976" s="14">
        <f>CHOOSE(CONTROL!$C$42, 118.1347, 118.1347) * CHOOSE(CONTROL!$C$21, $C$9, 100%, $E$9)</f>
        <v>118.1347</v>
      </c>
      <c r="Q976" s="14">
        <f>CHOOSE(CONTROL!$C$42, 118.6285, 118.6285) * CHOOSE(CONTROL!$C$21, $C$9, 100%, $E$9)</f>
        <v>118.6285</v>
      </c>
      <c r="R976" s="14">
        <f>CHOOSE(CONTROL!$C$42, 119.5121, 119.5121) * CHOOSE(CONTROL!$C$21, $C$9, 100%, $E$9)</f>
        <v>119.5121</v>
      </c>
      <c r="S976" s="14">
        <f>CHOOSE(CONTROL!$C$42, 115.202, 115.202) * CHOOSE(CONTROL!$C$21, $C$9, 100%, $E$9)</f>
        <v>115.202</v>
      </c>
      <c r="T9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976" s="56">
        <f>(1000*CHOOSE(CONTROL!$C$42, 695, 695)*CHOOSE(CONTROL!$C$42, 0.5599, 0.5599)*CHOOSE(CONTROL!$C$42, 30, 30))/1000000</f>
        <v>11.673914999999997</v>
      </c>
      <c r="V976" s="56">
        <f>(1000*CHOOSE(CONTROL!$C$42, 500, 500)*CHOOSE(CONTROL!$C$42, 0.275, 0.275)*CHOOSE(CONTROL!$C$42, 30, 30))/1000000</f>
        <v>4.125</v>
      </c>
      <c r="W976" s="56">
        <f>(1000*CHOOSE(CONTROL!$C$42, 0.1146, 0.1146)*CHOOSE(CONTROL!$C$42, 121.5, 121.5)*CHOOSE(CONTROL!$C$42, 30, 30))/1000000</f>
        <v>0.417717</v>
      </c>
      <c r="X976" s="56">
        <f>(30*0.1790888*245000/1000000)+(30*0.2374*100000/1000000)</f>
        <v>2.0285026799999999</v>
      </c>
      <c r="Y976" s="56"/>
      <c r="Z976" s="14"/>
      <c r="AA976" s="55"/>
      <c r="AB976" s="49">
        <f>(B976*141.293+C976*267.993+D976*115.016+E976*89.698+F976*40+G976*185+H976*0+I976*100+J976*300)/(141.293+267.993+115.016+89.698+0+40+185+100+300)</f>
        <v>119.98929472792575</v>
      </c>
      <c r="AC976" s="45">
        <f>(M976*'RAP TEMPLATE-GAS AVAILABILITY'!O975+N976*'RAP TEMPLATE-GAS AVAILABILITY'!P975+O976*'RAP TEMPLATE-GAS AVAILABILITY'!Q975+P976*'RAP TEMPLATE-GAS AVAILABILITY'!R975)/('RAP TEMPLATE-GAS AVAILABILITY'!O975+'RAP TEMPLATE-GAS AVAILABILITY'!P975+'RAP TEMPLATE-GAS AVAILABILITY'!Q975+'RAP TEMPLATE-GAS AVAILABILITY'!R975)</f>
        <v>117.94137122302158</v>
      </c>
    </row>
    <row r="977" spans="1:29" ht="15.75" x14ac:dyDescent="0.25">
      <c r="A977" s="32">
        <v>70645</v>
      </c>
      <c r="B977" s="14">
        <f>CHOOSE(CONTROL!$C$42, 120.9589, 120.9589) * CHOOSE(CONTROL!$C$21, $C$9, 100%, $E$9)</f>
        <v>120.9589</v>
      </c>
      <c r="C977" s="14">
        <f>CHOOSE(CONTROL!$C$42, 120.9669, 120.9669) * CHOOSE(CONTROL!$C$21, $C$9, 100%, $E$9)</f>
        <v>120.9669</v>
      </c>
      <c r="D977" s="14">
        <f>CHOOSE(CONTROL!$C$42, 121.226, 121.226) * CHOOSE(CONTROL!$C$21, $C$9, 100%, $E$9)</f>
        <v>121.226</v>
      </c>
      <c r="E977" s="14">
        <f>CHOOSE(CONTROL!$C$42, 121.2575, 121.2575) * CHOOSE(CONTROL!$C$21, $C$9, 100%, $E$9)</f>
        <v>121.25749999999999</v>
      </c>
      <c r="F977" s="14">
        <f>CHOOSE(CONTROL!$C$42, 120.9804, 120.9804)*CHOOSE(CONTROL!$C$21, $C$9, 100%, $E$9)</f>
        <v>120.9804</v>
      </c>
      <c r="G977" s="14">
        <f>CHOOSE(CONTROL!$C$42, 120.9974, 120.9974)*CHOOSE(CONTROL!$C$21, $C$9, 100%, $E$9)</f>
        <v>120.9974</v>
      </c>
      <c r="H977" s="14">
        <f>CHOOSE(CONTROL!$C$42, 121.2461, 121.2461) * CHOOSE(CONTROL!$C$21, $C$9, 100%, $E$9)</f>
        <v>121.2461</v>
      </c>
      <c r="I977" s="14">
        <f>CHOOSE(CONTROL!$C$42, 121.3588, 121.3588)* CHOOSE(CONTROL!$C$21, $C$9, 100%, $E$9)</f>
        <v>121.3588</v>
      </c>
      <c r="J977" s="14">
        <f>CHOOSE(CONTROL!$C$42, 120.9734, 120.9734)* CHOOSE(CONTROL!$C$21, $C$9, 100%, $E$9)</f>
        <v>120.9734</v>
      </c>
      <c r="K977" s="52">
        <f>CHOOSE(CONTROL!$C$42, 121.3549, 121.3549) * CHOOSE(CONTROL!$C$21, $C$9, 100%, $E$9)</f>
        <v>121.3549</v>
      </c>
      <c r="L977" s="14">
        <f>CHOOSE(CONTROL!$C$42, 121.8331, 121.8331) * CHOOSE(CONTROL!$C$21, $C$9, 100%, $E$9)</f>
        <v>121.8331</v>
      </c>
      <c r="M977" s="14">
        <f>CHOOSE(CONTROL!$C$42, 118.8052, 118.8052) * CHOOSE(CONTROL!$C$21, $C$9, 100%, $E$9)</f>
        <v>118.8052</v>
      </c>
      <c r="N977" s="14">
        <f>CHOOSE(CONTROL!$C$42, 118.8218, 118.8218) * CHOOSE(CONTROL!$C$21, $C$9, 100%, $E$9)</f>
        <v>118.8218</v>
      </c>
      <c r="O977" s="14">
        <f>CHOOSE(CONTROL!$C$42, 119.073, 119.073) * CHOOSE(CONTROL!$C$21, $C$9, 100%, $E$9)</f>
        <v>119.07299999999999</v>
      </c>
      <c r="P977" s="14">
        <f>CHOOSE(CONTROL!$C$42, 119.177, 119.177) * CHOOSE(CONTROL!$C$21, $C$9, 100%, $E$9)</f>
        <v>119.17700000000001</v>
      </c>
      <c r="Q977" s="14">
        <f>CHOOSE(CONTROL!$C$42, 119.6677, 119.6677) * CHOOSE(CONTROL!$C$21, $C$9, 100%, $E$9)</f>
        <v>119.6677</v>
      </c>
      <c r="R977" s="14">
        <f>CHOOSE(CONTROL!$C$42, 120.5538, 120.5538) * CHOOSE(CONTROL!$C$21, $C$9, 100%, $E$9)</f>
        <v>120.5538</v>
      </c>
      <c r="S977" s="14">
        <f>CHOOSE(CONTROL!$C$42, 116.2188, 116.2188) * CHOOSE(CONTROL!$C$21, $C$9, 100%, $E$9)</f>
        <v>116.2188</v>
      </c>
      <c r="T9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977" s="56">
        <f>(1000*CHOOSE(CONTROL!$C$42, 695, 695)*CHOOSE(CONTROL!$C$42, 0.5599, 0.5599)*CHOOSE(CONTROL!$C$42, 31, 31))/1000000</f>
        <v>12.063045499999998</v>
      </c>
      <c r="V977" s="56">
        <f>(1000*CHOOSE(CONTROL!$C$42, 500, 500)*CHOOSE(CONTROL!$C$42, 0.275, 0.275)*CHOOSE(CONTROL!$C$42, 31, 31))/1000000</f>
        <v>4.2625000000000002</v>
      </c>
      <c r="W977" s="56">
        <f>(1000*CHOOSE(CONTROL!$C$42, 0.1146, 0.1146)*CHOOSE(CONTROL!$C$42, 121.5, 121.5)*CHOOSE(CONTROL!$C$42, 31, 31))/1000000</f>
        <v>0.43164089999999994</v>
      </c>
      <c r="X977" s="56">
        <f>(31*0.1790888*245000/1000000)+(31*0.2374*100000/1000000)</f>
        <v>2.0961194359999999</v>
      </c>
      <c r="Y977" s="56"/>
      <c r="Z977" s="14"/>
      <c r="AA977" s="55"/>
      <c r="AB977" s="49">
        <f>(B977*194.205+C977*267.466+D977*133.845+E977*53.484+F977*40+G977*185+H977*0+I977*100+J977*300)/(194.205+267.466+133.845+53.484+0+40+185+100+300)</f>
        <v>121.04224580054945</v>
      </c>
      <c r="AC977" s="45">
        <f>(M977*'RAP TEMPLATE-GAS AVAILABILITY'!O976+N977*'RAP TEMPLATE-GAS AVAILABILITY'!P976+O977*'RAP TEMPLATE-GAS AVAILABILITY'!Q976+P977*'RAP TEMPLATE-GAS AVAILABILITY'!R976)/('RAP TEMPLATE-GAS AVAILABILITY'!O976+'RAP TEMPLATE-GAS AVAILABILITY'!P976+'RAP TEMPLATE-GAS AVAILABILITY'!Q976+'RAP TEMPLATE-GAS AVAILABILITY'!R976)</f>
        <v>118.98102877697841</v>
      </c>
    </row>
    <row r="978" spans="1:29" ht="15.75" x14ac:dyDescent="0.25">
      <c r="A978" s="32">
        <v>70675</v>
      </c>
      <c r="B978" s="14">
        <f>CHOOSE(CONTROL!$C$42, 124.3897, 124.3897) * CHOOSE(CONTROL!$C$21, $C$9, 100%, $E$9)</f>
        <v>124.3897</v>
      </c>
      <c r="C978" s="14">
        <f>CHOOSE(CONTROL!$C$42, 124.3977, 124.3977) * CHOOSE(CONTROL!$C$21, $C$9, 100%, $E$9)</f>
        <v>124.3977</v>
      </c>
      <c r="D978" s="14">
        <f>CHOOSE(CONTROL!$C$42, 124.6568, 124.6568) * CHOOSE(CONTROL!$C$21, $C$9, 100%, $E$9)</f>
        <v>124.6568</v>
      </c>
      <c r="E978" s="14">
        <f>CHOOSE(CONTROL!$C$42, 124.6883, 124.6883) * CHOOSE(CONTROL!$C$21, $C$9, 100%, $E$9)</f>
        <v>124.6883</v>
      </c>
      <c r="F978" s="14">
        <f>CHOOSE(CONTROL!$C$42, 124.4115, 124.4115)*CHOOSE(CONTROL!$C$21, $C$9, 100%, $E$9)</f>
        <v>124.4115</v>
      </c>
      <c r="G978" s="14">
        <f>CHOOSE(CONTROL!$C$42, 124.4285, 124.4285)*CHOOSE(CONTROL!$C$21, $C$9, 100%, $E$9)</f>
        <v>124.4285</v>
      </c>
      <c r="H978" s="14">
        <f>CHOOSE(CONTROL!$C$42, 124.6769, 124.6769) * CHOOSE(CONTROL!$C$21, $C$9, 100%, $E$9)</f>
        <v>124.6769</v>
      </c>
      <c r="I978" s="14">
        <f>CHOOSE(CONTROL!$C$42, 124.8004, 124.8004)* CHOOSE(CONTROL!$C$21, $C$9, 100%, $E$9)</f>
        <v>124.8004</v>
      </c>
      <c r="J978" s="14">
        <f>CHOOSE(CONTROL!$C$42, 124.4045, 124.4045)* CHOOSE(CONTROL!$C$21, $C$9, 100%, $E$9)</f>
        <v>124.4045</v>
      </c>
      <c r="K978" s="52">
        <f>CHOOSE(CONTROL!$C$42, 124.7965, 124.7965) * CHOOSE(CONTROL!$C$21, $C$9, 100%, $E$9)</f>
        <v>124.79649999999999</v>
      </c>
      <c r="L978" s="14">
        <f>CHOOSE(CONTROL!$C$42, 125.2639, 125.2639) * CHOOSE(CONTROL!$C$21, $C$9, 100%, $E$9)</f>
        <v>125.26390000000001</v>
      </c>
      <c r="M978" s="14">
        <f>CHOOSE(CONTROL!$C$42, 122.1746, 122.1746) * CHOOSE(CONTROL!$C$21, $C$9, 100%, $E$9)</f>
        <v>122.1746</v>
      </c>
      <c r="N978" s="14">
        <f>CHOOSE(CONTROL!$C$42, 122.1913, 122.1913) * CHOOSE(CONTROL!$C$21, $C$9, 100%, $E$9)</f>
        <v>122.1913</v>
      </c>
      <c r="O978" s="14">
        <f>CHOOSE(CONTROL!$C$42, 122.4421, 122.4421) * CHOOSE(CONTROL!$C$21, $C$9, 100%, $E$9)</f>
        <v>122.4421</v>
      </c>
      <c r="P978" s="14">
        <f>CHOOSE(CONTROL!$C$42, 122.5565, 122.5565) * CHOOSE(CONTROL!$C$21, $C$9, 100%, $E$9)</f>
        <v>122.5565</v>
      </c>
      <c r="Q978" s="14">
        <f>CHOOSE(CONTROL!$C$42, 123.0368, 123.0368) * CHOOSE(CONTROL!$C$21, $C$9, 100%, $E$9)</f>
        <v>123.0368</v>
      </c>
      <c r="R978" s="14">
        <f>CHOOSE(CONTROL!$C$42, 123.9314, 123.9314) * CHOOSE(CONTROL!$C$21, $C$9, 100%, $E$9)</f>
        <v>123.9314</v>
      </c>
      <c r="S978" s="14">
        <f>CHOOSE(CONTROL!$C$42, 119.5154, 119.5154) * CHOOSE(CONTROL!$C$21, $C$9, 100%, $E$9)</f>
        <v>119.5154</v>
      </c>
      <c r="T9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78" s="56">
        <f>(1000*CHOOSE(CONTROL!$C$42, 695, 695)*CHOOSE(CONTROL!$C$42, 0.5599, 0.5599)*CHOOSE(CONTROL!$C$42, 30, 30))/1000000</f>
        <v>11.673914999999997</v>
      </c>
      <c r="V978" s="56">
        <f>(1000*CHOOSE(CONTROL!$C$42, 500, 500)*CHOOSE(CONTROL!$C$42, 0.275, 0.275)*CHOOSE(CONTROL!$C$42, 30, 30))/1000000</f>
        <v>4.125</v>
      </c>
      <c r="W978" s="56">
        <f>(1000*CHOOSE(CONTROL!$C$42, 0.1146, 0.1146)*CHOOSE(CONTROL!$C$42, 121.5, 121.5)*CHOOSE(CONTROL!$C$42, 30, 30))/1000000</f>
        <v>0.417717</v>
      </c>
      <c r="X978" s="56">
        <f>(30*0.1790888*245000/1000000)+(30*0.2374*100000/1000000)</f>
        <v>2.0285026799999999</v>
      </c>
      <c r="Y978" s="56"/>
      <c r="Z978" s="14"/>
      <c r="AA978" s="55"/>
      <c r="AB978" s="49">
        <f>(B978*194.205+C978*267.466+D978*133.845+E978*53.484+F978*40+G978*185+H978*0+I978*100+J978*300)/(194.205+267.466+133.845+53.484+0+40+185+100+300)</f>
        <v>124.47401715062794</v>
      </c>
      <c r="AC978" s="45">
        <f>(M978*'RAP TEMPLATE-GAS AVAILABILITY'!O977+N978*'RAP TEMPLATE-GAS AVAILABILITY'!P977+O978*'RAP TEMPLATE-GAS AVAILABILITY'!Q977+P978*'RAP TEMPLATE-GAS AVAILABILITY'!R977)/('RAP TEMPLATE-GAS AVAILABILITY'!O977+'RAP TEMPLATE-GAS AVAILABILITY'!P977+'RAP TEMPLATE-GAS AVAILABILITY'!Q977+'RAP TEMPLATE-GAS AVAILABILITY'!R977)</f>
        <v>122.35175179856115</v>
      </c>
    </row>
    <row r="979" spans="1:29" ht="15.75" x14ac:dyDescent="0.25">
      <c r="A979" s="32">
        <v>70706</v>
      </c>
      <c r="B979" s="14">
        <f>CHOOSE(CONTROL!$C$42, 122.0036, 122.0036) * CHOOSE(CONTROL!$C$21, $C$9, 100%, $E$9)</f>
        <v>122.00360000000001</v>
      </c>
      <c r="C979" s="14">
        <f>CHOOSE(CONTROL!$C$42, 122.0116, 122.0116) * CHOOSE(CONTROL!$C$21, $C$9, 100%, $E$9)</f>
        <v>122.0116</v>
      </c>
      <c r="D979" s="14">
        <f>CHOOSE(CONTROL!$C$42, 122.2707, 122.2707) * CHOOSE(CONTROL!$C$21, $C$9, 100%, $E$9)</f>
        <v>122.27070000000001</v>
      </c>
      <c r="E979" s="14">
        <f>CHOOSE(CONTROL!$C$42, 122.3021, 122.3021) * CHOOSE(CONTROL!$C$21, $C$9, 100%, $E$9)</f>
        <v>122.3021</v>
      </c>
      <c r="F979" s="14">
        <f>CHOOSE(CONTROL!$C$42, 122.0258, 122.0258)*CHOOSE(CONTROL!$C$21, $C$9, 100%, $E$9)</f>
        <v>122.0258</v>
      </c>
      <c r="G979" s="14">
        <f>CHOOSE(CONTROL!$C$42, 122.0429, 122.0429)*CHOOSE(CONTROL!$C$21, $C$9, 100%, $E$9)</f>
        <v>122.0429</v>
      </c>
      <c r="H979" s="14">
        <f>CHOOSE(CONTROL!$C$42, 122.2908, 122.2908) * CHOOSE(CONTROL!$C$21, $C$9, 100%, $E$9)</f>
        <v>122.2908</v>
      </c>
      <c r="I979" s="14">
        <f>CHOOSE(CONTROL!$C$42, 122.4067, 122.4067)* CHOOSE(CONTROL!$C$21, $C$9, 100%, $E$9)</f>
        <v>122.4067</v>
      </c>
      <c r="J979" s="14">
        <f>CHOOSE(CONTROL!$C$42, 122.0188, 122.0188)* CHOOSE(CONTROL!$C$21, $C$9, 100%, $E$9)</f>
        <v>122.0188</v>
      </c>
      <c r="K979" s="52">
        <f>CHOOSE(CONTROL!$C$42, 122.4029, 122.4029) * CHOOSE(CONTROL!$C$21, $C$9, 100%, $E$9)</f>
        <v>122.4029</v>
      </c>
      <c r="L979" s="14">
        <f>CHOOSE(CONTROL!$C$42, 122.8778, 122.8778) * CHOOSE(CONTROL!$C$21, $C$9, 100%, $E$9)</f>
        <v>122.87779999999999</v>
      </c>
      <c r="M979" s="14">
        <f>CHOOSE(CONTROL!$C$42, 119.8317, 119.8317) * CHOOSE(CONTROL!$C$21, $C$9, 100%, $E$9)</f>
        <v>119.8317</v>
      </c>
      <c r="N979" s="14">
        <f>CHOOSE(CONTROL!$C$42, 119.8486, 119.8486) * CHOOSE(CONTROL!$C$21, $C$9, 100%, $E$9)</f>
        <v>119.8486</v>
      </c>
      <c r="O979" s="14">
        <f>CHOOSE(CONTROL!$C$42, 120.0988, 120.0988) * CHOOSE(CONTROL!$C$21, $C$9, 100%, $E$9)</f>
        <v>120.0988</v>
      </c>
      <c r="P979" s="14">
        <f>CHOOSE(CONTROL!$C$42, 120.206, 120.206) * CHOOSE(CONTROL!$C$21, $C$9, 100%, $E$9)</f>
        <v>120.206</v>
      </c>
      <c r="Q979" s="14">
        <f>CHOOSE(CONTROL!$C$42, 120.6935, 120.6935) * CHOOSE(CONTROL!$C$21, $C$9, 100%, $E$9)</f>
        <v>120.6935</v>
      </c>
      <c r="R979" s="14">
        <f>CHOOSE(CONTROL!$C$42, 121.5823, 121.5823) * CHOOSE(CONTROL!$C$21, $C$9, 100%, $E$9)</f>
        <v>121.5823</v>
      </c>
      <c r="S979" s="14">
        <f>CHOOSE(CONTROL!$C$42, 117.2226, 117.2226) * CHOOSE(CONTROL!$C$21, $C$9, 100%, $E$9)</f>
        <v>117.2226</v>
      </c>
      <c r="T9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79" s="56">
        <f>(1000*CHOOSE(CONTROL!$C$42, 695, 695)*CHOOSE(CONTROL!$C$42, 0.5599, 0.5599)*CHOOSE(CONTROL!$C$42, 31, 31))/1000000</f>
        <v>12.063045499999998</v>
      </c>
      <c r="V979" s="56">
        <f>(1000*CHOOSE(CONTROL!$C$42, 500, 500)*CHOOSE(CONTROL!$C$42, 0.275, 0.275)*CHOOSE(CONTROL!$C$42, 31, 31))/1000000</f>
        <v>4.2625000000000002</v>
      </c>
      <c r="W979" s="56">
        <f>(1000*CHOOSE(CONTROL!$C$42, 0.1146, 0.1146)*CHOOSE(CONTROL!$C$42, 121.5, 121.5)*CHOOSE(CONTROL!$C$42, 31, 31))/1000000</f>
        <v>0.43164089999999994</v>
      </c>
      <c r="X979" s="56">
        <f>(31*0.1790888*245000/1000000)+(31*0.2374*100000/1000000)</f>
        <v>2.0961194359999999</v>
      </c>
      <c r="Y979" s="56"/>
      <c r="Z979" s="14"/>
      <c r="AA979" s="55"/>
      <c r="AB979" s="49">
        <f>(B979*194.205+C979*267.466+D979*133.845+E979*53.484+F979*40+G979*185+H979*0+I979*100+J979*300)/(194.205+267.466+133.845+53.484+0+40+185+100+300)</f>
        <v>122.08749576255889</v>
      </c>
      <c r="AC979" s="45">
        <f>(M979*'RAP TEMPLATE-GAS AVAILABILITY'!O978+N979*'RAP TEMPLATE-GAS AVAILABILITY'!P978+O979*'RAP TEMPLATE-GAS AVAILABILITY'!Q978+P979*'RAP TEMPLATE-GAS AVAILABILITY'!R978)/('RAP TEMPLATE-GAS AVAILABILITY'!O978+'RAP TEMPLATE-GAS AVAILABILITY'!P978+'RAP TEMPLATE-GAS AVAILABILITY'!Q978+'RAP TEMPLATE-GAS AVAILABILITY'!R978)</f>
        <v>120.00758848920864</v>
      </c>
    </row>
    <row r="980" spans="1:29" ht="15.75" x14ac:dyDescent="0.25">
      <c r="A980" s="32">
        <v>70737</v>
      </c>
      <c r="B980" s="14">
        <f>CHOOSE(CONTROL!$C$42, 115.9777, 115.9777) * CHOOSE(CONTROL!$C$21, $C$9, 100%, $E$9)</f>
        <v>115.9777</v>
      </c>
      <c r="C980" s="14">
        <f>CHOOSE(CONTROL!$C$42, 115.9858, 115.9858) * CHOOSE(CONTROL!$C$21, $C$9, 100%, $E$9)</f>
        <v>115.9858</v>
      </c>
      <c r="D980" s="14">
        <f>CHOOSE(CONTROL!$C$42, 116.2448, 116.2448) * CHOOSE(CONTROL!$C$21, $C$9, 100%, $E$9)</f>
        <v>116.2448</v>
      </c>
      <c r="E980" s="14">
        <f>CHOOSE(CONTROL!$C$42, 116.2763, 116.2763) * CHOOSE(CONTROL!$C$21, $C$9, 100%, $E$9)</f>
        <v>116.27630000000001</v>
      </c>
      <c r="F980" s="14">
        <f>CHOOSE(CONTROL!$C$42, 116.0001, 116.0001)*CHOOSE(CONTROL!$C$21, $C$9, 100%, $E$9)</f>
        <v>116.0001</v>
      </c>
      <c r="G980" s="14">
        <f>CHOOSE(CONTROL!$C$42, 116.0173, 116.0173)*CHOOSE(CONTROL!$C$21, $C$9, 100%, $E$9)</f>
        <v>116.01730000000001</v>
      </c>
      <c r="H980" s="14">
        <f>CHOOSE(CONTROL!$C$42, 116.2649, 116.2649) * CHOOSE(CONTROL!$C$21, $C$9, 100%, $E$9)</f>
        <v>116.2649</v>
      </c>
      <c r="I980" s="14">
        <f>CHOOSE(CONTROL!$C$42, 116.3621, 116.3621)* CHOOSE(CONTROL!$C$21, $C$9, 100%, $E$9)</f>
        <v>116.3621</v>
      </c>
      <c r="J980" s="14">
        <f>CHOOSE(CONTROL!$C$42, 115.9931, 115.9931)* CHOOSE(CONTROL!$C$21, $C$9, 100%, $E$9)</f>
        <v>115.9931</v>
      </c>
      <c r="K980" s="52">
        <f>CHOOSE(CONTROL!$C$42, 116.3582, 116.3582) * CHOOSE(CONTROL!$C$21, $C$9, 100%, $E$9)</f>
        <v>116.3582</v>
      </c>
      <c r="L980" s="14">
        <f>CHOOSE(CONTROL!$C$42, 116.8519, 116.8519) * CHOOSE(CONTROL!$C$21, $C$9, 100%, $E$9)</f>
        <v>116.8519</v>
      </c>
      <c r="M980" s="14">
        <f>CHOOSE(CONTROL!$C$42, 113.9145, 113.9145) * CHOOSE(CONTROL!$C$21, $C$9, 100%, $E$9)</f>
        <v>113.9145</v>
      </c>
      <c r="N980" s="14">
        <f>CHOOSE(CONTROL!$C$42, 113.9314, 113.9314) * CHOOSE(CONTROL!$C$21, $C$9, 100%, $E$9)</f>
        <v>113.9314</v>
      </c>
      <c r="O980" s="14">
        <f>CHOOSE(CONTROL!$C$42, 114.1814, 114.1814) * CHOOSE(CONTROL!$C$21, $C$9, 100%, $E$9)</f>
        <v>114.1814</v>
      </c>
      <c r="P980" s="14">
        <f>CHOOSE(CONTROL!$C$42, 114.2704, 114.2704) * CHOOSE(CONTROL!$C$21, $C$9, 100%, $E$9)</f>
        <v>114.2704</v>
      </c>
      <c r="Q980" s="14">
        <f>CHOOSE(CONTROL!$C$42, 114.7761, 114.7761) * CHOOSE(CONTROL!$C$21, $C$9, 100%, $E$9)</f>
        <v>114.7761</v>
      </c>
      <c r="R980" s="14">
        <f>CHOOSE(CONTROL!$C$42, 115.6501, 115.6501) * CHOOSE(CONTROL!$C$21, $C$9, 100%, $E$9)</f>
        <v>115.65009999999999</v>
      </c>
      <c r="S980" s="14">
        <f>CHOOSE(CONTROL!$C$42, 111.4324, 111.4324) * CHOOSE(CONTROL!$C$21, $C$9, 100%, $E$9)</f>
        <v>111.4324</v>
      </c>
      <c r="T9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80" s="56">
        <f>(1000*CHOOSE(CONTROL!$C$42, 695, 695)*CHOOSE(CONTROL!$C$42, 0.5599, 0.5599)*CHOOSE(CONTROL!$C$42, 31, 31))/1000000</f>
        <v>12.063045499999998</v>
      </c>
      <c r="V980" s="56">
        <f>(1000*CHOOSE(CONTROL!$C$42, 500, 500)*CHOOSE(CONTROL!$C$42, 0.275, 0.275)*CHOOSE(CONTROL!$C$42, 31, 31))/1000000</f>
        <v>4.2625000000000002</v>
      </c>
      <c r="W980" s="56">
        <f>(1000*CHOOSE(CONTROL!$C$42, 0.1146, 0.1146)*CHOOSE(CONTROL!$C$42, 121.5, 121.5)*CHOOSE(CONTROL!$C$42, 31, 31))/1000000</f>
        <v>0.43164089999999994</v>
      </c>
      <c r="X980" s="56">
        <f>(31*0.1790888*245000/1000000)+(31*0.2374*100000/1000000)</f>
        <v>2.0961194359999999</v>
      </c>
      <c r="Y980" s="56"/>
      <c r="Z980" s="14"/>
      <c r="AA980" s="55"/>
      <c r="AB980" s="49">
        <f>(B980*194.205+C980*267.466+D980*133.845+E980*53.484+F980*40+G980*185+H980*0+I980*100+J980*300)/(194.205+267.466+133.845+53.484+0+40+185+100+300)</f>
        <v>116.06025007574569</v>
      </c>
      <c r="AC980" s="45">
        <f>(M980*'RAP TEMPLATE-GAS AVAILABILITY'!O979+N980*'RAP TEMPLATE-GAS AVAILABILITY'!P979+O980*'RAP TEMPLATE-GAS AVAILABILITY'!Q979+P980*'RAP TEMPLATE-GAS AVAILABILITY'!R979)/('RAP TEMPLATE-GAS AVAILABILITY'!O979+'RAP TEMPLATE-GAS AVAILABILITY'!P979+'RAP TEMPLATE-GAS AVAILABILITY'!Q979+'RAP TEMPLATE-GAS AVAILABILITY'!R979)</f>
        <v>114.08765035971221</v>
      </c>
    </row>
    <row r="981" spans="1:29" ht="15.75" x14ac:dyDescent="0.25">
      <c r="A981" s="32">
        <v>70767</v>
      </c>
      <c r="B981" s="14">
        <f>CHOOSE(CONTROL!$C$42, 108.6151, 108.6151) * CHOOSE(CONTROL!$C$21, $C$9, 100%, $E$9)</f>
        <v>108.6151</v>
      </c>
      <c r="C981" s="14">
        <f>CHOOSE(CONTROL!$C$42, 108.6231, 108.6231) * CHOOSE(CONTROL!$C$21, $C$9, 100%, $E$9)</f>
        <v>108.62309999999999</v>
      </c>
      <c r="D981" s="14">
        <f>CHOOSE(CONTROL!$C$42, 108.8822, 108.8822) * CHOOSE(CONTROL!$C$21, $C$9, 100%, $E$9)</f>
        <v>108.8822</v>
      </c>
      <c r="E981" s="14">
        <f>CHOOSE(CONTROL!$C$42, 108.9137, 108.9137) * CHOOSE(CONTROL!$C$21, $C$9, 100%, $E$9)</f>
        <v>108.91370000000001</v>
      </c>
      <c r="F981" s="14">
        <f>CHOOSE(CONTROL!$C$42, 108.6375, 108.6375)*CHOOSE(CONTROL!$C$21, $C$9, 100%, $E$9)</f>
        <v>108.6375</v>
      </c>
      <c r="G981" s="14">
        <f>CHOOSE(CONTROL!$C$42, 108.6548, 108.6548)*CHOOSE(CONTROL!$C$21, $C$9, 100%, $E$9)</f>
        <v>108.65479999999999</v>
      </c>
      <c r="H981" s="14">
        <f>CHOOSE(CONTROL!$C$42, 108.9023, 108.9023) * CHOOSE(CONTROL!$C$21, $C$9, 100%, $E$9)</f>
        <v>108.9023</v>
      </c>
      <c r="I981" s="14">
        <f>CHOOSE(CONTROL!$C$42, 108.9763, 108.9763)* CHOOSE(CONTROL!$C$21, $C$9, 100%, $E$9)</f>
        <v>108.97629999999999</v>
      </c>
      <c r="J981" s="14">
        <f>CHOOSE(CONTROL!$C$42, 108.6305, 108.6305)* CHOOSE(CONTROL!$C$21, $C$9, 100%, $E$9)</f>
        <v>108.6305</v>
      </c>
      <c r="K981" s="52">
        <f>CHOOSE(CONTROL!$C$42, 108.9724, 108.9724) * CHOOSE(CONTROL!$C$21, $C$9, 100%, $E$9)</f>
        <v>108.97239999999999</v>
      </c>
      <c r="L981" s="14">
        <f>CHOOSE(CONTROL!$C$42, 109.4893, 109.4893) * CHOOSE(CONTROL!$C$21, $C$9, 100%, $E$9)</f>
        <v>109.4893</v>
      </c>
      <c r="M981" s="14">
        <f>CHOOSE(CONTROL!$C$42, 106.6843, 106.6843) * CHOOSE(CONTROL!$C$21, $C$9, 100%, $E$9)</f>
        <v>106.68429999999999</v>
      </c>
      <c r="N981" s="14">
        <f>CHOOSE(CONTROL!$C$42, 106.7012, 106.7012) * CHOOSE(CONTROL!$C$21, $C$9, 100%, $E$9)</f>
        <v>106.7012</v>
      </c>
      <c r="O981" s="14">
        <f>CHOOSE(CONTROL!$C$42, 106.9512, 106.9512) * CHOOSE(CONTROL!$C$21, $C$9, 100%, $E$9)</f>
        <v>106.9512</v>
      </c>
      <c r="P981" s="14">
        <f>CHOOSE(CONTROL!$C$42, 107.0179, 107.0179) * CHOOSE(CONTROL!$C$21, $C$9, 100%, $E$9)</f>
        <v>107.0179</v>
      </c>
      <c r="Q981" s="14">
        <f>CHOOSE(CONTROL!$C$42, 107.5459, 107.5459) * CHOOSE(CONTROL!$C$21, $C$9, 100%, $E$9)</f>
        <v>107.5459</v>
      </c>
      <c r="R981" s="14">
        <f>CHOOSE(CONTROL!$C$42, 108.4017, 108.4017) * CHOOSE(CONTROL!$C$21, $C$9, 100%, $E$9)</f>
        <v>108.40170000000001</v>
      </c>
      <c r="S981" s="14">
        <f>CHOOSE(CONTROL!$C$42, 104.3576, 104.3576) * CHOOSE(CONTROL!$C$21, $C$9, 100%, $E$9)</f>
        <v>104.35760000000001</v>
      </c>
      <c r="T9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81" s="56">
        <f>(1000*CHOOSE(CONTROL!$C$42, 695, 695)*CHOOSE(CONTROL!$C$42, 0.5599, 0.5599)*CHOOSE(CONTROL!$C$42, 30, 30))/1000000</f>
        <v>11.673914999999997</v>
      </c>
      <c r="V981" s="56">
        <f>(1000*CHOOSE(CONTROL!$C$42, 500, 500)*CHOOSE(CONTROL!$C$42, 0.275, 0.275)*CHOOSE(CONTROL!$C$42, 30, 30))/1000000</f>
        <v>4.125</v>
      </c>
      <c r="W981" s="56">
        <f>(1000*CHOOSE(CONTROL!$C$42, 0.1146, 0.1146)*CHOOSE(CONTROL!$C$42, 121.5, 121.5)*CHOOSE(CONTROL!$C$42, 30, 30))/1000000</f>
        <v>0.417717</v>
      </c>
      <c r="X981" s="56">
        <f>(30*0.1790888*245000/1000000)+(30*0.2374*100000/1000000)</f>
        <v>2.0285026799999999</v>
      </c>
      <c r="Y981" s="56"/>
      <c r="Z981" s="14"/>
      <c r="AA981" s="55"/>
      <c r="AB981" s="49">
        <f>(B981*194.205+C981*267.466+D981*133.845+E981*53.484+F981*40+G981*185+H981*0+I981*100+J981*300)/(194.205+267.466+133.845+53.484+0+40+185+100+300)</f>
        <v>108.6958225666405</v>
      </c>
      <c r="AC981" s="45">
        <f>(M981*'RAP TEMPLATE-GAS AVAILABILITY'!O980+N981*'RAP TEMPLATE-GAS AVAILABILITY'!P980+O981*'RAP TEMPLATE-GAS AVAILABILITY'!Q980+P981*'RAP TEMPLATE-GAS AVAILABILITY'!R980)/('RAP TEMPLATE-GAS AVAILABILITY'!O980+'RAP TEMPLATE-GAS AVAILABILITY'!P980+'RAP TEMPLATE-GAS AVAILABILITY'!Q980+'RAP TEMPLATE-GAS AVAILABILITY'!R980)</f>
        <v>106.8542417266187</v>
      </c>
    </row>
    <row r="982" spans="1:29" ht="15.75" x14ac:dyDescent="0.25">
      <c r="A982" s="32">
        <v>70798</v>
      </c>
      <c r="B982" s="14">
        <f>CHOOSE(CONTROL!$C$42, 106.4082, 106.4082) * CHOOSE(CONTROL!$C$21, $C$9, 100%, $E$9)</f>
        <v>106.40819999999999</v>
      </c>
      <c r="C982" s="14">
        <f>CHOOSE(CONTROL!$C$42, 106.4135, 106.4135) * CHOOSE(CONTROL!$C$21, $C$9, 100%, $E$9)</f>
        <v>106.4135</v>
      </c>
      <c r="D982" s="14">
        <f>CHOOSE(CONTROL!$C$42, 106.6776, 106.6776) * CHOOSE(CONTROL!$C$21, $C$9, 100%, $E$9)</f>
        <v>106.6776</v>
      </c>
      <c r="E982" s="14">
        <f>CHOOSE(CONTROL!$C$42, 106.7067, 106.7067) * CHOOSE(CONTROL!$C$21, $C$9, 100%, $E$9)</f>
        <v>106.7067</v>
      </c>
      <c r="F982" s="14">
        <f>CHOOSE(CONTROL!$C$42, 106.4329, 106.4329)*CHOOSE(CONTROL!$C$21, $C$9, 100%, $E$9)</f>
        <v>106.4329</v>
      </c>
      <c r="G982" s="14">
        <f>CHOOSE(CONTROL!$C$42, 106.45, 106.45)*CHOOSE(CONTROL!$C$21, $C$9, 100%, $E$9)</f>
        <v>106.45</v>
      </c>
      <c r="H982" s="14">
        <f>CHOOSE(CONTROL!$C$42, 106.6972, 106.6972) * CHOOSE(CONTROL!$C$21, $C$9, 100%, $E$9)</f>
        <v>106.6972</v>
      </c>
      <c r="I982" s="14">
        <f>CHOOSE(CONTROL!$C$42, 106.7643, 106.7643)* CHOOSE(CONTROL!$C$21, $C$9, 100%, $E$9)</f>
        <v>106.76430000000001</v>
      </c>
      <c r="J982" s="14">
        <f>CHOOSE(CONTROL!$C$42, 106.4259, 106.4259)* CHOOSE(CONTROL!$C$21, $C$9, 100%, $E$9)</f>
        <v>106.4259</v>
      </c>
      <c r="K982" s="52">
        <f>CHOOSE(CONTROL!$C$42, 106.7605, 106.7605) * CHOOSE(CONTROL!$C$21, $C$9, 100%, $E$9)</f>
        <v>106.76049999999999</v>
      </c>
      <c r="L982" s="14">
        <f>CHOOSE(CONTROL!$C$42, 107.2842, 107.2842) * CHOOSE(CONTROL!$C$21, $C$9, 100%, $E$9)</f>
        <v>107.2842</v>
      </c>
      <c r="M982" s="14">
        <f>CHOOSE(CONTROL!$C$42, 104.5193, 104.5193) * CHOOSE(CONTROL!$C$21, $C$9, 100%, $E$9)</f>
        <v>104.5193</v>
      </c>
      <c r="N982" s="14">
        <f>CHOOSE(CONTROL!$C$42, 104.5361, 104.5361) * CHOOSE(CONTROL!$C$21, $C$9, 100%, $E$9)</f>
        <v>104.5361</v>
      </c>
      <c r="O982" s="14">
        <f>CHOOSE(CONTROL!$C$42, 104.7858, 104.7858) * CHOOSE(CONTROL!$C$21, $C$9, 100%, $E$9)</f>
        <v>104.78579999999999</v>
      </c>
      <c r="P982" s="14">
        <f>CHOOSE(CONTROL!$C$42, 104.8459, 104.8459) * CHOOSE(CONTROL!$C$21, $C$9, 100%, $E$9)</f>
        <v>104.8459</v>
      </c>
      <c r="Q982" s="14">
        <f>CHOOSE(CONTROL!$C$42, 105.3805, 105.3805) * CHOOSE(CONTROL!$C$21, $C$9, 100%, $E$9)</f>
        <v>105.3805</v>
      </c>
      <c r="R982" s="14">
        <f>CHOOSE(CONTROL!$C$42, 106.2309, 106.2309) * CHOOSE(CONTROL!$C$21, $C$9, 100%, $E$9)</f>
        <v>106.23090000000001</v>
      </c>
      <c r="S982" s="14">
        <f>CHOOSE(CONTROL!$C$42, 102.2387, 102.2387) * CHOOSE(CONTROL!$C$21, $C$9, 100%, $E$9)</f>
        <v>102.23869999999999</v>
      </c>
      <c r="T9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82" s="56">
        <f>(1000*CHOOSE(CONTROL!$C$42, 695, 695)*CHOOSE(CONTROL!$C$42, 0.5599, 0.5599)*CHOOSE(CONTROL!$C$42, 31, 31))/1000000</f>
        <v>12.063045499999998</v>
      </c>
      <c r="V982" s="56">
        <f>(1000*CHOOSE(CONTROL!$C$42, 500, 500)*CHOOSE(CONTROL!$C$42, 0.275, 0.275)*CHOOSE(CONTROL!$C$42, 31, 31))/1000000</f>
        <v>4.2625000000000002</v>
      </c>
      <c r="W982" s="56">
        <f>(1000*CHOOSE(CONTROL!$C$42, 0.1146, 0.1146)*CHOOSE(CONTROL!$C$42, 121.5, 121.5)*CHOOSE(CONTROL!$C$42, 31, 31))/1000000</f>
        <v>0.43164089999999994</v>
      </c>
      <c r="X982" s="56">
        <f>(31*0.1790888*245000/1000000)+(31*0.2374*100000/1000000)</f>
        <v>2.0961194359999999</v>
      </c>
      <c r="Y982" s="56"/>
      <c r="Z982" s="14"/>
      <c r="AA982" s="55"/>
      <c r="AB982" s="49">
        <f>(B982*131.881+C982*277.167+D982*79.08+E982*125.872+F982*40+G982*185+H982*0+I982*100+J982*300)/(131.881+277.167+79.08+125.872+0+40+185+100+300)</f>
        <v>106.49697072566585</v>
      </c>
      <c r="AC982" s="45">
        <f>(M982*'RAP TEMPLATE-GAS AVAILABILITY'!O981+N982*'RAP TEMPLATE-GAS AVAILABILITY'!P981+O982*'RAP TEMPLATE-GAS AVAILABILITY'!Q981+P982*'RAP TEMPLATE-GAS AVAILABILITY'!R981)/('RAP TEMPLATE-GAS AVAILABILITY'!O981+'RAP TEMPLATE-GAS AVAILABILITY'!P981+'RAP TEMPLATE-GAS AVAILABILITY'!Q981+'RAP TEMPLATE-GAS AVAILABILITY'!R981)</f>
        <v>104.68804748201438</v>
      </c>
    </row>
    <row r="983" spans="1:29" ht="15.75" x14ac:dyDescent="0.25">
      <c r="A983" s="32">
        <v>70828</v>
      </c>
      <c r="B983" s="14">
        <f>CHOOSE(CONTROL!$C$42, 109.2109, 109.2109) * CHOOSE(CONTROL!$C$21, $C$9, 100%, $E$9)</f>
        <v>109.2109</v>
      </c>
      <c r="C983" s="14">
        <f>CHOOSE(CONTROL!$C$42, 109.2159, 109.2159) * CHOOSE(CONTROL!$C$21, $C$9, 100%, $E$9)</f>
        <v>109.2159</v>
      </c>
      <c r="D983" s="14">
        <f>CHOOSE(CONTROL!$C$42, 109.299, 109.299) * CHOOSE(CONTROL!$C$21, $C$9, 100%, $E$9)</f>
        <v>109.29900000000001</v>
      </c>
      <c r="E983" s="14">
        <f>CHOOSE(CONTROL!$C$42, 109.3331, 109.3331) * CHOOSE(CONTROL!$C$21, $C$9, 100%, $E$9)</f>
        <v>109.3331</v>
      </c>
      <c r="F983" s="14">
        <f>CHOOSE(CONTROL!$C$42, 109.2385, 109.2385)*CHOOSE(CONTROL!$C$21, $C$9, 100%, $E$9)</f>
        <v>109.2385</v>
      </c>
      <c r="G983" s="14">
        <f>CHOOSE(CONTROL!$C$42, 109.2558, 109.2558)*CHOOSE(CONTROL!$C$21, $C$9, 100%, $E$9)</f>
        <v>109.25579999999999</v>
      </c>
      <c r="H983" s="14">
        <f>CHOOSE(CONTROL!$C$42, 109.3223, 109.3223) * CHOOSE(CONTROL!$C$21, $C$9, 100%, $E$9)</f>
        <v>109.3223</v>
      </c>
      <c r="I983" s="14">
        <f>CHOOSE(CONTROL!$C$42, 109.5725, 109.5725)* CHOOSE(CONTROL!$C$21, $C$9, 100%, $E$9)</f>
        <v>109.57250000000001</v>
      </c>
      <c r="J983" s="14">
        <f>CHOOSE(CONTROL!$C$42, 109.2315, 109.2315)* CHOOSE(CONTROL!$C$21, $C$9, 100%, $E$9)</f>
        <v>109.2315</v>
      </c>
      <c r="K983" s="52">
        <f>CHOOSE(CONTROL!$C$42, 109.5686, 109.5686) * CHOOSE(CONTROL!$C$21, $C$9, 100%, $E$9)</f>
        <v>109.5686</v>
      </c>
      <c r="L983" s="14">
        <f>CHOOSE(CONTROL!$C$42, 109.9093, 109.9093) * CHOOSE(CONTROL!$C$21, $C$9, 100%, $E$9)</f>
        <v>109.9093</v>
      </c>
      <c r="M983" s="14">
        <f>CHOOSE(CONTROL!$C$42, 107.2745, 107.2745) * CHOOSE(CONTROL!$C$21, $C$9, 100%, $E$9)</f>
        <v>107.2745</v>
      </c>
      <c r="N983" s="14">
        <f>CHOOSE(CONTROL!$C$42, 107.2915, 107.2915) * CHOOSE(CONTROL!$C$21, $C$9, 100%, $E$9)</f>
        <v>107.2915</v>
      </c>
      <c r="O983" s="14">
        <f>CHOOSE(CONTROL!$C$42, 107.3636, 107.3636) * CHOOSE(CONTROL!$C$21, $C$9, 100%, $E$9)</f>
        <v>107.36360000000001</v>
      </c>
      <c r="P983" s="14">
        <f>CHOOSE(CONTROL!$C$42, 107.6034, 107.6034) * CHOOSE(CONTROL!$C$21, $C$9, 100%, $E$9)</f>
        <v>107.60339999999999</v>
      </c>
      <c r="Q983" s="14">
        <f>CHOOSE(CONTROL!$C$42, 107.9583, 107.9583) * CHOOSE(CONTROL!$C$21, $C$9, 100%, $E$9)</f>
        <v>107.95829999999999</v>
      </c>
      <c r="R983" s="14">
        <f>CHOOSE(CONTROL!$C$42, 108.8152, 108.8152) * CHOOSE(CONTROL!$C$21, $C$9, 100%, $E$9)</f>
        <v>108.8152</v>
      </c>
      <c r="S983" s="14">
        <f>CHOOSE(CONTROL!$C$42, 104.9322, 104.9322) * CHOOSE(CONTROL!$C$21, $C$9, 100%, $E$9)</f>
        <v>104.93219999999999</v>
      </c>
      <c r="T9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83" s="56">
        <f>(1000*CHOOSE(CONTROL!$C$42, 695, 695)*CHOOSE(CONTROL!$C$42, 0.5599, 0.5599)*CHOOSE(CONTROL!$C$42, 30, 30))/1000000</f>
        <v>11.673914999999997</v>
      </c>
      <c r="V983" s="56">
        <f>(1000*CHOOSE(CONTROL!$C$42, 500, 500)*CHOOSE(CONTROL!$C$42, 0.275, 0.275)*CHOOSE(CONTROL!$C$42, 30, 30))/1000000</f>
        <v>4.125</v>
      </c>
      <c r="W983" s="56">
        <f>(1000*CHOOSE(CONTROL!$C$42, 0.1146, 0.1146)*CHOOSE(CONTROL!$C$42, 121.5, 121.5)*CHOOSE(CONTROL!$C$42, 30, 30))/1000000</f>
        <v>0.417717</v>
      </c>
      <c r="X983" s="56">
        <f>(30*0.1790888*100000/1000000)+(30*0.2374*100000/1000000)</f>
        <v>1.2494664</v>
      </c>
      <c r="Y983" s="56"/>
      <c r="Z983" s="14"/>
      <c r="AA983" s="55"/>
      <c r="AB983" s="49">
        <f>(B983*122.58+C983*297.941+D983*89.177+E983*40.302+F983*40+G983*160+H983*0+I983*100+J983*300)/(122.58+297.941+89.177+40.302+0+40+160+100+300)</f>
        <v>109.26733400269565</v>
      </c>
      <c r="AC983" s="45">
        <f>(M983*'RAP TEMPLATE-GAS AVAILABILITY'!O982+N983*'RAP TEMPLATE-GAS AVAILABILITY'!P982+O983*'RAP TEMPLATE-GAS AVAILABILITY'!Q982+P983*'RAP TEMPLATE-GAS AVAILABILITY'!R982)/('RAP TEMPLATE-GAS AVAILABILITY'!O982+'RAP TEMPLATE-GAS AVAILABILITY'!P982+'RAP TEMPLATE-GAS AVAILABILITY'!Q982+'RAP TEMPLATE-GAS AVAILABILITY'!R982)</f>
        <v>107.3631856115108</v>
      </c>
    </row>
    <row r="984" spans="1:29" ht="15.75" x14ac:dyDescent="0.25">
      <c r="A984" s="32">
        <v>70859</v>
      </c>
      <c r="B984" s="14">
        <f>CHOOSE(CONTROL!$C$42, 116.6561, 116.6561) * CHOOSE(CONTROL!$C$21, $C$9, 100%, $E$9)</f>
        <v>116.6561</v>
      </c>
      <c r="C984" s="14">
        <f>CHOOSE(CONTROL!$C$42, 116.6612, 116.6612) * CHOOSE(CONTROL!$C$21, $C$9, 100%, $E$9)</f>
        <v>116.66119999999999</v>
      </c>
      <c r="D984" s="14">
        <f>CHOOSE(CONTROL!$C$42, 116.7443, 116.7443) * CHOOSE(CONTROL!$C$21, $C$9, 100%, $E$9)</f>
        <v>116.7443</v>
      </c>
      <c r="E984" s="14">
        <f>CHOOSE(CONTROL!$C$42, 116.7784, 116.7784) * CHOOSE(CONTROL!$C$21, $C$9, 100%, $E$9)</f>
        <v>116.7784</v>
      </c>
      <c r="F984" s="14">
        <f>CHOOSE(CONTROL!$C$42, 116.6862, 116.6862)*CHOOSE(CONTROL!$C$21, $C$9, 100%, $E$9)</f>
        <v>116.6862</v>
      </c>
      <c r="G984" s="14">
        <f>CHOOSE(CONTROL!$C$42, 116.7042, 116.7042)*CHOOSE(CONTROL!$C$21, $C$9, 100%, $E$9)</f>
        <v>116.7042</v>
      </c>
      <c r="H984" s="14">
        <f>CHOOSE(CONTROL!$C$42, 116.7676, 116.7676) * CHOOSE(CONTROL!$C$21, $C$9, 100%, $E$9)</f>
        <v>116.7676</v>
      </c>
      <c r="I984" s="14">
        <f>CHOOSE(CONTROL!$C$42, 117.0411, 117.0411)* CHOOSE(CONTROL!$C$21, $C$9, 100%, $E$9)</f>
        <v>117.0411</v>
      </c>
      <c r="J984" s="14">
        <f>CHOOSE(CONTROL!$C$42, 116.6792, 116.6792)* CHOOSE(CONTROL!$C$21, $C$9, 100%, $E$9)</f>
        <v>116.67919999999999</v>
      </c>
      <c r="K984" s="52">
        <f>CHOOSE(CONTROL!$C$42, 117.0372, 117.0372) * CHOOSE(CONTROL!$C$21, $C$9, 100%, $E$9)</f>
        <v>117.0372</v>
      </c>
      <c r="L984" s="14">
        <f>CHOOSE(CONTROL!$C$42, 117.3546, 117.3546) * CHOOSE(CONTROL!$C$21, $C$9, 100%, $E$9)</f>
        <v>117.3546</v>
      </c>
      <c r="M984" s="14">
        <f>CHOOSE(CONTROL!$C$42, 114.5882, 114.5882) * CHOOSE(CONTROL!$C$21, $C$9, 100%, $E$9)</f>
        <v>114.5882</v>
      </c>
      <c r="N984" s="14">
        <f>CHOOSE(CONTROL!$C$42, 114.6059, 114.6059) * CHOOSE(CONTROL!$C$21, $C$9, 100%, $E$9)</f>
        <v>114.60590000000001</v>
      </c>
      <c r="O984" s="14">
        <f>CHOOSE(CONTROL!$C$42, 114.675, 114.675) * CHOOSE(CONTROL!$C$21, $C$9, 100%, $E$9)</f>
        <v>114.675</v>
      </c>
      <c r="P984" s="14">
        <f>CHOOSE(CONTROL!$C$42, 114.9372, 114.9372) * CHOOSE(CONTROL!$C$21, $C$9, 100%, $E$9)</f>
        <v>114.9372</v>
      </c>
      <c r="Q984" s="14">
        <f>CHOOSE(CONTROL!$C$42, 115.2697, 115.2697) * CHOOSE(CONTROL!$C$21, $C$9, 100%, $E$9)</f>
        <v>115.2697</v>
      </c>
      <c r="R984" s="14">
        <f>CHOOSE(CONTROL!$C$42, 116.1449, 116.1449) * CHOOSE(CONTROL!$C$21, $C$9, 100%, $E$9)</f>
        <v>116.14490000000001</v>
      </c>
      <c r="S984" s="14">
        <f>CHOOSE(CONTROL!$C$42, 112.0864, 112.0864) * CHOOSE(CONTROL!$C$21, $C$9, 100%, $E$9)</f>
        <v>112.0864</v>
      </c>
      <c r="T9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84" s="56">
        <f>(1000*CHOOSE(CONTROL!$C$42, 695, 695)*CHOOSE(CONTROL!$C$42, 0.5599, 0.5599)*CHOOSE(CONTROL!$C$42, 31, 31))/1000000</f>
        <v>12.063045499999998</v>
      </c>
      <c r="V984" s="56">
        <f>(1000*CHOOSE(CONTROL!$C$42, 500, 500)*CHOOSE(CONTROL!$C$42, 0.275, 0.275)*CHOOSE(CONTROL!$C$42, 31, 31))/1000000</f>
        <v>4.2625000000000002</v>
      </c>
      <c r="W984" s="56">
        <f>(1000*CHOOSE(CONTROL!$C$42, 0.1146, 0.1146)*CHOOSE(CONTROL!$C$42, 121.5, 121.5)*CHOOSE(CONTROL!$C$42, 31, 31))/1000000</f>
        <v>0.43164089999999994</v>
      </c>
      <c r="X984" s="56">
        <f>(31*0.1790888*100000/1000000)+(31*0.2374*100000/1000000)</f>
        <v>1.2911152800000001</v>
      </c>
      <c r="Y984" s="56"/>
      <c r="Z984" s="14"/>
      <c r="AA984" s="55"/>
      <c r="AB984" s="49">
        <f>(B984*122.58+C984*297.941+D984*89.177+E984*40.302+F984*40+G984*160+H984*0+I984*100+J984*300)/(122.58+297.941+89.177+40.302+0+40+160+100+300)</f>
        <v>116.71579030008695</v>
      </c>
      <c r="AC984" s="45">
        <f>(M984*'RAP TEMPLATE-GAS AVAILABILITY'!O983+N984*'RAP TEMPLATE-GAS AVAILABILITY'!P983+O984*'RAP TEMPLATE-GAS AVAILABILITY'!Q983+P984*'RAP TEMPLATE-GAS AVAILABILITY'!R983)/('RAP TEMPLATE-GAS AVAILABILITY'!O983+'RAP TEMPLATE-GAS AVAILABILITY'!P983+'RAP TEMPLATE-GAS AVAILABILITY'!Q983+'RAP TEMPLATE-GAS AVAILABILITY'!R983)</f>
        <v>114.67877553956836</v>
      </c>
    </row>
    <row r="985" spans="1:29" ht="15.75" x14ac:dyDescent="0.25">
      <c r="A985" s="32">
        <v>70890</v>
      </c>
      <c r="B985" s="14">
        <f>CHOOSE(CONTROL!$C$42, 126.3262, 126.3262) * CHOOSE(CONTROL!$C$21, $C$9, 100%, $E$9)</f>
        <v>126.3262</v>
      </c>
      <c r="C985" s="14">
        <f>CHOOSE(CONTROL!$C$42, 126.3313, 126.3313) * CHOOSE(CONTROL!$C$21, $C$9, 100%, $E$9)</f>
        <v>126.3313</v>
      </c>
      <c r="D985" s="14">
        <f>CHOOSE(CONTROL!$C$42, 126.4248, 126.4248) * CHOOSE(CONTROL!$C$21, $C$9, 100%, $E$9)</f>
        <v>126.4248</v>
      </c>
      <c r="E985" s="14">
        <f>CHOOSE(CONTROL!$C$42, 126.4589, 126.4589) * CHOOSE(CONTROL!$C$21, $C$9, 100%, $E$9)</f>
        <v>126.4589</v>
      </c>
      <c r="F985" s="14">
        <f>CHOOSE(CONTROL!$C$42, 126.3535, 126.3535)*CHOOSE(CONTROL!$C$21, $C$9, 100%, $E$9)</f>
        <v>126.3535</v>
      </c>
      <c r="G985" s="14">
        <f>CHOOSE(CONTROL!$C$42, 126.3715, 126.3715)*CHOOSE(CONTROL!$C$21, $C$9, 100%, $E$9)</f>
        <v>126.3715</v>
      </c>
      <c r="H985" s="14">
        <f>CHOOSE(CONTROL!$C$42, 126.4481, 126.4481) * CHOOSE(CONTROL!$C$21, $C$9, 100%, $E$9)</f>
        <v>126.4481</v>
      </c>
      <c r="I985" s="14">
        <f>CHOOSE(CONTROL!$C$42, 126.7478, 126.7478)* CHOOSE(CONTROL!$C$21, $C$9, 100%, $E$9)</f>
        <v>126.7478</v>
      </c>
      <c r="J985" s="14">
        <f>CHOOSE(CONTROL!$C$42, 126.3465, 126.3465)* CHOOSE(CONTROL!$C$21, $C$9, 100%, $E$9)</f>
        <v>126.34650000000001</v>
      </c>
      <c r="K985" s="52">
        <f>CHOOSE(CONTROL!$C$42, 126.7439, 126.7439) * CHOOSE(CONTROL!$C$21, $C$9, 100%, $E$9)</f>
        <v>126.7439</v>
      </c>
      <c r="L985" s="14">
        <f>CHOOSE(CONTROL!$C$42, 127.0351, 127.0351) * CHOOSE(CONTROL!$C$21, $C$9, 100%, $E$9)</f>
        <v>127.0351</v>
      </c>
      <c r="M985" s="14">
        <f>CHOOSE(CONTROL!$C$42, 124.0817, 124.0817) * CHOOSE(CONTROL!$C$21, $C$9, 100%, $E$9)</f>
        <v>124.0817</v>
      </c>
      <c r="N985" s="14">
        <f>CHOOSE(CONTROL!$C$42, 124.0993, 124.0993) * CHOOSE(CONTROL!$C$21, $C$9, 100%, $E$9)</f>
        <v>124.0993</v>
      </c>
      <c r="O985" s="14">
        <f>CHOOSE(CONTROL!$C$42, 124.1814, 124.1814) * CHOOSE(CONTROL!$C$21, $C$9, 100%, $E$9)</f>
        <v>124.1814</v>
      </c>
      <c r="P985" s="14">
        <f>CHOOSE(CONTROL!$C$42, 124.4687, 124.4687) * CHOOSE(CONTROL!$C$21, $C$9, 100%, $E$9)</f>
        <v>124.4687</v>
      </c>
      <c r="Q985" s="14">
        <f>CHOOSE(CONTROL!$C$42, 124.7761, 124.7761) * CHOOSE(CONTROL!$C$21, $C$9, 100%, $E$9)</f>
        <v>124.7761</v>
      </c>
      <c r="R985" s="14">
        <f>CHOOSE(CONTROL!$C$42, 125.675, 125.675) * CHOOSE(CONTROL!$C$21, $C$9, 100%, $E$9)</f>
        <v>125.675</v>
      </c>
      <c r="S985" s="14">
        <f>CHOOSE(CONTROL!$C$42, 121.3783, 121.3783) * CHOOSE(CONTROL!$C$21, $C$9, 100%, $E$9)</f>
        <v>121.3783</v>
      </c>
      <c r="T9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85" s="56">
        <f>(1000*CHOOSE(CONTROL!$C$42, 695, 695)*CHOOSE(CONTROL!$C$42, 0.5599, 0.5599)*CHOOSE(CONTROL!$C$42, 31, 31))/1000000</f>
        <v>12.063045499999998</v>
      </c>
      <c r="V985" s="56">
        <f>(1000*CHOOSE(CONTROL!$C$42, 500, 500)*CHOOSE(CONTROL!$C$42, 0.275, 0.275)*CHOOSE(CONTROL!$C$42, 31, 31))/1000000</f>
        <v>4.2625000000000002</v>
      </c>
      <c r="W985" s="56">
        <f>(1000*CHOOSE(CONTROL!$C$42, 0.1146, 0.1146)*CHOOSE(CONTROL!$C$42, 121.5, 121.5)*CHOOSE(CONTROL!$C$42, 31, 31))/1000000</f>
        <v>0.43164089999999994</v>
      </c>
      <c r="X985" s="56">
        <f>(31*0.1790888*100000/1000000)+(31*0.2374*100000/1000000)</f>
        <v>1.2911152800000001</v>
      </c>
      <c r="Y985" s="56"/>
      <c r="Z985" s="14"/>
      <c r="AA985" s="55"/>
      <c r="AB985" s="49">
        <f>(B985*122.58+C985*297.941+D985*89.177+E985*40.302+F985*40+G985*160+H985*0+I985*100+J985*300)/(122.58+297.941+89.177+40.302+0+40+160+100+300)</f>
        <v>126.38902645799999</v>
      </c>
      <c r="AC985" s="45">
        <f>(M985*'RAP TEMPLATE-GAS AVAILABILITY'!O984+N985*'RAP TEMPLATE-GAS AVAILABILITY'!P984+O985*'RAP TEMPLATE-GAS AVAILABILITY'!Q984+P985*'RAP TEMPLATE-GAS AVAILABILITY'!R984)/('RAP TEMPLATE-GAS AVAILABILITY'!O984+'RAP TEMPLATE-GAS AVAILABILITY'!P984+'RAP TEMPLATE-GAS AVAILABILITY'!Q984+'RAP TEMPLATE-GAS AVAILABILITY'!R984)</f>
        <v>124.18358417266185</v>
      </c>
    </row>
    <row r="986" spans="1:29" ht="15.75" x14ac:dyDescent="0.25">
      <c r="A986" s="32">
        <v>70918</v>
      </c>
      <c r="B986" s="14">
        <f>CHOOSE(CONTROL!$C$42, 128.5749, 128.5749) * CHOOSE(CONTROL!$C$21, $C$9, 100%, $E$9)</f>
        <v>128.57490000000001</v>
      </c>
      <c r="C986" s="14">
        <f>CHOOSE(CONTROL!$C$42, 128.5799, 128.5799) * CHOOSE(CONTROL!$C$21, $C$9, 100%, $E$9)</f>
        <v>128.57990000000001</v>
      </c>
      <c r="D986" s="14">
        <f>CHOOSE(CONTROL!$C$42, 128.6734, 128.6734) * CHOOSE(CONTROL!$C$21, $C$9, 100%, $E$9)</f>
        <v>128.67339999999999</v>
      </c>
      <c r="E986" s="14">
        <f>CHOOSE(CONTROL!$C$42, 128.7075, 128.7075) * CHOOSE(CONTROL!$C$21, $C$9, 100%, $E$9)</f>
        <v>128.70750000000001</v>
      </c>
      <c r="F986" s="14">
        <f>CHOOSE(CONTROL!$C$42, 128.6018, 128.6018)*CHOOSE(CONTROL!$C$21, $C$9, 100%, $E$9)</f>
        <v>128.6018</v>
      </c>
      <c r="G986" s="14">
        <f>CHOOSE(CONTROL!$C$42, 128.6197, 128.6197)*CHOOSE(CONTROL!$C$21, $C$9, 100%, $E$9)</f>
        <v>128.61969999999999</v>
      </c>
      <c r="H986" s="14">
        <f>CHOOSE(CONTROL!$C$42, 128.6967, 128.6967) * CHOOSE(CONTROL!$C$21, $C$9, 100%, $E$9)</f>
        <v>128.69669999999999</v>
      </c>
      <c r="I986" s="14">
        <f>CHOOSE(CONTROL!$C$42, 129.0034, 129.0034)* CHOOSE(CONTROL!$C$21, $C$9, 100%, $E$9)</f>
        <v>129.0034</v>
      </c>
      <c r="J986" s="14">
        <f>CHOOSE(CONTROL!$C$42, 128.5948, 128.5948)* CHOOSE(CONTROL!$C$21, $C$9, 100%, $E$9)</f>
        <v>128.59479999999999</v>
      </c>
      <c r="K986" s="52">
        <f>CHOOSE(CONTROL!$C$42, 128.9995, 128.9995) * CHOOSE(CONTROL!$C$21, $C$9, 100%, $E$9)</f>
        <v>128.99950000000001</v>
      </c>
      <c r="L986" s="14">
        <f>CHOOSE(CONTROL!$C$42, 129.2837, 129.2837) * CHOOSE(CONTROL!$C$21, $C$9, 100%, $E$9)</f>
        <v>129.28370000000001</v>
      </c>
      <c r="M986" s="14">
        <f>CHOOSE(CONTROL!$C$42, 126.2895, 126.2895) * CHOOSE(CONTROL!$C$21, $C$9, 100%, $E$9)</f>
        <v>126.2895</v>
      </c>
      <c r="N986" s="14">
        <f>CHOOSE(CONTROL!$C$42, 126.3071, 126.3071) * CHOOSE(CONTROL!$C$21, $C$9, 100%, $E$9)</f>
        <v>126.30710000000001</v>
      </c>
      <c r="O986" s="14">
        <f>CHOOSE(CONTROL!$C$42, 126.3896, 126.3896) * CHOOSE(CONTROL!$C$21, $C$9, 100%, $E$9)</f>
        <v>126.3896</v>
      </c>
      <c r="P986" s="14">
        <f>CHOOSE(CONTROL!$C$42, 126.6837, 126.6837) * CHOOSE(CONTROL!$C$21, $C$9, 100%, $E$9)</f>
        <v>126.6837</v>
      </c>
      <c r="Q986" s="14">
        <f>CHOOSE(CONTROL!$C$42, 126.9843, 126.9843) * CHOOSE(CONTROL!$C$21, $C$9, 100%, $E$9)</f>
        <v>126.9843</v>
      </c>
      <c r="R986" s="14">
        <f>CHOOSE(CONTROL!$C$42, 127.8887, 127.8887) * CHOOSE(CONTROL!$C$21, $C$9, 100%, $E$9)</f>
        <v>127.8887</v>
      </c>
      <c r="S986" s="14">
        <f>CHOOSE(CONTROL!$C$42, 123.539, 123.539) * CHOOSE(CONTROL!$C$21, $C$9, 100%, $E$9)</f>
        <v>123.539</v>
      </c>
      <c r="T98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986" s="56">
        <f>(1000*CHOOSE(CONTROL!$C$42, 695, 695)*CHOOSE(CONTROL!$C$42, 0.5599, 0.5599)*CHOOSE(CONTROL!$C$42, 28, 28))/1000000</f>
        <v>10.895653999999999</v>
      </c>
      <c r="V986" s="56">
        <f>(1000*CHOOSE(CONTROL!$C$42, 500, 500)*CHOOSE(CONTROL!$C$42, 0.275, 0.275)*CHOOSE(CONTROL!$C$42, 28, 28))/1000000</f>
        <v>3.85</v>
      </c>
      <c r="W986" s="56">
        <f>(1000*CHOOSE(CONTROL!$C$42, 0.1146, 0.1146)*CHOOSE(CONTROL!$C$42, 121.5, 121.5)*CHOOSE(CONTROL!$C$42, 28, 28))/1000000</f>
        <v>0.38986920000000003</v>
      </c>
      <c r="X986" s="56">
        <f>(28*0.1790888*100000/1000000)+(28*0.2374*100000/1000000)</f>
        <v>1.16616864</v>
      </c>
      <c r="Y986" s="56"/>
      <c r="Z986" s="14"/>
      <c r="AA986" s="55"/>
      <c r="AB986" s="49">
        <f>(B986*122.58+C986*297.941+D986*89.177+E986*40.302+F986*40+G986*160+H986*0+I986*100+J986*300)/(122.58+297.941+89.177+40.302+0+40+160+100+300)</f>
        <v>128.63810146495652</v>
      </c>
      <c r="AC986" s="45">
        <f>(M986*'RAP TEMPLATE-GAS AVAILABILITY'!O985+N986*'RAP TEMPLATE-GAS AVAILABILITY'!P985+O986*'RAP TEMPLATE-GAS AVAILABILITY'!Q985+P986*'RAP TEMPLATE-GAS AVAILABILITY'!R985)/('RAP TEMPLATE-GAS AVAILABILITY'!O985+'RAP TEMPLATE-GAS AVAILABILITY'!P985+'RAP TEMPLATE-GAS AVAILABILITY'!Q985+'RAP TEMPLATE-GAS AVAILABILITY'!R985)</f>
        <v>126.39260143884893</v>
      </c>
    </row>
    <row r="987" spans="1:29" ht="15.75" x14ac:dyDescent="0.25">
      <c r="A987" s="32">
        <v>70949</v>
      </c>
      <c r="B987" s="14">
        <f>CHOOSE(CONTROL!$C$42, 124.9248, 124.9248) * CHOOSE(CONTROL!$C$21, $C$9, 100%, $E$9)</f>
        <v>124.9248</v>
      </c>
      <c r="C987" s="14">
        <f>CHOOSE(CONTROL!$C$42, 124.9299, 124.9299) * CHOOSE(CONTROL!$C$21, $C$9, 100%, $E$9)</f>
        <v>124.9299</v>
      </c>
      <c r="D987" s="14">
        <f>CHOOSE(CONTROL!$C$42, 125.0233, 125.0233) * CHOOSE(CONTROL!$C$21, $C$9, 100%, $E$9)</f>
        <v>125.02330000000001</v>
      </c>
      <c r="E987" s="14">
        <f>CHOOSE(CONTROL!$C$42, 125.0574, 125.0574) * CHOOSE(CONTROL!$C$21, $C$9, 100%, $E$9)</f>
        <v>125.0574</v>
      </c>
      <c r="F987" s="14">
        <f>CHOOSE(CONTROL!$C$42, 124.9509, 124.9509)*CHOOSE(CONTROL!$C$21, $C$9, 100%, $E$9)</f>
        <v>124.9509</v>
      </c>
      <c r="G987" s="14">
        <f>CHOOSE(CONTROL!$C$42, 124.9685, 124.9685)*CHOOSE(CONTROL!$C$21, $C$9, 100%, $E$9)</f>
        <v>124.96850000000001</v>
      </c>
      <c r="H987" s="14">
        <f>CHOOSE(CONTROL!$C$42, 125.0466, 125.0466) * CHOOSE(CONTROL!$C$21, $C$9, 100%, $E$9)</f>
        <v>125.0466</v>
      </c>
      <c r="I987" s="14">
        <f>CHOOSE(CONTROL!$C$42, 125.3419, 125.3419)* CHOOSE(CONTROL!$C$21, $C$9, 100%, $E$9)</f>
        <v>125.3419</v>
      </c>
      <c r="J987" s="14">
        <f>CHOOSE(CONTROL!$C$42, 124.9439, 124.9439)* CHOOSE(CONTROL!$C$21, $C$9, 100%, $E$9)</f>
        <v>124.9439</v>
      </c>
      <c r="K987" s="52">
        <f>CHOOSE(CONTROL!$C$42, 125.3381, 125.3381) * CHOOSE(CONTROL!$C$21, $C$9, 100%, $E$9)</f>
        <v>125.3381</v>
      </c>
      <c r="L987" s="14">
        <f>CHOOSE(CONTROL!$C$42, 125.6336, 125.6336) * CHOOSE(CONTROL!$C$21, $C$9, 100%, $E$9)</f>
        <v>125.6336</v>
      </c>
      <c r="M987" s="14">
        <f>CHOOSE(CONTROL!$C$42, 122.7042, 122.7042) * CHOOSE(CONTROL!$C$21, $C$9, 100%, $E$9)</f>
        <v>122.7042</v>
      </c>
      <c r="N987" s="14">
        <f>CHOOSE(CONTROL!$C$42, 122.7216, 122.7216) * CHOOSE(CONTROL!$C$21, $C$9, 100%, $E$9)</f>
        <v>122.7216</v>
      </c>
      <c r="O987" s="14">
        <f>CHOOSE(CONTROL!$C$42, 122.8052, 122.8052) * CHOOSE(CONTROL!$C$21, $C$9, 100%, $E$9)</f>
        <v>122.8052</v>
      </c>
      <c r="P987" s="14">
        <f>CHOOSE(CONTROL!$C$42, 123.0883, 123.0883) * CHOOSE(CONTROL!$C$21, $C$9, 100%, $E$9)</f>
        <v>123.0883</v>
      </c>
      <c r="Q987" s="14">
        <f>CHOOSE(CONTROL!$C$42, 123.3999, 123.3999) * CHOOSE(CONTROL!$C$21, $C$9, 100%, $E$9)</f>
        <v>123.3999</v>
      </c>
      <c r="R987" s="14">
        <f>CHOOSE(CONTROL!$C$42, 124.2954, 124.2954) * CHOOSE(CONTROL!$C$21, $C$9, 100%, $E$9)</f>
        <v>124.2954</v>
      </c>
      <c r="S987" s="14">
        <f>CHOOSE(CONTROL!$C$42, 120.0317, 120.0317) * CHOOSE(CONTROL!$C$21, $C$9, 100%, $E$9)</f>
        <v>120.0317</v>
      </c>
      <c r="T9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87" s="56">
        <f>(1000*CHOOSE(CONTROL!$C$42, 695, 695)*CHOOSE(CONTROL!$C$42, 0.5599, 0.5599)*CHOOSE(CONTROL!$C$42, 31, 31))/1000000</f>
        <v>12.063045499999998</v>
      </c>
      <c r="V987" s="56">
        <f>(1000*CHOOSE(CONTROL!$C$42, 500, 500)*CHOOSE(CONTROL!$C$42, 0.275, 0.275)*CHOOSE(CONTROL!$C$42, 31, 31))/1000000</f>
        <v>4.2625000000000002</v>
      </c>
      <c r="W987" s="56">
        <f>(1000*CHOOSE(CONTROL!$C$42, 0.1146, 0.1146)*CHOOSE(CONTROL!$C$42, 121.5, 121.5)*CHOOSE(CONTROL!$C$42, 31, 31))/1000000</f>
        <v>0.43164089999999994</v>
      </c>
      <c r="X987" s="56">
        <f>(31*0.1790888*100000/1000000)+(31*0.2374*100000/1000000)</f>
        <v>1.2911152800000001</v>
      </c>
      <c r="Y987" s="56"/>
      <c r="Z987" s="14"/>
      <c r="AA987" s="55"/>
      <c r="AB987" s="49">
        <f>(B987*122.58+C987*297.941+D987*89.177+E987*40.302+F987*40+G987*160+H987*0+I987*100+J987*300)/(122.58+297.941+89.177+40.302+0+40+160+100+300)</f>
        <v>124.98664650330437</v>
      </c>
      <c r="AC987" s="45">
        <f>(M987*'RAP TEMPLATE-GAS AVAILABILITY'!O986+N987*'RAP TEMPLATE-GAS AVAILABILITY'!P986+O987*'RAP TEMPLATE-GAS AVAILABILITY'!Q986+P987*'RAP TEMPLATE-GAS AVAILABILITY'!R986)/('RAP TEMPLATE-GAS AVAILABILITY'!O986+'RAP TEMPLATE-GAS AVAILABILITY'!P986+'RAP TEMPLATE-GAS AVAILABILITY'!Q986+'RAP TEMPLATE-GAS AVAILABILITY'!R986)</f>
        <v>122.80624460431656</v>
      </c>
    </row>
    <row r="988" spans="1:29" ht="15.75" x14ac:dyDescent="0.25">
      <c r="A988" s="32">
        <v>70979</v>
      </c>
      <c r="B988" s="14">
        <f>CHOOSE(CONTROL!$C$42, 124.5518, 124.5518) * CHOOSE(CONTROL!$C$21, $C$9, 100%, $E$9)</f>
        <v>124.5518</v>
      </c>
      <c r="C988" s="14">
        <f>CHOOSE(CONTROL!$C$42, 124.5563, 124.5563) * CHOOSE(CONTROL!$C$21, $C$9, 100%, $E$9)</f>
        <v>124.55629999999999</v>
      </c>
      <c r="D988" s="14">
        <f>CHOOSE(CONTROL!$C$42, 124.8185, 124.8185) * CHOOSE(CONTROL!$C$21, $C$9, 100%, $E$9)</f>
        <v>124.8185</v>
      </c>
      <c r="E988" s="14">
        <f>CHOOSE(CONTROL!$C$42, 124.8506, 124.8506) * CHOOSE(CONTROL!$C$21, $C$9, 100%, $E$9)</f>
        <v>124.8506</v>
      </c>
      <c r="F988" s="14">
        <f>CHOOSE(CONTROL!$C$42, 124.5746, 124.5746)*CHOOSE(CONTROL!$C$21, $C$9, 100%, $E$9)</f>
        <v>124.5746</v>
      </c>
      <c r="G988" s="14">
        <f>CHOOSE(CONTROL!$C$42, 124.5913, 124.5913)*CHOOSE(CONTROL!$C$21, $C$9, 100%, $E$9)</f>
        <v>124.5913</v>
      </c>
      <c r="H988" s="14">
        <f>CHOOSE(CONTROL!$C$42, 124.8404, 124.8404) * CHOOSE(CONTROL!$C$21, $C$9, 100%, $E$9)</f>
        <v>124.8404</v>
      </c>
      <c r="I988" s="14">
        <f>CHOOSE(CONTROL!$C$42, 124.9644, 124.9644)* CHOOSE(CONTROL!$C$21, $C$9, 100%, $E$9)</f>
        <v>124.9644</v>
      </c>
      <c r="J988" s="14">
        <f>CHOOSE(CONTROL!$C$42, 124.5676, 124.5676)* CHOOSE(CONTROL!$C$21, $C$9, 100%, $E$9)</f>
        <v>124.5676</v>
      </c>
      <c r="K988" s="52">
        <f>CHOOSE(CONTROL!$C$42, 124.9605, 124.9605) * CHOOSE(CONTROL!$C$21, $C$9, 100%, $E$9)</f>
        <v>124.9605</v>
      </c>
      <c r="L988" s="14">
        <f>CHOOSE(CONTROL!$C$42, 125.4274, 125.4274) * CHOOSE(CONTROL!$C$21, $C$9, 100%, $E$9)</f>
        <v>125.42740000000001</v>
      </c>
      <c r="M988" s="14">
        <f>CHOOSE(CONTROL!$C$42, 122.3347, 122.3347) * CHOOSE(CONTROL!$C$21, $C$9, 100%, $E$9)</f>
        <v>122.3347</v>
      </c>
      <c r="N988" s="14">
        <f>CHOOSE(CONTROL!$C$42, 122.3512, 122.3512) * CHOOSE(CONTROL!$C$21, $C$9, 100%, $E$9)</f>
        <v>122.35120000000001</v>
      </c>
      <c r="O988" s="14">
        <f>CHOOSE(CONTROL!$C$42, 122.6026, 122.6026) * CHOOSE(CONTROL!$C$21, $C$9, 100%, $E$9)</f>
        <v>122.6026</v>
      </c>
      <c r="P988" s="14">
        <f>CHOOSE(CONTROL!$C$42, 122.7175, 122.7175) * CHOOSE(CONTROL!$C$21, $C$9, 100%, $E$9)</f>
        <v>122.7175</v>
      </c>
      <c r="Q988" s="14">
        <f>CHOOSE(CONTROL!$C$42, 123.1973, 123.1973) * CHOOSE(CONTROL!$C$21, $C$9, 100%, $E$9)</f>
        <v>123.1973</v>
      </c>
      <c r="R988" s="14">
        <f>CHOOSE(CONTROL!$C$42, 124.0923, 124.0923) * CHOOSE(CONTROL!$C$21, $C$9, 100%, $E$9)</f>
        <v>124.09229999999999</v>
      </c>
      <c r="S988" s="14">
        <f>CHOOSE(CONTROL!$C$42, 119.6725, 119.6725) * CHOOSE(CONTROL!$C$21, $C$9, 100%, $E$9)</f>
        <v>119.6725</v>
      </c>
      <c r="T9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988" s="56">
        <f>(1000*CHOOSE(CONTROL!$C$42, 695, 695)*CHOOSE(CONTROL!$C$42, 0.5599, 0.5599)*CHOOSE(CONTROL!$C$42, 30, 30))/1000000</f>
        <v>11.673914999999997</v>
      </c>
      <c r="V988" s="56">
        <f>(1000*CHOOSE(CONTROL!$C$42, 500, 500)*CHOOSE(CONTROL!$C$42, 0.275, 0.275)*CHOOSE(CONTROL!$C$42, 30, 30))/1000000</f>
        <v>4.125</v>
      </c>
      <c r="W988" s="56">
        <f>(1000*CHOOSE(CONTROL!$C$42, 0.1146, 0.1146)*CHOOSE(CONTROL!$C$42, 121.5, 121.5)*CHOOSE(CONTROL!$C$42, 30, 30))/1000000</f>
        <v>0.417717</v>
      </c>
      <c r="X988" s="56">
        <f>(30*0.1790888*245000/1000000)+(30*0.2374*100000/1000000)</f>
        <v>2.0285026799999999</v>
      </c>
      <c r="Y988" s="56"/>
      <c r="Z988" s="14"/>
      <c r="AA988" s="55"/>
      <c r="AB988" s="49">
        <f>(B988*141.293+C988*267.993+D988*115.016+E988*89.698+F988*40+G988*185+H988*0+I988*100+J988*300)/(141.293+267.993+115.016+89.698+0+40+185+100+300)</f>
        <v>124.64292348514931</v>
      </c>
      <c r="AC988" s="45">
        <f>(M988*'RAP TEMPLATE-GAS AVAILABILITY'!O987+N988*'RAP TEMPLATE-GAS AVAILABILITY'!P987+O988*'RAP TEMPLATE-GAS AVAILABILITY'!Q987+P988*'RAP TEMPLATE-GAS AVAILABILITY'!R987)/('RAP TEMPLATE-GAS AVAILABILITY'!O987+'RAP TEMPLATE-GAS AVAILABILITY'!P987+'RAP TEMPLATE-GAS AVAILABILITY'!Q987+'RAP TEMPLATE-GAS AVAILABILITY'!R987)</f>
        <v>122.5121510791367</v>
      </c>
    </row>
    <row r="989" spans="1:29" ht="15.75" x14ac:dyDescent="0.25">
      <c r="A989" s="32">
        <v>71010</v>
      </c>
      <c r="B989" s="14">
        <f>CHOOSE(CONTROL!$C$42, 125.6524, 125.6524) * CHOOSE(CONTROL!$C$21, $C$9, 100%, $E$9)</f>
        <v>125.6524</v>
      </c>
      <c r="C989" s="14">
        <f>CHOOSE(CONTROL!$C$42, 125.6604, 125.6604) * CHOOSE(CONTROL!$C$21, $C$9, 100%, $E$9)</f>
        <v>125.6604</v>
      </c>
      <c r="D989" s="14">
        <f>CHOOSE(CONTROL!$C$42, 125.9195, 125.9195) * CHOOSE(CONTROL!$C$21, $C$9, 100%, $E$9)</f>
        <v>125.9195</v>
      </c>
      <c r="E989" s="14">
        <f>CHOOSE(CONTROL!$C$42, 125.951, 125.951) * CHOOSE(CONTROL!$C$21, $C$9, 100%, $E$9)</f>
        <v>125.95099999999999</v>
      </c>
      <c r="F989" s="14">
        <f>CHOOSE(CONTROL!$C$42, 125.6739, 125.6739)*CHOOSE(CONTROL!$C$21, $C$9, 100%, $E$9)</f>
        <v>125.6739</v>
      </c>
      <c r="G989" s="14">
        <f>CHOOSE(CONTROL!$C$42, 125.6909, 125.6909)*CHOOSE(CONTROL!$C$21, $C$9, 100%, $E$9)</f>
        <v>125.6909</v>
      </c>
      <c r="H989" s="14">
        <f>CHOOSE(CONTROL!$C$42, 125.9396, 125.9396) * CHOOSE(CONTROL!$C$21, $C$9, 100%, $E$9)</f>
        <v>125.9396</v>
      </c>
      <c r="I989" s="14">
        <f>CHOOSE(CONTROL!$C$42, 126.067, 126.067)* CHOOSE(CONTROL!$C$21, $C$9, 100%, $E$9)</f>
        <v>126.06699999999999</v>
      </c>
      <c r="J989" s="14">
        <f>CHOOSE(CONTROL!$C$42, 125.6669, 125.6669)* CHOOSE(CONTROL!$C$21, $C$9, 100%, $E$9)</f>
        <v>125.6669</v>
      </c>
      <c r="K989" s="52">
        <f>CHOOSE(CONTROL!$C$42, 126.0631, 126.0631) * CHOOSE(CONTROL!$C$21, $C$9, 100%, $E$9)</f>
        <v>126.06310000000001</v>
      </c>
      <c r="L989" s="14">
        <f>CHOOSE(CONTROL!$C$42, 126.5266, 126.5266) * CHOOSE(CONTROL!$C$21, $C$9, 100%, $E$9)</f>
        <v>126.5266</v>
      </c>
      <c r="M989" s="14">
        <f>CHOOSE(CONTROL!$C$42, 123.4143, 123.4143) * CHOOSE(CONTROL!$C$21, $C$9, 100%, $E$9)</f>
        <v>123.4143</v>
      </c>
      <c r="N989" s="14">
        <f>CHOOSE(CONTROL!$C$42, 123.431, 123.431) * CHOOSE(CONTROL!$C$21, $C$9, 100%, $E$9)</f>
        <v>123.431</v>
      </c>
      <c r="O989" s="14">
        <f>CHOOSE(CONTROL!$C$42, 123.6821, 123.6821) * CHOOSE(CONTROL!$C$21, $C$9, 100%, $E$9)</f>
        <v>123.68210000000001</v>
      </c>
      <c r="P989" s="14">
        <f>CHOOSE(CONTROL!$C$42, 123.8003, 123.8003) * CHOOSE(CONTROL!$C$21, $C$9, 100%, $E$9)</f>
        <v>123.80029999999999</v>
      </c>
      <c r="Q989" s="14">
        <f>CHOOSE(CONTROL!$C$42, 124.2768, 124.2768) * CHOOSE(CONTROL!$C$21, $C$9, 100%, $E$9)</f>
        <v>124.27679999999999</v>
      </c>
      <c r="R989" s="14">
        <f>CHOOSE(CONTROL!$C$42, 125.1745, 125.1745) * CHOOSE(CONTROL!$C$21, $C$9, 100%, $E$9)</f>
        <v>125.17449999999999</v>
      </c>
      <c r="S989" s="14">
        <f>CHOOSE(CONTROL!$C$42, 120.7288, 120.7288) * CHOOSE(CONTROL!$C$21, $C$9, 100%, $E$9)</f>
        <v>120.72880000000001</v>
      </c>
      <c r="T9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989" s="56">
        <f>(1000*CHOOSE(CONTROL!$C$42, 695, 695)*CHOOSE(CONTROL!$C$42, 0.5599, 0.5599)*CHOOSE(CONTROL!$C$42, 31, 31))/1000000</f>
        <v>12.063045499999998</v>
      </c>
      <c r="V989" s="56">
        <f>(1000*CHOOSE(CONTROL!$C$42, 500, 500)*CHOOSE(CONTROL!$C$42, 0.275, 0.275)*CHOOSE(CONTROL!$C$42, 31, 31))/1000000</f>
        <v>4.2625000000000002</v>
      </c>
      <c r="W989" s="56">
        <f>(1000*CHOOSE(CONTROL!$C$42, 0.1146, 0.1146)*CHOOSE(CONTROL!$C$42, 121.5, 121.5)*CHOOSE(CONTROL!$C$42, 31, 31))/1000000</f>
        <v>0.43164089999999994</v>
      </c>
      <c r="X989" s="56">
        <f>(31*0.1790888*245000/1000000)+(31*0.2374*100000/1000000)</f>
        <v>2.0961194359999999</v>
      </c>
      <c r="Y989" s="56"/>
      <c r="Z989" s="14"/>
      <c r="AA989" s="55"/>
      <c r="AB989" s="49">
        <f>(B989*194.205+C989*267.466+D989*133.845+E989*53.484+F989*40+G989*185+H989*0+I989*100+J989*300)/(194.205+267.466+133.845+53.484+0+40+185+100+300)</f>
        <v>125.73689964670329</v>
      </c>
      <c r="AC989" s="45">
        <f>(M989*'RAP TEMPLATE-GAS AVAILABILITY'!O988+N989*'RAP TEMPLATE-GAS AVAILABILITY'!P988+O989*'RAP TEMPLATE-GAS AVAILABILITY'!Q988+P989*'RAP TEMPLATE-GAS AVAILABILITY'!R988)/('RAP TEMPLATE-GAS AVAILABILITY'!O988+'RAP TEMPLATE-GAS AVAILABILITY'!P988+'RAP TEMPLATE-GAS AVAILABILITY'!Q988+'RAP TEMPLATE-GAS AVAILABILITY'!R988)</f>
        <v>123.59217769784171</v>
      </c>
    </row>
    <row r="990" spans="1:29" ht="15.75" x14ac:dyDescent="0.25">
      <c r="A990" s="32">
        <v>71040</v>
      </c>
      <c r="B990" s="14">
        <f>CHOOSE(CONTROL!$C$42, 129.2164, 129.2164) * CHOOSE(CONTROL!$C$21, $C$9, 100%, $E$9)</f>
        <v>129.21639999999999</v>
      </c>
      <c r="C990" s="14">
        <f>CHOOSE(CONTROL!$C$42, 129.2244, 129.2244) * CHOOSE(CONTROL!$C$21, $C$9, 100%, $E$9)</f>
        <v>129.2244</v>
      </c>
      <c r="D990" s="14">
        <f>CHOOSE(CONTROL!$C$42, 129.4835, 129.4835) * CHOOSE(CONTROL!$C$21, $C$9, 100%, $E$9)</f>
        <v>129.48349999999999</v>
      </c>
      <c r="E990" s="14">
        <f>CHOOSE(CONTROL!$C$42, 129.515, 129.515) * CHOOSE(CONTROL!$C$21, $C$9, 100%, $E$9)</f>
        <v>129.51499999999999</v>
      </c>
      <c r="F990" s="14">
        <f>CHOOSE(CONTROL!$C$42, 129.2382, 129.2382)*CHOOSE(CONTROL!$C$21, $C$9, 100%, $E$9)</f>
        <v>129.23820000000001</v>
      </c>
      <c r="G990" s="14">
        <f>CHOOSE(CONTROL!$C$42, 129.2552, 129.2552)*CHOOSE(CONTROL!$C$21, $C$9, 100%, $E$9)</f>
        <v>129.2552</v>
      </c>
      <c r="H990" s="14">
        <f>CHOOSE(CONTROL!$C$42, 129.5036, 129.5036) * CHOOSE(CONTROL!$C$21, $C$9, 100%, $E$9)</f>
        <v>129.50360000000001</v>
      </c>
      <c r="I990" s="14">
        <f>CHOOSE(CONTROL!$C$42, 129.6422, 129.6422)* CHOOSE(CONTROL!$C$21, $C$9, 100%, $E$9)</f>
        <v>129.6422</v>
      </c>
      <c r="J990" s="14">
        <f>CHOOSE(CONTROL!$C$42, 129.2312, 129.2312)* CHOOSE(CONTROL!$C$21, $C$9, 100%, $E$9)</f>
        <v>129.2312</v>
      </c>
      <c r="K990" s="52">
        <f>CHOOSE(CONTROL!$C$42, 129.6383, 129.6383) * CHOOSE(CONTROL!$C$21, $C$9, 100%, $E$9)</f>
        <v>129.63829999999999</v>
      </c>
      <c r="L990" s="14">
        <f>CHOOSE(CONTROL!$C$42, 130.0906, 130.0906) * CHOOSE(CONTROL!$C$21, $C$9, 100%, $E$9)</f>
        <v>130.09059999999999</v>
      </c>
      <c r="M990" s="14">
        <f>CHOOSE(CONTROL!$C$42, 126.9144, 126.9144) * CHOOSE(CONTROL!$C$21, $C$9, 100%, $E$9)</f>
        <v>126.9144</v>
      </c>
      <c r="N990" s="14">
        <f>CHOOSE(CONTROL!$C$42, 126.9311, 126.9311) * CHOOSE(CONTROL!$C$21, $C$9, 100%, $E$9)</f>
        <v>126.9311</v>
      </c>
      <c r="O990" s="14">
        <f>CHOOSE(CONTROL!$C$42, 127.1819, 127.1819) * CHOOSE(CONTROL!$C$21, $C$9, 100%, $E$9)</f>
        <v>127.1819</v>
      </c>
      <c r="P990" s="14">
        <f>CHOOSE(CONTROL!$C$42, 127.3109, 127.3109) * CHOOSE(CONTROL!$C$21, $C$9, 100%, $E$9)</f>
        <v>127.3109</v>
      </c>
      <c r="Q990" s="14">
        <f>CHOOSE(CONTROL!$C$42, 127.7766, 127.7766) * CHOOSE(CONTROL!$C$21, $C$9, 100%, $E$9)</f>
        <v>127.7766</v>
      </c>
      <c r="R990" s="14">
        <f>CHOOSE(CONTROL!$C$42, 128.6831, 128.6831) * CHOOSE(CONTROL!$C$21, $C$9, 100%, $E$9)</f>
        <v>128.6831</v>
      </c>
      <c r="S990" s="14">
        <f>CHOOSE(CONTROL!$C$42, 124.1534, 124.1534) * CHOOSE(CONTROL!$C$21, $C$9, 100%, $E$9)</f>
        <v>124.1534</v>
      </c>
      <c r="T9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90" s="56">
        <f>(1000*CHOOSE(CONTROL!$C$42, 695, 695)*CHOOSE(CONTROL!$C$42, 0.5599, 0.5599)*CHOOSE(CONTROL!$C$42, 30, 30))/1000000</f>
        <v>11.673914999999997</v>
      </c>
      <c r="V990" s="56">
        <f>(1000*CHOOSE(CONTROL!$C$42, 500, 500)*CHOOSE(CONTROL!$C$42, 0.275, 0.275)*CHOOSE(CONTROL!$C$42, 30, 30))/1000000</f>
        <v>4.125</v>
      </c>
      <c r="W990" s="56">
        <f>(1000*CHOOSE(CONTROL!$C$42, 0.1146, 0.1146)*CHOOSE(CONTROL!$C$42, 121.5, 121.5)*CHOOSE(CONTROL!$C$42, 30, 30))/1000000</f>
        <v>0.417717</v>
      </c>
      <c r="X990" s="56">
        <f>(30*0.1790888*245000/1000000)+(30*0.2374*100000/1000000)</f>
        <v>2.0285026799999999</v>
      </c>
      <c r="Y990" s="56"/>
      <c r="Z990" s="14"/>
      <c r="AA990" s="55"/>
      <c r="AB990" s="49">
        <f>(B990*194.205+C990*267.466+D990*133.845+E990*53.484+F990*40+G990*185+H990*0+I990*100+J990*300)/(194.205+267.466+133.845+53.484+0+40+185+100+300)</f>
        <v>129.30190239395606</v>
      </c>
      <c r="AC990" s="45">
        <f>(M990*'RAP TEMPLATE-GAS AVAILABILITY'!O989+N990*'RAP TEMPLATE-GAS AVAILABILITY'!P989+O990*'RAP TEMPLATE-GAS AVAILABILITY'!Q989+P990*'RAP TEMPLATE-GAS AVAILABILITY'!R989)/('RAP TEMPLATE-GAS AVAILABILITY'!O989+'RAP TEMPLATE-GAS AVAILABILITY'!P989+'RAP TEMPLATE-GAS AVAILABILITY'!Q989+'RAP TEMPLATE-GAS AVAILABILITY'!R989)</f>
        <v>127.09365251798559</v>
      </c>
    </row>
    <row r="991" spans="1:29" ht="15.75" x14ac:dyDescent="0.25">
      <c r="A991" s="32">
        <v>71071</v>
      </c>
      <c r="B991" s="14">
        <f>CHOOSE(CONTROL!$C$42, 126.7376, 126.7376) * CHOOSE(CONTROL!$C$21, $C$9, 100%, $E$9)</f>
        <v>126.7376</v>
      </c>
      <c r="C991" s="14">
        <f>CHOOSE(CONTROL!$C$42, 126.7456, 126.7456) * CHOOSE(CONTROL!$C$21, $C$9, 100%, $E$9)</f>
        <v>126.7456</v>
      </c>
      <c r="D991" s="14">
        <f>CHOOSE(CONTROL!$C$42, 127.0047, 127.0047) * CHOOSE(CONTROL!$C$21, $C$9, 100%, $E$9)</f>
        <v>127.0047</v>
      </c>
      <c r="E991" s="14">
        <f>CHOOSE(CONTROL!$C$42, 127.0362, 127.0362) * CHOOSE(CONTROL!$C$21, $C$9, 100%, $E$9)</f>
        <v>127.03619999999999</v>
      </c>
      <c r="F991" s="14">
        <f>CHOOSE(CONTROL!$C$42, 126.7598, 126.7598)*CHOOSE(CONTROL!$C$21, $C$9, 100%, $E$9)</f>
        <v>126.7598</v>
      </c>
      <c r="G991" s="14">
        <f>CHOOSE(CONTROL!$C$42, 126.777, 126.777)*CHOOSE(CONTROL!$C$21, $C$9, 100%, $E$9)</f>
        <v>126.777</v>
      </c>
      <c r="H991" s="14">
        <f>CHOOSE(CONTROL!$C$42, 127.0248, 127.0248) * CHOOSE(CONTROL!$C$21, $C$9, 100%, $E$9)</f>
        <v>127.0248</v>
      </c>
      <c r="I991" s="14">
        <f>CHOOSE(CONTROL!$C$42, 127.1556, 127.1556)* CHOOSE(CONTROL!$C$21, $C$9, 100%, $E$9)</f>
        <v>127.15560000000001</v>
      </c>
      <c r="J991" s="14">
        <f>CHOOSE(CONTROL!$C$42, 126.7528, 126.7528)* CHOOSE(CONTROL!$C$21, $C$9, 100%, $E$9)</f>
        <v>126.75279999999999</v>
      </c>
      <c r="K991" s="52">
        <f>CHOOSE(CONTROL!$C$42, 127.1517, 127.1517) * CHOOSE(CONTROL!$C$21, $C$9, 100%, $E$9)</f>
        <v>127.15170000000001</v>
      </c>
      <c r="L991" s="14">
        <f>CHOOSE(CONTROL!$C$42, 127.6118, 127.6118) * CHOOSE(CONTROL!$C$21, $C$9, 100%, $E$9)</f>
        <v>127.6118</v>
      </c>
      <c r="M991" s="14">
        <f>CHOOSE(CONTROL!$C$42, 124.4806, 124.4806) * CHOOSE(CONTROL!$C$21, $C$9, 100%, $E$9)</f>
        <v>124.4806</v>
      </c>
      <c r="N991" s="14">
        <f>CHOOSE(CONTROL!$C$42, 124.4975, 124.4975) * CHOOSE(CONTROL!$C$21, $C$9, 100%, $E$9)</f>
        <v>124.4975</v>
      </c>
      <c r="O991" s="14">
        <f>CHOOSE(CONTROL!$C$42, 124.7478, 124.7478) * CHOOSE(CONTROL!$C$21, $C$9, 100%, $E$9)</f>
        <v>124.7478</v>
      </c>
      <c r="P991" s="14">
        <f>CHOOSE(CONTROL!$C$42, 124.8693, 124.8693) * CHOOSE(CONTROL!$C$21, $C$9, 100%, $E$9)</f>
        <v>124.8693</v>
      </c>
      <c r="Q991" s="14">
        <f>CHOOSE(CONTROL!$C$42, 125.3425, 125.3425) * CHOOSE(CONTROL!$C$21, $C$9, 100%, $E$9)</f>
        <v>125.3425</v>
      </c>
      <c r="R991" s="14">
        <f>CHOOSE(CONTROL!$C$42, 126.2428, 126.2428) * CHOOSE(CONTROL!$C$21, $C$9, 100%, $E$9)</f>
        <v>126.2428</v>
      </c>
      <c r="S991" s="14">
        <f>CHOOSE(CONTROL!$C$42, 121.7715, 121.7715) * CHOOSE(CONTROL!$C$21, $C$9, 100%, $E$9)</f>
        <v>121.7715</v>
      </c>
      <c r="T9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91" s="56">
        <f>(1000*CHOOSE(CONTROL!$C$42, 695, 695)*CHOOSE(CONTROL!$C$42, 0.5599, 0.5599)*CHOOSE(CONTROL!$C$42, 31, 31))/1000000</f>
        <v>12.063045499999998</v>
      </c>
      <c r="V991" s="56">
        <f>(1000*CHOOSE(CONTROL!$C$42, 500, 500)*CHOOSE(CONTROL!$C$42, 0.275, 0.275)*CHOOSE(CONTROL!$C$42, 31, 31))/1000000</f>
        <v>4.2625000000000002</v>
      </c>
      <c r="W991" s="56">
        <f>(1000*CHOOSE(CONTROL!$C$42, 0.1146, 0.1146)*CHOOSE(CONTROL!$C$42, 121.5, 121.5)*CHOOSE(CONTROL!$C$42, 31, 31))/1000000</f>
        <v>0.43164089999999994</v>
      </c>
      <c r="X991" s="56">
        <f>(31*0.1790888*245000/1000000)+(31*0.2374*100000/1000000)</f>
        <v>2.0961194359999999</v>
      </c>
      <c r="Y991" s="56"/>
      <c r="Z991" s="14"/>
      <c r="AA991" s="55"/>
      <c r="AB991" s="49">
        <f>(B991*194.205+C991*267.466+D991*133.845+E991*53.484+F991*40+G991*185+H991*0+I991*100+J991*300)/(194.205+267.466+133.845+53.484+0+40+185+100+300)</f>
        <v>126.82268402660908</v>
      </c>
      <c r="AC991" s="45">
        <f>(M991*'RAP TEMPLATE-GAS AVAILABILITY'!O990+N991*'RAP TEMPLATE-GAS AVAILABILITY'!P990+O991*'RAP TEMPLATE-GAS AVAILABILITY'!Q990+P991*'RAP TEMPLATE-GAS AVAILABILITY'!R990)/('RAP TEMPLATE-GAS AVAILABILITY'!O990+'RAP TEMPLATE-GAS AVAILABILITY'!P990+'RAP TEMPLATE-GAS AVAILABILITY'!Q990+'RAP TEMPLATE-GAS AVAILABILITY'!R990)</f>
        <v>124.65860575539568</v>
      </c>
    </row>
    <row r="992" spans="1:29" ht="15.75" x14ac:dyDescent="0.25">
      <c r="A992" s="32">
        <v>71102</v>
      </c>
      <c r="B992" s="14">
        <f>CHOOSE(CONTROL!$C$42, 120.478, 120.478) * CHOOSE(CONTROL!$C$21, $C$9, 100%, $E$9)</f>
        <v>120.47799999999999</v>
      </c>
      <c r="C992" s="14">
        <f>CHOOSE(CONTROL!$C$42, 120.486, 120.486) * CHOOSE(CONTROL!$C$21, $C$9, 100%, $E$9)</f>
        <v>120.486</v>
      </c>
      <c r="D992" s="14">
        <f>CHOOSE(CONTROL!$C$42, 120.7451, 120.7451) * CHOOSE(CONTROL!$C$21, $C$9, 100%, $E$9)</f>
        <v>120.74509999999999</v>
      </c>
      <c r="E992" s="14">
        <f>CHOOSE(CONTROL!$C$42, 120.7765, 120.7765) * CHOOSE(CONTROL!$C$21, $C$9, 100%, $E$9)</f>
        <v>120.7765</v>
      </c>
      <c r="F992" s="14">
        <f>CHOOSE(CONTROL!$C$42, 120.5004, 120.5004)*CHOOSE(CONTROL!$C$21, $C$9, 100%, $E$9)</f>
        <v>120.5004</v>
      </c>
      <c r="G992" s="14">
        <f>CHOOSE(CONTROL!$C$42, 120.5176, 120.5176)*CHOOSE(CONTROL!$C$21, $C$9, 100%, $E$9)</f>
        <v>120.5176</v>
      </c>
      <c r="H992" s="14">
        <f>CHOOSE(CONTROL!$C$42, 120.7652, 120.7652) * CHOOSE(CONTROL!$C$21, $C$9, 100%, $E$9)</f>
        <v>120.76519999999999</v>
      </c>
      <c r="I992" s="14">
        <f>CHOOSE(CONTROL!$C$42, 120.8764, 120.8764)* CHOOSE(CONTROL!$C$21, $C$9, 100%, $E$9)</f>
        <v>120.8764</v>
      </c>
      <c r="J992" s="14">
        <f>CHOOSE(CONTROL!$C$42, 120.4934, 120.4934)* CHOOSE(CONTROL!$C$21, $C$9, 100%, $E$9)</f>
        <v>120.49339999999999</v>
      </c>
      <c r="K992" s="52">
        <f>CHOOSE(CONTROL!$C$42, 120.8725, 120.8725) * CHOOSE(CONTROL!$C$21, $C$9, 100%, $E$9)</f>
        <v>120.8725</v>
      </c>
      <c r="L992" s="14">
        <f>CHOOSE(CONTROL!$C$42, 121.3522, 121.3522) * CHOOSE(CONTROL!$C$21, $C$9, 100%, $E$9)</f>
        <v>121.3522</v>
      </c>
      <c r="M992" s="14">
        <f>CHOOSE(CONTROL!$C$42, 118.3338, 118.3338) * CHOOSE(CONTROL!$C$21, $C$9, 100%, $E$9)</f>
        <v>118.3338</v>
      </c>
      <c r="N992" s="14">
        <f>CHOOSE(CONTROL!$C$42, 118.3507, 118.3507) * CHOOSE(CONTROL!$C$21, $C$9, 100%, $E$9)</f>
        <v>118.3507</v>
      </c>
      <c r="O992" s="14">
        <f>CHOOSE(CONTROL!$C$42, 118.6007, 118.6007) * CHOOSE(CONTROL!$C$21, $C$9, 100%, $E$9)</f>
        <v>118.6007</v>
      </c>
      <c r="P992" s="14">
        <f>CHOOSE(CONTROL!$C$42, 118.7033, 118.7033) * CHOOSE(CONTROL!$C$21, $C$9, 100%, $E$9)</f>
        <v>118.7033</v>
      </c>
      <c r="Q992" s="14">
        <f>CHOOSE(CONTROL!$C$42, 119.1954, 119.1954) * CHOOSE(CONTROL!$C$21, $C$9, 100%, $E$9)</f>
        <v>119.19540000000001</v>
      </c>
      <c r="R992" s="14">
        <f>CHOOSE(CONTROL!$C$42, 120.0804, 120.0804) * CHOOSE(CONTROL!$C$21, $C$9, 100%, $E$9)</f>
        <v>120.0804</v>
      </c>
      <c r="S992" s="14">
        <f>CHOOSE(CONTROL!$C$42, 115.7566, 115.7566) * CHOOSE(CONTROL!$C$21, $C$9, 100%, $E$9)</f>
        <v>115.75660000000001</v>
      </c>
      <c r="T9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92" s="56">
        <f>(1000*CHOOSE(CONTROL!$C$42, 695, 695)*CHOOSE(CONTROL!$C$42, 0.5599, 0.5599)*CHOOSE(CONTROL!$C$42, 31, 31))/1000000</f>
        <v>12.063045499999998</v>
      </c>
      <c r="V992" s="56">
        <f>(1000*CHOOSE(CONTROL!$C$42, 500, 500)*CHOOSE(CONTROL!$C$42, 0.275, 0.275)*CHOOSE(CONTROL!$C$42, 31, 31))/1000000</f>
        <v>4.2625000000000002</v>
      </c>
      <c r="W992" s="56">
        <f>(1000*CHOOSE(CONTROL!$C$42, 0.1146, 0.1146)*CHOOSE(CONTROL!$C$42, 121.5, 121.5)*CHOOSE(CONTROL!$C$42, 31, 31))/1000000</f>
        <v>0.43164089999999994</v>
      </c>
      <c r="X992" s="56">
        <f>(31*0.1790888*245000/1000000)+(31*0.2374*100000/1000000)</f>
        <v>2.0961194359999999</v>
      </c>
      <c r="Y992" s="56"/>
      <c r="Z992" s="14"/>
      <c r="AA992" s="55"/>
      <c r="AB992" s="49">
        <f>(B992*194.205+C992*267.466+D992*133.845+E992*53.484+F992*40+G992*185+H992*0+I992*100+J992*300)/(194.205+267.466+133.845+53.484+0+40+185+100+300)</f>
        <v>120.56162378453688</v>
      </c>
      <c r="AC992" s="45">
        <f>(M992*'RAP TEMPLATE-GAS AVAILABILITY'!O991+N992*'RAP TEMPLATE-GAS AVAILABILITY'!P991+O992*'RAP TEMPLATE-GAS AVAILABILITY'!Q991+P992*'RAP TEMPLATE-GAS AVAILABILITY'!R991)/('RAP TEMPLATE-GAS AVAILABILITY'!O991+'RAP TEMPLATE-GAS AVAILABILITY'!P991+'RAP TEMPLATE-GAS AVAILABILITY'!Q991+'RAP TEMPLATE-GAS AVAILABILITY'!R991)</f>
        <v>118.50890719424461</v>
      </c>
    </row>
    <row r="993" spans="1:29" ht="15.75" x14ac:dyDescent="0.25">
      <c r="A993" s="32">
        <v>71132</v>
      </c>
      <c r="B993" s="14">
        <f>CHOOSE(CONTROL!$C$42, 112.8296, 112.8296) * CHOOSE(CONTROL!$C$21, $C$9, 100%, $E$9)</f>
        <v>112.8296</v>
      </c>
      <c r="C993" s="14">
        <f>CHOOSE(CONTROL!$C$42, 112.8376, 112.8376) * CHOOSE(CONTROL!$C$21, $C$9, 100%, $E$9)</f>
        <v>112.83759999999999</v>
      </c>
      <c r="D993" s="14">
        <f>CHOOSE(CONTROL!$C$42, 113.0967, 113.0967) * CHOOSE(CONTROL!$C$21, $C$9, 100%, $E$9)</f>
        <v>113.0967</v>
      </c>
      <c r="E993" s="14">
        <f>CHOOSE(CONTROL!$C$42, 113.1282, 113.1282) * CHOOSE(CONTROL!$C$21, $C$9, 100%, $E$9)</f>
        <v>113.12820000000001</v>
      </c>
      <c r="F993" s="14">
        <f>CHOOSE(CONTROL!$C$42, 112.8521, 112.8521)*CHOOSE(CONTROL!$C$21, $C$9, 100%, $E$9)</f>
        <v>112.85209999999999</v>
      </c>
      <c r="G993" s="14">
        <f>CHOOSE(CONTROL!$C$42, 112.8693, 112.8693)*CHOOSE(CONTROL!$C$21, $C$9, 100%, $E$9)</f>
        <v>112.8693</v>
      </c>
      <c r="H993" s="14">
        <f>CHOOSE(CONTROL!$C$42, 113.1168, 113.1168) * CHOOSE(CONTROL!$C$21, $C$9, 100%, $E$9)</f>
        <v>113.1168</v>
      </c>
      <c r="I993" s="14">
        <f>CHOOSE(CONTROL!$C$42, 113.2041, 113.2041)* CHOOSE(CONTROL!$C$21, $C$9, 100%, $E$9)</f>
        <v>113.2041</v>
      </c>
      <c r="J993" s="14">
        <f>CHOOSE(CONTROL!$C$42, 112.8451, 112.8451)* CHOOSE(CONTROL!$C$21, $C$9, 100%, $E$9)</f>
        <v>112.8451</v>
      </c>
      <c r="K993" s="52">
        <f>CHOOSE(CONTROL!$C$42, 113.2002, 113.2002) * CHOOSE(CONTROL!$C$21, $C$9, 100%, $E$9)</f>
        <v>113.2002</v>
      </c>
      <c r="L993" s="14">
        <f>CHOOSE(CONTROL!$C$42, 113.7038, 113.7038) * CHOOSE(CONTROL!$C$21, $C$9, 100%, $E$9)</f>
        <v>113.7038</v>
      </c>
      <c r="M993" s="14">
        <f>CHOOSE(CONTROL!$C$42, 110.823, 110.823) * CHOOSE(CONTROL!$C$21, $C$9, 100%, $E$9)</f>
        <v>110.82299999999999</v>
      </c>
      <c r="N993" s="14">
        <f>CHOOSE(CONTROL!$C$42, 110.84, 110.84) * CHOOSE(CONTROL!$C$21, $C$9, 100%, $E$9)</f>
        <v>110.84</v>
      </c>
      <c r="O993" s="14">
        <f>CHOOSE(CONTROL!$C$42, 111.0899, 111.0899) * CHOOSE(CONTROL!$C$21, $C$9, 100%, $E$9)</f>
        <v>111.0899</v>
      </c>
      <c r="P993" s="14">
        <f>CHOOSE(CONTROL!$C$42, 111.1694, 111.1694) * CHOOSE(CONTROL!$C$21, $C$9, 100%, $E$9)</f>
        <v>111.1694</v>
      </c>
      <c r="Q993" s="14">
        <f>CHOOSE(CONTROL!$C$42, 111.6846, 111.6846) * CHOOSE(CONTROL!$C$21, $C$9, 100%, $E$9)</f>
        <v>111.6846</v>
      </c>
      <c r="R993" s="14">
        <f>CHOOSE(CONTROL!$C$42, 112.5508, 112.5508) * CHOOSE(CONTROL!$C$21, $C$9, 100%, $E$9)</f>
        <v>112.5508</v>
      </c>
      <c r="S993" s="14">
        <f>CHOOSE(CONTROL!$C$42, 108.4073, 108.4073) * CHOOSE(CONTROL!$C$21, $C$9, 100%, $E$9)</f>
        <v>108.40730000000001</v>
      </c>
      <c r="T9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93" s="56">
        <f>(1000*CHOOSE(CONTROL!$C$42, 695, 695)*CHOOSE(CONTROL!$C$42, 0.5599, 0.5599)*CHOOSE(CONTROL!$C$42, 30, 30))/1000000</f>
        <v>11.673914999999997</v>
      </c>
      <c r="V993" s="56">
        <f>(1000*CHOOSE(CONTROL!$C$42, 500, 500)*CHOOSE(CONTROL!$C$42, 0.275, 0.275)*CHOOSE(CONTROL!$C$42, 30, 30))/1000000</f>
        <v>4.125</v>
      </c>
      <c r="W993" s="56">
        <f>(1000*CHOOSE(CONTROL!$C$42, 0.1146, 0.1146)*CHOOSE(CONTROL!$C$42, 121.5, 121.5)*CHOOSE(CONTROL!$C$42, 30, 30))/1000000</f>
        <v>0.417717</v>
      </c>
      <c r="X993" s="56">
        <f>(30*0.1790888*245000/1000000)+(30*0.2374*100000/1000000)</f>
        <v>2.0285026799999999</v>
      </c>
      <c r="Y993" s="56"/>
      <c r="Z993" s="14"/>
      <c r="AA993" s="55"/>
      <c r="AB993" s="49">
        <f>(B993*194.205+C993*267.466+D993*133.845+E993*53.484+F993*40+G993*185+H993*0+I993*100+J993*300)/(194.205+267.466+133.845+53.484+0+40+185+100+300)</f>
        <v>112.91139321028258</v>
      </c>
      <c r="AC993" s="45">
        <f>(M993*'RAP TEMPLATE-GAS AVAILABILITY'!O992+N993*'RAP TEMPLATE-GAS AVAILABILITY'!P992+O993*'RAP TEMPLATE-GAS AVAILABILITY'!Q992+P993*'RAP TEMPLATE-GAS AVAILABILITY'!R992)/('RAP TEMPLATE-GAS AVAILABILITY'!O992+'RAP TEMPLATE-GAS AVAILABILITY'!P992+'RAP TEMPLATE-GAS AVAILABILITY'!Q992+'RAP TEMPLATE-GAS AVAILABILITY'!R992)</f>
        <v>110.99478920863308</v>
      </c>
    </row>
    <row r="994" spans="1:29" ht="15.75" x14ac:dyDescent="0.25">
      <c r="A994" s="32">
        <v>71163</v>
      </c>
      <c r="B994" s="14">
        <f>CHOOSE(CONTROL!$C$42, 110.5372, 110.5372) * CHOOSE(CONTROL!$C$21, $C$9, 100%, $E$9)</f>
        <v>110.5372</v>
      </c>
      <c r="C994" s="14">
        <f>CHOOSE(CONTROL!$C$42, 110.5425, 110.5425) * CHOOSE(CONTROL!$C$21, $C$9, 100%, $E$9)</f>
        <v>110.5425</v>
      </c>
      <c r="D994" s="14">
        <f>CHOOSE(CONTROL!$C$42, 110.8065, 110.8065) * CHOOSE(CONTROL!$C$21, $C$9, 100%, $E$9)</f>
        <v>110.8065</v>
      </c>
      <c r="E994" s="14">
        <f>CHOOSE(CONTROL!$C$42, 110.8357, 110.8357) * CHOOSE(CONTROL!$C$21, $C$9, 100%, $E$9)</f>
        <v>110.8357</v>
      </c>
      <c r="F994" s="14">
        <f>CHOOSE(CONTROL!$C$42, 110.5618, 110.5618)*CHOOSE(CONTROL!$C$21, $C$9, 100%, $E$9)</f>
        <v>110.56180000000001</v>
      </c>
      <c r="G994" s="14">
        <f>CHOOSE(CONTROL!$C$42, 110.5789, 110.5789)*CHOOSE(CONTROL!$C$21, $C$9, 100%, $E$9)</f>
        <v>110.5789</v>
      </c>
      <c r="H994" s="14">
        <f>CHOOSE(CONTROL!$C$42, 110.8261, 110.8261) * CHOOSE(CONTROL!$C$21, $C$9, 100%, $E$9)</f>
        <v>110.8261</v>
      </c>
      <c r="I994" s="14">
        <f>CHOOSE(CONTROL!$C$42, 110.9062, 110.9062)* CHOOSE(CONTROL!$C$21, $C$9, 100%, $E$9)</f>
        <v>110.9062</v>
      </c>
      <c r="J994" s="14">
        <f>CHOOSE(CONTROL!$C$42, 110.5548, 110.5548)* CHOOSE(CONTROL!$C$21, $C$9, 100%, $E$9)</f>
        <v>110.5548</v>
      </c>
      <c r="K994" s="52">
        <f>CHOOSE(CONTROL!$C$42, 110.9023, 110.9023) * CHOOSE(CONTROL!$C$21, $C$9, 100%, $E$9)</f>
        <v>110.9023</v>
      </c>
      <c r="L994" s="14">
        <f>CHOOSE(CONTROL!$C$42, 111.4131, 111.4131) * CHOOSE(CONTROL!$C$21, $C$9, 100%, $E$9)</f>
        <v>111.4131</v>
      </c>
      <c r="M994" s="14">
        <f>CHOOSE(CONTROL!$C$42, 108.574, 108.574) * CHOOSE(CONTROL!$C$21, $C$9, 100%, $E$9)</f>
        <v>108.574</v>
      </c>
      <c r="N994" s="14">
        <f>CHOOSE(CONTROL!$C$42, 108.5908, 108.5908) * CHOOSE(CONTROL!$C$21, $C$9, 100%, $E$9)</f>
        <v>108.5908</v>
      </c>
      <c r="O994" s="14">
        <f>CHOOSE(CONTROL!$C$42, 108.8404, 108.8404) * CHOOSE(CONTROL!$C$21, $C$9, 100%, $E$9)</f>
        <v>108.8404</v>
      </c>
      <c r="P994" s="14">
        <f>CHOOSE(CONTROL!$C$42, 108.913, 108.913) * CHOOSE(CONTROL!$C$21, $C$9, 100%, $E$9)</f>
        <v>108.913</v>
      </c>
      <c r="Q994" s="14">
        <f>CHOOSE(CONTROL!$C$42, 109.4351, 109.4351) * CHOOSE(CONTROL!$C$21, $C$9, 100%, $E$9)</f>
        <v>109.43510000000001</v>
      </c>
      <c r="R994" s="14">
        <f>CHOOSE(CONTROL!$C$42, 110.2957, 110.2957) * CHOOSE(CONTROL!$C$21, $C$9, 100%, $E$9)</f>
        <v>110.2957</v>
      </c>
      <c r="S994" s="14">
        <f>CHOOSE(CONTROL!$C$42, 106.2062, 106.2062) * CHOOSE(CONTROL!$C$21, $C$9, 100%, $E$9)</f>
        <v>106.2062</v>
      </c>
      <c r="T9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94" s="56">
        <f>(1000*CHOOSE(CONTROL!$C$42, 695, 695)*CHOOSE(CONTROL!$C$42, 0.5599, 0.5599)*CHOOSE(CONTROL!$C$42, 31, 31))/1000000</f>
        <v>12.063045499999998</v>
      </c>
      <c r="V994" s="56">
        <f>(1000*CHOOSE(CONTROL!$C$42, 500, 500)*CHOOSE(CONTROL!$C$42, 0.275, 0.275)*CHOOSE(CONTROL!$C$42, 31, 31))/1000000</f>
        <v>4.2625000000000002</v>
      </c>
      <c r="W994" s="56">
        <f>(1000*CHOOSE(CONTROL!$C$42, 0.1146, 0.1146)*CHOOSE(CONTROL!$C$42, 121.5, 121.5)*CHOOSE(CONTROL!$C$42, 31, 31))/1000000</f>
        <v>0.43164089999999994</v>
      </c>
      <c r="X994" s="56">
        <f>(31*0.1790888*245000/1000000)+(31*0.2374*100000/1000000)</f>
        <v>2.0961194359999999</v>
      </c>
      <c r="Y994" s="56"/>
      <c r="Z994" s="14"/>
      <c r="AA994" s="55"/>
      <c r="AB994" s="49">
        <f>(B994*131.881+C994*277.167+D994*79.08+E994*125.872+F994*40+G994*185+H994*0+I994*100+J994*300)/(131.881+277.167+79.08+125.872+0+40+185+100+300)</f>
        <v>110.6269631324455</v>
      </c>
      <c r="AC994" s="45">
        <f>(M994*'RAP TEMPLATE-GAS AVAILABILITY'!O993+N994*'RAP TEMPLATE-GAS AVAILABILITY'!P993+O994*'RAP TEMPLATE-GAS AVAILABILITY'!Q993+P994*'RAP TEMPLATE-GAS AVAILABILITY'!R993)/('RAP TEMPLATE-GAS AVAILABILITY'!O993+'RAP TEMPLATE-GAS AVAILABILITY'!P993+'RAP TEMPLATE-GAS AVAILABILITY'!Q993+'RAP TEMPLATE-GAS AVAILABILITY'!R993)</f>
        <v>108.74448633093526</v>
      </c>
    </row>
    <row r="995" spans="1:29" ht="15.75" x14ac:dyDescent="0.25">
      <c r="A995" s="32">
        <v>71193</v>
      </c>
      <c r="B995" s="14">
        <f>CHOOSE(CONTROL!$C$42, 113.4486, 113.4486) * CHOOSE(CONTROL!$C$21, $C$9, 100%, $E$9)</f>
        <v>113.4486</v>
      </c>
      <c r="C995" s="14">
        <f>CHOOSE(CONTROL!$C$42, 113.4536, 113.4536) * CHOOSE(CONTROL!$C$21, $C$9, 100%, $E$9)</f>
        <v>113.45359999999999</v>
      </c>
      <c r="D995" s="14">
        <f>CHOOSE(CONTROL!$C$42, 113.5367, 113.5367) * CHOOSE(CONTROL!$C$21, $C$9, 100%, $E$9)</f>
        <v>113.5367</v>
      </c>
      <c r="E995" s="14">
        <f>CHOOSE(CONTROL!$C$42, 113.5708, 113.5708) * CHOOSE(CONTROL!$C$21, $C$9, 100%, $E$9)</f>
        <v>113.57080000000001</v>
      </c>
      <c r="F995" s="14">
        <f>CHOOSE(CONTROL!$C$42, 113.4762, 113.4762)*CHOOSE(CONTROL!$C$21, $C$9, 100%, $E$9)</f>
        <v>113.47620000000001</v>
      </c>
      <c r="G995" s="14">
        <f>CHOOSE(CONTROL!$C$42, 113.4936, 113.4936)*CHOOSE(CONTROL!$C$21, $C$9, 100%, $E$9)</f>
        <v>113.4936</v>
      </c>
      <c r="H995" s="14">
        <f>CHOOSE(CONTROL!$C$42, 113.56, 113.56) * CHOOSE(CONTROL!$C$21, $C$9, 100%, $E$9)</f>
        <v>113.56</v>
      </c>
      <c r="I995" s="14">
        <f>CHOOSE(CONTROL!$C$42, 113.8235, 113.8235)* CHOOSE(CONTROL!$C$21, $C$9, 100%, $E$9)</f>
        <v>113.8235</v>
      </c>
      <c r="J995" s="14">
        <f>CHOOSE(CONTROL!$C$42, 113.4692, 113.4692)* CHOOSE(CONTROL!$C$21, $C$9, 100%, $E$9)</f>
        <v>113.4692</v>
      </c>
      <c r="K995" s="52">
        <f>CHOOSE(CONTROL!$C$42, 113.8196, 113.8196) * CHOOSE(CONTROL!$C$21, $C$9, 100%, $E$9)</f>
        <v>113.81959999999999</v>
      </c>
      <c r="L995" s="14">
        <f>CHOOSE(CONTROL!$C$42, 114.147, 114.147) * CHOOSE(CONTROL!$C$21, $C$9, 100%, $E$9)</f>
        <v>114.14700000000001</v>
      </c>
      <c r="M995" s="14">
        <f>CHOOSE(CONTROL!$C$42, 111.4359, 111.4359) * CHOOSE(CONTROL!$C$21, $C$9, 100%, $E$9)</f>
        <v>111.4359</v>
      </c>
      <c r="N995" s="14">
        <f>CHOOSE(CONTROL!$C$42, 111.453, 111.453) * CHOOSE(CONTROL!$C$21, $C$9, 100%, $E$9)</f>
        <v>111.453</v>
      </c>
      <c r="O995" s="14">
        <f>CHOOSE(CONTROL!$C$42, 111.5251, 111.5251) * CHOOSE(CONTROL!$C$21, $C$9, 100%, $E$9)</f>
        <v>111.52509999999999</v>
      </c>
      <c r="P995" s="14">
        <f>CHOOSE(CONTROL!$C$42, 111.7777, 111.7777) * CHOOSE(CONTROL!$C$21, $C$9, 100%, $E$9)</f>
        <v>111.7777</v>
      </c>
      <c r="Q995" s="14">
        <f>CHOOSE(CONTROL!$C$42, 112.1198, 112.1198) * CHOOSE(CONTROL!$C$21, $C$9, 100%, $E$9)</f>
        <v>112.1198</v>
      </c>
      <c r="R995" s="14">
        <f>CHOOSE(CONTROL!$C$42, 112.9871, 112.9871) * CHOOSE(CONTROL!$C$21, $C$9, 100%, $E$9)</f>
        <v>112.9871</v>
      </c>
      <c r="S995" s="14">
        <f>CHOOSE(CONTROL!$C$42, 109.0042, 109.0042) * CHOOSE(CONTROL!$C$21, $C$9, 100%, $E$9)</f>
        <v>109.0042</v>
      </c>
      <c r="T9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95" s="56">
        <f>(1000*CHOOSE(CONTROL!$C$42, 695, 695)*CHOOSE(CONTROL!$C$42, 0.5599, 0.5599)*CHOOSE(CONTROL!$C$42, 30, 30))/1000000</f>
        <v>11.673914999999997</v>
      </c>
      <c r="V995" s="56">
        <f>(1000*CHOOSE(CONTROL!$C$42, 500, 500)*CHOOSE(CONTROL!$C$42, 0.275, 0.275)*CHOOSE(CONTROL!$C$42, 30, 30))/1000000</f>
        <v>4.125</v>
      </c>
      <c r="W995" s="56">
        <f>(1000*CHOOSE(CONTROL!$C$42, 0.1146, 0.1146)*CHOOSE(CONTROL!$C$42, 121.5, 121.5)*CHOOSE(CONTROL!$C$42, 30, 30))/1000000</f>
        <v>0.417717</v>
      </c>
      <c r="X995" s="56">
        <f>(30*0.1790888*100000/1000000)+(30*0.2374*100000/1000000)</f>
        <v>1.2494664</v>
      </c>
      <c r="Y995" s="56"/>
      <c r="Z995" s="14"/>
      <c r="AA995" s="55"/>
      <c r="AB995" s="49">
        <f>(B995*122.58+C995*297.941+D995*89.177+E995*40.302+F995*40+G995*160+H995*0+I995*100+J995*300)/(122.58+297.941+89.177+40.302+0+40+160+100+300)</f>
        <v>113.50620443747827</v>
      </c>
      <c r="AC995" s="45">
        <f>(M995*'RAP TEMPLATE-GAS AVAILABILITY'!O994+N995*'RAP TEMPLATE-GAS AVAILABILITY'!P994+O995*'RAP TEMPLATE-GAS AVAILABILITY'!Q994+P995*'RAP TEMPLATE-GAS AVAILABILITY'!R994)/('RAP TEMPLATE-GAS AVAILABILITY'!O994+'RAP TEMPLATE-GAS AVAILABILITY'!P994+'RAP TEMPLATE-GAS AVAILABILITY'!Q994+'RAP TEMPLATE-GAS AVAILABILITY'!R994)</f>
        <v>111.52649280575541</v>
      </c>
    </row>
    <row r="996" spans="1:29" ht="15.75" x14ac:dyDescent="0.25">
      <c r="A996" s="32">
        <v>71224</v>
      </c>
      <c r="B996" s="14">
        <f>CHOOSE(CONTROL!$C$42, 121.1828, 121.1828) * CHOOSE(CONTROL!$C$21, $C$9, 100%, $E$9)</f>
        <v>121.1828</v>
      </c>
      <c r="C996" s="14">
        <f>CHOOSE(CONTROL!$C$42, 121.1879, 121.1879) * CHOOSE(CONTROL!$C$21, $C$9, 100%, $E$9)</f>
        <v>121.1879</v>
      </c>
      <c r="D996" s="14">
        <f>CHOOSE(CONTROL!$C$42, 121.2709, 121.2709) * CHOOSE(CONTROL!$C$21, $C$9, 100%, $E$9)</f>
        <v>121.2709</v>
      </c>
      <c r="E996" s="14">
        <f>CHOOSE(CONTROL!$C$42, 121.305, 121.305) * CHOOSE(CONTROL!$C$21, $C$9, 100%, $E$9)</f>
        <v>121.30500000000001</v>
      </c>
      <c r="F996" s="14">
        <f>CHOOSE(CONTROL!$C$42, 121.2129, 121.2129)*CHOOSE(CONTROL!$C$21, $C$9, 100%, $E$9)</f>
        <v>121.2129</v>
      </c>
      <c r="G996" s="14">
        <f>CHOOSE(CONTROL!$C$42, 121.2309, 121.2309)*CHOOSE(CONTROL!$C$21, $C$9, 100%, $E$9)</f>
        <v>121.23090000000001</v>
      </c>
      <c r="H996" s="14">
        <f>CHOOSE(CONTROL!$C$42, 121.2942, 121.2942) * CHOOSE(CONTROL!$C$21, $C$9, 100%, $E$9)</f>
        <v>121.2942</v>
      </c>
      <c r="I996" s="14">
        <f>CHOOSE(CONTROL!$C$42, 121.5819, 121.5819)* CHOOSE(CONTROL!$C$21, $C$9, 100%, $E$9)</f>
        <v>121.5819</v>
      </c>
      <c r="J996" s="14">
        <f>CHOOSE(CONTROL!$C$42, 121.2059, 121.2059)* CHOOSE(CONTROL!$C$21, $C$9, 100%, $E$9)</f>
        <v>121.2059</v>
      </c>
      <c r="K996" s="52">
        <f>CHOOSE(CONTROL!$C$42, 121.5781, 121.5781) * CHOOSE(CONTROL!$C$21, $C$9, 100%, $E$9)</f>
        <v>121.57810000000001</v>
      </c>
      <c r="L996" s="14">
        <f>CHOOSE(CONTROL!$C$42, 121.8812, 121.8812) * CHOOSE(CONTROL!$C$21, $C$9, 100%, $E$9)</f>
        <v>121.88120000000001</v>
      </c>
      <c r="M996" s="14">
        <f>CHOOSE(CONTROL!$C$42, 119.0334, 119.0334) * CHOOSE(CONTROL!$C$21, $C$9, 100%, $E$9)</f>
        <v>119.0334</v>
      </c>
      <c r="N996" s="14">
        <f>CHOOSE(CONTROL!$C$42, 119.0511, 119.0511) * CHOOSE(CONTROL!$C$21, $C$9, 100%, $E$9)</f>
        <v>119.05110000000001</v>
      </c>
      <c r="O996" s="14">
        <f>CHOOSE(CONTROL!$C$42, 119.1202, 119.1202) * CHOOSE(CONTROL!$C$21, $C$9, 100%, $E$9)</f>
        <v>119.1202</v>
      </c>
      <c r="P996" s="14">
        <f>CHOOSE(CONTROL!$C$42, 119.3961, 119.3961) * CHOOSE(CONTROL!$C$21, $C$9, 100%, $E$9)</f>
        <v>119.3961</v>
      </c>
      <c r="Q996" s="14">
        <f>CHOOSE(CONTROL!$C$42, 119.7149, 119.7149) * CHOOSE(CONTROL!$C$21, $C$9, 100%, $E$9)</f>
        <v>119.7149</v>
      </c>
      <c r="R996" s="14">
        <f>CHOOSE(CONTROL!$C$42, 120.6012, 120.6012) * CHOOSE(CONTROL!$C$21, $C$9, 100%, $E$9)</f>
        <v>120.60120000000001</v>
      </c>
      <c r="S996" s="14">
        <f>CHOOSE(CONTROL!$C$42, 116.436, 116.436) * CHOOSE(CONTROL!$C$21, $C$9, 100%, $E$9)</f>
        <v>116.43600000000001</v>
      </c>
      <c r="T9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96" s="56">
        <f>(1000*CHOOSE(CONTROL!$C$42, 695, 695)*CHOOSE(CONTROL!$C$42, 0.5599, 0.5599)*CHOOSE(CONTROL!$C$42, 31, 31))/1000000</f>
        <v>12.063045499999998</v>
      </c>
      <c r="V996" s="56">
        <f>(1000*CHOOSE(CONTROL!$C$42, 500, 500)*CHOOSE(CONTROL!$C$42, 0.275, 0.275)*CHOOSE(CONTROL!$C$42, 31, 31))/1000000</f>
        <v>4.2625000000000002</v>
      </c>
      <c r="W996" s="56">
        <f>(1000*CHOOSE(CONTROL!$C$42, 0.1146, 0.1146)*CHOOSE(CONTROL!$C$42, 121.5, 121.5)*CHOOSE(CONTROL!$C$42, 31, 31))/1000000</f>
        <v>0.43164089999999994</v>
      </c>
      <c r="X996" s="56">
        <f>(31*0.1790888*100000/1000000)+(31*0.2374*100000/1000000)</f>
        <v>1.2911152800000001</v>
      </c>
      <c r="Y996" s="56"/>
      <c r="Z996" s="14"/>
      <c r="AA996" s="55"/>
      <c r="AB996" s="49">
        <f>(B996*122.58+C996*297.941+D996*89.177+E996*40.302+F996*40+G996*160+H996*0+I996*100+J996*300)/(122.58+297.941+89.177+40.302+0+40+160+100+300)</f>
        <v>121.243705128</v>
      </c>
      <c r="AC996" s="45">
        <f>(M996*'RAP TEMPLATE-GAS AVAILABILITY'!O995+N996*'RAP TEMPLATE-GAS AVAILABILITY'!P995+O996*'RAP TEMPLATE-GAS AVAILABILITY'!Q995+P996*'RAP TEMPLATE-GAS AVAILABILITY'!R995)/('RAP TEMPLATE-GAS AVAILABILITY'!O995+'RAP TEMPLATE-GAS AVAILABILITY'!P995+'RAP TEMPLATE-GAS AVAILABILITY'!Q995+'RAP TEMPLATE-GAS AVAILABILITY'!R995)</f>
        <v>119.12594676258992</v>
      </c>
    </row>
    <row r="997" spans="1:29" ht="15.75" x14ac:dyDescent="0.25">
      <c r="A997" s="32">
        <v>71255</v>
      </c>
      <c r="B997" s="14">
        <f>CHOOSE(CONTROL!$C$42, 131.2281, 131.2281) * CHOOSE(CONTROL!$C$21, $C$9, 100%, $E$9)</f>
        <v>131.22810000000001</v>
      </c>
      <c r="C997" s="14">
        <f>CHOOSE(CONTROL!$C$42, 131.2332, 131.2332) * CHOOSE(CONTROL!$C$21, $C$9, 100%, $E$9)</f>
        <v>131.23320000000001</v>
      </c>
      <c r="D997" s="14">
        <f>CHOOSE(CONTROL!$C$42, 131.3267, 131.3267) * CHOOSE(CONTROL!$C$21, $C$9, 100%, $E$9)</f>
        <v>131.32669999999999</v>
      </c>
      <c r="E997" s="14">
        <f>CHOOSE(CONTROL!$C$42, 131.3608, 131.3608) * CHOOSE(CONTROL!$C$21, $C$9, 100%, $E$9)</f>
        <v>131.36080000000001</v>
      </c>
      <c r="F997" s="14">
        <f>CHOOSE(CONTROL!$C$42, 131.2555, 131.2555)*CHOOSE(CONTROL!$C$21, $C$9, 100%, $E$9)</f>
        <v>131.25550000000001</v>
      </c>
      <c r="G997" s="14">
        <f>CHOOSE(CONTROL!$C$42, 131.2734, 131.2734)*CHOOSE(CONTROL!$C$21, $C$9, 100%, $E$9)</f>
        <v>131.27340000000001</v>
      </c>
      <c r="H997" s="14">
        <f>CHOOSE(CONTROL!$C$42, 131.35, 131.35) * CHOOSE(CONTROL!$C$21, $C$9, 100%, $E$9)</f>
        <v>131.35</v>
      </c>
      <c r="I997" s="14">
        <f>CHOOSE(CONTROL!$C$42, 131.665, 131.665)* CHOOSE(CONTROL!$C$21, $C$9, 100%, $E$9)</f>
        <v>131.66499999999999</v>
      </c>
      <c r="J997" s="14">
        <f>CHOOSE(CONTROL!$C$42, 131.2485, 131.2485)* CHOOSE(CONTROL!$C$21, $C$9, 100%, $E$9)</f>
        <v>131.24850000000001</v>
      </c>
      <c r="K997" s="52">
        <f>CHOOSE(CONTROL!$C$42, 131.6611, 131.6611) * CHOOSE(CONTROL!$C$21, $C$9, 100%, $E$9)</f>
        <v>131.6611</v>
      </c>
      <c r="L997" s="14">
        <f>CHOOSE(CONTROL!$C$42, 131.937, 131.937) * CHOOSE(CONTROL!$C$21, $C$9, 100%, $E$9)</f>
        <v>131.93700000000001</v>
      </c>
      <c r="M997" s="14">
        <f>CHOOSE(CONTROL!$C$42, 128.8954, 128.8954) * CHOOSE(CONTROL!$C$21, $C$9, 100%, $E$9)</f>
        <v>128.8954</v>
      </c>
      <c r="N997" s="14">
        <f>CHOOSE(CONTROL!$C$42, 128.9131, 128.9131) * CHOOSE(CONTROL!$C$21, $C$9, 100%, $E$9)</f>
        <v>128.91309999999999</v>
      </c>
      <c r="O997" s="14">
        <f>CHOOSE(CONTROL!$C$42, 128.9951, 128.9951) * CHOOSE(CONTROL!$C$21, $C$9, 100%, $E$9)</f>
        <v>128.99510000000001</v>
      </c>
      <c r="P997" s="14">
        <f>CHOOSE(CONTROL!$C$42, 129.2973, 129.2973) * CHOOSE(CONTROL!$C$21, $C$9, 100%, $E$9)</f>
        <v>129.29730000000001</v>
      </c>
      <c r="Q997" s="14">
        <f>CHOOSE(CONTROL!$C$42, 129.5898, 129.5898) * CHOOSE(CONTROL!$C$21, $C$9, 100%, $E$9)</f>
        <v>129.5898</v>
      </c>
      <c r="R997" s="14">
        <f>CHOOSE(CONTROL!$C$42, 130.5008, 130.5008) * CHOOSE(CONTROL!$C$21, $C$9, 100%, $E$9)</f>
        <v>130.5008</v>
      </c>
      <c r="S997" s="14">
        <f>CHOOSE(CONTROL!$C$42, 126.0886, 126.0886) * CHOOSE(CONTROL!$C$21, $C$9, 100%, $E$9)</f>
        <v>126.0886</v>
      </c>
      <c r="T9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97" s="56">
        <f>(1000*CHOOSE(CONTROL!$C$42, 695, 695)*CHOOSE(CONTROL!$C$42, 0.5599, 0.5599)*CHOOSE(CONTROL!$C$42, 31, 31))/1000000</f>
        <v>12.063045499999998</v>
      </c>
      <c r="V997" s="56">
        <f>(1000*CHOOSE(CONTROL!$C$42, 500, 500)*CHOOSE(CONTROL!$C$42, 0.275, 0.275)*CHOOSE(CONTROL!$C$42, 31, 31))/1000000</f>
        <v>4.2625000000000002</v>
      </c>
      <c r="W997" s="56">
        <f>(1000*CHOOSE(CONTROL!$C$42, 0.1146, 0.1146)*CHOOSE(CONTROL!$C$42, 121.5, 121.5)*CHOOSE(CONTROL!$C$42, 31, 31))/1000000</f>
        <v>0.43164089999999994</v>
      </c>
      <c r="X997" s="56">
        <f>(31*0.1790888*100000/1000000)+(31*0.2374*100000/1000000)</f>
        <v>1.2911152800000001</v>
      </c>
      <c r="Y997" s="56"/>
      <c r="Z997" s="14"/>
      <c r="AA997" s="55"/>
      <c r="AB997" s="49">
        <f>(B997*122.58+C997*297.941+D997*89.177+E997*40.302+F997*40+G997*160+H997*0+I997*100+J997*300)/(122.58+297.941+89.177+40.302+0+40+160+100+300)</f>
        <v>131.29228645800001</v>
      </c>
      <c r="AC997" s="45">
        <f>(M997*'RAP TEMPLATE-GAS AVAILABILITY'!O996+N997*'RAP TEMPLATE-GAS AVAILABILITY'!P996+O997*'RAP TEMPLATE-GAS AVAILABILITY'!Q996+P997*'RAP TEMPLATE-GAS AVAILABILITY'!R996)/('RAP TEMPLATE-GAS AVAILABILITY'!O996+'RAP TEMPLATE-GAS AVAILABILITY'!P996+'RAP TEMPLATE-GAS AVAILABILITY'!Q996+'RAP TEMPLATE-GAS AVAILABILITY'!R996)</f>
        <v>128.99943381294963</v>
      </c>
    </row>
    <row r="998" spans="1:29" ht="15.75" x14ac:dyDescent="0.25">
      <c r="A998" s="32">
        <v>71283</v>
      </c>
      <c r="B998" s="14">
        <f>CHOOSE(CONTROL!$C$42, 133.564, 133.564) * CHOOSE(CONTROL!$C$21, $C$9, 100%, $E$9)</f>
        <v>133.56399999999999</v>
      </c>
      <c r="C998" s="14">
        <f>CHOOSE(CONTROL!$C$42, 133.5691, 133.5691) * CHOOSE(CONTROL!$C$21, $C$9, 100%, $E$9)</f>
        <v>133.56909999999999</v>
      </c>
      <c r="D998" s="14">
        <f>CHOOSE(CONTROL!$C$42, 133.6626, 133.6626) * CHOOSE(CONTROL!$C$21, $C$9, 100%, $E$9)</f>
        <v>133.6626</v>
      </c>
      <c r="E998" s="14">
        <f>CHOOSE(CONTROL!$C$42, 133.6967, 133.6967) * CHOOSE(CONTROL!$C$21, $C$9, 100%, $E$9)</f>
        <v>133.69669999999999</v>
      </c>
      <c r="F998" s="14">
        <f>CHOOSE(CONTROL!$C$42, 133.591, 133.591)*CHOOSE(CONTROL!$C$21, $C$9, 100%, $E$9)</f>
        <v>133.59100000000001</v>
      </c>
      <c r="G998" s="14">
        <f>CHOOSE(CONTROL!$C$42, 133.6088, 133.6088)*CHOOSE(CONTROL!$C$21, $C$9, 100%, $E$9)</f>
        <v>133.6088</v>
      </c>
      <c r="H998" s="14">
        <f>CHOOSE(CONTROL!$C$42, 133.6859, 133.6859) * CHOOSE(CONTROL!$C$21, $C$9, 100%, $E$9)</f>
        <v>133.6859</v>
      </c>
      <c r="I998" s="14">
        <f>CHOOSE(CONTROL!$C$42, 134.0082, 134.0082)* CHOOSE(CONTROL!$C$21, $C$9, 100%, $E$9)</f>
        <v>134.00819999999999</v>
      </c>
      <c r="J998" s="14">
        <f>CHOOSE(CONTROL!$C$42, 133.584, 133.584)* CHOOSE(CONTROL!$C$21, $C$9, 100%, $E$9)</f>
        <v>133.584</v>
      </c>
      <c r="K998" s="52">
        <f>CHOOSE(CONTROL!$C$42, 134.0043, 134.0043) * CHOOSE(CONTROL!$C$21, $C$9, 100%, $E$9)</f>
        <v>134.0043</v>
      </c>
      <c r="L998" s="14">
        <f>CHOOSE(CONTROL!$C$42, 134.2729, 134.2729) * CHOOSE(CONTROL!$C$21, $C$9, 100%, $E$9)</f>
        <v>134.27289999999999</v>
      </c>
      <c r="M998" s="14">
        <f>CHOOSE(CONTROL!$C$42, 131.1889, 131.1889) * CHOOSE(CONTROL!$C$21, $C$9, 100%, $E$9)</f>
        <v>131.18889999999999</v>
      </c>
      <c r="N998" s="14">
        <f>CHOOSE(CONTROL!$C$42, 131.2065, 131.2065) * CHOOSE(CONTROL!$C$21, $C$9, 100%, $E$9)</f>
        <v>131.20650000000001</v>
      </c>
      <c r="O998" s="14">
        <f>CHOOSE(CONTROL!$C$42, 131.289, 131.289) * CHOOSE(CONTROL!$C$21, $C$9, 100%, $E$9)</f>
        <v>131.28899999999999</v>
      </c>
      <c r="P998" s="14">
        <f>CHOOSE(CONTROL!$C$42, 131.5982, 131.5982) * CHOOSE(CONTROL!$C$21, $C$9, 100%, $E$9)</f>
        <v>131.59819999999999</v>
      </c>
      <c r="Q998" s="14">
        <f>CHOOSE(CONTROL!$C$42, 131.8837, 131.8837) * CHOOSE(CONTROL!$C$21, $C$9, 100%, $E$9)</f>
        <v>131.8837</v>
      </c>
      <c r="R998" s="14">
        <f>CHOOSE(CONTROL!$C$42, 132.8004, 132.8004) * CHOOSE(CONTROL!$C$21, $C$9, 100%, $E$9)</f>
        <v>132.8004</v>
      </c>
      <c r="S998" s="14">
        <f>CHOOSE(CONTROL!$C$42, 128.3331, 128.3331) * CHOOSE(CONTROL!$C$21, $C$9, 100%, $E$9)</f>
        <v>128.3331</v>
      </c>
      <c r="T99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998" s="56">
        <f>(1000*CHOOSE(CONTROL!$C$42, 695, 695)*CHOOSE(CONTROL!$C$42, 0.5599, 0.5599)*CHOOSE(CONTROL!$C$42, 28, 28))/1000000</f>
        <v>10.895653999999999</v>
      </c>
      <c r="V998" s="56">
        <f>(1000*CHOOSE(CONTROL!$C$42, 500, 500)*CHOOSE(CONTROL!$C$42, 0.275, 0.275)*CHOOSE(CONTROL!$C$42, 28, 28))/1000000</f>
        <v>3.85</v>
      </c>
      <c r="W998" s="56">
        <f>(1000*CHOOSE(CONTROL!$C$42, 0.1146, 0.1146)*CHOOSE(CONTROL!$C$42, 121.5, 121.5)*CHOOSE(CONTROL!$C$42, 28, 28))/1000000</f>
        <v>0.38986920000000003</v>
      </c>
      <c r="X998" s="56">
        <f>(28*0.1790888*100000/1000000)+(28*0.2374*100000/1000000)</f>
        <v>1.16616864</v>
      </c>
      <c r="Y998" s="56"/>
      <c r="Z998" s="14"/>
      <c r="AA998" s="55"/>
      <c r="AB998" s="49">
        <f>(B998*122.58+C998*297.941+D998*89.177+E998*40.302+F998*40+G998*160+H998*0+I998*100+J998*300)/(122.58+297.941+89.177+40.302+0+40+160+100+300)</f>
        <v>133.62863341452174</v>
      </c>
      <c r="AC998" s="45">
        <f>(M998*'RAP TEMPLATE-GAS AVAILABILITY'!O997+N998*'RAP TEMPLATE-GAS AVAILABILITY'!P997+O998*'RAP TEMPLATE-GAS AVAILABILITY'!Q997+P998*'RAP TEMPLATE-GAS AVAILABILITY'!R997)/('RAP TEMPLATE-GAS AVAILABILITY'!O997+'RAP TEMPLATE-GAS AVAILABILITY'!P997+'RAP TEMPLATE-GAS AVAILABILITY'!Q997+'RAP TEMPLATE-GAS AVAILABILITY'!R997)</f>
        <v>131.29417410071943</v>
      </c>
    </row>
    <row r="999" spans="1:29" ht="15.75" x14ac:dyDescent="0.25">
      <c r="A999" s="32">
        <v>71314</v>
      </c>
      <c r="B999" s="14">
        <f>CHOOSE(CONTROL!$C$42, 129.7723, 129.7723) * CHOOSE(CONTROL!$C$21, $C$9, 100%, $E$9)</f>
        <v>129.7723</v>
      </c>
      <c r="C999" s="14">
        <f>CHOOSE(CONTROL!$C$42, 129.7774, 129.7774) * CHOOSE(CONTROL!$C$21, $C$9, 100%, $E$9)</f>
        <v>129.7774</v>
      </c>
      <c r="D999" s="14">
        <f>CHOOSE(CONTROL!$C$42, 129.8709, 129.8709) * CHOOSE(CONTROL!$C$21, $C$9, 100%, $E$9)</f>
        <v>129.87090000000001</v>
      </c>
      <c r="E999" s="14">
        <f>CHOOSE(CONTROL!$C$42, 129.905, 129.905) * CHOOSE(CONTROL!$C$21, $C$9, 100%, $E$9)</f>
        <v>129.905</v>
      </c>
      <c r="F999" s="14">
        <f>CHOOSE(CONTROL!$C$42, 129.7984, 129.7984)*CHOOSE(CONTROL!$C$21, $C$9, 100%, $E$9)</f>
        <v>129.79839999999999</v>
      </c>
      <c r="G999" s="14">
        <f>CHOOSE(CONTROL!$C$42, 129.816, 129.816)*CHOOSE(CONTROL!$C$21, $C$9, 100%, $E$9)</f>
        <v>129.816</v>
      </c>
      <c r="H999" s="14">
        <f>CHOOSE(CONTROL!$C$42, 129.8942, 129.8942) * CHOOSE(CONTROL!$C$21, $C$9, 100%, $E$9)</f>
        <v>129.89420000000001</v>
      </c>
      <c r="I999" s="14">
        <f>CHOOSE(CONTROL!$C$42, 130.2046, 130.2046)* CHOOSE(CONTROL!$C$21, $C$9, 100%, $E$9)</f>
        <v>130.2046</v>
      </c>
      <c r="J999" s="14">
        <f>CHOOSE(CONTROL!$C$42, 129.7914, 129.7914)* CHOOSE(CONTROL!$C$21, $C$9, 100%, $E$9)</f>
        <v>129.79140000000001</v>
      </c>
      <c r="K999" s="52">
        <f>CHOOSE(CONTROL!$C$42, 130.2008, 130.2008) * CHOOSE(CONTROL!$C$21, $C$9, 100%, $E$9)</f>
        <v>130.20079999999999</v>
      </c>
      <c r="L999" s="14">
        <f>CHOOSE(CONTROL!$C$42, 130.4812, 130.4812) * CHOOSE(CONTROL!$C$21, $C$9, 100%, $E$9)</f>
        <v>130.4812</v>
      </c>
      <c r="M999" s="14">
        <f>CHOOSE(CONTROL!$C$42, 127.4646, 127.4646) * CHOOSE(CONTROL!$C$21, $C$9, 100%, $E$9)</f>
        <v>127.4646</v>
      </c>
      <c r="N999" s="14">
        <f>CHOOSE(CONTROL!$C$42, 127.4819, 127.4819) * CHOOSE(CONTROL!$C$21, $C$9, 100%, $E$9)</f>
        <v>127.4819</v>
      </c>
      <c r="O999" s="14">
        <f>CHOOSE(CONTROL!$C$42, 127.5655, 127.5655) * CHOOSE(CONTROL!$C$21, $C$9, 100%, $E$9)</f>
        <v>127.5655</v>
      </c>
      <c r="P999" s="14">
        <f>CHOOSE(CONTROL!$C$42, 127.8633, 127.8633) * CHOOSE(CONTROL!$C$21, $C$9, 100%, $E$9)</f>
        <v>127.8633</v>
      </c>
      <c r="Q999" s="14">
        <f>CHOOSE(CONTROL!$C$42, 128.1602, 128.1602) * CHOOSE(CONTROL!$C$21, $C$9, 100%, $E$9)</f>
        <v>128.1602</v>
      </c>
      <c r="R999" s="14">
        <f>CHOOSE(CONTROL!$C$42, 129.0676, 129.0676) * CHOOSE(CONTROL!$C$21, $C$9, 100%, $E$9)</f>
        <v>129.0676</v>
      </c>
      <c r="S999" s="14">
        <f>CHOOSE(CONTROL!$C$42, 124.6897, 124.6897) * CHOOSE(CONTROL!$C$21, $C$9, 100%, $E$9)</f>
        <v>124.6897</v>
      </c>
      <c r="T9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99" s="56">
        <f>(1000*CHOOSE(CONTROL!$C$42, 695, 695)*CHOOSE(CONTROL!$C$42, 0.5599, 0.5599)*CHOOSE(CONTROL!$C$42, 31, 31))/1000000</f>
        <v>12.063045499999998</v>
      </c>
      <c r="V999" s="56">
        <f>(1000*CHOOSE(CONTROL!$C$42, 500, 500)*CHOOSE(CONTROL!$C$42, 0.275, 0.275)*CHOOSE(CONTROL!$C$42, 31, 31))/1000000</f>
        <v>4.2625000000000002</v>
      </c>
      <c r="W999" s="56">
        <f>(1000*CHOOSE(CONTROL!$C$42, 0.1146, 0.1146)*CHOOSE(CONTROL!$C$42, 121.5, 121.5)*CHOOSE(CONTROL!$C$42, 31, 31))/1000000</f>
        <v>0.43164089999999994</v>
      </c>
      <c r="X999" s="56">
        <f>(31*0.1790888*100000/1000000)+(31*0.2374*100000/1000000)</f>
        <v>1.2911152800000001</v>
      </c>
      <c r="Y999" s="56"/>
      <c r="Z999" s="14"/>
      <c r="AA999" s="55"/>
      <c r="AB999" s="49">
        <f>(B999*122.58+C999*297.941+D999*89.177+E999*40.302+F999*40+G999*160+H999*0+I999*100+J999*300)/(122.58+297.941+89.177+40.302+0+40+160+100+300)</f>
        <v>129.83547950147826</v>
      </c>
      <c r="AC999" s="45">
        <f>(M999*'RAP TEMPLATE-GAS AVAILABILITY'!O998+N999*'RAP TEMPLATE-GAS AVAILABILITY'!P998+O999*'RAP TEMPLATE-GAS AVAILABILITY'!Q998+P999*'RAP TEMPLATE-GAS AVAILABILITY'!R998)/('RAP TEMPLATE-GAS AVAILABILITY'!O998+'RAP TEMPLATE-GAS AVAILABILITY'!P998+'RAP TEMPLATE-GAS AVAILABILITY'!Q998+'RAP TEMPLATE-GAS AVAILABILITY'!R998)</f>
        <v>127.56869424460433</v>
      </c>
    </row>
    <row r="1000" spans="1:29" ht="15.75" x14ac:dyDescent="0.25">
      <c r="A1000" s="32">
        <v>71344</v>
      </c>
      <c r="B1000" s="14">
        <f>CHOOSE(CONTROL!$C$42, 129.3848, 129.3848) * CHOOSE(CONTROL!$C$21, $C$9, 100%, $E$9)</f>
        <v>129.38480000000001</v>
      </c>
      <c r="C1000" s="14">
        <f>CHOOSE(CONTROL!$C$42, 129.3893, 129.3893) * CHOOSE(CONTROL!$C$21, $C$9, 100%, $E$9)</f>
        <v>129.38929999999999</v>
      </c>
      <c r="D1000" s="14">
        <f>CHOOSE(CONTROL!$C$42, 129.6515, 129.6515) * CHOOSE(CONTROL!$C$21, $C$9, 100%, $E$9)</f>
        <v>129.6515</v>
      </c>
      <c r="E1000" s="14">
        <f>CHOOSE(CONTROL!$C$42, 129.6836, 129.6836) * CHOOSE(CONTROL!$C$21, $C$9, 100%, $E$9)</f>
        <v>129.68360000000001</v>
      </c>
      <c r="F1000" s="14">
        <f>CHOOSE(CONTROL!$C$42, 129.4076, 129.4076)*CHOOSE(CONTROL!$C$21, $C$9, 100%, $E$9)</f>
        <v>129.4076</v>
      </c>
      <c r="G1000" s="14">
        <f>CHOOSE(CONTROL!$C$42, 129.4243, 129.4243)*CHOOSE(CONTROL!$C$21, $C$9, 100%, $E$9)</f>
        <v>129.42429999999999</v>
      </c>
      <c r="H1000" s="14">
        <f>CHOOSE(CONTROL!$C$42, 129.6734, 129.6734) * CHOOSE(CONTROL!$C$21, $C$9, 100%, $E$9)</f>
        <v>129.67339999999999</v>
      </c>
      <c r="I1000" s="14">
        <f>CHOOSE(CONTROL!$C$42, 129.8125, 129.8125)* CHOOSE(CONTROL!$C$21, $C$9, 100%, $E$9)</f>
        <v>129.8125</v>
      </c>
      <c r="J1000" s="14">
        <f>CHOOSE(CONTROL!$C$42, 129.4006, 129.4006)* CHOOSE(CONTROL!$C$21, $C$9, 100%, $E$9)</f>
        <v>129.4006</v>
      </c>
      <c r="K1000" s="52">
        <f>CHOOSE(CONTROL!$C$42, 129.8086, 129.8086) * CHOOSE(CONTROL!$C$21, $C$9, 100%, $E$9)</f>
        <v>129.80860000000001</v>
      </c>
      <c r="L1000" s="14">
        <f>CHOOSE(CONTROL!$C$42, 130.2604, 130.2604) * CHOOSE(CONTROL!$C$21, $C$9, 100%, $E$9)</f>
        <v>130.2604</v>
      </c>
      <c r="M1000" s="14">
        <f>CHOOSE(CONTROL!$C$42, 127.0808, 127.0808) * CHOOSE(CONTROL!$C$21, $C$9, 100%, $E$9)</f>
        <v>127.0808</v>
      </c>
      <c r="N1000" s="14">
        <f>CHOOSE(CONTROL!$C$42, 127.0972, 127.0972) * CHOOSE(CONTROL!$C$21, $C$9, 100%, $E$9)</f>
        <v>127.0972</v>
      </c>
      <c r="O1000" s="14">
        <f>CHOOSE(CONTROL!$C$42, 127.3487, 127.3487) * CHOOSE(CONTROL!$C$21, $C$9, 100%, $E$9)</f>
        <v>127.34869999999999</v>
      </c>
      <c r="P1000" s="14">
        <f>CHOOSE(CONTROL!$C$42, 127.4782, 127.4782) * CHOOSE(CONTROL!$C$21, $C$9, 100%, $E$9)</f>
        <v>127.4782</v>
      </c>
      <c r="Q1000" s="14">
        <f>CHOOSE(CONTROL!$C$42, 127.9434, 127.9434) * CHOOSE(CONTROL!$C$21, $C$9, 100%, $E$9)</f>
        <v>127.9434</v>
      </c>
      <c r="R1000" s="14">
        <f>CHOOSE(CONTROL!$C$42, 128.8503, 128.8503) * CHOOSE(CONTROL!$C$21, $C$9, 100%, $E$9)</f>
        <v>128.8503</v>
      </c>
      <c r="S1000" s="14">
        <f>CHOOSE(CONTROL!$C$42, 124.3166, 124.3166) * CHOOSE(CONTROL!$C$21, $C$9, 100%, $E$9)</f>
        <v>124.31659999999999</v>
      </c>
      <c r="T10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00" s="56">
        <f>(1000*CHOOSE(CONTROL!$C$42, 695, 695)*CHOOSE(CONTROL!$C$42, 0.5599, 0.5599)*CHOOSE(CONTROL!$C$42, 30, 30))/1000000</f>
        <v>11.673914999999997</v>
      </c>
      <c r="V1000" s="56">
        <f>(1000*CHOOSE(CONTROL!$C$42, 500, 500)*CHOOSE(CONTROL!$C$42, 0.275, 0.275)*CHOOSE(CONTROL!$C$42, 30, 30))/1000000</f>
        <v>4.125</v>
      </c>
      <c r="W1000" s="56">
        <f>(1000*CHOOSE(CONTROL!$C$42, 0.1146, 0.1146)*CHOOSE(CONTROL!$C$42, 121.5, 121.5)*CHOOSE(CONTROL!$C$42, 30, 30))/1000000</f>
        <v>0.417717</v>
      </c>
      <c r="X1000" s="56">
        <f>(30*0.1790888*245000/1000000)+(30*0.2374*100000/1000000)</f>
        <v>2.0285026799999999</v>
      </c>
      <c r="Y1000" s="56"/>
      <c r="Z1000" s="14"/>
      <c r="AA1000" s="55"/>
      <c r="AB1000" s="49">
        <f>(B1000*141.293+C1000*267.993+D1000*115.016+E1000*89.698+F1000*40+G1000*185+H1000*0+I1000*100+J1000*300)/(141.293+267.993+115.016+89.698+0+40+185+100+300)</f>
        <v>129.47714220992737</v>
      </c>
      <c r="AC1000" s="45">
        <f>(M1000*'RAP TEMPLATE-GAS AVAILABILITY'!O999+N1000*'RAP TEMPLATE-GAS AVAILABILITY'!P999+O1000*'RAP TEMPLATE-GAS AVAILABILITY'!Q999+P1000*'RAP TEMPLATE-GAS AVAILABILITY'!R999)/('RAP TEMPLATE-GAS AVAILABILITY'!O999+'RAP TEMPLATE-GAS AVAILABILITY'!P999+'RAP TEMPLATE-GAS AVAILABILITY'!Q999+'RAP TEMPLATE-GAS AVAILABILITY'!R999)</f>
        <v>127.26034604316547</v>
      </c>
    </row>
    <row r="1001" spans="1:29" ht="15.75" x14ac:dyDescent="0.25">
      <c r="A1001" s="32">
        <v>71375</v>
      </c>
      <c r="B1001" s="14">
        <f>CHOOSE(CONTROL!$C$42, 130.5281, 130.5281) * CHOOSE(CONTROL!$C$21, $C$9, 100%, $E$9)</f>
        <v>130.52809999999999</v>
      </c>
      <c r="C1001" s="14">
        <f>CHOOSE(CONTROL!$C$42, 130.5361, 130.5361) * CHOOSE(CONTROL!$C$21, $C$9, 100%, $E$9)</f>
        <v>130.5361</v>
      </c>
      <c r="D1001" s="14">
        <f>CHOOSE(CONTROL!$C$42, 130.7952, 130.7952) * CHOOSE(CONTROL!$C$21, $C$9, 100%, $E$9)</f>
        <v>130.79519999999999</v>
      </c>
      <c r="E1001" s="14">
        <f>CHOOSE(CONTROL!$C$42, 130.8266, 130.8266) * CHOOSE(CONTROL!$C$21, $C$9, 100%, $E$9)</f>
        <v>130.82660000000001</v>
      </c>
      <c r="F1001" s="14">
        <f>CHOOSE(CONTROL!$C$42, 130.5496, 130.5496)*CHOOSE(CONTROL!$C$21, $C$9, 100%, $E$9)</f>
        <v>130.5496</v>
      </c>
      <c r="G1001" s="14">
        <f>CHOOSE(CONTROL!$C$42, 130.5666, 130.5666)*CHOOSE(CONTROL!$C$21, $C$9, 100%, $E$9)</f>
        <v>130.56659999999999</v>
      </c>
      <c r="H1001" s="14">
        <f>CHOOSE(CONTROL!$C$42, 130.8153, 130.8153) * CHOOSE(CONTROL!$C$21, $C$9, 100%, $E$9)</f>
        <v>130.81530000000001</v>
      </c>
      <c r="I1001" s="14">
        <f>CHOOSE(CONTROL!$C$42, 130.958, 130.958)* CHOOSE(CONTROL!$C$21, $C$9, 100%, $E$9)</f>
        <v>130.958</v>
      </c>
      <c r="J1001" s="14">
        <f>CHOOSE(CONTROL!$C$42, 130.5426, 130.5426)* CHOOSE(CONTROL!$C$21, $C$9, 100%, $E$9)</f>
        <v>130.54259999999999</v>
      </c>
      <c r="K1001" s="52">
        <f>CHOOSE(CONTROL!$C$42, 130.9541, 130.9541) * CHOOSE(CONTROL!$C$21, $C$9, 100%, $E$9)</f>
        <v>130.95410000000001</v>
      </c>
      <c r="L1001" s="14">
        <f>CHOOSE(CONTROL!$C$42, 131.4023, 131.4023) * CHOOSE(CONTROL!$C$21, $C$9, 100%, $E$9)</f>
        <v>131.4023</v>
      </c>
      <c r="M1001" s="14">
        <f>CHOOSE(CONTROL!$C$42, 128.2023, 128.2023) * CHOOSE(CONTROL!$C$21, $C$9, 100%, $E$9)</f>
        <v>128.20230000000001</v>
      </c>
      <c r="N1001" s="14">
        <f>CHOOSE(CONTROL!$C$42, 128.2189, 128.2189) * CHOOSE(CONTROL!$C$21, $C$9, 100%, $E$9)</f>
        <v>128.21889999999999</v>
      </c>
      <c r="O1001" s="14">
        <f>CHOOSE(CONTROL!$C$42, 128.47, 128.47) * CHOOSE(CONTROL!$C$21, $C$9, 100%, $E$9)</f>
        <v>128.47</v>
      </c>
      <c r="P1001" s="14">
        <f>CHOOSE(CONTROL!$C$42, 128.603, 128.603) * CHOOSE(CONTROL!$C$21, $C$9, 100%, $E$9)</f>
        <v>128.60300000000001</v>
      </c>
      <c r="Q1001" s="14">
        <f>CHOOSE(CONTROL!$C$42, 129.0647, 129.0647) * CHOOSE(CONTROL!$C$21, $C$9, 100%, $E$9)</f>
        <v>129.06469999999999</v>
      </c>
      <c r="R1001" s="14">
        <f>CHOOSE(CONTROL!$C$42, 129.9744, 129.9744) * CHOOSE(CONTROL!$C$21, $C$9, 100%, $E$9)</f>
        <v>129.9744</v>
      </c>
      <c r="S1001" s="14">
        <f>CHOOSE(CONTROL!$C$42, 125.4138, 125.4138) * CHOOSE(CONTROL!$C$21, $C$9, 100%, $E$9)</f>
        <v>125.41379999999999</v>
      </c>
      <c r="T10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01" s="56">
        <f>(1000*CHOOSE(CONTROL!$C$42, 695, 695)*CHOOSE(CONTROL!$C$42, 0.5599, 0.5599)*CHOOSE(CONTROL!$C$42, 31, 31))/1000000</f>
        <v>12.063045499999998</v>
      </c>
      <c r="V1001" s="56">
        <f>(1000*CHOOSE(CONTROL!$C$42, 500, 500)*CHOOSE(CONTROL!$C$42, 0.275, 0.275)*CHOOSE(CONTROL!$C$42, 31, 31))/1000000</f>
        <v>4.2625000000000002</v>
      </c>
      <c r="W1001" s="56">
        <f>(1000*CHOOSE(CONTROL!$C$42, 0.1146, 0.1146)*CHOOSE(CONTROL!$C$42, 121.5, 121.5)*CHOOSE(CONTROL!$C$42, 31, 31))/1000000</f>
        <v>0.43164089999999994</v>
      </c>
      <c r="X1001" s="56">
        <f>(31*0.1790888*245000/1000000)+(31*0.2374*100000/1000000)</f>
        <v>2.0961194359999999</v>
      </c>
      <c r="Y1001" s="56"/>
      <c r="Z1001" s="14"/>
      <c r="AA1001" s="55"/>
      <c r="AB1001" s="49">
        <f>(B1001*194.205+C1001*267.466+D1001*133.845+E1001*53.484+F1001*40+G1001*185+H1001*0+I1001*100+J1001*300)/(194.205+267.466+133.845+53.484+0+40+185+100+300)</f>
        <v>130.61379639050233</v>
      </c>
      <c r="AC1001" s="45">
        <f>(M1001*'RAP TEMPLATE-GAS AVAILABILITY'!O1000+N1001*'RAP TEMPLATE-GAS AVAILABILITY'!P1000+O1001*'RAP TEMPLATE-GAS AVAILABILITY'!Q1000+P1001*'RAP TEMPLATE-GAS AVAILABILITY'!R1000)/('RAP TEMPLATE-GAS AVAILABILITY'!O1000+'RAP TEMPLATE-GAS AVAILABILITY'!P1000+'RAP TEMPLATE-GAS AVAILABILITY'!Q1000+'RAP TEMPLATE-GAS AVAILABILITY'!R1000)</f>
        <v>128.38224172661873</v>
      </c>
    </row>
    <row r="1002" spans="1:29" ht="15.75" x14ac:dyDescent="0.25">
      <c r="A1002" s="32">
        <v>71405</v>
      </c>
      <c r="B1002" s="14">
        <f>CHOOSE(CONTROL!$C$42, 134.2304, 134.2304) * CHOOSE(CONTROL!$C$21, $C$9, 100%, $E$9)</f>
        <v>134.2304</v>
      </c>
      <c r="C1002" s="14">
        <f>CHOOSE(CONTROL!$C$42, 134.2384, 134.2384) * CHOOSE(CONTROL!$C$21, $C$9, 100%, $E$9)</f>
        <v>134.23840000000001</v>
      </c>
      <c r="D1002" s="14">
        <f>CHOOSE(CONTROL!$C$42, 134.4975, 134.4975) * CHOOSE(CONTROL!$C$21, $C$9, 100%, $E$9)</f>
        <v>134.4975</v>
      </c>
      <c r="E1002" s="14">
        <f>CHOOSE(CONTROL!$C$42, 134.5289, 134.5289) * CHOOSE(CONTROL!$C$21, $C$9, 100%, $E$9)</f>
        <v>134.52889999999999</v>
      </c>
      <c r="F1002" s="14">
        <f>CHOOSE(CONTROL!$C$42, 134.2521, 134.2521)*CHOOSE(CONTROL!$C$21, $C$9, 100%, $E$9)</f>
        <v>134.25210000000001</v>
      </c>
      <c r="G1002" s="14">
        <f>CHOOSE(CONTROL!$C$42, 134.2692, 134.2692)*CHOOSE(CONTROL!$C$21, $C$9, 100%, $E$9)</f>
        <v>134.26920000000001</v>
      </c>
      <c r="H1002" s="14">
        <f>CHOOSE(CONTROL!$C$42, 134.5176, 134.5176) * CHOOSE(CONTROL!$C$21, $C$9, 100%, $E$9)</f>
        <v>134.51759999999999</v>
      </c>
      <c r="I1002" s="14">
        <f>CHOOSE(CONTROL!$C$42, 134.6718, 134.6718)* CHOOSE(CONTROL!$C$21, $C$9, 100%, $E$9)</f>
        <v>134.67179999999999</v>
      </c>
      <c r="J1002" s="14">
        <f>CHOOSE(CONTROL!$C$42, 134.2451, 134.2451)* CHOOSE(CONTROL!$C$21, $C$9, 100%, $E$9)</f>
        <v>134.24510000000001</v>
      </c>
      <c r="K1002" s="52">
        <f>CHOOSE(CONTROL!$C$42, 134.6679, 134.6679) * CHOOSE(CONTROL!$C$21, $C$9, 100%, $E$9)</f>
        <v>134.6679</v>
      </c>
      <c r="L1002" s="14">
        <f>CHOOSE(CONTROL!$C$42, 135.1046, 135.1046) * CHOOSE(CONTROL!$C$21, $C$9, 100%, $E$9)</f>
        <v>135.1046</v>
      </c>
      <c r="M1002" s="14">
        <f>CHOOSE(CONTROL!$C$42, 131.8382, 131.8382) * CHOOSE(CONTROL!$C$21, $C$9, 100%, $E$9)</f>
        <v>131.8382</v>
      </c>
      <c r="N1002" s="14">
        <f>CHOOSE(CONTROL!$C$42, 131.8549, 131.8549) * CHOOSE(CONTROL!$C$21, $C$9, 100%, $E$9)</f>
        <v>131.85489999999999</v>
      </c>
      <c r="O1002" s="14">
        <f>CHOOSE(CONTROL!$C$42, 132.1057, 132.1057) * CHOOSE(CONTROL!$C$21, $C$9, 100%, $E$9)</f>
        <v>132.10570000000001</v>
      </c>
      <c r="P1002" s="14">
        <f>CHOOSE(CONTROL!$C$42, 132.2498, 132.2498) * CHOOSE(CONTROL!$C$21, $C$9, 100%, $E$9)</f>
        <v>132.24979999999999</v>
      </c>
      <c r="Q1002" s="14">
        <f>CHOOSE(CONTROL!$C$42, 132.7004, 132.7004) * CHOOSE(CONTROL!$C$21, $C$9, 100%, $E$9)</f>
        <v>132.7004</v>
      </c>
      <c r="R1002" s="14">
        <f>CHOOSE(CONTROL!$C$42, 133.6192, 133.6192) * CHOOSE(CONTROL!$C$21, $C$9, 100%, $E$9)</f>
        <v>133.61920000000001</v>
      </c>
      <c r="S1002" s="14">
        <f>CHOOSE(CONTROL!$C$42, 128.9713, 128.9713) * CHOOSE(CONTROL!$C$21, $C$9, 100%, $E$9)</f>
        <v>128.97130000000001</v>
      </c>
      <c r="T10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02" s="56">
        <f>(1000*CHOOSE(CONTROL!$C$42, 695, 695)*CHOOSE(CONTROL!$C$42, 0.5599, 0.5599)*CHOOSE(CONTROL!$C$42, 30, 30))/1000000</f>
        <v>11.673914999999997</v>
      </c>
      <c r="V1002" s="56">
        <f>(1000*CHOOSE(CONTROL!$C$42, 500, 500)*CHOOSE(CONTROL!$C$42, 0.275, 0.275)*CHOOSE(CONTROL!$C$42, 30, 30))/1000000</f>
        <v>4.125</v>
      </c>
      <c r="W1002" s="56">
        <f>(1000*CHOOSE(CONTROL!$C$42, 0.1146, 0.1146)*CHOOSE(CONTROL!$C$42, 121.5, 121.5)*CHOOSE(CONTROL!$C$42, 30, 30))/1000000</f>
        <v>0.417717</v>
      </c>
      <c r="X1002" s="56">
        <f>(30*0.1790888*245000/1000000)+(30*0.2374*100000/1000000)</f>
        <v>2.0285026799999999</v>
      </c>
      <c r="Y1002" s="56"/>
      <c r="Z1002" s="14"/>
      <c r="AA1002" s="55"/>
      <c r="AB1002" s="49">
        <f>(B1002*194.205+C1002*267.466+D1002*133.845+E1002*53.484+F1002*40+G1002*185+H1002*0+I1002*100+J1002*300)/(194.205+267.466+133.845+53.484+0+40+185+100+300)</f>
        <v>134.31709599803767</v>
      </c>
      <c r="AC1002" s="45">
        <f>(M1002*'RAP TEMPLATE-GAS AVAILABILITY'!O1001+N1002*'RAP TEMPLATE-GAS AVAILABILITY'!P1001+O1002*'RAP TEMPLATE-GAS AVAILABILITY'!Q1001+P1002*'RAP TEMPLATE-GAS AVAILABILITY'!R1001)/('RAP TEMPLATE-GAS AVAILABILITY'!O1001+'RAP TEMPLATE-GAS AVAILABILITY'!P1001+'RAP TEMPLATE-GAS AVAILABILITY'!Q1001+'RAP TEMPLATE-GAS AVAILABILITY'!R1001)</f>
        <v>132.01962517985612</v>
      </c>
    </row>
    <row r="1003" spans="1:29" ht="15.75" x14ac:dyDescent="0.25">
      <c r="A1003" s="32">
        <v>71436</v>
      </c>
      <c r="B1003" s="14">
        <f>CHOOSE(CONTROL!$C$42, 131.6554, 131.6554) * CHOOSE(CONTROL!$C$21, $C$9, 100%, $E$9)</f>
        <v>131.65539999999999</v>
      </c>
      <c r="C1003" s="14">
        <f>CHOOSE(CONTROL!$C$42, 131.6634, 131.6634) * CHOOSE(CONTROL!$C$21, $C$9, 100%, $E$9)</f>
        <v>131.6634</v>
      </c>
      <c r="D1003" s="14">
        <f>CHOOSE(CONTROL!$C$42, 131.9225, 131.9225) * CHOOSE(CONTROL!$C$21, $C$9, 100%, $E$9)</f>
        <v>131.92250000000001</v>
      </c>
      <c r="E1003" s="14">
        <f>CHOOSE(CONTROL!$C$42, 131.954, 131.954) * CHOOSE(CONTROL!$C$21, $C$9, 100%, $E$9)</f>
        <v>131.95400000000001</v>
      </c>
      <c r="F1003" s="14">
        <f>CHOOSE(CONTROL!$C$42, 131.6776, 131.6776)*CHOOSE(CONTROL!$C$21, $C$9, 100%, $E$9)</f>
        <v>131.67760000000001</v>
      </c>
      <c r="G1003" s="14">
        <f>CHOOSE(CONTROL!$C$42, 131.6947, 131.6947)*CHOOSE(CONTROL!$C$21, $C$9, 100%, $E$9)</f>
        <v>131.69470000000001</v>
      </c>
      <c r="H1003" s="14">
        <f>CHOOSE(CONTROL!$C$42, 131.9426, 131.9426) * CHOOSE(CONTROL!$C$21, $C$9, 100%, $E$9)</f>
        <v>131.9426</v>
      </c>
      <c r="I1003" s="14">
        <f>CHOOSE(CONTROL!$C$42, 132.0888, 132.0888)* CHOOSE(CONTROL!$C$21, $C$9, 100%, $E$9)</f>
        <v>132.08879999999999</v>
      </c>
      <c r="J1003" s="14">
        <f>CHOOSE(CONTROL!$C$42, 131.6706, 131.6706)* CHOOSE(CONTROL!$C$21, $C$9, 100%, $E$9)</f>
        <v>131.67060000000001</v>
      </c>
      <c r="K1003" s="52">
        <f>CHOOSE(CONTROL!$C$42, 132.0849, 132.0849) * CHOOSE(CONTROL!$C$21, $C$9, 100%, $E$9)</f>
        <v>132.0849</v>
      </c>
      <c r="L1003" s="14">
        <f>CHOOSE(CONTROL!$C$42, 132.5296, 132.5296) * CHOOSE(CONTROL!$C$21, $C$9, 100%, $E$9)</f>
        <v>132.52959999999999</v>
      </c>
      <c r="M1003" s="14">
        <f>CHOOSE(CONTROL!$C$42, 129.31, 129.31) * CHOOSE(CONTROL!$C$21, $C$9, 100%, $E$9)</f>
        <v>129.31</v>
      </c>
      <c r="N1003" s="14">
        <f>CHOOSE(CONTROL!$C$42, 129.3268, 129.3268) * CHOOSE(CONTROL!$C$21, $C$9, 100%, $E$9)</f>
        <v>129.32679999999999</v>
      </c>
      <c r="O1003" s="14">
        <f>CHOOSE(CONTROL!$C$42, 129.5771, 129.5771) * CHOOSE(CONTROL!$C$21, $C$9, 100%, $E$9)</f>
        <v>129.5771</v>
      </c>
      <c r="P1003" s="14">
        <f>CHOOSE(CONTROL!$C$42, 129.7134, 129.7134) * CHOOSE(CONTROL!$C$21, $C$9, 100%, $E$9)</f>
        <v>129.71340000000001</v>
      </c>
      <c r="Q1003" s="14">
        <f>CHOOSE(CONTROL!$C$42, 130.1718, 130.1718) * CHOOSE(CONTROL!$C$21, $C$9, 100%, $E$9)</f>
        <v>130.17179999999999</v>
      </c>
      <c r="R1003" s="14">
        <f>CHOOSE(CONTROL!$C$42, 131.0842, 131.0842) * CHOOSE(CONTROL!$C$21, $C$9, 100%, $E$9)</f>
        <v>131.08420000000001</v>
      </c>
      <c r="S1003" s="14">
        <f>CHOOSE(CONTROL!$C$42, 126.497, 126.497) * CHOOSE(CONTROL!$C$21, $C$9, 100%, $E$9)</f>
        <v>126.497</v>
      </c>
      <c r="T10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03" s="56">
        <f>(1000*CHOOSE(CONTROL!$C$42, 695, 695)*CHOOSE(CONTROL!$C$42, 0.5599, 0.5599)*CHOOSE(CONTROL!$C$42, 31, 31))/1000000</f>
        <v>12.063045499999998</v>
      </c>
      <c r="V1003" s="56">
        <f>(1000*CHOOSE(CONTROL!$C$42, 500, 500)*CHOOSE(CONTROL!$C$42, 0.275, 0.275)*CHOOSE(CONTROL!$C$42, 31, 31))/1000000</f>
        <v>4.2625000000000002</v>
      </c>
      <c r="W1003" s="56">
        <f>(1000*CHOOSE(CONTROL!$C$42, 0.1146, 0.1146)*CHOOSE(CONTROL!$C$42, 121.5, 121.5)*CHOOSE(CONTROL!$C$42, 31, 31))/1000000</f>
        <v>0.43164089999999994</v>
      </c>
      <c r="X1003" s="56">
        <f>(31*0.1790888*245000/1000000)+(31*0.2374*100000/1000000)</f>
        <v>2.0961194359999999</v>
      </c>
      <c r="Y1003" s="56"/>
      <c r="Z1003" s="14"/>
      <c r="AA1003" s="55"/>
      <c r="AB1003" s="49">
        <f>(B1003*194.205+C1003*267.466+D1003*133.845+E1003*53.484+F1003*40+G1003*185+H1003*0+I1003*100+J1003*300)/(194.205+267.466+133.845+53.484+0+40+185+100+300)</f>
        <v>131.7416782966248</v>
      </c>
      <c r="AC1003" s="45">
        <f>(M1003*'RAP TEMPLATE-GAS AVAILABILITY'!O1002+N1003*'RAP TEMPLATE-GAS AVAILABILITY'!P1002+O1003*'RAP TEMPLATE-GAS AVAILABILITY'!Q1002+P1003*'RAP TEMPLATE-GAS AVAILABILITY'!R1002)/('RAP TEMPLATE-GAS AVAILABILITY'!O1002+'RAP TEMPLATE-GAS AVAILABILITY'!P1002+'RAP TEMPLATE-GAS AVAILABILITY'!Q1002+'RAP TEMPLATE-GAS AVAILABILITY'!R1002)</f>
        <v>129.49006978417265</v>
      </c>
    </row>
    <row r="1004" spans="1:29" ht="15.75" x14ac:dyDescent="0.25">
      <c r="A1004" s="32">
        <v>71467</v>
      </c>
      <c r="B1004" s="14">
        <f>CHOOSE(CONTROL!$C$42, 125.1528, 125.1528) * CHOOSE(CONTROL!$C$21, $C$9, 100%, $E$9)</f>
        <v>125.1528</v>
      </c>
      <c r="C1004" s="14">
        <f>CHOOSE(CONTROL!$C$42, 125.1608, 125.1608) * CHOOSE(CONTROL!$C$21, $C$9, 100%, $E$9)</f>
        <v>125.16079999999999</v>
      </c>
      <c r="D1004" s="14">
        <f>CHOOSE(CONTROL!$C$42, 125.4199, 125.4199) * CHOOSE(CONTROL!$C$21, $C$9, 100%, $E$9)</f>
        <v>125.4199</v>
      </c>
      <c r="E1004" s="14">
        <f>CHOOSE(CONTROL!$C$42, 125.4514, 125.4514) * CHOOSE(CONTROL!$C$21, $C$9, 100%, $E$9)</f>
        <v>125.45140000000001</v>
      </c>
      <c r="F1004" s="14">
        <f>CHOOSE(CONTROL!$C$42, 125.1752, 125.1752)*CHOOSE(CONTROL!$C$21, $C$9, 100%, $E$9)</f>
        <v>125.1752</v>
      </c>
      <c r="G1004" s="14">
        <f>CHOOSE(CONTROL!$C$42, 125.1924, 125.1924)*CHOOSE(CONTROL!$C$21, $C$9, 100%, $E$9)</f>
        <v>125.19240000000001</v>
      </c>
      <c r="H1004" s="14">
        <f>CHOOSE(CONTROL!$C$42, 125.44, 125.44) * CHOOSE(CONTROL!$C$21, $C$9, 100%, $E$9)</f>
        <v>125.44</v>
      </c>
      <c r="I1004" s="14">
        <f>CHOOSE(CONTROL!$C$42, 125.5659, 125.5659)* CHOOSE(CONTROL!$C$21, $C$9, 100%, $E$9)</f>
        <v>125.5659</v>
      </c>
      <c r="J1004" s="14">
        <f>CHOOSE(CONTROL!$C$42, 125.1682, 125.1682)* CHOOSE(CONTROL!$C$21, $C$9, 100%, $E$9)</f>
        <v>125.1682</v>
      </c>
      <c r="K1004" s="52">
        <f>CHOOSE(CONTROL!$C$42, 125.562, 125.562) * CHOOSE(CONTROL!$C$21, $C$9, 100%, $E$9)</f>
        <v>125.562</v>
      </c>
      <c r="L1004" s="14">
        <f>CHOOSE(CONTROL!$C$42, 126.027, 126.027) * CHOOSE(CONTROL!$C$21, $C$9, 100%, $E$9)</f>
        <v>126.027</v>
      </c>
      <c r="M1004" s="14">
        <f>CHOOSE(CONTROL!$C$42, 122.9246, 122.9246) * CHOOSE(CONTROL!$C$21, $C$9, 100%, $E$9)</f>
        <v>122.9246</v>
      </c>
      <c r="N1004" s="14">
        <f>CHOOSE(CONTROL!$C$42, 122.9414, 122.9414) * CHOOSE(CONTROL!$C$21, $C$9, 100%, $E$9)</f>
        <v>122.9414</v>
      </c>
      <c r="O1004" s="14">
        <f>CHOOSE(CONTROL!$C$42, 123.1915, 123.1915) * CHOOSE(CONTROL!$C$21, $C$9, 100%, $E$9)</f>
        <v>123.1915</v>
      </c>
      <c r="P1004" s="14">
        <f>CHOOSE(CONTROL!$C$42, 123.3082, 123.3082) * CHOOSE(CONTROL!$C$21, $C$9, 100%, $E$9)</f>
        <v>123.3082</v>
      </c>
      <c r="Q1004" s="14">
        <f>CHOOSE(CONTROL!$C$42, 123.7862, 123.7862) * CHOOSE(CONTROL!$C$21, $C$9, 100%, $E$9)</f>
        <v>123.78619999999999</v>
      </c>
      <c r="R1004" s="14">
        <f>CHOOSE(CONTROL!$C$42, 124.6826, 124.6826) * CHOOSE(CONTROL!$C$21, $C$9, 100%, $E$9)</f>
        <v>124.68259999999999</v>
      </c>
      <c r="S1004" s="14">
        <f>CHOOSE(CONTROL!$C$42, 120.2487, 120.2487) * CHOOSE(CONTROL!$C$21, $C$9, 100%, $E$9)</f>
        <v>120.2487</v>
      </c>
      <c r="T10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04" s="56">
        <f>(1000*CHOOSE(CONTROL!$C$42, 695, 695)*CHOOSE(CONTROL!$C$42, 0.5599, 0.5599)*CHOOSE(CONTROL!$C$42, 31, 31))/1000000</f>
        <v>12.063045499999998</v>
      </c>
      <c r="V1004" s="56">
        <f>(1000*CHOOSE(CONTROL!$C$42, 500, 500)*CHOOSE(CONTROL!$C$42, 0.275, 0.275)*CHOOSE(CONTROL!$C$42, 31, 31))/1000000</f>
        <v>4.2625000000000002</v>
      </c>
      <c r="W1004" s="56">
        <f>(1000*CHOOSE(CONTROL!$C$42, 0.1146, 0.1146)*CHOOSE(CONTROL!$C$42, 121.5, 121.5)*CHOOSE(CONTROL!$C$42, 31, 31))/1000000</f>
        <v>0.43164089999999994</v>
      </c>
      <c r="X1004" s="56">
        <f>(31*0.1790888*245000/1000000)+(31*0.2374*100000/1000000)</f>
        <v>2.0961194359999999</v>
      </c>
      <c r="Y1004" s="56"/>
      <c r="Z1004" s="14"/>
      <c r="AA1004" s="55"/>
      <c r="AB1004" s="49">
        <f>(B1004*194.205+C1004*267.466+D1004*133.845+E1004*53.484+F1004*40+G1004*185+H1004*0+I1004*100+J1004*300)/(194.205+267.466+133.845+53.484+0+40+185+100+300)</f>
        <v>125.2375818288069</v>
      </c>
      <c r="AC1004" s="45">
        <f>(M1004*'RAP TEMPLATE-GAS AVAILABILITY'!O1003+N1004*'RAP TEMPLATE-GAS AVAILABILITY'!P1003+O1004*'RAP TEMPLATE-GAS AVAILABILITY'!Q1003+P1004*'RAP TEMPLATE-GAS AVAILABILITY'!R1003)/('RAP TEMPLATE-GAS AVAILABILITY'!O1003+'RAP TEMPLATE-GAS AVAILABILITY'!P1003+'RAP TEMPLATE-GAS AVAILABILITY'!Q1003+'RAP TEMPLATE-GAS AVAILABILITY'!R1003)</f>
        <v>123.10173021582736</v>
      </c>
    </row>
    <row r="1005" spans="1:29" ht="15.75" x14ac:dyDescent="0.25">
      <c r="A1005" s="32">
        <v>71497</v>
      </c>
      <c r="B1005" s="14">
        <f>CHOOSE(CONTROL!$C$42, 117.2077, 117.2077) * CHOOSE(CONTROL!$C$21, $C$9, 100%, $E$9)</f>
        <v>117.2077</v>
      </c>
      <c r="C1005" s="14">
        <f>CHOOSE(CONTROL!$C$42, 117.2157, 117.2157) * CHOOSE(CONTROL!$C$21, $C$9, 100%, $E$9)</f>
        <v>117.2157</v>
      </c>
      <c r="D1005" s="14">
        <f>CHOOSE(CONTROL!$C$42, 117.4748, 117.4748) * CHOOSE(CONTROL!$C$21, $C$9, 100%, $E$9)</f>
        <v>117.4748</v>
      </c>
      <c r="E1005" s="14">
        <f>CHOOSE(CONTROL!$C$42, 117.5062, 117.5062) * CHOOSE(CONTROL!$C$21, $C$9, 100%, $E$9)</f>
        <v>117.50620000000001</v>
      </c>
      <c r="F1005" s="14">
        <f>CHOOSE(CONTROL!$C$42, 117.2301, 117.2301)*CHOOSE(CONTROL!$C$21, $C$9, 100%, $E$9)</f>
        <v>117.23009999999999</v>
      </c>
      <c r="G1005" s="14">
        <f>CHOOSE(CONTROL!$C$42, 117.2473, 117.2473)*CHOOSE(CONTROL!$C$21, $C$9, 100%, $E$9)</f>
        <v>117.2473</v>
      </c>
      <c r="H1005" s="14">
        <f>CHOOSE(CONTROL!$C$42, 117.4949, 117.4949) * CHOOSE(CONTROL!$C$21, $C$9, 100%, $E$9)</f>
        <v>117.4949</v>
      </c>
      <c r="I1005" s="14">
        <f>CHOOSE(CONTROL!$C$42, 117.5958, 117.5958)* CHOOSE(CONTROL!$C$21, $C$9, 100%, $E$9)</f>
        <v>117.5958</v>
      </c>
      <c r="J1005" s="14">
        <f>CHOOSE(CONTROL!$C$42, 117.2231, 117.2231)* CHOOSE(CONTROL!$C$21, $C$9, 100%, $E$9)</f>
        <v>117.2231</v>
      </c>
      <c r="K1005" s="52">
        <f>CHOOSE(CONTROL!$C$42, 117.5919, 117.5919) * CHOOSE(CONTROL!$C$21, $C$9, 100%, $E$9)</f>
        <v>117.5919</v>
      </c>
      <c r="L1005" s="14">
        <f>CHOOSE(CONTROL!$C$42, 118.0819, 118.0819) * CHOOSE(CONTROL!$C$21, $C$9, 100%, $E$9)</f>
        <v>118.0819</v>
      </c>
      <c r="M1005" s="14">
        <f>CHOOSE(CONTROL!$C$42, 115.1224, 115.1224) * CHOOSE(CONTROL!$C$21, $C$9, 100%, $E$9)</f>
        <v>115.1224</v>
      </c>
      <c r="N1005" s="14">
        <f>CHOOSE(CONTROL!$C$42, 115.1393, 115.1393) * CHOOSE(CONTROL!$C$21, $C$9, 100%, $E$9)</f>
        <v>115.13930000000001</v>
      </c>
      <c r="O1005" s="14">
        <f>CHOOSE(CONTROL!$C$42, 115.3892, 115.3892) * CHOOSE(CONTROL!$C$21, $C$9, 100%, $E$9)</f>
        <v>115.3892</v>
      </c>
      <c r="P1005" s="14">
        <f>CHOOSE(CONTROL!$C$42, 115.4819, 115.4819) * CHOOSE(CONTROL!$C$21, $C$9, 100%, $E$9)</f>
        <v>115.4819</v>
      </c>
      <c r="Q1005" s="14">
        <f>CHOOSE(CONTROL!$C$42, 115.9839, 115.9839) * CHOOSE(CONTROL!$C$21, $C$9, 100%, $E$9)</f>
        <v>115.98390000000001</v>
      </c>
      <c r="R1005" s="14">
        <f>CHOOSE(CONTROL!$C$42, 116.8609, 116.8609) * CHOOSE(CONTROL!$C$21, $C$9, 100%, $E$9)</f>
        <v>116.8609</v>
      </c>
      <c r="S1005" s="14">
        <f>CHOOSE(CONTROL!$C$42, 112.6142, 112.6142) * CHOOSE(CONTROL!$C$21, $C$9, 100%, $E$9)</f>
        <v>112.6142</v>
      </c>
      <c r="T10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05" s="56">
        <f>(1000*CHOOSE(CONTROL!$C$42, 695, 695)*CHOOSE(CONTROL!$C$42, 0.5599, 0.5599)*CHOOSE(CONTROL!$C$42, 30, 30))/1000000</f>
        <v>11.673914999999997</v>
      </c>
      <c r="V1005" s="56">
        <f>(1000*CHOOSE(CONTROL!$C$42, 500, 500)*CHOOSE(CONTROL!$C$42, 0.275, 0.275)*CHOOSE(CONTROL!$C$42, 30, 30))/1000000</f>
        <v>4.125</v>
      </c>
      <c r="W1005" s="56">
        <f>(1000*CHOOSE(CONTROL!$C$42, 0.1146, 0.1146)*CHOOSE(CONTROL!$C$42, 121.5, 121.5)*CHOOSE(CONTROL!$C$42, 30, 30))/1000000</f>
        <v>0.417717</v>
      </c>
      <c r="X1005" s="56">
        <f>(30*0.1790888*245000/1000000)+(30*0.2374*100000/1000000)</f>
        <v>2.0285026799999999</v>
      </c>
      <c r="Y1005" s="56"/>
      <c r="Z1005" s="14"/>
      <c r="AA1005" s="55"/>
      <c r="AB1005" s="49">
        <f>(B1005*194.205+C1005*267.466+D1005*133.845+E1005*53.484+F1005*40+G1005*185+H1005*0+I1005*100+J1005*300)/(194.205+267.466+133.845+53.484+0+40+185+100+300)</f>
        <v>117.29051530729986</v>
      </c>
      <c r="AC1005" s="45">
        <f>(M1005*'RAP TEMPLATE-GAS AVAILABILITY'!O1004+N1005*'RAP TEMPLATE-GAS AVAILABILITY'!P1004+O1005*'RAP TEMPLATE-GAS AVAILABILITY'!Q1004+P1005*'RAP TEMPLATE-GAS AVAILABILITY'!R1004)/('RAP TEMPLATE-GAS AVAILABILITY'!O1004+'RAP TEMPLATE-GAS AVAILABILITY'!P1004+'RAP TEMPLATE-GAS AVAILABILITY'!Q1004+'RAP TEMPLATE-GAS AVAILABILITY'!R1004)</f>
        <v>115.29602302158274</v>
      </c>
    </row>
    <row r="1006" spans="1:29" ht="15.75" x14ac:dyDescent="0.25">
      <c r="A1006" s="32">
        <v>71528</v>
      </c>
      <c r="B1006" s="14">
        <f>CHOOSE(CONTROL!$C$42, 114.8263, 114.8263) * CHOOSE(CONTROL!$C$21, $C$9, 100%, $E$9)</f>
        <v>114.8263</v>
      </c>
      <c r="C1006" s="14">
        <f>CHOOSE(CONTROL!$C$42, 114.8317, 114.8317) * CHOOSE(CONTROL!$C$21, $C$9, 100%, $E$9)</f>
        <v>114.8317</v>
      </c>
      <c r="D1006" s="14">
        <f>CHOOSE(CONTROL!$C$42, 115.0957, 115.0957) * CHOOSE(CONTROL!$C$21, $C$9, 100%, $E$9)</f>
        <v>115.09569999999999</v>
      </c>
      <c r="E1006" s="14">
        <f>CHOOSE(CONTROL!$C$42, 115.1248, 115.1248) * CHOOSE(CONTROL!$C$21, $C$9, 100%, $E$9)</f>
        <v>115.12479999999999</v>
      </c>
      <c r="F1006" s="14">
        <f>CHOOSE(CONTROL!$C$42, 114.851, 114.851)*CHOOSE(CONTROL!$C$21, $C$9, 100%, $E$9)</f>
        <v>114.851</v>
      </c>
      <c r="G1006" s="14">
        <f>CHOOSE(CONTROL!$C$42, 114.8681, 114.8681)*CHOOSE(CONTROL!$C$21, $C$9, 100%, $E$9)</f>
        <v>114.8681</v>
      </c>
      <c r="H1006" s="14">
        <f>CHOOSE(CONTROL!$C$42, 115.1153, 115.1153) * CHOOSE(CONTROL!$C$21, $C$9, 100%, $E$9)</f>
        <v>115.1153</v>
      </c>
      <c r="I1006" s="14">
        <f>CHOOSE(CONTROL!$C$42, 115.2088, 115.2088)* CHOOSE(CONTROL!$C$21, $C$9, 100%, $E$9)</f>
        <v>115.2088</v>
      </c>
      <c r="J1006" s="14">
        <f>CHOOSE(CONTROL!$C$42, 114.844, 114.844)* CHOOSE(CONTROL!$C$21, $C$9, 100%, $E$9)</f>
        <v>114.84399999999999</v>
      </c>
      <c r="K1006" s="52">
        <f>CHOOSE(CONTROL!$C$42, 115.2049, 115.2049) * CHOOSE(CONTROL!$C$21, $C$9, 100%, $E$9)</f>
        <v>115.20489999999999</v>
      </c>
      <c r="L1006" s="14">
        <f>CHOOSE(CONTROL!$C$42, 115.7023, 115.7023) * CHOOSE(CONTROL!$C$21, $C$9, 100%, $E$9)</f>
        <v>115.70229999999999</v>
      </c>
      <c r="M1006" s="14">
        <f>CHOOSE(CONTROL!$C$42, 112.786, 112.786) * CHOOSE(CONTROL!$C$21, $C$9, 100%, $E$9)</f>
        <v>112.786</v>
      </c>
      <c r="N1006" s="14">
        <f>CHOOSE(CONTROL!$C$42, 112.8028, 112.8028) * CHOOSE(CONTROL!$C$21, $C$9, 100%, $E$9)</f>
        <v>112.8028</v>
      </c>
      <c r="O1006" s="14">
        <f>CHOOSE(CONTROL!$C$42, 113.0525, 113.0525) * CHOOSE(CONTROL!$C$21, $C$9, 100%, $E$9)</f>
        <v>113.05249999999999</v>
      </c>
      <c r="P1006" s="14">
        <f>CHOOSE(CONTROL!$C$42, 113.138, 113.138) * CHOOSE(CONTROL!$C$21, $C$9, 100%, $E$9)</f>
        <v>113.13800000000001</v>
      </c>
      <c r="Q1006" s="14">
        <f>CHOOSE(CONTROL!$C$42, 113.6472, 113.6472) * CHOOSE(CONTROL!$C$21, $C$9, 100%, $E$9)</f>
        <v>113.6472</v>
      </c>
      <c r="R1006" s="14">
        <f>CHOOSE(CONTROL!$C$42, 114.5183, 114.5183) * CHOOSE(CONTROL!$C$21, $C$9, 100%, $E$9)</f>
        <v>114.5183</v>
      </c>
      <c r="S1006" s="14">
        <f>CHOOSE(CONTROL!$C$42, 110.3277, 110.3277) * CHOOSE(CONTROL!$C$21, $C$9, 100%, $E$9)</f>
        <v>110.32769999999999</v>
      </c>
      <c r="T10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06" s="56">
        <f>(1000*CHOOSE(CONTROL!$C$42, 695, 695)*CHOOSE(CONTROL!$C$42, 0.5599, 0.5599)*CHOOSE(CONTROL!$C$42, 31, 31))/1000000</f>
        <v>12.063045499999998</v>
      </c>
      <c r="V1006" s="56">
        <f>(1000*CHOOSE(CONTROL!$C$42, 500, 500)*CHOOSE(CONTROL!$C$42, 0.275, 0.275)*CHOOSE(CONTROL!$C$42, 31, 31))/1000000</f>
        <v>4.2625000000000002</v>
      </c>
      <c r="W1006" s="56">
        <f>(1000*CHOOSE(CONTROL!$C$42, 0.1146, 0.1146)*CHOOSE(CONTROL!$C$42, 121.5, 121.5)*CHOOSE(CONTROL!$C$42, 31, 31))/1000000</f>
        <v>0.43164089999999994</v>
      </c>
      <c r="X1006" s="56">
        <f>(31*0.1790888*245000/1000000)+(31*0.2374*100000/1000000)</f>
        <v>2.0961194359999999</v>
      </c>
      <c r="Y1006" s="56"/>
      <c r="Z1006" s="14"/>
      <c r="AA1006" s="55"/>
      <c r="AB1006" s="49">
        <f>(B1006*131.881+C1006*277.167+D1006*79.08+E1006*125.872+F1006*40+G1006*185+H1006*0+I1006*100+J1006*300)/(131.881+277.167+79.08+125.872+0+40+185+100+300)</f>
        <v>114.91722384648912</v>
      </c>
      <c r="AC1006" s="45">
        <f>(M1006*'RAP TEMPLATE-GAS AVAILABILITY'!O1005+N1006*'RAP TEMPLATE-GAS AVAILABILITY'!P1005+O1006*'RAP TEMPLATE-GAS AVAILABILITY'!Q1005+P1006*'RAP TEMPLATE-GAS AVAILABILITY'!R1005)/('RAP TEMPLATE-GAS AVAILABILITY'!O1005+'RAP TEMPLATE-GAS AVAILABILITY'!P1005+'RAP TEMPLATE-GAS AVAILABILITY'!Q1005+'RAP TEMPLATE-GAS AVAILABILITY'!R1005)</f>
        <v>112.95840215827339</v>
      </c>
    </row>
    <row r="1007" spans="1:29" ht="15.75" x14ac:dyDescent="0.25">
      <c r="A1007" s="32">
        <v>71558</v>
      </c>
      <c r="B1007" s="14">
        <f>CHOOSE(CONTROL!$C$42, 117.8507, 117.8507) * CHOOSE(CONTROL!$C$21, $C$9, 100%, $E$9)</f>
        <v>117.8507</v>
      </c>
      <c r="C1007" s="14">
        <f>CHOOSE(CONTROL!$C$42, 117.8558, 117.8558) * CHOOSE(CONTROL!$C$21, $C$9, 100%, $E$9)</f>
        <v>117.8558</v>
      </c>
      <c r="D1007" s="14">
        <f>CHOOSE(CONTROL!$C$42, 117.9389, 117.9389) * CHOOSE(CONTROL!$C$21, $C$9, 100%, $E$9)</f>
        <v>117.9389</v>
      </c>
      <c r="E1007" s="14">
        <f>CHOOSE(CONTROL!$C$42, 117.973, 117.973) * CHOOSE(CONTROL!$C$21, $C$9, 100%, $E$9)</f>
        <v>117.973</v>
      </c>
      <c r="F1007" s="14">
        <f>CHOOSE(CONTROL!$C$42, 117.8784, 117.8784)*CHOOSE(CONTROL!$C$21, $C$9, 100%, $E$9)</f>
        <v>117.8784</v>
      </c>
      <c r="G1007" s="14">
        <f>CHOOSE(CONTROL!$C$42, 117.8957, 117.8957)*CHOOSE(CONTROL!$C$21, $C$9, 100%, $E$9)</f>
        <v>117.89570000000001</v>
      </c>
      <c r="H1007" s="14">
        <f>CHOOSE(CONTROL!$C$42, 117.9622, 117.9622) * CHOOSE(CONTROL!$C$21, $C$9, 100%, $E$9)</f>
        <v>117.9622</v>
      </c>
      <c r="I1007" s="14">
        <f>CHOOSE(CONTROL!$C$42, 118.2395, 118.2395)* CHOOSE(CONTROL!$C$21, $C$9, 100%, $E$9)</f>
        <v>118.23950000000001</v>
      </c>
      <c r="J1007" s="14">
        <f>CHOOSE(CONTROL!$C$42, 117.8714, 117.8714)* CHOOSE(CONTROL!$C$21, $C$9, 100%, $E$9)</f>
        <v>117.87139999999999</v>
      </c>
      <c r="K1007" s="52">
        <f>CHOOSE(CONTROL!$C$42, 118.2356, 118.2356) * CHOOSE(CONTROL!$C$21, $C$9, 100%, $E$9)</f>
        <v>118.23560000000001</v>
      </c>
      <c r="L1007" s="14">
        <f>CHOOSE(CONTROL!$C$42, 118.5492, 118.5492) * CHOOSE(CONTROL!$C$21, $C$9, 100%, $E$9)</f>
        <v>118.5492</v>
      </c>
      <c r="M1007" s="14">
        <f>CHOOSE(CONTROL!$C$42, 115.7589, 115.7589) * CHOOSE(CONTROL!$C$21, $C$9, 100%, $E$9)</f>
        <v>115.7589</v>
      </c>
      <c r="N1007" s="14">
        <f>CHOOSE(CONTROL!$C$42, 115.776, 115.776) * CHOOSE(CONTROL!$C$21, $C$9, 100%, $E$9)</f>
        <v>115.776</v>
      </c>
      <c r="O1007" s="14">
        <f>CHOOSE(CONTROL!$C$42, 115.8481, 115.8481) * CHOOSE(CONTROL!$C$21, $C$9, 100%, $E$9)</f>
        <v>115.8481</v>
      </c>
      <c r="P1007" s="14">
        <f>CHOOSE(CONTROL!$C$42, 116.1139, 116.1139) * CHOOSE(CONTROL!$C$21, $C$9, 100%, $E$9)</f>
        <v>116.1139</v>
      </c>
      <c r="Q1007" s="14">
        <f>CHOOSE(CONTROL!$C$42, 116.4428, 116.4428) * CHOOSE(CONTROL!$C$21, $C$9, 100%, $E$9)</f>
        <v>116.44280000000001</v>
      </c>
      <c r="R1007" s="14">
        <f>CHOOSE(CONTROL!$C$42, 117.3209, 117.3209) * CHOOSE(CONTROL!$C$21, $C$9, 100%, $E$9)</f>
        <v>117.32089999999999</v>
      </c>
      <c r="S1007" s="14">
        <f>CHOOSE(CONTROL!$C$42, 113.2342, 113.2342) * CHOOSE(CONTROL!$C$21, $C$9, 100%, $E$9)</f>
        <v>113.2342</v>
      </c>
      <c r="T10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07" s="56">
        <f>(1000*CHOOSE(CONTROL!$C$42, 695, 695)*CHOOSE(CONTROL!$C$42, 0.5599, 0.5599)*CHOOSE(CONTROL!$C$42, 30, 30))/1000000</f>
        <v>11.673914999999997</v>
      </c>
      <c r="V1007" s="56">
        <f>(1000*CHOOSE(CONTROL!$C$42, 500, 500)*CHOOSE(CONTROL!$C$42, 0.275, 0.275)*CHOOSE(CONTROL!$C$42, 30, 30))/1000000</f>
        <v>4.125</v>
      </c>
      <c r="W1007" s="56">
        <f>(1000*CHOOSE(CONTROL!$C$42, 0.1146, 0.1146)*CHOOSE(CONTROL!$C$42, 121.5, 121.5)*CHOOSE(CONTROL!$C$42, 30, 30))/1000000</f>
        <v>0.417717</v>
      </c>
      <c r="X1007" s="56">
        <f>(30*0.1790888*100000/1000000)+(30*0.2374*100000/1000000)</f>
        <v>1.2494664</v>
      </c>
      <c r="Y1007" s="56"/>
      <c r="Z1007" s="14"/>
      <c r="AA1007" s="55"/>
      <c r="AB1007" s="49">
        <f>(B1007*122.58+C1007*297.941+D1007*89.177+E1007*40.302+F1007*40+G1007*160+H1007*0+I1007*100+J1007*300)/(122.58+297.941+89.177+40.302+0+40+160+100+300)</f>
        <v>117.90957986530435</v>
      </c>
      <c r="AC1007" s="45">
        <f>(M1007*'RAP TEMPLATE-GAS AVAILABILITY'!O1006+N1007*'RAP TEMPLATE-GAS AVAILABILITY'!P1006+O1007*'RAP TEMPLATE-GAS AVAILABILITY'!Q1006+P1007*'RAP TEMPLATE-GAS AVAILABILITY'!R1006)/('RAP TEMPLATE-GAS AVAILABILITY'!O1006+'RAP TEMPLATE-GAS AVAILABILITY'!P1006+'RAP TEMPLATE-GAS AVAILABILITY'!Q1006+'RAP TEMPLATE-GAS AVAILABILITY'!R1006)</f>
        <v>115.85139208633093</v>
      </c>
    </row>
    <row r="1008" spans="1:29" ht="15.75" x14ac:dyDescent="0.25">
      <c r="A1008" s="32">
        <v>71589</v>
      </c>
      <c r="B1008" s="14">
        <f>CHOOSE(CONTROL!$C$42, 125.8851, 125.8851) * CHOOSE(CONTROL!$C$21, $C$9, 100%, $E$9)</f>
        <v>125.88509999999999</v>
      </c>
      <c r="C1008" s="14">
        <f>CHOOSE(CONTROL!$C$42, 125.8902, 125.8902) * CHOOSE(CONTROL!$C$21, $C$9, 100%, $E$9)</f>
        <v>125.89019999999999</v>
      </c>
      <c r="D1008" s="14">
        <f>CHOOSE(CONTROL!$C$42, 125.9732, 125.9732) * CHOOSE(CONTROL!$C$21, $C$9, 100%, $E$9)</f>
        <v>125.97320000000001</v>
      </c>
      <c r="E1008" s="14">
        <f>CHOOSE(CONTROL!$C$42, 126.0073, 126.0073) * CHOOSE(CONTROL!$C$21, $C$9, 100%, $E$9)</f>
        <v>126.0073</v>
      </c>
      <c r="F1008" s="14">
        <f>CHOOSE(CONTROL!$C$42, 125.9152, 125.9152)*CHOOSE(CONTROL!$C$21, $C$9, 100%, $E$9)</f>
        <v>125.9152</v>
      </c>
      <c r="G1008" s="14">
        <f>CHOOSE(CONTROL!$C$42, 125.9332, 125.9332)*CHOOSE(CONTROL!$C$21, $C$9, 100%, $E$9)</f>
        <v>125.9332</v>
      </c>
      <c r="H1008" s="14">
        <f>CHOOSE(CONTROL!$C$42, 125.9965, 125.9965) * CHOOSE(CONTROL!$C$21, $C$9, 100%, $E$9)</f>
        <v>125.9965</v>
      </c>
      <c r="I1008" s="14">
        <f>CHOOSE(CONTROL!$C$42, 126.299, 126.299)* CHOOSE(CONTROL!$C$21, $C$9, 100%, $E$9)</f>
        <v>126.29900000000001</v>
      </c>
      <c r="J1008" s="14">
        <f>CHOOSE(CONTROL!$C$42, 125.9082, 125.9082)* CHOOSE(CONTROL!$C$21, $C$9, 100%, $E$9)</f>
        <v>125.90819999999999</v>
      </c>
      <c r="K1008" s="52">
        <f>CHOOSE(CONTROL!$C$42, 126.2951, 126.2951) * CHOOSE(CONTROL!$C$21, $C$9, 100%, $E$9)</f>
        <v>126.29510000000001</v>
      </c>
      <c r="L1008" s="14">
        <f>CHOOSE(CONTROL!$C$42, 126.5835, 126.5835) * CHOOSE(CONTROL!$C$21, $C$9, 100%, $E$9)</f>
        <v>126.5835</v>
      </c>
      <c r="M1008" s="14">
        <f>CHOOSE(CONTROL!$C$42, 123.6512, 123.6512) * CHOOSE(CONTROL!$C$21, $C$9, 100%, $E$9)</f>
        <v>123.6512</v>
      </c>
      <c r="N1008" s="14">
        <f>CHOOSE(CONTROL!$C$42, 123.6689, 123.6689) * CHOOSE(CONTROL!$C$21, $C$9, 100%, $E$9)</f>
        <v>123.66889999999999</v>
      </c>
      <c r="O1008" s="14">
        <f>CHOOSE(CONTROL!$C$42, 123.738, 123.738) * CHOOSE(CONTROL!$C$21, $C$9, 100%, $E$9)</f>
        <v>123.738</v>
      </c>
      <c r="P1008" s="14">
        <f>CHOOSE(CONTROL!$C$42, 124.0281, 124.0281) * CHOOSE(CONTROL!$C$21, $C$9, 100%, $E$9)</f>
        <v>124.02809999999999</v>
      </c>
      <c r="Q1008" s="14">
        <f>CHOOSE(CONTROL!$C$42, 124.3327, 124.3327) * CHOOSE(CONTROL!$C$21, $C$9, 100%, $E$9)</f>
        <v>124.3327</v>
      </c>
      <c r="R1008" s="14">
        <f>CHOOSE(CONTROL!$C$42, 125.2305, 125.2305) * CHOOSE(CONTROL!$C$21, $C$9, 100%, $E$9)</f>
        <v>125.23050000000001</v>
      </c>
      <c r="S1008" s="14">
        <f>CHOOSE(CONTROL!$C$42, 120.9544, 120.9544) * CHOOSE(CONTROL!$C$21, $C$9, 100%, $E$9)</f>
        <v>120.95440000000001</v>
      </c>
      <c r="T10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08" s="56">
        <f>(1000*CHOOSE(CONTROL!$C$42, 695, 695)*CHOOSE(CONTROL!$C$42, 0.5599, 0.5599)*CHOOSE(CONTROL!$C$42, 31, 31))/1000000</f>
        <v>12.063045499999998</v>
      </c>
      <c r="V1008" s="56">
        <f>(1000*CHOOSE(CONTROL!$C$42, 500, 500)*CHOOSE(CONTROL!$C$42, 0.275, 0.275)*CHOOSE(CONTROL!$C$42, 31, 31))/1000000</f>
        <v>4.2625000000000002</v>
      </c>
      <c r="W1008" s="56">
        <f>(1000*CHOOSE(CONTROL!$C$42, 0.1146, 0.1146)*CHOOSE(CONTROL!$C$42, 121.5, 121.5)*CHOOSE(CONTROL!$C$42, 31, 31))/1000000</f>
        <v>0.43164089999999994</v>
      </c>
      <c r="X1008" s="56">
        <f>(31*0.1790888*100000/1000000)+(31*0.2374*100000/1000000)</f>
        <v>1.2911152800000001</v>
      </c>
      <c r="Y1008" s="56"/>
      <c r="Z1008" s="14"/>
      <c r="AA1008" s="55"/>
      <c r="AB1008" s="49">
        <f>(B1008*122.58+C1008*297.941+D1008*89.177+E1008*40.302+F1008*40+G1008*160+H1008*0+I1008*100+J1008*300)/(122.58+297.941+89.177+40.302+0+40+160+100+300)</f>
        <v>125.94729208452173</v>
      </c>
      <c r="AC1008" s="45">
        <f>(M1008*'RAP TEMPLATE-GAS AVAILABILITY'!O1007+N1008*'RAP TEMPLATE-GAS AVAILABILITY'!P1007+O1008*'RAP TEMPLATE-GAS AVAILABILITY'!Q1007+P1008*'RAP TEMPLATE-GAS AVAILABILITY'!R1007)/('RAP TEMPLATE-GAS AVAILABILITY'!O1007+'RAP TEMPLATE-GAS AVAILABILITY'!P1007+'RAP TEMPLATE-GAS AVAILABILITY'!Q1007+'RAP TEMPLATE-GAS AVAILABILITY'!R1007)</f>
        <v>123.74578992805755</v>
      </c>
    </row>
    <row r="1009" spans="1:29" ht="15.75" x14ac:dyDescent="0.25">
      <c r="A1009" s="32">
        <v>71620</v>
      </c>
      <c r="B1009" s="14">
        <f>CHOOSE(CONTROL!$C$42, 136.3203, 136.3203) * CHOOSE(CONTROL!$C$21, $C$9, 100%, $E$9)</f>
        <v>136.3203</v>
      </c>
      <c r="C1009" s="14">
        <f>CHOOSE(CONTROL!$C$42, 136.3253, 136.3253) * CHOOSE(CONTROL!$C$21, $C$9, 100%, $E$9)</f>
        <v>136.3253</v>
      </c>
      <c r="D1009" s="14">
        <f>CHOOSE(CONTROL!$C$42, 136.4188, 136.4188) * CHOOSE(CONTROL!$C$21, $C$9, 100%, $E$9)</f>
        <v>136.4188</v>
      </c>
      <c r="E1009" s="14">
        <f>CHOOSE(CONTROL!$C$42, 136.4529, 136.4529) * CHOOSE(CONTROL!$C$21, $C$9, 100%, $E$9)</f>
        <v>136.4529</v>
      </c>
      <c r="F1009" s="14">
        <f>CHOOSE(CONTROL!$C$42, 136.3476, 136.3476)*CHOOSE(CONTROL!$C$21, $C$9, 100%, $E$9)</f>
        <v>136.3476</v>
      </c>
      <c r="G1009" s="14">
        <f>CHOOSE(CONTROL!$C$42, 136.3655, 136.3655)*CHOOSE(CONTROL!$C$21, $C$9, 100%, $E$9)</f>
        <v>136.3655</v>
      </c>
      <c r="H1009" s="14">
        <f>CHOOSE(CONTROL!$C$42, 136.4421, 136.4421) * CHOOSE(CONTROL!$C$21, $C$9, 100%, $E$9)</f>
        <v>136.44210000000001</v>
      </c>
      <c r="I1009" s="14">
        <f>CHOOSE(CONTROL!$C$42, 136.7731, 136.7731)* CHOOSE(CONTROL!$C$21, $C$9, 100%, $E$9)</f>
        <v>136.7731</v>
      </c>
      <c r="J1009" s="14">
        <f>CHOOSE(CONTROL!$C$42, 136.3406, 136.3406)* CHOOSE(CONTROL!$C$21, $C$9, 100%, $E$9)</f>
        <v>136.34059999999999</v>
      </c>
      <c r="K1009" s="52">
        <f>CHOOSE(CONTROL!$C$42, 136.7692, 136.7692) * CHOOSE(CONTROL!$C$21, $C$9, 100%, $E$9)</f>
        <v>136.76920000000001</v>
      </c>
      <c r="L1009" s="14">
        <f>CHOOSE(CONTROL!$C$42, 137.0291, 137.0291) * CHOOSE(CONTROL!$C$21, $C$9, 100%, $E$9)</f>
        <v>137.0291</v>
      </c>
      <c r="M1009" s="14">
        <f>CHOOSE(CONTROL!$C$42, 133.896, 133.896) * CHOOSE(CONTROL!$C$21, $C$9, 100%, $E$9)</f>
        <v>133.89599999999999</v>
      </c>
      <c r="N1009" s="14">
        <f>CHOOSE(CONTROL!$C$42, 133.9136, 133.9136) * CHOOSE(CONTROL!$C$21, $C$9, 100%, $E$9)</f>
        <v>133.9136</v>
      </c>
      <c r="O1009" s="14">
        <f>CHOOSE(CONTROL!$C$42, 133.9957, 133.9957) * CHOOSE(CONTROL!$C$21, $C$9, 100%, $E$9)</f>
        <v>133.9957</v>
      </c>
      <c r="P1009" s="14">
        <f>CHOOSE(CONTROL!$C$42, 134.3132, 134.3132) * CHOOSE(CONTROL!$C$21, $C$9, 100%, $E$9)</f>
        <v>134.31319999999999</v>
      </c>
      <c r="Q1009" s="14">
        <f>CHOOSE(CONTROL!$C$42, 134.5904, 134.5904) * CHOOSE(CONTROL!$C$21, $C$9, 100%, $E$9)</f>
        <v>134.59039999999999</v>
      </c>
      <c r="R1009" s="14">
        <f>CHOOSE(CONTROL!$C$42, 135.5138, 135.5138) * CHOOSE(CONTROL!$C$21, $C$9, 100%, $E$9)</f>
        <v>135.5138</v>
      </c>
      <c r="S1009" s="14">
        <f>CHOOSE(CONTROL!$C$42, 130.9816, 130.9816) * CHOOSE(CONTROL!$C$21, $C$9, 100%, $E$9)</f>
        <v>130.98159999999999</v>
      </c>
      <c r="T10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09" s="56">
        <f>(1000*CHOOSE(CONTROL!$C$42, 695, 695)*CHOOSE(CONTROL!$C$42, 0.5599, 0.5599)*CHOOSE(CONTROL!$C$42, 31, 31))/1000000</f>
        <v>12.063045499999998</v>
      </c>
      <c r="V1009" s="56">
        <f>(1000*CHOOSE(CONTROL!$C$42, 500, 500)*CHOOSE(CONTROL!$C$42, 0.275, 0.275)*CHOOSE(CONTROL!$C$42, 31, 31))/1000000</f>
        <v>4.2625000000000002</v>
      </c>
      <c r="W1009" s="56">
        <f>(1000*CHOOSE(CONTROL!$C$42, 0.1146, 0.1146)*CHOOSE(CONTROL!$C$42, 121.5, 121.5)*CHOOSE(CONTROL!$C$42, 31, 31))/1000000</f>
        <v>0.43164089999999994</v>
      </c>
      <c r="X1009" s="56">
        <f>(31*0.1790888*100000/1000000)+(31*0.2374*100000/1000000)</f>
        <v>1.2911152800000001</v>
      </c>
      <c r="Y1009" s="56"/>
      <c r="Z1009" s="14"/>
      <c r="AA1009" s="55"/>
      <c r="AB1009" s="49">
        <f>(B1009*122.58+C1009*297.941+D1009*89.177+E1009*40.302+F1009*40+G1009*160+H1009*0+I1009*100+J1009*300)/(122.58+297.941+89.177+40.302+0+40+160+100+300)</f>
        <v>136.38578842147822</v>
      </c>
      <c r="AC1009" s="45">
        <f>(M1009*'RAP TEMPLATE-GAS AVAILABILITY'!O1008+N1009*'RAP TEMPLATE-GAS AVAILABILITY'!P1008+O1009*'RAP TEMPLATE-GAS AVAILABILITY'!Q1008+P1009*'RAP TEMPLATE-GAS AVAILABILITY'!R1008)/('RAP TEMPLATE-GAS AVAILABILITY'!O1008+'RAP TEMPLATE-GAS AVAILABILITY'!P1008+'RAP TEMPLATE-GAS AVAILABILITY'!Q1008+'RAP TEMPLATE-GAS AVAILABILITY'!R1008)</f>
        <v>134.00222949640286</v>
      </c>
    </row>
    <row r="1010" spans="1:29" ht="15.75" x14ac:dyDescent="0.25">
      <c r="A1010" s="32">
        <v>71649</v>
      </c>
      <c r="B1010" s="14">
        <f>CHOOSE(CONTROL!$C$42, 138.7468, 138.7468) * CHOOSE(CONTROL!$C$21, $C$9, 100%, $E$9)</f>
        <v>138.74680000000001</v>
      </c>
      <c r="C1010" s="14">
        <f>CHOOSE(CONTROL!$C$42, 138.7519, 138.7519) * CHOOSE(CONTROL!$C$21, $C$9, 100%, $E$9)</f>
        <v>138.75190000000001</v>
      </c>
      <c r="D1010" s="14">
        <f>CHOOSE(CONTROL!$C$42, 138.8453, 138.8453) * CHOOSE(CONTROL!$C$21, $C$9, 100%, $E$9)</f>
        <v>138.84530000000001</v>
      </c>
      <c r="E1010" s="14">
        <f>CHOOSE(CONTROL!$C$42, 138.8795, 138.8795) * CHOOSE(CONTROL!$C$21, $C$9, 100%, $E$9)</f>
        <v>138.87950000000001</v>
      </c>
      <c r="F1010" s="14">
        <f>CHOOSE(CONTROL!$C$42, 138.7738, 138.7738)*CHOOSE(CONTROL!$C$21, $C$9, 100%, $E$9)</f>
        <v>138.77379999999999</v>
      </c>
      <c r="G1010" s="14">
        <f>CHOOSE(CONTROL!$C$42, 138.7916, 138.7916)*CHOOSE(CONTROL!$C$21, $C$9, 100%, $E$9)</f>
        <v>138.79159999999999</v>
      </c>
      <c r="H1010" s="14">
        <f>CHOOSE(CONTROL!$C$42, 138.8686, 138.8686) * CHOOSE(CONTROL!$C$21, $C$9, 100%, $E$9)</f>
        <v>138.86859999999999</v>
      </c>
      <c r="I1010" s="14">
        <f>CHOOSE(CONTROL!$C$42, 139.2072, 139.2072)* CHOOSE(CONTROL!$C$21, $C$9, 100%, $E$9)</f>
        <v>139.2072</v>
      </c>
      <c r="J1010" s="14">
        <f>CHOOSE(CONTROL!$C$42, 138.7668, 138.7668)* CHOOSE(CONTROL!$C$21, $C$9, 100%, $E$9)</f>
        <v>138.76679999999999</v>
      </c>
      <c r="K1010" s="52">
        <f>CHOOSE(CONTROL!$C$42, 139.2033, 139.2033) * CHOOSE(CONTROL!$C$21, $C$9, 100%, $E$9)</f>
        <v>139.20330000000001</v>
      </c>
      <c r="L1010" s="14">
        <f>CHOOSE(CONTROL!$C$42, 139.4556, 139.4556) * CHOOSE(CONTROL!$C$21, $C$9, 100%, $E$9)</f>
        <v>139.4556</v>
      </c>
      <c r="M1010" s="14">
        <f>CHOOSE(CONTROL!$C$42, 136.2785, 136.2785) * CHOOSE(CONTROL!$C$21, $C$9, 100%, $E$9)</f>
        <v>136.27850000000001</v>
      </c>
      <c r="N1010" s="14">
        <f>CHOOSE(CONTROL!$C$42, 136.296, 136.296) * CHOOSE(CONTROL!$C$21, $C$9, 100%, $E$9)</f>
        <v>136.29599999999999</v>
      </c>
      <c r="O1010" s="14">
        <f>CHOOSE(CONTROL!$C$42, 136.3786, 136.3786) * CHOOSE(CONTROL!$C$21, $C$9, 100%, $E$9)</f>
        <v>136.37860000000001</v>
      </c>
      <c r="P1010" s="14">
        <f>CHOOSE(CONTROL!$C$42, 136.7034, 136.7034) * CHOOSE(CONTROL!$C$21, $C$9, 100%, $E$9)</f>
        <v>136.70339999999999</v>
      </c>
      <c r="Q1010" s="14">
        <f>CHOOSE(CONTROL!$C$42, 136.9733, 136.9733) * CHOOSE(CONTROL!$C$21, $C$9, 100%, $E$9)</f>
        <v>136.97329999999999</v>
      </c>
      <c r="R1010" s="14">
        <f>CHOOSE(CONTROL!$C$42, 137.9027, 137.9027) * CHOOSE(CONTROL!$C$21, $C$9, 100%, $E$9)</f>
        <v>137.90270000000001</v>
      </c>
      <c r="S1010" s="14">
        <f>CHOOSE(CONTROL!$C$42, 133.3133, 133.3133) * CHOOSE(CONTROL!$C$21, $C$9, 100%, $E$9)</f>
        <v>133.3133</v>
      </c>
      <c r="T101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010" s="56">
        <f>(1000*CHOOSE(CONTROL!$C$42, 695, 695)*CHOOSE(CONTROL!$C$42, 0.5599, 0.5599)*CHOOSE(CONTROL!$C$42, 29, 29))/1000000</f>
        <v>11.284784499999999</v>
      </c>
      <c r="V1010" s="56">
        <f>(1000*CHOOSE(CONTROL!$C$42, 500, 500)*CHOOSE(CONTROL!$C$42, 0.275, 0.275)*CHOOSE(CONTROL!$C$42, 29, 29))/1000000</f>
        <v>3.9874999999999998</v>
      </c>
      <c r="W1010" s="56">
        <f>(1000*CHOOSE(CONTROL!$C$42, 0.1146, 0.1146)*CHOOSE(CONTROL!$C$42, 121.5, 121.5)*CHOOSE(CONTROL!$C$42, 29, 29))/1000000</f>
        <v>0.40379309999999996</v>
      </c>
      <c r="X1010" s="56">
        <f>(29*0.1790888*100000/1000000)+(29*0.2374*100000/1000000)</f>
        <v>1.2078175199999999</v>
      </c>
      <c r="Y1010" s="56"/>
      <c r="Z1010" s="14"/>
      <c r="AA1010" s="55"/>
      <c r="AB1010" s="49">
        <f>(B1010*122.58+C1010*297.941+D1010*89.177+E1010*40.302+F1010*40+G1010*160+H1010*0+I1010*100+J1010*300)/(122.58+297.941+89.177+40.302+0+40+160+100+300)</f>
        <v>138.81283435565217</v>
      </c>
      <c r="AC1010" s="45">
        <f>(M1010*'RAP TEMPLATE-GAS AVAILABILITY'!O1009+N1010*'RAP TEMPLATE-GAS AVAILABILITY'!P1009+O1010*'RAP TEMPLATE-GAS AVAILABILITY'!Q1009+P1010*'RAP TEMPLATE-GAS AVAILABILITY'!R1009)/('RAP TEMPLATE-GAS AVAILABILITY'!O1009+'RAP TEMPLATE-GAS AVAILABILITY'!P1009+'RAP TEMPLATE-GAS AVAILABILITY'!Q1009+'RAP TEMPLATE-GAS AVAILABILITY'!R1009)</f>
        <v>136.3860129496403</v>
      </c>
    </row>
    <row r="1011" spans="1:29" ht="15.75" x14ac:dyDescent="0.25">
      <c r="A1011" s="32">
        <v>71680</v>
      </c>
      <c r="B1011" s="14">
        <f>CHOOSE(CONTROL!$C$42, 134.808, 134.808) * CHOOSE(CONTROL!$C$21, $C$9, 100%, $E$9)</f>
        <v>134.80799999999999</v>
      </c>
      <c r="C1011" s="14">
        <f>CHOOSE(CONTROL!$C$42, 134.813, 134.813) * CHOOSE(CONTROL!$C$21, $C$9, 100%, $E$9)</f>
        <v>134.81299999999999</v>
      </c>
      <c r="D1011" s="14">
        <f>CHOOSE(CONTROL!$C$42, 134.9065, 134.9065) * CHOOSE(CONTROL!$C$21, $C$9, 100%, $E$9)</f>
        <v>134.90649999999999</v>
      </c>
      <c r="E1011" s="14">
        <f>CHOOSE(CONTROL!$C$42, 134.9406, 134.9406) * CHOOSE(CONTROL!$C$21, $C$9, 100%, $E$9)</f>
        <v>134.94059999999999</v>
      </c>
      <c r="F1011" s="14">
        <f>CHOOSE(CONTROL!$C$42, 134.834, 134.834)*CHOOSE(CONTROL!$C$21, $C$9, 100%, $E$9)</f>
        <v>134.834</v>
      </c>
      <c r="G1011" s="14">
        <f>CHOOSE(CONTROL!$C$42, 134.8517, 134.8517)*CHOOSE(CONTROL!$C$21, $C$9, 100%, $E$9)</f>
        <v>134.85169999999999</v>
      </c>
      <c r="H1011" s="14">
        <f>CHOOSE(CONTROL!$C$42, 134.9298, 134.9298) * CHOOSE(CONTROL!$C$21, $C$9, 100%, $E$9)</f>
        <v>134.9298</v>
      </c>
      <c r="I1011" s="14">
        <f>CHOOSE(CONTROL!$C$42, 135.2561, 135.2561)* CHOOSE(CONTROL!$C$21, $C$9, 100%, $E$9)</f>
        <v>135.2561</v>
      </c>
      <c r="J1011" s="14">
        <f>CHOOSE(CONTROL!$C$42, 134.827, 134.827)* CHOOSE(CONTROL!$C$21, $C$9, 100%, $E$9)</f>
        <v>134.827</v>
      </c>
      <c r="K1011" s="52">
        <f>CHOOSE(CONTROL!$C$42, 135.2522, 135.2522) * CHOOSE(CONTROL!$C$21, $C$9, 100%, $E$9)</f>
        <v>135.25219999999999</v>
      </c>
      <c r="L1011" s="14">
        <f>CHOOSE(CONTROL!$C$42, 135.5168, 135.5168) * CHOOSE(CONTROL!$C$21, $C$9, 100%, $E$9)</f>
        <v>135.51679999999999</v>
      </c>
      <c r="M1011" s="14">
        <f>CHOOSE(CONTROL!$C$42, 132.4096, 132.4096) * CHOOSE(CONTROL!$C$21, $C$9, 100%, $E$9)</f>
        <v>132.40960000000001</v>
      </c>
      <c r="N1011" s="14">
        <f>CHOOSE(CONTROL!$C$42, 132.427, 132.427) * CHOOSE(CONTROL!$C$21, $C$9, 100%, $E$9)</f>
        <v>132.42699999999999</v>
      </c>
      <c r="O1011" s="14">
        <f>CHOOSE(CONTROL!$C$42, 132.5105, 132.5105) * CHOOSE(CONTROL!$C$21, $C$9, 100%, $E$9)</f>
        <v>132.51050000000001</v>
      </c>
      <c r="P1011" s="14">
        <f>CHOOSE(CONTROL!$C$42, 132.8235, 132.8235) * CHOOSE(CONTROL!$C$21, $C$9, 100%, $E$9)</f>
        <v>132.8235</v>
      </c>
      <c r="Q1011" s="14">
        <f>CHOOSE(CONTROL!$C$42, 133.1052, 133.1052) * CHOOSE(CONTROL!$C$21, $C$9, 100%, $E$9)</f>
        <v>133.1052</v>
      </c>
      <c r="R1011" s="14">
        <f>CHOOSE(CONTROL!$C$42, 134.025, 134.025) * CHOOSE(CONTROL!$C$21, $C$9, 100%, $E$9)</f>
        <v>134.02500000000001</v>
      </c>
      <c r="S1011" s="14">
        <f>CHOOSE(CONTROL!$C$42, 129.5284, 129.5284) * CHOOSE(CONTROL!$C$21, $C$9, 100%, $E$9)</f>
        <v>129.5284</v>
      </c>
      <c r="T10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011" s="56">
        <f>(1000*CHOOSE(CONTROL!$C$42, 695, 695)*CHOOSE(CONTROL!$C$42, 0.5599, 0.5599)*CHOOSE(CONTROL!$C$42, 31, 31))/1000000</f>
        <v>12.063045499999998</v>
      </c>
      <c r="V1011" s="56">
        <f>(1000*CHOOSE(CONTROL!$C$42, 500, 500)*CHOOSE(CONTROL!$C$42, 0.275, 0.275)*CHOOSE(CONTROL!$C$42, 31, 31))/1000000</f>
        <v>4.2625000000000002</v>
      </c>
      <c r="W1011" s="56">
        <f>(1000*CHOOSE(CONTROL!$C$42, 0.1146, 0.1146)*CHOOSE(CONTROL!$C$42, 121.5, 121.5)*CHOOSE(CONTROL!$C$42, 31, 31))/1000000</f>
        <v>0.43164089999999994</v>
      </c>
      <c r="X1011" s="56">
        <f>(31*0.1790888*100000/1000000)+(31*0.2374*100000/1000000)</f>
        <v>1.2911152800000001</v>
      </c>
      <c r="Y1011" s="56"/>
      <c r="Z1011" s="14"/>
      <c r="AA1011" s="55"/>
      <c r="AB1011" s="49">
        <f>(B1011*122.58+C1011*297.941+D1011*89.177+E1011*40.302+F1011*40+G1011*160+H1011*0+I1011*100+J1011*300)/(122.58+297.941+89.177+40.302+0+40+160+100+300)</f>
        <v>134.87248668234784</v>
      </c>
      <c r="AC1011" s="45">
        <f>(M1011*'RAP TEMPLATE-GAS AVAILABILITY'!O1010+N1011*'RAP TEMPLATE-GAS AVAILABILITY'!P1010+O1011*'RAP TEMPLATE-GAS AVAILABILITY'!Q1010+P1011*'RAP TEMPLATE-GAS AVAILABILITY'!R1010)/('RAP TEMPLATE-GAS AVAILABILITY'!O1010+'RAP TEMPLATE-GAS AVAILABILITY'!P1010+'RAP TEMPLATE-GAS AVAILABILITY'!Q1010+'RAP TEMPLATE-GAS AVAILABILITY'!R1010)</f>
        <v>132.51588705035974</v>
      </c>
    </row>
    <row r="1012" spans="1:29" ht="15.75" x14ac:dyDescent="0.25">
      <c r="A1012" s="32">
        <v>71710</v>
      </c>
      <c r="B1012" s="14">
        <f>CHOOSE(CONTROL!$C$42, 134.4054, 134.4054) * CHOOSE(CONTROL!$C$21, $C$9, 100%, $E$9)</f>
        <v>134.40539999999999</v>
      </c>
      <c r="C1012" s="14">
        <f>CHOOSE(CONTROL!$C$42, 134.4098, 134.4098) * CHOOSE(CONTROL!$C$21, $C$9, 100%, $E$9)</f>
        <v>134.40979999999999</v>
      </c>
      <c r="D1012" s="14">
        <f>CHOOSE(CONTROL!$C$42, 134.6721, 134.6721) * CHOOSE(CONTROL!$C$21, $C$9, 100%, $E$9)</f>
        <v>134.6721</v>
      </c>
      <c r="E1012" s="14">
        <f>CHOOSE(CONTROL!$C$42, 134.7042, 134.7042) * CHOOSE(CONTROL!$C$21, $C$9, 100%, $E$9)</f>
        <v>134.70419999999999</v>
      </c>
      <c r="F1012" s="14">
        <f>CHOOSE(CONTROL!$C$42, 134.4282, 134.4282)*CHOOSE(CONTROL!$C$21, $C$9, 100%, $E$9)</f>
        <v>134.4282</v>
      </c>
      <c r="G1012" s="14">
        <f>CHOOSE(CONTROL!$C$42, 134.4449, 134.4449)*CHOOSE(CONTROL!$C$21, $C$9, 100%, $E$9)</f>
        <v>134.44489999999999</v>
      </c>
      <c r="H1012" s="14">
        <f>CHOOSE(CONTROL!$C$42, 134.694, 134.694) * CHOOSE(CONTROL!$C$21, $C$9, 100%, $E$9)</f>
        <v>134.69399999999999</v>
      </c>
      <c r="I1012" s="14">
        <f>CHOOSE(CONTROL!$C$42, 134.8488, 134.8488)* CHOOSE(CONTROL!$C$21, $C$9, 100%, $E$9)</f>
        <v>134.84880000000001</v>
      </c>
      <c r="J1012" s="14">
        <f>CHOOSE(CONTROL!$C$42, 134.4212, 134.4212)* CHOOSE(CONTROL!$C$21, $C$9, 100%, $E$9)</f>
        <v>134.4212</v>
      </c>
      <c r="K1012" s="52">
        <f>CHOOSE(CONTROL!$C$42, 134.8449, 134.8449) * CHOOSE(CONTROL!$C$21, $C$9, 100%, $E$9)</f>
        <v>134.8449</v>
      </c>
      <c r="L1012" s="14">
        <f>CHOOSE(CONTROL!$C$42, 135.281, 135.281) * CHOOSE(CONTROL!$C$21, $C$9, 100%, $E$9)</f>
        <v>135.28100000000001</v>
      </c>
      <c r="M1012" s="14">
        <f>CHOOSE(CONTROL!$C$42, 132.0111, 132.0111) * CHOOSE(CONTROL!$C$21, $C$9, 100%, $E$9)</f>
        <v>132.0111</v>
      </c>
      <c r="N1012" s="14">
        <f>CHOOSE(CONTROL!$C$42, 132.0275, 132.0275) * CHOOSE(CONTROL!$C$21, $C$9, 100%, $E$9)</f>
        <v>132.0275</v>
      </c>
      <c r="O1012" s="14">
        <f>CHOOSE(CONTROL!$C$42, 132.279, 132.279) * CHOOSE(CONTROL!$C$21, $C$9, 100%, $E$9)</f>
        <v>132.279</v>
      </c>
      <c r="P1012" s="14">
        <f>CHOOSE(CONTROL!$C$42, 132.4236, 132.4236) * CHOOSE(CONTROL!$C$21, $C$9, 100%, $E$9)</f>
        <v>132.42359999999999</v>
      </c>
      <c r="Q1012" s="14">
        <f>CHOOSE(CONTROL!$C$42, 132.8737, 132.8737) * CHOOSE(CONTROL!$C$21, $C$9, 100%, $E$9)</f>
        <v>132.87370000000001</v>
      </c>
      <c r="R1012" s="14">
        <f>CHOOSE(CONTROL!$C$42, 133.7928, 133.7928) * CHOOSE(CONTROL!$C$21, $C$9, 100%, $E$9)</f>
        <v>133.7928</v>
      </c>
      <c r="S1012" s="14">
        <f>CHOOSE(CONTROL!$C$42, 129.1408, 129.1408) * CHOOSE(CONTROL!$C$21, $C$9, 100%, $E$9)</f>
        <v>129.14080000000001</v>
      </c>
      <c r="T10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12" s="56">
        <f>(1000*CHOOSE(CONTROL!$C$42, 695, 695)*CHOOSE(CONTROL!$C$42, 0.5599, 0.5599)*CHOOSE(CONTROL!$C$42, 30, 30))/1000000</f>
        <v>11.673914999999997</v>
      </c>
      <c r="V1012" s="56">
        <f>(1000*CHOOSE(CONTROL!$C$42, 500, 500)*CHOOSE(CONTROL!$C$42, 0.275, 0.275)*CHOOSE(CONTROL!$C$42, 30, 30))/1000000</f>
        <v>4.125</v>
      </c>
      <c r="W1012" s="56">
        <f>(1000*CHOOSE(CONTROL!$C$42, 0.1146, 0.1146)*CHOOSE(CONTROL!$C$42, 121.5, 121.5)*CHOOSE(CONTROL!$C$42, 30, 30))/1000000</f>
        <v>0.417717</v>
      </c>
      <c r="X1012" s="56">
        <f>(30*0.1790888*245000/1000000)+(30*0.2374*100000/1000000)</f>
        <v>2.0285026799999999</v>
      </c>
      <c r="Y1012" s="56"/>
      <c r="Z1012" s="14"/>
      <c r="AA1012" s="55"/>
      <c r="AB1012" s="49">
        <f>(B1012*141.293+C1012*267.993+D1012*115.016+E1012*89.698+F1012*40+G1012*185+H1012*0+I1012*100+J1012*300)/(141.293+267.993+115.016+89.698+0+40+185+100+300)</f>
        <v>134.49898773107341</v>
      </c>
      <c r="AC1012" s="45">
        <f>(M1012*'RAP TEMPLATE-GAS AVAILABILITY'!O1011+N1012*'RAP TEMPLATE-GAS AVAILABILITY'!P1011+O1012*'RAP TEMPLATE-GAS AVAILABILITY'!Q1011+P1012*'RAP TEMPLATE-GAS AVAILABILITY'!R1011)/('RAP TEMPLATE-GAS AVAILABILITY'!O1011+'RAP TEMPLATE-GAS AVAILABILITY'!P1011+'RAP TEMPLATE-GAS AVAILABILITY'!Q1011+'RAP TEMPLATE-GAS AVAILABILITY'!R1011)</f>
        <v>132.19281870503599</v>
      </c>
    </row>
    <row r="1013" spans="1:29" ht="15.75" x14ac:dyDescent="0.25">
      <c r="A1013" s="32">
        <v>71741</v>
      </c>
      <c r="B1013" s="14">
        <f>CHOOSE(CONTROL!$C$42, 135.5929, 135.5929) * CHOOSE(CONTROL!$C$21, $C$9, 100%, $E$9)</f>
        <v>135.59289999999999</v>
      </c>
      <c r="C1013" s="14">
        <f>CHOOSE(CONTROL!$C$42, 135.601, 135.601) * CHOOSE(CONTROL!$C$21, $C$9, 100%, $E$9)</f>
        <v>135.601</v>
      </c>
      <c r="D1013" s="14">
        <f>CHOOSE(CONTROL!$C$42, 135.8601, 135.8601) * CHOOSE(CONTROL!$C$21, $C$9, 100%, $E$9)</f>
        <v>135.86009999999999</v>
      </c>
      <c r="E1013" s="14">
        <f>CHOOSE(CONTROL!$C$42, 135.8915, 135.8915) * CHOOSE(CONTROL!$C$21, $C$9, 100%, $E$9)</f>
        <v>135.89150000000001</v>
      </c>
      <c r="F1013" s="14">
        <f>CHOOSE(CONTROL!$C$42, 135.6145, 135.6145)*CHOOSE(CONTROL!$C$21, $C$9, 100%, $E$9)</f>
        <v>135.61449999999999</v>
      </c>
      <c r="G1013" s="14">
        <f>CHOOSE(CONTROL!$C$42, 135.6314, 135.6314)*CHOOSE(CONTROL!$C$21, $C$9, 100%, $E$9)</f>
        <v>135.63140000000001</v>
      </c>
      <c r="H1013" s="14">
        <f>CHOOSE(CONTROL!$C$42, 135.8802, 135.8802) * CHOOSE(CONTROL!$C$21, $C$9, 100%, $E$9)</f>
        <v>135.8802</v>
      </c>
      <c r="I1013" s="14">
        <f>CHOOSE(CONTROL!$C$42, 136.0387, 136.0387)* CHOOSE(CONTROL!$C$21, $C$9, 100%, $E$9)</f>
        <v>136.03870000000001</v>
      </c>
      <c r="J1013" s="14">
        <f>CHOOSE(CONTROL!$C$42, 135.6075, 135.6075)* CHOOSE(CONTROL!$C$21, $C$9, 100%, $E$9)</f>
        <v>135.60749999999999</v>
      </c>
      <c r="K1013" s="52">
        <f>CHOOSE(CONTROL!$C$42, 136.0348, 136.0348) * CHOOSE(CONTROL!$C$21, $C$9, 100%, $E$9)</f>
        <v>136.03479999999999</v>
      </c>
      <c r="L1013" s="14">
        <f>CHOOSE(CONTROL!$C$42, 136.4672, 136.4672) * CHOOSE(CONTROL!$C$21, $C$9, 100%, $E$9)</f>
        <v>136.46719999999999</v>
      </c>
      <c r="M1013" s="14">
        <f>CHOOSE(CONTROL!$C$42, 133.176, 133.176) * CHOOSE(CONTROL!$C$21, $C$9, 100%, $E$9)</f>
        <v>133.17599999999999</v>
      </c>
      <c r="N1013" s="14">
        <f>CHOOSE(CONTROL!$C$42, 133.1927, 133.1927) * CHOOSE(CONTROL!$C$21, $C$9, 100%, $E$9)</f>
        <v>133.1927</v>
      </c>
      <c r="O1013" s="14">
        <f>CHOOSE(CONTROL!$C$42, 133.4438, 133.4438) * CHOOSE(CONTROL!$C$21, $C$9, 100%, $E$9)</f>
        <v>133.44380000000001</v>
      </c>
      <c r="P1013" s="14">
        <f>CHOOSE(CONTROL!$C$42, 133.592, 133.592) * CHOOSE(CONTROL!$C$21, $C$9, 100%, $E$9)</f>
        <v>133.59200000000001</v>
      </c>
      <c r="Q1013" s="14">
        <f>CHOOSE(CONTROL!$C$42, 134.0385, 134.0385) * CHOOSE(CONTROL!$C$21, $C$9, 100%, $E$9)</f>
        <v>134.0385</v>
      </c>
      <c r="R1013" s="14">
        <f>CHOOSE(CONTROL!$C$42, 134.9606, 134.9606) * CHOOSE(CONTROL!$C$21, $C$9, 100%, $E$9)</f>
        <v>134.9606</v>
      </c>
      <c r="S1013" s="14">
        <f>CHOOSE(CONTROL!$C$42, 130.2806, 130.2806) * CHOOSE(CONTROL!$C$21, $C$9, 100%, $E$9)</f>
        <v>130.28059999999999</v>
      </c>
      <c r="T10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13" s="56">
        <f>(1000*CHOOSE(CONTROL!$C$42, 695, 695)*CHOOSE(CONTROL!$C$42, 0.5599, 0.5599)*CHOOSE(CONTROL!$C$42, 31, 31))/1000000</f>
        <v>12.063045499999998</v>
      </c>
      <c r="V1013" s="56">
        <f>(1000*CHOOSE(CONTROL!$C$42, 500, 500)*CHOOSE(CONTROL!$C$42, 0.275, 0.275)*CHOOSE(CONTROL!$C$42, 31, 31))/1000000</f>
        <v>4.2625000000000002</v>
      </c>
      <c r="W1013" s="56">
        <f>(1000*CHOOSE(CONTROL!$C$42, 0.1146, 0.1146)*CHOOSE(CONTROL!$C$42, 121.5, 121.5)*CHOOSE(CONTROL!$C$42, 31, 31))/1000000</f>
        <v>0.43164089999999994</v>
      </c>
      <c r="X1013" s="56">
        <f>(31*0.1790888*245000/1000000)+(31*0.2374*100000/1000000)</f>
        <v>2.0961194359999999</v>
      </c>
      <c r="Y1013" s="56"/>
      <c r="Z1013" s="14"/>
      <c r="AA1013" s="55"/>
      <c r="AB1013" s="49">
        <f>(B1013*194.205+C1013*267.466+D1013*133.845+E1013*53.484+F1013*40+G1013*185+H1013*0+I1013*100+J1013*300)/(194.205+267.466+133.845+53.484+0+40+185+100+300)</f>
        <v>135.67990681397174</v>
      </c>
      <c r="AC1013" s="45">
        <f>(M1013*'RAP TEMPLATE-GAS AVAILABILITY'!O1012+N1013*'RAP TEMPLATE-GAS AVAILABILITY'!P1012+O1013*'RAP TEMPLATE-GAS AVAILABILITY'!Q1012+P1013*'RAP TEMPLATE-GAS AVAILABILITY'!R1012)/('RAP TEMPLATE-GAS AVAILABILITY'!O1012+'RAP TEMPLATE-GAS AVAILABILITY'!P1012+'RAP TEMPLATE-GAS AVAILABILITY'!Q1012+'RAP TEMPLATE-GAS AVAILABILITY'!R1012)</f>
        <v>133.35819424460431</v>
      </c>
    </row>
    <row r="1014" spans="1:29" ht="15.75" x14ac:dyDescent="0.25">
      <c r="A1014" s="32">
        <v>71771</v>
      </c>
      <c r="B1014" s="14">
        <f>CHOOSE(CONTROL!$C$42, 139.4389, 139.4389) * CHOOSE(CONTROL!$C$21, $C$9, 100%, $E$9)</f>
        <v>139.43889999999999</v>
      </c>
      <c r="C1014" s="14">
        <f>CHOOSE(CONTROL!$C$42, 139.4469, 139.4469) * CHOOSE(CONTROL!$C$21, $C$9, 100%, $E$9)</f>
        <v>139.4469</v>
      </c>
      <c r="D1014" s="14">
        <f>CHOOSE(CONTROL!$C$42, 139.706, 139.706) * CHOOSE(CONTROL!$C$21, $C$9, 100%, $E$9)</f>
        <v>139.70599999999999</v>
      </c>
      <c r="E1014" s="14">
        <f>CHOOSE(CONTROL!$C$42, 139.7375, 139.7375) * CHOOSE(CONTROL!$C$21, $C$9, 100%, $E$9)</f>
        <v>139.73750000000001</v>
      </c>
      <c r="F1014" s="14">
        <f>CHOOSE(CONTROL!$C$42, 139.4607, 139.4607)*CHOOSE(CONTROL!$C$21, $C$9, 100%, $E$9)</f>
        <v>139.4607</v>
      </c>
      <c r="G1014" s="14">
        <f>CHOOSE(CONTROL!$C$42, 139.4777, 139.4777)*CHOOSE(CONTROL!$C$21, $C$9, 100%, $E$9)</f>
        <v>139.4777</v>
      </c>
      <c r="H1014" s="14">
        <f>CHOOSE(CONTROL!$C$42, 139.7261, 139.7261) * CHOOSE(CONTROL!$C$21, $C$9, 100%, $E$9)</f>
        <v>139.7261</v>
      </c>
      <c r="I1014" s="14">
        <f>CHOOSE(CONTROL!$C$42, 139.8967, 139.8967)* CHOOSE(CONTROL!$C$21, $C$9, 100%, $E$9)</f>
        <v>139.89670000000001</v>
      </c>
      <c r="J1014" s="14">
        <f>CHOOSE(CONTROL!$C$42, 139.4537, 139.4537)* CHOOSE(CONTROL!$C$21, $C$9, 100%, $E$9)</f>
        <v>139.4537</v>
      </c>
      <c r="K1014" s="52">
        <f>CHOOSE(CONTROL!$C$42, 139.8928, 139.8928) * CHOOSE(CONTROL!$C$21, $C$9, 100%, $E$9)</f>
        <v>139.89279999999999</v>
      </c>
      <c r="L1014" s="14">
        <f>CHOOSE(CONTROL!$C$42, 140.3131, 140.3131) * CHOOSE(CONTROL!$C$21, $C$9, 100%, $E$9)</f>
        <v>140.31309999999999</v>
      </c>
      <c r="M1014" s="14">
        <f>CHOOSE(CONTROL!$C$42, 136.9531, 136.9531) * CHOOSE(CONTROL!$C$21, $C$9, 100%, $E$9)</f>
        <v>136.95310000000001</v>
      </c>
      <c r="N1014" s="14">
        <f>CHOOSE(CONTROL!$C$42, 136.9698, 136.9698) * CHOOSE(CONTROL!$C$21, $C$9, 100%, $E$9)</f>
        <v>136.96979999999999</v>
      </c>
      <c r="O1014" s="14">
        <f>CHOOSE(CONTROL!$C$42, 137.2206, 137.2206) * CHOOSE(CONTROL!$C$21, $C$9, 100%, $E$9)</f>
        <v>137.22059999999999</v>
      </c>
      <c r="P1014" s="14">
        <f>CHOOSE(CONTROL!$C$42, 137.3804, 137.3804) * CHOOSE(CONTROL!$C$21, $C$9, 100%, $E$9)</f>
        <v>137.38040000000001</v>
      </c>
      <c r="Q1014" s="14">
        <f>CHOOSE(CONTROL!$C$42, 137.8153, 137.8153) * CHOOSE(CONTROL!$C$21, $C$9, 100%, $E$9)</f>
        <v>137.81530000000001</v>
      </c>
      <c r="R1014" s="14">
        <f>CHOOSE(CONTROL!$C$42, 138.7468, 138.7468) * CHOOSE(CONTROL!$C$21, $C$9, 100%, $E$9)</f>
        <v>138.74680000000001</v>
      </c>
      <c r="S1014" s="14">
        <f>CHOOSE(CONTROL!$C$42, 133.9762, 133.9762) * CHOOSE(CONTROL!$C$21, $C$9, 100%, $E$9)</f>
        <v>133.97620000000001</v>
      </c>
      <c r="T10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14" s="56">
        <f>(1000*CHOOSE(CONTROL!$C$42, 695, 695)*CHOOSE(CONTROL!$C$42, 0.5599, 0.5599)*CHOOSE(CONTROL!$C$42, 30, 30))/1000000</f>
        <v>11.673914999999997</v>
      </c>
      <c r="V1014" s="56">
        <f>(1000*CHOOSE(CONTROL!$C$42, 500, 500)*CHOOSE(CONTROL!$C$42, 0.275, 0.275)*CHOOSE(CONTROL!$C$42, 30, 30))/1000000</f>
        <v>4.125</v>
      </c>
      <c r="W1014" s="56">
        <f>(1000*CHOOSE(CONTROL!$C$42, 0.1146, 0.1146)*CHOOSE(CONTROL!$C$42, 121.5, 121.5)*CHOOSE(CONTROL!$C$42, 30, 30))/1000000</f>
        <v>0.417717</v>
      </c>
      <c r="X1014" s="56">
        <f>(30*0.1790888*245000/1000000)+(30*0.2374*100000/1000000)</f>
        <v>2.0285026799999999</v>
      </c>
      <c r="Y1014" s="56"/>
      <c r="Z1014" s="14"/>
      <c r="AA1014" s="55"/>
      <c r="AB1014" s="49">
        <f>(B1014*194.205+C1014*267.466+D1014*133.845+E1014*53.484+F1014*40+G1014*185+H1014*0+I1014*100+J1014*300)/(194.205+267.466+133.845+53.484+0+40+185+100+300)</f>
        <v>139.52691416789639</v>
      </c>
      <c r="AC1014" s="45">
        <f>(M1014*'RAP TEMPLATE-GAS AVAILABILITY'!O1013+N1014*'RAP TEMPLATE-GAS AVAILABILITY'!P1013+O1014*'RAP TEMPLATE-GAS AVAILABILITY'!Q1013+P1014*'RAP TEMPLATE-GAS AVAILABILITY'!R1013)/('RAP TEMPLATE-GAS AVAILABILITY'!O1013+'RAP TEMPLATE-GAS AVAILABILITY'!P1013+'RAP TEMPLATE-GAS AVAILABILITY'!Q1013+'RAP TEMPLATE-GAS AVAILABILITY'!R1013)</f>
        <v>137.13678417266186</v>
      </c>
    </row>
    <row r="1015" spans="1:29" ht="15.75" x14ac:dyDescent="0.25">
      <c r="A1015" s="32">
        <v>71802</v>
      </c>
      <c r="B1015" s="14">
        <f>CHOOSE(CONTROL!$C$42, 136.764, 136.764) * CHOOSE(CONTROL!$C$21, $C$9, 100%, $E$9)</f>
        <v>136.76400000000001</v>
      </c>
      <c r="C1015" s="14">
        <f>CHOOSE(CONTROL!$C$42, 136.772, 136.772) * CHOOSE(CONTROL!$C$21, $C$9, 100%, $E$9)</f>
        <v>136.77199999999999</v>
      </c>
      <c r="D1015" s="14">
        <f>CHOOSE(CONTROL!$C$42, 137.0311, 137.0311) * CHOOSE(CONTROL!$C$21, $C$9, 100%, $E$9)</f>
        <v>137.03110000000001</v>
      </c>
      <c r="E1015" s="14">
        <f>CHOOSE(CONTROL!$C$42, 137.0626, 137.0626) * CHOOSE(CONTROL!$C$21, $C$9, 100%, $E$9)</f>
        <v>137.0626</v>
      </c>
      <c r="F1015" s="14">
        <f>CHOOSE(CONTROL!$C$42, 136.7862, 136.7862)*CHOOSE(CONTROL!$C$21, $C$9, 100%, $E$9)</f>
        <v>136.78620000000001</v>
      </c>
      <c r="G1015" s="14">
        <f>CHOOSE(CONTROL!$C$42, 136.8034, 136.8034)*CHOOSE(CONTROL!$C$21, $C$9, 100%, $E$9)</f>
        <v>136.80340000000001</v>
      </c>
      <c r="H1015" s="14">
        <f>CHOOSE(CONTROL!$C$42, 137.0512, 137.0512) * CHOOSE(CONTROL!$C$21, $C$9, 100%, $E$9)</f>
        <v>137.05119999999999</v>
      </c>
      <c r="I1015" s="14">
        <f>CHOOSE(CONTROL!$C$42, 137.2134, 137.2134)* CHOOSE(CONTROL!$C$21, $C$9, 100%, $E$9)</f>
        <v>137.21340000000001</v>
      </c>
      <c r="J1015" s="14">
        <f>CHOOSE(CONTROL!$C$42, 136.7792, 136.7792)* CHOOSE(CONTROL!$C$21, $C$9, 100%, $E$9)</f>
        <v>136.7792</v>
      </c>
      <c r="K1015" s="52">
        <f>CHOOSE(CONTROL!$C$42, 137.2095, 137.2095) * CHOOSE(CONTROL!$C$21, $C$9, 100%, $E$9)</f>
        <v>137.20949999999999</v>
      </c>
      <c r="L1015" s="14">
        <f>CHOOSE(CONTROL!$C$42, 137.6382, 137.6382) * CHOOSE(CONTROL!$C$21, $C$9, 100%, $E$9)</f>
        <v>137.63820000000001</v>
      </c>
      <c r="M1015" s="14">
        <f>CHOOSE(CONTROL!$C$42, 134.3267, 134.3267) * CHOOSE(CONTROL!$C$21, $C$9, 100%, $E$9)</f>
        <v>134.32669999999999</v>
      </c>
      <c r="N1015" s="14">
        <f>CHOOSE(CONTROL!$C$42, 134.3435, 134.3435) * CHOOSE(CONTROL!$C$21, $C$9, 100%, $E$9)</f>
        <v>134.34350000000001</v>
      </c>
      <c r="O1015" s="14">
        <f>CHOOSE(CONTROL!$C$42, 134.5938, 134.5938) * CHOOSE(CONTROL!$C$21, $C$9, 100%, $E$9)</f>
        <v>134.59379999999999</v>
      </c>
      <c r="P1015" s="14">
        <f>CHOOSE(CONTROL!$C$42, 134.7456, 134.7456) * CHOOSE(CONTROL!$C$21, $C$9, 100%, $E$9)</f>
        <v>134.7456</v>
      </c>
      <c r="Q1015" s="14">
        <f>CHOOSE(CONTROL!$C$42, 135.1885, 135.1885) * CHOOSE(CONTROL!$C$21, $C$9, 100%, $E$9)</f>
        <v>135.1885</v>
      </c>
      <c r="R1015" s="14">
        <f>CHOOSE(CONTROL!$C$42, 136.1135, 136.1135) * CHOOSE(CONTROL!$C$21, $C$9, 100%, $E$9)</f>
        <v>136.11349999999999</v>
      </c>
      <c r="S1015" s="14">
        <f>CHOOSE(CONTROL!$C$42, 131.4059, 131.4059) * CHOOSE(CONTROL!$C$21, $C$9, 100%, $E$9)</f>
        <v>131.4059</v>
      </c>
      <c r="T10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15" s="56">
        <f>(1000*CHOOSE(CONTROL!$C$42, 695, 695)*CHOOSE(CONTROL!$C$42, 0.5599, 0.5599)*CHOOSE(CONTROL!$C$42, 31, 31))/1000000</f>
        <v>12.063045499999998</v>
      </c>
      <c r="V1015" s="56">
        <f>(1000*CHOOSE(CONTROL!$C$42, 500, 500)*CHOOSE(CONTROL!$C$42, 0.275, 0.275)*CHOOSE(CONTROL!$C$42, 31, 31))/1000000</f>
        <v>4.2625000000000002</v>
      </c>
      <c r="W1015" s="56">
        <f>(1000*CHOOSE(CONTROL!$C$42, 0.1146, 0.1146)*CHOOSE(CONTROL!$C$42, 121.5, 121.5)*CHOOSE(CONTROL!$C$42, 31, 31))/1000000</f>
        <v>0.43164089999999994</v>
      </c>
      <c r="X1015" s="56">
        <f>(31*0.1790888*245000/1000000)+(31*0.2374*100000/1000000)</f>
        <v>2.0961194359999999</v>
      </c>
      <c r="Y1015" s="56"/>
      <c r="Z1015" s="14"/>
      <c r="AA1015" s="55"/>
      <c r="AB1015" s="49">
        <f>(B1015*194.205+C1015*267.466+D1015*133.845+E1015*53.484+F1015*40+G1015*185+H1015*0+I1015*100+J1015*300)/(194.205+267.466+133.845+53.484+0+40+185+100+300)</f>
        <v>136.85154870478809</v>
      </c>
      <c r="AC1015" s="45">
        <f>(M1015*'RAP TEMPLATE-GAS AVAILABILITY'!O1014+N1015*'RAP TEMPLATE-GAS AVAILABILITY'!P1014+O1015*'RAP TEMPLATE-GAS AVAILABILITY'!Q1014+P1015*'RAP TEMPLATE-GAS AVAILABILITY'!R1014)/('RAP TEMPLATE-GAS AVAILABILITY'!O1014+'RAP TEMPLATE-GAS AVAILABILITY'!P1014+'RAP TEMPLATE-GAS AVAILABILITY'!Q1014+'RAP TEMPLATE-GAS AVAILABILITY'!R1014)</f>
        <v>134.50899999999999</v>
      </c>
    </row>
    <row r="1016" spans="1:29" ht="15.75" x14ac:dyDescent="0.25">
      <c r="A1016" s="32">
        <v>71833</v>
      </c>
      <c r="B1016" s="14">
        <f>CHOOSE(CONTROL!$C$42, 130.0091, 130.0091) * CHOOSE(CONTROL!$C$21, $C$9, 100%, $E$9)</f>
        <v>130.00909999999999</v>
      </c>
      <c r="C1016" s="14">
        <f>CHOOSE(CONTROL!$C$42, 130.0171, 130.0171) * CHOOSE(CONTROL!$C$21, $C$9, 100%, $E$9)</f>
        <v>130.0171</v>
      </c>
      <c r="D1016" s="14">
        <f>CHOOSE(CONTROL!$C$42, 130.2762, 130.2762) * CHOOSE(CONTROL!$C$21, $C$9, 100%, $E$9)</f>
        <v>130.27619999999999</v>
      </c>
      <c r="E1016" s="14">
        <f>CHOOSE(CONTROL!$C$42, 130.3077, 130.3077) * CHOOSE(CONTROL!$C$21, $C$9, 100%, $E$9)</f>
        <v>130.30770000000001</v>
      </c>
      <c r="F1016" s="14">
        <f>CHOOSE(CONTROL!$C$42, 130.0315, 130.0315)*CHOOSE(CONTROL!$C$21, $C$9, 100%, $E$9)</f>
        <v>130.03149999999999</v>
      </c>
      <c r="G1016" s="14">
        <f>CHOOSE(CONTROL!$C$42, 130.0487, 130.0487)*CHOOSE(CONTROL!$C$21, $C$9, 100%, $E$9)</f>
        <v>130.0487</v>
      </c>
      <c r="H1016" s="14">
        <f>CHOOSE(CONTROL!$C$42, 130.2963, 130.2963) * CHOOSE(CONTROL!$C$21, $C$9, 100%, $E$9)</f>
        <v>130.2963</v>
      </c>
      <c r="I1016" s="14">
        <f>CHOOSE(CONTROL!$C$42, 130.4374, 130.4374)* CHOOSE(CONTROL!$C$21, $C$9, 100%, $E$9)</f>
        <v>130.4374</v>
      </c>
      <c r="J1016" s="14">
        <f>CHOOSE(CONTROL!$C$42, 130.0245, 130.0245)* CHOOSE(CONTROL!$C$21, $C$9, 100%, $E$9)</f>
        <v>130.02449999999999</v>
      </c>
      <c r="K1016" s="52">
        <f>CHOOSE(CONTROL!$C$42, 130.4335, 130.4335) * CHOOSE(CONTROL!$C$21, $C$9, 100%, $E$9)</f>
        <v>130.43350000000001</v>
      </c>
      <c r="L1016" s="14">
        <f>CHOOSE(CONTROL!$C$42, 130.8833, 130.8833) * CHOOSE(CONTROL!$C$21, $C$9, 100%, $E$9)</f>
        <v>130.88329999999999</v>
      </c>
      <c r="M1016" s="14">
        <f>CHOOSE(CONTROL!$C$42, 127.6935, 127.6935) * CHOOSE(CONTROL!$C$21, $C$9, 100%, $E$9)</f>
        <v>127.6935</v>
      </c>
      <c r="N1016" s="14">
        <f>CHOOSE(CONTROL!$C$42, 127.7104, 127.7104) * CHOOSE(CONTROL!$C$21, $C$9, 100%, $E$9)</f>
        <v>127.71040000000001</v>
      </c>
      <c r="O1016" s="14">
        <f>CHOOSE(CONTROL!$C$42, 127.9604, 127.9604) * CHOOSE(CONTROL!$C$21, $C$9, 100%, $E$9)</f>
        <v>127.96040000000001</v>
      </c>
      <c r="P1016" s="14">
        <f>CHOOSE(CONTROL!$C$42, 128.0918, 128.0918) * CHOOSE(CONTROL!$C$21, $C$9, 100%, $E$9)</f>
        <v>128.09180000000001</v>
      </c>
      <c r="Q1016" s="14">
        <f>CHOOSE(CONTROL!$C$42, 128.5551, 128.5551) * CHOOSE(CONTROL!$C$21, $C$9, 100%, $E$9)</f>
        <v>128.55510000000001</v>
      </c>
      <c r="R1016" s="14">
        <f>CHOOSE(CONTROL!$C$42, 129.4635, 129.4635) * CHOOSE(CONTROL!$C$21, $C$9, 100%, $E$9)</f>
        <v>129.46350000000001</v>
      </c>
      <c r="S1016" s="14">
        <f>CHOOSE(CONTROL!$C$42, 124.9151, 124.9151) * CHOOSE(CONTROL!$C$21, $C$9, 100%, $E$9)</f>
        <v>124.9151</v>
      </c>
      <c r="T10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16" s="56">
        <f>(1000*CHOOSE(CONTROL!$C$42, 695, 695)*CHOOSE(CONTROL!$C$42, 0.5599, 0.5599)*CHOOSE(CONTROL!$C$42, 31, 31))/1000000</f>
        <v>12.063045499999998</v>
      </c>
      <c r="V1016" s="56">
        <f>(1000*CHOOSE(CONTROL!$C$42, 500, 500)*CHOOSE(CONTROL!$C$42, 0.275, 0.275)*CHOOSE(CONTROL!$C$42, 31, 31))/1000000</f>
        <v>4.2625000000000002</v>
      </c>
      <c r="W1016" s="56">
        <f>(1000*CHOOSE(CONTROL!$C$42, 0.1146, 0.1146)*CHOOSE(CONTROL!$C$42, 121.5, 121.5)*CHOOSE(CONTROL!$C$42, 31, 31))/1000000</f>
        <v>0.43164089999999994</v>
      </c>
      <c r="X1016" s="56">
        <f>(31*0.1790888*245000/1000000)+(31*0.2374*100000/1000000)</f>
        <v>2.0961194359999999</v>
      </c>
      <c r="Y1016" s="56"/>
      <c r="Z1016" s="14"/>
      <c r="AA1016" s="55"/>
      <c r="AB1016" s="49">
        <f>(B1016*194.205+C1016*267.466+D1016*133.845+E1016*53.484+F1016*40+G1016*185+H1016*0+I1016*100+J1016*300)/(194.205+267.466+133.845+53.484+0+40+185+100+300)</f>
        <v>130.09507492142856</v>
      </c>
      <c r="AC1016" s="45">
        <f>(M1016*'RAP TEMPLATE-GAS AVAILABILITY'!O1015+N1016*'RAP TEMPLATE-GAS AVAILABILITY'!P1015+O1016*'RAP TEMPLATE-GAS AVAILABILITY'!Q1015+P1016*'RAP TEMPLATE-GAS AVAILABILITY'!R1015)/('RAP TEMPLATE-GAS AVAILABILITY'!O1015+'RAP TEMPLATE-GAS AVAILABILITY'!P1015+'RAP TEMPLATE-GAS AVAILABILITY'!Q1015+'RAP TEMPLATE-GAS AVAILABILITY'!R1015)</f>
        <v>127.87275107913671</v>
      </c>
    </row>
    <row r="1017" spans="1:29" ht="15.75" x14ac:dyDescent="0.25">
      <c r="A1017" s="32">
        <v>71863</v>
      </c>
      <c r="B1017" s="14">
        <f>CHOOSE(CONTROL!$C$42, 121.7556, 121.7556) * CHOOSE(CONTROL!$C$21, $C$9, 100%, $E$9)</f>
        <v>121.7556</v>
      </c>
      <c r="C1017" s="14">
        <f>CHOOSE(CONTROL!$C$42, 121.7636, 121.7636) * CHOOSE(CONTROL!$C$21, $C$9, 100%, $E$9)</f>
        <v>121.7636</v>
      </c>
      <c r="D1017" s="14">
        <f>CHOOSE(CONTROL!$C$42, 122.0227, 122.0227) * CHOOSE(CONTROL!$C$21, $C$9, 100%, $E$9)</f>
        <v>122.0227</v>
      </c>
      <c r="E1017" s="14">
        <f>CHOOSE(CONTROL!$C$42, 122.0542, 122.0542) * CHOOSE(CONTROL!$C$21, $C$9, 100%, $E$9)</f>
        <v>122.05419999999999</v>
      </c>
      <c r="F1017" s="14">
        <f>CHOOSE(CONTROL!$C$42, 121.7781, 121.7781)*CHOOSE(CONTROL!$C$21, $C$9, 100%, $E$9)</f>
        <v>121.77809999999999</v>
      </c>
      <c r="G1017" s="14">
        <f>CHOOSE(CONTROL!$C$42, 121.7953, 121.7953)*CHOOSE(CONTROL!$C$21, $C$9, 100%, $E$9)</f>
        <v>121.7953</v>
      </c>
      <c r="H1017" s="14">
        <f>CHOOSE(CONTROL!$C$42, 122.0428, 122.0428) * CHOOSE(CONTROL!$C$21, $C$9, 100%, $E$9)</f>
        <v>122.0428</v>
      </c>
      <c r="I1017" s="14">
        <f>CHOOSE(CONTROL!$C$42, 122.158, 122.158)* CHOOSE(CONTROL!$C$21, $C$9, 100%, $E$9)</f>
        <v>122.158</v>
      </c>
      <c r="J1017" s="14">
        <f>CHOOSE(CONTROL!$C$42, 121.7711, 121.7711)* CHOOSE(CONTROL!$C$21, $C$9, 100%, $E$9)</f>
        <v>121.7711</v>
      </c>
      <c r="K1017" s="52">
        <f>CHOOSE(CONTROL!$C$42, 122.1541, 122.1541) * CHOOSE(CONTROL!$C$21, $C$9, 100%, $E$9)</f>
        <v>122.1541</v>
      </c>
      <c r="L1017" s="14">
        <f>CHOOSE(CONTROL!$C$42, 122.6298, 122.6298) * CHOOSE(CONTROL!$C$21, $C$9, 100%, $E$9)</f>
        <v>122.6298</v>
      </c>
      <c r="M1017" s="14">
        <f>CHOOSE(CONTROL!$C$42, 119.5885, 119.5885) * CHOOSE(CONTROL!$C$21, $C$9, 100%, $E$9)</f>
        <v>119.5885</v>
      </c>
      <c r="N1017" s="14">
        <f>CHOOSE(CONTROL!$C$42, 119.6054, 119.6054) * CHOOSE(CONTROL!$C$21, $C$9, 100%, $E$9)</f>
        <v>119.6054</v>
      </c>
      <c r="O1017" s="14">
        <f>CHOOSE(CONTROL!$C$42, 119.8554, 119.8554) * CHOOSE(CONTROL!$C$21, $C$9, 100%, $E$9)</f>
        <v>119.8554</v>
      </c>
      <c r="P1017" s="14">
        <f>CHOOSE(CONTROL!$C$42, 119.9618, 119.9618) * CHOOSE(CONTROL!$C$21, $C$9, 100%, $E$9)</f>
        <v>119.9618</v>
      </c>
      <c r="Q1017" s="14">
        <f>CHOOSE(CONTROL!$C$42, 120.4501, 120.4501) * CHOOSE(CONTROL!$C$21, $C$9, 100%, $E$9)</f>
        <v>120.45010000000001</v>
      </c>
      <c r="R1017" s="14">
        <f>CHOOSE(CONTROL!$C$42, 121.3382, 121.3382) * CHOOSE(CONTROL!$C$21, $C$9, 100%, $E$9)</f>
        <v>121.3382</v>
      </c>
      <c r="S1017" s="14">
        <f>CHOOSE(CONTROL!$C$42, 116.9843, 116.9843) * CHOOSE(CONTROL!$C$21, $C$9, 100%, $E$9)</f>
        <v>116.9843</v>
      </c>
      <c r="T10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17" s="56">
        <f>(1000*CHOOSE(CONTROL!$C$42, 695, 695)*CHOOSE(CONTROL!$C$42, 0.5599, 0.5599)*CHOOSE(CONTROL!$C$42, 30, 30))/1000000</f>
        <v>11.673914999999997</v>
      </c>
      <c r="V1017" s="56">
        <f>(1000*CHOOSE(CONTROL!$C$42, 500, 500)*CHOOSE(CONTROL!$C$42, 0.275, 0.275)*CHOOSE(CONTROL!$C$42, 30, 30))/1000000</f>
        <v>4.125</v>
      </c>
      <c r="W1017" s="56">
        <f>(1000*CHOOSE(CONTROL!$C$42, 0.1146, 0.1146)*CHOOSE(CONTROL!$C$42, 121.5, 121.5)*CHOOSE(CONTROL!$C$42, 30, 30))/1000000</f>
        <v>0.417717</v>
      </c>
      <c r="X1017" s="56">
        <f>(30*0.1790888*245000/1000000)+(30*0.2374*100000/1000000)</f>
        <v>2.0285026799999999</v>
      </c>
      <c r="Y1017" s="56"/>
      <c r="Z1017" s="14"/>
      <c r="AA1017" s="55"/>
      <c r="AB1017" s="49">
        <f>(B1017*194.205+C1017*267.466+D1017*133.845+E1017*53.484+F1017*40+G1017*185+H1017*0+I1017*100+J1017*300)/(194.205+267.466+133.845+53.484+0+40+185+100+300)</f>
        <v>121.8395831631868</v>
      </c>
      <c r="AC1017" s="45">
        <f>(M1017*'RAP TEMPLATE-GAS AVAILABILITY'!O1016+N1017*'RAP TEMPLATE-GAS AVAILABILITY'!P1016+O1017*'RAP TEMPLATE-GAS AVAILABILITY'!Q1016+P1017*'RAP TEMPLATE-GAS AVAILABILITY'!R1016)/('RAP TEMPLATE-GAS AVAILABILITY'!O1016+'RAP TEMPLATE-GAS AVAILABILITY'!P1016+'RAP TEMPLATE-GAS AVAILABILITY'!Q1016+'RAP TEMPLATE-GAS AVAILABILITY'!R1016)</f>
        <v>119.76415395683453</v>
      </c>
    </row>
    <row r="1018" spans="1:29" ht="15.75" x14ac:dyDescent="0.25">
      <c r="A1018" s="32">
        <v>71894</v>
      </c>
      <c r="B1018" s="14">
        <f>CHOOSE(CONTROL!$C$42, 119.282, 119.282) * CHOOSE(CONTROL!$C$21, $C$9, 100%, $E$9)</f>
        <v>119.282</v>
      </c>
      <c r="C1018" s="14">
        <f>CHOOSE(CONTROL!$C$42, 119.2873, 119.2873) * CHOOSE(CONTROL!$C$21, $C$9, 100%, $E$9)</f>
        <v>119.2873</v>
      </c>
      <c r="D1018" s="14">
        <f>CHOOSE(CONTROL!$C$42, 119.5513, 119.5513) * CHOOSE(CONTROL!$C$21, $C$9, 100%, $E$9)</f>
        <v>119.5513</v>
      </c>
      <c r="E1018" s="14">
        <f>CHOOSE(CONTROL!$C$42, 119.5805, 119.5805) * CHOOSE(CONTROL!$C$21, $C$9, 100%, $E$9)</f>
        <v>119.5805</v>
      </c>
      <c r="F1018" s="14">
        <f>CHOOSE(CONTROL!$C$42, 119.3066, 119.3066)*CHOOSE(CONTROL!$C$21, $C$9, 100%, $E$9)</f>
        <v>119.3066</v>
      </c>
      <c r="G1018" s="14">
        <f>CHOOSE(CONTROL!$C$42, 119.3237, 119.3237)*CHOOSE(CONTROL!$C$21, $C$9, 100%, $E$9)</f>
        <v>119.3237</v>
      </c>
      <c r="H1018" s="14">
        <f>CHOOSE(CONTROL!$C$42, 119.5709, 119.5709) * CHOOSE(CONTROL!$C$21, $C$9, 100%, $E$9)</f>
        <v>119.57089999999999</v>
      </c>
      <c r="I1018" s="14">
        <f>CHOOSE(CONTROL!$C$42, 119.6784, 119.6784)* CHOOSE(CONTROL!$C$21, $C$9, 100%, $E$9)</f>
        <v>119.6784</v>
      </c>
      <c r="J1018" s="14">
        <f>CHOOSE(CONTROL!$C$42, 119.2996, 119.2996)* CHOOSE(CONTROL!$C$21, $C$9, 100%, $E$9)</f>
        <v>119.2996</v>
      </c>
      <c r="K1018" s="52">
        <f>CHOOSE(CONTROL!$C$42, 119.6745, 119.6745) * CHOOSE(CONTROL!$C$21, $C$9, 100%, $E$9)</f>
        <v>119.67449999999999</v>
      </c>
      <c r="L1018" s="14">
        <f>CHOOSE(CONTROL!$C$42, 120.1579, 120.1579) * CHOOSE(CONTROL!$C$21, $C$9, 100%, $E$9)</f>
        <v>120.1579</v>
      </c>
      <c r="M1018" s="14">
        <f>CHOOSE(CONTROL!$C$42, 117.1615, 117.1615) * CHOOSE(CONTROL!$C$21, $C$9, 100%, $E$9)</f>
        <v>117.1615</v>
      </c>
      <c r="N1018" s="14">
        <f>CHOOSE(CONTROL!$C$42, 117.1783, 117.1783) * CHOOSE(CONTROL!$C$21, $C$9, 100%, $E$9)</f>
        <v>117.17829999999999</v>
      </c>
      <c r="O1018" s="14">
        <f>CHOOSE(CONTROL!$C$42, 117.4279, 117.4279) * CHOOSE(CONTROL!$C$21, $C$9, 100%, $E$9)</f>
        <v>117.42789999999999</v>
      </c>
      <c r="P1018" s="14">
        <f>CHOOSE(CONTROL!$C$42, 117.5269, 117.5269) * CHOOSE(CONTROL!$C$21, $C$9, 100%, $E$9)</f>
        <v>117.5269</v>
      </c>
      <c r="Q1018" s="14">
        <f>CHOOSE(CONTROL!$C$42, 118.0226, 118.0226) * CHOOSE(CONTROL!$C$21, $C$9, 100%, $E$9)</f>
        <v>118.0226</v>
      </c>
      <c r="R1018" s="14">
        <f>CHOOSE(CONTROL!$C$42, 118.9047, 118.9047) * CHOOSE(CONTROL!$C$21, $C$9, 100%, $E$9)</f>
        <v>118.90470000000001</v>
      </c>
      <c r="S1018" s="14">
        <f>CHOOSE(CONTROL!$C$42, 114.6091, 114.6091) * CHOOSE(CONTROL!$C$21, $C$9, 100%, $E$9)</f>
        <v>114.6091</v>
      </c>
      <c r="T10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18" s="56">
        <f>(1000*CHOOSE(CONTROL!$C$42, 695, 695)*CHOOSE(CONTROL!$C$42, 0.5599, 0.5599)*CHOOSE(CONTROL!$C$42, 31, 31))/1000000</f>
        <v>12.063045499999998</v>
      </c>
      <c r="V1018" s="56">
        <f>(1000*CHOOSE(CONTROL!$C$42, 500, 500)*CHOOSE(CONTROL!$C$42, 0.275, 0.275)*CHOOSE(CONTROL!$C$42, 31, 31))/1000000</f>
        <v>4.2625000000000002</v>
      </c>
      <c r="W1018" s="56">
        <f>(1000*CHOOSE(CONTROL!$C$42, 0.1146, 0.1146)*CHOOSE(CONTROL!$C$42, 121.5, 121.5)*CHOOSE(CONTROL!$C$42, 31, 31))/1000000</f>
        <v>0.43164089999999994</v>
      </c>
      <c r="X1018" s="56">
        <f>(31*0.1790888*245000/1000000)+(31*0.2374*100000/1000000)</f>
        <v>2.0961194359999999</v>
      </c>
      <c r="Y1018" s="56"/>
      <c r="Z1018" s="14"/>
      <c r="AA1018" s="55"/>
      <c r="AB1018" s="49">
        <f>(B1018*131.881+C1018*277.167+D1018*79.08+E1018*125.872+F1018*40+G1018*185+H1018*0+I1018*100+J1018*300)/(131.881+277.167+79.08+125.872+0+40+185+100+300)</f>
        <v>119.37397459330103</v>
      </c>
      <c r="AC1018" s="45">
        <f>(M1018*'RAP TEMPLATE-GAS AVAILABILITY'!O1017+N1018*'RAP TEMPLATE-GAS AVAILABILITY'!P1017+O1018*'RAP TEMPLATE-GAS AVAILABILITY'!Q1017+P1018*'RAP TEMPLATE-GAS AVAILABILITY'!R1017)/('RAP TEMPLATE-GAS AVAILABILITY'!O1017+'RAP TEMPLATE-GAS AVAILABILITY'!P1017+'RAP TEMPLATE-GAS AVAILABILITY'!Q1017+'RAP TEMPLATE-GAS AVAILABILITY'!R1017)</f>
        <v>117.33578489208632</v>
      </c>
    </row>
    <row r="1019" spans="1:29" ht="15.75" x14ac:dyDescent="0.25">
      <c r="A1019" s="32">
        <v>71924</v>
      </c>
      <c r="B1019" s="14">
        <f>CHOOSE(CONTROL!$C$42, 122.4237, 122.4237) * CHOOSE(CONTROL!$C$21, $C$9, 100%, $E$9)</f>
        <v>122.4237</v>
      </c>
      <c r="C1019" s="14">
        <f>CHOOSE(CONTROL!$C$42, 122.4288, 122.4288) * CHOOSE(CONTROL!$C$21, $C$9, 100%, $E$9)</f>
        <v>122.4288</v>
      </c>
      <c r="D1019" s="14">
        <f>CHOOSE(CONTROL!$C$42, 122.5119, 122.5119) * CHOOSE(CONTROL!$C$21, $C$9, 100%, $E$9)</f>
        <v>122.5119</v>
      </c>
      <c r="E1019" s="14">
        <f>CHOOSE(CONTROL!$C$42, 122.546, 122.546) * CHOOSE(CONTROL!$C$21, $C$9, 100%, $E$9)</f>
        <v>122.54600000000001</v>
      </c>
      <c r="F1019" s="14">
        <f>CHOOSE(CONTROL!$C$42, 122.4514, 122.4514)*CHOOSE(CONTROL!$C$21, $C$9, 100%, $E$9)</f>
        <v>122.45140000000001</v>
      </c>
      <c r="G1019" s="14">
        <f>CHOOSE(CONTROL!$C$42, 122.4687, 122.4687)*CHOOSE(CONTROL!$C$21, $C$9, 100%, $E$9)</f>
        <v>122.4687</v>
      </c>
      <c r="H1019" s="14">
        <f>CHOOSE(CONTROL!$C$42, 122.5352, 122.5352) * CHOOSE(CONTROL!$C$21, $C$9, 100%, $E$9)</f>
        <v>122.5352</v>
      </c>
      <c r="I1019" s="14">
        <f>CHOOSE(CONTROL!$C$42, 122.8268, 122.8268)* CHOOSE(CONTROL!$C$21, $C$9, 100%, $E$9)</f>
        <v>122.82680000000001</v>
      </c>
      <c r="J1019" s="14">
        <f>CHOOSE(CONTROL!$C$42, 122.4444, 122.4444)* CHOOSE(CONTROL!$C$21, $C$9, 100%, $E$9)</f>
        <v>122.4444</v>
      </c>
      <c r="K1019" s="52">
        <f>CHOOSE(CONTROL!$C$42, 122.8229, 122.8229) * CHOOSE(CONTROL!$C$21, $C$9, 100%, $E$9)</f>
        <v>122.8229</v>
      </c>
      <c r="L1019" s="14">
        <f>CHOOSE(CONTROL!$C$42, 123.1222, 123.1222) * CHOOSE(CONTROL!$C$21, $C$9, 100%, $E$9)</f>
        <v>123.12220000000001</v>
      </c>
      <c r="M1019" s="14">
        <f>CHOOSE(CONTROL!$C$42, 120.2497, 120.2497) * CHOOSE(CONTROL!$C$21, $C$9, 100%, $E$9)</f>
        <v>120.2497</v>
      </c>
      <c r="N1019" s="14">
        <f>CHOOSE(CONTROL!$C$42, 120.2667, 120.2667) * CHOOSE(CONTROL!$C$21, $C$9, 100%, $E$9)</f>
        <v>120.2667</v>
      </c>
      <c r="O1019" s="14">
        <f>CHOOSE(CONTROL!$C$42, 120.3389, 120.3389) * CHOOSE(CONTROL!$C$21, $C$9, 100%, $E$9)</f>
        <v>120.3389</v>
      </c>
      <c r="P1019" s="14">
        <f>CHOOSE(CONTROL!$C$42, 120.6185, 120.6185) * CHOOSE(CONTROL!$C$21, $C$9, 100%, $E$9)</f>
        <v>120.6185</v>
      </c>
      <c r="Q1019" s="14">
        <f>CHOOSE(CONTROL!$C$42, 120.9336, 120.9336) * CHOOSE(CONTROL!$C$21, $C$9, 100%, $E$9)</f>
        <v>120.9336</v>
      </c>
      <c r="R1019" s="14">
        <f>CHOOSE(CONTROL!$C$42, 121.8229, 121.8229) * CHOOSE(CONTROL!$C$21, $C$9, 100%, $E$9)</f>
        <v>121.8229</v>
      </c>
      <c r="S1019" s="14">
        <f>CHOOSE(CONTROL!$C$42, 117.6284, 117.6284) * CHOOSE(CONTROL!$C$21, $C$9, 100%, $E$9)</f>
        <v>117.6284</v>
      </c>
      <c r="T10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19" s="56">
        <f>(1000*CHOOSE(CONTROL!$C$42, 695, 695)*CHOOSE(CONTROL!$C$42, 0.5599, 0.5599)*CHOOSE(CONTROL!$C$42, 30, 30))/1000000</f>
        <v>11.673914999999997</v>
      </c>
      <c r="V1019" s="56">
        <f>(1000*CHOOSE(CONTROL!$C$42, 500, 500)*CHOOSE(CONTROL!$C$42, 0.275, 0.275)*CHOOSE(CONTROL!$C$42, 30, 30))/1000000</f>
        <v>4.125</v>
      </c>
      <c r="W1019" s="56">
        <f>(1000*CHOOSE(CONTROL!$C$42, 0.1146, 0.1146)*CHOOSE(CONTROL!$C$42, 121.5, 121.5)*CHOOSE(CONTROL!$C$42, 30, 30))/1000000</f>
        <v>0.417717</v>
      </c>
      <c r="X1019" s="56">
        <f>(30*0.1790888*100000/1000000)+(30*0.2374*100000/1000000)</f>
        <v>1.2494664</v>
      </c>
      <c r="Y1019" s="56"/>
      <c r="Z1019" s="14"/>
      <c r="AA1019" s="55"/>
      <c r="AB1019" s="49">
        <f>(B1019*122.58+C1019*297.941+D1019*89.177+E1019*40.302+F1019*40+G1019*160+H1019*0+I1019*100+J1019*300)/(122.58+297.941+89.177+40.302+0+40+160+100+300)</f>
        <v>122.48382334356521</v>
      </c>
      <c r="AC1019" s="45">
        <f>(M1019*'RAP TEMPLATE-GAS AVAILABILITY'!O1018+N1019*'RAP TEMPLATE-GAS AVAILABILITY'!P1018+O1019*'RAP TEMPLATE-GAS AVAILABILITY'!Q1018+P1019*'RAP TEMPLATE-GAS AVAILABILITY'!R1018)/('RAP TEMPLATE-GAS AVAILABILITY'!O1018+'RAP TEMPLATE-GAS AVAILABILITY'!P1018+'RAP TEMPLATE-GAS AVAILABILITY'!Q1018+'RAP TEMPLATE-GAS AVAILABILITY'!R1018)</f>
        <v>120.34417194244605</v>
      </c>
    </row>
    <row r="1020" spans="1:29" ht="15.75" x14ac:dyDescent="0.25">
      <c r="A1020" s="32">
        <v>71955</v>
      </c>
      <c r="B1020" s="14">
        <f>CHOOSE(CONTROL!$C$42, 130.7699, 130.7699) * CHOOSE(CONTROL!$C$21, $C$9, 100%, $E$9)</f>
        <v>130.76990000000001</v>
      </c>
      <c r="C1020" s="14">
        <f>CHOOSE(CONTROL!$C$42, 130.7749, 130.7749) * CHOOSE(CONTROL!$C$21, $C$9, 100%, $E$9)</f>
        <v>130.7749</v>
      </c>
      <c r="D1020" s="14">
        <f>CHOOSE(CONTROL!$C$42, 130.858, 130.858) * CHOOSE(CONTROL!$C$21, $C$9, 100%, $E$9)</f>
        <v>130.858</v>
      </c>
      <c r="E1020" s="14">
        <f>CHOOSE(CONTROL!$C$42, 130.8921, 130.8921) * CHOOSE(CONTROL!$C$21, $C$9, 100%, $E$9)</f>
        <v>130.8921</v>
      </c>
      <c r="F1020" s="14">
        <f>CHOOSE(CONTROL!$C$42, 130.7999, 130.7999)*CHOOSE(CONTROL!$C$21, $C$9, 100%, $E$9)</f>
        <v>130.79990000000001</v>
      </c>
      <c r="G1020" s="14">
        <f>CHOOSE(CONTROL!$C$42, 130.818, 130.818)*CHOOSE(CONTROL!$C$21, $C$9, 100%, $E$9)</f>
        <v>130.81800000000001</v>
      </c>
      <c r="H1020" s="14">
        <f>CHOOSE(CONTROL!$C$42, 130.8813, 130.8813) * CHOOSE(CONTROL!$C$21, $C$9, 100%, $E$9)</f>
        <v>130.88130000000001</v>
      </c>
      <c r="I1020" s="14">
        <f>CHOOSE(CONTROL!$C$42, 131.1991, 131.1991)* CHOOSE(CONTROL!$C$21, $C$9, 100%, $E$9)</f>
        <v>131.19909999999999</v>
      </c>
      <c r="J1020" s="14">
        <f>CHOOSE(CONTROL!$C$42, 130.7929, 130.7929)* CHOOSE(CONTROL!$C$21, $C$9, 100%, $E$9)</f>
        <v>130.7929</v>
      </c>
      <c r="K1020" s="52">
        <f>CHOOSE(CONTROL!$C$42, 131.1952, 131.1952) * CHOOSE(CONTROL!$C$21, $C$9, 100%, $E$9)</f>
        <v>131.1952</v>
      </c>
      <c r="L1020" s="14">
        <f>CHOOSE(CONTROL!$C$42, 131.4683, 131.4683) * CHOOSE(CONTROL!$C$21, $C$9, 100%, $E$9)</f>
        <v>131.4683</v>
      </c>
      <c r="M1020" s="14">
        <f>CHOOSE(CONTROL!$C$42, 128.4481, 128.4481) * CHOOSE(CONTROL!$C$21, $C$9, 100%, $E$9)</f>
        <v>128.44810000000001</v>
      </c>
      <c r="N1020" s="14">
        <f>CHOOSE(CONTROL!$C$42, 128.4658, 128.4658) * CHOOSE(CONTROL!$C$21, $C$9, 100%, $E$9)</f>
        <v>128.4658</v>
      </c>
      <c r="O1020" s="14">
        <f>CHOOSE(CONTROL!$C$42, 128.5349, 128.5349) * CHOOSE(CONTROL!$C$21, $C$9, 100%, $E$9)</f>
        <v>128.53489999999999</v>
      </c>
      <c r="P1020" s="14">
        <f>CHOOSE(CONTROL!$C$42, 128.8397, 128.8397) * CHOOSE(CONTROL!$C$21, $C$9, 100%, $E$9)</f>
        <v>128.83969999999999</v>
      </c>
      <c r="Q1020" s="14">
        <f>CHOOSE(CONTROL!$C$42, 129.1296, 129.1296) * CHOOSE(CONTROL!$C$21, $C$9, 100%, $E$9)</f>
        <v>129.12960000000001</v>
      </c>
      <c r="R1020" s="14">
        <f>CHOOSE(CONTROL!$C$42, 130.0394, 130.0394) * CHOOSE(CONTROL!$C$21, $C$9, 100%, $E$9)</f>
        <v>130.0394</v>
      </c>
      <c r="S1020" s="14">
        <f>CHOOSE(CONTROL!$C$42, 125.6482, 125.6482) * CHOOSE(CONTROL!$C$21, $C$9, 100%, $E$9)</f>
        <v>125.6482</v>
      </c>
      <c r="T10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20" s="56">
        <f>(1000*CHOOSE(CONTROL!$C$42, 695, 695)*CHOOSE(CONTROL!$C$42, 0.5599, 0.5599)*CHOOSE(CONTROL!$C$42, 31, 31))/1000000</f>
        <v>12.063045499999998</v>
      </c>
      <c r="V1020" s="56">
        <f>(1000*CHOOSE(CONTROL!$C$42, 500, 500)*CHOOSE(CONTROL!$C$42, 0.275, 0.275)*CHOOSE(CONTROL!$C$42, 31, 31))/1000000</f>
        <v>4.2625000000000002</v>
      </c>
      <c r="W1020" s="56">
        <f>(1000*CHOOSE(CONTROL!$C$42, 0.1146, 0.1146)*CHOOSE(CONTROL!$C$42, 121.5, 121.5)*CHOOSE(CONTROL!$C$42, 31, 31))/1000000</f>
        <v>0.43164089999999994</v>
      </c>
      <c r="X1020" s="56">
        <f>(31*0.1790888*100000/1000000)+(31*0.2374*100000/1000000)</f>
        <v>1.2911152800000001</v>
      </c>
      <c r="Y1020" s="56"/>
      <c r="Z1020" s="14"/>
      <c r="AA1020" s="55"/>
      <c r="AB1020" s="49">
        <f>(B1020*122.58+C1020*297.941+D1020*89.177+E1020*40.302+F1020*40+G1020*160+H1020*0+I1020*100+J1020*300)/(122.58+297.941+89.177+40.302+0+40+160+100+300)</f>
        <v>130.83336704617392</v>
      </c>
      <c r="AC1020" s="45">
        <f>(M1020*'RAP TEMPLATE-GAS AVAILABILITY'!O1019+N1020*'RAP TEMPLATE-GAS AVAILABILITY'!P1019+O1020*'RAP TEMPLATE-GAS AVAILABILITY'!Q1019+P1020*'RAP TEMPLATE-GAS AVAILABILITY'!R1019)/('RAP TEMPLATE-GAS AVAILABILITY'!O1019+'RAP TEMPLATE-GAS AVAILABILITY'!P1019+'RAP TEMPLATE-GAS AVAILABILITY'!Q1019+'RAP TEMPLATE-GAS AVAILABILITY'!R1019)</f>
        <v>128.54480503597122</v>
      </c>
    </row>
    <row r="1021" spans="1:29" ht="15.75" x14ac:dyDescent="0.25">
      <c r="A1021" s="32">
        <v>71986</v>
      </c>
      <c r="B1021" s="14">
        <f>CHOOSE(CONTROL!$C$42, 141.61, 141.61) * CHOOSE(CONTROL!$C$21, $C$9, 100%, $E$9)</f>
        <v>141.61000000000001</v>
      </c>
      <c r="C1021" s="14">
        <f>CHOOSE(CONTROL!$C$42, 141.6151, 141.6151) * CHOOSE(CONTROL!$C$21, $C$9, 100%, $E$9)</f>
        <v>141.61510000000001</v>
      </c>
      <c r="D1021" s="14">
        <f>CHOOSE(CONTROL!$C$42, 141.7086, 141.7086) * CHOOSE(CONTROL!$C$21, $C$9, 100%, $E$9)</f>
        <v>141.70859999999999</v>
      </c>
      <c r="E1021" s="14">
        <f>CHOOSE(CONTROL!$C$42, 141.7427, 141.7427) * CHOOSE(CONTROL!$C$21, $C$9, 100%, $E$9)</f>
        <v>141.74270000000001</v>
      </c>
      <c r="F1021" s="14">
        <f>CHOOSE(CONTROL!$C$42, 141.6373, 141.6373)*CHOOSE(CONTROL!$C$21, $C$9, 100%, $E$9)</f>
        <v>141.63730000000001</v>
      </c>
      <c r="G1021" s="14">
        <f>CHOOSE(CONTROL!$C$42, 141.6553, 141.6553)*CHOOSE(CONTROL!$C$21, $C$9, 100%, $E$9)</f>
        <v>141.65530000000001</v>
      </c>
      <c r="H1021" s="14">
        <f>CHOOSE(CONTROL!$C$42, 141.7319, 141.7319) * CHOOSE(CONTROL!$C$21, $C$9, 100%, $E$9)</f>
        <v>141.7319</v>
      </c>
      <c r="I1021" s="14">
        <f>CHOOSE(CONTROL!$C$42, 142.0794, 142.0794)* CHOOSE(CONTROL!$C$21, $C$9, 100%, $E$9)</f>
        <v>142.07939999999999</v>
      </c>
      <c r="J1021" s="14">
        <f>CHOOSE(CONTROL!$C$42, 141.6303, 141.6303)* CHOOSE(CONTROL!$C$21, $C$9, 100%, $E$9)</f>
        <v>141.63030000000001</v>
      </c>
      <c r="K1021" s="52">
        <f>CHOOSE(CONTROL!$C$42, 142.0755, 142.0755) * CHOOSE(CONTROL!$C$21, $C$9, 100%, $E$9)</f>
        <v>142.07550000000001</v>
      </c>
      <c r="L1021" s="14">
        <f>CHOOSE(CONTROL!$C$42, 142.3189, 142.3189) * CHOOSE(CONTROL!$C$21, $C$9, 100%, $E$9)</f>
        <v>142.31890000000001</v>
      </c>
      <c r="M1021" s="14">
        <f>CHOOSE(CONTROL!$C$42, 139.0906, 139.0906) * CHOOSE(CONTROL!$C$21, $C$9, 100%, $E$9)</f>
        <v>139.09059999999999</v>
      </c>
      <c r="N1021" s="14">
        <f>CHOOSE(CONTROL!$C$42, 139.1082, 139.1082) * CHOOSE(CONTROL!$C$21, $C$9, 100%, $E$9)</f>
        <v>139.10820000000001</v>
      </c>
      <c r="O1021" s="14">
        <f>CHOOSE(CONTROL!$C$42, 139.1903, 139.1903) * CHOOSE(CONTROL!$C$21, $C$9, 100%, $E$9)</f>
        <v>139.19030000000001</v>
      </c>
      <c r="P1021" s="14">
        <f>CHOOSE(CONTROL!$C$42, 139.5238, 139.5238) * CHOOSE(CONTROL!$C$21, $C$9, 100%, $E$9)</f>
        <v>139.52379999999999</v>
      </c>
      <c r="Q1021" s="14">
        <f>CHOOSE(CONTROL!$C$42, 139.785, 139.785) * CHOOSE(CONTROL!$C$21, $C$9, 100%, $E$9)</f>
        <v>139.785</v>
      </c>
      <c r="R1021" s="14">
        <f>CHOOSE(CONTROL!$C$42, 140.7214, 140.7214) * CHOOSE(CONTROL!$C$21, $C$9, 100%, $E$9)</f>
        <v>140.72139999999999</v>
      </c>
      <c r="S1021" s="14">
        <f>CHOOSE(CONTROL!$C$42, 136.0645, 136.0645) * CHOOSE(CONTROL!$C$21, $C$9, 100%, $E$9)</f>
        <v>136.06450000000001</v>
      </c>
      <c r="T10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21" s="56">
        <f>(1000*CHOOSE(CONTROL!$C$42, 695, 695)*CHOOSE(CONTROL!$C$42, 0.5599, 0.5599)*CHOOSE(CONTROL!$C$42, 31, 31))/1000000</f>
        <v>12.063045499999998</v>
      </c>
      <c r="V1021" s="56">
        <f>(1000*CHOOSE(CONTROL!$C$42, 500, 500)*CHOOSE(CONTROL!$C$42, 0.275, 0.275)*CHOOSE(CONTROL!$C$42, 31, 31))/1000000</f>
        <v>4.2625000000000002</v>
      </c>
      <c r="W1021" s="56">
        <f>(1000*CHOOSE(CONTROL!$C$42, 0.1146, 0.1146)*CHOOSE(CONTROL!$C$42, 121.5, 121.5)*CHOOSE(CONTROL!$C$42, 31, 31))/1000000</f>
        <v>0.43164089999999994</v>
      </c>
      <c r="X1021" s="56">
        <f>(31*0.1790888*100000/1000000)+(31*0.2374*100000/1000000)</f>
        <v>1.2911152800000001</v>
      </c>
      <c r="Y1021" s="56"/>
      <c r="Z1021" s="14"/>
      <c r="AA1021" s="55"/>
      <c r="AB1021" s="49">
        <f>(B1021*122.58+C1021*297.941+D1021*89.177+E1021*40.302+F1021*40+G1021*160+H1021*0+I1021*100+J1021*300)/(122.58+297.941+89.177+40.302+0+40+160+100+300)</f>
        <v>141.67698297973914</v>
      </c>
      <c r="AC1021" s="45">
        <f>(M1021*'RAP TEMPLATE-GAS AVAILABILITY'!O1020+N1021*'RAP TEMPLATE-GAS AVAILABILITY'!P1020+O1021*'RAP TEMPLATE-GAS AVAILABILITY'!Q1020+P1021*'RAP TEMPLATE-GAS AVAILABILITY'!R1020)/('RAP TEMPLATE-GAS AVAILABILITY'!O1020+'RAP TEMPLATE-GAS AVAILABILITY'!P1020+'RAP TEMPLATE-GAS AVAILABILITY'!Q1020+'RAP TEMPLATE-GAS AVAILABILITY'!R1020)</f>
        <v>139.19913165467625</v>
      </c>
    </row>
    <row r="1022" spans="1:29" ht="15.75" x14ac:dyDescent="0.25">
      <c r="A1022" s="32">
        <v>72014</v>
      </c>
      <c r="B1022" s="14">
        <f>CHOOSE(CONTROL!$C$42, 144.1307, 144.1307) * CHOOSE(CONTROL!$C$21, $C$9, 100%, $E$9)</f>
        <v>144.13069999999999</v>
      </c>
      <c r="C1022" s="14">
        <f>CHOOSE(CONTROL!$C$42, 144.1358, 144.1358) * CHOOSE(CONTROL!$C$21, $C$9, 100%, $E$9)</f>
        <v>144.13579999999999</v>
      </c>
      <c r="D1022" s="14">
        <f>CHOOSE(CONTROL!$C$42, 144.2293, 144.2293) * CHOOSE(CONTROL!$C$21, $C$9, 100%, $E$9)</f>
        <v>144.22929999999999</v>
      </c>
      <c r="E1022" s="14">
        <f>CHOOSE(CONTROL!$C$42, 144.2634, 144.2634) * CHOOSE(CONTROL!$C$21, $C$9, 100%, $E$9)</f>
        <v>144.26339999999999</v>
      </c>
      <c r="F1022" s="14">
        <f>CHOOSE(CONTROL!$C$42, 144.1577, 144.1577)*CHOOSE(CONTROL!$C$21, $C$9, 100%, $E$9)</f>
        <v>144.15770000000001</v>
      </c>
      <c r="G1022" s="14">
        <f>CHOOSE(CONTROL!$C$42, 144.1755, 144.1755)*CHOOSE(CONTROL!$C$21, $C$9, 100%, $E$9)</f>
        <v>144.1755</v>
      </c>
      <c r="H1022" s="14">
        <f>CHOOSE(CONTROL!$C$42, 144.2526, 144.2526) * CHOOSE(CONTROL!$C$21, $C$9, 100%, $E$9)</f>
        <v>144.2526</v>
      </c>
      <c r="I1022" s="14">
        <f>CHOOSE(CONTROL!$C$42, 144.608, 144.608)* CHOOSE(CONTROL!$C$21, $C$9, 100%, $E$9)</f>
        <v>144.608</v>
      </c>
      <c r="J1022" s="14">
        <f>CHOOSE(CONTROL!$C$42, 144.1507, 144.1507)* CHOOSE(CONTROL!$C$21, $C$9, 100%, $E$9)</f>
        <v>144.1507</v>
      </c>
      <c r="K1022" s="52">
        <f>CHOOSE(CONTROL!$C$42, 144.6041, 144.6041) * CHOOSE(CONTROL!$C$21, $C$9, 100%, $E$9)</f>
        <v>144.60409999999999</v>
      </c>
      <c r="L1022" s="14">
        <f>CHOOSE(CONTROL!$C$42, 144.8396, 144.8396) * CHOOSE(CONTROL!$C$21, $C$9, 100%, $E$9)</f>
        <v>144.83959999999999</v>
      </c>
      <c r="M1022" s="14">
        <f>CHOOSE(CONTROL!$C$42, 141.5656, 141.5656) * CHOOSE(CONTROL!$C$21, $C$9, 100%, $E$9)</f>
        <v>141.56559999999999</v>
      </c>
      <c r="N1022" s="14">
        <f>CHOOSE(CONTROL!$C$42, 141.5831, 141.5831) * CHOOSE(CONTROL!$C$21, $C$9, 100%, $E$9)</f>
        <v>141.5831</v>
      </c>
      <c r="O1022" s="14">
        <f>CHOOSE(CONTROL!$C$42, 141.6656, 141.6656) * CHOOSE(CONTROL!$C$21, $C$9, 100%, $E$9)</f>
        <v>141.66560000000001</v>
      </c>
      <c r="P1022" s="14">
        <f>CHOOSE(CONTROL!$C$42, 142.0067, 142.0067) * CHOOSE(CONTROL!$C$21, $C$9, 100%, $E$9)</f>
        <v>142.0067</v>
      </c>
      <c r="Q1022" s="14">
        <f>CHOOSE(CONTROL!$C$42, 142.2603, 142.2603) * CHOOSE(CONTROL!$C$21, $C$9, 100%, $E$9)</f>
        <v>142.2603</v>
      </c>
      <c r="R1022" s="14">
        <f>CHOOSE(CONTROL!$C$42, 143.203, 143.203) * CHOOSE(CONTROL!$C$21, $C$9, 100%, $E$9)</f>
        <v>143.203</v>
      </c>
      <c r="S1022" s="14">
        <f>CHOOSE(CONTROL!$C$42, 138.4867, 138.4867) * CHOOSE(CONTROL!$C$21, $C$9, 100%, $E$9)</f>
        <v>138.48670000000001</v>
      </c>
      <c r="T102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022" s="56">
        <f>(1000*CHOOSE(CONTROL!$C$42, 695, 695)*CHOOSE(CONTROL!$C$42, 0.5599, 0.5599)*CHOOSE(CONTROL!$C$42, 28, 28))/1000000</f>
        <v>10.895653999999999</v>
      </c>
      <c r="V1022" s="56">
        <f>(1000*CHOOSE(CONTROL!$C$42, 500, 500)*CHOOSE(CONTROL!$C$42, 0.275, 0.275)*CHOOSE(CONTROL!$C$42, 28, 28))/1000000</f>
        <v>3.85</v>
      </c>
      <c r="W1022" s="56">
        <f>(1000*CHOOSE(CONTROL!$C$42, 0.1146, 0.1146)*CHOOSE(CONTROL!$C$42, 121.5, 121.5)*CHOOSE(CONTROL!$C$42, 28, 28))/1000000</f>
        <v>0.38986920000000003</v>
      </c>
      <c r="X1022" s="56">
        <f>(28*0.1790888*100000/1000000)+(28*0.2374*100000/1000000)</f>
        <v>1.16616864</v>
      </c>
      <c r="Y1022" s="56"/>
      <c r="Z1022" s="14"/>
      <c r="AA1022" s="55"/>
      <c r="AB1022" s="49">
        <f>(B1022*122.58+C1022*297.941+D1022*89.177+E1022*40.302+F1022*40+G1022*160+H1022*0+I1022*100+J1022*300)/(122.58+297.941+89.177+40.302+0+40+160+100+300)</f>
        <v>144.19821167539129</v>
      </c>
      <c r="AC1022" s="45">
        <f>(M1022*'RAP TEMPLATE-GAS AVAILABILITY'!O1021+N1022*'RAP TEMPLATE-GAS AVAILABILITY'!P1021+O1022*'RAP TEMPLATE-GAS AVAILABILITY'!Q1021+P1022*'RAP TEMPLATE-GAS AVAILABILITY'!R1021)/('RAP TEMPLATE-GAS AVAILABILITY'!O1021+'RAP TEMPLATE-GAS AVAILABILITY'!P1021+'RAP TEMPLATE-GAS AVAILABILITY'!Q1021+'RAP TEMPLATE-GAS AVAILABILITY'!R1021)</f>
        <v>141.67539856115107</v>
      </c>
    </row>
    <row r="1023" spans="1:29" ht="15.75" x14ac:dyDescent="0.25">
      <c r="A1023" s="32">
        <v>72045</v>
      </c>
      <c r="B1023" s="14">
        <f>CHOOSE(CONTROL!$C$42, 140.039, 140.039) * CHOOSE(CONTROL!$C$21, $C$9, 100%, $E$9)</f>
        <v>140.03899999999999</v>
      </c>
      <c r="C1023" s="14">
        <f>CHOOSE(CONTROL!$C$42, 140.0441, 140.0441) * CHOOSE(CONTROL!$C$21, $C$9, 100%, $E$9)</f>
        <v>140.04409999999999</v>
      </c>
      <c r="D1023" s="14">
        <f>CHOOSE(CONTROL!$C$42, 140.1375, 140.1375) * CHOOSE(CONTROL!$C$21, $C$9, 100%, $E$9)</f>
        <v>140.13749999999999</v>
      </c>
      <c r="E1023" s="14">
        <f>CHOOSE(CONTROL!$C$42, 140.1717, 140.1717) * CHOOSE(CONTROL!$C$21, $C$9, 100%, $E$9)</f>
        <v>140.17169999999999</v>
      </c>
      <c r="F1023" s="14">
        <f>CHOOSE(CONTROL!$C$42, 140.0651, 140.0651)*CHOOSE(CONTROL!$C$21, $C$9, 100%, $E$9)</f>
        <v>140.0651</v>
      </c>
      <c r="G1023" s="14">
        <f>CHOOSE(CONTROL!$C$42, 140.0827, 140.0827)*CHOOSE(CONTROL!$C$21, $C$9, 100%, $E$9)</f>
        <v>140.08269999999999</v>
      </c>
      <c r="H1023" s="14">
        <f>CHOOSE(CONTROL!$C$42, 140.1609, 140.1609) * CHOOSE(CONTROL!$C$21, $C$9, 100%, $E$9)</f>
        <v>140.1609</v>
      </c>
      <c r="I1023" s="14">
        <f>CHOOSE(CONTROL!$C$42, 140.5035, 140.5035)* CHOOSE(CONTROL!$C$21, $C$9, 100%, $E$9)</f>
        <v>140.5035</v>
      </c>
      <c r="J1023" s="14">
        <f>CHOOSE(CONTROL!$C$42, 140.0581, 140.0581)* CHOOSE(CONTROL!$C$21, $C$9, 100%, $E$9)</f>
        <v>140.0581</v>
      </c>
      <c r="K1023" s="52">
        <f>CHOOSE(CONTROL!$C$42, 140.4996, 140.4996) * CHOOSE(CONTROL!$C$21, $C$9, 100%, $E$9)</f>
        <v>140.49959999999999</v>
      </c>
      <c r="L1023" s="14">
        <f>CHOOSE(CONTROL!$C$42, 140.7479, 140.7479) * CHOOSE(CONTROL!$C$21, $C$9, 100%, $E$9)</f>
        <v>140.74789999999999</v>
      </c>
      <c r="M1023" s="14">
        <f>CHOOSE(CONTROL!$C$42, 137.5466, 137.5466) * CHOOSE(CONTROL!$C$21, $C$9, 100%, $E$9)</f>
        <v>137.54660000000001</v>
      </c>
      <c r="N1023" s="14">
        <f>CHOOSE(CONTROL!$C$42, 137.5639, 137.5639) * CHOOSE(CONTROL!$C$21, $C$9, 100%, $E$9)</f>
        <v>137.56389999999999</v>
      </c>
      <c r="O1023" s="14">
        <f>CHOOSE(CONTROL!$C$42, 137.6475, 137.6475) * CHOOSE(CONTROL!$C$21, $C$9, 100%, $E$9)</f>
        <v>137.64750000000001</v>
      </c>
      <c r="P1023" s="14">
        <f>CHOOSE(CONTROL!$C$42, 137.9763, 137.9763) * CHOOSE(CONTROL!$C$21, $C$9, 100%, $E$9)</f>
        <v>137.97630000000001</v>
      </c>
      <c r="Q1023" s="14">
        <f>CHOOSE(CONTROL!$C$42, 138.2422, 138.2422) * CHOOSE(CONTROL!$C$21, $C$9, 100%, $E$9)</f>
        <v>138.2422</v>
      </c>
      <c r="R1023" s="14">
        <f>CHOOSE(CONTROL!$C$42, 139.1748, 139.1748) * CHOOSE(CONTROL!$C$21, $C$9, 100%, $E$9)</f>
        <v>139.1748</v>
      </c>
      <c r="S1023" s="14">
        <f>CHOOSE(CONTROL!$C$42, 134.5549, 134.5549) * CHOOSE(CONTROL!$C$21, $C$9, 100%, $E$9)</f>
        <v>134.5549</v>
      </c>
      <c r="T10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023" s="56">
        <f>(1000*CHOOSE(CONTROL!$C$42, 695, 695)*CHOOSE(CONTROL!$C$42, 0.5599, 0.5599)*CHOOSE(CONTROL!$C$42, 31, 31))/1000000</f>
        <v>12.063045499999998</v>
      </c>
      <c r="V1023" s="56">
        <f>(1000*CHOOSE(CONTROL!$C$42, 500, 500)*CHOOSE(CONTROL!$C$42, 0.275, 0.275)*CHOOSE(CONTROL!$C$42, 31, 31))/1000000</f>
        <v>4.2625000000000002</v>
      </c>
      <c r="W1023" s="56">
        <f>(1000*CHOOSE(CONTROL!$C$42, 0.1146, 0.1146)*CHOOSE(CONTROL!$C$42, 121.5, 121.5)*CHOOSE(CONTROL!$C$42, 31, 31))/1000000</f>
        <v>0.43164089999999994</v>
      </c>
      <c r="X1023" s="56">
        <f>(31*0.1790888*100000/1000000)+(31*0.2374*100000/1000000)</f>
        <v>1.2911152800000001</v>
      </c>
      <c r="Y1023" s="56"/>
      <c r="Z1023" s="14"/>
      <c r="AA1023" s="55"/>
      <c r="AB1023" s="49">
        <f>(B1023*122.58+C1023*297.941+D1023*89.177+E1023*40.302+F1023*40+G1023*160+H1023*0+I1023*100+J1023*300)/(122.58+297.941+89.177+40.302+0+40+160+100+300)</f>
        <v>140.10497174695652</v>
      </c>
      <c r="AC1023" s="45">
        <f>(M1023*'RAP TEMPLATE-GAS AVAILABILITY'!O1022+N1023*'RAP TEMPLATE-GAS AVAILABILITY'!P1022+O1023*'RAP TEMPLATE-GAS AVAILABILITY'!Q1022+P1023*'RAP TEMPLATE-GAS AVAILABILITY'!R1022)/('RAP TEMPLATE-GAS AVAILABILITY'!O1022+'RAP TEMPLATE-GAS AVAILABILITY'!P1022+'RAP TEMPLATE-GAS AVAILABILITY'!Q1022+'RAP TEMPLATE-GAS AVAILABILITY'!R1022)</f>
        <v>137.655154676259</v>
      </c>
    </row>
    <row r="1024" spans="1:29" ht="15.75" x14ac:dyDescent="0.25">
      <c r="A1024" s="32">
        <v>72075</v>
      </c>
      <c r="B1024" s="14">
        <f>CHOOSE(CONTROL!$C$42, 139.6207, 139.6207) * CHOOSE(CONTROL!$C$21, $C$9, 100%, $E$9)</f>
        <v>139.6207</v>
      </c>
      <c r="C1024" s="14">
        <f>CHOOSE(CONTROL!$C$42, 139.6252, 139.6252) * CHOOSE(CONTROL!$C$21, $C$9, 100%, $E$9)</f>
        <v>139.62520000000001</v>
      </c>
      <c r="D1024" s="14">
        <f>CHOOSE(CONTROL!$C$42, 139.8875, 139.8875) * CHOOSE(CONTROL!$C$21, $C$9, 100%, $E$9)</f>
        <v>139.88749999999999</v>
      </c>
      <c r="E1024" s="14">
        <f>CHOOSE(CONTROL!$C$42, 139.9196, 139.9196) * CHOOSE(CONTROL!$C$21, $C$9, 100%, $E$9)</f>
        <v>139.9196</v>
      </c>
      <c r="F1024" s="14">
        <f>CHOOSE(CONTROL!$C$42, 139.6436, 139.6436)*CHOOSE(CONTROL!$C$21, $C$9, 100%, $E$9)</f>
        <v>139.64359999999999</v>
      </c>
      <c r="G1024" s="14">
        <f>CHOOSE(CONTROL!$C$42, 139.6603, 139.6603)*CHOOSE(CONTROL!$C$21, $C$9, 100%, $E$9)</f>
        <v>139.66030000000001</v>
      </c>
      <c r="H1024" s="14">
        <f>CHOOSE(CONTROL!$C$42, 139.9093, 139.9093) * CHOOSE(CONTROL!$C$21, $C$9, 100%, $E$9)</f>
        <v>139.9093</v>
      </c>
      <c r="I1024" s="14">
        <f>CHOOSE(CONTROL!$C$42, 140.0805, 140.0805)* CHOOSE(CONTROL!$C$21, $C$9, 100%, $E$9)</f>
        <v>140.0805</v>
      </c>
      <c r="J1024" s="14">
        <f>CHOOSE(CONTROL!$C$42, 139.6366, 139.6366)* CHOOSE(CONTROL!$C$21, $C$9, 100%, $E$9)</f>
        <v>139.63659999999999</v>
      </c>
      <c r="K1024" s="52">
        <f>CHOOSE(CONTROL!$C$42, 140.0766, 140.0766) * CHOOSE(CONTROL!$C$21, $C$9, 100%, $E$9)</f>
        <v>140.07660000000001</v>
      </c>
      <c r="L1024" s="14">
        <f>CHOOSE(CONTROL!$C$42, 140.4963, 140.4963) * CHOOSE(CONTROL!$C$21, $C$9, 100%, $E$9)</f>
        <v>140.49629999999999</v>
      </c>
      <c r="M1024" s="14">
        <f>CHOOSE(CONTROL!$C$42, 137.1327, 137.1327) * CHOOSE(CONTROL!$C$21, $C$9, 100%, $E$9)</f>
        <v>137.1327</v>
      </c>
      <c r="N1024" s="14">
        <f>CHOOSE(CONTROL!$C$42, 137.1491, 137.1491) * CHOOSE(CONTROL!$C$21, $C$9, 100%, $E$9)</f>
        <v>137.1491</v>
      </c>
      <c r="O1024" s="14">
        <f>CHOOSE(CONTROL!$C$42, 137.4005, 137.4005) * CHOOSE(CONTROL!$C$21, $C$9, 100%, $E$9)</f>
        <v>137.40049999999999</v>
      </c>
      <c r="P1024" s="14">
        <f>CHOOSE(CONTROL!$C$42, 137.5609, 137.5609) * CHOOSE(CONTROL!$C$21, $C$9, 100%, $E$9)</f>
        <v>137.5609</v>
      </c>
      <c r="Q1024" s="14">
        <f>CHOOSE(CONTROL!$C$42, 137.9952, 137.9952) * CHOOSE(CONTROL!$C$21, $C$9, 100%, $E$9)</f>
        <v>137.99520000000001</v>
      </c>
      <c r="R1024" s="14">
        <f>CHOOSE(CONTROL!$C$42, 138.9272, 138.9272) * CHOOSE(CONTROL!$C$21, $C$9, 100%, $E$9)</f>
        <v>138.9272</v>
      </c>
      <c r="S1024" s="14">
        <f>CHOOSE(CONTROL!$C$42, 134.1523, 134.1523) * CHOOSE(CONTROL!$C$21, $C$9, 100%, $E$9)</f>
        <v>134.1523</v>
      </c>
      <c r="T10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24" s="56">
        <f>(1000*CHOOSE(CONTROL!$C$42, 695, 695)*CHOOSE(CONTROL!$C$42, 0.5599, 0.5599)*CHOOSE(CONTROL!$C$42, 30, 30))/1000000</f>
        <v>11.673914999999997</v>
      </c>
      <c r="V1024" s="56">
        <f>(1000*CHOOSE(CONTROL!$C$42, 500, 500)*CHOOSE(CONTROL!$C$42, 0.275, 0.275)*CHOOSE(CONTROL!$C$42, 30, 30))/1000000</f>
        <v>4.125</v>
      </c>
      <c r="W1024" s="56">
        <f>(1000*CHOOSE(CONTROL!$C$42, 0.1146, 0.1146)*CHOOSE(CONTROL!$C$42, 121.5, 121.5)*CHOOSE(CONTROL!$C$42, 30, 30))/1000000</f>
        <v>0.417717</v>
      </c>
      <c r="X1024" s="56">
        <f>(30*0.1790888*245000/1000000)+(30*0.2374*100000/1000000)</f>
        <v>2.0285026799999999</v>
      </c>
      <c r="Y1024" s="56"/>
      <c r="Z1024" s="14"/>
      <c r="AA1024" s="55"/>
      <c r="AB1024" s="49">
        <f>(B1024*141.293+C1024*267.993+D1024*115.016+E1024*89.698+F1024*40+G1024*185+H1024*0+I1024*100+J1024*300)/(141.293+267.993+115.016+89.698+0+40+185+100+300)</f>
        <v>139.71569190435835</v>
      </c>
      <c r="AC1024" s="45">
        <f>(M1024*'RAP TEMPLATE-GAS AVAILABILITY'!O1023+N1024*'RAP TEMPLATE-GAS AVAILABILITY'!P1023+O1024*'RAP TEMPLATE-GAS AVAILABILITY'!Q1023+P1024*'RAP TEMPLATE-GAS AVAILABILITY'!R1023)/('RAP TEMPLATE-GAS AVAILABILITY'!O1023+'RAP TEMPLATE-GAS AVAILABILITY'!P1023+'RAP TEMPLATE-GAS AVAILABILITY'!Q1023+'RAP TEMPLATE-GAS AVAILABILITY'!R1023)</f>
        <v>137.31663237410072</v>
      </c>
    </row>
    <row r="1025" spans="1:29" ht="15.75" x14ac:dyDescent="0.25">
      <c r="A1025" s="32">
        <v>72106</v>
      </c>
      <c r="B1025" s="14">
        <f>CHOOSE(CONTROL!$C$42, 140.8544, 140.8544) * CHOOSE(CONTROL!$C$21, $C$9, 100%, $E$9)</f>
        <v>140.8544</v>
      </c>
      <c r="C1025" s="14">
        <f>CHOOSE(CONTROL!$C$42, 140.8624, 140.8624) * CHOOSE(CONTROL!$C$21, $C$9, 100%, $E$9)</f>
        <v>140.86240000000001</v>
      </c>
      <c r="D1025" s="14">
        <f>CHOOSE(CONTROL!$C$42, 141.1215, 141.1215) * CHOOSE(CONTROL!$C$21, $C$9, 100%, $E$9)</f>
        <v>141.1215</v>
      </c>
      <c r="E1025" s="14">
        <f>CHOOSE(CONTROL!$C$42, 141.1529, 141.1529) * CHOOSE(CONTROL!$C$21, $C$9, 100%, $E$9)</f>
        <v>141.15289999999999</v>
      </c>
      <c r="F1025" s="14">
        <f>CHOOSE(CONTROL!$C$42, 140.8759, 140.8759)*CHOOSE(CONTROL!$C$21, $C$9, 100%, $E$9)</f>
        <v>140.8759</v>
      </c>
      <c r="G1025" s="14">
        <f>CHOOSE(CONTROL!$C$42, 140.8929, 140.8929)*CHOOSE(CONTROL!$C$21, $C$9, 100%, $E$9)</f>
        <v>140.8929</v>
      </c>
      <c r="H1025" s="14">
        <f>CHOOSE(CONTROL!$C$42, 141.1416, 141.1416) * CHOOSE(CONTROL!$C$21, $C$9, 100%, $E$9)</f>
        <v>141.14160000000001</v>
      </c>
      <c r="I1025" s="14">
        <f>CHOOSE(CONTROL!$C$42, 141.3166, 141.3166)* CHOOSE(CONTROL!$C$21, $C$9, 100%, $E$9)</f>
        <v>141.31659999999999</v>
      </c>
      <c r="J1025" s="14">
        <f>CHOOSE(CONTROL!$C$42, 140.8689, 140.8689)* CHOOSE(CONTROL!$C$21, $C$9, 100%, $E$9)</f>
        <v>140.8689</v>
      </c>
      <c r="K1025" s="52">
        <f>CHOOSE(CONTROL!$C$42, 141.3127, 141.3127) * CHOOSE(CONTROL!$C$21, $C$9, 100%, $E$9)</f>
        <v>141.31270000000001</v>
      </c>
      <c r="L1025" s="14">
        <f>CHOOSE(CONTROL!$C$42, 141.7286, 141.7286) * CHOOSE(CONTROL!$C$21, $C$9, 100%, $E$9)</f>
        <v>141.7286</v>
      </c>
      <c r="M1025" s="14">
        <f>CHOOSE(CONTROL!$C$42, 138.3428, 138.3428) * CHOOSE(CONTROL!$C$21, $C$9, 100%, $E$9)</f>
        <v>138.34280000000001</v>
      </c>
      <c r="N1025" s="14">
        <f>CHOOSE(CONTROL!$C$42, 138.3595, 138.3595) * CHOOSE(CONTROL!$C$21, $C$9, 100%, $E$9)</f>
        <v>138.3595</v>
      </c>
      <c r="O1025" s="14">
        <f>CHOOSE(CONTROL!$C$42, 138.6106, 138.6106) * CHOOSE(CONTROL!$C$21, $C$9, 100%, $E$9)</f>
        <v>138.61060000000001</v>
      </c>
      <c r="P1025" s="14">
        <f>CHOOSE(CONTROL!$C$42, 138.7747, 138.7747) * CHOOSE(CONTROL!$C$21, $C$9, 100%, $E$9)</f>
        <v>138.7747</v>
      </c>
      <c r="Q1025" s="14">
        <f>CHOOSE(CONTROL!$C$42, 139.2053, 139.2053) * CHOOSE(CONTROL!$C$21, $C$9, 100%, $E$9)</f>
        <v>139.20529999999999</v>
      </c>
      <c r="R1025" s="14">
        <f>CHOOSE(CONTROL!$C$42, 140.1403, 140.1403) * CHOOSE(CONTROL!$C$21, $C$9, 100%, $E$9)</f>
        <v>140.1403</v>
      </c>
      <c r="S1025" s="14">
        <f>CHOOSE(CONTROL!$C$42, 135.3363, 135.3363) * CHOOSE(CONTROL!$C$21, $C$9, 100%, $E$9)</f>
        <v>135.33629999999999</v>
      </c>
      <c r="T10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25" s="56">
        <f>(1000*CHOOSE(CONTROL!$C$42, 695, 695)*CHOOSE(CONTROL!$C$42, 0.5599, 0.5599)*CHOOSE(CONTROL!$C$42, 31, 31))/1000000</f>
        <v>12.063045499999998</v>
      </c>
      <c r="V1025" s="56">
        <f>(1000*CHOOSE(CONTROL!$C$42, 500, 500)*CHOOSE(CONTROL!$C$42, 0.275, 0.275)*CHOOSE(CONTROL!$C$42, 31, 31))/1000000</f>
        <v>4.2625000000000002</v>
      </c>
      <c r="W1025" s="56">
        <f>(1000*CHOOSE(CONTROL!$C$42, 0.1146, 0.1146)*CHOOSE(CONTROL!$C$42, 121.5, 121.5)*CHOOSE(CONTROL!$C$42, 31, 31))/1000000</f>
        <v>0.43164089999999994</v>
      </c>
      <c r="X1025" s="56">
        <f>(31*0.1790888*245000/1000000)+(31*0.2374*100000/1000000)</f>
        <v>2.0961194359999999</v>
      </c>
      <c r="Y1025" s="56"/>
      <c r="Z1025" s="14"/>
      <c r="AA1025" s="55"/>
      <c r="AB1025" s="49">
        <f>(B1025*194.205+C1025*267.466+D1025*133.845+E1025*53.484+F1025*40+G1025*185+H1025*0+I1025*100+J1025*300)/(194.205+267.466+133.845+53.484+0+40+185+100+300)</f>
        <v>140.94263171232339</v>
      </c>
      <c r="AC1025" s="45">
        <f>(M1025*'RAP TEMPLATE-GAS AVAILABILITY'!O1024+N1025*'RAP TEMPLATE-GAS AVAILABILITY'!P1024+O1025*'RAP TEMPLATE-GAS AVAILABILITY'!Q1024+P1025*'RAP TEMPLATE-GAS AVAILABILITY'!R1024)/('RAP TEMPLATE-GAS AVAILABILITY'!O1024+'RAP TEMPLATE-GAS AVAILABILITY'!P1024+'RAP TEMPLATE-GAS AVAILABILITY'!Q1024+'RAP TEMPLATE-GAS AVAILABILITY'!R1024)</f>
        <v>138.5272820143885</v>
      </c>
    </row>
    <row r="1026" spans="1:29" ht="15.75" x14ac:dyDescent="0.25">
      <c r="A1026" s="32">
        <v>72136</v>
      </c>
      <c r="B1026" s="14">
        <f>CHOOSE(CONTROL!$C$42, 144.8496, 144.8496) * CHOOSE(CONTROL!$C$21, $C$9, 100%, $E$9)</f>
        <v>144.84960000000001</v>
      </c>
      <c r="C1026" s="14">
        <f>CHOOSE(CONTROL!$C$42, 144.8576, 144.8576) * CHOOSE(CONTROL!$C$21, $C$9, 100%, $E$9)</f>
        <v>144.85759999999999</v>
      </c>
      <c r="D1026" s="14">
        <f>CHOOSE(CONTROL!$C$42, 145.1167, 145.1167) * CHOOSE(CONTROL!$C$21, $C$9, 100%, $E$9)</f>
        <v>145.11670000000001</v>
      </c>
      <c r="E1026" s="14">
        <f>CHOOSE(CONTROL!$C$42, 145.1481, 145.1481) * CHOOSE(CONTROL!$C$21, $C$9, 100%, $E$9)</f>
        <v>145.1481</v>
      </c>
      <c r="F1026" s="14">
        <f>CHOOSE(CONTROL!$C$42, 144.8713, 144.8713)*CHOOSE(CONTROL!$C$21, $C$9, 100%, $E$9)</f>
        <v>144.87129999999999</v>
      </c>
      <c r="G1026" s="14">
        <f>CHOOSE(CONTROL!$C$42, 144.8884, 144.8884)*CHOOSE(CONTROL!$C$21, $C$9, 100%, $E$9)</f>
        <v>144.88839999999999</v>
      </c>
      <c r="H1026" s="14">
        <f>CHOOSE(CONTROL!$C$42, 145.1368, 145.1368) * CHOOSE(CONTROL!$C$21, $C$9, 100%, $E$9)</f>
        <v>145.13679999999999</v>
      </c>
      <c r="I1026" s="14">
        <f>CHOOSE(CONTROL!$C$42, 145.3243, 145.3243)* CHOOSE(CONTROL!$C$21, $C$9, 100%, $E$9)</f>
        <v>145.32429999999999</v>
      </c>
      <c r="J1026" s="14">
        <f>CHOOSE(CONTROL!$C$42, 144.8643, 144.8643)* CHOOSE(CONTROL!$C$21, $C$9, 100%, $E$9)</f>
        <v>144.86429999999999</v>
      </c>
      <c r="K1026" s="52">
        <f>CHOOSE(CONTROL!$C$42, 145.3204, 145.3204) * CHOOSE(CONTROL!$C$21, $C$9, 100%, $E$9)</f>
        <v>145.32040000000001</v>
      </c>
      <c r="L1026" s="14">
        <f>CHOOSE(CONTROL!$C$42, 145.7238, 145.7238) * CHOOSE(CONTROL!$C$21, $C$9, 100%, $E$9)</f>
        <v>145.72380000000001</v>
      </c>
      <c r="M1026" s="14">
        <f>CHOOSE(CONTROL!$C$42, 142.2664, 142.2664) * CHOOSE(CONTROL!$C$21, $C$9, 100%, $E$9)</f>
        <v>142.2664</v>
      </c>
      <c r="N1026" s="14">
        <f>CHOOSE(CONTROL!$C$42, 142.2831, 142.2831) * CHOOSE(CONTROL!$C$21, $C$9, 100%, $E$9)</f>
        <v>142.28309999999999</v>
      </c>
      <c r="O1026" s="14">
        <f>CHOOSE(CONTROL!$C$42, 142.5339, 142.5339) * CHOOSE(CONTROL!$C$21, $C$9, 100%, $E$9)</f>
        <v>142.53389999999999</v>
      </c>
      <c r="P1026" s="14">
        <f>CHOOSE(CONTROL!$C$42, 142.7101, 142.7101) * CHOOSE(CONTROL!$C$21, $C$9, 100%, $E$9)</f>
        <v>142.71010000000001</v>
      </c>
      <c r="Q1026" s="14">
        <f>CHOOSE(CONTROL!$C$42, 143.1286, 143.1286) * CHOOSE(CONTROL!$C$21, $C$9, 100%, $E$9)</f>
        <v>143.12860000000001</v>
      </c>
      <c r="R1026" s="14">
        <f>CHOOSE(CONTROL!$C$42, 144.0735, 144.0735) * CHOOSE(CONTROL!$C$21, $C$9, 100%, $E$9)</f>
        <v>144.0735</v>
      </c>
      <c r="S1026" s="14">
        <f>CHOOSE(CONTROL!$C$42, 139.1753, 139.1753) * CHOOSE(CONTROL!$C$21, $C$9, 100%, $E$9)</f>
        <v>139.17529999999999</v>
      </c>
      <c r="T10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26" s="56">
        <f>(1000*CHOOSE(CONTROL!$C$42, 695, 695)*CHOOSE(CONTROL!$C$42, 0.5599, 0.5599)*CHOOSE(CONTROL!$C$42, 30, 30))/1000000</f>
        <v>11.673914999999997</v>
      </c>
      <c r="V1026" s="56">
        <f>(1000*CHOOSE(CONTROL!$C$42, 500, 500)*CHOOSE(CONTROL!$C$42, 0.275, 0.275)*CHOOSE(CONTROL!$C$42, 30, 30))/1000000</f>
        <v>4.125</v>
      </c>
      <c r="W1026" s="56">
        <f>(1000*CHOOSE(CONTROL!$C$42, 0.1146, 0.1146)*CHOOSE(CONTROL!$C$42, 121.5, 121.5)*CHOOSE(CONTROL!$C$42, 30, 30))/1000000</f>
        <v>0.417717</v>
      </c>
      <c r="X1026" s="56">
        <f>(30*0.1790888*245000/1000000)+(30*0.2374*100000/1000000)</f>
        <v>2.0285026799999999</v>
      </c>
      <c r="Y1026" s="56"/>
      <c r="Z1026" s="14"/>
      <c r="AA1026" s="55"/>
      <c r="AB1026" s="49">
        <f>(B1026*194.205+C1026*267.466+D1026*133.845+E1026*53.484+F1026*40+G1026*185+H1026*0+I1026*100+J1026*300)/(194.205+267.466+133.845+53.484+0+40+185+100+300)</f>
        <v>144.93890981279435</v>
      </c>
      <c r="AC1026" s="45">
        <f>(M1026*'RAP TEMPLATE-GAS AVAILABILITY'!O1025+N1026*'RAP TEMPLATE-GAS AVAILABILITY'!P1025+O1026*'RAP TEMPLATE-GAS AVAILABILITY'!Q1025+P1026*'RAP TEMPLATE-GAS AVAILABILITY'!R1025)/('RAP TEMPLATE-GAS AVAILABILITY'!O1025+'RAP TEMPLATE-GAS AVAILABILITY'!P1025+'RAP TEMPLATE-GAS AVAILABILITY'!Q1025+'RAP TEMPLATE-GAS AVAILABILITY'!R1025)</f>
        <v>142.45244388489209</v>
      </c>
    </row>
    <row r="1027" spans="1:29" ht="15.75" x14ac:dyDescent="0.25">
      <c r="A1027" s="32">
        <v>72167</v>
      </c>
      <c r="B1027" s="14">
        <f>CHOOSE(CONTROL!$C$42, 142.0709, 142.0709) * CHOOSE(CONTROL!$C$21, $C$9, 100%, $E$9)</f>
        <v>142.07089999999999</v>
      </c>
      <c r="C1027" s="14">
        <f>CHOOSE(CONTROL!$C$42, 142.0789, 142.0789) * CHOOSE(CONTROL!$C$21, $C$9, 100%, $E$9)</f>
        <v>142.0789</v>
      </c>
      <c r="D1027" s="14">
        <f>CHOOSE(CONTROL!$C$42, 142.338, 142.338) * CHOOSE(CONTROL!$C$21, $C$9, 100%, $E$9)</f>
        <v>142.33799999999999</v>
      </c>
      <c r="E1027" s="14">
        <f>CHOOSE(CONTROL!$C$42, 142.3695, 142.3695) * CHOOSE(CONTROL!$C$21, $C$9, 100%, $E$9)</f>
        <v>142.36949999999999</v>
      </c>
      <c r="F1027" s="14">
        <f>CHOOSE(CONTROL!$C$42, 142.0931, 142.0931)*CHOOSE(CONTROL!$C$21, $C$9, 100%, $E$9)</f>
        <v>142.09309999999999</v>
      </c>
      <c r="G1027" s="14">
        <f>CHOOSE(CONTROL!$C$42, 142.1102, 142.1102)*CHOOSE(CONTROL!$C$21, $C$9, 100%, $E$9)</f>
        <v>142.11019999999999</v>
      </c>
      <c r="H1027" s="14">
        <f>CHOOSE(CONTROL!$C$42, 142.3581, 142.3581) * CHOOSE(CONTROL!$C$21, $C$9, 100%, $E$9)</f>
        <v>142.35810000000001</v>
      </c>
      <c r="I1027" s="14">
        <f>CHOOSE(CONTROL!$C$42, 142.5369, 142.5369)* CHOOSE(CONTROL!$C$21, $C$9, 100%, $E$9)</f>
        <v>142.5369</v>
      </c>
      <c r="J1027" s="14">
        <f>CHOOSE(CONTROL!$C$42, 142.0861, 142.0861)* CHOOSE(CONTROL!$C$21, $C$9, 100%, $E$9)</f>
        <v>142.08609999999999</v>
      </c>
      <c r="K1027" s="52">
        <f>CHOOSE(CONTROL!$C$42, 142.533, 142.533) * CHOOSE(CONTROL!$C$21, $C$9, 100%, $E$9)</f>
        <v>142.53299999999999</v>
      </c>
      <c r="L1027" s="14">
        <f>CHOOSE(CONTROL!$C$42, 142.9451, 142.9451) * CHOOSE(CONTROL!$C$21, $C$9, 100%, $E$9)</f>
        <v>142.9451</v>
      </c>
      <c r="M1027" s="14">
        <f>CHOOSE(CONTROL!$C$42, 139.5381, 139.5381) * CHOOSE(CONTROL!$C$21, $C$9, 100%, $E$9)</f>
        <v>139.53809999999999</v>
      </c>
      <c r="N1027" s="14">
        <f>CHOOSE(CONTROL!$C$42, 139.555, 139.555) * CHOOSE(CONTROL!$C$21, $C$9, 100%, $E$9)</f>
        <v>139.55500000000001</v>
      </c>
      <c r="O1027" s="14">
        <f>CHOOSE(CONTROL!$C$42, 139.8052, 139.8052) * CHOOSE(CONTROL!$C$21, $C$9, 100%, $E$9)</f>
        <v>139.80520000000001</v>
      </c>
      <c r="P1027" s="14">
        <f>CHOOSE(CONTROL!$C$42, 139.973, 139.973) * CHOOSE(CONTROL!$C$21, $C$9, 100%, $E$9)</f>
        <v>139.97300000000001</v>
      </c>
      <c r="Q1027" s="14">
        <f>CHOOSE(CONTROL!$C$42, 140.3999, 140.3999) * CHOOSE(CONTROL!$C$21, $C$9, 100%, $E$9)</f>
        <v>140.3999</v>
      </c>
      <c r="R1027" s="14">
        <f>CHOOSE(CONTROL!$C$42, 141.3379, 141.3379) * CHOOSE(CONTROL!$C$21, $C$9, 100%, $E$9)</f>
        <v>141.33789999999999</v>
      </c>
      <c r="S1027" s="14">
        <f>CHOOSE(CONTROL!$C$42, 136.5053, 136.5053) * CHOOSE(CONTROL!$C$21, $C$9, 100%, $E$9)</f>
        <v>136.50530000000001</v>
      </c>
      <c r="T10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27" s="56">
        <f>(1000*CHOOSE(CONTROL!$C$42, 695, 695)*CHOOSE(CONTROL!$C$42, 0.5599, 0.5599)*CHOOSE(CONTROL!$C$42, 31, 31))/1000000</f>
        <v>12.063045499999998</v>
      </c>
      <c r="V1027" s="56">
        <f>(1000*CHOOSE(CONTROL!$C$42, 500, 500)*CHOOSE(CONTROL!$C$42, 0.275, 0.275)*CHOOSE(CONTROL!$C$42, 31, 31))/1000000</f>
        <v>4.2625000000000002</v>
      </c>
      <c r="W1027" s="56">
        <f>(1000*CHOOSE(CONTROL!$C$42, 0.1146, 0.1146)*CHOOSE(CONTROL!$C$42, 121.5, 121.5)*CHOOSE(CONTROL!$C$42, 31, 31))/1000000</f>
        <v>0.43164089999999994</v>
      </c>
      <c r="X1027" s="56">
        <f>(31*0.1790888*245000/1000000)+(31*0.2374*100000/1000000)</f>
        <v>2.0961194359999999</v>
      </c>
      <c r="Y1027" s="56"/>
      <c r="Z1027" s="14"/>
      <c r="AA1027" s="55"/>
      <c r="AB1027" s="49">
        <f>(B1027*194.205+C1027*267.466+D1027*133.845+E1027*53.484+F1027*40+G1027*185+H1027*0+I1027*100+J1027*300)/(194.205+267.466+133.845+53.484+0+40+185+100+300)</f>
        <v>142.15973716632652</v>
      </c>
      <c r="AC1027" s="45">
        <f>(M1027*'RAP TEMPLATE-GAS AVAILABILITY'!O1026+N1027*'RAP TEMPLATE-GAS AVAILABILITY'!P1026+O1027*'RAP TEMPLATE-GAS AVAILABILITY'!Q1026+P1027*'RAP TEMPLATE-GAS AVAILABILITY'!R1026)/('RAP TEMPLATE-GAS AVAILABILITY'!O1026+'RAP TEMPLATE-GAS AVAILABILITY'!P1026+'RAP TEMPLATE-GAS AVAILABILITY'!Q1026+'RAP TEMPLATE-GAS AVAILABILITY'!R1026)</f>
        <v>139.72270791366907</v>
      </c>
    </row>
    <row r="1028" spans="1:29" ht="15.75" x14ac:dyDescent="0.25">
      <c r="A1028" s="32">
        <v>72198</v>
      </c>
      <c r="B1028" s="14">
        <f>CHOOSE(CONTROL!$C$42, 135.0538, 135.0538) * CHOOSE(CONTROL!$C$21, $C$9, 100%, $E$9)</f>
        <v>135.0538</v>
      </c>
      <c r="C1028" s="14">
        <f>CHOOSE(CONTROL!$C$42, 135.0618, 135.0618) * CHOOSE(CONTROL!$C$21, $C$9, 100%, $E$9)</f>
        <v>135.06180000000001</v>
      </c>
      <c r="D1028" s="14">
        <f>CHOOSE(CONTROL!$C$42, 135.3209, 135.3209) * CHOOSE(CONTROL!$C$21, $C$9, 100%, $E$9)</f>
        <v>135.32089999999999</v>
      </c>
      <c r="E1028" s="14">
        <f>CHOOSE(CONTROL!$C$42, 135.3524, 135.3524) * CHOOSE(CONTROL!$C$21, $C$9, 100%, $E$9)</f>
        <v>135.35239999999999</v>
      </c>
      <c r="F1028" s="14">
        <f>CHOOSE(CONTROL!$C$42, 135.0762, 135.0762)*CHOOSE(CONTROL!$C$21, $C$9, 100%, $E$9)</f>
        <v>135.0762</v>
      </c>
      <c r="G1028" s="14">
        <f>CHOOSE(CONTROL!$C$42, 135.0934, 135.0934)*CHOOSE(CONTROL!$C$21, $C$9, 100%, $E$9)</f>
        <v>135.0934</v>
      </c>
      <c r="H1028" s="14">
        <f>CHOOSE(CONTROL!$C$42, 135.341, 135.341) * CHOOSE(CONTROL!$C$21, $C$9, 100%, $E$9)</f>
        <v>135.34100000000001</v>
      </c>
      <c r="I1028" s="14">
        <f>CHOOSE(CONTROL!$C$42, 135.4979, 135.4979)* CHOOSE(CONTROL!$C$21, $C$9, 100%, $E$9)</f>
        <v>135.49789999999999</v>
      </c>
      <c r="J1028" s="14">
        <f>CHOOSE(CONTROL!$C$42, 135.0692, 135.0692)* CHOOSE(CONTROL!$C$21, $C$9, 100%, $E$9)</f>
        <v>135.0692</v>
      </c>
      <c r="K1028" s="52">
        <f>CHOOSE(CONTROL!$C$42, 135.494, 135.494) * CHOOSE(CONTROL!$C$21, $C$9, 100%, $E$9)</f>
        <v>135.494</v>
      </c>
      <c r="L1028" s="14">
        <f>CHOOSE(CONTROL!$C$42, 135.928, 135.928) * CHOOSE(CONTROL!$C$21, $C$9, 100%, $E$9)</f>
        <v>135.928</v>
      </c>
      <c r="M1028" s="14">
        <f>CHOOSE(CONTROL!$C$42, 132.6475, 132.6475) * CHOOSE(CONTROL!$C$21, $C$9, 100%, $E$9)</f>
        <v>132.64750000000001</v>
      </c>
      <c r="N1028" s="14">
        <f>CHOOSE(CONTROL!$C$42, 132.6644, 132.6644) * CHOOSE(CONTROL!$C$21, $C$9, 100%, $E$9)</f>
        <v>132.6644</v>
      </c>
      <c r="O1028" s="14">
        <f>CHOOSE(CONTROL!$C$42, 132.9144, 132.9144) * CHOOSE(CONTROL!$C$21, $C$9, 100%, $E$9)</f>
        <v>132.9144</v>
      </c>
      <c r="P1028" s="14">
        <f>CHOOSE(CONTROL!$C$42, 133.061, 133.061) * CHOOSE(CONTROL!$C$21, $C$9, 100%, $E$9)</f>
        <v>133.06100000000001</v>
      </c>
      <c r="Q1028" s="14">
        <f>CHOOSE(CONTROL!$C$42, 133.5091, 133.5091) * CHOOSE(CONTROL!$C$21, $C$9, 100%, $E$9)</f>
        <v>133.50909999999999</v>
      </c>
      <c r="R1028" s="14">
        <f>CHOOSE(CONTROL!$C$42, 134.4299, 134.4299) * CHOOSE(CONTROL!$C$21, $C$9, 100%, $E$9)</f>
        <v>134.4299</v>
      </c>
      <c r="S1028" s="14">
        <f>CHOOSE(CONTROL!$C$42, 129.7626, 129.7626) * CHOOSE(CONTROL!$C$21, $C$9, 100%, $E$9)</f>
        <v>129.76259999999999</v>
      </c>
      <c r="T10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28" s="56">
        <f>(1000*CHOOSE(CONTROL!$C$42, 695, 695)*CHOOSE(CONTROL!$C$42, 0.5599, 0.5599)*CHOOSE(CONTROL!$C$42, 31, 31))/1000000</f>
        <v>12.063045499999998</v>
      </c>
      <c r="V1028" s="56">
        <f>(1000*CHOOSE(CONTROL!$C$42, 500, 500)*CHOOSE(CONTROL!$C$42, 0.275, 0.275)*CHOOSE(CONTROL!$C$42, 31, 31))/1000000</f>
        <v>4.2625000000000002</v>
      </c>
      <c r="W1028" s="56">
        <f>(1000*CHOOSE(CONTROL!$C$42, 0.1146, 0.1146)*CHOOSE(CONTROL!$C$42, 121.5, 121.5)*CHOOSE(CONTROL!$C$42, 31, 31))/1000000</f>
        <v>0.43164089999999994</v>
      </c>
      <c r="X1028" s="56">
        <f>(31*0.1790888*245000/1000000)+(31*0.2374*100000/1000000)</f>
        <v>2.0961194359999999</v>
      </c>
      <c r="Y1028" s="56"/>
      <c r="Z1028" s="14"/>
      <c r="AA1028" s="55"/>
      <c r="AB1028" s="49">
        <f>(B1028*194.205+C1028*267.466+D1028*133.845+E1028*53.484+F1028*40+G1028*185+H1028*0+I1028*100+J1028*300)/(194.205+267.466+133.845+53.484+0+40+185+100+300)</f>
        <v>135.1410151098116</v>
      </c>
      <c r="AC1028" s="45">
        <f>(M1028*'RAP TEMPLATE-GAS AVAILABILITY'!O1027+N1028*'RAP TEMPLATE-GAS AVAILABILITY'!P1027+O1028*'RAP TEMPLATE-GAS AVAILABILITY'!Q1027+P1028*'RAP TEMPLATE-GAS AVAILABILITY'!R1027)/('RAP TEMPLATE-GAS AVAILABILITY'!O1027+'RAP TEMPLATE-GAS AVAILABILITY'!P1027+'RAP TEMPLATE-GAS AVAILABILITY'!Q1027+'RAP TEMPLATE-GAS AVAILABILITY'!R1027)</f>
        <v>132.82893812949641</v>
      </c>
    </row>
    <row r="1029" spans="1:29" ht="15.75" x14ac:dyDescent="0.25">
      <c r="A1029" s="32">
        <v>72228</v>
      </c>
      <c r="B1029" s="14">
        <f>CHOOSE(CONTROL!$C$42, 126.4801, 126.4801) * CHOOSE(CONTROL!$C$21, $C$9, 100%, $E$9)</f>
        <v>126.48009999999999</v>
      </c>
      <c r="C1029" s="14">
        <f>CHOOSE(CONTROL!$C$42, 126.4881, 126.4881) * CHOOSE(CONTROL!$C$21, $C$9, 100%, $E$9)</f>
        <v>126.4881</v>
      </c>
      <c r="D1029" s="14">
        <f>CHOOSE(CONTROL!$C$42, 126.7472, 126.7472) * CHOOSE(CONTROL!$C$21, $C$9, 100%, $E$9)</f>
        <v>126.74720000000001</v>
      </c>
      <c r="E1029" s="14">
        <f>CHOOSE(CONTROL!$C$42, 126.7786, 126.7786) * CHOOSE(CONTROL!$C$21, $C$9, 100%, $E$9)</f>
        <v>126.7786</v>
      </c>
      <c r="F1029" s="14">
        <f>CHOOSE(CONTROL!$C$42, 126.5025, 126.5025)*CHOOSE(CONTROL!$C$21, $C$9, 100%, $E$9)</f>
        <v>126.5025</v>
      </c>
      <c r="G1029" s="14">
        <f>CHOOSE(CONTROL!$C$42, 126.5198, 126.5198)*CHOOSE(CONTROL!$C$21, $C$9, 100%, $E$9)</f>
        <v>126.5198</v>
      </c>
      <c r="H1029" s="14">
        <f>CHOOSE(CONTROL!$C$42, 126.7673, 126.7673) * CHOOSE(CONTROL!$C$21, $C$9, 100%, $E$9)</f>
        <v>126.76730000000001</v>
      </c>
      <c r="I1029" s="14">
        <f>CHOOSE(CONTROL!$C$42, 126.8973, 126.8973)* CHOOSE(CONTROL!$C$21, $C$9, 100%, $E$9)</f>
        <v>126.8973</v>
      </c>
      <c r="J1029" s="14">
        <f>CHOOSE(CONTROL!$C$42, 126.4955, 126.4955)* CHOOSE(CONTROL!$C$21, $C$9, 100%, $E$9)</f>
        <v>126.49550000000001</v>
      </c>
      <c r="K1029" s="52">
        <f>CHOOSE(CONTROL!$C$42, 126.8934, 126.8934) * CHOOSE(CONTROL!$C$21, $C$9, 100%, $E$9)</f>
        <v>126.8934</v>
      </c>
      <c r="L1029" s="14">
        <f>CHOOSE(CONTROL!$C$42, 127.3543, 127.3543) * CHOOSE(CONTROL!$C$21, $C$9, 100%, $E$9)</f>
        <v>127.35429999999999</v>
      </c>
      <c r="M1029" s="14">
        <f>CHOOSE(CONTROL!$C$42, 124.228, 124.228) * CHOOSE(CONTROL!$C$21, $C$9, 100%, $E$9)</f>
        <v>124.22799999999999</v>
      </c>
      <c r="N1029" s="14">
        <f>CHOOSE(CONTROL!$C$42, 124.2449, 124.2449) * CHOOSE(CONTROL!$C$21, $C$9, 100%, $E$9)</f>
        <v>124.2449</v>
      </c>
      <c r="O1029" s="14">
        <f>CHOOSE(CONTROL!$C$42, 124.4948, 124.4948) * CHOOSE(CONTROL!$C$21, $C$9, 100%, $E$9)</f>
        <v>124.4948</v>
      </c>
      <c r="P1029" s="14">
        <f>CHOOSE(CONTROL!$C$42, 124.6156, 124.6156) * CHOOSE(CONTROL!$C$21, $C$9, 100%, $E$9)</f>
        <v>124.6156</v>
      </c>
      <c r="Q1029" s="14">
        <f>CHOOSE(CONTROL!$C$42, 125.0895, 125.0895) * CHOOSE(CONTROL!$C$21, $C$9, 100%, $E$9)</f>
        <v>125.0895</v>
      </c>
      <c r="R1029" s="14">
        <f>CHOOSE(CONTROL!$C$42, 125.9893, 125.9893) * CHOOSE(CONTROL!$C$21, $C$9, 100%, $E$9)</f>
        <v>125.9893</v>
      </c>
      <c r="S1029" s="14">
        <f>CHOOSE(CONTROL!$C$42, 121.5241, 121.5241) * CHOOSE(CONTROL!$C$21, $C$9, 100%, $E$9)</f>
        <v>121.5241</v>
      </c>
      <c r="T10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29" s="56">
        <f>(1000*CHOOSE(CONTROL!$C$42, 695, 695)*CHOOSE(CONTROL!$C$42, 0.5599, 0.5599)*CHOOSE(CONTROL!$C$42, 30, 30))/1000000</f>
        <v>11.673914999999997</v>
      </c>
      <c r="V1029" s="56">
        <f>(1000*CHOOSE(CONTROL!$C$42, 500, 500)*CHOOSE(CONTROL!$C$42, 0.275, 0.275)*CHOOSE(CONTROL!$C$42, 30, 30))/1000000</f>
        <v>4.125</v>
      </c>
      <c r="W1029" s="56">
        <f>(1000*CHOOSE(CONTROL!$C$42, 0.1146, 0.1146)*CHOOSE(CONTROL!$C$42, 121.5, 121.5)*CHOOSE(CONTROL!$C$42, 30, 30))/1000000</f>
        <v>0.417717</v>
      </c>
      <c r="X1029" s="56">
        <f>(30*0.1790888*245000/1000000)+(30*0.2374*100000/1000000)</f>
        <v>2.0285026799999999</v>
      </c>
      <c r="Y1029" s="56"/>
      <c r="Z1029" s="14"/>
      <c r="AA1029" s="55"/>
      <c r="AB1029" s="49">
        <f>(B1029*194.205+C1029*267.466+D1029*133.845+E1029*53.484+F1029*40+G1029*185+H1029*0+I1029*100+J1029*300)/(194.205+267.466+133.845+53.484+0+40+185+100+300)</f>
        <v>126.56521397291993</v>
      </c>
      <c r="AC1029" s="45">
        <f>(M1029*'RAP TEMPLATE-GAS AVAILABILITY'!O1028+N1029*'RAP TEMPLATE-GAS AVAILABILITY'!P1028+O1029*'RAP TEMPLATE-GAS AVAILABILITY'!Q1028+P1029*'RAP TEMPLATE-GAS AVAILABILITY'!R1028)/('RAP TEMPLATE-GAS AVAILABILITY'!O1028+'RAP TEMPLATE-GAS AVAILABILITY'!P1028+'RAP TEMPLATE-GAS AVAILABILITY'!Q1028+'RAP TEMPLATE-GAS AVAILABILITY'!R1028)</f>
        <v>124.40566618705036</v>
      </c>
    </row>
    <row r="1030" spans="1:29" ht="15.75" x14ac:dyDescent="0.25">
      <c r="A1030" s="32">
        <v>72259</v>
      </c>
      <c r="B1030" s="14">
        <f>CHOOSE(CONTROL!$C$42, 123.9105, 123.9105) * CHOOSE(CONTROL!$C$21, $C$9, 100%, $E$9)</f>
        <v>123.9105</v>
      </c>
      <c r="C1030" s="14">
        <f>CHOOSE(CONTROL!$C$42, 123.9158, 123.9158) * CHOOSE(CONTROL!$C$21, $C$9, 100%, $E$9)</f>
        <v>123.9158</v>
      </c>
      <c r="D1030" s="14">
        <f>CHOOSE(CONTROL!$C$42, 124.1799, 124.1799) * CHOOSE(CONTROL!$C$21, $C$9, 100%, $E$9)</f>
        <v>124.1799</v>
      </c>
      <c r="E1030" s="14">
        <f>CHOOSE(CONTROL!$C$42, 124.209, 124.209) * CHOOSE(CONTROL!$C$21, $C$9, 100%, $E$9)</f>
        <v>124.209</v>
      </c>
      <c r="F1030" s="14">
        <f>CHOOSE(CONTROL!$C$42, 123.9351, 123.9351)*CHOOSE(CONTROL!$C$21, $C$9, 100%, $E$9)</f>
        <v>123.93510000000001</v>
      </c>
      <c r="G1030" s="14">
        <f>CHOOSE(CONTROL!$C$42, 123.9522, 123.9522)*CHOOSE(CONTROL!$C$21, $C$9, 100%, $E$9)</f>
        <v>123.9522</v>
      </c>
      <c r="H1030" s="14">
        <f>CHOOSE(CONTROL!$C$42, 124.1995, 124.1995) * CHOOSE(CONTROL!$C$21, $C$9, 100%, $E$9)</f>
        <v>124.1995</v>
      </c>
      <c r="I1030" s="14">
        <f>CHOOSE(CONTROL!$C$42, 124.3214, 124.3214)* CHOOSE(CONTROL!$C$21, $C$9, 100%, $E$9)</f>
        <v>124.3214</v>
      </c>
      <c r="J1030" s="14">
        <f>CHOOSE(CONTROL!$C$42, 123.9281, 123.9281)* CHOOSE(CONTROL!$C$21, $C$9, 100%, $E$9)</f>
        <v>123.9281</v>
      </c>
      <c r="K1030" s="52">
        <f>CHOOSE(CONTROL!$C$42, 124.3175, 124.3175) * CHOOSE(CONTROL!$C$21, $C$9, 100%, $E$9)</f>
        <v>124.3175</v>
      </c>
      <c r="L1030" s="14">
        <f>CHOOSE(CONTROL!$C$42, 124.7865, 124.7865) * CHOOSE(CONTROL!$C$21, $C$9, 100%, $E$9)</f>
        <v>124.7865</v>
      </c>
      <c r="M1030" s="14">
        <f>CHOOSE(CONTROL!$C$42, 121.7068, 121.7068) * CHOOSE(CONTROL!$C$21, $C$9, 100%, $E$9)</f>
        <v>121.7068</v>
      </c>
      <c r="N1030" s="14">
        <f>CHOOSE(CONTROL!$C$42, 121.7235, 121.7235) * CHOOSE(CONTROL!$C$21, $C$9, 100%, $E$9)</f>
        <v>121.7235</v>
      </c>
      <c r="O1030" s="14">
        <f>CHOOSE(CONTROL!$C$42, 121.9732, 121.9732) * CHOOSE(CONTROL!$C$21, $C$9, 100%, $E$9)</f>
        <v>121.97320000000001</v>
      </c>
      <c r="P1030" s="14">
        <f>CHOOSE(CONTROL!$C$42, 122.0862, 122.0862) * CHOOSE(CONTROL!$C$21, $C$9, 100%, $E$9)</f>
        <v>122.08620000000001</v>
      </c>
      <c r="Q1030" s="14">
        <f>CHOOSE(CONTROL!$C$42, 122.5679, 122.5679) * CHOOSE(CONTROL!$C$21, $C$9, 100%, $E$9)</f>
        <v>122.56789999999999</v>
      </c>
      <c r="R1030" s="14">
        <f>CHOOSE(CONTROL!$C$42, 123.4613, 123.4613) * CHOOSE(CONTROL!$C$21, $C$9, 100%, $E$9)</f>
        <v>123.46129999999999</v>
      </c>
      <c r="S1030" s="14">
        <f>CHOOSE(CONTROL!$C$42, 119.0566, 119.0566) * CHOOSE(CONTROL!$C$21, $C$9, 100%, $E$9)</f>
        <v>119.0566</v>
      </c>
      <c r="T10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30" s="56">
        <f>(1000*CHOOSE(CONTROL!$C$42, 695, 695)*CHOOSE(CONTROL!$C$42, 0.5599, 0.5599)*CHOOSE(CONTROL!$C$42, 31, 31))/1000000</f>
        <v>12.063045499999998</v>
      </c>
      <c r="V1030" s="56">
        <f>(1000*CHOOSE(CONTROL!$C$42, 500, 500)*CHOOSE(CONTROL!$C$42, 0.275, 0.275)*CHOOSE(CONTROL!$C$42, 31, 31))/1000000</f>
        <v>4.2625000000000002</v>
      </c>
      <c r="W1030" s="56">
        <f>(1000*CHOOSE(CONTROL!$C$42, 0.1146, 0.1146)*CHOOSE(CONTROL!$C$42, 121.5, 121.5)*CHOOSE(CONTROL!$C$42, 31, 31))/1000000</f>
        <v>0.43164089999999994</v>
      </c>
      <c r="X1030" s="56">
        <f>(31*0.1790888*245000/1000000)+(31*0.2374*100000/1000000)</f>
        <v>2.0961194359999999</v>
      </c>
      <c r="Y1030" s="56"/>
      <c r="Z1030" s="14"/>
      <c r="AA1030" s="55"/>
      <c r="AB1030" s="49">
        <f>(B1030*131.881+C1030*277.167+D1030*79.08+E1030*125.872+F1030*40+G1030*185+H1030*0+I1030*100+J1030*300)/(131.881+277.167+79.08+125.872+0+40+185+100+300)</f>
        <v>124.00365127449555</v>
      </c>
      <c r="AC1030" s="45">
        <f>(M1030*'RAP TEMPLATE-GAS AVAILABILITY'!O1029+N1030*'RAP TEMPLATE-GAS AVAILABILITY'!P1029+O1030*'RAP TEMPLATE-GAS AVAILABILITY'!Q1029+P1030*'RAP TEMPLATE-GAS AVAILABILITY'!R1029)/('RAP TEMPLATE-GAS AVAILABILITY'!O1029+'RAP TEMPLATE-GAS AVAILABILITY'!P1029+'RAP TEMPLATE-GAS AVAILABILITY'!Q1029+'RAP TEMPLATE-GAS AVAILABILITY'!R1029)</f>
        <v>121.88309352517986</v>
      </c>
    </row>
    <row r="1031" spans="1:29" ht="15.75" x14ac:dyDescent="0.25">
      <c r="A1031" s="32">
        <v>72289</v>
      </c>
      <c r="B1031" s="14">
        <f>CHOOSE(CONTROL!$C$42, 127.1742, 127.1742) * CHOOSE(CONTROL!$C$21, $C$9, 100%, $E$9)</f>
        <v>127.1742</v>
      </c>
      <c r="C1031" s="14">
        <f>CHOOSE(CONTROL!$C$42, 127.1793, 127.1793) * CHOOSE(CONTROL!$C$21, $C$9, 100%, $E$9)</f>
        <v>127.1793</v>
      </c>
      <c r="D1031" s="14">
        <f>CHOOSE(CONTROL!$C$42, 127.2623, 127.2623) * CHOOSE(CONTROL!$C$21, $C$9, 100%, $E$9)</f>
        <v>127.2623</v>
      </c>
      <c r="E1031" s="14">
        <f>CHOOSE(CONTROL!$C$42, 127.2964, 127.2964) * CHOOSE(CONTROL!$C$21, $C$9, 100%, $E$9)</f>
        <v>127.29640000000001</v>
      </c>
      <c r="F1031" s="14">
        <f>CHOOSE(CONTROL!$C$42, 127.2018, 127.2018)*CHOOSE(CONTROL!$C$21, $C$9, 100%, $E$9)</f>
        <v>127.20180000000001</v>
      </c>
      <c r="G1031" s="14">
        <f>CHOOSE(CONTROL!$C$42, 127.2192, 127.2192)*CHOOSE(CONTROL!$C$21, $C$9, 100%, $E$9)</f>
        <v>127.2192</v>
      </c>
      <c r="H1031" s="14">
        <f>CHOOSE(CONTROL!$C$42, 127.2856, 127.2856) * CHOOSE(CONTROL!$C$21, $C$9, 100%, $E$9)</f>
        <v>127.2856</v>
      </c>
      <c r="I1031" s="14">
        <f>CHOOSE(CONTROL!$C$42, 127.5921, 127.5921)* CHOOSE(CONTROL!$C$21, $C$9, 100%, $E$9)</f>
        <v>127.5921</v>
      </c>
      <c r="J1031" s="14">
        <f>CHOOSE(CONTROL!$C$42, 127.1948, 127.1948)* CHOOSE(CONTROL!$C$21, $C$9, 100%, $E$9)</f>
        <v>127.1948</v>
      </c>
      <c r="K1031" s="52">
        <f>CHOOSE(CONTROL!$C$42, 127.5882, 127.5882) * CHOOSE(CONTROL!$C$21, $C$9, 100%, $E$9)</f>
        <v>127.5882</v>
      </c>
      <c r="L1031" s="14">
        <f>CHOOSE(CONTROL!$C$42, 127.8726, 127.8726) * CHOOSE(CONTROL!$C$21, $C$9, 100%, $E$9)</f>
        <v>127.87260000000001</v>
      </c>
      <c r="M1031" s="14">
        <f>CHOOSE(CONTROL!$C$42, 124.9147, 124.9147) * CHOOSE(CONTROL!$C$21, $C$9, 100%, $E$9)</f>
        <v>124.9147</v>
      </c>
      <c r="N1031" s="14">
        <f>CHOOSE(CONTROL!$C$42, 124.9318, 124.9318) * CHOOSE(CONTROL!$C$21, $C$9, 100%, $E$9)</f>
        <v>124.9318</v>
      </c>
      <c r="O1031" s="14">
        <f>CHOOSE(CONTROL!$C$42, 125.0039, 125.0039) * CHOOSE(CONTROL!$C$21, $C$9, 100%, $E$9)</f>
        <v>125.0039</v>
      </c>
      <c r="P1031" s="14">
        <f>CHOOSE(CONTROL!$C$42, 125.2979, 125.2979) * CHOOSE(CONTROL!$C$21, $C$9, 100%, $E$9)</f>
        <v>125.2979</v>
      </c>
      <c r="Q1031" s="14">
        <f>CHOOSE(CONTROL!$C$42, 125.5986, 125.5986) * CHOOSE(CONTROL!$C$21, $C$9, 100%, $E$9)</f>
        <v>125.5986</v>
      </c>
      <c r="R1031" s="14">
        <f>CHOOSE(CONTROL!$C$42, 126.4996, 126.4996) * CHOOSE(CONTROL!$C$21, $C$9, 100%, $E$9)</f>
        <v>126.4996</v>
      </c>
      <c r="S1031" s="14">
        <f>CHOOSE(CONTROL!$C$42, 122.1931, 122.1931) * CHOOSE(CONTROL!$C$21, $C$9, 100%, $E$9)</f>
        <v>122.1931</v>
      </c>
      <c r="T10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31" s="56">
        <f>(1000*CHOOSE(CONTROL!$C$42, 695, 695)*CHOOSE(CONTROL!$C$42, 0.5599, 0.5599)*CHOOSE(CONTROL!$C$42, 30, 30))/1000000</f>
        <v>11.673914999999997</v>
      </c>
      <c r="V1031" s="56">
        <f>(1000*CHOOSE(CONTROL!$C$42, 500, 500)*CHOOSE(CONTROL!$C$42, 0.275, 0.275)*CHOOSE(CONTROL!$C$42, 30, 30))/1000000</f>
        <v>4.125</v>
      </c>
      <c r="W1031" s="56">
        <f>(1000*CHOOSE(CONTROL!$C$42, 0.1146, 0.1146)*CHOOSE(CONTROL!$C$42, 121.5, 121.5)*CHOOSE(CONTROL!$C$42, 30, 30))/1000000</f>
        <v>0.417717</v>
      </c>
      <c r="X1031" s="56">
        <f>(30*0.1790888*100000/1000000)+(30*0.2374*100000/1000000)</f>
        <v>1.2494664</v>
      </c>
      <c r="Y1031" s="56"/>
      <c r="Z1031" s="14"/>
      <c r="AA1031" s="55"/>
      <c r="AB1031" s="49">
        <f>(B1031*122.58+C1031*297.941+D1031*89.177+E1031*40.302+F1031*40+G1031*160+H1031*0+I1031*100+J1031*300)/(122.58+297.941+89.177+40.302+0+40+160+100+300)</f>
        <v>127.23556947582608</v>
      </c>
      <c r="AC1031" s="45">
        <f>(M1031*'RAP TEMPLATE-GAS AVAILABILITY'!O1030+N1031*'RAP TEMPLATE-GAS AVAILABILITY'!P1030+O1031*'RAP TEMPLATE-GAS AVAILABILITY'!Q1030+P1031*'RAP TEMPLATE-GAS AVAILABILITY'!R1030)/('RAP TEMPLATE-GAS AVAILABILITY'!O1030+'RAP TEMPLATE-GAS AVAILABILITY'!P1030+'RAP TEMPLATE-GAS AVAILABILITY'!Q1030+'RAP TEMPLATE-GAS AVAILABILITY'!R1030)</f>
        <v>125.01124964028774</v>
      </c>
    </row>
    <row r="1032" spans="1:29" ht="15.75" x14ac:dyDescent="0.25">
      <c r="A1032" s="32">
        <v>72320</v>
      </c>
      <c r="B1032" s="14">
        <f>CHOOSE(CONTROL!$C$42, 135.8442, 135.8442) * CHOOSE(CONTROL!$C$21, $C$9, 100%, $E$9)</f>
        <v>135.8442</v>
      </c>
      <c r="C1032" s="14">
        <f>CHOOSE(CONTROL!$C$42, 135.8493, 135.8493) * CHOOSE(CONTROL!$C$21, $C$9, 100%, $E$9)</f>
        <v>135.8493</v>
      </c>
      <c r="D1032" s="14">
        <f>CHOOSE(CONTROL!$C$42, 135.9324, 135.9324) * CHOOSE(CONTROL!$C$21, $C$9, 100%, $E$9)</f>
        <v>135.9324</v>
      </c>
      <c r="E1032" s="14">
        <f>CHOOSE(CONTROL!$C$42, 135.9665, 135.9665) * CHOOSE(CONTROL!$C$21, $C$9, 100%, $E$9)</f>
        <v>135.9665</v>
      </c>
      <c r="F1032" s="14">
        <f>CHOOSE(CONTROL!$C$42, 135.8743, 135.8743)*CHOOSE(CONTROL!$C$21, $C$9, 100%, $E$9)</f>
        <v>135.87430000000001</v>
      </c>
      <c r="G1032" s="14">
        <f>CHOOSE(CONTROL!$C$42, 135.8923, 135.8923)*CHOOSE(CONTROL!$C$21, $C$9, 100%, $E$9)</f>
        <v>135.89230000000001</v>
      </c>
      <c r="H1032" s="14">
        <f>CHOOSE(CONTROL!$C$42, 135.9557, 135.9557) * CHOOSE(CONTROL!$C$21, $C$9, 100%, $E$9)</f>
        <v>135.95570000000001</v>
      </c>
      <c r="I1032" s="14">
        <f>CHOOSE(CONTROL!$C$42, 136.2893, 136.2893)* CHOOSE(CONTROL!$C$21, $C$9, 100%, $E$9)</f>
        <v>136.2893</v>
      </c>
      <c r="J1032" s="14">
        <f>CHOOSE(CONTROL!$C$42, 135.8673, 135.8673)* CHOOSE(CONTROL!$C$21, $C$9, 100%, $E$9)</f>
        <v>135.8673</v>
      </c>
      <c r="K1032" s="52">
        <f>CHOOSE(CONTROL!$C$42, 136.2854, 136.2854) * CHOOSE(CONTROL!$C$21, $C$9, 100%, $E$9)</f>
        <v>136.28540000000001</v>
      </c>
      <c r="L1032" s="14">
        <f>CHOOSE(CONTROL!$C$42, 136.5427, 136.5427) * CHOOSE(CONTROL!$C$21, $C$9, 100%, $E$9)</f>
        <v>136.5427</v>
      </c>
      <c r="M1032" s="14">
        <f>CHOOSE(CONTROL!$C$42, 133.4312, 133.4312) * CHOOSE(CONTROL!$C$21, $C$9, 100%, $E$9)</f>
        <v>133.43119999999999</v>
      </c>
      <c r="N1032" s="14">
        <f>CHOOSE(CONTROL!$C$42, 133.4489, 133.4489) * CHOOSE(CONTROL!$C$21, $C$9, 100%, $E$9)</f>
        <v>133.44890000000001</v>
      </c>
      <c r="O1032" s="14">
        <f>CHOOSE(CONTROL!$C$42, 133.518, 133.518) * CHOOSE(CONTROL!$C$21, $C$9, 100%, $E$9)</f>
        <v>133.518</v>
      </c>
      <c r="P1032" s="14">
        <f>CHOOSE(CONTROL!$C$42, 133.8381, 133.8381) * CHOOSE(CONTROL!$C$21, $C$9, 100%, $E$9)</f>
        <v>133.8381</v>
      </c>
      <c r="Q1032" s="14">
        <f>CHOOSE(CONTROL!$C$42, 134.1127, 134.1127) * CHOOSE(CONTROL!$C$21, $C$9, 100%, $E$9)</f>
        <v>134.11269999999999</v>
      </c>
      <c r="R1032" s="14">
        <f>CHOOSE(CONTROL!$C$42, 135.0349, 135.0349) * CHOOSE(CONTROL!$C$21, $C$9, 100%, $E$9)</f>
        <v>135.03489999999999</v>
      </c>
      <c r="S1032" s="14">
        <f>CHOOSE(CONTROL!$C$42, 130.5242, 130.5242) * CHOOSE(CONTROL!$C$21, $C$9, 100%, $E$9)</f>
        <v>130.52420000000001</v>
      </c>
      <c r="T10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32" s="56">
        <f>(1000*CHOOSE(CONTROL!$C$42, 695, 695)*CHOOSE(CONTROL!$C$42, 0.5599, 0.5599)*CHOOSE(CONTROL!$C$42, 31, 31))/1000000</f>
        <v>12.063045499999998</v>
      </c>
      <c r="V1032" s="56">
        <f>(1000*CHOOSE(CONTROL!$C$42, 500, 500)*CHOOSE(CONTROL!$C$42, 0.275, 0.275)*CHOOSE(CONTROL!$C$42, 31, 31))/1000000</f>
        <v>4.2625000000000002</v>
      </c>
      <c r="W1032" s="56">
        <f>(1000*CHOOSE(CONTROL!$C$42, 0.1146, 0.1146)*CHOOSE(CONTROL!$C$42, 121.5, 121.5)*CHOOSE(CONTROL!$C$42, 31, 31))/1000000</f>
        <v>0.43164089999999994</v>
      </c>
      <c r="X1032" s="56">
        <f>(31*0.1790888*100000/1000000)+(31*0.2374*100000/1000000)</f>
        <v>1.2911152800000001</v>
      </c>
      <c r="Y1032" s="56"/>
      <c r="Z1032" s="14"/>
      <c r="AA1032" s="55"/>
      <c r="AB1032" s="49">
        <f>(B1032*122.58+C1032*297.941+D1032*89.177+E1032*40.302+F1032*40+G1032*160+H1032*0+I1032*100+J1032*300)/(122.58+297.941+89.177+40.302+0+40+160+100+300)</f>
        <v>135.9091163870435</v>
      </c>
      <c r="AC1032" s="45">
        <f>(M1032*'RAP TEMPLATE-GAS AVAILABILITY'!O1031+N1032*'RAP TEMPLATE-GAS AVAILABILITY'!P1031+O1032*'RAP TEMPLATE-GAS AVAILABILITY'!Q1031+P1032*'RAP TEMPLATE-GAS AVAILABILITY'!R1031)/('RAP TEMPLATE-GAS AVAILABILITY'!O1031+'RAP TEMPLATE-GAS AVAILABILITY'!P1031+'RAP TEMPLATE-GAS AVAILABILITY'!Q1031+'RAP TEMPLATE-GAS AVAILABILITY'!R1031)</f>
        <v>133.53010647482014</v>
      </c>
    </row>
    <row r="1033" spans="1:29" ht="15.75" x14ac:dyDescent="0.25">
      <c r="A1033" s="32">
        <v>72351</v>
      </c>
      <c r="B1033" s="14">
        <f>CHOOSE(CONTROL!$C$42, 147.105, 147.105) * CHOOSE(CONTROL!$C$21, $C$9, 100%, $E$9)</f>
        <v>147.10499999999999</v>
      </c>
      <c r="C1033" s="14">
        <f>CHOOSE(CONTROL!$C$42, 147.1101, 147.1101) * CHOOSE(CONTROL!$C$21, $C$9, 100%, $E$9)</f>
        <v>147.11009999999999</v>
      </c>
      <c r="D1033" s="14">
        <f>CHOOSE(CONTROL!$C$42, 147.2036, 147.2036) * CHOOSE(CONTROL!$C$21, $C$9, 100%, $E$9)</f>
        <v>147.20359999999999</v>
      </c>
      <c r="E1033" s="14">
        <f>CHOOSE(CONTROL!$C$42, 147.2377, 147.2377) * CHOOSE(CONTROL!$C$21, $C$9, 100%, $E$9)</f>
        <v>147.23769999999999</v>
      </c>
      <c r="F1033" s="14">
        <f>CHOOSE(CONTROL!$C$42, 147.1323, 147.1323)*CHOOSE(CONTROL!$C$21, $C$9, 100%, $E$9)</f>
        <v>147.13229999999999</v>
      </c>
      <c r="G1033" s="14">
        <f>CHOOSE(CONTROL!$C$42, 147.1503, 147.1503)*CHOOSE(CONTROL!$C$21, $C$9, 100%, $E$9)</f>
        <v>147.15029999999999</v>
      </c>
      <c r="H1033" s="14">
        <f>CHOOSE(CONTROL!$C$42, 147.2269, 147.2269) * CHOOSE(CONTROL!$C$21, $C$9, 100%, $E$9)</f>
        <v>147.2269</v>
      </c>
      <c r="I1033" s="14">
        <f>CHOOSE(CONTROL!$C$42, 147.5916, 147.5916)* CHOOSE(CONTROL!$C$21, $C$9, 100%, $E$9)</f>
        <v>147.5916</v>
      </c>
      <c r="J1033" s="14">
        <f>CHOOSE(CONTROL!$C$42, 147.1253, 147.1253)* CHOOSE(CONTROL!$C$21, $C$9, 100%, $E$9)</f>
        <v>147.12530000000001</v>
      </c>
      <c r="K1033" s="52">
        <f>CHOOSE(CONTROL!$C$42, 147.5877, 147.5877) * CHOOSE(CONTROL!$C$21, $C$9, 100%, $E$9)</f>
        <v>147.58770000000001</v>
      </c>
      <c r="L1033" s="14">
        <f>CHOOSE(CONTROL!$C$42, 147.8139, 147.8139) * CHOOSE(CONTROL!$C$21, $C$9, 100%, $E$9)</f>
        <v>147.81389999999999</v>
      </c>
      <c r="M1033" s="14">
        <f>CHOOSE(CONTROL!$C$42, 144.4867, 144.4867) * CHOOSE(CONTROL!$C$21, $C$9, 100%, $E$9)</f>
        <v>144.48670000000001</v>
      </c>
      <c r="N1033" s="14">
        <f>CHOOSE(CONTROL!$C$42, 144.5044, 144.5044) * CHOOSE(CONTROL!$C$21, $C$9, 100%, $E$9)</f>
        <v>144.5044</v>
      </c>
      <c r="O1033" s="14">
        <f>CHOOSE(CONTROL!$C$42, 144.5864, 144.5864) * CHOOSE(CONTROL!$C$21, $C$9, 100%, $E$9)</f>
        <v>144.5864</v>
      </c>
      <c r="P1033" s="14">
        <f>CHOOSE(CONTROL!$C$42, 144.9365, 144.9365) * CHOOSE(CONTROL!$C$21, $C$9, 100%, $E$9)</f>
        <v>144.9365</v>
      </c>
      <c r="Q1033" s="14">
        <f>CHOOSE(CONTROL!$C$42, 145.1811, 145.1811) * CHOOSE(CONTROL!$C$21, $C$9, 100%, $E$9)</f>
        <v>145.18109999999999</v>
      </c>
      <c r="R1033" s="14">
        <f>CHOOSE(CONTROL!$C$42, 146.1311, 146.1311) * CHOOSE(CONTROL!$C$21, $C$9, 100%, $E$9)</f>
        <v>146.1311</v>
      </c>
      <c r="S1033" s="14">
        <f>CHOOSE(CONTROL!$C$42, 141.3447, 141.3447) * CHOOSE(CONTROL!$C$21, $C$9, 100%, $E$9)</f>
        <v>141.34469999999999</v>
      </c>
      <c r="T10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33" s="56">
        <f>(1000*CHOOSE(CONTROL!$C$42, 695, 695)*CHOOSE(CONTROL!$C$42, 0.5599, 0.5599)*CHOOSE(CONTROL!$C$42, 31, 31))/1000000</f>
        <v>12.063045499999998</v>
      </c>
      <c r="V1033" s="56">
        <f>(1000*CHOOSE(CONTROL!$C$42, 500, 500)*CHOOSE(CONTROL!$C$42, 0.275, 0.275)*CHOOSE(CONTROL!$C$42, 31, 31))/1000000</f>
        <v>4.2625000000000002</v>
      </c>
      <c r="W1033" s="56">
        <f>(1000*CHOOSE(CONTROL!$C$42, 0.1146, 0.1146)*CHOOSE(CONTROL!$C$42, 121.5, 121.5)*CHOOSE(CONTROL!$C$42, 31, 31))/1000000</f>
        <v>0.43164089999999994</v>
      </c>
      <c r="X1033" s="56">
        <f>(31*0.1790888*100000/1000000)+(31*0.2374*100000/1000000)</f>
        <v>1.2911152800000001</v>
      </c>
      <c r="Y1033" s="56"/>
      <c r="Z1033" s="14"/>
      <c r="AA1033" s="55"/>
      <c r="AB1033" s="49">
        <f>(B1033*122.58+C1033*297.941+D1033*89.177+E1033*40.302+F1033*40+G1033*160+H1033*0+I1033*100+J1033*300)/(122.58+297.941+89.177+40.302+0+40+160+100+300)</f>
        <v>147.17347863191304</v>
      </c>
      <c r="AC1033" s="45">
        <f>(M1033*'RAP TEMPLATE-GAS AVAILABILITY'!O1032+N1033*'RAP TEMPLATE-GAS AVAILABILITY'!P1032+O1033*'RAP TEMPLATE-GAS AVAILABILITY'!Q1032+P1033*'RAP TEMPLATE-GAS AVAILABILITY'!R1032)/('RAP TEMPLATE-GAS AVAILABILITY'!O1032+'RAP TEMPLATE-GAS AVAILABILITY'!P1032+'RAP TEMPLATE-GAS AVAILABILITY'!Q1032+'RAP TEMPLATE-GAS AVAILABILITY'!R1032)</f>
        <v>144.59762589928059</v>
      </c>
    </row>
    <row r="1034" spans="1:29" ht="15.75" x14ac:dyDescent="0.25">
      <c r="A1034" s="32">
        <v>72379</v>
      </c>
      <c r="B1034" s="14">
        <f>CHOOSE(CONTROL!$C$42, 149.7235, 149.7235) * CHOOSE(CONTROL!$C$21, $C$9, 100%, $E$9)</f>
        <v>149.7235</v>
      </c>
      <c r="C1034" s="14">
        <f>CHOOSE(CONTROL!$C$42, 149.7286, 149.7286) * CHOOSE(CONTROL!$C$21, $C$9, 100%, $E$9)</f>
        <v>149.7286</v>
      </c>
      <c r="D1034" s="14">
        <f>CHOOSE(CONTROL!$C$42, 149.8221, 149.8221) * CHOOSE(CONTROL!$C$21, $C$9, 100%, $E$9)</f>
        <v>149.82210000000001</v>
      </c>
      <c r="E1034" s="14">
        <f>CHOOSE(CONTROL!$C$42, 149.8562, 149.8562) * CHOOSE(CONTROL!$C$21, $C$9, 100%, $E$9)</f>
        <v>149.8562</v>
      </c>
      <c r="F1034" s="14">
        <f>CHOOSE(CONTROL!$C$42, 149.7505, 149.7505)*CHOOSE(CONTROL!$C$21, $C$9, 100%, $E$9)</f>
        <v>149.75049999999999</v>
      </c>
      <c r="G1034" s="14">
        <f>CHOOSE(CONTROL!$C$42, 149.7684, 149.7684)*CHOOSE(CONTROL!$C$21, $C$9, 100%, $E$9)</f>
        <v>149.76840000000001</v>
      </c>
      <c r="H1034" s="14">
        <f>CHOOSE(CONTROL!$C$42, 149.8454, 149.8454) * CHOOSE(CONTROL!$C$21, $C$9, 100%, $E$9)</f>
        <v>149.84540000000001</v>
      </c>
      <c r="I1034" s="14">
        <f>CHOOSE(CONTROL!$C$42, 150.2184, 150.2184)* CHOOSE(CONTROL!$C$21, $C$9, 100%, $E$9)</f>
        <v>150.2184</v>
      </c>
      <c r="J1034" s="14">
        <f>CHOOSE(CONTROL!$C$42, 149.7435, 149.7435)* CHOOSE(CONTROL!$C$21, $C$9, 100%, $E$9)</f>
        <v>149.74350000000001</v>
      </c>
      <c r="K1034" s="52">
        <f>CHOOSE(CONTROL!$C$42, 150.2145, 150.2145) * CHOOSE(CONTROL!$C$21, $C$9, 100%, $E$9)</f>
        <v>150.21449999999999</v>
      </c>
      <c r="L1034" s="14">
        <f>CHOOSE(CONTROL!$C$42, 150.4324, 150.4324) * CHOOSE(CONTROL!$C$21, $C$9, 100%, $E$9)</f>
        <v>150.4324</v>
      </c>
      <c r="M1034" s="14">
        <f>CHOOSE(CONTROL!$C$42, 147.0578, 147.0578) * CHOOSE(CONTROL!$C$21, $C$9, 100%, $E$9)</f>
        <v>147.05779999999999</v>
      </c>
      <c r="N1034" s="14">
        <f>CHOOSE(CONTROL!$C$42, 147.0753, 147.0753) * CHOOSE(CONTROL!$C$21, $C$9, 100%, $E$9)</f>
        <v>147.0753</v>
      </c>
      <c r="O1034" s="14">
        <f>CHOOSE(CONTROL!$C$42, 147.1579, 147.1579) * CHOOSE(CONTROL!$C$21, $C$9, 100%, $E$9)</f>
        <v>147.15790000000001</v>
      </c>
      <c r="P1034" s="14">
        <f>CHOOSE(CONTROL!$C$42, 147.5159, 147.5159) * CHOOSE(CONTROL!$C$21, $C$9, 100%, $E$9)</f>
        <v>147.51589999999999</v>
      </c>
      <c r="Q1034" s="14">
        <f>CHOOSE(CONTROL!$C$42, 147.7526, 147.7526) * CHOOSE(CONTROL!$C$21, $C$9, 100%, $E$9)</f>
        <v>147.7526</v>
      </c>
      <c r="R1034" s="14">
        <f>CHOOSE(CONTROL!$C$42, 148.7089, 148.7089) * CHOOSE(CONTROL!$C$21, $C$9, 100%, $E$9)</f>
        <v>148.7089</v>
      </c>
      <c r="S1034" s="14">
        <f>CHOOSE(CONTROL!$C$42, 143.8608, 143.8608) * CHOOSE(CONTROL!$C$21, $C$9, 100%, $E$9)</f>
        <v>143.86080000000001</v>
      </c>
      <c r="T103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034" s="56">
        <f>(1000*CHOOSE(CONTROL!$C$42, 695, 695)*CHOOSE(CONTROL!$C$42, 0.5599, 0.5599)*CHOOSE(CONTROL!$C$42, 28, 28))/1000000</f>
        <v>10.895653999999999</v>
      </c>
      <c r="V1034" s="56">
        <f>(1000*CHOOSE(CONTROL!$C$42, 500, 500)*CHOOSE(CONTROL!$C$42, 0.275, 0.275)*CHOOSE(CONTROL!$C$42, 28, 28))/1000000</f>
        <v>3.85</v>
      </c>
      <c r="W1034" s="56">
        <f>(1000*CHOOSE(CONTROL!$C$42, 0.1146, 0.1146)*CHOOSE(CONTROL!$C$42, 121.5, 121.5)*CHOOSE(CONTROL!$C$42, 28, 28))/1000000</f>
        <v>0.38986920000000003</v>
      </c>
      <c r="X1034" s="56">
        <f>(28*0.1790888*100000/1000000)+(28*0.2374*100000/1000000)</f>
        <v>1.16616864</v>
      </c>
      <c r="Y1034" s="56"/>
      <c r="Z1034" s="14"/>
      <c r="AA1034" s="55"/>
      <c r="AB1034" s="49">
        <f>(B1034*122.58+C1034*297.941+D1034*89.177+E1034*40.302+F1034*40+G1034*160+H1034*0+I1034*100+J1034*300)/(122.58+297.941+89.177+40.302+0+40+160+100+300)</f>
        <v>149.7925560232174</v>
      </c>
      <c r="AC1034" s="45">
        <f>(M1034*'RAP TEMPLATE-GAS AVAILABILITY'!O1033+N1034*'RAP TEMPLATE-GAS AVAILABILITY'!P1033+O1034*'RAP TEMPLATE-GAS AVAILABILITY'!Q1033+P1034*'RAP TEMPLATE-GAS AVAILABILITY'!R1033)/('RAP TEMPLATE-GAS AVAILABILITY'!O1033+'RAP TEMPLATE-GAS AVAILABILITY'!P1033+'RAP TEMPLATE-GAS AVAILABILITY'!Q1033+'RAP TEMPLATE-GAS AVAILABILITY'!R1033)</f>
        <v>147.17008992805754</v>
      </c>
    </row>
    <row r="1035" spans="1:29" ht="15.75" x14ac:dyDescent="0.25">
      <c r="A1035" s="32">
        <v>72410</v>
      </c>
      <c r="B1035" s="14">
        <f>CHOOSE(CONTROL!$C$42, 145.4731, 145.4731) * CHOOSE(CONTROL!$C$21, $C$9, 100%, $E$9)</f>
        <v>145.47309999999999</v>
      </c>
      <c r="C1035" s="14">
        <f>CHOOSE(CONTROL!$C$42, 145.4781, 145.4781) * CHOOSE(CONTROL!$C$21, $C$9, 100%, $E$9)</f>
        <v>145.47810000000001</v>
      </c>
      <c r="D1035" s="14">
        <f>CHOOSE(CONTROL!$C$42, 145.5716, 145.5716) * CHOOSE(CONTROL!$C$21, $C$9, 100%, $E$9)</f>
        <v>145.57159999999999</v>
      </c>
      <c r="E1035" s="14">
        <f>CHOOSE(CONTROL!$C$42, 145.6057, 145.6057) * CHOOSE(CONTROL!$C$21, $C$9, 100%, $E$9)</f>
        <v>145.60570000000001</v>
      </c>
      <c r="F1035" s="14">
        <f>CHOOSE(CONTROL!$C$42, 145.4991, 145.4991)*CHOOSE(CONTROL!$C$21, $C$9, 100%, $E$9)</f>
        <v>145.4991</v>
      </c>
      <c r="G1035" s="14">
        <f>CHOOSE(CONTROL!$C$42, 145.5168, 145.5168)*CHOOSE(CONTROL!$C$21, $C$9, 100%, $E$9)</f>
        <v>145.51679999999999</v>
      </c>
      <c r="H1035" s="14">
        <f>CHOOSE(CONTROL!$C$42, 145.5949, 145.5949) * CHOOSE(CONTROL!$C$21, $C$9, 100%, $E$9)</f>
        <v>145.5949</v>
      </c>
      <c r="I1035" s="14">
        <f>CHOOSE(CONTROL!$C$42, 145.9546, 145.9546)* CHOOSE(CONTROL!$C$21, $C$9, 100%, $E$9)</f>
        <v>145.9546</v>
      </c>
      <c r="J1035" s="14">
        <f>CHOOSE(CONTROL!$C$42, 145.4921, 145.4921)* CHOOSE(CONTROL!$C$21, $C$9, 100%, $E$9)</f>
        <v>145.49209999999999</v>
      </c>
      <c r="K1035" s="52">
        <f>CHOOSE(CONTROL!$C$42, 145.9507, 145.9507) * CHOOSE(CONTROL!$C$21, $C$9, 100%, $E$9)</f>
        <v>145.95070000000001</v>
      </c>
      <c r="L1035" s="14">
        <f>CHOOSE(CONTROL!$C$42, 146.1819, 146.1819) * CHOOSE(CONTROL!$C$21, $C$9, 100%, $E$9)</f>
        <v>146.18190000000001</v>
      </c>
      <c r="M1035" s="14">
        <f>CHOOSE(CONTROL!$C$42, 142.8829, 142.8829) * CHOOSE(CONTROL!$C$21, $C$9, 100%, $E$9)</f>
        <v>142.88290000000001</v>
      </c>
      <c r="N1035" s="14">
        <f>CHOOSE(CONTROL!$C$42, 142.9002, 142.9002) * CHOOSE(CONTROL!$C$21, $C$9, 100%, $E$9)</f>
        <v>142.90020000000001</v>
      </c>
      <c r="O1035" s="14">
        <f>CHOOSE(CONTROL!$C$42, 142.9838, 142.9838) * CHOOSE(CONTROL!$C$21, $C$9, 100%, $E$9)</f>
        <v>142.9838</v>
      </c>
      <c r="P1035" s="14">
        <f>CHOOSE(CONTROL!$C$42, 143.329, 143.329) * CHOOSE(CONTROL!$C$21, $C$9, 100%, $E$9)</f>
        <v>143.32900000000001</v>
      </c>
      <c r="Q1035" s="14">
        <f>CHOOSE(CONTROL!$C$42, 143.5785, 143.5785) * CHOOSE(CONTROL!$C$21, $C$9, 100%, $E$9)</f>
        <v>143.57849999999999</v>
      </c>
      <c r="R1035" s="14">
        <f>CHOOSE(CONTROL!$C$42, 144.5245, 144.5245) * CHOOSE(CONTROL!$C$21, $C$9, 100%, $E$9)</f>
        <v>144.52449999999999</v>
      </c>
      <c r="S1035" s="14">
        <f>CHOOSE(CONTROL!$C$42, 139.7765, 139.7765) * CHOOSE(CONTROL!$C$21, $C$9, 100%, $E$9)</f>
        <v>139.7765</v>
      </c>
      <c r="T10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035" s="56">
        <f>(1000*CHOOSE(CONTROL!$C$42, 695, 695)*CHOOSE(CONTROL!$C$42, 0.5599, 0.5599)*CHOOSE(CONTROL!$C$42, 31, 31))/1000000</f>
        <v>12.063045499999998</v>
      </c>
      <c r="V1035" s="56">
        <f>(1000*CHOOSE(CONTROL!$C$42, 500, 500)*CHOOSE(CONTROL!$C$42, 0.275, 0.275)*CHOOSE(CONTROL!$C$42, 31, 31))/1000000</f>
        <v>4.2625000000000002</v>
      </c>
      <c r="W1035" s="56">
        <f>(1000*CHOOSE(CONTROL!$C$42, 0.1146, 0.1146)*CHOOSE(CONTROL!$C$42, 121.5, 121.5)*CHOOSE(CONTROL!$C$42, 31, 31))/1000000</f>
        <v>0.43164089999999994</v>
      </c>
      <c r="X1035" s="56">
        <f>(31*0.1790888*100000/1000000)+(31*0.2374*100000/1000000)</f>
        <v>1.2911152800000001</v>
      </c>
      <c r="Y1035" s="56"/>
      <c r="Z1035" s="14"/>
      <c r="AA1035" s="55"/>
      <c r="AB1035" s="49">
        <f>(B1035*122.58+C1035*297.941+D1035*89.177+E1035*40.302+F1035*40+G1035*160+H1035*0+I1035*100+J1035*300)/(122.58+297.941+89.177+40.302+0+40+160+100+300)</f>
        <v>145.54049103017391</v>
      </c>
      <c r="AC1035" s="45">
        <f>(M1035*'RAP TEMPLATE-GAS AVAILABILITY'!O1034+N1035*'RAP TEMPLATE-GAS AVAILABILITY'!P1034+O1035*'RAP TEMPLATE-GAS AVAILABILITY'!Q1034+P1035*'RAP TEMPLATE-GAS AVAILABILITY'!R1034)/('RAP TEMPLATE-GAS AVAILABILITY'!O1034+'RAP TEMPLATE-GAS AVAILABILITY'!P1034+'RAP TEMPLATE-GAS AVAILABILITY'!Q1034+'RAP TEMPLATE-GAS AVAILABILITY'!R1034)</f>
        <v>142.9938143884892</v>
      </c>
    </row>
    <row r="1036" spans="1:29" ht="15.75" x14ac:dyDescent="0.25">
      <c r="A1036" s="32">
        <v>72440</v>
      </c>
      <c r="B1036" s="14">
        <f>CHOOSE(CONTROL!$C$42, 145.0385, 145.0385) * CHOOSE(CONTROL!$C$21, $C$9, 100%, $E$9)</f>
        <v>145.0385</v>
      </c>
      <c r="C1036" s="14">
        <f>CHOOSE(CONTROL!$C$42, 145.043, 145.043) * CHOOSE(CONTROL!$C$21, $C$9, 100%, $E$9)</f>
        <v>145.04300000000001</v>
      </c>
      <c r="D1036" s="14">
        <f>CHOOSE(CONTROL!$C$42, 145.3052, 145.3052) * CHOOSE(CONTROL!$C$21, $C$9, 100%, $E$9)</f>
        <v>145.30520000000001</v>
      </c>
      <c r="E1036" s="14">
        <f>CHOOSE(CONTROL!$C$42, 145.3373, 145.3373) * CHOOSE(CONTROL!$C$21, $C$9, 100%, $E$9)</f>
        <v>145.3373</v>
      </c>
      <c r="F1036" s="14">
        <f>CHOOSE(CONTROL!$C$42, 145.0613, 145.0613)*CHOOSE(CONTROL!$C$21, $C$9, 100%, $E$9)</f>
        <v>145.06129999999999</v>
      </c>
      <c r="G1036" s="14">
        <f>CHOOSE(CONTROL!$C$42, 145.0781, 145.0781)*CHOOSE(CONTROL!$C$21, $C$9, 100%, $E$9)</f>
        <v>145.07810000000001</v>
      </c>
      <c r="H1036" s="14">
        <f>CHOOSE(CONTROL!$C$42, 145.3271, 145.3271) * CHOOSE(CONTROL!$C$21, $C$9, 100%, $E$9)</f>
        <v>145.3271</v>
      </c>
      <c r="I1036" s="14">
        <f>CHOOSE(CONTROL!$C$42, 145.5153, 145.5153)* CHOOSE(CONTROL!$C$21, $C$9, 100%, $E$9)</f>
        <v>145.5153</v>
      </c>
      <c r="J1036" s="14">
        <f>CHOOSE(CONTROL!$C$42, 145.0543, 145.0543)* CHOOSE(CONTROL!$C$21, $C$9, 100%, $E$9)</f>
        <v>145.05430000000001</v>
      </c>
      <c r="K1036" s="52">
        <f>CHOOSE(CONTROL!$C$42, 145.5114, 145.5114) * CHOOSE(CONTROL!$C$21, $C$9, 100%, $E$9)</f>
        <v>145.51140000000001</v>
      </c>
      <c r="L1036" s="14">
        <f>CHOOSE(CONTROL!$C$42, 145.9141, 145.9141) * CHOOSE(CONTROL!$C$21, $C$9, 100%, $E$9)</f>
        <v>145.91409999999999</v>
      </c>
      <c r="M1036" s="14">
        <f>CHOOSE(CONTROL!$C$42, 142.453, 142.453) * CHOOSE(CONTROL!$C$21, $C$9, 100%, $E$9)</f>
        <v>142.453</v>
      </c>
      <c r="N1036" s="14">
        <f>CHOOSE(CONTROL!$C$42, 142.4694, 142.4694) * CHOOSE(CONTROL!$C$21, $C$9, 100%, $E$9)</f>
        <v>142.46940000000001</v>
      </c>
      <c r="O1036" s="14">
        <f>CHOOSE(CONTROL!$C$42, 142.7209, 142.7209) * CHOOSE(CONTROL!$C$21, $C$9, 100%, $E$9)</f>
        <v>142.7209</v>
      </c>
      <c r="P1036" s="14">
        <f>CHOOSE(CONTROL!$C$42, 142.8976, 142.8976) * CHOOSE(CONTROL!$C$21, $C$9, 100%, $E$9)</f>
        <v>142.89760000000001</v>
      </c>
      <c r="Q1036" s="14">
        <f>CHOOSE(CONTROL!$C$42, 143.3156, 143.3156) * CHOOSE(CONTROL!$C$21, $C$9, 100%, $E$9)</f>
        <v>143.31559999999999</v>
      </c>
      <c r="R1036" s="14">
        <f>CHOOSE(CONTROL!$C$42, 144.2609, 144.2609) * CHOOSE(CONTROL!$C$21, $C$9, 100%, $E$9)</f>
        <v>144.26089999999999</v>
      </c>
      <c r="S1036" s="14">
        <f>CHOOSE(CONTROL!$C$42, 139.3582, 139.3582) * CHOOSE(CONTROL!$C$21, $C$9, 100%, $E$9)</f>
        <v>139.35820000000001</v>
      </c>
      <c r="T10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36" s="56">
        <f>(1000*CHOOSE(CONTROL!$C$42, 695, 695)*CHOOSE(CONTROL!$C$42, 0.5599, 0.5599)*CHOOSE(CONTROL!$C$42, 30, 30))/1000000</f>
        <v>11.673914999999997</v>
      </c>
      <c r="V1036" s="56">
        <f>(1000*CHOOSE(CONTROL!$C$42, 500, 500)*CHOOSE(CONTROL!$C$42, 0.275, 0.275)*CHOOSE(CONTROL!$C$42, 30, 30))/1000000</f>
        <v>4.125</v>
      </c>
      <c r="W1036" s="56">
        <f>(1000*CHOOSE(CONTROL!$C$42, 0.1146, 0.1146)*CHOOSE(CONTROL!$C$42, 121.5, 121.5)*CHOOSE(CONTROL!$C$42, 30, 30))/1000000</f>
        <v>0.417717</v>
      </c>
      <c r="X1036" s="56">
        <f>(30*0.1790888*245000/1000000)+(30*0.2374*100000/1000000)</f>
        <v>2.0285026799999999</v>
      </c>
      <c r="Y1036" s="56"/>
      <c r="Z1036" s="14"/>
      <c r="AA1036" s="55"/>
      <c r="AB1036" s="49">
        <f>(B1036*141.293+C1036*267.993+D1036*115.016+E1036*89.698+F1036*40+G1036*185+H1036*0+I1036*100+J1036*300)/(141.293+267.993+115.016+89.698+0+40+185+100+300)</f>
        <v>145.13482001460855</v>
      </c>
      <c r="AC1036" s="45">
        <f>(M1036*'RAP TEMPLATE-GAS AVAILABILITY'!O1035+N1036*'RAP TEMPLATE-GAS AVAILABILITY'!P1035+O1036*'RAP TEMPLATE-GAS AVAILABILITY'!Q1035+P1036*'RAP TEMPLATE-GAS AVAILABILITY'!R1035)/('RAP TEMPLATE-GAS AVAILABILITY'!O1035+'RAP TEMPLATE-GAS AVAILABILITY'!P1035+'RAP TEMPLATE-GAS AVAILABILITY'!Q1035+'RAP TEMPLATE-GAS AVAILABILITY'!R1035)</f>
        <v>142.63933741007193</v>
      </c>
    </row>
    <row r="1037" spans="1:29" ht="15.75" x14ac:dyDescent="0.25">
      <c r="A1037" s="32">
        <v>72471</v>
      </c>
      <c r="B1037" s="14">
        <f>CHOOSE(CONTROL!$C$42, 146.32, 146.32) * CHOOSE(CONTROL!$C$21, $C$9, 100%, $E$9)</f>
        <v>146.32</v>
      </c>
      <c r="C1037" s="14">
        <f>CHOOSE(CONTROL!$C$42, 146.328, 146.328) * CHOOSE(CONTROL!$C$21, $C$9, 100%, $E$9)</f>
        <v>146.328</v>
      </c>
      <c r="D1037" s="14">
        <f>CHOOSE(CONTROL!$C$42, 146.5871, 146.5871) * CHOOSE(CONTROL!$C$21, $C$9, 100%, $E$9)</f>
        <v>146.58709999999999</v>
      </c>
      <c r="E1037" s="14">
        <f>CHOOSE(CONTROL!$C$42, 146.6185, 146.6185) * CHOOSE(CONTROL!$C$21, $C$9, 100%, $E$9)</f>
        <v>146.61850000000001</v>
      </c>
      <c r="F1037" s="14">
        <f>CHOOSE(CONTROL!$C$42, 146.3415, 146.3415)*CHOOSE(CONTROL!$C$21, $C$9, 100%, $E$9)</f>
        <v>146.3415</v>
      </c>
      <c r="G1037" s="14">
        <f>CHOOSE(CONTROL!$C$42, 146.3585, 146.3585)*CHOOSE(CONTROL!$C$21, $C$9, 100%, $E$9)</f>
        <v>146.35849999999999</v>
      </c>
      <c r="H1037" s="14">
        <f>CHOOSE(CONTROL!$C$42, 146.6072, 146.6072) * CHOOSE(CONTROL!$C$21, $C$9, 100%, $E$9)</f>
        <v>146.60720000000001</v>
      </c>
      <c r="I1037" s="14">
        <f>CHOOSE(CONTROL!$C$42, 146.7993, 146.7993)* CHOOSE(CONTROL!$C$21, $C$9, 100%, $E$9)</f>
        <v>146.79929999999999</v>
      </c>
      <c r="J1037" s="14">
        <f>CHOOSE(CONTROL!$C$42, 146.3345, 146.3345)* CHOOSE(CONTROL!$C$21, $C$9, 100%, $E$9)</f>
        <v>146.33449999999999</v>
      </c>
      <c r="K1037" s="52">
        <f>CHOOSE(CONTROL!$C$42, 146.7954, 146.7954) * CHOOSE(CONTROL!$C$21, $C$9, 100%, $E$9)</f>
        <v>146.7954</v>
      </c>
      <c r="L1037" s="14">
        <f>CHOOSE(CONTROL!$C$42, 147.1942, 147.1942) * CHOOSE(CONTROL!$C$21, $C$9, 100%, $E$9)</f>
        <v>147.1942</v>
      </c>
      <c r="M1037" s="14">
        <f>CHOOSE(CONTROL!$C$42, 143.7101, 143.7101) * CHOOSE(CONTROL!$C$21, $C$9, 100%, $E$9)</f>
        <v>143.71010000000001</v>
      </c>
      <c r="N1037" s="14">
        <f>CHOOSE(CONTROL!$C$42, 143.7268, 143.7268) * CHOOSE(CONTROL!$C$21, $C$9, 100%, $E$9)</f>
        <v>143.7268</v>
      </c>
      <c r="O1037" s="14">
        <f>CHOOSE(CONTROL!$C$42, 143.9779, 143.9779) * CHOOSE(CONTROL!$C$21, $C$9, 100%, $E$9)</f>
        <v>143.97790000000001</v>
      </c>
      <c r="P1037" s="14">
        <f>CHOOSE(CONTROL!$C$42, 144.1585, 144.1585) * CHOOSE(CONTROL!$C$21, $C$9, 100%, $E$9)</f>
        <v>144.1585</v>
      </c>
      <c r="Q1037" s="14">
        <f>CHOOSE(CONTROL!$C$42, 144.5726, 144.5726) * CHOOSE(CONTROL!$C$21, $C$9, 100%, $E$9)</f>
        <v>144.57259999999999</v>
      </c>
      <c r="R1037" s="14">
        <f>CHOOSE(CONTROL!$C$42, 145.521, 145.521) * CHOOSE(CONTROL!$C$21, $C$9, 100%, $E$9)</f>
        <v>145.52099999999999</v>
      </c>
      <c r="S1037" s="14">
        <f>CHOOSE(CONTROL!$C$42, 140.5882, 140.5882) * CHOOSE(CONTROL!$C$21, $C$9, 100%, $E$9)</f>
        <v>140.5882</v>
      </c>
      <c r="T10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37" s="56">
        <f>(1000*CHOOSE(CONTROL!$C$42, 695, 695)*CHOOSE(CONTROL!$C$42, 0.5599, 0.5599)*CHOOSE(CONTROL!$C$42, 31, 31))/1000000</f>
        <v>12.063045499999998</v>
      </c>
      <c r="V1037" s="56">
        <f>(1000*CHOOSE(CONTROL!$C$42, 500, 500)*CHOOSE(CONTROL!$C$42, 0.275, 0.275)*CHOOSE(CONTROL!$C$42, 31, 31))/1000000</f>
        <v>4.2625000000000002</v>
      </c>
      <c r="W1037" s="56">
        <f>(1000*CHOOSE(CONTROL!$C$42, 0.1146, 0.1146)*CHOOSE(CONTROL!$C$42, 121.5, 121.5)*CHOOSE(CONTROL!$C$42, 31, 31))/1000000</f>
        <v>0.43164089999999994</v>
      </c>
      <c r="X1037" s="56">
        <f>(31*0.1790888*245000/1000000)+(31*0.2374*100000/1000000)</f>
        <v>2.0961194359999999</v>
      </c>
      <c r="Y1037" s="56"/>
      <c r="Z1037" s="14"/>
      <c r="AA1037" s="55"/>
      <c r="AB1037" s="49">
        <f>(B1037*194.205+C1037*267.466+D1037*133.845+E1037*53.484+F1037*40+G1037*185+H1037*0+I1037*100+J1037*300)/(194.205+267.466+133.845+53.484+0+40+185+100+300)</f>
        <v>146.40957394152278</v>
      </c>
      <c r="AC1037" s="45">
        <f>(M1037*'RAP TEMPLATE-GAS AVAILABILITY'!O1036+N1037*'RAP TEMPLATE-GAS AVAILABILITY'!P1036+O1037*'RAP TEMPLATE-GAS AVAILABILITY'!Q1036+P1037*'RAP TEMPLATE-GAS AVAILABILITY'!R1036)/('RAP TEMPLATE-GAS AVAILABILITY'!O1036+'RAP TEMPLATE-GAS AVAILABILITY'!P1036+'RAP TEMPLATE-GAS AVAILABILITY'!Q1036+'RAP TEMPLATE-GAS AVAILABILITY'!R1036)</f>
        <v>143.89695611510794</v>
      </c>
    </row>
    <row r="1038" spans="1:29" ht="15.75" x14ac:dyDescent="0.25">
      <c r="A1038" s="32">
        <v>72501</v>
      </c>
      <c r="B1038" s="14">
        <f>CHOOSE(CONTROL!$C$42, 150.4702, 150.4702) * CHOOSE(CONTROL!$C$21, $C$9, 100%, $E$9)</f>
        <v>150.47020000000001</v>
      </c>
      <c r="C1038" s="14">
        <f>CHOOSE(CONTROL!$C$42, 150.4782, 150.4782) * CHOOSE(CONTROL!$C$21, $C$9, 100%, $E$9)</f>
        <v>150.47819999999999</v>
      </c>
      <c r="D1038" s="14">
        <f>CHOOSE(CONTROL!$C$42, 150.7373, 150.7373) * CHOOSE(CONTROL!$C$21, $C$9, 100%, $E$9)</f>
        <v>150.7373</v>
      </c>
      <c r="E1038" s="14">
        <f>CHOOSE(CONTROL!$C$42, 150.7688, 150.7688) * CHOOSE(CONTROL!$C$21, $C$9, 100%, $E$9)</f>
        <v>150.7688</v>
      </c>
      <c r="F1038" s="14">
        <f>CHOOSE(CONTROL!$C$42, 150.492, 150.492)*CHOOSE(CONTROL!$C$21, $C$9, 100%, $E$9)</f>
        <v>150.49199999999999</v>
      </c>
      <c r="G1038" s="14">
        <f>CHOOSE(CONTROL!$C$42, 150.509, 150.509)*CHOOSE(CONTROL!$C$21, $C$9, 100%, $E$9)</f>
        <v>150.50899999999999</v>
      </c>
      <c r="H1038" s="14">
        <f>CHOOSE(CONTROL!$C$42, 150.7574, 150.7574) * CHOOSE(CONTROL!$C$21, $C$9, 100%, $E$9)</f>
        <v>150.75739999999999</v>
      </c>
      <c r="I1038" s="14">
        <f>CHOOSE(CONTROL!$C$42, 150.9625, 150.9625)* CHOOSE(CONTROL!$C$21, $C$9, 100%, $E$9)</f>
        <v>150.96250000000001</v>
      </c>
      <c r="J1038" s="14">
        <f>CHOOSE(CONTROL!$C$42, 150.485, 150.485)* CHOOSE(CONTROL!$C$21, $C$9, 100%, $E$9)</f>
        <v>150.48500000000001</v>
      </c>
      <c r="K1038" s="52">
        <f>CHOOSE(CONTROL!$C$42, 150.9587, 150.9587) * CHOOSE(CONTROL!$C$21, $C$9, 100%, $E$9)</f>
        <v>150.95869999999999</v>
      </c>
      <c r="L1038" s="14">
        <f>CHOOSE(CONTROL!$C$42, 151.3444, 151.3444) * CHOOSE(CONTROL!$C$21, $C$9, 100%, $E$9)</f>
        <v>151.34440000000001</v>
      </c>
      <c r="M1038" s="14">
        <f>CHOOSE(CONTROL!$C$42, 147.7859, 147.7859) * CHOOSE(CONTROL!$C$21, $C$9, 100%, $E$9)</f>
        <v>147.7859</v>
      </c>
      <c r="N1038" s="14">
        <f>CHOOSE(CONTROL!$C$42, 147.8027, 147.8027) * CHOOSE(CONTROL!$C$21, $C$9, 100%, $E$9)</f>
        <v>147.80269999999999</v>
      </c>
      <c r="O1038" s="14">
        <f>CHOOSE(CONTROL!$C$42, 148.0535, 148.0535) * CHOOSE(CONTROL!$C$21, $C$9, 100%, $E$9)</f>
        <v>148.05350000000001</v>
      </c>
      <c r="P1038" s="14">
        <f>CHOOSE(CONTROL!$C$42, 148.2466, 148.2466) * CHOOSE(CONTROL!$C$21, $C$9, 100%, $E$9)</f>
        <v>148.2466</v>
      </c>
      <c r="Q1038" s="14">
        <f>CHOOSE(CONTROL!$C$42, 148.6482, 148.6482) * CHOOSE(CONTROL!$C$21, $C$9, 100%, $E$9)</f>
        <v>148.6482</v>
      </c>
      <c r="R1038" s="14">
        <f>CHOOSE(CONTROL!$C$42, 149.6068, 149.6068) * CHOOSE(CONTROL!$C$21, $C$9, 100%, $E$9)</f>
        <v>149.60679999999999</v>
      </c>
      <c r="S1038" s="14">
        <f>CHOOSE(CONTROL!$C$42, 144.5762, 144.5762) * CHOOSE(CONTROL!$C$21, $C$9, 100%, $E$9)</f>
        <v>144.5762</v>
      </c>
      <c r="T10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38" s="56">
        <f>(1000*CHOOSE(CONTROL!$C$42, 695, 695)*CHOOSE(CONTROL!$C$42, 0.5599, 0.5599)*CHOOSE(CONTROL!$C$42, 30, 30))/1000000</f>
        <v>11.673914999999997</v>
      </c>
      <c r="V1038" s="56">
        <f>(1000*CHOOSE(CONTROL!$C$42, 500, 500)*CHOOSE(CONTROL!$C$42, 0.275, 0.275)*CHOOSE(CONTROL!$C$42, 30, 30))/1000000</f>
        <v>4.125</v>
      </c>
      <c r="W1038" s="56">
        <f>(1000*CHOOSE(CONTROL!$C$42, 0.1146, 0.1146)*CHOOSE(CONTROL!$C$42, 121.5, 121.5)*CHOOSE(CONTROL!$C$42, 30, 30))/1000000</f>
        <v>0.417717</v>
      </c>
      <c r="X1038" s="56">
        <f>(30*0.1790888*245000/1000000)+(30*0.2374*100000/1000000)</f>
        <v>2.0285026799999999</v>
      </c>
      <c r="Y1038" s="56"/>
      <c r="Z1038" s="14"/>
      <c r="AA1038" s="55"/>
      <c r="AB1038" s="49">
        <f>(B1038*194.205+C1038*267.466+D1038*133.845+E1038*53.484+F1038*40+G1038*185+H1038*0+I1038*100+J1038*300)/(194.205+267.466+133.845+53.484+0+40+185+100+300)</f>
        <v>150.5609221741758</v>
      </c>
      <c r="AC1038" s="45">
        <f>(M1038*'RAP TEMPLATE-GAS AVAILABILITY'!O1037+N1038*'RAP TEMPLATE-GAS AVAILABILITY'!P1037+O1038*'RAP TEMPLATE-GAS AVAILABILITY'!Q1037+P1038*'RAP TEMPLATE-GAS AVAILABILITY'!R1037)/('RAP TEMPLATE-GAS AVAILABILITY'!O1037+'RAP TEMPLATE-GAS AVAILABILITY'!P1037+'RAP TEMPLATE-GAS AVAILABILITY'!Q1037+'RAP TEMPLATE-GAS AVAILABILITY'!R1037)</f>
        <v>147.97444100719423</v>
      </c>
    </row>
    <row r="1039" spans="1:29" ht="15.75" x14ac:dyDescent="0.25">
      <c r="A1039" s="32">
        <v>72532</v>
      </c>
      <c r="B1039" s="14">
        <f>CHOOSE(CONTROL!$C$42, 147.5837, 147.5837) * CHOOSE(CONTROL!$C$21, $C$9, 100%, $E$9)</f>
        <v>147.58369999999999</v>
      </c>
      <c r="C1039" s="14">
        <f>CHOOSE(CONTROL!$C$42, 147.5917, 147.5917) * CHOOSE(CONTROL!$C$21, $C$9, 100%, $E$9)</f>
        <v>147.5917</v>
      </c>
      <c r="D1039" s="14">
        <f>CHOOSE(CONTROL!$C$42, 147.8508, 147.8508) * CHOOSE(CONTROL!$C$21, $C$9, 100%, $E$9)</f>
        <v>147.85079999999999</v>
      </c>
      <c r="E1039" s="14">
        <f>CHOOSE(CONTROL!$C$42, 147.8823, 147.8823) * CHOOSE(CONTROL!$C$21, $C$9, 100%, $E$9)</f>
        <v>147.88229999999999</v>
      </c>
      <c r="F1039" s="14">
        <f>CHOOSE(CONTROL!$C$42, 147.6059, 147.6059)*CHOOSE(CONTROL!$C$21, $C$9, 100%, $E$9)</f>
        <v>147.60589999999999</v>
      </c>
      <c r="G1039" s="14">
        <f>CHOOSE(CONTROL!$C$42, 147.623, 147.623)*CHOOSE(CONTROL!$C$21, $C$9, 100%, $E$9)</f>
        <v>147.62299999999999</v>
      </c>
      <c r="H1039" s="14">
        <f>CHOOSE(CONTROL!$C$42, 147.8709, 147.8709) * CHOOSE(CONTROL!$C$21, $C$9, 100%, $E$9)</f>
        <v>147.87090000000001</v>
      </c>
      <c r="I1039" s="14">
        <f>CHOOSE(CONTROL!$C$42, 148.067, 148.067)* CHOOSE(CONTROL!$C$21, $C$9, 100%, $E$9)</f>
        <v>148.06700000000001</v>
      </c>
      <c r="J1039" s="14">
        <f>CHOOSE(CONTROL!$C$42, 147.5989, 147.5989)* CHOOSE(CONTROL!$C$21, $C$9, 100%, $E$9)</f>
        <v>147.59889999999999</v>
      </c>
      <c r="K1039" s="52">
        <f>CHOOSE(CONTROL!$C$42, 148.0631, 148.0631) * CHOOSE(CONTROL!$C$21, $C$9, 100%, $E$9)</f>
        <v>148.06309999999999</v>
      </c>
      <c r="L1039" s="14">
        <f>CHOOSE(CONTROL!$C$42, 148.4579, 148.4579) * CHOOSE(CONTROL!$C$21, $C$9, 100%, $E$9)</f>
        <v>148.4579</v>
      </c>
      <c r="M1039" s="14">
        <f>CHOOSE(CONTROL!$C$42, 144.9518, 144.9518) * CHOOSE(CONTROL!$C$21, $C$9, 100%, $E$9)</f>
        <v>144.95179999999999</v>
      </c>
      <c r="N1039" s="14">
        <f>CHOOSE(CONTROL!$C$42, 144.9686, 144.9686) * CHOOSE(CONTROL!$C$21, $C$9, 100%, $E$9)</f>
        <v>144.96860000000001</v>
      </c>
      <c r="O1039" s="14">
        <f>CHOOSE(CONTROL!$C$42, 145.2189, 145.2189) * CHOOSE(CONTROL!$C$21, $C$9, 100%, $E$9)</f>
        <v>145.21889999999999</v>
      </c>
      <c r="P1039" s="14">
        <f>CHOOSE(CONTROL!$C$42, 145.4033, 145.4033) * CHOOSE(CONTROL!$C$21, $C$9, 100%, $E$9)</f>
        <v>145.4033</v>
      </c>
      <c r="Q1039" s="14">
        <f>CHOOSE(CONTROL!$C$42, 145.8136, 145.8136) * CHOOSE(CONTROL!$C$21, $C$9, 100%, $E$9)</f>
        <v>145.81360000000001</v>
      </c>
      <c r="R1039" s="14">
        <f>CHOOSE(CONTROL!$C$42, 146.7651, 146.7651) * CHOOSE(CONTROL!$C$21, $C$9, 100%, $E$9)</f>
        <v>146.76509999999999</v>
      </c>
      <c r="S1039" s="14">
        <f>CHOOSE(CONTROL!$C$42, 141.8025, 141.8025) * CHOOSE(CONTROL!$C$21, $C$9, 100%, $E$9)</f>
        <v>141.80250000000001</v>
      </c>
      <c r="T10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39" s="56">
        <f>(1000*CHOOSE(CONTROL!$C$42, 695, 695)*CHOOSE(CONTROL!$C$42, 0.5599, 0.5599)*CHOOSE(CONTROL!$C$42, 31, 31))/1000000</f>
        <v>12.063045499999998</v>
      </c>
      <c r="V1039" s="56">
        <f>(1000*CHOOSE(CONTROL!$C$42, 500, 500)*CHOOSE(CONTROL!$C$42, 0.275, 0.275)*CHOOSE(CONTROL!$C$42, 31, 31))/1000000</f>
        <v>4.2625000000000002</v>
      </c>
      <c r="W1039" s="56">
        <f>(1000*CHOOSE(CONTROL!$C$42, 0.1146, 0.1146)*CHOOSE(CONTROL!$C$42, 121.5, 121.5)*CHOOSE(CONTROL!$C$42, 31, 31))/1000000</f>
        <v>0.43164089999999994</v>
      </c>
      <c r="X1039" s="56">
        <f>(31*0.1790888*245000/1000000)+(31*0.2374*100000/1000000)</f>
        <v>2.0961194359999999</v>
      </c>
      <c r="Y1039" s="56"/>
      <c r="Z1039" s="14"/>
      <c r="AA1039" s="55"/>
      <c r="AB1039" s="49">
        <f>(B1039*194.205+C1039*267.466+D1039*133.845+E1039*53.484+F1039*40+G1039*185+H1039*0+I1039*100+J1039*300)/(194.205+267.466+133.845+53.484+0+40+185+100+300)</f>
        <v>147.67389509411302</v>
      </c>
      <c r="AC1039" s="45">
        <f>(M1039*'RAP TEMPLATE-GAS AVAILABILITY'!O1038+N1039*'RAP TEMPLATE-GAS AVAILABILITY'!P1038+O1039*'RAP TEMPLATE-GAS AVAILABILITY'!Q1038+P1039*'RAP TEMPLATE-GAS AVAILABILITY'!R1038)/('RAP TEMPLATE-GAS AVAILABILITY'!O1038+'RAP TEMPLATE-GAS AVAILABILITY'!P1038+'RAP TEMPLATE-GAS AVAILABILITY'!Q1038+'RAP TEMPLATE-GAS AVAILABILITY'!R1038)</f>
        <v>145.13879064748201</v>
      </c>
    </row>
    <row r="1040" spans="1:29" ht="15.75" x14ac:dyDescent="0.25">
      <c r="A1040" s="32">
        <v>72563</v>
      </c>
      <c r="B1040" s="14">
        <f>CHOOSE(CONTROL!$C$42, 140.2943, 140.2943) * CHOOSE(CONTROL!$C$21, $C$9, 100%, $E$9)</f>
        <v>140.29429999999999</v>
      </c>
      <c r="C1040" s="14">
        <f>CHOOSE(CONTROL!$C$42, 140.3023, 140.3023) * CHOOSE(CONTROL!$C$21, $C$9, 100%, $E$9)</f>
        <v>140.3023</v>
      </c>
      <c r="D1040" s="14">
        <f>CHOOSE(CONTROL!$C$42, 140.5614, 140.5614) * CHOOSE(CONTROL!$C$21, $C$9, 100%, $E$9)</f>
        <v>140.56139999999999</v>
      </c>
      <c r="E1040" s="14">
        <f>CHOOSE(CONTROL!$C$42, 140.5929, 140.5929) * CHOOSE(CONTROL!$C$21, $C$9, 100%, $E$9)</f>
        <v>140.59289999999999</v>
      </c>
      <c r="F1040" s="14">
        <f>CHOOSE(CONTROL!$C$42, 140.3167, 140.3167)*CHOOSE(CONTROL!$C$21, $C$9, 100%, $E$9)</f>
        <v>140.3167</v>
      </c>
      <c r="G1040" s="14">
        <f>CHOOSE(CONTROL!$C$42, 140.3339, 140.3339)*CHOOSE(CONTROL!$C$21, $C$9, 100%, $E$9)</f>
        <v>140.3339</v>
      </c>
      <c r="H1040" s="14">
        <f>CHOOSE(CONTROL!$C$42, 140.5815, 140.5815) * CHOOSE(CONTROL!$C$21, $C$9, 100%, $E$9)</f>
        <v>140.58150000000001</v>
      </c>
      <c r="I1040" s="14">
        <f>CHOOSE(CONTROL!$C$42, 140.7548, 140.7548)* CHOOSE(CONTROL!$C$21, $C$9, 100%, $E$9)</f>
        <v>140.75479999999999</v>
      </c>
      <c r="J1040" s="14">
        <f>CHOOSE(CONTROL!$C$42, 140.3097, 140.3097)* CHOOSE(CONTROL!$C$21, $C$9, 100%, $E$9)</f>
        <v>140.30969999999999</v>
      </c>
      <c r="K1040" s="52">
        <f>CHOOSE(CONTROL!$C$42, 140.7509, 140.7509) * CHOOSE(CONTROL!$C$21, $C$9, 100%, $E$9)</f>
        <v>140.7509</v>
      </c>
      <c r="L1040" s="14">
        <f>CHOOSE(CONTROL!$C$42, 141.1685, 141.1685) * CHOOSE(CONTROL!$C$21, $C$9, 100%, $E$9)</f>
        <v>141.16849999999999</v>
      </c>
      <c r="M1040" s="14">
        <f>CHOOSE(CONTROL!$C$42, 137.7937, 137.7937) * CHOOSE(CONTROL!$C$21, $C$9, 100%, $E$9)</f>
        <v>137.7937</v>
      </c>
      <c r="N1040" s="14">
        <f>CHOOSE(CONTROL!$C$42, 137.8106, 137.8106) * CHOOSE(CONTROL!$C$21, $C$9, 100%, $E$9)</f>
        <v>137.81059999999999</v>
      </c>
      <c r="O1040" s="14">
        <f>CHOOSE(CONTROL!$C$42, 138.0606, 138.0606) * CHOOSE(CONTROL!$C$21, $C$9, 100%, $E$9)</f>
        <v>138.06059999999999</v>
      </c>
      <c r="P1040" s="14">
        <f>CHOOSE(CONTROL!$C$42, 138.2231, 138.2231) * CHOOSE(CONTROL!$C$21, $C$9, 100%, $E$9)</f>
        <v>138.22309999999999</v>
      </c>
      <c r="Q1040" s="14">
        <f>CHOOSE(CONTROL!$C$42, 138.6553, 138.6553) * CHOOSE(CONTROL!$C$21, $C$9, 100%, $E$9)</f>
        <v>138.65530000000001</v>
      </c>
      <c r="R1040" s="14">
        <f>CHOOSE(CONTROL!$C$42, 139.589, 139.589) * CHOOSE(CONTROL!$C$21, $C$9, 100%, $E$9)</f>
        <v>139.589</v>
      </c>
      <c r="S1040" s="14">
        <f>CHOOSE(CONTROL!$C$42, 134.7982, 134.7982) * CHOOSE(CONTROL!$C$21, $C$9, 100%, $E$9)</f>
        <v>134.79820000000001</v>
      </c>
      <c r="T10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40" s="56">
        <f>(1000*CHOOSE(CONTROL!$C$42, 695, 695)*CHOOSE(CONTROL!$C$42, 0.5599, 0.5599)*CHOOSE(CONTROL!$C$42, 31, 31))/1000000</f>
        <v>12.063045499999998</v>
      </c>
      <c r="V1040" s="56">
        <f>(1000*CHOOSE(CONTROL!$C$42, 500, 500)*CHOOSE(CONTROL!$C$42, 0.275, 0.275)*CHOOSE(CONTROL!$C$42, 31, 31))/1000000</f>
        <v>4.2625000000000002</v>
      </c>
      <c r="W1040" s="56">
        <f>(1000*CHOOSE(CONTROL!$C$42, 0.1146, 0.1146)*CHOOSE(CONTROL!$C$42, 121.5, 121.5)*CHOOSE(CONTROL!$C$42, 31, 31))/1000000</f>
        <v>0.43164089999999994</v>
      </c>
      <c r="X1040" s="56">
        <f>(31*0.1790888*245000/1000000)+(31*0.2374*100000/1000000)</f>
        <v>2.0961194359999999</v>
      </c>
      <c r="Y1040" s="56"/>
      <c r="Z1040" s="14"/>
      <c r="AA1040" s="55"/>
      <c r="AB1040" s="49">
        <f>(B1040*194.205+C1040*267.466+D1040*133.845+E1040*53.484+F1040*40+G1040*185+H1040*0+I1040*100+J1040*300)/(194.205+267.466+133.845+53.484+0+40+185+100+300)</f>
        <v>140.38280239395604</v>
      </c>
      <c r="AC1040" s="45">
        <f>(M1040*'RAP TEMPLATE-GAS AVAILABILITY'!O1039+N1040*'RAP TEMPLATE-GAS AVAILABILITY'!P1039+O1040*'RAP TEMPLATE-GAS AVAILABILITY'!Q1039+P1040*'RAP TEMPLATE-GAS AVAILABILITY'!R1039)/('RAP TEMPLATE-GAS AVAILABILITY'!O1039+'RAP TEMPLATE-GAS AVAILABILITY'!P1039+'RAP TEMPLATE-GAS AVAILABILITY'!Q1039+'RAP TEMPLATE-GAS AVAILABILITY'!R1039)</f>
        <v>137.97742589928055</v>
      </c>
    </row>
    <row r="1041" spans="1:29" ht="15.75" x14ac:dyDescent="0.25">
      <c r="A1041" s="32">
        <v>72593</v>
      </c>
      <c r="B1041" s="14">
        <f>CHOOSE(CONTROL!$C$42, 131.3879, 131.3879) * CHOOSE(CONTROL!$C$21, $C$9, 100%, $E$9)</f>
        <v>131.3879</v>
      </c>
      <c r="C1041" s="14">
        <f>CHOOSE(CONTROL!$C$42, 131.3959, 131.3959) * CHOOSE(CONTROL!$C$21, $C$9, 100%, $E$9)</f>
        <v>131.39590000000001</v>
      </c>
      <c r="D1041" s="14">
        <f>CHOOSE(CONTROL!$C$42, 131.655, 131.655) * CHOOSE(CONTROL!$C$21, $C$9, 100%, $E$9)</f>
        <v>131.655</v>
      </c>
      <c r="E1041" s="14">
        <f>CHOOSE(CONTROL!$C$42, 131.6864, 131.6864) * CHOOSE(CONTROL!$C$21, $C$9, 100%, $E$9)</f>
        <v>131.68639999999999</v>
      </c>
      <c r="F1041" s="14">
        <f>CHOOSE(CONTROL!$C$42, 131.4103, 131.4103)*CHOOSE(CONTROL!$C$21, $C$9, 100%, $E$9)</f>
        <v>131.41030000000001</v>
      </c>
      <c r="G1041" s="14">
        <f>CHOOSE(CONTROL!$C$42, 131.4275, 131.4275)*CHOOSE(CONTROL!$C$21, $C$9, 100%, $E$9)</f>
        <v>131.42750000000001</v>
      </c>
      <c r="H1041" s="14">
        <f>CHOOSE(CONTROL!$C$42, 131.6751, 131.6751) * CHOOSE(CONTROL!$C$21, $C$9, 100%, $E$9)</f>
        <v>131.67509999999999</v>
      </c>
      <c r="I1041" s="14">
        <f>CHOOSE(CONTROL!$C$42, 131.8204, 131.8204)* CHOOSE(CONTROL!$C$21, $C$9, 100%, $E$9)</f>
        <v>131.82040000000001</v>
      </c>
      <c r="J1041" s="14">
        <f>CHOOSE(CONTROL!$C$42, 131.4033, 131.4033)* CHOOSE(CONTROL!$C$21, $C$9, 100%, $E$9)</f>
        <v>131.4033</v>
      </c>
      <c r="K1041" s="52">
        <f>CHOOSE(CONTROL!$C$42, 131.8165, 131.8165) * CHOOSE(CONTROL!$C$21, $C$9, 100%, $E$9)</f>
        <v>131.81649999999999</v>
      </c>
      <c r="L1041" s="14">
        <f>CHOOSE(CONTROL!$C$42, 132.2621, 132.2621) * CHOOSE(CONTROL!$C$21, $C$9, 100%, $E$9)</f>
        <v>132.2621</v>
      </c>
      <c r="M1041" s="14">
        <f>CHOOSE(CONTROL!$C$42, 129.0475, 129.0475) * CHOOSE(CONTROL!$C$21, $C$9, 100%, $E$9)</f>
        <v>129.04750000000001</v>
      </c>
      <c r="N1041" s="14">
        <f>CHOOSE(CONTROL!$C$42, 129.0644, 129.0644) * CHOOSE(CONTROL!$C$21, $C$9, 100%, $E$9)</f>
        <v>129.06440000000001</v>
      </c>
      <c r="O1041" s="14">
        <f>CHOOSE(CONTROL!$C$42, 129.3144, 129.3144) * CHOOSE(CONTROL!$C$21, $C$9, 100%, $E$9)</f>
        <v>129.31440000000001</v>
      </c>
      <c r="P1041" s="14">
        <f>CHOOSE(CONTROL!$C$42, 129.4499, 129.4499) * CHOOSE(CONTROL!$C$21, $C$9, 100%, $E$9)</f>
        <v>129.44990000000001</v>
      </c>
      <c r="Q1041" s="14">
        <f>CHOOSE(CONTROL!$C$42, 129.9091, 129.9091) * CHOOSE(CONTROL!$C$21, $C$9, 100%, $E$9)</f>
        <v>129.9091</v>
      </c>
      <c r="R1041" s="14">
        <f>CHOOSE(CONTROL!$C$42, 130.8208, 130.8208) * CHOOSE(CONTROL!$C$21, $C$9, 100%, $E$9)</f>
        <v>130.82079999999999</v>
      </c>
      <c r="S1041" s="14">
        <f>CHOOSE(CONTROL!$C$42, 126.24, 126.24) * CHOOSE(CONTROL!$C$21, $C$9, 100%, $E$9)</f>
        <v>126.24</v>
      </c>
      <c r="T10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41" s="56">
        <f>(1000*CHOOSE(CONTROL!$C$42, 695, 695)*CHOOSE(CONTROL!$C$42, 0.5599, 0.5599)*CHOOSE(CONTROL!$C$42, 30, 30))/1000000</f>
        <v>11.673914999999997</v>
      </c>
      <c r="V1041" s="56">
        <f>(1000*CHOOSE(CONTROL!$C$42, 500, 500)*CHOOSE(CONTROL!$C$42, 0.275, 0.275)*CHOOSE(CONTROL!$C$42, 30, 30))/1000000</f>
        <v>4.125</v>
      </c>
      <c r="W1041" s="56">
        <f>(1000*CHOOSE(CONTROL!$C$42, 0.1146, 0.1146)*CHOOSE(CONTROL!$C$42, 121.5, 121.5)*CHOOSE(CONTROL!$C$42, 30, 30))/1000000</f>
        <v>0.417717</v>
      </c>
      <c r="X1041" s="56">
        <f>(30*0.1790888*245000/1000000)+(30*0.2374*100000/1000000)</f>
        <v>2.0285026799999999</v>
      </c>
      <c r="Y1041" s="56"/>
      <c r="Z1041" s="14"/>
      <c r="AA1041" s="55"/>
      <c r="AB1041" s="49">
        <f>(B1041*194.205+C1041*267.466+D1041*133.845+E1041*53.484+F1041*40+G1041*185+H1041*0+I1041*100+J1041*300)/(194.205+267.466+133.845+53.484+0+40+185+100+300)</f>
        <v>131.47420039364209</v>
      </c>
      <c r="AC1041" s="45">
        <f>(M1041*'RAP TEMPLATE-GAS AVAILABILITY'!O1040+N1041*'RAP TEMPLATE-GAS AVAILABILITY'!P1040+O1041*'RAP TEMPLATE-GAS AVAILABILITY'!Q1040+P1041*'RAP TEMPLATE-GAS AVAILABILITY'!R1040)/('RAP TEMPLATE-GAS AVAILABILITY'!O1040+'RAP TEMPLATE-GAS AVAILABILITY'!P1040+'RAP TEMPLATE-GAS AVAILABILITY'!Q1040+'RAP TEMPLATE-GAS AVAILABILITY'!R1040)</f>
        <v>129.22734100719427</v>
      </c>
    </row>
    <row r="1042" spans="1:29" ht="15.75" x14ac:dyDescent="0.25">
      <c r="A1042" s="32">
        <v>72624</v>
      </c>
      <c r="B1042" s="14">
        <f>CHOOSE(CONTROL!$C$42, 128.7186, 128.7186) * CHOOSE(CONTROL!$C$21, $C$9, 100%, $E$9)</f>
        <v>128.71860000000001</v>
      </c>
      <c r="C1042" s="14">
        <f>CHOOSE(CONTROL!$C$42, 128.7239, 128.7239) * CHOOSE(CONTROL!$C$21, $C$9, 100%, $E$9)</f>
        <v>128.72389999999999</v>
      </c>
      <c r="D1042" s="14">
        <f>CHOOSE(CONTROL!$C$42, 128.988, 128.988) * CHOOSE(CONTROL!$C$21, $C$9, 100%, $E$9)</f>
        <v>128.988</v>
      </c>
      <c r="E1042" s="14">
        <f>CHOOSE(CONTROL!$C$42, 129.0171, 129.0171) * CHOOSE(CONTROL!$C$21, $C$9, 100%, $E$9)</f>
        <v>129.0171</v>
      </c>
      <c r="F1042" s="14">
        <f>CHOOSE(CONTROL!$C$42, 128.7433, 128.7433)*CHOOSE(CONTROL!$C$21, $C$9, 100%, $E$9)</f>
        <v>128.7433</v>
      </c>
      <c r="G1042" s="14">
        <f>CHOOSE(CONTROL!$C$42, 128.7604, 128.7604)*CHOOSE(CONTROL!$C$21, $C$9, 100%, $E$9)</f>
        <v>128.7604</v>
      </c>
      <c r="H1042" s="14">
        <f>CHOOSE(CONTROL!$C$42, 129.0076, 129.0076) * CHOOSE(CONTROL!$C$21, $C$9, 100%, $E$9)</f>
        <v>129.0076</v>
      </c>
      <c r="I1042" s="14">
        <f>CHOOSE(CONTROL!$C$42, 129.1446, 129.1446)* CHOOSE(CONTROL!$C$21, $C$9, 100%, $E$9)</f>
        <v>129.1446</v>
      </c>
      <c r="J1042" s="14">
        <f>CHOOSE(CONTROL!$C$42, 128.7363, 128.7363)* CHOOSE(CONTROL!$C$21, $C$9, 100%, $E$9)</f>
        <v>128.7363</v>
      </c>
      <c r="K1042" s="52">
        <f>CHOOSE(CONTROL!$C$42, 129.1407, 129.1407) * CHOOSE(CONTROL!$C$21, $C$9, 100%, $E$9)</f>
        <v>129.14070000000001</v>
      </c>
      <c r="L1042" s="14">
        <f>CHOOSE(CONTROL!$C$42, 129.5946, 129.5946) * CHOOSE(CONTROL!$C$21, $C$9, 100%, $E$9)</f>
        <v>129.59460000000001</v>
      </c>
      <c r="M1042" s="14">
        <f>CHOOSE(CONTROL!$C$42, 126.4284, 126.4284) * CHOOSE(CONTROL!$C$21, $C$9, 100%, $E$9)</f>
        <v>126.4284</v>
      </c>
      <c r="N1042" s="14">
        <f>CHOOSE(CONTROL!$C$42, 126.4452, 126.4452) * CHOOSE(CONTROL!$C$21, $C$9, 100%, $E$9)</f>
        <v>126.4452</v>
      </c>
      <c r="O1042" s="14">
        <f>CHOOSE(CONTROL!$C$42, 126.6949, 126.6949) * CHOOSE(CONTROL!$C$21, $C$9, 100%, $E$9)</f>
        <v>126.6949</v>
      </c>
      <c r="P1042" s="14">
        <f>CHOOSE(CONTROL!$C$42, 126.8223, 126.8223) * CHOOSE(CONTROL!$C$21, $C$9, 100%, $E$9)</f>
        <v>126.8223</v>
      </c>
      <c r="Q1042" s="14">
        <f>CHOOSE(CONTROL!$C$42, 127.2896, 127.2896) * CHOOSE(CONTROL!$C$21, $C$9, 100%, $E$9)</f>
        <v>127.28959999999999</v>
      </c>
      <c r="R1042" s="14">
        <f>CHOOSE(CONTROL!$C$42, 128.1948, 128.1948) * CHOOSE(CONTROL!$C$21, $C$9, 100%, $E$9)</f>
        <v>128.19479999999999</v>
      </c>
      <c r="S1042" s="14">
        <f>CHOOSE(CONTROL!$C$42, 123.6768, 123.6768) * CHOOSE(CONTROL!$C$21, $C$9, 100%, $E$9)</f>
        <v>123.6768</v>
      </c>
      <c r="T10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42" s="56">
        <f>(1000*CHOOSE(CONTROL!$C$42, 695, 695)*CHOOSE(CONTROL!$C$42, 0.5599, 0.5599)*CHOOSE(CONTROL!$C$42, 31, 31))/1000000</f>
        <v>12.063045499999998</v>
      </c>
      <c r="V1042" s="56">
        <f>(1000*CHOOSE(CONTROL!$C$42, 500, 500)*CHOOSE(CONTROL!$C$42, 0.275, 0.275)*CHOOSE(CONTROL!$C$42, 31, 31))/1000000</f>
        <v>4.2625000000000002</v>
      </c>
      <c r="W1042" s="56">
        <f>(1000*CHOOSE(CONTROL!$C$42, 0.1146, 0.1146)*CHOOSE(CONTROL!$C$42, 121.5, 121.5)*CHOOSE(CONTROL!$C$42, 31, 31))/1000000</f>
        <v>0.43164089999999994</v>
      </c>
      <c r="X1042" s="56">
        <f>(31*0.1790888*245000/1000000)+(31*0.2374*100000/1000000)</f>
        <v>2.0961194359999999</v>
      </c>
      <c r="Y1042" s="56"/>
      <c r="Z1042" s="14"/>
      <c r="AA1042" s="55"/>
      <c r="AB1042" s="49">
        <f>(B1042*131.881+C1042*277.167+D1042*79.08+E1042*125.872+F1042*40+G1042*185+H1042*0+I1042*100+J1042*300)/(131.881+277.167+79.08+125.872+0+40+185+100+300)</f>
        <v>128.81301237215496</v>
      </c>
      <c r="AC1042" s="45">
        <f>(M1042*'RAP TEMPLATE-GAS AVAILABILITY'!O1041+N1042*'RAP TEMPLATE-GAS AVAILABILITY'!P1041+O1042*'RAP TEMPLATE-GAS AVAILABILITY'!Q1041+P1042*'RAP TEMPLATE-GAS AVAILABILITY'!R1041)/('RAP TEMPLATE-GAS AVAILABILITY'!O1041+'RAP TEMPLATE-GAS AVAILABILITY'!P1041+'RAP TEMPLATE-GAS AVAILABILITY'!Q1041+'RAP TEMPLATE-GAS AVAILABILITY'!R1041)</f>
        <v>126.60683093525178</v>
      </c>
    </row>
    <row r="1043" spans="1:29" ht="15.75" x14ac:dyDescent="0.25">
      <c r="A1043" s="32">
        <v>72654</v>
      </c>
      <c r="B1043" s="14">
        <f>CHOOSE(CONTROL!$C$42, 132.109, 132.109) * CHOOSE(CONTROL!$C$21, $C$9, 100%, $E$9)</f>
        <v>132.10900000000001</v>
      </c>
      <c r="C1043" s="14">
        <f>CHOOSE(CONTROL!$C$42, 132.1141, 132.1141) * CHOOSE(CONTROL!$C$21, $C$9, 100%, $E$9)</f>
        <v>132.11410000000001</v>
      </c>
      <c r="D1043" s="14">
        <f>CHOOSE(CONTROL!$C$42, 132.1971, 132.1971) * CHOOSE(CONTROL!$C$21, $C$9, 100%, $E$9)</f>
        <v>132.19710000000001</v>
      </c>
      <c r="E1043" s="14">
        <f>CHOOSE(CONTROL!$C$42, 132.2312, 132.2312) * CHOOSE(CONTROL!$C$21, $C$9, 100%, $E$9)</f>
        <v>132.2312</v>
      </c>
      <c r="F1043" s="14">
        <f>CHOOSE(CONTROL!$C$42, 132.1366, 132.1366)*CHOOSE(CONTROL!$C$21, $C$9, 100%, $E$9)</f>
        <v>132.13659999999999</v>
      </c>
      <c r="G1043" s="14">
        <f>CHOOSE(CONTROL!$C$42, 132.154, 132.154)*CHOOSE(CONTROL!$C$21, $C$9, 100%, $E$9)</f>
        <v>132.154</v>
      </c>
      <c r="H1043" s="14">
        <f>CHOOSE(CONTROL!$C$42, 132.2204, 132.2204) * CHOOSE(CONTROL!$C$21, $C$9, 100%, $E$9)</f>
        <v>132.22040000000001</v>
      </c>
      <c r="I1043" s="14">
        <f>CHOOSE(CONTROL!$C$42, 132.5424, 132.5424)* CHOOSE(CONTROL!$C$21, $C$9, 100%, $E$9)</f>
        <v>132.54239999999999</v>
      </c>
      <c r="J1043" s="14">
        <f>CHOOSE(CONTROL!$C$42, 132.1296, 132.1296)* CHOOSE(CONTROL!$C$21, $C$9, 100%, $E$9)</f>
        <v>132.12960000000001</v>
      </c>
      <c r="K1043" s="52">
        <f>CHOOSE(CONTROL!$C$42, 132.5385, 132.5385) * CHOOSE(CONTROL!$C$21, $C$9, 100%, $E$9)</f>
        <v>132.5385</v>
      </c>
      <c r="L1043" s="14">
        <f>CHOOSE(CONTROL!$C$42, 132.8074, 132.8074) * CHOOSE(CONTROL!$C$21, $C$9, 100%, $E$9)</f>
        <v>132.8074</v>
      </c>
      <c r="M1043" s="14">
        <f>CHOOSE(CONTROL!$C$42, 129.7608, 129.7608) * CHOOSE(CONTROL!$C$21, $C$9, 100%, $E$9)</f>
        <v>129.76079999999999</v>
      </c>
      <c r="N1043" s="14">
        <f>CHOOSE(CONTROL!$C$42, 129.7778, 129.7778) * CHOOSE(CONTROL!$C$21, $C$9, 100%, $E$9)</f>
        <v>129.77780000000001</v>
      </c>
      <c r="O1043" s="14">
        <f>CHOOSE(CONTROL!$C$42, 129.8499, 129.8499) * CHOOSE(CONTROL!$C$21, $C$9, 100%, $E$9)</f>
        <v>129.84989999999999</v>
      </c>
      <c r="P1043" s="14">
        <f>CHOOSE(CONTROL!$C$42, 130.1588, 130.1588) * CHOOSE(CONTROL!$C$21, $C$9, 100%, $E$9)</f>
        <v>130.15880000000001</v>
      </c>
      <c r="Q1043" s="14">
        <f>CHOOSE(CONTROL!$C$42, 130.4446, 130.4446) * CHOOSE(CONTROL!$C$21, $C$9, 100%, $E$9)</f>
        <v>130.44460000000001</v>
      </c>
      <c r="R1043" s="14">
        <f>CHOOSE(CONTROL!$C$42, 131.3577, 131.3577) * CHOOSE(CONTROL!$C$21, $C$9, 100%, $E$9)</f>
        <v>131.35769999999999</v>
      </c>
      <c r="S1043" s="14">
        <f>CHOOSE(CONTROL!$C$42, 126.935, 126.935) * CHOOSE(CONTROL!$C$21, $C$9, 100%, $E$9)</f>
        <v>126.935</v>
      </c>
      <c r="T10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43" s="56">
        <f>(1000*CHOOSE(CONTROL!$C$42, 695, 695)*CHOOSE(CONTROL!$C$42, 0.5599, 0.5599)*CHOOSE(CONTROL!$C$42, 30, 30))/1000000</f>
        <v>11.673914999999997</v>
      </c>
      <c r="V1043" s="56">
        <f>(1000*CHOOSE(CONTROL!$C$42, 500, 500)*CHOOSE(CONTROL!$C$42, 0.275, 0.275)*CHOOSE(CONTROL!$C$42, 30, 30))/1000000</f>
        <v>4.125</v>
      </c>
      <c r="W1043" s="56">
        <f>(1000*CHOOSE(CONTROL!$C$42, 0.1146, 0.1146)*CHOOSE(CONTROL!$C$42, 121.5, 121.5)*CHOOSE(CONTROL!$C$42, 30, 30))/1000000</f>
        <v>0.417717</v>
      </c>
      <c r="X1043" s="56">
        <f>(30*0.1790888*100000/1000000)+(30*0.2374*100000/1000000)</f>
        <v>1.2494664</v>
      </c>
      <c r="Y1043" s="56"/>
      <c r="Z1043" s="14"/>
      <c r="AA1043" s="55"/>
      <c r="AB1043" s="49">
        <f>(B1043*122.58+C1043*297.941+D1043*89.177+E1043*40.302+F1043*40+G1043*160+H1043*0+I1043*100+J1043*300)/(122.58+297.941+89.177+40.302+0+40+160+100+300)</f>
        <v>132.17171730191305</v>
      </c>
      <c r="AC1043" s="45">
        <f>(M1043*'RAP TEMPLATE-GAS AVAILABILITY'!O1042+N1043*'RAP TEMPLATE-GAS AVAILABILITY'!P1042+O1043*'RAP TEMPLATE-GAS AVAILABILITY'!Q1042+P1043*'RAP TEMPLATE-GAS AVAILABILITY'!R1042)/('RAP TEMPLATE-GAS AVAILABILITY'!O1042+'RAP TEMPLATE-GAS AVAILABILITY'!P1042+'RAP TEMPLATE-GAS AVAILABILITY'!Q1042+'RAP TEMPLATE-GAS AVAILABILITY'!R1042)</f>
        <v>129.85942805755394</v>
      </c>
    </row>
    <row r="1044" spans="1:29" ht="15.75" x14ac:dyDescent="0.25">
      <c r="A1044" s="32">
        <v>72685</v>
      </c>
      <c r="B1044" s="14">
        <f>CHOOSE(CONTROL!$C$42, 141.1155, 141.1155) * CHOOSE(CONTROL!$C$21, $C$9, 100%, $E$9)</f>
        <v>141.1155</v>
      </c>
      <c r="C1044" s="14">
        <f>CHOOSE(CONTROL!$C$42, 141.1206, 141.1206) * CHOOSE(CONTROL!$C$21, $C$9, 100%, $E$9)</f>
        <v>141.1206</v>
      </c>
      <c r="D1044" s="14">
        <f>CHOOSE(CONTROL!$C$42, 141.2036, 141.2036) * CHOOSE(CONTROL!$C$21, $C$9, 100%, $E$9)</f>
        <v>141.20359999999999</v>
      </c>
      <c r="E1044" s="14">
        <f>CHOOSE(CONTROL!$C$42, 141.2377, 141.2377) * CHOOSE(CONTROL!$C$21, $C$9, 100%, $E$9)</f>
        <v>141.23769999999999</v>
      </c>
      <c r="F1044" s="14">
        <f>CHOOSE(CONTROL!$C$42, 141.1456, 141.1456)*CHOOSE(CONTROL!$C$21, $C$9, 100%, $E$9)</f>
        <v>141.1456</v>
      </c>
      <c r="G1044" s="14">
        <f>CHOOSE(CONTROL!$C$42, 141.1636, 141.1636)*CHOOSE(CONTROL!$C$21, $C$9, 100%, $E$9)</f>
        <v>141.1636</v>
      </c>
      <c r="H1044" s="14">
        <f>CHOOSE(CONTROL!$C$42, 141.2269, 141.2269) * CHOOSE(CONTROL!$C$21, $C$9, 100%, $E$9)</f>
        <v>141.2269</v>
      </c>
      <c r="I1044" s="14">
        <f>CHOOSE(CONTROL!$C$42, 141.5771, 141.5771)* CHOOSE(CONTROL!$C$21, $C$9, 100%, $E$9)</f>
        <v>141.5771</v>
      </c>
      <c r="J1044" s="14">
        <f>CHOOSE(CONTROL!$C$42, 141.1386, 141.1386)* CHOOSE(CONTROL!$C$21, $C$9, 100%, $E$9)</f>
        <v>141.1386</v>
      </c>
      <c r="K1044" s="52">
        <f>CHOOSE(CONTROL!$C$42, 141.5732, 141.5732) * CHOOSE(CONTROL!$C$21, $C$9, 100%, $E$9)</f>
        <v>141.57320000000001</v>
      </c>
      <c r="L1044" s="14">
        <f>CHOOSE(CONTROL!$C$42, 141.8139, 141.8139) * CHOOSE(CONTROL!$C$21, $C$9, 100%, $E$9)</f>
        <v>141.81389999999999</v>
      </c>
      <c r="M1044" s="14">
        <f>CHOOSE(CONTROL!$C$42, 138.6076, 138.6076) * CHOOSE(CONTROL!$C$21, $C$9, 100%, $E$9)</f>
        <v>138.60759999999999</v>
      </c>
      <c r="N1044" s="14">
        <f>CHOOSE(CONTROL!$C$42, 138.6253, 138.6253) * CHOOSE(CONTROL!$C$21, $C$9, 100%, $E$9)</f>
        <v>138.62530000000001</v>
      </c>
      <c r="O1044" s="14">
        <f>CHOOSE(CONTROL!$C$42, 138.6944, 138.6944) * CHOOSE(CONTROL!$C$21, $C$9, 100%, $E$9)</f>
        <v>138.6944</v>
      </c>
      <c r="P1044" s="14">
        <f>CHOOSE(CONTROL!$C$42, 139.0305, 139.0305) * CHOOSE(CONTROL!$C$21, $C$9, 100%, $E$9)</f>
        <v>139.03049999999999</v>
      </c>
      <c r="Q1044" s="14">
        <f>CHOOSE(CONTROL!$C$42, 139.2891, 139.2891) * CHOOSE(CONTROL!$C$21, $C$9, 100%, $E$9)</f>
        <v>139.28909999999999</v>
      </c>
      <c r="R1044" s="14">
        <f>CHOOSE(CONTROL!$C$42, 140.2243, 140.2243) * CHOOSE(CONTROL!$C$21, $C$9, 100%, $E$9)</f>
        <v>140.2243</v>
      </c>
      <c r="S1044" s="14">
        <f>CHOOSE(CONTROL!$C$42, 135.5893, 135.5893) * CHOOSE(CONTROL!$C$21, $C$9, 100%, $E$9)</f>
        <v>135.58930000000001</v>
      </c>
      <c r="T10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44" s="56">
        <f>(1000*CHOOSE(CONTROL!$C$42, 695, 695)*CHOOSE(CONTROL!$C$42, 0.5599, 0.5599)*CHOOSE(CONTROL!$C$42, 31, 31))/1000000</f>
        <v>12.063045499999998</v>
      </c>
      <c r="V1044" s="56">
        <f>(1000*CHOOSE(CONTROL!$C$42, 500, 500)*CHOOSE(CONTROL!$C$42, 0.275, 0.275)*CHOOSE(CONTROL!$C$42, 31, 31))/1000000</f>
        <v>4.2625000000000002</v>
      </c>
      <c r="W1044" s="56">
        <f>(1000*CHOOSE(CONTROL!$C$42, 0.1146, 0.1146)*CHOOSE(CONTROL!$C$42, 121.5, 121.5)*CHOOSE(CONTROL!$C$42, 31, 31))/1000000</f>
        <v>0.43164089999999994</v>
      </c>
      <c r="X1044" s="56">
        <f>(31*0.1790888*100000/1000000)+(31*0.2374*100000/1000000)</f>
        <v>1.2911152800000001</v>
      </c>
      <c r="Y1044" s="56"/>
      <c r="Z1044" s="14"/>
      <c r="AA1044" s="55"/>
      <c r="AB1044" s="49">
        <f>(B1044*122.58+C1044*297.941+D1044*89.177+E1044*40.302+F1044*40+G1044*160+H1044*0+I1044*100+J1044*300)/(122.58+297.941+89.177+40.302+0+40+160+100+300)</f>
        <v>141.18183991060872</v>
      </c>
      <c r="AC1044" s="45">
        <f>(M1044*'RAP TEMPLATE-GAS AVAILABILITY'!O1043+N1044*'RAP TEMPLATE-GAS AVAILABILITY'!P1043+O1044*'RAP TEMPLATE-GAS AVAILABILITY'!Q1043+P1044*'RAP TEMPLATE-GAS AVAILABILITY'!R1043)/('RAP TEMPLATE-GAS AVAILABILITY'!O1043+'RAP TEMPLATE-GAS AVAILABILITY'!P1043+'RAP TEMPLATE-GAS AVAILABILITY'!Q1043+'RAP TEMPLATE-GAS AVAILABILITY'!R1043)</f>
        <v>138.70880863309353</v>
      </c>
    </row>
    <row r="1045" spans="1:29" ht="15.75" x14ac:dyDescent="0.25">
      <c r="A1045" s="32">
        <v>72716</v>
      </c>
      <c r="B1045" s="14">
        <f>CHOOSE(CONTROL!$C$42, 152.8133, 152.8133) * CHOOSE(CONTROL!$C$21, $C$9, 100%, $E$9)</f>
        <v>152.8133</v>
      </c>
      <c r="C1045" s="14">
        <f>CHOOSE(CONTROL!$C$42, 152.8184, 152.8184) * CHOOSE(CONTROL!$C$21, $C$9, 100%, $E$9)</f>
        <v>152.8184</v>
      </c>
      <c r="D1045" s="14">
        <f>CHOOSE(CONTROL!$C$42, 152.9118, 152.9118) * CHOOSE(CONTROL!$C$21, $C$9, 100%, $E$9)</f>
        <v>152.9118</v>
      </c>
      <c r="E1045" s="14">
        <f>CHOOSE(CONTROL!$C$42, 152.9459, 152.9459) * CHOOSE(CONTROL!$C$21, $C$9, 100%, $E$9)</f>
        <v>152.94589999999999</v>
      </c>
      <c r="F1045" s="14">
        <f>CHOOSE(CONTROL!$C$42, 152.8406, 152.8406)*CHOOSE(CONTROL!$C$21, $C$9, 100%, $E$9)</f>
        <v>152.84059999999999</v>
      </c>
      <c r="G1045" s="14">
        <f>CHOOSE(CONTROL!$C$42, 152.8586, 152.8586)*CHOOSE(CONTROL!$C$21, $C$9, 100%, $E$9)</f>
        <v>152.8586</v>
      </c>
      <c r="H1045" s="14">
        <f>CHOOSE(CONTROL!$C$42, 152.9351, 152.9351) * CHOOSE(CONTROL!$C$21, $C$9, 100%, $E$9)</f>
        <v>152.93510000000001</v>
      </c>
      <c r="I1045" s="14">
        <f>CHOOSE(CONTROL!$C$42, 153.3178, 153.3178)* CHOOSE(CONTROL!$C$21, $C$9, 100%, $E$9)</f>
        <v>153.31780000000001</v>
      </c>
      <c r="J1045" s="14">
        <f>CHOOSE(CONTROL!$C$42, 152.8336, 152.8336)* CHOOSE(CONTROL!$C$21, $C$9, 100%, $E$9)</f>
        <v>152.83359999999999</v>
      </c>
      <c r="K1045" s="52">
        <f>CHOOSE(CONTROL!$C$42, 153.3139, 153.3139) * CHOOSE(CONTROL!$C$21, $C$9, 100%, $E$9)</f>
        <v>153.31389999999999</v>
      </c>
      <c r="L1045" s="14">
        <f>CHOOSE(CONTROL!$C$42, 153.5221, 153.5221) * CHOOSE(CONTROL!$C$21, $C$9, 100%, $E$9)</f>
        <v>153.52209999999999</v>
      </c>
      <c r="M1045" s="14">
        <f>CHOOSE(CONTROL!$C$42, 150.0923, 150.0923) * CHOOSE(CONTROL!$C$21, $C$9, 100%, $E$9)</f>
        <v>150.09229999999999</v>
      </c>
      <c r="N1045" s="14">
        <f>CHOOSE(CONTROL!$C$42, 150.11, 150.11) * CHOOSE(CONTROL!$C$21, $C$9, 100%, $E$9)</f>
        <v>150.11000000000001</v>
      </c>
      <c r="O1045" s="14">
        <f>CHOOSE(CONTROL!$C$42, 150.192, 150.192) * CHOOSE(CONTROL!$C$21, $C$9, 100%, $E$9)</f>
        <v>150.19200000000001</v>
      </c>
      <c r="P1045" s="14">
        <f>CHOOSE(CONTROL!$C$42, 150.5594, 150.5594) * CHOOSE(CONTROL!$C$21, $C$9, 100%, $E$9)</f>
        <v>150.55940000000001</v>
      </c>
      <c r="Q1045" s="14">
        <f>CHOOSE(CONTROL!$C$42, 150.7867, 150.7867) * CHOOSE(CONTROL!$C$21, $C$9, 100%, $E$9)</f>
        <v>150.7867</v>
      </c>
      <c r="R1045" s="14">
        <f>CHOOSE(CONTROL!$C$42, 151.7507, 151.7507) * CHOOSE(CONTROL!$C$21, $C$9, 100%, $E$9)</f>
        <v>151.75069999999999</v>
      </c>
      <c r="S1045" s="14">
        <f>CHOOSE(CONTROL!$C$42, 146.8298, 146.8298) * CHOOSE(CONTROL!$C$21, $C$9, 100%, $E$9)</f>
        <v>146.82980000000001</v>
      </c>
      <c r="T10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45" s="56">
        <f>(1000*CHOOSE(CONTROL!$C$42, 695, 695)*CHOOSE(CONTROL!$C$42, 0.5599, 0.5599)*CHOOSE(CONTROL!$C$42, 31, 31))/1000000</f>
        <v>12.063045499999998</v>
      </c>
      <c r="V1045" s="56">
        <f>(1000*CHOOSE(CONTROL!$C$42, 500, 500)*CHOOSE(CONTROL!$C$42, 0.275, 0.275)*CHOOSE(CONTROL!$C$42, 31, 31))/1000000</f>
        <v>4.2625000000000002</v>
      </c>
      <c r="W1045" s="56">
        <f>(1000*CHOOSE(CONTROL!$C$42, 0.1146, 0.1146)*CHOOSE(CONTROL!$C$42, 121.5, 121.5)*CHOOSE(CONTROL!$C$42, 31, 31))/1000000</f>
        <v>0.43164089999999994</v>
      </c>
      <c r="X1045" s="56">
        <f>(31*0.1790888*100000/1000000)+(31*0.2374*100000/1000000)</f>
        <v>1.2911152800000001</v>
      </c>
      <c r="Y1045" s="56"/>
      <c r="Z1045" s="14"/>
      <c r="AA1045" s="55"/>
      <c r="AB1045" s="49">
        <f>(B1045*122.58+C1045*297.941+D1045*89.177+E1045*40.302+F1045*40+G1045*160+H1045*0+I1045*100+J1045*300)/(122.58+297.941+89.177+40.302+0+40+160+100+300)</f>
        <v>152.88332389460868</v>
      </c>
      <c r="AC1045" s="45">
        <f>(M1045*'RAP TEMPLATE-GAS AVAILABILITY'!O1044+N1045*'RAP TEMPLATE-GAS AVAILABILITY'!P1044+O1045*'RAP TEMPLATE-GAS AVAILABILITY'!Q1044+P1045*'RAP TEMPLATE-GAS AVAILABILITY'!R1044)/('RAP TEMPLATE-GAS AVAILABILITY'!O1044+'RAP TEMPLATE-GAS AVAILABILITY'!P1044+'RAP TEMPLATE-GAS AVAILABILITY'!Q1044+'RAP TEMPLATE-GAS AVAILABILITY'!R1044)</f>
        <v>150.20571510791368</v>
      </c>
    </row>
    <row r="1046" spans="1:29" ht="15.75" x14ac:dyDescent="0.25">
      <c r="A1046" s="32">
        <v>72744</v>
      </c>
      <c r="B1046" s="14">
        <f>CHOOSE(CONTROL!$C$42, 155.5334, 155.5334) * CHOOSE(CONTROL!$C$21, $C$9, 100%, $E$9)</f>
        <v>155.5334</v>
      </c>
      <c r="C1046" s="14">
        <f>CHOOSE(CONTROL!$C$42, 155.5385, 155.5385) * CHOOSE(CONTROL!$C$21, $C$9, 100%, $E$9)</f>
        <v>155.5385</v>
      </c>
      <c r="D1046" s="14">
        <f>CHOOSE(CONTROL!$C$42, 155.632, 155.632) * CHOOSE(CONTROL!$C$21, $C$9, 100%, $E$9)</f>
        <v>155.63200000000001</v>
      </c>
      <c r="E1046" s="14">
        <f>CHOOSE(CONTROL!$C$42, 155.6661, 155.6661) * CHOOSE(CONTROL!$C$21, $C$9, 100%, $E$9)</f>
        <v>155.6661</v>
      </c>
      <c r="F1046" s="14">
        <f>CHOOSE(CONTROL!$C$42, 155.5604, 155.5604)*CHOOSE(CONTROL!$C$21, $C$9, 100%, $E$9)</f>
        <v>155.56039999999999</v>
      </c>
      <c r="G1046" s="14">
        <f>CHOOSE(CONTROL!$C$42, 155.5782, 155.5782)*CHOOSE(CONTROL!$C$21, $C$9, 100%, $E$9)</f>
        <v>155.57820000000001</v>
      </c>
      <c r="H1046" s="14">
        <f>CHOOSE(CONTROL!$C$42, 155.6553, 155.6553) * CHOOSE(CONTROL!$C$21, $C$9, 100%, $E$9)</f>
        <v>155.65530000000001</v>
      </c>
      <c r="I1046" s="14">
        <f>CHOOSE(CONTROL!$C$42, 156.0464, 156.0464)* CHOOSE(CONTROL!$C$21, $C$9, 100%, $E$9)</f>
        <v>156.04640000000001</v>
      </c>
      <c r="J1046" s="14">
        <f>CHOOSE(CONTROL!$C$42, 155.5534, 155.5534)* CHOOSE(CONTROL!$C$21, $C$9, 100%, $E$9)</f>
        <v>155.55340000000001</v>
      </c>
      <c r="K1046" s="52">
        <f>CHOOSE(CONTROL!$C$42, 156.0425, 156.0425) * CHOOSE(CONTROL!$C$21, $C$9, 100%, $E$9)</f>
        <v>156.04249999999999</v>
      </c>
      <c r="L1046" s="14">
        <f>CHOOSE(CONTROL!$C$42, 156.2423, 156.2423) * CHOOSE(CONTROL!$C$21, $C$9, 100%, $E$9)</f>
        <v>156.2423</v>
      </c>
      <c r="M1046" s="14">
        <f>CHOOSE(CONTROL!$C$42, 152.7632, 152.7632) * CHOOSE(CONTROL!$C$21, $C$9, 100%, $E$9)</f>
        <v>152.76320000000001</v>
      </c>
      <c r="N1046" s="14">
        <f>CHOOSE(CONTROL!$C$42, 152.7807, 152.7807) * CHOOSE(CONTROL!$C$21, $C$9, 100%, $E$9)</f>
        <v>152.7807</v>
      </c>
      <c r="O1046" s="14">
        <f>CHOOSE(CONTROL!$C$42, 152.8632, 152.8632) * CHOOSE(CONTROL!$C$21, $C$9, 100%, $E$9)</f>
        <v>152.86320000000001</v>
      </c>
      <c r="P1046" s="14">
        <f>CHOOSE(CONTROL!$C$42, 153.2388, 153.2388) * CHOOSE(CONTROL!$C$21, $C$9, 100%, $E$9)</f>
        <v>153.2388</v>
      </c>
      <c r="Q1046" s="14">
        <f>CHOOSE(CONTROL!$C$42, 153.4579, 153.4579) * CHOOSE(CONTROL!$C$21, $C$9, 100%, $E$9)</f>
        <v>153.4579</v>
      </c>
      <c r="R1046" s="14">
        <f>CHOOSE(CONTROL!$C$42, 154.4286, 154.4286) * CHOOSE(CONTROL!$C$21, $C$9, 100%, $E$9)</f>
        <v>154.42859999999999</v>
      </c>
      <c r="S1046" s="14">
        <f>CHOOSE(CONTROL!$C$42, 149.4435, 149.4435) * CHOOSE(CONTROL!$C$21, $C$9, 100%, $E$9)</f>
        <v>149.4435</v>
      </c>
      <c r="T104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046" s="56">
        <f>(1000*CHOOSE(CONTROL!$C$42, 695, 695)*CHOOSE(CONTROL!$C$42, 0.5599, 0.5599)*CHOOSE(CONTROL!$C$42, 28, 28))/1000000</f>
        <v>10.895653999999999</v>
      </c>
      <c r="V1046" s="56">
        <f>(1000*CHOOSE(CONTROL!$C$42, 500, 500)*CHOOSE(CONTROL!$C$42, 0.275, 0.275)*CHOOSE(CONTROL!$C$42, 28, 28))/1000000</f>
        <v>3.85</v>
      </c>
      <c r="W1046" s="56">
        <f>(1000*CHOOSE(CONTROL!$C$42, 0.1146, 0.1146)*CHOOSE(CONTROL!$C$42, 121.5, 121.5)*CHOOSE(CONTROL!$C$42, 28, 28))/1000000</f>
        <v>0.38986920000000003</v>
      </c>
      <c r="X1046" s="56">
        <f>(28*0.1790888*100000/1000000)+(28*0.2374*100000/1000000)</f>
        <v>1.16616864</v>
      </c>
      <c r="Y1046" s="56"/>
      <c r="Z1046" s="14"/>
      <c r="AA1046" s="55"/>
      <c r="AB1046" s="49">
        <f>(B1046*122.58+C1046*297.941+D1046*89.177+E1046*40.302+F1046*40+G1046*160+H1046*0+I1046*100+J1046*300)/(122.58+297.941+89.177+40.302+0+40+160+100+300)</f>
        <v>155.60401602321738</v>
      </c>
      <c r="AC1046" s="45">
        <f>(M1046*'RAP TEMPLATE-GAS AVAILABILITY'!O1045+N1046*'RAP TEMPLATE-GAS AVAILABILITY'!P1045+O1046*'RAP TEMPLATE-GAS AVAILABILITY'!Q1045+P1046*'RAP TEMPLATE-GAS AVAILABILITY'!R1045)/('RAP TEMPLATE-GAS AVAILABILITY'!O1045+'RAP TEMPLATE-GAS AVAILABILITY'!P1045+'RAP TEMPLATE-GAS AVAILABILITY'!Q1045+'RAP TEMPLATE-GAS AVAILABILITY'!R1045)</f>
        <v>152.87796258992807</v>
      </c>
    </row>
    <row r="1047" spans="1:29" ht="15.75" x14ac:dyDescent="0.25">
      <c r="A1047" s="32">
        <v>72775</v>
      </c>
      <c r="B1047" s="14">
        <f>CHOOSE(CONTROL!$C$42, 151.118, 151.118) * CHOOSE(CONTROL!$C$21, $C$9, 100%, $E$9)</f>
        <v>151.11799999999999</v>
      </c>
      <c r="C1047" s="14">
        <f>CHOOSE(CONTROL!$C$42, 151.1231, 151.1231) * CHOOSE(CONTROL!$C$21, $C$9, 100%, $E$9)</f>
        <v>151.12309999999999</v>
      </c>
      <c r="D1047" s="14">
        <f>CHOOSE(CONTROL!$C$42, 151.2165, 151.2165) * CHOOSE(CONTROL!$C$21, $C$9, 100%, $E$9)</f>
        <v>151.2165</v>
      </c>
      <c r="E1047" s="14">
        <f>CHOOSE(CONTROL!$C$42, 151.2506, 151.2506) * CHOOSE(CONTROL!$C$21, $C$9, 100%, $E$9)</f>
        <v>151.25059999999999</v>
      </c>
      <c r="F1047" s="14">
        <f>CHOOSE(CONTROL!$C$42, 151.1441, 151.1441)*CHOOSE(CONTROL!$C$21, $C$9, 100%, $E$9)</f>
        <v>151.14410000000001</v>
      </c>
      <c r="G1047" s="14">
        <f>CHOOSE(CONTROL!$C$42, 151.1617, 151.1617)*CHOOSE(CONTROL!$C$21, $C$9, 100%, $E$9)</f>
        <v>151.1617</v>
      </c>
      <c r="H1047" s="14">
        <f>CHOOSE(CONTROL!$C$42, 151.2398, 151.2398) * CHOOSE(CONTROL!$C$21, $C$9, 100%, $E$9)</f>
        <v>151.2398</v>
      </c>
      <c r="I1047" s="14">
        <f>CHOOSE(CONTROL!$C$42, 151.6172, 151.6172)* CHOOSE(CONTROL!$C$21, $C$9, 100%, $E$9)</f>
        <v>151.6172</v>
      </c>
      <c r="J1047" s="14">
        <f>CHOOSE(CONTROL!$C$42, 151.1371, 151.1371)* CHOOSE(CONTROL!$C$21, $C$9, 100%, $E$9)</f>
        <v>151.1371</v>
      </c>
      <c r="K1047" s="52">
        <f>CHOOSE(CONTROL!$C$42, 151.6133, 151.6133) * CHOOSE(CONTROL!$C$21, $C$9, 100%, $E$9)</f>
        <v>151.61330000000001</v>
      </c>
      <c r="L1047" s="14">
        <f>CHOOSE(CONTROL!$C$42, 151.8268, 151.8268) * CHOOSE(CONTROL!$C$21, $C$9, 100%, $E$9)</f>
        <v>151.82679999999999</v>
      </c>
      <c r="M1047" s="14">
        <f>CHOOSE(CONTROL!$C$42, 148.4263, 148.4263) * CHOOSE(CONTROL!$C$21, $C$9, 100%, $E$9)</f>
        <v>148.4263</v>
      </c>
      <c r="N1047" s="14">
        <f>CHOOSE(CONTROL!$C$42, 148.4436, 148.4436) * CHOOSE(CONTROL!$C$21, $C$9, 100%, $E$9)</f>
        <v>148.4436</v>
      </c>
      <c r="O1047" s="14">
        <f>CHOOSE(CONTROL!$C$42, 148.5272, 148.5272) * CHOOSE(CONTROL!$C$21, $C$9, 100%, $E$9)</f>
        <v>148.52719999999999</v>
      </c>
      <c r="P1047" s="14">
        <f>CHOOSE(CONTROL!$C$42, 148.8894, 148.8894) * CHOOSE(CONTROL!$C$21, $C$9, 100%, $E$9)</f>
        <v>148.88939999999999</v>
      </c>
      <c r="Q1047" s="14">
        <f>CHOOSE(CONTROL!$C$42, 149.1219, 149.1219) * CHOOSE(CONTROL!$C$21, $C$9, 100%, $E$9)</f>
        <v>149.12190000000001</v>
      </c>
      <c r="R1047" s="14">
        <f>CHOOSE(CONTROL!$C$42, 150.0817, 150.0817) * CHOOSE(CONTROL!$C$21, $C$9, 100%, $E$9)</f>
        <v>150.08170000000001</v>
      </c>
      <c r="S1047" s="14">
        <f>CHOOSE(CONTROL!$C$42, 145.2007, 145.2007) * CHOOSE(CONTROL!$C$21, $C$9, 100%, $E$9)</f>
        <v>145.20070000000001</v>
      </c>
      <c r="T10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047" s="56">
        <f>(1000*CHOOSE(CONTROL!$C$42, 695, 695)*CHOOSE(CONTROL!$C$42, 0.5599, 0.5599)*CHOOSE(CONTROL!$C$42, 31, 31))/1000000</f>
        <v>12.063045499999998</v>
      </c>
      <c r="V1047" s="56">
        <f>(1000*CHOOSE(CONTROL!$C$42, 500, 500)*CHOOSE(CONTROL!$C$42, 0.275, 0.275)*CHOOSE(CONTROL!$C$42, 31, 31))/1000000</f>
        <v>4.2625000000000002</v>
      </c>
      <c r="W1047" s="56">
        <f>(1000*CHOOSE(CONTROL!$C$42, 0.1146, 0.1146)*CHOOSE(CONTROL!$C$42, 121.5, 121.5)*CHOOSE(CONTROL!$C$42, 31, 31))/1000000</f>
        <v>0.43164089999999994</v>
      </c>
      <c r="X1047" s="56">
        <f>(31*0.1790888*100000/1000000)+(31*0.2374*100000/1000000)</f>
        <v>1.2911152800000001</v>
      </c>
      <c r="Y1047" s="56"/>
      <c r="Z1047" s="14"/>
      <c r="AA1047" s="55"/>
      <c r="AB1047" s="49">
        <f>(B1047*122.58+C1047*297.941+D1047*89.177+E1047*40.302+F1047*40+G1047*160+H1047*0+I1047*100+J1047*300)/(122.58+297.941+89.177+40.302+0+40+160+100+300)</f>
        <v>151.18698563373911</v>
      </c>
      <c r="AC1047" s="45">
        <f>(M1047*'RAP TEMPLATE-GAS AVAILABILITY'!O1046+N1047*'RAP TEMPLATE-GAS AVAILABILITY'!P1046+O1047*'RAP TEMPLATE-GAS AVAILABILITY'!Q1046+P1047*'RAP TEMPLATE-GAS AVAILABILITY'!R1046)/('RAP TEMPLATE-GAS AVAILABILITY'!O1046+'RAP TEMPLATE-GAS AVAILABILITY'!P1046+'RAP TEMPLATE-GAS AVAILABILITY'!Q1046+'RAP TEMPLATE-GAS AVAILABILITY'!R1046)</f>
        <v>148.53966043165468</v>
      </c>
    </row>
    <row r="1048" spans="1:29" ht="15.75" x14ac:dyDescent="0.25">
      <c r="A1048" s="32">
        <v>72805</v>
      </c>
      <c r="B1048" s="14">
        <f>CHOOSE(CONTROL!$C$42, 150.6665, 150.6665) * CHOOSE(CONTROL!$C$21, $C$9, 100%, $E$9)</f>
        <v>150.66650000000001</v>
      </c>
      <c r="C1048" s="14">
        <f>CHOOSE(CONTROL!$C$42, 150.671, 150.671) * CHOOSE(CONTROL!$C$21, $C$9, 100%, $E$9)</f>
        <v>150.67099999999999</v>
      </c>
      <c r="D1048" s="14">
        <f>CHOOSE(CONTROL!$C$42, 150.9333, 150.9333) * CHOOSE(CONTROL!$C$21, $C$9, 100%, $E$9)</f>
        <v>150.9333</v>
      </c>
      <c r="E1048" s="14">
        <f>CHOOSE(CONTROL!$C$42, 150.9654, 150.9654) * CHOOSE(CONTROL!$C$21, $C$9, 100%, $E$9)</f>
        <v>150.96539999999999</v>
      </c>
      <c r="F1048" s="14">
        <f>CHOOSE(CONTROL!$C$42, 150.6894, 150.6894)*CHOOSE(CONTROL!$C$21, $C$9, 100%, $E$9)</f>
        <v>150.68940000000001</v>
      </c>
      <c r="G1048" s="14">
        <f>CHOOSE(CONTROL!$C$42, 150.7061, 150.7061)*CHOOSE(CONTROL!$C$21, $C$9, 100%, $E$9)</f>
        <v>150.70609999999999</v>
      </c>
      <c r="H1048" s="14">
        <f>CHOOSE(CONTROL!$C$42, 150.9552, 150.9552) * CHOOSE(CONTROL!$C$21, $C$9, 100%, $E$9)</f>
        <v>150.95519999999999</v>
      </c>
      <c r="I1048" s="14">
        <f>CHOOSE(CONTROL!$C$42, 151.1609, 151.1609)* CHOOSE(CONTROL!$C$21, $C$9, 100%, $E$9)</f>
        <v>151.1609</v>
      </c>
      <c r="J1048" s="14">
        <f>CHOOSE(CONTROL!$C$42, 150.6824, 150.6824)* CHOOSE(CONTROL!$C$21, $C$9, 100%, $E$9)</f>
        <v>150.6824</v>
      </c>
      <c r="K1048" s="52">
        <f>CHOOSE(CONTROL!$C$42, 151.157, 151.157) * CHOOSE(CONTROL!$C$21, $C$9, 100%, $E$9)</f>
        <v>151.15700000000001</v>
      </c>
      <c r="L1048" s="14">
        <f>CHOOSE(CONTROL!$C$42, 151.5422, 151.5422) * CHOOSE(CONTROL!$C$21, $C$9, 100%, $E$9)</f>
        <v>151.54220000000001</v>
      </c>
      <c r="M1048" s="14">
        <f>CHOOSE(CONTROL!$C$42, 147.9798, 147.9798) * CHOOSE(CONTROL!$C$21, $C$9, 100%, $E$9)</f>
        <v>147.97980000000001</v>
      </c>
      <c r="N1048" s="14">
        <f>CHOOSE(CONTROL!$C$42, 147.9962, 147.9962) * CHOOSE(CONTROL!$C$21, $C$9, 100%, $E$9)</f>
        <v>147.99619999999999</v>
      </c>
      <c r="O1048" s="14">
        <f>CHOOSE(CONTROL!$C$42, 148.2477, 148.2477) * CHOOSE(CONTROL!$C$21, $C$9, 100%, $E$9)</f>
        <v>148.24770000000001</v>
      </c>
      <c r="P1048" s="14">
        <f>CHOOSE(CONTROL!$C$42, 148.4414, 148.4414) * CHOOSE(CONTROL!$C$21, $C$9, 100%, $E$9)</f>
        <v>148.44139999999999</v>
      </c>
      <c r="Q1048" s="14">
        <f>CHOOSE(CONTROL!$C$42, 148.8424, 148.8424) * CHOOSE(CONTROL!$C$21, $C$9, 100%, $E$9)</f>
        <v>148.8424</v>
      </c>
      <c r="R1048" s="14">
        <f>CHOOSE(CONTROL!$C$42, 149.8015, 149.8015) * CHOOSE(CONTROL!$C$21, $C$9, 100%, $E$9)</f>
        <v>149.8015</v>
      </c>
      <c r="S1048" s="14">
        <f>CHOOSE(CONTROL!$C$42, 144.7662, 144.7662) * CHOOSE(CONTROL!$C$21, $C$9, 100%, $E$9)</f>
        <v>144.7662</v>
      </c>
      <c r="T10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48" s="56">
        <f>(1000*CHOOSE(CONTROL!$C$42, 695, 695)*CHOOSE(CONTROL!$C$42, 0.5599, 0.5599)*CHOOSE(CONTROL!$C$42, 30, 30))/1000000</f>
        <v>11.673914999999997</v>
      </c>
      <c r="V1048" s="56">
        <f>(1000*CHOOSE(CONTROL!$C$42, 500, 500)*CHOOSE(CONTROL!$C$42, 0.275, 0.275)*CHOOSE(CONTROL!$C$42, 30, 30))/1000000</f>
        <v>4.125</v>
      </c>
      <c r="W1048" s="56">
        <f>(1000*CHOOSE(CONTROL!$C$42, 0.1146, 0.1146)*CHOOSE(CONTROL!$C$42, 121.5, 121.5)*CHOOSE(CONTROL!$C$42, 30, 30))/1000000</f>
        <v>0.417717</v>
      </c>
      <c r="X1048" s="56">
        <f>(30*0.1790888*245000/1000000)+(30*0.2374*100000/1000000)</f>
        <v>2.0285026799999999</v>
      </c>
      <c r="Y1048" s="56"/>
      <c r="Z1048" s="14"/>
      <c r="AA1048" s="55"/>
      <c r="AB1048" s="49">
        <f>(B1048*141.293+C1048*267.993+D1048*115.016+E1048*89.698+F1048*40+G1048*185+H1048*0+I1048*100+J1048*300)/(141.293+267.993+115.016+89.698+0+40+185+100+300)</f>
        <v>150.76428447901534</v>
      </c>
      <c r="AC1048" s="45">
        <f>(M1048*'RAP TEMPLATE-GAS AVAILABILITY'!O1047+N1048*'RAP TEMPLATE-GAS AVAILABILITY'!P1047+O1048*'RAP TEMPLATE-GAS AVAILABILITY'!Q1047+P1048*'RAP TEMPLATE-GAS AVAILABILITY'!R1047)/('RAP TEMPLATE-GAS AVAILABILITY'!O1047+'RAP TEMPLATE-GAS AVAILABILITY'!P1047+'RAP TEMPLATE-GAS AVAILABILITY'!Q1047+'RAP TEMPLATE-GAS AVAILABILITY'!R1047)</f>
        <v>148.1685834532374</v>
      </c>
    </row>
    <row r="1049" spans="1:29" ht="15.75" x14ac:dyDescent="0.25">
      <c r="A1049" s="32">
        <v>72836</v>
      </c>
      <c r="B1049" s="14">
        <f>CHOOSE(CONTROL!$C$42, 151.9977, 151.9977) * CHOOSE(CONTROL!$C$21, $C$9, 100%, $E$9)</f>
        <v>151.99770000000001</v>
      </c>
      <c r="C1049" s="14">
        <f>CHOOSE(CONTROL!$C$42, 152.0057, 152.0057) * CHOOSE(CONTROL!$C$21, $C$9, 100%, $E$9)</f>
        <v>152.00569999999999</v>
      </c>
      <c r="D1049" s="14">
        <f>CHOOSE(CONTROL!$C$42, 152.2648, 152.2648) * CHOOSE(CONTROL!$C$21, $C$9, 100%, $E$9)</f>
        <v>152.26480000000001</v>
      </c>
      <c r="E1049" s="14">
        <f>CHOOSE(CONTROL!$C$42, 152.2962, 152.2962) * CHOOSE(CONTROL!$C$21, $C$9, 100%, $E$9)</f>
        <v>152.2962</v>
      </c>
      <c r="F1049" s="14">
        <f>CHOOSE(CONTROL!$C$42, 152.0192, 152.0192)*CHOOSE(CONTROL!$C$21, $C$9, 100%, $E$9)</f>
        <v>152.01920000000001</v>
      </c>
      <c r="G1049" s="14">
        <f>CHOOSE(CONTROL!$C$42, 152.0361, 152.0361)*CHOOSE(CONTROL!$C$21, $C$9, 100%, $E$9)</f>
        <v>152.0361</v>
      </c>
      <c r="H1049" s="14">
        <f>CHOOSE(CONTROL!$C$42, 152.2849, 152.2849) * CHOOSE(CONTROL!$C$21, $C$9, 100%, $E$9)</f>
        <v>152.28489999999999</v>
      </c>
      <c r="I1049" s="14">
        <f>CHOOSE(CONTROL!$C$42, 152.4948, 152.4948)* CHOOSE(CONTROL!$C$21, $C$9, 100%, $E$9)</f>
        <v>152.4948</v>
      </c>
      <c r="J1049" s="14">
        <f>CHOOSE(CONTROL!$C$42, 152.0122, 152.0122)* CHOOSE(CONTROL!$C$21, $C$9, 100%, $E$9)</f>
        <v>152.01220000000001</v>
      </c>
      <c r="K1049" s="52">
        <f>CHOOSE(CONTROL!$C$42, 152.4909, 152.4909) * CHOOSE(CONTROL!$C$21, $C$9, 100%, $E$9)</f>
        <v>152.49090000000001</v>
      </c>
      <c r="L1049" s="14">
        <f>CHOOSE(CONTROL!$C$42, 152.8719, 152.8719) * CHOOSE(CONTROL!$C$21, $C$9, 100%, $E$9)</f>
        <v>152.87190000000001</v>
      </c>
      <c r="M1049" s="14">
        <f>CHOOSE(CONTROL!$C$42, 149.2857, 149.2857) * CHOOSE(CONTROL!$C$21, $C$9, 100%, $E$9)</f>
        <v>149.28569999999999</v>
      </c>
      <c r="N1049" s="14">
        <f>CHOOSE(CONTROL!$C$42, 149.3023, 149.3023) * CHOOSE(CONTROL!$C$21, $C$9, 100%, $E$9)</f>
        <v>149.3023</v>
      </c>
      <c r="O1049" s="14">
        <f>CHOOSE(CONTROL!$C$42, 149.5535, 149.5535) * CHOOSE(CONTROL!$C$21, $C$9, 100%, $E$9)</f>
        <v>149.55350000000001</v>
      </c>
      <c r="P1049" s="14">
        <f>CHOOSE(CONTROL!$C$42, 149.7512, 149.7512) * CHOOSE(CONTROL!$C$21, $C$9, 100%, $E$9)</f>
        <v>149.75120000000001</v>
      </c>
      <c r="Q1049" s="14">
        <f>CHOOSE(CONTROL!$C$42, 150.1482, 150.1482) * CHOOSE(CONTROL!$C$21, $C$9, 100%, $E$9)</f>
        <v>150.1482</v>
      </c>
      <c r="R1049" s="14">
        <f>CHOOSE(CONTROL!$C$42, 151.1105, 151.1105) * CHOOSE(CONTROL!$C$21, $C$9, 100%, $E$9)</f>
        <v>151.1105</v>
      </c>
      <c r="S1049" s="14">
        <f>CHOOSE(CONTROL!$C$42, 146.0439, 146.0439) * CHOOSE(CONTROL!$C$21, $C$9, 100%, $E$9)</f>
        <v>146.04390000000001</v>
      </c>
      <c r="T10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49" s="56">
        <f>(1000*CHOOSE(CONTROL!$C$42, 695, 695)*CHOOSE(CONTROL!$C$42, 0.5599, 0.5599)*CHOOSE(CONTROL!$C$42, 31, 31))/1000000</f>
        <v>12.063045499999998</v>
      </c>
      <c r="V1049" s="56">
        <f>(1000*CHOOSE(CONTROL!$C$42, 500, 500)*CHOOSE(CONTROL!$C$42, 0.275, 0.275)*CHOOSE(CONTROL!$C$42, 31, 31))/1000000</f>
        <v>4.2625000000000002</v>
      </c>
      <c r="W1049" s="56">
        <f>(1000*CHOOSE(CONTROL!$C$42, 0.1146, 0.1146)*CHOOSE(CONTROL!$C$42, 121.5, 121.5)*CHOOSE(CONTROL!$C$42, 31, 31))/1000000</f>
        <v>0.43164089999999994</v>
      </c>
      <c r="X1049" s="56">
        <f>(31*0.1790888*245000/1000000)+(31*0.2374*100000/1000000)</f>
        <v>2.0961194359999999</v>
      </c>
      <c r="Y1049" s="56"/>
      <c r="Z1049" s="14"/>
      <c r="AA1049" s="55"/>
      <c r="AB1049" s="49">
        <f>(B1049*194.205+C1049*267.466+D1049*133.845+E1049*53.484+F1049*40+G1049*185+H1049*0+I1049*100+J1049*300)/(194.205+267.466+133.845+53.484+0+40+185+100+300)</f>
        <v>152.08865659458399</v>
      </c>
      <c r="AC1049" s="45">
        <f>(M1049*'RAP TEMPLATE-GAS AVAILABILITY'!O1048+N1049*'RAP TEMPLATE-GAS AVAILABILITY'!P1048+O1049*'RAP TEMPLATE-GAS AVAILABILITY'!Q1048+P1049*'RAP TEMPLATE-GAS AVAILABILITY'!R1048)/('RAP TEMPLATE-GAS AVAILABILITY'!O1048+'RAP TEMPLATE-GAS AVAILABILITY'!P1048+'RAP TEMPLATE-GAS AVAILABILITY'!Q1048+'RAP TEMPLATE-GAS AVAILABILITY'!R1048)</f>
        <v>149.47501079136691</v>
      </c>
    </row>
    <row r="1050" spans="1:29" ht="15.75" x14ac:dyDescent="0.25">
      <c r="A1050" s="32">
        <v>72866</v>
      </c>
      <c r="B1050" s="14">
        <f>CHOOSE(CONTROL!$C$42, 156.309, 156.309) * CHOOSE(CONTROL!$C$21, $C$9, 100%, $E$9)</f>
        <v>156.309</v>
      </c>
      <c r="C1050" s="14">
        <f>CHOOSE(CONTROL!$C$42, 156.317, 156.317) * CHOOSE(CONTROL!$C$21, $C$9, 100%, $E$9)</f>
        <v>156.31700000000001</v>
      </c>
      <c r="D1050" s="14">
        <f>CHOOSE(CONTROL!$C$42, 156.5761, 156.5761) * CHOOSE(CONTROL!$C$21, $C$9, 100%, $E$9)</f>
        <v>156.5761</v>
      </c>
      <c r="E1050" s="14">
        <f>CHOOSE(CONTROL!$C$42, 156.6075, 156.6075) * CHOOSE(CONTROL!$C$21, $C$9, 100%, $E$9)</f>
        <v>156.60749999999999</v>
      </c>
      <c r="F1050" s="14">
        <f>CHOOSE(CONTROL!$C$42, 156.3307, 156.3307)*CHOOSE(CONTROL!$C$21, $C$9, 100%, $E$9)</f>
        <v>156.33070000000001</v>
      </c>
      <c r="G1050" s="14">
        <f>CHOOSE(CONTROL!$C$42, 156.3478, 156.3478)*CHOOSE(CONTROL!$C$21, $C$9, 100%, $E$9)</f>
        <v>156.34780000000001</v>
      </c>
      <c r="H1050" s="14">
        <f>CHOOSE(CONTROL!$C$42, 156.5962, 156.5962) * CHOOSE(CONTROL!$C$21, $C$9, 100%, $E$9)</f>
        <v>156.59620000000001</v>
      </c>
      <c r="I1050" s="14">
        <f>CHOOSE(CONTROL!$C$42, 156.8196, 156.8196)* CHOOSE(CONTROL!$C$21, $C$9, 100%, $E$9)</f>
        <v>156.81960000000001</v>
      </c>
      <c r="J1050" s="14">
        <f>CHOOSE(CONTROL!$C$42, 156.3237, 156.3237)* CHOOSE(CONTROL!$C$21, $C$9, 100%, $E$9)</f>
        <v>156.3237</v>
      </c>
      <c r="K1050" s="52">
        <f>CHOOSE(CONTROL!$C$42, 156.8157, 156.8157) * CHOOSE(CONTROL!$C$21, $C$9, 100%, $E$9)</f>
        <v>156.81569999999999</v>
      </c>
      <c r="L1050" s="14">
        <f>CHOOSE(CONTROL!$C$42, 157.1832, 157.1832) * CHOOSE(CONTROL!$C$21, $C$9, 100%, $E$9)</f>
        <v>157.1832</v>
      </c>
      <c r="M1050" s="14">
        <f>CHOOSE(CONTROL!$C$42, 153.5197, 153.5197) * CHOOSE(CONTROL!$C$21, $C$9, 100%, $E$9)</f>
        <v>153.5197</v>
      </c>
      <c r="N1050" s="14">
        <f>CHOOSE(CONTROL!$C$42, 153.5364, 153.5364) * CHOOSE(CONTROL!$C$21, $C$9, 100%, $E$9)</f>
        <v>153.53639999999999</v>
      </c>
      <c r="O1050" s="14">
        <f>CHOOSE(CONTROL!$C$42, 153.7872, 153.7872) * CHOOSE(CONTROL!$C$21, $C$9, 100%, $E$9)</f>
        <v>153.78720000000001</v>
      </c>
      <c r="P1050" s="14">
        <f>CHOOSE(CONTROL!$C$42, 153.998, 153.998) * CHOOSE(CONTROL!$C$21, $C$9, 100%, $E$9)</f>
        <v>153.99799999999999</v>
      </c>
      <c r="Q1050" s="14">
        <f>CHOOSE(CONTROL!$C$42, 154.3819, 154.3819) * CHOOSE(CONTROL!$C$21, $C$9, 100%, $E$9)</f>
        <v>154.3819</v>
      </c>
      <c r="R1050" s="14">
        <f>CHOOSE(CONTROL!$C$42, 155.3549, 155.3549) * CHOOSE(CONTROL!$C$21, $C$9, 100%, $E$9)</f>
        <v>155.35489999999999</v>
      </c>
      <c r="S1050" s="14">
        <f>CHOOSE(CONTROL!$C$42, 150.1866, 150.1866) * CHOOSE(CONTROL!$C$21, $C$9, 100%, $E$9)</f>
        <v>150.1866</v>
      </c>
      <c r="T10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50" s="56">
        <f>(1000*CHOOSE(CONTROL!$C$42, 695, 695)*CHOOSE(CONTROL!$C$42, 0.5599, 0.5599)*CHOOSE(CONTROL!$C$42, 30, 30))/1000000</f>
        <v>11.673914999999997</v>
      </c>
      <c r="V1050" s="56">
        <f>(1000*CHOOSE(CONTROL!$C$42, 500, 500)*CHOOSE(CONTROL!$C$42, 0.275, 0.275)*CHOOSE(CONTROL!$C$42, 30, 30))/1000000</f>
        <v>4.125</v>
      </c>
      <c r="W1050" s="56">
        <f>(1000*CHOOSE(CONTROL!$C$42, 0.1146, 0.1146)*CHOOSE(CONTROL!$C$42, 121.5, 121.5)*CHOOSE(CONTROL!$C$42, 30, 30))/1000000</f>
        <v>0.417717</v>
      </c>
      <c r="X1050" s="56">
        <f>(30*0.1790888*245000/1000000)+(30*0.2374*100000/1000000)</f>
        <v>2.0285026799999999</v>
      </c>
      <c r="Y1050" s="56"/>
      <c r="Z1050" s="14"/>
      <c r="AA1050" s="55"/>
      <c r="AB1050" s="49">
        <f>(B1050*194.205+C1050*267.466+D1050*133.845+E1050*53.484+F1050*40+G1050*185+H1050*0+I1050*100+J1050*300)/(194.205+267.466+133.845+53.484+0+40+185+100+300)</f>
        <v>156.40112770918367</v>
      </c>
      <c r="AC1050" s="45">
        <f>(M1050*'RAP TEMPLATE-GAS AVAILABILITY'!O1049+N1050*'RAP TEMPLATE-GAS AVAILABILITY'!P1049+O1050*'RAP TEMPLATE-GAS AVAILABILITY'!Q1049+P1050*'RAP TEMPLATE-GAS AVAILABILITY'!R1049)/('RAP TEMPLATE-GAS AVAILABILITY'!O1049+'RAP TEMPLATE-GAS AVAILABILITY'!P1049+'RAP TEMPLATE-GAS AVAILABILITY'!Q1049+'RAP TEMPLATE-GAS AVAILABILITY'!R1049)</f>
        <v>153.71072230215827</v>
      </c>
    </row>
    <row r="1051" spans="1:29" ht="15.75" x14ac:dyDescent="0.25">
      <c r="A1051" s="32">
        <v>72897</v>
      </c>
      <c r="B1051" s="14">
        <f>CHOOSE(CONTROL!$C$42, 153.3104, 153.3104) * CHOOSE(CONTROL!$C$21, $C$9, 100%, $E$9)</f>
        <v>153.31039999999999</v>
      </c>
      <c r="C1051" s="14">
        <f>CHOOSE(CONTROL!$C$42, 153.3184, 153.3184) * CHOOSE(CONTROL!$C$21, $C$9, 100%, $E$9)</f>
        <v>153.3184</v>
      </c>
      <c r="D1051" s="14">
        <f>CHOOSE(CONTROL!$C$42, 153.5775, 153.5775) * CHOOSE(CONTROL!$C$21, $C$9, 100%, $E$9)</f>
        <v>153.57749999999999</v>
      </c>
      <c r="E1051" s="14">
        <f>CHOOSE(CONTROL!$C$42, 153.609, 153.609) * CHOOSE(CONTROL!$C$21, $C$9, 100%, $E$9)</f>
        <v>153.60900000000001</v>
      </c>
      <c r="F1051" s="14">
        <f>CHOOSE(CONTROL!$C$42, 153.3326, 153.3326)*CHOOSE(CONTROL!$C$21, $C$9, 100%, $E$9)</f>
        <v>153.33260000000001</v>
      </c>
      <c r="G1051" s="14">
        <f>CHOOSE(CONTROL!$C$42, 153.3498, 153.3498)*CHOOSE(CONTROL!$C$21, $C$9, 100%, $E$9)</f>
        <v>153.34979999999999</v>
      </c>
      <c r="H1051" s="14">
        <f>CHOOSE(CONTROL!$C$42, 153.5976, 153.5976) * CHOOSE(CONTROL!$C$21, $C$9, 100%, $E$9)</f>
        <v>153.5976</v>
      </c>
      <c r="I1051" s="14">
        <f>CHOOSE(CONTROL!$C$42, 153.8117, 153.8117)* CHOOSE(CONTROL!$C$21, $C$9, 100%, $E$9)</f>
        <v>153.8117</v>
      </c>
      <c r="J1051" s="14">
        <f>CHOOSE(CONTROL!$C$42, 153.3256, 153.3256)* CHOOSE(CONTROL!$C$21, $C$9, 100%, $E$9)</f>
        <v>153.32560000000001</v>
      </c>
      <c r="K1051" s="52">
        <f>CHOOSE(CONTROL!$C$42, 153.8078, 153.8078) * CHOOSE(CONTROL!$C$21, $C$9, 100%, $E$9)</f>
        <v>153.80779999999999</v>
      </c>
      <c r="L1051" s="14">
        <f>CHOOSE(CONTROL!$C$42, 154.1846, 154.1846) * CHOOSE(CONTROL!$C$21, $C$9, 100%, $E$9)</f>
        <v>154.18459999999999</v>
      </c>
      <c r="M1051" s="14">
        <f>CHOOSE(CONTROL!$C$42, 150.5755, 150.5755) * CHOOSE(CONTROL!$C$21, $C$9, 100%, $E$9)</f>
        <v>150.57550000000001</v>
      </c>
      <c r="N1051" s="14">
        <f>CHOOSE(CONTROL!$C$42, 150.5923, 150.5923) * CHOOSE(CONTROL!$C$21, $C$9, 100%, $E$9)</f>
        <v>150.59229999999999</v>
      </c>
      <c r="O1051" s="14">
        <f>CHOOSE(CONTROL!$C$42, 150.8426, 150.8426) * CHOOSE(CONTROL!$C$21, $C$9, 100%, $E$9)</f>
        <v>150.8426</v>
      </c>
      <c r="P1051" s="14">
        <f>CHOOSE(CONTROL!$C$42, 151.0444, 151.0444) * CHOOSE(CONTROL!$C$21, $C$9, 100%, $E$9)</f>
        <v>151.0444</v>
      </c>
      <c r="Q1051" s="14">
        <f>CHOOSE(CONTROL!$C$42, 151.4373, 151.4373) * CHOOSE(CONTROL!$C$21, $C$9, 100%, $E$9)</f>
        <v>151.43729999999999</v>
      </c>
      <c r="R1051" s="14">
        <f>CHOOSE(CONTROL!$C$42, 152.4029, 152.4029) * CHOOSE(CONTROL!$C$21, $C$9, 100%, $E$9)</f>
        <v>152.40289999999999</v>
      </c>
      <c r="S1051" s="14">
        <f>CHOOSE(CONTROL!$C$42, 147.3054, 147.3054) * CHOOSE(CONTROL!$C$21, $C$9, 100%, $E$9)</f>
        <v>147.30539999999999</v>
      </c>
      <c r="T10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51" s="56">
        <f>(1000*CHOOSE(CONTROL!$C$42, 695, 695)*CHOOSE(CONTROL!$C$42, 0.5599, 0.5599)*CHOOSE(CONTROL!$C$42, 31, 31))/1000000</f>
        <v>12.063045499999998</v>
      </c>
      <c r="V1051" s="56">
        <f>(1000*CHOOSE(CONTROL!$C$42, 500, 500)*CHOOSE(CONTROL!$C$42, 0.275, 0.275)*CHOOSE(CONTROL!$C$42, 31, 31))/1000000</f>
        <v>4.2625000000000002</v>
      </c>
      <c r="W1051" s="56">
        <f>(1000*CHOOSE(CONTROL!$C$42, 0.1146, 0.1146)*CHOOSE(CONTROL!$C$42, 121.5, 121.5)*CHOOSE(CONTROL!$C$42, 31, 31))/1000000</f>
        <v>0.43164089999999994</v>
      </c>
      <c r="X1051" s="56">
        <f>(31*0.1790888*245000/1000000)+(31*0.2374*100000/1000000)</f>
        <v>2.0961194359999999</v>
      </c>
      <c r="Y1051" s="56"/>
      <c r="Z1051" s="14"/>
      <c r="AA1051" s="55"/>
      <c r="AB1051" s="49">
        <f>(B1051*194.205+C1051*267.466+D1051*133.845+E1051*53.484+F1051*40+G1051*185+H1051*0+I1051*100+J1051*300)/(194.205+267.466+133.845+53.484+0+40+185+100+300)</f>
        <v>153.40202248814757</v>
      </c>
      <c r="AC1051" s="45">
        <f>(M1051*'RAP TEMPLATE-GAS AVAILABILITY'!O1050+N1051*'RAP TEMPLATE-GAS AVAILABILITY'!P1050+O1051*'RAP TEMPLATE-GAS AVAILABILITY'!Q1050+P1051*'RAP TEMPLATE-GAS AVAILABILITY'!R1050)/('RAP TEMPLATE-GAS AVAILABILITY'!O1050+'RAP TEMPLATE-GAS AVAILABILITY'!P1050+'RAP TEMPLATE-GAS AVAILABILITY'!Q1050+'RAP TEMPLATE-GAS AVAILABILITY'!R1050)</f>
        <v>150.76499424460431</v>
      </c>
    </row>
    <row r="1052" spans="1:29" ht="15.75" x14ac:dyDescent="0.25">
      <c r="A1052" s="32">
        <v>72928</v>
      </c>
      <c r="B1052" s="14">
        <f>CHOOSE(CONTROL!$C$42, 145.7382, 145.7382) * CHOOSE(CONTROL!$C$21, $C$9, 100%, $E$9)</f>
        <v>145.73820000000001</v>
      </c>
      <c r="C1052" s="14">
        <f>CHOOSE(CONTROL!$C$42, 145.7462, 145.7462) * CHOOSE(CONTROL!$C$21, $C$9, 100%, $E$9)</f>
        <v>145.74619999999999</v>
      </c>
      <c r="D1052" s="14">
        <f>CHOOSE(CONTROL!$C$42, 146.0053, 146.0053) * CHOOSE(CONTROL!$C$21, $C$9, 100%, $E$9)</f>
        <v>146.00530000000001</v>
      </c>
      <c r="E1052" s="14">
        <f>CHOOSE(CONTROL!$C$42, 146.0368, 146.0368) * CHOOSE(CONTROL!$C$21, $C$9, 100%, $E$9)</f>
        <v>146.0368</v>
      </c>
      <c r="F1052" s="14">
        <f>CHOOSE(CONTROL!$C$42, 145.7606, 145.7606)*CHOOSE(CONTROL!$C$21, $C$9, 100%, $E$9)</f>
        <v>145.76060000000001</v>
      </c>
      <c r="G1052" s="14">
        <f>CHOOSE(CONTROL!$C$42, 145.7778, 145.7778)*CHOOSE(CONTROL!$C$21, $C$9, 100%, $E$9)</f>
        <v>145.77780000000001</v>
      </c>
      <c r="H1052" s="14">
        <f>CHOOSE(CONTROL!$C$42, 146.0254, 146.0254) * CHOOSE(CONTROL!$C$21, $C$9, 100%, $E$9)</f>
        <v>146.02539999999999</v>
      </c>
      <c r="I1052" s="14">
        <f>CHOOSE(CONTROL!$C$42, 146.2157, 146.2157)* CHOOSE(CONTROL!$C$21, $C$9, 100%, $E$9)</f>
        <v>146.2157</v>
      </c>
      <c r="J1052" s="14">
        <f>CHOOSE(CONTROL!$C$42, 145.7536, 145.7536)* CHOOSE(CONTROL!$C$21, $C$9, 100%, $E$9)</f>
        <v>145.75360000000001</v>
      </c>
      <c r="K1052" s="52">
        <f>CHOOSE(CONTROL!$C$42, 146.2118, 146.2118) * CHOOSE(CONTROL!$C$21, $C$9, 100%, $E$9)</f>
        <v>146.21180000000001</v>
      </c>
      <c r="L1052" s="14">
        <f>CHOOSE(CONTROL!$C$42, 146.6124, 146.6124) * CHOOSE(CONTROL!$C$21, $C$9, 100%, $E$9)</f>
        <v>146.61240000000001</v>
      </c>
      <c r="M1052" s="14">
        <f>CHOOSE(CONTROL!$C$42, 143.1397, 143.1397) * CHOOSE(CONTROL!$C$21, $C$9, 100%, $E$9)</f>
        <v>143.1397</v>
      </c>
      <c r="N1052" s="14">
        <f>CHOOSE(CONTROL!$C$42, 143.1566, 143.1566) * CHOOSE(CONTROL!$C$21, $C$9, 100%, $E$9)</f>
        <v>143.1566</v>
      </c>
      <c r="O1052" s="14">
        <f>CHOOSE(CONTROL!$C$42, 143.4066, 143.4066) * CHOOSE(CONTROL!$C$21, $C$9, 100%, $E$9)</f>
        <v>143.4066</v>
      </c>
      <c r="P1052" s="14">
        <f>CHOOSE(CONTROL!$C$42, 143.5854, 143.5854) * CHOOSE(CONTROL!$C$21, $C$9, 100%, $E$9)</f>
        <v>143.58539999999999</v>
      </c>
      <c r="Q1052" s="14">
        <f>CHOOSE(CONTROL!$C$42, 144.0013, 144.0013) * CHOOSE(CONTROL!$C$21, $C$9, 100%, $E$9)</f>
        <v>144.00129999999999</v>
      </c>
      <c r="R1052" s="14">
        <f>CHOOSE(CONTROL!$C$42, 144.9483, 144.9483) * CHOOSE(CONTROL!$C$21, $C$9, 100%, $E$9)</f>
        <v>144.94829999999999</v>
      </c>
      <c r="S1052" s="14">
        <f>CHOOSE(CONTROL!$C$42, 140.0292, 140.0292) * CHOOSE(CONTROL!$C$21, $C$9, 100%, $E$9)</f>
        <v>140.0292</v>
      </c>
      <c r="T10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52" s="56">
        <f>(1000*CHOOSE(CONTROL!$C$42, 695, 695)*CHOOSE(CONTROL!$C$42, 0.5599, 0.5599)*CHOOSE(CONTROL!$C$42, 31, 31))/1000000</f>
        <v>12.063045499999998</v>
      </c>
      <c r="V1052" s="56">
        <f>(1000*CHOOSE(CONTROL!$C$42, 500, 500)*CHOOSE(CONTROL!$C$42, 0.275, 0.275)*CHOOSE(CONTROL!$C$42, 31, 31))/1000000</f>
        <v>4.2625000000000002</v>
      </c>
      <c r="W1052" s="56">
        <f>(1000*CHOOSE(CONTROL!$C$42, 0.1146, 0.1146)*CHOOSE(CONTROL!$C$42, 121.5, 121.5)*CHOOSE(CONTROL!$C$42, 31, 31))/1000000</f>
        <v>0.43164089999999994</v>
      </c>
      <c r="X1052" s="56">
        <f>(31*0.1790888*245000/1000000)+(31*0.2374*100000/1000000)</f>
        <v>2.0961194359999999</v>
      </c>
      <c r="Y1052" s="56"/>
      <c r="Z1052" s="14"/>
      <c r="AA1052" s="55"/>
      <c r="AB1052" s="49">
        <f>(B1052*194.205+C1052*267.466+D1052*133.845+E1052*53.484+F1052*40+G1052*185+H1052*0+I1052*100+J1052*300)/(194.205+267.466+133.845+53.484+0+40+185+100+300)</f>
        <v>145.82803677386187</v>
      </c>
      <c r="AC1052" s="45">
        <f>(M1052*'RAP TEMPLATE-GAS AVAILABILITY'!O1051+N1052*'RAP TEMPLATE-GAS AVAILABILITY'!P1051+O1052*'RAP TEMPLATE-GAS AVAILABILITY'!Q1051+P1052*'RAP TEMPLATE-GAS AVAILABILITY'!R1051)/('RAP TEMPLATE-GAS AVAILABILITY'!O1051+'RAP TEMPLATE-GAS AVAILABILITY'!P1051+'RAP TEMPLATE-GAS AVAILABILITY'!Q1051+'RAP TEMPLATE-GAS AVAILABILITY'!R1051)</f>
        <v>143.32577122302158</v>
      </c>
    </row>
    <row r="1053" spans="1:29" ht="15.75" x14ac:dyDescent="0.25">
      <c r="A1053" s="32">
        <v>72958</v>
      </c>
      <c r="B1053" s="14">
        <f>CHOOSE(CONTROL!$C$42, 136.4861, 136.4861) * CHOOSE(CONTROL!$C$21, $C$9, 100%, $E$9)</f>
        <v>136.48609999999999</v>
      </c>
      <c r="C1053" s="14">
        <f>CHOOSE(CONTROL!$C$42, 136.4941, 136.4941) * CHOOSE(CONTROL!$C$21, $C$9, 100%, $E$9)</f>
        <v>136.4941</v>
      </c>
      <c r="D1053" s="14">
        <f>CHOOSE(CONTROL!$C$42, 136.7532, 136.7532) * CHOOSE(CONTROL!$C$21, $C$9, 100%, $E$9)</f>
        <v>136.75319999999999</v>
      </c>
      <c r="E1053" s="14">
        <f>CHOOSE(CONTROL!$C$42, 136.7847, 136.7847) * CHOOSE(CONTROL!$C$21, $C$9, 100%, $E$9)</f>
        <v>136.78469999999999</v>
      </c>
      <c r="F1053" s="14">
        <f>CHOOSE(CONTROL!$C$42, 136.5086, 136.5086)*CHOOSE(CONTROL!$C$21, $C$9, 100%, $E$9)</f>
        <v>136.5086</v>
      </c>
      <c r="G1053" s="14">
        <f>CHOOSE(CONTROL!$C$42, 136.5258, 136.5258)*CHOOSE(CONTROL!$C$21, $C$9, 100%, $E$9)</f>
        <v>136.5258</v>
      </c>
      <c r="H1053" s="14">
        <f>CHOOSE(CONTROL!$C$42, 136.7733, 136.7733) * CHOOSE(CONTROL!$C$21, $C$9, 100%, $E$9)</f>
        <v>136.77330000000001</v>
      </c>
      <c r="I1053" s="14">
        <f>CHOOSE(CONTROL!$C$42, 136.9346, 136.9346)* CHOOSE(CONTROL!$C$21, $C$9, 100%, $E$9)</f>
        <v>136.93459999999999</v>
      </c>
      <c r="J1053" s="14">
        <f>CHOOSE(CONTROL!$C$42, 136.5016, 136.5016)* CHOOSE(CONTROL!$C$21, $C$9, 100%, $E$9)</f>
        <v>136.5016</v>
      </c>
      <c r="K1053" s="52">
        <f>CHOOSE(CONTROL!$C$42, 136.9308, 136.9308) * CHOOSE(CONTROL!$C$21, $C$9, 100%, $E$9)</f>
        <v>136.9308</v>
      </c>
      <c r="L1053" s="14">
        <f>CHOOSE(CONTROL!$C$42, 137.3603, 137.3603) * CHOOSE(CONTROL!$C$21, $C$9, 100%, $E$9)</f>
        <v>137.3603</v>
      </c>
      <c r="M1053" s="14">
        <f>CHOOSE(CONTROL!$C$42, 134.054, 134.054) * CHOOSE(CONTROL!$C$21, $C$9, 100%, $E$9)</f>
        <v>134.054</v>
      </c>
      <c r="N1053" s="14">
        <f>CHOOSE(CONTROL!$C$42, 134.071, 134.071) * CHOOSE(CONTROL!$C$21, $C$9, 100%, $E$9)</f>
        <v>134.071</v>
      </c>
      <c r="O1053" s="14">
        <f>CHOOSE(CONTROL!$C$42, 134.3209, 134.3209) * CHOOSE(CONTROL!$C$21, $C$9, 100%, $E$9)</f>
        <v>134.32089999999999</v>
      </c>
      <c r="P1053" s="14">
        <f>CHOOSE(CONTROL!$C$42, 134.4718, 134.4718) * CHOOSE(CONTROL!$C$21, $C$9, 100%, $E$9)</f>
        <v>134.4718</v>
      </c>
      <c r="Q1053" s="14">
        <f>CHOOSE(CONTROL!$C$42, 134.9156, 134.9156) * CHOOSE(CONTROL!$C$21, $C$9, 100%, $E$9)</f>
        <v>134.91560000000001</v>
      </c>
      <c r="R1053" s="14">
        <f>CHOOSE(CONTROL!$C$42, 135.8399, 135.8399) * CHOOSE(CONTROL!$C$21, $C$9, 100%, $E$9)</f>
        <v>135.8399</v>
      </c>
      <c r="S1053" s="14">
        <f>CHOOSE(CONTROL!$C$42, 131.1389, 131.1389) * CHOOSE(CONTROL!$C$21, $C$9, 100%, $E$9)</f>
        <v>131.13890000000001</v>
      </c>
      <c r="T10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53" s="56">
        <f>(1000*CHOOSE(CONTROL!$C$42, 695, 695)*CHOOSE(CONTROL!$C$42, 0.5599, 0.5599)*CHOOSE(CONTROL!$C$42, 30, 30))/1000000</f>
        <v>11.673914999999997</v>
      </c>
      <c r="V1053" s="56">
        <f>(1000*CHOOSE(CONTROL!$C$42, 500, 500)*CHOOSE(CONTROL!$C$42, 0.275, 0.275)*CHOOSE(CONTROL!$C$42, 30, 30))/1000000</f>
        <v>4.125</v>
      </c>
      <c r="W1053" s="56">
        <f>(1000*CHOOSE(CONTROL!$C$42, 0.1146, 0.1146)*CHOOSE(CONTROL!$C$42, 121.5, 121.5)*CHOOSE(CONTROL!$C$42, 30, 30))/1000000</f>
        <v>0.417717</v>
      </c>
      <c r="X1053" s="56">
        <f>(30*0.1790888*245000/1000000)+(30*0.2374*100000/1000000)</f>
        <v>2.0285026799999999</v>
      </c>
      <c r="Y1053" s="56"/>
      <c r="Z1053" s="14"/>
      <c r="AA1053" s="55"/>
      <c r="AB1053" s="49">
        <f>(B1053*194.205+C1053*267.466+D1053*133.845+E1053*53.484+F1053*40+G1053*185+H1053*0+I1053*100+J1053*300)/(194.205+267.466+133.845+53.484+0+40+185+100+300)</f>
        <v>136.57370168751964</v>
      </c>
      <c r="AC1053" s="45">
        <f>(M1053*'RAP TEMPLATE-GAS AVAILABILITY'!O1052+N1053*'RAP TEMPLATE-GAS AVAILABILITY'!P1052+O1053*'RAP TEMPLATE-GAS AVAILABILITY'!Q1052+P1053*'RAP TEMPLATE-GAS AVAILABILITY'!R1052)/('RAP TEMPLATE-GAS AVAILABILITY'!O1052+'RAP TEMPLATE-GAS AVAILABILITY'!P1052+'RAP TEMPLATE-GAS AVAILABILITY'!Q1052+'RAP TEMPLATE-GAS AVAILABILITY'!R1052)</f>
        <v>134.23606258992805</v>
      </c>
    </row>
    <row r="1054" spans="1:29" ht="15.75" x14ac:dyDescent="0.25">
      <c r="A1054" s="32">
        <v>72989</v>
      </c>
      <c r="B1054" s="14">
        <f>CHOOSE(CONTROL!$C$42, 133.7134, 133.7134) * CHOOSE(CONTROL!$C$21, $C$9, 100%, $E$9)</f>
        <v>133.71340000000001</v>
      </c>
      <c r="C1054" s="14">
        <f>CHOOSE(CONTROL!$C$42, 133.7187, 133.7187) * CHOOSE(CONTROL!$C$21, $C$9, 100%, $E$9)</f>
        <v>133.71870000000001</v>
      </c>
      <c r="D1054" s="14">
        <f>CHOOSE(CONTROL!$C$42, 133.9827, 133.9827) * CHOOSE(CONTROL!$C$21, $C$9, 100%, $E$9)</f>
        <v>133.98269999999999</v>
      </c>
      <c r="E1054" s="14">
        <f>CHOOSE(CONTROL!$C$42, 134.0119, 134.0119) * CHOOSE(CONTROL!$C$21, $C$9, 100%, $E$9)</f>
        <v>134.0119</v>
      </c>
      <c r="F1054" s="14">
        <f>CHOOSE(CONTROL!$C$42, 133.738, 133.738)*CHOOSE(CONTROL!$C$21, $C$9, 100%, $E$9)</f>
        <v>133.738</v>
      </c>
      <c r="G1054" s="14">
        <f>CHOOSE(CONTROL!$C$42, 133.7551, 133.7551)*CHOOSE(CONTROL!$C$21, $C$9, 100%, $E$9)</f>
        <v>133.7551</v>
      </c>
      <c r="H1054" s="14">
        <f>CHOOSE(CONTROL!$C$42, 134.0023, 134.0023) * CHOOSE(CONTROL!$C$21, $C$9, 100%, $E$9)</f>
        <v>134.00229999999999</v>
      </c>
      <c r="I1054" s="14">
        <f>CHOOSE(CONTROL!$C$42, 134.155, 134.155)* CHOOSE(CONTROL!$C$21, $C$9, 100%, $E$9)</f>
        <v>134.155</v>
      </c>
      <c r="J1054" s="14">
        <f>CHOOSE(CONTROL!$C$42, 133.731, 133.731)* CHOOSE(CONTROL!$C$21, $C$9, 100%, $E$9)</f>
        <v>133.73099999999999</v>
      </c>
      <c r="K1054" s="52">
        <f>CHOOSE(CONTROL!$C$42, 134.1511, 134.1511) * CHOOSE(CONTROL!$C$21, $C$9, 100%, $E$9)</f>
        <v>134.15110000000001</v>
      </c>
      <c r="L1054" s="14">
        <f>CHOOSE(CONTROL!$C$42, 134.5893, 134.5893) * CHOOSE(CONTROL!$C$21, $C$9, 100%, $E$9)</f>
        <v>134.58930000000001</v>
      </c>
      <c r="M1054" s="14">
        <f>CHOOSE(CONTROL!$C$42, 131.3333, 131.3333) * CHOOSE(CONTROL!$C$21, $C$9, 100%, $E$9)</f>
        <v>131.33330000000001</v>
      </c>
      <c r="N1054" s="14">
        <f>CHOOSE(CONTROL!$C$42, 131.3501, 131.3501) * CHOOSE(CONTROL!$C$21, $C$9, 100%, $E$9)</f>
        <v>131.3501</v>
      </c>
      <c r="O1054" s="14">
        <f>CHOOSE(CONTROL!$C$42, 131.5998, 131.5998) * CHOOSE(CONTROL!$C$21, $C$9, 100%, $E$9)</f>
        <v>131.59979999999999</v>
      </c>
      <c r="P1054" s="14">
        <f>CHOOSE(CONTROL!$C$42, 131.7423, 131.7423) * CHOOSE(CONTROL!$C$21, $C$9, 100%, $E$9)</f>
        <v>131.7423</v>
      </c>
      <c r="Q1054" s="14">
        <f>CHOOSE(CONTROL!$C$42, 132.1945, 132.1945) * CHOOSE(CONTROL!$C$21, $C$9, 100%, $E$9)</f>
        <v>132.19450000000001</v>
      </c>
      <c r="R1054" s="14">
        <f>CHOOSE(CONTROL!$C$42, 133.1119, 133.1119) * CHOOSE(CONTROL!$C$21, $C$9, 100%, $E$9)</f>
        <v>133.11189999999999</v>
      </c>
      <c r="S1054" s="14">
        <f>CHOOSE(CONTROL!$C$42, 128.4762, 128.4762) * CHOOSE(CONTROL!$C$21, $C$9, 100%, $E$9)</f>
        <v>128.47620000000001</v>
      </c>
      <c r="T10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54" s="56">
        <f>(1000*CHOOSE(CONTROL!$C$42, 695, 695)*CHOOSE(CONTROL!$C$42, 0.5599, 0.5599)*CHOOSE(CONTROL!$C$42, 31, 31))/1000000</f>
        <v>12.063045499999998</v>
      </c>
      <c r="V1054" s="56">
        <f>(1000*CHOOSE(CONTROL!$C$42, 500, 500)*CHOOSE(CONTROL!$C$42, 0.275, 0.275)*CHOOSE(CONTROL!$C$42, 31, 31))/1000000</f>
        <v>4.2625000000000002</v>
      </c>
      <c r="W1054" s="56">
        <f>(1000*CHOOSE(CONTROL!$C$42, 0.1146, 0.1146)*CHOOSE(CONTROL!$C$42, 121.5, 121.5)*CHOOSE(CONTROL!$C$42, 31, 31))/1000000</f>
        <v>0.43164089999999994</v>
      </c>
      <c r="X1054" s="56">
        <f>(31*0.1790888*245000/1000000)+(31*0.2374*100000/1000000)</f>
        <v>2.0961194359999999</v>
      </c>
      <c r="Y1054" s="56"/>
      <c r="Z1054" s="14"/>
      <c r="AA1054" s="55"/>
      <c r="AB1054" s="49">
        <f>(B1054*131.881+C1054*277.167+D1054*79.08+E1054*125.872+F1054*40+G1054*185+H1054*0+I1054*100+J1054*300)/(131.881+277.167+79.08+125.872+0+40+185+100+300)</f>
        <v>133.80902269661019</v>
      </c>
      <c r="AC1054" s="45">
        <f>(M1054*'RAP TEMPLATE-GAS AVAILABILITY'!O1053+N1054*'RAP TEMPLATE-GAS AVAILABILITY'!P1053+O1054*'RAP TEMPLATE-GAS AVAILABILITY'!Q1053+P1054*'RAP TEMPLATE-GAS AVAILABILITY'!R1053)/('RAP TEMPLATE-GAS AVAILABILITY'!O1053+'RAP TEMPLATE-GAS AVAILABILITY'!P1053+'RAP TEMPLATE-GAS AVAILABILITY'!Q1053+'RAP TEMPLATE-GAS AVAILABILITY'!R1053)</f>
        <v>131.51390359712229</v>
      </c>
    </row>
    <row r="1055" spans="1:29" ht="15.75" x14ac:dyDescent="0.25">
      <c r="A1055" s="32">
        <v>73019</v>
      </c>
      <c r="B1055" s="14">
        <f>CHOOSE(CONTROL!$C$42, 137.2353, 137.2353) * CHOOSE(CONTROL!$C$21, $C$9, 100%, $E$9)</f>
        <v>137.2353</v>
      </c>
      <c r="C1055" s="14">
        <f>CHOOSE(CONTROL!$C$42, 137.2404, 137.2404) * CHOOSE(CONTROL!$C$21, $C$9, 100%, $E$9)</f>
        <v>137.24039999999999</v>
      </c>
      <c r="D1055" s="14">
        <f>CHOOSE(CONTROL!$C$42, 137.3235, 137.3235) * CHOOSE(CONTROL!$C$21, $C$9, 100%, $E$9)</f>
        <v>137.3235</v>
      </c>
      <c r="E1055" s="14">
        <f>CHOOSE(CONTROL!$C$42, 137.3576, 137.3576) * CHOOSE(CONTROL!$C$21, $C$9, 100%, $E$9)</f>
        <v>137.35759999999999</v>
      </c>
      <c r="F1055" s="14">
        <f>CHOOSE(CONTROL!$C$42, 137.263, 137.263)*CHOOSE(CONTROL!$C$21, $C$9, 100%, $E$9)</f>
        <v>137.26300000000001</v>
      </c>
      <c r="G1055" s="14">
        <f>CHOOSE(CONTROL!$C$42, 137.2803, 137.2803)*CHOOSE(CONTROL!$C$21, $C$9, 100%, $E$9)</f>
        <v>137.28030000000001</v>
      </c>
      <c r="H1055" s="14">
        <f>CHOOSE(CONTROL!$C$42, 137.3468, 137.3468) * CHOOSE(CONTROL!$C$21, $C$9, 100%, $E$9)</f>
        <v>137.3468</v>
      </c>
      <c r="I1055" s="14">
        <f>CHOOSE(CONTROL!$C$42, 137.6848, 137.6848)* CHOOSE(CONTROL!$C$21, $C$9, 100%, $E$9)</f>
        <v>137.6848</v>
      </c>
      <c r="J1055" s="14">
        <f>CHOOSE(CONTROL!$C$42, 137.256, 137.256)* CHOOSE(CONTROL!$C$21, $C$9, 100%, $E$9)</f>
        <v>137.256</v>
      </c>
      <c r="K1055" s="52">
        <f>CHOOSE(CONTROL!$C$42, 137.6809, 137.6809) * CHOOSE(CONTROL!$C$21, $C$9, 100%, $E$9)</f>
        <v>137.68090000000001</v>
      </c>
      <c r="L1055" s="14">
        <f>CHOOSE(CONTROL!$C$42, 137.9338, 137.9338) * CHOOSE(CONTROL!$C$21, $C$9, 100%, $E$9)</f>
        <v>137.93379999999999</v>
      </c>
      <c r="M1055" s="14">
        <f>CHOOSE(CONTROL!$C$42, 134.7949, 134.7949) * CHOOSE(CONTROL!$C$21, $C$9, 100%, $E$9)</f>
        <v>134.79490000000001</v>
      </c>
      <c r="N1055" s="14">
        <f>CHOOSE(CONTROL!$C$42, 134.8119, 134.8119) * CHOOSE(CONTROL!$C$21, $C$9, 100%, $E$9)</f>
        <v>134.81190000000001</v>
      </c>
      <c r="O1055" s="14">
        <f>CHOOSE(CONTROL!$C$42, 134.884, 134.884) * CHOOSE(CONTROL!$C$21, $C$9, 100%, $E$9)</f>
        <v>134.88399999999999</v>
      </c>
      <c r="P1055" s="14">
        <f>CHOOSE(CONTROL!$C$42, 135.2084, 135.2084) * CHOOSE(CONTROL!$C$21, $C$9, 100%, $E$9)</f>
        <v>135.20840000000001</v>
      </c>
      <c r="Q1055" s="14">
        <f>CHOOSE(CONTROL!$C$42, 135.4787, 135.4787) * CHOOSE(CONTROL!$C$21, $C$9, 100%, $E$9)</f>
        <v>135.4787</v>
      </c>
      <c r="R1055" s="14">
        <f>CHOOSE(CONTROL!$C$42, 136.4044, 136.4044) * CHOOSE(CONTROL!$C$21, $C$9, 100%, $E$9)</f>
        <v>136.40440000000001</v>
      </c>
      <c r="S1055" s="14">
        <f>CHOOSE(CONTROL!$C$42, 131.8609, 131.8609) * CHOOSE(CONTROL!$C$21, $C$9, 100%, $E$9)</f>
        <v>131.86089999999999</v>
      </c>
      <c r="T10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55" s="56">
        <f>(1000*CHOOSE(CONTROL!$C$42, 695, 695)*CHOOSE(CONTROL!$C$42, 0.5599, 0.5599)*CHOOSE(CONTROL!$C$42, 30, 30))/1000000</f>
        <v>11.673914999999997</v>
      </c>
      <c r="V1055" s="56">
        <f>(1000*CHOOSE(CONTROL!$C$42, 500, 500)*CHOOSE(CONTROL!$C$42, 0.275, 0.275)*CHOOSE(CONTROL!$C$42, 30, 30))/1000000</f>
        <v>4.125</v>
      </c>
      <c r="W1055" s="56">
        <f>(1000*CHOOSE(CONTROL!$C$42, 0.1146, 0.1146)*CHOOSE(CONTROL!$C$42, 121.5, 121.5)*CHOOSE(CONTROL!$C$42, 30, 30))/1000000</f>
        <v>0.417717</v>
      </c>
      <c r="X1055" s="56">
        <f>(30*0.1790888*100000/1000000)+(30*0.2374*100000/1000000)</f>
        <v>1.2494664</v>
      </c>
      <c r="Y1055" s="56"/>
      <c r="Z1055" s="14"/>
      <c r="AA1055" s="55"/>
      <c r="AB1055" s="49">
        <f>(B1055*122.58+C1055*297.941+D1055*89.177+E1055*40.302+F1055*40+G1055*160+H1055*0+I1055*100+J1055*300)/(122.58+297.941+89.177+40.302+0+40+160+100+300)</f>
        <v>137.2994581261739</v>
      </c>
      <c r="AC1055" s="45">
        <f>(M1055*'RAP TEMPLATE-GAS AVAILABILITY'!O1054+N1055*'RAP TEMPLATE-GAS AVAILABILITY'!P1054+O1055*'RAP TEMPLATE-GAS AVAILABILITY'!Q1054+P1055*'RAP TEMPLATE-GAS AVAILABILITY'!R1054)/('RAP TEMPLATE-GAS AVAILABILITY'!O1054+'RAP TEMPLATE-GAS AVAILABILITY'!P1054+'RAP TEMPLATE-GAS AVAILABILITY'!Q1054+'RAP TEMPLATE-GAS AVAILABILITY'!R1054)</f>
        <v>134.89575827338129</v>
      </c>
    </row>
    <row r="1056" spans="1:29" ht="15.75" x14ac:dyDescent="0.25">
      <c r="A1056" s="32">
        <v>73050</v>
      </c>
      <c r="B1056" s="14">
        <f>CHOOSE(CONTROL!$C$42, 146.5913, 146.5913) * CHOOSE(CONTROL!$C$21, $C$9, 100%, $E$9)</f>
        <v>146.59129999999999</v>
      </c>
      <c r="C1056" s="14">
        <f>CHOOSE(CONTROL!$C$42, 146.5964, 146.5964) * CHOOSE(CONTROL!$C$21, $C$9, 100%, $E$9)</f>
        <v>146.59639999999999</v>
      </c>
      <c r="D1056" s="14">
        <f>CHOOSE(CONTROL!$C$42, 146.6795, 146.6795) * CHOOSE(CONTROL!$C$21, $C$9, 100%, $E$9)</f>
        <v>146.67949999999999</v>
      </c>
      <c r="E1056" s="14">
        <f>CHOOSE(CONTROL!$C$42, 146.7136, 146.7136) * CHOOSE(CONTROL!$C$21, $C$9, 100%, $E$9)</f>
        <v>146.71360000000001</v>
      </c>
      <c r="F1056" s="14">
        <f>CHOOSE(CONTROL!$C$42, 146.6214, 146.6214)*CHOOSE(CONTROL!$C$21, $C$9, 100%, $E$9)</f>
        <v>146.62139999999999</v>
      </c>
      <c r="G1056" s="14">
        <f>CHOOSE(CONTROL!$C$42, 146.6394, 146.6394)*CHOOSE(CONTROL!$C$21, $C$9, 100%, $E$9)</f>
        <v>146.63939999999999</v>
      </c>
      <c r="H1056" s="14">
        <f>CHOOSE(CONTROL!$C$42, 146.7028, 146.7028) * CHOOSE(CONTROL!$C$21, $C$9, 100%, $E$9)</f>
        <v>146.7028</v>
      </c>
      <c r="I1056" s="14">
        <f>CHOOSE(CONTROL!$C$42, 147.0701, 147.0701)* CHOOSE(CONTROL!$C$21, $C$9, 100%, $E$9)</f>
        <v>147.0701</v>
      </c>
      <c r="J1056" s="14">
        <f>CHOOSE(CONTROL!$C$42, 146.6144, 146.6144)* CHOOSE(CONTROL!$C$21, $C$9, 100%, $E$9)</f>
        <v>146.61439999999999</v>
      </c>
      <c r="K1056" s="52">
        <f>CHOOSE(CONTROL!$C$42, 147.0662, 147.0662) * CHOOSE(CONTROL!$C$21, $C$9, 100%, $E$9)</f>
        <v>147.06620000000001</v>
      </c>
      <c r="L1056" s="14">
        <f>CHOOSE(CONTROL!$C$42, 147.2898, 147.2898) * CHOOSE(CONTROL!$C$21, $C$9, 100%, $E$9)</f>
        <v>147.28980000000001</v>
      </c>
      <c r="M1056" s="14">
        <f>CHOOSE(CONTROL!$C$42, 143.985, 143.985) * CHOOSE(CONTROL!$C$21, $C$9, 100%, $E$9)</f>
        <v>143.98500000000001</v>
      </c>
      <c r="N1056" s="14">
        <f>CHOOSE(CONTROL!$C$42, 144.0026, 144.0026) * CHOOSE(CONTROL!$C$21, $C$9, 100%, $E$9)</f>
        <v>144.0026</v>
      </c>
      <c r="O1056" s="14">
        <f>CHOOSE(CONTROL!$C$42, 144.0717, 144.0717) * CHOOSE(CONTROL!$C$21, $C$9, 100%, $E$9)</f>
        <v>144.07169999999999</v>
      </c>
      <c r="P1056" s="14">
        <f>CHOOSE(CONTROL!$C$42, 144.4244, 144.4244) * CHOOSE(CONTROL!$C$21, $C$9, 100%, $E$9)</f>
        <v>144.42439999999999</v>
      </c>
      <c r="Q1056" s="14">
        <f>CHOOSE(CONTROL!$C$42, 144.6664, 144.6664) * CHOOSE(CONTROL!$C$21, $C$9, 100%, $E$9)</f>
        <v>144.66640000000001</v>
      </c>
      <c r="R1056" s="14">
        <f>CHOOSE(CONTROL!$C$42, 145.6151, 145.6151) * CHOOSE(CONTROL!$C$21, $C$9, 100%, $E$9)</f>
        <v>145.61510000000001</v>
      </c>
      <c r="S1056" s="14">
        <f>CHOOSE(CONTROL!$C$42, 140.8511, 140.8511) * CHOOSE(CONTROL!$C$21, $C$9, 100%, $E$9)</f>
        <v>140.8511</v>
      </c>
      <c r="T10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56" s="56">
        <f>(1000*CHOOSE(CONTROL!$C$42, 695, 695)*CHOOSE(CONTROL!$C$42, 0.5599, 0.5599)*CHOOSE(CONTROL!$C$42, 31, 31))/1000000</f>
        <v>12.063045499999998</v>
      </c>
      <c r="V1056" s="56">
        <f>(1000*CHOOSE(CONTROL!$C$42, 500, 500)*CHOOSE(CONTROL!$C$42, 0.275, 0.275)*CHOOSE(CONTROL!$C$42, 31, 31))/1000000</f>
        <v>4.2625000000000002</v>
      </c>
      <c r="W1056" s="56">
        <f>(1000*CHOOSE(CONTROL!$C$42, 0.1146, 0.1146)*CHOOSE(CONTROL!$C$42, 121.5, 121.5)*CHOOSE(CONTROL!$C$42, 31, 31))/1000000</f>
        <v>0.43164089999999994</v>
      </c>
      <c r="X1056" s="56">
        <f>(31*0.1790888*100000/1000000)+(31*0.2374*100000/1000000)</f>
        <v>1.2911152800000001</v>
      </c>
      <c r="Y1056" s="56"/>
      <c r="Z1056" s="14"/>
      <c r="AA1056" s="55"/>
      <c r="AB1056" s="49">
        <f>(B1056*122.58+C1056*297.941+D1056*89.177+E1056*40.302+F1056*40+G1056*160+H1056*0+I1056*100+J1056*300)/(122.58+297.941+89.177+40.302+0+40+160+100+300)</f>
        <v>146.65914682182608</v>
      </c>
      <c r="AC1056" s="45">
        <f>(M1056*'RAP TEMPLATE-GAS AVAILABILITY'!O1055+N1056*'RAP TEMPLATE-GAS AVAILABILITY'!P1055+O1056*'RAP TEMPLATE-GAS AVAILABILITY'!Q1055+P1056*'RAP TEMPLATE-GAS AVAILABILITY'!R1055)/('RAP TEMPLATE-GAS AVAILABILITY'!O1055+'RAP TEMPLATE-GAS AVAILABILITY'!P1055+'RAP TEMPLATE-GAS AVAILABILITY'!Q1055+'RAP TEMPLATE-GAS AVAILABILITY'!R1055)</f>
        <v>144.08853165467627</v>
      </c>
    </row>
    <row r="1057" spans="1:29" ht="15.75" x14ac:dyDescent="0.25">
      <c r="A1057" s="32">
        <v>73081</v>
      </c>
      <c r="B1057" s="14">
        <f>CHOOSE(CONTROL!$C$42, 158.7431, 158.7431) * CHOOSE(CONTROL!$C$21, $C$9, 100%, $E$9)</f>
        <v>158.7431</v>
      </c>
      <c r="C1057" s="14">
        <f>CHOOSE(CONTROL!$C$42, 158.7481, 158.7481) * CHOOSE(CONTROL!$C$21, $C$9, 100%, $E$9)</f>
        <v>158.74809999999999</v>
      </c>
      <c r="D1057" s="14">
        <f>CHOOSE(CONTROL!$C$42, 158.8416, 158.8416) * CHOOSE(CONTROL!$C$21, $C$9, 100%, $E$9)</f>
        <v>158.8416</v>
      </c>
      <c r="E1057" s="14">
        <f>CHOOSE(CONTROL!$C$42, 158.8757, 158.8757) * CHOOSE(CONTROL!$C$21, $C$9, 100%, $E$9)</f>
        <v>158.87569999999999</v>
      </c>
      <c r="F1057" s="14">
        <f>CHOOSE(CONTROL!$C$42, 158.7704, 158.7704)*CHOOSE(CONTROL!$C$21, $C$9, 100%, $E$9)</f>
        <v>158.7704</v>
      </c>
      <c r="G1057" s="14">
        <f>CHOOSE(CONTROL!$C$42, 158.7883, 158.7883)*CHOOSE(CONTROL!$C$21, $C$9, 100%, $E$9)</f>
        <v>158.78829999999999</v>
      </c>
      <c r="H1057" s="14">
        <f>CHOOSE(CONTROL!$C$42, 158.8649, 158.8649) * CHOOSE(CONTROL!$C$21, $C$9, 100%, $E$9)</f>
        <v>158.86490000000001</v>
      </c>
      <c r="I1057" s="14">
        <f>CHOOSE(CONTROL!$C$42, 159.2661, 159.2661)* CHOOSE(CONTROL!$C$21, $C$9, 100%, $E$9)</f>
        <v>159.26609999999999</v>
      </c>
      <c r="J1057" s="14">
        <f>CHOOSE(CONTROL!$C$42, 158.7634, 158.7634)* CHOOSE(CONTROL!$C$21, $C$9, 100%, $E$9)</f>
        <v>158.76339999999999</v>
      </c>
      <c r="K1057" s="52">
        <f>CHOOSE(CONTROL!$C$42, 159.2622, 159.2622) * CHOOSE(CONTROL!$C$21, $C$9, 100%, $E$9)</f>
        <v>159.26220000000001</v>
      </c>
      <c r="L1057" s="14">
        <f>CHOOSE(CONTROL!$C$42, 159.4519, 159.4519) * CHOOSE(CONTROL!$C$21, $C$9, 100%, $E$9)</f>
        <v>159.45189999999999</v>
      </c>
      <c r="M1057" s="14">
        <f>CHOOSE(CONTROL!$C$42, 155.9154, 155.9154) * CHOOSE(CONTROL!$C$21, $C$9, 100%, $E$9)</f>
        <v>155.91540000000001</v>
      </c>
      <c r="N1057" s="14">
        <f>CHOOSE(CONTROL!$C$42, 155.9331, 155.9331) * CHOOSE(CONTROL!$C$21, $C$9, 100%, $E$9)</f>
        <v>155.9331</v>
      </c>
      <c r="O1057" s="14">
        <f>CHOOSE(CONTROL!$C$42, 156.0151, 156.0151) * CHOOSE(CONTROL!$C$21, $C$9, 100%, $E$9)</f>
        <v>156.01509999999999</v>
      </c>
      <c r="P1057" s="14">
        <f>CHOOSE(CONTROL!$C$42, 156.4004, 156.4004) * CHOOSE(CONTROL!$C$21, $C$9, 100%, $E$9)</f>
        <v>156.40039999999999</v>
      </c>
      <c r="Q1057" s="14">
        <f>CHOOSE(CONTROL!$C$42, 156.6098, 156.6098) * CHOOSE(CONTROL!$C$21, $C$9, 100%, $E$9)</f>
        <v>156.60980000000001</v>
      </c>
      <c r="R1057" s="14">
        <f>CHOOSE(CONTROL!$C$42, 157.5884, 157.5884) * CHOOSE(CONTROL!$C$21, $C$9, 100%, $E$9)</f>
        <v>157.58840000000001</v>
      </c>
      <c r="S1057" s="14">
        <f>CHOOSE(CONTROL!$C$42, 152.5277, 152.5277) * CHOOSE(CONTROL!$C$21, $C$9, 100%, $E$9)</f>
        <v>152.52770000000001</v>
      </c>
      <c r="T10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57" s="56">
        <f>(1000*CHOOSE(CONTROL!$C$42, 695, 695)*CHOOSE(CONTROL!$C$42, 0.5599, 0.5599)*CHOOSE(CONTROL!$C$42, 31, 31))/1000000</f>
        <v>12.063045499999998</v>
      </c>
      <c r="V1057" s="56">
        <f>(1000*CHOOSE(CONTROL!$C$42, 500, 500)*CHOOSE(CONTROL!$C$42, 0.275, 0.275)*CHOOSE(CONTROL!$C$42, 31, 31))/1000000</f>
        <v>4.2625000000000002</v>
      </c>
      <c r="W1057" s="56">
        <f>(1000*CHOOSE(CONTROL!$C$42, 0.1146, 0.1146)*CHOOSE(CONTROL!$C$42, 121.5, 121.5)*CHOOSE(CONTROL!$C$42, 31, 31))/1000000</f>
        <v>0.43164089999999994</v>
      </c>
      <c r="X1057" s="56">
        <f>(31*0.1790888*100000/1000000)+(31*0.2374*100000/1000000)</f>
        <v>1.2911152800000001</v>
      </c>
      <c r="Y1057" s="56"/>
      <c r="Z1057" s="14"/>
      <c r="AA1057" s="55"/>
      <c r="AB1057" s="49">
        <f>(B1057*122.58+C1057*297.941+D1057*89.177+E1057*40.302+F1057*40+G1057*160+H1057*0+I1057*100+J1057*300)/(122.58+297.941+89.177+40.302+0+40+160+100+300)</f>
        <v>158.81469276930434</v>
      </c>
      <c r="AC1057" s="45">
        <f>(M1057*'RAP TEMPLATE-GAS AVAILABILITY'!O1056+N1057*'RAP TEMPLATE-GAS AVAILABILITY'!P1056+O1057*'RAP TEMPLATE-GAS AVAILABILITY'!Q1056+P1057*'RAP TEMPLATE-GAS AVAILABILITY'!R1056)/('RAP TEMPLATE-GAS AVAILABILITY'!O1056+'RAP TEMPLATE-GAS AVAILABILITY'!P1056+'RAP TEMPLATE-GAS AVAILABILITY'!Q1056+'RAP TEMPLATE-GAS AVAILABILITY'!R1056)</f>
        <v>156.03139064748203</v>
      </c>
    </row>
    <row r="1058" spans="1:29" ht="15.75" x14ac:dyDescent="0.25">
      <c r="A1058" s="32">
        <v>73109</v>
      </c>
      <c r="B1058" s="14">
        <f>CHOOSE(CONTROL!$C$42, 161.5688, 161.5688) * CHOOSE(CONTROL!$C$21, $C$9, 100%, $E$9)</f>
        <v>161.56880000000001</v>
      </c>
      <c r="C1058" s="14">
        <f>CHOOSE(CONTROL!$C$42, 161.5738, 161.5738) * CHOOSE(CONTROL!$C$21, $C$9, 100%, $E$9)</f>
        <v>161.57380000000001</v>
      </c>
      <c r="D1058" s="14">
        <f>CHOOSE(CONTROL!$C$42, 161.6673, 161.6673) * CHOOSE(CONTROL!$C$21, $C$9, 100%, $E$9)</f>
        <v>161.66730000000001</v>
      </c>
      <c r="E1058" s="14">
        <f>CHOOSE(CONTROL!$C$42, 161.7014, 161.7014) * CHOOSE(CONTROL!$C$21, $C$9, 100%, $E$9)</f>
        <v>161.70140000000001</v>
      </c>
      <c r="F1058" s="14">
        <f>CHOOSE(CONTROL!$C$42, 161.5957, 161.5957)*CHOOSE(CONTROL!$C$21, $C$9, 100%, $E$9)</f>
        <v>161.59569999999999</v>
      </c>
      <c r="G1058" s="14">
        <f>CHOOSE(CONTROL!$C$42, 161.6136, 161.6136)*CHOOSE(CONTROL!$C$21, $C$9, 100%, $E$9)</f>
        <v>161.61359999999999</v>
      </c>
      <c r="H1058" s="14">
        <f>CHOOSE(CONTROL!$C$42, 161.6906, 161.6906) * CHOOSE(CONTROL!$C$21, $C$9, 100%, $E$9)</f>
        <v>161.69059999999999</v>
      </c>
      <c r="I1058" s="14">
        <f>CHOOSE(CONTROL!$C$42, 162.1007, 162.1007)* CHOOSE(CONTROL!$C$21, $C$9, 100%, $E$9)</f>
        <v>162.10069999999999</v>
      </c>
      <c r="J1058" s="14">
        <f>CHOOSE(CONTROL!$C$42, 161.5887, 161.5887)* CHOOSE(CONTROL!$C$21, $C$9, 100%, $E$9)</f>
        <v>161.58869999999999</v>
      </c>
      <c r="K1058" s="52">
        <f>CHOOSE(CONTROL!$C$42, 162.0968, 162.0968) * CHOOSE(CONTROL!$C$21, $C$9, 100%, $E$9)</f>
        <v>162.0968</v>
      </c>
      <c r="L1058" s="14">
        <f>CHOOSE(CONTROL!$C$42, 162.2776, 162.2776) * CHOOSE(CONTROL!$C$21, $C$9, 100%, $E$9)</f>
        <v>162.27760000000001</v>
      </c>
      <c r="M1058" s="14">
        <f>CHOOSE(CONTROL!$C$42, 158.6899, 158.6899) * CHOOSE(CONTROL!$C$21, $C$9, 100%, $E$9)</f>
        <v>158.68989999999999</v>
      </c>
      <c r="N1058" s="14">
        <f>CHOOSE(CONTROL!$C$42, 158.7075, 158.7075) * CHOOSE(CONTROL!$C$21, $C$9, 100%, $E$9)</f>
        <v>158.70750000000001</v>
      </c>
      <c r="O1058" s="14">
        <f>CHOOSE(CONTROL!$C$42, 158.79, 158.79) * CHOOSE(CONTROL!$C$21, $C$9, 100%, $E$9)</f>
        <v>158.79</v>
      </c>
      <c r="P1058" s="14">
        <f>CHOOSE(CONTROL!$C$42, 159.1838, 159.1838) * CHOOSE(CONTROL!$C$21, $C$9, 100%, $E$9)</f>
        <v>159.18379999999999</v>
      </c>
      <c r="Q1058" s="14">
        <f>CHOOSE(CONTROL!$C$42, 159.3847, 159.3847) * CHOOSE(CONTROL!$C$21, $C$9, 100%, $E$9)</f>
        <v>159.38470000000001</v>
      </c>
      <c r="R1058" s="14">
        <f>CHOOSE(CONTROL!$C$42, 160.3702, 160.3702) * CHOOSE(CONTROL!$C$21, $C$9, 100%, $E$9)</f>
        <v>160.37020000000001</v>
      </c>
      <c r="S1058" s="14">
        <f>CHOOSE(CONTROL!$C$42, 155.2429, 155.2429) * CHOOSE(CONTROL!$C$21, $C$9, 100%, $E$9)</f>
        <v>155.24289999999999</v>
      </c>
      <c r="T105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058" s="56">
        <f>(1000*CHOOSE(CONTROL!$C$42, 695, 695)*CHOOSE(CONTROL!$C$42, 0.5599, 0.5599)*CHOOSE(CONTROL!$C$42, 29, 29))/1000000</f>
        <v>11.284784499999999</v>
      </c>
      <c r="V1058" s="56">
        <f>(1000*CHOOSE(CONTROL!$C$42, 500, 500)*CHOOSE(CONTROL!$C$42, 0.275, 0.275)*CHOOSE(CONTROL!$C$42, 29, 29))/1000000</f>
        <v>3.9874999999999998</v>
      </c>
      <c r="W1058" s="56">
        <f>(1000*CHOOSE(CONTROL!$C$42, 0.1146, 0.1146)*CHOOSE(CONTROL!$C$42, 121.5, 121.5)*CHOOSE(CONTROL!$C$42, 29, 29))/1000000</f>
        <v>0.40379309999999996</v>
      </c>
      <c r="X1058" s="56">
        <f>(28*0.1790888*100000/1000000)+(28*0.2374*100000/1000000)</f>
        <v>1.16616864</v>
      </c>
      <c r="Y1058" s="56"/>
      <c r="Z1058" s="14"/>
      <c r="AA1058" s="55"/>
      <c r="AB1058" s="49">
        <f>(B1058*122.58+C1058*297.941+D1058*89.177+E1058*40.302+F1058*40+G1058*160+H1058*0+I1058*100+J1058*300)/(122.58+297.941+89.177+40.302+0+40+160+100+300)</f>
        <v>161.64099276930432</v>
      </c>
      <c r="AC1058" s="45">
        <f>(M1058*'RAP TEMPLATE-GAS AVAILABILITY'!O1057+N1058*'RAP TEMPLATE-GAS AVAILABILITY'!P1057+O1058*'RAP TEMPLATE-GAS AVAILABILITY'!Q1057+P1058*'RAP TEMPLATE-GAS AVAILABILITY'!R1057)/('RAP TEMPLATE-GAS AVAILABILITY'!O1057+'RAP TEMPLATE-GAS AVAILABILITY'!P1057+'RAP TEMPLATE-GAS AVAILABILITY'!Q1057+'RAP TEMPLATE-GAS AVAILABILITY'!R1057)</f>
        <v>158.80734676258993</v>
      </c>
    </row>
    <row r="1059" spans="1:29" ht="15.75" x14ac:dyDescent="0.25">
      <c r="A1059" s="32">
        <v>73140</v>
      </c>
      <c r="B1059" s="14">
        <f>CHOOSE(CONTROL!$C$42, 156.982, 156.982) * CHOOSE(CONTROL!$C$21, $C$9, 100%, $E$9)</f>
        <v>156.982</v>
      </c>
      <c r="C1059" s="14">
        <f>CHOOSE(CONTROL!$C$42, 156.987, 156.987) * CHOOSE(CONTROL!$C$21, $C$9, 100%, $E$9)</f>
        <v>156.98699999999999</v>
      </c>
      <c r="D1059" s="14">
        <f>CHOOSE(CONTROL!$C$42, 157.0805, 157.0805) * CHOOSE(CONTROL!$C$21, $C$9, 100%, $E$9)</f>
        <v>157.0805</v>
      </c>
      <c r="E1059" s="14">
        <f>CHOOSE(CONTROL!$C$42, 157.1146, 157.1146) * CHOOSE(CONTROL!$C$21, $C$9, 100%, $E$9)</f>
        <v>157.1146</v>
      </c>
      <c r="F1059" s="14">
        <f>CHOOSE(CONTROL!$C$42, 157.0081, 157.0081)*CHOOSE(CONTROL!$C$21, $C$9, 100%, $E$9)</f>
        <v>157.00810000000001</v>
      </c>
      <c r="G1059" s="14">
        <f>CHOOSE(CONTROL!$C$42, 157.0257, 157.0257)*CHOOSE(CONTROL!$C$21, $C$9, 100%, $E$9)</f>
        <v>157.0257</v>
      </c>
      <c r="H1059" s="14">
        <f>CHOOSE(CONTROL!$C$42, 157.1038, 157.1038) * CHOOSE(CONTROL!$C$21, $C$9, 100%, $E$9)</f>
        <v>157.10380000000001</v>
      </c>
      <c r="I1059" s="14">
        <f>CHOOSE(CONTROL!$C$42, 157.4995, 157.4995)* CHOOSE(CONTROL!$C$21, $C$9, 100%, $E$9)</f>
        <v>157.49950000000001</v>
      </c>
      <c r="J1059" s="14">
        <f>CHOOSE(CONTROL!$C$42, 157.0011, 157.0011)* CHOOSE(CONTROL!$C$21, $C$9, 100%, $E$9)</f>
        <v>157.00110000000001</v>
      </c>
      <c r="K1059" s="52">
        <f>CHOOSE(CONTROL!$C$42, 157.4956, 157.4956) * CHOOSE(CONTROL!$C$21, $C$9, 100%, $E$9)</f>
        <v>157.4956</v>
      </c>
      <c r="L1059" s="14">
        <f>CHOOSE(CONTROL!$C$42, 157.6908, 157.6908) * CHOOSE(CONTROL!$C$21, $C$9, 100%, $E$9)</f>
        <v>157.6908</v>
      </c>
      <c r="M1059" s="14">
        <f>CHOOSE(CONTROL!$C$42, 154.1848, 154.1848) * CHOOSE(CONTROL!$C$21, $C$9, 100%, $E$9)</f>
        <v>154.1848</v>
      </c>
      <c r="N1059" s="14">
        <f>CHOOSE(CONTROL!$C$42, 154.2021, 154.2021) * CHOOSE(CONTROL!$C$21, $C$9, 100%, $E$9)</f>
        <v>154.2021</v>
      </c>
      <c r="O1059" s="14">
        <f>CHOOSE(CONTROL!$C$42, 154.2857, 154.2857) * CHOOSE(CONTROL!$C$21, $C$9, 100%, $E$9)</f>
        <v>154.28569999999999</v>
      </c>
      <c r="P1059" s="14">
        <f>CHOOSE(CONTROL!$C$42, 154.6657, 154.6657) * CHOOSE(CONTROL!$C$21, $C$9, 100%, $E$9)</f>
        <v>154.66569999999999</v>
      </c>
      <c r="Q1059" s="14">
        <f>CHOOSE(CONTROL!$C$42, 154.8804, 154.8804) * CHOOSE(CONTROL!$C$21, $C$9, 100%, $E$9)</f>
        <v>154.88040000000001</v>
      </c>
      <c r="R1059" s="14">
        <f>CHOOSE(CONTROL!$C$42, 155.8546, 155.8546) * CHOOSE(CONTROL!$C$21, $C$9, 100%, $E$9)</f>
        <v>155.8546</v>
      </c>
      <c r="S1059" s="14">
        <f>CHOOSE(CONTROL!$C$42, 150.8354, 150.8354) * CHOOSE(CONTROL!$C$21, $C$9, 100%, $E$9)</f>
        <v>150.83539999999999</v>
      </c>
      <c r="T10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059" s="56">
        <f>(1000*CHOOSE(CONTROL!$C$42, 695, 695)*CHOOSE(CONTROL!$C$42, 0.5599, 0.5599)*CHOOSE(CONTROL!$C$42, 31, 31))/1000000</f>
        <v>12.063045499999998</v>
      </c>
      <c r="V1059" s="56">
        <f>(1000*CHOOSE(CONTROL!$C$42, 500, 500)*CHOOSE(CONTROL!$C$42, 0.275, 0.275)*CHOOSE(CONTROL!$C$42, 31, 31))/1000000</f>
        <v>4.2625000000000002</v>
      </c>
      <c r="W1059" s="56">
        <f>(1000*CHOOSE(CONTROL!$C$42, 0.1146, 0.1146)*CHOOSE(CONTROL!$C$42, 121.5, 121.5)*CHOOSE(CONTROL!$C$42, 31, 31))/1000000</f>
        <v>0.43164089999999994</v>
      </c>
      <c r="X1059" s="56">
        <f>(31*0.1790888*100000/1000000)+(31*0.2374*100000/1000000)</f>
        <v>1.2911152800000001</v>
      </c>
      <c r="Y1059" s="56"/>
      <c r="Z1059" s="14"/>
      <c r="AA1059" s="55"/>
      <c r="AB1059" s="49">
        <f>(B1059*122.58+C1059*297.941+D1059*89.177+E1059*40.302+F1059*40+G1059*160+H1059*0+I1059*100+J1059*300)/(122.58+297.941+89.177+40.302+0+40+160+100+300)</f>
        <v>157.0525510301739</v>
      </c>
      <c r="AC1059" s="45">
        <f>(M1059*'RAP TEMPLATE-GAS AVAILABILITY'!O1058+N1059*'RAP TEMPLATE-GAS AVAILABILITY'!P1058+O1059*'RAP TEMPLATE-GAS AVAILABILITY'!Q1058+P1059*'RAP TEMPLATE-GAS AVAILABILITY'!R1058)/('RAP TEMPLATE-GAS AVAILABILITY'!O1058+'RAP TEMPLATE-GAS AVAILABILITY'!P1058+'RAP TEMPLATE-GAS AVAILABILITY'!Q1058+'RAP TEMPLATE-GAS AVAILABILITY'!R1058)</f>
        <v>154.30072158273381</v>
      </c>
    </row>
    <row r="1060" spans="1:29" ht="15.75" x14ac:dyDescent="0.25">
      <c r="A1060" s="32">
        <v>73170</v>
      </c>
      <c r="B1060" s="14">
        <f>CHOOSE(CONTROL!$C$42, 156.513, 156.513) * CHOOSE(CONTROL!$C$21, $C$9, 100%, $E$9)</f>
        <v>156.51300000000001</v>
      </c>
      <c r="C1060" s="14">
        <f>CHOOSE(CONTROL!$C$42, 156.5175, 156.5175) * CHOOSE(CONTROL!$C$21, $C$9, 100%, $E$9)</f>
        <v>156.51750000000001</v>
      </c>
      <c r="D1060" s="14">
        <f>CHOOSE(CONTROL!$C$42, 156.7797, 156.7797) * CHOOSE(CONTROL!$C$21, $C$9, 100%, $E$9)</f>
        <v>156.77969999999999</v>
      </c>
      <c r="E1060" s="14">
        <f>CHOOSE(CONTROL!$C$42, 156.8118, 156.8118) * CHOOSE(CONTROL!$C$21, $C$9, 100%, $E$9)</f>
        <v>156.81180000000001</v>
      </c>
      <c r="F1060" s="14">
        <f>CHOOSE(CONTROL!$C$42, 156.5358, 156.5358)*CHOOSE(CONTROL!$C$21, $C$9, 100%, $E$9)</f>
        <v>156.53579999999999</v>
      </c>
      <c r="G1060" s="14">
        <f>CHOOSE(CONTROL!$C$42, 156.5525, 156.5525)*CHOOSE(CONTROL!$C$21, $C$9, 100%, $E$9)</f>
        <v>156.55250000000001</v>
      </c>
      <c r="H1060" s="14">
        <f>CHOOSE(CONTROL!$C$42, 156.8016, 156.8016) * CHOOSE(CONTROL!$C$21, $C$9, 100%, $E$9)</f>
        <v>156.80160000000001</v>
      </c>
      <c r="I1060" s="14">
        <f>CHOOSE(CONTROL!$C$42, 157.0256, 157.0256)* CHOOSE(CONTROL!$C$21, $C$9, 100%, $E$9)</f>
        <v>157.0256</v>
      </c>
      <c r="J1060" s="14">
        <f>CHOOSE(CONTROL!$C$42, 156.5288, 156.5288)* CHOOSE(CONTROL!$C$21, $C$9, 100%, $E$9)</f>
        <v>156.52879999999999</v>
      </c>
      <c r="K1060" s="52">
        <f>CHOOSE(CONTROL!$C$42, 157.0218, 157.0218) * CHOOSE(CONTROL!$C$21, $C$9, 100%, $E$9)</f>
        <v>157.02180000000001</v>
      </c>
      <c r="L1060" s="14">
        <f>CHOOSE(CONTROL!$C$42, 157.3886, 157.3886) * CHOOSE(CONTROL!$C$21, $C$9, 100%, $E$9)</f>
        <v>157.3886</v>
      </c>
      <c r="M1060" s="14">
        <f>CHOOSE(CONTROL!$C$42, 153.7211, 153.7211) * CHOOSE(CONTROL!$C$21, $C$9, 100%, $E$9)</f>
        <v>153.72110000000001</v>
      </c>
      <c r="N1060" s="14">
        <f>CHOOSE(CONTROL!$C$42, 153.7375, 153.7375) * CHOOSE(CONTROL!$C$21, $C$9, 100%, $E$9)</f>
        <v>153.73750000000001</v>
      </c>
      <c r="O1060" s="14">
        <f>CHOOSE(CONTROL!$C$42, 153.9889, 153.9889) * CHOOSE(CONTROL!$C$21, $C$9, 100%, $E$9)</f>
        <v>153.9889</v>
      </c>
      <c r="P1060" s="14">
        <f>CHOOSE(CONTROL!$C$42, 154.2003, 154.2003) * CHOOSE(CONTROL!$C$21, $C$9, 100%, $E$9)</f>
        <v>154.2003</v>
      </c>
      <c r="Q1060" s="14">
        <f>CHOOSE(CONTROL!$C$42, 154.5836, 154.5836) * CHOOSE(CONTROL!$C$21, $C$9, 100%, $E$9)</f>
        <v>154.58359999999999</v>
      </c>
      <c r="R1060" s="14">
        <f>CHOOSE(CONTROL!$C$42, 155.5571, 155.5571) * CHOOSE(CONTROL!$C$21, $C$9, 100%, $E$9)</f>
        <v>155.55709999999999</v>
      </c>
      <c r="S1060" s="14">
        <f>CHOOSE(CONTROL!$C$42, 150.384, 150.384) * CHOOSE(CONTROL!$C$21, $C$9, 100%, $E$9)</f>
        <v>150.38399999999999</v>
      </c>
      <c r="T10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60" s="56">
        <f>(1000*CHOOSE(CONTROL!$C$42, 695, 695)*CHOOSE(CONTROL!$C$42, 0.5599, 0.5599)*CHOOSE(CONTROL!$C$42, 30, 30))/1000000</f>
        <v>11.673914999999997</v>
      </c>
      <c r="V1060" s="56">
        <f>(1000*CHOOSE(CONTROL!$C$42, 500, 500)*CHOOSE(CONTROL!$C$42, 0.275, 0.275)*CHOOSE(CONTROL!$C$42, 30, 30))/1000000</f>
        <v>4.125</v>
      </c>
      <c r="W1060" s="56">
        <f>(1000*CHOOSE(CONTROL!$C$42, 0.1146, 0.1146)*CHOOSE(CONTROL!$C$42, 121.5, 121.5)*CHOOSE(CONTROL!$C$42, 30, 30))/1000000</f>
        <v>0.417717</v>
      </c>
      <c r="X1060" s="56">
        <f>(30*0.1790888*245000/1000000)+(30*0.2374*100000/1000000)</f>
        <v>2.0285026799999999</v>
      </c>
      <c r="Y1060" s="56"/>
      <c r="Z1060" s="14"/>
      <c r="AA1060" s="55"/>
      <c r="AB1060" s="49">
        <f>(B1060*141.293+C1060*267.993+D1060*115.016+E1060*89.698+F1060*40+G1060*185+H1060*0+I1060*100+J1060*300)/(141.293+267.993+115.016+89.698+0+40+185+100+300)</f>
        <v>156.6121945101695</v>
      </c>
      <c r="AC1060" s="45">
        <f>(M1060*'RAP TEMPLATE-GAS AVAILABILITY'!O1059+N1060*'RAP TEMPLATE-GAS AVAILABILITY'!P1059+O1060*'RAP TEMPLATE-GAS AVAILABILITY'!Q1059+P1060*'RAP TEMPLATE-GAS AVAILABILITY'!R1059)/('RAP TEMPLATE-GAS AVAILABILITY'!O1059+'RAP TEMPLATE-GAS AVAILABILITY'!P1059+'RAP TEMPLATE-GAS AVAILABILITY'!Q1059+'RAP TEMPLATE-GAS AVAILABILITY'!R1059)</f>
        <v>153.91237050359712</v>
      </c>
    </row>
    <row r="1061" spans="1:29" ht="15.75" x14ac:dyDescent="0.25">
      <c r="A1061" s="32">
        <v>73201</v>
      </c>
      <c r="B1061" s="14">
        <f>CHOOSE(CONTROL!$C$42, 157.8957, 157.8957) * CHOOSE(CONTROL!$C$21, $C$9, 100%, $E$9)</f>
        <v>157.89570000000001</v>
      </c>
      <c r="C1061" s="14">
        <f>CHOOSE(CONTROL!$C$42, 157.9037, 157.9037) * CHOOSE(CONTROL!$C$21, $C$9, 100%, $E$9)</f>
        <v>157.90369999999999</v>
      </c>
      <c r="D1061" s="14">
        <f>CHOOSE(CONTROL!$C$42, 158.1628, 158.1628) * CHOOSE(CONTROL!$C$21, $C$9, 100%, $E$9)</f>
        <v>158.1628</v>
      </c>
      <c r="E1061" s="14">
        <f>CHOOSE(CONTROL!$C$42, 158.1943, 158.1943) * CHOOSE(CONTROL!$C$21, $C$9, 100%, $E$9)</f>
        <v>158.1943</v>
      </c>
      <c r="F1061" s="14">
        <f>CHOOSE(CONTROL!$C$42, 157.9172, 157.9172)*CHOOSE(CONTROL!$C$21, $C$9, 100%, $E$9)</f>
        <v>157.91720000000001</v>
      </c>
      <c r="G1061" s="14">
        <f>CHOOSE(CONTROL!$C$42, 157.9342, 157.9342)*CHOOSE(CONTROL!$C$21, $C$9, 100%, $E$9)</f>
        <v>157.9342</v>
      </c>
      <c r="H1061" s="14">
        <f>CHOOSE(CONTROL!$C$42, 158.1829, 158.1829) * CHOOSE(CONTROL!$C$21, $C$9, 100%, $E$9)</f>
        <v>158.18289999999999</v>
      </c>
      <c r="I1061" s="14">
        <f>CHOOSE(CONTROL!$C$42, 158.4113, 158.4113)* CHOOSE(CONTROL!$C$21, $C$9, 100%, $E$9)</f>
        <v>158.41130000000001</v>
      </c>
      <c r="J1061" s="14">
        <f>CHOOSE(CONTROL!$C$42, 157.9102, 157.9102)* CHOOSE(CONTROL!$C$21, $C$9, 100%, $E$9)</f>
        <v>157.9102</v>
      </c>
      <c r="K1061" s="52">
        <f>CHOOSE(CONTROL!$C$42, 158.4074, 158.4074) * CHOOSE(CONTROL!$C$21, $C$9, 100%, $E$9)</f>
        <v>158.4074</v>
      </c>
      <c r="L1061" s="14">
        <f>CHOOSE(CONTROL!$C$42, 158.7699, 158.7699) * CHOOSE(CONTROL!$C$21, $C$9, 100%, $E$9)</f>
        <v>158.76990000000001</v>
      </c>
      <c r="M1061" s="14">
        <f>CHOOSE(CONTROL!$C$42, 155.0776, 155.0776) * CHOOSE(CONTROL!$C$21, $C$9, 100%, $E$9)</f>
        <v>155.07759999999999</v>
      </c>
      <c r="N1061" s="14">
        <f>CHOOSE(CONTROL!$C$42, 155.0943, 155.0943) * CHOOSE(CONTROL!$C$21, $C$9, 100%, $E$9)</f>
        <v>155.0943</v>
      </c>
      <c r="O1061" s="14">
        <f>CHOOSE(CONTROL!$C$42, 155.3454, 155.3454) * CHOOSE(CONTROL!$C$21, $C$9, 100%, $E$9)</f>
        <v>155.34540000000001</v>
      </c>
      <c r="P1061" s="14">
        <f>CHOOSE(CONTROL!$C$42, 155.561, 155.561) * CHOOSE(CONTROL!$C$21, $C$9, 100%, $E$9)</f>
        <v>155.56100000000001</v>
      </c>
      <c r="Q1061" s="14">
        <f>CHOOSE(CONTROL!$C$42, 155.9401, 155.9401) * CHOOSE(CONTROL!$C$21, $C$9, 100%, $E$9)</f>
        <v>155.9401</v>
      </c>
      <c r="R1061" s="14">
        <f>CHOOSE(CONTROL!$C$42, 156.917, 156.917) * CHOOSE(CONTROL!$C$21, $C$9, 100%, $E$9)</f>
        <v>156.917</v>
      </c>
      <c r="S1061" s="14">
        <f>CHOOSE(CONTROL!$C$42, 151.7113, 151.7113) * CHOOSE(CONTROL!$C$21, $C$9, 100%, $E$9)</f>
        <v>151.71129999999999</v>
      </c>
      <c r="T10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61" s="56">
        <f>(1000*CHOOSE(CONTROL!$C$42, 695, 695)*CHOOSE(CONTROL!$C$42, 0.5599, 0.5599)*CHOOSE(CONTROL!$C$42, 31, 31))/1000000</f>
        <v>12.063045499999998</v>
      </c>
      <c r="V1061" s="56">
        <f>(1000*CHOOSE(CONTROL!$C$42, 500, 500)*CHOOSE(CONTROL!$C$42, 0.275, 0.275)*CHOOSE(CONTROL!$C$42, 31, 31))/1000000</f>
        <v>4.2625000000000002</v>
      </c>
      <c r="W1061" s="56">
        <f>(1000*CHOOSE(CONTROL!$C$42, 0.1146, 0.1146)*CHOOSE(CONTROL!$C$42, 121.5, 121.5)*CHOOSE(CONTROL!$C$42, 31, 31))/1000000</f>
        <v>0.43164089999999994</v>
      </c>
      <c r="X1061" s="56">
        <f>(31*0.1790888*245000/1000000)+(31*0.2374*100000/1000000)</f>
        <v>2.0961194359999999</v>
      </c>
      <c r="Y1061" s="56"/>
      <c r="Z1061" s="14"/>
      <c r="AA1061" s="55"/>
      <c r="AB1061" s="49">
        <f>(B1061*194.205+C1061*267.466+D1061*133.845+E1061*53.484+F1061*40+G1061*185+H1061*0+I1061*100+J1061*300)/(194.205+267.466+133.845+53.484+0+40+185+100+300)</f>
        <v>157.98812743320252</v>
      </c>
      <c r="AC1061" s="45">
        <f>(M1061*'RAP TEMPLATE-GAS AVAILABILITY'!O1060+N1061*'RAP TEMPLATE-GAS AVAILABILITY'!P1060+O1061*'RAP TEMPLATE-GAS AVAILABILITY'!Q1060+P1061*'RAP TEMPLATE-GAS AVAILABILITY'!R1060)/('RAP TEMPLATE-GAS AVAILABILITY'!O1060+'RAP TEMPLATE-GAS AVAILABILITY'!P1060+'RAP TEMPLATE-GAS AVAILABILITY'!Q1060+'RAP TEMPLATE-GAS AVAILABILITY'!R1060)</f>
        <v>155.26949208633096</v>
      </c>
    </row>
    <row r="1062" spans="1:29" ht="15.75" x14ac:dyDescent="0.25">
      <c r="A1062" s="32">
        <v>73231</v>
      </c>
      <c r="B1062" s="14">
        <f>CHOOSE(CONTROL!$C$42, 162.3743, 162.3743) * CHOOSE(CONTROL!$C$21, $C$9, 100%, $E$9)</f>
        <v>162.37430000000001</v>
      </c>
      <c r="C1062" s="14">
        <f>CHOOSE(CONTROL!$C$42, 162.3823, 162.3823) * CHOOSE(CONTROL!$C$21, $C$9, 100%, $E$9)</f>
        <v>162.38229999999999</v>
      </c>
      <c r="D1062" s="14">
        <f>CHOOSE(CONTROL!$C$42, 162.6414, 162.6414) * CHOOSE(CONTROL!$C$21, $C$9, 100%, $E$9)</f>
        <v>162.6414</v>
      </c>
      <c r="E1062" s="14">
        <f>CHOOSE(CONTROL!$C$42, 162.6729, 162.6729) * CHOOSE(CONTROL!$C$21, $C$9, 100%, $E$9)</f>
        <v>162.6729</v>
      </c>
      <c r="F1062" s="14">
        <f>CHOOSE(CONTROL!$C$42, 162.3961, 162.3961)*CHOOSE(CONTROL!$C$21, $C$9, 100%, $E$9)</f>
        <v>162.39609999999999</v>
      </c>
      <c r="G1062" s="14">
        <f>CHOOSE(CONTROL!$C$42, 162.4131, 162.4131)*CHOOSE(CONTROL!$C$21, $C$9, 100%, $E$9)</f>
        <v>162.41309999999999</v>
      </c>
      <c r="H1062" s="14">
        <f>CHOOSE(CONTROL!$C$42, 162.6615, 162.6615) * CHOOSE(CONTROL!$C$21, $C$9, 100%, $E$9)</f>
        <v>162.66149999999999</v>
      </c>
      <c r="I1062" s="14">
        <f>CHOOSE(CONTROL!$C$42, 162.9039, 162.9039)* CHOOSE(CONTROL!$C$21, $C$9, 100%, $E$9)</f>
        <v>162.90389999999999</v>
      </c>
      <c r="J1062" s="14">
        <f>CHOOSE(CONTROL!$C$42, 162.3891, 162.3891)* CHOOSE(CONTROL!$C$21, $C$9, 100%, $E$9)</f>
        <v>162.38910000000001</v>
      </c>
      <c r="K1062" s="52">
        <f>CHOOSE(CONTROL!$C$42, 162.9, 162.9) * CHOOSE(CONTROL!$C$21, $C$9, 100%, $E$9)</f>
        <v>162.9</v>
      </c>
      <c r="L1062" s="14">
        <f>CHOOSE(CONTROL!$C$42, 163.2485, 163.2485) * CHOOSE(CONTROL!$C$21, $C$9, 100%, $E$9)</f>
        <v>163.24850000000001</v>
      </c>
      <c r="M1062" s="14">
        <f>CHOOSE(CONTROL!$C$42, 159.4759, 159.4759) * CHOOSE(CONTROL!$C$21, $C$9, 100%, $E$9)</f>
        <v>159.4759</v>
      </c>
      <c r="N1062" s="14">
        <f>CHOOSE(CONTROL!$C$42, 159.4926, 159.4926) * CHOOSE(CONTROL!$C$21, $C$9, 100%, $E$9)</f>
        <v>159.49260000000001</v>
      </c>
      <c r="O1062" s="14">
        <f>CHOOSE(CONTROL!$C$42, 159.7435, 159.7435) * CHOOSE(CONTROL!$C$21, $C$9, 100%, $E$9)</f>
        <v>159.74350000000001</v>
      </c>
      <c r="P1062" s="14">
        <f>CHOOSE(CONTROL!$C$42, 159.9726, 159.9726) * CHOOSE(CONTROL!$C$21, $C$9, 100%, $E$9)</f>
        <v>159.9726</v>
      </c>
      <c r="Q1062" s="14">
        <f>CHOOSE(CONTROL!$C$42, 160.3382, 160.3382) * CHOOSE(CONTROL!$C$21, $C$9, 100%, $E$9)</f>
        <v>160.3382</v>
      </c>
      <c r="R1062" s="14">
        <f>CHOOSE(CONTROL!$C$42, 161.326, 161.326) * CHOOSE(CONTROL!$C$21, $C$9, 100%, $E$9)</f>
        <v>161.32599999999999</v>
      </c>
      <c r="S1062" s="14">
        <f>CHOOSE(CONTROL!$C$42, 156.0148, 156.0148) * CHOOSE(CONTROL!$C$21, $C$9, 100%, $E$9)</f>
        <v>156.01480000000001</v>
      </c>
      <c r="T10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62" s="56">
        <f>(1000*CHOOSE(CONTROL!$C$42, 695, 695)*CHOOSE(CONTROL!$C$42, 0.5599, 0.5599)*CHOOSE(CONTROL!$C$42, 30, 30))/1000000</f>
        <v>11.673914999999997</v>
      </c>
      <c r="V1062" s="56">
        <f>(1000*CHOOSE(CONTROL!$C$42, 500, 500)*CHOOSE(CONTROL!$C$42, 0.275, 0.275)*CHOOSE(CONTROL!$C$42, 30, 30))/1000000</f>
        <v>4.125</v>
      </c>
      <c r="W1062" s="56">
        <f>(1000*CHOOSE(CONTROL!$C$42, 0.1146, 0.1146)*CHOOSE(CONTROL!$C$42, 121.5, 121.5)*CHOOSE(CONTROL!$C$42, 30, 30))/1000000</f>
        <v>0.417717</v>
      </c>
      <c r="X1062" s="56">
        <f>(30*0.1790888*245000/1000000)+(30*0.2374*100000/1000000)</f>
        <v>2.0285026799999999</v>
      </c>
      <c r="Y1062" s="56"/>
      <c r="Z1062" s="14"/>
      <c r="AA1062" s="55"/>
      <c r="AB1062" s="49">
        <f>(B1062*194.205+C1062*267.466+D1062*133.845+E1062*53.484+F1062*40+G1062*185+H1062*0+I1062*100+J1062*300)/(194.205+267.466+133.845+53.484+0+40+185+100+300)</f>
        <v>162.46794996067504</v>
      </c>
      <c r="AC1062" s="45">
        <f>(M1062*'RAP TEMPLATE-GAS AVAILABILITY'!O1061+N1062*'RAP TEMPLATE-GAS AVAILABILITY'!P1061+O1062*'RAP TEMPLATE-GAS AVAILABILITY'!Q1061+P1062*'RAP TEMPLATE-GAS AVAILABILITY'!R1061)/('RAP TEMPLATE-GAS AVAILABILITY'!O1061+'RAP TEMPLATE-GAS AVAILABILITY'!P1061+'RAP TEMPLATE-GAS AVAILABILITY'!Q1061+'RAP TEMPLATE-GAS AVAILABILITY'!R1061)</f>
        <v>159.66961510791367</v>
      </c>
    </row>
    <row r="1063" spans="1:29" ht="15.75" x14ac:dyDescent="0.25">
      <c r="A1063" s="32">
        <v>73262</v>
      </c>
      <c r="B1063" s="14">
        <f>CHOOSE(CONTROL!$C$42, 159.2594, 159.2594) * CHOOSE(CONTROL!$C$21, $C$9, 100%, $E$9)</f>
        <v>159.2594</v>
      </c>
      <c r="C1063" s="14">
        <f>CHOOSE(CONTROL!$C$42, 159.2674, 159.2674) * CHOOSE(CONTROL!$C$21, $C$9, 100%, $E$9)</f>
        <v>159.26740000000001</v>
      </c>
      <c r="D1063" s="14">
        <f>CHOOSE(CONTROL!$C$42, 159.5265, 159.5265) * CHOOSE(CONTROL!$C$21, $C$9, 100%, $E$9)</f>
        <v>159.5265</v>
      </c>
      <c r="E1063" s="14">
        <f>CHOOSE(CONTROL!$C$42, 159.558, 159.558) * CHOOSE(CONTROL!$C$21, $C$9, 100%, $E$9)</f>
        <v>159.55799999999999</v>
      </c>
      <c r="F1063" s="14">
        <f>CHOOSE(CONTROL!$C$42, 159.2816, 159.2816)*CHOOSE(CONTROL!$C$21, $C$9, 100%, $E$9)</f>
        <v>159.2816</v>
      </c>
      <c r="G1063" s="14">
        <f>CHOOSE(CONTROL!$C$42, 159.2988, 159.2988)*CHOOSE(CONTROL!$C$21, $C$9, 100%, $E$9)</f>
        <v>159.2988</v>
      </c>
      <c r="H1063" s="14">
        <f>CHOOSE(CONTROL!$C$42, 159.5466, 159.5466) * CHOOSE(CONTROL!$C$21, $C$9, 100%, $E$9)</f>
        <v>159.54660000000001</v>
      </c>
      <c r="I1063" s="14">
        <f>CHOOSE(CONTROL!$C$42, 159.7793, 159.7793)* CHOOSE(CONTROL!$C$21, $C$9, 100%, $E$9)</f>
        <v>159.77930000000001</v>
      </c>
      <c r="J1063" s="14">
        <f>CHOOSE(CONTROL!$C$42, 159.2746, 159.2746)* CHOOSE(CONTROL!$C$21, $C$9, 100%, $E$9)</f>
        <v>159.27459999999999</v>
      </c>
      <c r="K1063" s="52">
        <f>CHOOSE(CONTROL!$C$42, 159.7754, 159.7754) * CHOOSE(CONTROL!$C$21, $C$9, 100%, $E$9)</f>
        <v>159.77539999999999</v>
      </c>
      <c r="L1063" s="14">
        <f>CHOOSE(CONTROL!$C$42, 160.1336, 160.1336) * CHOOSE(CONTROL!$C$21, $C$9, 100%, $E$9)</f>
        <v>160.1336</v>
      </c>
      <c r="M1063" s="14">
        <f>CHOOSE(CONTROL!$C$42, 156.4175, 156.4175) * CHOOSE(CONTROL!$C$21, $C$9, 100%, $E$9)</f>
        <v>156.41749999999999</v>
      </c>
      <c r="N1063" s="14">
        <f>CHOOSE(CONTROL!$C$42, 156.4343, 156.4343) * CHOOSE(CONTROL!$C$21, $C$9, 100%, $E$9)</f>
        <v>156.43430000000001</v>
      </c>
      <c r="O1063" s="14">
        <f>CHOOSE(CONTROL!$C$42, 156.6846, 156.6846) * CHOOSE(CONTROL!$C$21, $C$9, 100%, $E$9)</f>
        <v>156.68459999999999</v>
      </c>
      <c r="P1063" s="14">
        <f>CHOOSE(CONTROL!$C$42, 156.9043, 156.9043) * CHOOSE(CONTROL!$C$21, $C$9, 100%, $E$9)</f>
        <v>156.90430000000001</v>
      </c>
      <c r="Q1063" s="14">
        <f>CHOOSE(CONTROL!$C$42, 157.2793, 157.2793) * CHOOSE(CONTROL!$C$21, $C$9, 100%, $E$9)</f>
        <v>157.27930000000001</v>
      </c>
      <c r="R1063" s="14">
        <f>CHOOSE(CONTROL!$C$42, 158.2595, 158.2595) * CHOOSE(CONTROL!$C$21, $C$9, 100%, $E$9)</f>
        <v>158.2595</v>
      </c>
      <c r="S1063" s="14">
        <f>CHOOSE(CONTROL!$C$42, 153.0217, 153.0217) * CHOOSE(CONTROL!$C$21, $C$9, 100%, $E$9)</f>
        <v>153.02170000000001</v>
      </c>
      <c r="T10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63" s="56">
        <f>(1000*CHOOSE(CONTROL!$C$42, 695, 695)*CHOOSE(CONTROL!$C$42, 0.5599, 0.5599)*CHOOSE(CONTROL!$C$42, 31, 31))/1000000</f>
        <v>12.063045499999998</v>
      </c>
      <c r="V1063" s="56">
        <f>(1000*CHOOSE(CONTROL!$C$42, 500, 500)*CHOOSE(CONTROL!$C$42, 0.275, 0.275)*CHOOSE(CONTROL!$C$42, 31, 31))/1000000</f>
        <v>4.2625000000000002</v>
      </c>
      <c r="W1063" s="56">
        <f>(1000*CHOOSE(CONTROL!$C$42, 0.1146, 0.1146)*CHOOSE(CONTROL!$C$42, 121.5, 121.5)*CHOOSE(CONTROL!$C$42, 31, 31))/1000000</f>
        <v>0.43164089999999994</v>
      </c>
      <c r="X1063" s="56">
        <f>(31*0.1790888*245000/1000000)+(31*0.2374*100000/1000000)</f>
        <v>2.0961194359999999</v>
      </c>
      <c r="Y1063" s="56"/>
      <c r="Z1063" s="14"/>
      <c r="AA1063" s="55"/>
      <c r="AB1063" s="49">
        <f>(B1063*194.205+C1063*267.466+D1063*133.845+E1063*53.484+F1063*40+G1063*185+H1063*0+I1063*100+J1063*300)/(194.205+267.466+133.845+53.484+0+40+185+100+300)</f>
        <v>159.35248245675041</v>
      </c>
      <c r="AC1063" s="45">
        <f>(M1063*'RAP TEMPLATE-GAS AVAILABILITY'!O1062+N1063*'RAP TEMPLATE-GAS AVAILABILITY'!P1062+O1063*'RAP TEMPLATE-GAS AVAILABILITY'!Q1062+P1063*'RAP TEMPLATE-GAS AVAILABILITY'!R1062)/('RAP TEMPLATE-GAS AVAILABILITY'!O1062+'RAP TEMPLATE-GAS AVAILABILITY'!P1062+'RAP TEMPLATE-GAS AVAILABILITY'!Q1062+'RAP TEMPLATE-GAS AVAILABILITY'!R1062)</f>
        <v>156.60956978417263</v>
      </c>
    </row>
    <row r="1064" spans="1:29" ht="15.75" x14ac:dyDescent="0.25">
      <c r="A1064" s="32">
        <v>73293</v>
      </c>
      <c r="B1064" s="14">
        <f>CHOOSE(CONTROL!$C$42, 151.3933, 151.3933) * CHOOSE(CONTROL!$C$21, $C$9, 100%, $E$9)</f>
        <v>151.39330000000001</v>
      </c>
      <c r="C1064" s="14">
        <f>CHOOSE(CONTROL!$C$42, 151.4013, 151.4013) * CHOOSE(CONTROL!$C$21, $C$9, 100%, $E$9)</f>
        <v>151.40129999999999</v>
      </c>
      <c r="D1064" s="14">
        <f>CHOOSE(CONTROL!$C$42, 151.6604, 151.6604) * CHOOSE(CONTROL!$C$21, $C$9, 100%, $E$9)</f>
        <v>151.66040000000001</v>
      </c>
      <c r="E1064" s="14">
        <f>CHOOSE(CONTROL!$C$42, 151.6919, 151.6919) * CHOOSE(CONTROL!$C$21, $C$9, 100%, $E$9)</f>
        <v>151.6919</v>
      </c>
      <c r="F1064" s="14">
        <f>CHOOSE(CONTROL!$C$42, 151.4157, 151.4157)*CHOOSE(CONTROL!$C$21, $C$9, 100%, $E$9)</f>
        <v>151.41569999999999</v>
      </c>
      <c r="G1064" s="14">
        <f>CHOOSE(CONTROL!$C$42, 151.4329, 151.4329)*CHOOSE(CONTROL!$C$21, $C$9, 100%, $E$9)</f>
        <v>151.43289999999999</v>
      </c>
      <c r="H1064" s="14">
        <f>CHOOSE(CONTROL!$C$42, 151.6805, 151.6805) * CHOOSE(CONTROL!$C$21, $C$9, 100%, $E$9)</f>
        <v>151.68049999999999</v>
      </c>
      <c r="I1064" s="14">
        <f>CHOOSE(CONTROL!$C$42, 151.8885, 151.8885)* CHOOSE(CONTROL!$C$21, $C$9, 100%, $E$9)</f>
        <v>151.88849999999999</v>
      </c>
      <c r="J1064" s="14">
        <f>CHOOSE(CONTROL!$C$42, 151.4087, 151.4087)* CHOOSE(CONTROL!$C$21, $C$9, 100%, $E$9)</f>
        <v>151.40870000000001</v>
      </c>
      <c r="K1064" s="52">
        <f>CHOOSE(CONTROL!$C$42, 151.8847, 151.8847) * CHOOSE(CONTROL!$C$21, $C$9, 100%, $E$9)</f>
        <v>151.88470000000001</v>
      </c>
      <c r="L1064" s="14">
        <f>CHOOSE(CONTROL!$C$42, 152.2675, 152.2675) * CHOOSE(CONTROL!$C$21, $C$9, 100%, $E$9)</f>
        <v>152.26750000000001</v>
      </c>
      <c r="M1064" s="14">
        <f>CHOOSE(CONTROL!$C$42, 148.6931, 148.6931) * CHOOSE(CONTROL!$C$21, $C$9, 100%, $E$9)</f>
        <v>148.69309999999999</v>
      </c>
      <c r="N1064" s="14">
        <f>CHOOSE(CONTROL!$C$42, 148.71, 148.71) * CHOOSE(CONTROL!$C$21, $C$9, 100%, $E$9)</f>
        <v>148.71</v>
      </c>
      <c r="O1064" s="14">
        <f>CHOOSE(CONTROL!$C$42, 148.96, 148.96) * CHOOSE(CONTROL!$C$21, $C$9, 100%, $E$9)</f>
        <v>148.96</v>
      </c>
      <c r="P1064" s="14">
        <f>CHOOSE(CONTROL!$C$42, 149.1559, 149.1559) * CHOOSE(CONTROL!$C$21, $C$9, 100%, $E$9)</f>
        <v>149.1559</v>
      </c>
      <c r="Q1064" s="14">
        <f>CHOOSE(CONTROL!$C$42, 149.5547, 149.5547) * CHOOSE(CONTROL!$C$21, $C$9, 100%, $E$9)</f>
        <v>149.5547</v>
      </c>
      <c r="R1064" s="14">
        <f>CHOOSE(CONTROL!$C$42, 150.5156, 150.5156) * CHOOSE(CONTROL!$C$21, $C$9, 100%, $E$9)</f>
        <v>150.51560000000001</v>
      </c>
      <c r="S1064" s="14">
        <f>CHOOSE(CONTROL!$C$42, 145.4632, 145.4632) * CHOOSE(CONTROL!$C$21, $C$9, 100%, $E$9)</f>
        <v>145.4632</v>
      </c>
      <c r="T10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64" s="56">
        <f>(1000*CHOOSE(CONTROL!$C$42, 695, 695)*CHOOSE(CONTROL!$C$42, 0.5599, 0.5599)*CHOOSE(CONTROL!$C$42, 31, 31))/1000000</f>
        <v>12.063045499999998</v>
      </c>
      <c r="V1064" s="56">
        <f>(1000*CHOOSE(CONTROL!$C$42, 500, 500)*CHOOSE(CONTROL!$C$42, 0.275, 0.275)*CHOOSE(CONTROL!$C$42, 31, 31))/1000000</f>
        <v>4.2625000000000002</v>
      </c>
      <c r="W1064" s="56">
        <f>(1000*CHOOSE(CONTROL!$C$42, 0.1146, 0.1146)*CHOOSE(CONTROL!$C$42, 121.5, 121.5)*CHOOSE(CONTROL!$C$42, 31, 31))/1000000</f>
        <v>0.43164089999999994</v>
      </c>
      <c r="X1064" s="56">
        <f>(31*0.1790888*245000/1000000)+(31*0.2374*100000/1000000)</f>
        <v>2.0961194359999999</v>
      </c>
      <c r="Y1064" s="56"/>
      <c r="Z1064" s="14"/>
      <c r="AA1064" s="55"/>
      <c r="AB1064" s="49">
        <f>(B1064*194.205+C1064*267.466+D1064*133.845+E1064*53.484+F1064*40+G1064*185+H1064*0+I1064*100+J1064*300)/(194.205+267.466+133.845+53.484+0+40+185+100+300)</f>
        <v>151.48452609882261</v>
      </c>
      <c r="AC1064" s="45">
        <f>(M1064*'RAP TEMPLATE-GAS AVAILABILITY'!O1063+N1064*'RAP TEMPLATE-GAS AVAILABILITY'!P1063+O1064*'RAP TEMPLATE-GAS AVAILABILITY'!Q1063+P1064*'RAP TEMPLATE-GAS AVAILABILITY'!R1063)/('RAP TEMPLATE-GAS AVAILABILITY'!O1063+'RAP TEMPLATE-GAS AVAILABILITY'!P1063+'RAP TEMPLATE-GAS AVAILABILITY'!Q1063+'RAP TEMPLATE-GAS AVAILABILITY'!R1063)</f>
        <v>148.88163165467626</v>
      </c>
    </row>
    <row r="1065" spans="1:29" ht="15.75" x14ac:dyDescent="0.25">
      <c r="A1065" s="32">
        <v>73323</v>
      </c>
      <c r="B1065" s="14">
        <f>CHOOSE(CONTROL!$C$42, 141.7822, 141.7822) * CHOOSE(CONTROL!$C$21, $C$9, 100%, $E$9)</f>
        <v>141.78219999999999</v>
      </c>
      <c r="C1065" s="14">
        <f>CHOOSE(CONTROL!$C$42, 141.7902, 141.7902) * CHOOSE(CONTROL!$C$21, $C$9, 100%, $E$9)</f>
        <v>141.7902</v>
      </c>
      <c r="D1065" s="14">
        <f>CHOOSE(CONTROL!$C$42, 142.0493, 142.0493) * CHOOSE(CONTROL!$C$21, $C$9, 100%, $E$9)</f>
        <v>142.04929999999999</v>
      </c>
      <c r="E1065" s="14">
        <f>CHOOSE(CONTROL!$C$42, 142.0808, 142.0808) * CHOOSE(CONTROL!$C$21, $C$9, 100%, $E$9)</f>
        <v>142.08080000000001</v>
      </c>
      <c r="F1065" s="14">
        <f>CHOOSE(CONTROL!$C$42, 141.8047, 141.8047)*CHOOSE(CONTROL!$C$21, $C$9, 100%, $E$9)</f>
        <v>141.8047</v>
      </c>
      <c r="G1065" s="14">
        <f>CHOOSE(CONTROL!$C$42, 141.8219, 141.8219)*CHOOSE(CONTROL!$C$21, $C$9, 100%, $E$9)</f>
        <v>141.8219</v>
      </c>
      <c r="H1065" s="14">
        <f>CHOOSE(CONTROL!$C$42, 142.0694, 142.0694) * CHOOSE(CONTROL!$C$21, $C$9, 100%, $E$9)</f>
        <v>142.0694</v>
      </c>
      <c r="I1065" s="14">
        <f>CHOOSE(CONTROL!$C$42, 142.2473, 142.2473)* CHOOSE(CONTROL!$C$21, $C$9, 100%, $E$9)</f>
        <v>142.2473</v>
      </c>
      <c r="J1065" s="14">
        <f>CHOOSE(CONTROL!$C$42, 141.7977, 141.7977)* CHOOSE(CONTROL!$C$21, $C$9, 100%, $E$9)</f>
        <v>141.79769999999999</v>
      </c>
      <c r="K1065" s="52">
        <f>CHOOSE(CONTROL!$C$42, 142.2434, 142.2434) * CHOOSE(CONTROL!$C$21, $C$9, 100%, $E$9)</f>
        <v>142.24340000000001</v>
      </c>
      <c r="L1065" s="14">
        <f>CHOOSE(CONTROL!$C$42, 142.6564, 142.6564) * CHOOSE(CONTROL!$C$21, $C$9, 100%, $E$9)</f>
        <v>142.65639999999999</v>
      </c>
      <c r="M1065" s="14">
        <f>CHOOSE(CONTROL!$C$42, 139.2549, 139.2549) * CHOOSE(CONTROL!$C$21, $C$9, 100%, $E$9)</f>
        <v>139.25489999999999</v>
      </c>
      <c r="N1065" s="14">
        <f>CHOOSE(CONTROL!$C$42, 139.2718, 139.2718) * CHOOSE(CONTROL!$C$21, $C$9, 100%, $E$9)</f>
        <v>139.27180000000001</v>
      </c>
      <c r="O1065" s="14">
        <f>CHOOSE(CONTROL!$C$42, 139.5217, 139.5217) * CHOOSE(CONTROL!$C$21, $C$9, 100%, $E$9)</f>
        <v>139.52170000000001</v>
      </c>
      <c r="P1065" s="14">
        <f>CHOOSE(CONTROL!$C$42, 139.6887, 139.6887) * CHOOSE(CONTROL!$C$21, $C$9, 100%, $E$9)</f>
        <v>139.68870000000001</v>
      </c>
      <c r="Q1065" s="14">
        <f>CHOOSE(CONTROL!$C$42, 140.1164, 140.1164) * CHOOSE(CONTROL!$C$21, $C$9, 100%, $E$9)</f>
        <v>140.1164</v>
      </c>
      <c r="R1065" s="14">
        <f>CHOOSE(CONTROL!$C$42, 141.0537, 141.0537) * CHOOSE(CONTROL!$C$21, $C$9, 100%, $E$9)</f>
        <v>141.05369999999999</v>
      </c>
      <c r="S1065" s="14">
        <f>CHOOSE(CONTROL!$C$42, 136.2279, 136.2279) * CHOOSE(CONTROL!$C$21, $C$9, 100%, $E$9)</f>
        <v>136.22790000000001</v>
      </c>
      <c r="T10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65" s="56">
        <f>(1000*CHOOSE(CONTROL!$C$42, 695, 695)*CHOOSE(CONTROL!$C$42, 0.5599, 0.5599)*CHOOSE(CONTROL!$C$42, 30, 30))/1000000</f>
        <v>11.673914999999997</v>
      </c>
      <c r="V1065" s="56">
        <f>(1000*CHOOSE(CONTROL!$C$42, 500, 500)*CHOOSE(CONTROL!$C$42, 0.275, 0.275)*CHOOSE(CONTROL!$C$42, 30, 30))/1000000</f>
        <v>4.125</v>
      </c>
      <c r="W1065" s="56">
        <f>(1000*CHOOSE(CONTROL!$C$42, 0.1146, 0.1146)*CHOOSE(CONTROL!$C$42, 121.5, 121.5)*CHOOSE(CONTROL!$C$42, 30, 30))/1000000</f>
        <v>0.417717</v>
      </c>
      <c r="X1065" s="56">
        <f>(30*0.1790888*245000/1000000)+(30*0.2374*100000/1000000)</f>
        <v>2.0285026799999999</v>
      </c>
      <c r="Y1065" s="56"/>
      <c r="Z1065" s="14"/>
      <c r="AA1065" s="55"/>
      <c r="AB1065" s="49">
        <f>(B1065*194.205+C1065*267.466+D1065*133.845+E1065*53.484+F1065*40+G1065*185+H1065*0+I1065*100+J1065*300)/(194.205+267.466+133.845+53.484+0+40+185+100+300)</f>
        <v>141.87110467025119</v>
      </c>
      <c r="AC1065" s="45">
        <f>(M1065*'RAP TEMPLATE-GAS AVAILABILITY'!O1064+N1065*'RAP TEMPLATE-GAS AVAILABILITY'!P1064+O1065*'RAP TEMPLATE-GAS AVAILABILITY'!Q1064+P1065*'RAP TEMPLATE-GAS AVAILABILITY'!R1064)/('RAP TEMPLATE-GAS AVAILABILITY'!O1064+'RAP TEMPLATE-GAS AVAILABILITY'!P1064+'RAP TEMPLATE-GAS AVAILABILITY'!Q1064+'RAP TEMPLATE-GAS AVAILABILITY'!R1064)</f>
        <v>139.43921366906474</v>
      </c>
    </row>
    <row r="1066" spans="1:29" ht="15.75" x14ac:dyDescent="0.25">
      <c r="A1066" s="32">
        <v>73354</v>
      </c>
      <c r="B1066" s="14">
        <f>CHOOSE(CONTROL!$C$42, 138.9019, 138.9019) * CHOOSE(CONTROL!$C$21, $C$9, 100%, $E$9)</f>
        <v>138.90190000000001</v>
      </c>
      <c r="C1066" s="14">
        <f>CHOOSE(CONTROL!$C$42, 138.9072, 138.9072) * CHOOSE(CONTROL!$C$21, $C$9, 100%, $E$9)</f>
        <v>138.90719999999999</v>
      </c>
      <c r="D1066" s="14">
        <f>CHOOSE(CONTROL!$C$42, 139.1713, 139.1713) * CHOOSE(CONTROL!$C$21, $C$9, 100%, $E$9)</f>
        <v>139.1713</v>
      </c>
      <c r="E1066" s="14">
        <f>CHOOSE(CONTROL!$C$42, 139.2004, 139.2004) * CHOOSE(CONTROL!$C$21, $C$9, 100%, $E$9)</f>
        <v>139.2004</v>
      </c>
      <c r="F1066" s="14">
        <f>CHOOSE(CONTROL!$C$42, 138.9265, 138.9265)*CHOOSE(CONTROL!$C$21, $C$9, 100%, $E$9)</f>
        <v>138.9265</v>
      </c>
      <c r="G1066" s="14">
        <f>CHOOSE(CONTROL!$C$42, 138.9436, 138.9436)*CHOOSE(CONTROL!$C$21, $C$9, 100%, $E$9)</f>
        <v>138.9436</v>
      </c>
      <c r="H1066" s="14">
        <f>CHOOSE(CONTROL!$C$42, 139.1909, 139.1909) * CHOOSE(CONTROL!$C$21, $C$9, 100%, $E$9)</f>
        <v>139.1909</v>
      </c>
      <c r="I1066" s="14">
        <f>CHOOSE(CONTROL!$C$42, 139.3598, 139.3598)* CHOOSE(CONTROL!$C$21, $C$9, 100%, $E$9)</f>
        <v>139.35980000000001</v>
      </c>
      <c r="J1066" s="14">
        <f>CHOOSE(CONTROL!$C$42, 138.9195, 138.9195)* CHOOSE(CONTROL!$C$21, $C$9, 100%, $E$9)</f>
        <v>138.9195</v>
      </c>
      <c r="K1066" s="52">
        <f>CHOOSE(CONTROL!$C$42, 139.3559, 139.3559) * CHOOSE(CONTROL!$C$21, $C$9, 100%, $E$9)</f>
        <v>139.35589999999999</v>
      </c>
      <c r="L1066" s="14">
        <f>CHOOSE(CONTROL!$C$42, 139.7779, 139.7779) * CHOOSE(CONTROL!$C$21, $C$9, 100%, $E$9)</f>
        <v>139.77789999999999</v>
      </c>
      <c r="M1066" s="14">
        <f>CHOOSE(CONTROL!$C$42, 136.4285, 136.4285) * CHOOSE(CONTROL!$C$21, $C$9, 100%, $E$9)</f>
        <v>136.42850000000001</v>
      </c>
      <c r="N1066" s="14">
        <f>CHOOSE(CONTROL!$C$42, 136.4453, 136.4453) * CHOOSE(CONTROL!$C$21, $C$9, 100%, $E$9)</f>
        <v>136.4453</v>
      </c>
      <c r="O1066" s="14">
        <f>CHOOSE(CONTROL!$C$42, 136.695, 136.695) * CHOOSE(CONTROL!$C$21, $C$9, 100%, $E$9)</f>
        <v>136.69499999999999</v>
      </c>
      <c r="P1066" s="14">
        <f>CHOOSE(CONTROL!$C$42, 136.8532, 136.8532) * CHOOSE(CONTROL!$C$21, $C$9, 100%, $E$9)</f>
        <v>136.85319999999999</v>
      </c>
      <c r="Q1066" s="14">
        <f>CHOOSE(CONTROL!$C$42, 137.2897, 137.2897) * CHOOSE(CONTROL!$C$21, $C$9, 100%, $E$9)</f>
        <v>137.28970000000001</v>
      </c>
      <c r="R1066" s="14">
        <f>CHOOSE(CONTROL!$C$42, 138.2199, 138.2199) * CHOOSE(CONTROL!$C$21, $C$9, 100%, $E$9)</f>
        <v>138.2199</v>
      </c>
      <c r="S1066" s="14">
        <f>CHOOSE(CONTROL!$C$42, 133.4619, 133.4619) * CHOOSE(CONTROL!$C$21, $C$9, 100%, $E$9)</f>
        <v>133.46190000000001</v>
      </c>
      <c r="T10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66" s="56">
        <f>(1000*CHOOSE(CONTROL!$C$42, 695, 695)*CHOOSE(CONTROL!$C$42, 0.5599, 0.5599)*CHOOSE(CONTROL!$C$42, 31, 31))/1000000</f>
        <v>12.063045499999998</v>
      </c>
      <c r="V1066" s="56">
        <f>(1000*CHOOSE(CONTROL!$C$42, 500, 500)*CHOOSE(CONTROL!$C$42, 0.275, 0.275)*CHOOSE(CONTROL!$C$42, 31, 31))/1000000</f>
        <v>4.2625000000000002</v>
      </c>
      <c r="W1066" s="56">
        <f>(1000*CHOOSE(CONTROL!$C$42, 0.1146, 0.1146)*CHOOSE(CONTROL!$C$42, 121.5, 121.5)*CHOOSE(CONTROL!$C$42, 31, 31))/1000000</f>
        <v>0.43164089999999994</v>
      </c>
      <c r="X1066" s="56">
        <f>(31*0.1790888*245000/1000000)+(31*0.2374*100000/1000000)</f>
        <v>2.0961194359999999</v>
      </c>
      <c r="Y1066" s="56"/>
      <c r="Z1066" s="14"/>
      <c r="AA1066" s="55"/>
      <c r="AB1066" s="49">
        <f>(B1066*131.881+C1066*277.167+D1066*79.08+E1066*125.872+F1066*40+G1066*185+H1066*0+I1066*100+J1066*300)/(131.881+277.167+79.08+125.872+0+40+185+100+300)</f>
        <v>138.99884465625502</v>
      </c>
      <c r="AC1066" s="45">
        <f>(M1066*'RAP TEMPLATE-GAS AVAILABILITY'!O1065+N1066*'RAP TEMPLATE-GAS AVAILABILITY'!P1065+O1066*'RAP TEMPLATE-GAS AVAILABILITY'!Q1065+P1066*'RAP TEMPLATE-GAS AVAILABILITY'!R1065)/('RAP TEMPLATE-GAS AVAILABILITY'!O1065+'RAP TEMPLATE-GAS AVAILABILITY'!P1065+'RAP TEMPLATE-GAS AVAILABILITY'!Q1065+'RAP TEMPLATE-GAS AVAILABILITY'!R1065)</f>
        <v>136.61136258992804</v>
      </c>
    </row>
    <row r="1067" spans="1:29" ht="15.75" x14ac:dyDescent="0.25">
      <c r="A1067" s="32">
        <v>73384</v>
      </c>
      <c r="B1067" s="14">
        <f>CHOOSE(CONTROL!$C$42, 142.5606, 142.5606) * CHOOSE(CONTROL!$C$21, $C$9, 100%, $E$9)</f>
        <v>142.56059999999999</v>
      </c>
      <c r="C1067" s="14">
        <f>CHOOSE(CONTROL!$C$42, 142.5656, 142.5656) * CHOOSE(CONTROL!$C$21, $C$9, 100%, $E$9)</f>
        <v>142.56559999999999</v>
      </c>
      <c r="D1067" s="14">
        <f>CHOOSE(CONTROL!$C$42, 142.6487, 142.6487) * CHOOSE(CONTROL!$C$21, $C$9, 100%, $E$9)</f>
        <v>142.64869999999999</v>
      </c>
      <c r="E1067" s="14">
        <f>CHOOSE(CONTROL!$C$42, 142.6828, 142.6828) * CHOOSE(CONTROL!$C$21, $C$9, 100%, $E$9)</f>
        <v>142.68279999999999</v>
      </c>
      <c r="F1067" s="14">
        <f>CHOOSE(CONTROL!$C$42, 142.5882, 142.5882)*CHOOSE(CONTROL!$C$21, $C$9, 100%, $E$9)</f>
        <v>142.5882</v>
      </c>
      <c r="G1067" s="14">
        <f>CHOOSE(CONTROL!$C$42, 142.6056, 142.6056)*CHOOSE(CONTROL!$C$21, $C$9, 100%, $E$9)</f>
        <v>142.60560000000001</v>
      </c>
      <c r="H1067" s="14">
        <f>CHOOSE(CONTROL!$C$42, 142.672, 142.672) * CHOOSE(CONTROL!$C$21, $C$9, 100%, $E$9)</f>
        <v>142.672</v>
      </c>
      <c r="I1067" s="14">
        <f>CHOOSE(CONTROL!$C$42, 143.0267, 143.0267)* CHOOSE(CONTROL!$C$21, $C$9, 100%, $E$9)</f>
        <v>143.02670000000001</v>
      </c>
      <c r="J1067" s="14">
        <f>CHOOSE(CONTROL!$C$42, 142.5812, 142.5812)* CHOOSE(CONTROL!$C$21, $C$9, 100%, $E$9)</f>
        <v>142.5812</v>
      </c>
      <c r="K1067" s="52">
        <f>CHOOSE(CONTROL!$C$42, 143.0228, 143.0228) * CHOOSE(CONTROL!$C$21, $C$9, 100%, $E$9)</f>
        <v>143.02279999999999</v>
      </c>
      <c r="L1067" s="14">
        <f>CHOOSE(CONTROL!$C$42, 143.259, 143.259) * CHOOSE(CONTROL!$C$21, $C$9, 100%, $E$9)</f>
        <v>143.25899999999999</v>
      </c>
      <c r="M1067" s="14">
        <f>CHOOSE(CONTROL!$C$42, 140.0243, 140.0243) * CHOOSE(CONTROL!$C$21, $C$9, 100%, $E$9)</f>
        <v>140.02430000000001</v>
      </c>
      <c r="N1067" s="14">
        <f>CHOOSE(CONTROL!$C$42, 140.0414, 140.0414) * CHOOSE(CONTROL!$C$21, $C$9, 100%, $E$9)</f>
        <v>140.04140000000001</v>
      </c>
      <c r="O1067" s="14">
        <f>CHOOSE(CONTROL!$C$42, 140.1135, 140.1135) * CHOOSE(CONTROL!$C$21, $C$9, 100%, $E$9)</f>
        <v>140.11349999999999</v>
      </c>
      <c r="P1067" s="14">
        <f>CHOOSE(CONTROL!$C$42, 140.454, 140.454) * CHOOSE(CONTROL!$C$21, $C$9, 100%, $E$9)</f>
        <v>140.45400000000001</v>
      </c>
      <c r="Q1067" s="14">
        <f>CHOOSE(CONTROL!$C$42, 140.7082, 140.7082) * CHOOSE(CONTROL!$C$21, $C$9, 100%, $E$9)</f>
        <v>140.70820000000001</v>
      </c>
      <c r="R1067" s="14">
        <f>CHOOSE(CONTROL!$C$42, 141.647, 141.647) * CHOOSE(CONTROL!$C$21, $C$9, 100%, $E$9)</f>
        <v>141.64699999999999</v>
      </c>
      <c r="S1067" s="14">
        <f>CHOOSE(CONTROL!$C$42, 136.9779, 136.9779) * CHOOSE(CONTROL!$C$21, $C$9, 100%, $E$9)</f>
        <v>136.97790000000001</v>
      </c>
      <c r="T10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67" s="56">
        <f>(1000*CHOOSE(CONTROL!$C$42, 695, 695)*CHOOSE(CONTROL!$C$42, 0.5599, 0.5599)*CHOOSE(CONTROL!$C$42, 30, 30))/1000000</f>
        <v>11.673914999999997</v>
      </c>
      <c r="V1067" s="56">
        <f>(1000*CHOOSE(CONTROL!$C$42, 500, 500)*CHOOSE(CONTROL!$C$42, 0.275, 0.275)*CHOOSE(CONTROL!$C$42, 30, 30))/1000000</f>
        <v>4.125</v>
      </c>
      <c r="W1067" s="56">
        <f>(1000*CHOOSE(CONTROL!$C$42, 0.1146, 0.1146)*CHOOSE(CONTROL!$C$42, 121.5, 121.5)*CHOOSE(CONTROL!$C$42, 30, 30))/1000000</f>
        <v>0.417717</v>
      </c>
      <c r="X1067" s="56">
        <f>(30*0.1790888*100000/1000000)+(30*0.2374*100000/1000000)</f>
        <v>1.2494664</v>
      </c>
      <c r="Y1067" s="56"/>
      <c r="Z1067" s="14"/>
      <c r="AA1067" s="55"/>
      <c r="AB1067" s="49">
        <f>(B1067*122.58+C1067*297.941+D1067*89.177+E1067*40.302+F1067*40+G1067*160+H1067*0+I1067*100+J1067*300)/(122.58+297.941+89.177+40.302+0+40+160+100+300)</f>
        <v>142.62613487226085</v>
      </c>
      <c r="AC1067" s="45">
        <f>(M1067*'RAP TEMPLATE-GAS AVAILABILITY'!O1066+N1067*'RAP TEMPLATE-GAS AVAILABILITY'!P1066+O1067*'RAP TEMPLATE-GAS AVAILABILITY'!Q1066+P1067*'RAP TEMPLATE-GAS AVAILABILITY'!R1066)/('RAP TEMPLATE-GAS AVAILABILITY'!O1066+'RAP TEMPLATE-GAS AVAILABILITY'!P1066+'RAP TEMPLATE-GAS AVAILABILITY'!Q1066+'RAP TEMPLATE-GAS AVAILABILITY'!R1066)</f>
        <v>140.12754028776979</v>
      </c>
    </row>
    <row r="1068" spans="1:29" ht="15.75" x14ac:dyDescent="0.25">
      <c r="A1068" s="32">
        <v>73415</v>
      </c>
      <c r="B1068" s="14">
        <f>CHOOSE(CONTROL!$C$42, 152.2789, 152.2789) * CHOOSE(CONTROL!$C$21, $C$9, 100%, $E$9)</f>
        <v>152.27889999999999</v>
      </c>
      <c r="C1068" s="14">
        <f>CHOOSE(CONTROL!$C$42, 152.284, 152.284) * CHOOSE(CONTROL!$C$21, $C$9, 100%, $E$9)</f>
        <v>152.28399999999999</v>
      </c>
      <c r="D1068" s="14">
        <f>CHOOSE(CONTROL!$C$42, 152.367, 152.367) * CHOOSE(CONTROL!$C$21, $C$9, 100%, $E$9)</f>
        <v>152.36699999999999</v>
      </c>
      <c r="E1068" s="14">
        <f>CHOOSE(CONTROL!$C$42, 152.4011, 152.4011) * CHOOSE(CONTROL!$C$21, $C$9, 100%, $E$9)</f>
        <v>152.40110000000001</v>
      </c>
      <c r="F1068" s="14">
        <f>CHOOSE(CONTROL!$C$42, 152.309, 152.309)*CHOOSE(CONTROL!$C$21, $C$9, 100%, $E$9)</f>
        <v>152.309</v>
      </c>
      <c r="G1068" s="14">
        <f>CHOOSE(CONTROL!$C$42, 152.327, 152.327)*CHOOSE(CONTROL!$C$21, $C$9, 100%, $E$9)</f>
        <v>152.327</v>
      </c>
      <c r="H1068" s="14">
        <f>CHOOSE(CONTROL!$C$42, 152.3903, 152.3903) * CHOOSE(CONTROL!$C$21, $C$9, 100%, $E$9)</f>
        <v>152.3903</v>
      </c>
      <c r="I1068" s="14">
        <f>CHOOSE(CONTROL!$C$42, 152.7755, 152.7755)* CHOOSE(CONTROL!$C$21, $C$9, 100%, $E$9)</f>
        <v>152.77549999999999</v>
      </c>
      <c r="J1068" s="14">
        <f>CHOOSE(CONTROL!$C$42, 152.302, 152.302)* CHOOSE(CONTROL!$C$21, $C$9, 100%, $E$9)</f>
        <v>152.30199999999999</v>
      </c>
      <c r="K1068" s="52">
        <f>CHOOSE(CONTROL!$C$42, 152.7716, 152.7716) * CHOOSE(CONTROL!$C$21, $C$9, 100%, $E$9)</f>
        <v>152.77160000000001</v>
      </c>
      <c r="L1068" s="14">
        <f>CHOOSE(CONTROL!$C$42, 152.9773, 152.9773) * CHOOSE(CONTROL!$C$21, $C$9, 100%, $E$9)</f>
        <v>152.97730000000001</v>
      </c>
      <c r="M1068" s="14">
        <f>CHOOSE(CONTROL!$C$42, 149.5703, 149.5703) * CHOOSE(CONTROL!$C$21, $C$9, 100%, $E$9)</f>
        <v>149.5703</v>
      </c>
      <c r="N1068" s="14">
        <f>CHOOSE(CONTROL!$C$42, 149.5879, 149.5879) * CHOOSE(CONTROL!$C$21, $C$9, 100%, $E$9)</f>
        <v>149.58789999999999</v>
      </c>
      <c r="O1068" s="14">
        <f>CHOOSE(CONTROL!$C$42, 149.657, 149.657) * CHOOSE(CONTROL!$C$21, $C$9, 100%, $E$9)</f>
        <v>149.65700000000001</v>
      </c>
      <c r="P1068" s="14">
        <f>CHOOSE(CONTROL!$C$42, 150.0268, 150.0268) * CHOOSE(CONTROL!$C$21, $C$9, 100%, $E$9)</f>
        <v>150.02680000000001</v>
      </c>
      <c r="Q1068" s="14">
        <f>CHOOSE(CONTROL!$C$42, 150.2517, 150.2517) * CHOOSE(CONTROL!$C$21, $C$9, 100%, $E$9)</f>
        <v>150.2517</v>
      </c>
      <c r="R1068" s="14">
        <f>CHOOSE(CONTROL!$C$42, 151.2144, 151.2144) * CHOOSE(CONTROL!$C$21, $C$9, 100%, $E$9)</f>
        <v>151.21440000000001</v>
      </c>
      <c r="S1068" s="14">
        <f>CHOOSE(CONTROL!$C$42, 146.3163, 146.3163) * CHOOSE(CONTROL!$C$21, $C$9, 100%, $E$9)</f>
        <v>146.31630000000001</v>
      </c>
      <c r="T10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68" s="56">
        <f>(1000*CHOOSE(CONTROL!$C$42, 695, 695)*CHOOSE(CONTROL!$C$42, 0.5599, 0.5599)*CHOOSE(CONTROL!$C$42, 31, 31))/1000000</f>
        <v>12.063045499999998</v>
      </c>
      <c r="V1068" s="56">
        <f>(1000*CHOOSE(CONTROL!$C$42, 500, 500)*CHOOSE(CONTROL!$C$42, 0.275, 0.275)*CHOOSE(CONTROL!$C$42, 31, 31))/1000000</f>
        <v>4.2625000000000002</v>
      </c>
      <c r="W1068" s="56">
        <f>(1000*CHOOSE(CONTROL!$C$42, 0.1146, 0.1146)*CHOOSE(CONTROL!$C$42, 121.5, 121.5)*CHOOSE(CONTROL!$C$42, 31, 31))/1000000</f>
        <v>0.43164089999999994</v>
      </c>
      <c r="X1068" s="56">
        <f>(31*0.1790888*100000/1000000)+(31*0.2374*100000/1000000)</f>
        <v>1.2911152800000001</v>
      </c>
      <c r="Y1068" s="56"/>
      <c r="Z1068" s="14"/>
      <c r="AA1068" s="55"/>
      <c r="AB1068" s="49">
        <f>(B1068*122.58+C1068*297.941+D1068*89.177+E1068*40.302+F1068*40+G1068*160+H1068*0+I1068*100+J1068*300)/(122.58+297.941+89.177+40.302+0+40+160+100+300)</f>
        <v>152.34828338886956</v>
      </c>
      <c r="AC1068" s="45">
        <f>(M1068*'RAP TEMPLATE-GAS AVAILABILITY'!O1067+N1068*'RAP TEMPLATE-GAS AVAILABILITY'!P1067+O1068*'RAP TEMPLATE-GAS AVAILABILITY'!Q1067+P1068*'RAP TEMPLATE-GAS AVAILABILITY'!R1067)/('RAP TEMPLATE-GAS AVAILABILITY'!O1067+'RAP TEMPLATE-GAS AVAILABILITY'!P1067+'RAP TEMPLATE-GAS AVAILABILITY'!Q1067+'RAP TEMPLATE-GAS AVAILABILITY'!R1067)</f>
        <v>149.67629208633096</v>
      </c>
    </row>
    <row r="1069" spans="1:29" ht="15" x14ac:dyDescent="0.2">
      <c r="A1069" s="12"/>
    </row>
    <row r="1070" spans="1:29" ht="15.75" x14ac:dyDescent="0.25">
      <c r="A1070" s="10">
        <v>2013</v>
      </c>
      <c r="B1070" s="14">
        <f t="shared" ref="B1070:J1070" si="4">AVERAGE(B13:B24)</f>
        <v>4.0887562069849617</v>
      </c>
      <c r="C1070" s="14">
        <f t="shared" si="4"/>
        <v>4.0950257327656905</v>
      </c>
      <c r="D1070" s="14">
        <f t="shared" si="4"/>
        <v>4.286563320583868</v>
      </c>
      <c r="E1070" s="14">
        <f t="shared" si="4"/>
        <v>4.3189120525923137</v>
      </c>
      <c r="F1070" s="14">
        <f t="shared" si="4"/>
        <v>4.1045981469296846</v>
      </c>
      <c r="G1070" s="14">
        <f t="shared" si="4"/>
        <v>4.120720351031375</v>
      </c>
      <c r="H1070" s="14">
        <f t="shared" si="4"/>
        <v>4.3079386590015174</v>
      </c>
      <c r="I1070" s="14">
        <f t="shared" si="4"/>
        <v>4.1197046505611974</v>
      </c>
      <c r="J1070" s="14">
        <f t="shared" si="4"/>
        <v>4.0974981469296852</v>
      </c>
      <c r="K1070" s="52"/>
      <c r="L1070" s="14">
        <f t="shared" ref="L1070:S1070" si="5">AVERAGE(L13:L24)</f>
        <v>4.8949386590015171</v>
      </c>
      <c r="M1070" s="14">
        <f t="shared" si="5"/>
        <v>4.0390640086239342</v>
      </c>
      <c r="N1070" s="14">
        <f t="shared" si="5"/>
        <v>4.0549323985697461</v>
      </c>
      <c r="O1070" s="14">
        <f t="shared" si="5"/>
        <v>4.2460255310268389</v>
      </c>
      <c r="P1070" s="14">
        <f t="shared" si="5"/>
        <v>4.0608099654294501</v>
      </c>
      <c r="Q1070" s="14">
        <f t="shared" si="5"/>
        <v>4.8407255310268393</v>
      </c>
      <c r="R1070" s="14">
        <f t="shared" si="5"/>
        <v>5.4398054281877393</v>
      </c>
      <c r="S1070" s="14">
        <f t="shared" si="5"/>
        <v>3.9267077487764284</v>
      </c>
      <c r="T1070" s="48">
        <f t="shared" ref="T1070:Y1070" si="6">SUM(T13:T24)</f>
        <v>360.245881</v>
      </c>
      <c r="U1070" s="48">
        <f t="shared" si="6"/>
        <v>142.03497249999998</v>
      </c>
      <c r="V1070" s="48">
        <f t="shared" si="6"/>
        <v>58.217499999999994</v>
      </c>
      <c r="W1070" s="48">
        <f t="shared" si="6"/>
        <v>8.0941519999999993</v>
      </c>
      <c r="X1070" s="48">
        <f t="shared" si="6"/>
        <v>5.5571254639999994</v>
      </c>
      <c r="Y1070" s="48">
        <f t="shared" si="6"/>
        <v>4.7699999999999996</v>
      </c>
      <c r="Z1070" s="14">
        <f>AVERAGE(Z13:Z24)</f>
        <v>4.0480739666766583</v>
      </c>
      <c r="AA1070" s="48">
        <f>SUM(AA13:AA24)</f>
        <v>9.4679999999999982</v>
      </c>
      <c r="AB1070" s="49">
        <f>AVERAGE(AB13:AB24)</f>
        <v>4.1574819480158283</v>
      </c>
      <c r="AC1070" s="45">
        <f>AVERAGE(AC13:AC24)</f>
        <v>4.1221598018216543</v>
      </c>
    </row>
    <row r="1071" spans="1:29" ht="15.75" x14ac:dyDescent="0.25">
      <c r="A1071" s="10">
        <v>2014</v>
      </c>
      <c r="B1071" s="14">
        <f t="shared" ref="B1071:J1071" si="7">AVERAGE(B25:B36)</f>
        <v>4.4196166666666672</v>
      </c>
      <c r="C1071" s="14">
        <f t="shared" si="7"/>
        <v>4.4258916666666668</v>
      </c>
      <c r="D1071" s="14">
        <f t="shared" si="7"/>
        <v>4.6148999999999996</v>
      </c>
      <c r="E1071" s="14">
        <f t="shared" si="7"/>
        <v>4.6473333333333331</v>
      </c>
      <c r="F1071" s="14">
        <f t="shared" si="7"/>
        <v>4.4442666666666666</v>
      </c>
      <c r="G1071" s="14">
        <f t="shared" si="7"/>
        <v>4.4616250000000006</v>
      </c>
      <c r="H1071" s="14">
        <f t="shared" si="7"/>
        <v>4.6364500000000008</v>
      </c>
      <c r="I1071" s="14">
        <f t="shared" si="7"/>
        <v>4.4557666666666664</v>
      </c>
      <c r="J1071" s="14">
        <f t="shared" si="7"/>
        <v>4.4372666666666669</v>
      </c>
      <c r="K1071" s="52"/>
      <c r="L1071" s="14">
        <f t="shared" ref="L1071:S1071" si="8">AVERAGE(L25:L36)</f>
        <v>5.2234499999999997</v>
      </c>
      <c r="M1071" s="14">
        <f t="shared" si="8"/>
        <v>4.3651583333333326</v>
      </c>
      <c r="N1071" s="14">
        <f t="shared" si="8"/>
        <v>4.3821833333333329</v>
      </c>
      <c r="O1071" s="14">
        <f t="shared" si="8"/>
        <v>4.5607500000000005</v>
      </c>
      <c r="P1071" s="14">
        <f t="shared" si="8"/>
        <v>4.383141666666666</v>
      </c>
      <c r="Q1071" s="14">
        <f t="shared" si="8"/>
        <v>5.1554499999999992</v>
      </c>
      <c r="R1071" s="14">
        <f t="shared" si="8"/>
        <v>5.7553333333333336</v>
      </c>
      <c r="S1071" s="14">
        <f t="shared" si="8"/>
        <v>4.2372833333333331</v>
      </c>
      <c r="T1071" s="48">
        <f t="shared" ref="T1071:Y1071" si="9">SUM(T25:T36)</f>
        <v>364.83318099999997</v>
      </c>
      <c r="U1071" s="48">
        <f t="shared" si="9"/>
        <v>142.03263249999998</v>
      </c>
      <c r="V1071" s="48">
        <f t="shared" si="9"/>
        <v>58.217499999999994</v>
      </c>
      <c r="W1071" s="48">
        <f t="shared" si="9"/>
        <v>8.3657999999999983</v>
      </c>
      <c r="X1071" s="48">
        <f t="shared" si="9"/>
        <v>5.5571254639999994</v>
      </c>
      <c r="Y1071" s="48">
        <f t="shared" si="9"/>
        <v>1.2000000000000002</v>
      </c>
      <c r="Z1071" s="14">
        <f>AVERAGE(Z25:Z36)</f>
        <v>4.3597833333333327</v>
      </c>
      <c r="AA1071" s="48">
        <f>SUM(AA25:AA36)</f>
        <v>9.4679999999999982</v>
      </c>
      <c r="AB1071" s="49">
        <f>AVERAGE(AB25:AB36)</f>
        <v>4.4920037318459007</v>
      </c>
      <c r="AC1071" s="45">
        <f>AVERAGE(AC25:AC36)</f>
        <v>4.4424236211031172</v>
      </c>
    </row>
    <row r="1072" spans="1:29" ht="15.75" x14ac:dyDescent="0.25">
      <c r="A1072" s="10">
        <v>2015</v>
      </c>
      <c r="B1072" s="14">
        <f t="shared" ref="B1072:J1072" si="10">AVERAGE(B37:B48)</f>
        <v>4.4927166666666665</v>
      </c>
      <c r="C1072" s="14">
        <f t="shared" si="10"/>
        <v>4.4990083333333333</v>
      </c>
      <c r="D1072" s="14">
        <f t="shared" si="10"/>
        <v>4.6880166666666669</v>
      </c>
      <c r="E1072" s="14">
        <f t="shared" si="10"/>
        <v>4.7204333333333333</v>
      </c>
      <c r="F1072" s="14">
        <f t="shared" si="10"/>
        <v>4.5173750000000004</v>
      </c>
      <c r="G1072" s="14">
        <f t="shared" si="10"/>
        <v>4.5347333333333335</v>
      </c>
      <c r="H1072" s="14">
        <f t="shared" si="10"/>
        <v>4.7095500000000001</v>
      </c>
      <c r="I1072" s="14">
        <f t="shared" si="10"/>
        <v>4.529116666666666</v>
      </c>
      <c r="J1072" s="14">
        <f t="shared" si="10"/>
        <v>4.5103749999999998</v>
      </c>
      <c r="K1072" s="52"/>
      <c r="L1072" s="14">
        <f t="shared" ref="L1072:S1072" si="11">AVERAGE(L37:L48)</f>
        <v>5.2965499999999999</v>
      </c>
      <c r="M1072" s="14">
        <f t="shared" si="11"/>
        <v>4.4369416666666659</v>
      </c>
      <c r="N1072" s="14">
        <f t="shared" si="11"/>
        <v>4.4539833333333325</v>
      </c>
      <c r="O1072" s="14">
        <f t="shared" si="11"/>
        <v>4.6325500000000002</v>
      </c>
      <c r="P1072" s="14">
        <f t="shared" si="11"/>
        <v>4.4551666666666661</v>
      </c>
      <c r="Q1072" s="14">
        <f t="shared" si="11"/>
        <v>5.2272499999999988</v>
      </c>
      <c r="R1072" s="14">
        <f t="shared" si="11"/>
        <v>5.8273166666666674</v>
      </c>
      <c r="S1072" s="14">
        <f t="shared" si="11"/>
        <v>4.3075333333333328</v>
      </c>
      <c r="T1072" s="48">
        <f>SUM(T37:T48)</f>
        <v>364.83318099999997</v>
      </c>
      <c r="U1072" s="48">
        <f>SUM(U37:U48)</f>
        <v>142.03263249999998</v>
      </c>
      <c r="V1072" s="48">
        <f>SUM(V37:V48)</f>
        <v>58.217499999999994</v>
      </c>
      <c r="W1072" s="48">
        <f>SUM(W37:W48)</f>
        <v>8.3657999999999983</v>
      </c>
      <c r="X1072" s="48">
        <f>SUM(X37:X48)</f>
        <v>17.010567464000001</v>
      </c>
      <c r="Y1072" s="48"/>
      <c r="Z1072" s="14">
        <f>AVERAGE(Z37:Z48)</f>
        <v>4.4316916666666666</v>
      </c>
      <c r="AA1072" s="48">
        <f>SUM(AA37:AA48)</f>
        <v>9.4679999999999982</v>
      </c>
      <c r="AB1072" s="49">
        <f>AVERAGE(AB37:AB48)</f>
        <v>4.5447635420946666</v>
      </c>
      <c r="AC1072" s="45">
        <f>AVERAGE(AC37:AC48)</f>
        <v>4.5051634292565952</v>
      </c>
    </row>
    <row r="1073" spans="1:29" ht="15.75" x14ac:dyDescent="0.25">
      <c r="A1073" s="10">
        <v>2016</v>
      </c>
      <c r="B1073" s="14">
        <f t="shared" ref="B1073:J1073" si="12">AVERAGE(B49:B60)</f>
        <v>4.6693833333333332</v>
      </c>
      <c r="C1073" s="14">
        <f t="shared" si="12"/>
        <v>4.6756583333333328</v>
      </c>
      <c r="D1073" s="14">
        <f t="shared" si="12"/>
        <v>4.8646749999999992</v>
      </c>
      <c r="E1073" s="14">
        <f t="shared" si="12"/>
        <v>4.8970750000000001</v>
      </c>
      <c r="F1073" s="14">
        <f t="shared" si="12"/>
        <v>4.6940416666666671</v>
      </c>
      <c r="G1073" s="14">
        <f t="shared" si="12"/>
        <v>4.7113916666666666</v>
      </c>
      <c r="H1073" s="14">
        <f t="shared" si="12"/>
        <v>4.8862166666666669</v>
      </c>
      <c r="I1073" s="14">
        <f t="shared" si="12"/>
        <v>4.7063083333333333</v>
      </c>
      <c r="J1073" s="14">
        <f t="shared" si="12"/>
        <v>4.6870416666666666</v>
      </c>
      <c r="K1073" s="52"/>
      <c r="L1073" s="14">
        <f t="shared" ref="L1073:S1073" si="13">AVERAGE(L49:L60)</f>
        <v>5.4732166666666666</v>
      </c>
      <c r="M1073" s="14">
        <f t="shared" si="13"/>
        <v>4.6104250000000002</v>
      </c>
      <c r="N1073" s="14">
        <f t="shared" si="13"/>
        <v>4.6274666666666677</v>
      </c>
      <c r="O1073" s="14">
        <f t="shared" si="13"/>
        <v>4.8060083333333337</v>
      </c>
      <c r="P1073" s="14">
        <f t="shared" si="13"/>
        <v>4.629175</v>
      </c>
      <c r="Q1073" s="14">
        <f t="shared" si="13"/>
        <v>5.4007083333333332</v>
      </c>
      <c r="R1073" s="14">
        <f t="shared" si="13"/>
        <v>6.0012166666666653</v>
      </c>
      <c r="S1073" s="14">
        <f t="shared" si="13"/>
        <v>4.4772916666666669</v>
      </c>
      <c r="T1073" s="48">
        <f>SUM(T49:T60)</f>
        <v>358.26753550000001</v>
      </c>
      <c r="U1073" s="48">
        <f>SUM(U49:U60)</f>
        <v>142.42176299999997</v>
      </c>
      <c r="V1073" s="48">
        <f>SUM(V49:V60)</f>
        <v>58.377000000000002</v>
      </c>
      <c r="W1073" s="48">
        <f>SUM(W49:W60)</f>
        <v>6.1846754999999982</v>
      </c>
      <c r="X1073" s="48">
        <f>SUM(X49:X60)</f>
        <v>20.800615543999996</v>
      </c>
      <c r="Y1073" s="48"/>
      <c r="Z1073" s="14"/>
      <c r="AA1073" s="48"/>
      <c r="AB1073" s="49">
        <f>AVERAGE(AB49:AB60)</f>
        <v>4.7147490938505987</v>
      </c>
      <c r="AC1073" s="45">
        <f>AVERAGE(AC49:AC60)</f>
        <v>4.6775234412470024</v>
      </c>
    </row>
    <row r="1074" spans="1:29" ht="15.75" x14ac:dyDescent="0.25">
      <c r="A1074" s="10">
        <v>2017</v>
      </c>
      <c r="B1074" s="14">
        <f t="shared" ref="B1074:S1074" si="14">AVERAGE(B61:B72)</f>
        <v>5.0107583333333325</v>
      </c>
      <c r="C1074" s="14">
        <f t="shared" si="14"/>
        <v>5.0170500000000002</v>
      </c>
      <c r="D1074" s="14">
        <f t="shared" si="14"/>
        <v>5.2060749999999993</v>
      </c>
      <c r="E1074" s="14">
        <f t="shared" si="14"/>
        <v>5.2384916666666674</v>
      </c>
      <c r="F1074" s="14">
        <f t="shared" si="14"/>
        <v>5.035425</v>
      </c>
      <c r="G1074" s="14">
        <f t="shared" si="14"/>
        <v>5.0527666666666669</v>
      </c>
      <c r="H1074" s="14">
        <f t="shared" si="14"/>
        <v>5.2275999999999998</v>
      </c>
      <c r="I1074" s="14">
        <f t="shared" si="14"/>
        <v>5.0487749999999991</v>
      </c>
      <c r="J1074" s="14">
        <f t="shared" si="14"/>
        <v>5.0284250000000004</v>
      </c>
      <c r="K1074" s="52">
        <f t="shared" si="14"/>
        <v>5.0448916666666674</v>
      </c>
      <c r="L1074" s="14">
        <f t="shared" si="14"/>
        <v>5.8145999999999995</v>
      </c>
      <c r="M1074" s="14">
        <f t="shared" si="14"/>
        <v>4.9456750000000005</v>
      </c>
      <c r="N1074" s="14">
        <f t="shared" si="14"/>
        <v>4.9627166666666662</v>
      </c>
      <c r="O1074" s="14">
        <f t="shared" si="14"/>
        <v>5.1412583333333339</v>
      </c>
      <c r="P1074" s="14">
        <f t="shared" si="14"/>
        <v>4.9654583333333333</v>
      </c>
      <c r="Q1074" s="14">
        <f t="shared" si="14"/>
        <v>5.7359583333333335</v>
      </c>
      <c r="R1074" s="14">
        <f t="shared" si="14"/>
        <v>6.3373083333333327</v>
      </c>
      <c r="S1074" s="14">
        <f t="shared" si="14"/>
        <v>4.8053333333333335</v>
      </c>
      <c r="T1074" s="48">
        <f>SUM(T61:T72)</f>
        <v>357.33618100000001</v>
      </c>
      <c r="U1074" s="48">
        <f>SUM(U61:U72)</f>
        <v>142.03263249999998</v>
      </c>
      <c r="V1074" s="48">
        <f>SUM(V61:V72)</f>
        <v>58.217499999999994</v>
      </c>
      <c r="W1074" s="48">
        <f>SUM(W61:W72)</f>
        <v>5.0822234999999996</v>
      </c>
      <c r="X1074" s="48">
        <f>SUM(X61:X72)</f>
        <v>20.758966663999999</v>
      </c>
      <c r="Y1074" s="48"/>
      <c r="Z1074" s="14"/>
      <c r="AA1074" s="14"/>
      <c r="AB1074" s="49">
        <f>AVERAGE(AB61:AB72)</f>
        <v>5.0562240516121859</v>
      </c>
      <c r="AC1074" s="45">
        <f>AVERAGE(AC61:AC72)</f>
        <v>5.0129221223021583</v>
      </c>
    </row>
    <row r="1075" spans="1:29" ht="15.75" x14ac:dyDescent="0.25">
      <c r="A1075" s="10">
        <v>2018</v>
      </c>
      <c r="B1075" s="14">
        <f t="shared" ref="B1075:S1075" si="15">AVERAGE(B73:B84)</f>
        <v>5.8629083333333334</v>
      </c>
      <c r="C1075" s="14">
        <f t="shared" si="15"/>
        <v>5.869183333333333</v>
      </c>
      <c r="D1075" s="14">
        <f t="shared" si="15"/>
        <v>6.0582000000000003</v>
      </c>
      <c r="E1075" s="14">
        <f t="shared" si="15"/>
        <v>6.0906416666666674</v>
      </c>
      <c r="F1075" s="14">
        <f t="shared" si="15"/>
        <v>5.8875666666666673</v>
      </c>
      <c r="G1075" s="14">
        <f t="shared" si="15"/>
        <v>5.9049333333333349</v>
      </c>
      <c r="H1075" s="14">
        <f t="shared" si="15"/>
        <v>6.0797416666666662</v>
      </c>
      <c r="I1075" s="14">
        <f t="shared" si="15"/>
        <v>5.9036</v>
      </c>
      <c r="J1075" s="14">
        <f t="shared" si="15"/>
        <v>5.8805666666666667</v>
      </c>
      <c r="K1075" s="52">
        <f t="shared" si="15"/>
        <v>5.8996999999999993</v>
      </c>
      <c r="L1075" s="14">
        <f t="shared" si="15"/>
        <v>6.6667416666666659</v>
      </c>
      <c r="M1075" s="14">
        <f t="shared" si="15"/>
        <v>5.7824833333333325</v>
      </c>
      <c r="N1075" s="14">
        <f t="shared" si="15"/>
        <v>5.7995416666666664</v>
      </c>
      <c r="O1075" s="14">
        <f t="shared" si="15"/>
        <v>5.9780916666666668</v>
      </c>
      <c r="P1075" s="14">
        <f t="shared" si="15"/>
        <v>5.8048416666666673</v>
      </c>
      <c r="Q1075" s="14">
        <f t="shared" si="15"/>
        <v>6.5727916666666664</v>
      </c>
      <c r="R1075" s="14">
        <f t="shared" si="15"/>
        <v>7.1762333333333324</v>
      </c>
      <c r="S1075" s="14">
        <f t="shared" si="15"/>
        <v>5.6241750000000001</v>
      </c>
      <c r="T1075" s="48">
        <f>SUM(T73:T84)</f>
        <v>357.33618100000001</v>
      </c>
      <c r="U1075" s="48">
        <f>SUM(U73:U84)</f>
        <v>142.03263249999998</v>
      </c>
      <c r="V1075" s="48">
        <f>SUM(V73:V84)</f>
        <v>50.187500000000007</v>
      </c>
      <c r="W1075" s="48">
        <f>SUM(W73:W84)</f>
        <v>5.0822234999999996</v>
      </c>
      <c r="X1075" s="48">
        <f>SUM(X73:X84)</f>
        <v>20.758966663999999</v>
      </c>
      <c r="Y1075" s="48"/>
      <c r="Z1075" s="14"/>
      <c r="AA1075" s="14"/>
      <c r="AB1075" s="49">
        <f>AVERAGE(AB73:AB84)</f>
        <v>5.9085886154544172</v>
      </c>
      <c r="AC1075" s="45">
        <f>AVERAGE(AC73:AC84)</f>
        <v>5.8501118105515593</v>
      </c>
    </row>
    <row r="1076" spans="1:29" ht="15.75" x14ac:dyDescent="0.25">
      <c r="A1076" s="10">
        <v>2019</v>
      </c>
      <c r="B1076" s="14">
        <f t="shared" ref="B1076:S1076" si="16">AVERAGE(B85:B96)</f>
        <v>6.4108583333333344</v>
      </c>
      <c r="C1076" s="14">
        <f t="shared" si="16"/>
        <v>6.4171166666666659</v>
      </c>
      <c r="D1076" s="14">
        <f t="shared" si="16"/>
        <v>6.6061416666666668</v>
      </c>
      <c r="E1076" s="14">
        <f t="shared" si="16"/>
        <v>6.6385583333333331</v>
      </c>
      <c r="F1076" s="14">
        <f t="shared" si="16"/>
        <v>6.4355166666666674</v>
      </c>
      <c r="G1076" s="14">
        <f t="shared" si="16"/>
        <v>6.4528500000000015</v>
      </c>
      <c r="H1076" s="14">
        <f t="shared" si="16"/>
        <v>6.6276833333333336</v>
      </c>
      <c r="I1076" s="14">
        <f t="shared" si="16"/>
        <v>6.453241666666667</v>
      </c>
      <c r="J1076" s="14">
        <f t="shared" si="16"/>
        <v>6.4285166666666669</v>
      </c>
      <c r="K1076" s="52">
        <f t="shared" si="16"/>
        <v>6.4493416666666663</v>
      </c>
      <c r="L1076" s="14">
        <f t="shared" si="16"/>
        <v>7.2146833333333333</v>
      </c>
      <c r="M1076" s="14">
        <f t="shared" si="16"/>
        <v>6.3205666666666671</v>
      </c>
      <c r="N1076" s="14">
        <f t="shared" si="16"/>
        <v>6.3375999999999992</v>
      </c>
      <c r="O1076" s="14">
        <f t="shared" si="16"/>
        <v>6.5161666666666678</v>
      </c>
      <c r="P1076" s="14">
        <f t="shared" si="16"/>
        <v>6.3445749999999999</v>
      </c>
      <c r="Q1076" s="14">
        <f t="shared" si="16"/>
        <v>7.1108666666666673</v>
      </c>
      <c r="R1076" s="14">
        <f t="shared" si="16"/>
        <v>7.7156583333333337</v>
      </c>
      <c r="S1076" s="14">
        <f t="shared" si="16"/>
        <v>6.1506666666666669</v>
      </c>
      <c r="T1076" s="48">
        <f>SUM(T85:T96)</f>
        <v>357.33618100000001</v>
      </c>
      <c r="U1076" s="48">
        <f>SUM(U85:U96)</f>
        <v>142.03263249999998</v>
      </c>
      <c r="V1076" s="48">
        <f>SUM(V85:V96)</f>
        <v>50.187500000000007</v>
      </c>
      <c r="W1076" s="48">
        <f>SUM(W85:W96)</f>
        <v>5.0822234999999996</v>
      </c>
      <c r="X1076" s="48">
        <f>SUM(X85:X96)</f>
        <v>20.758966663999999</v>
      </c>
      <c r="Y1076" s="48"/>
      <c r="Z1076" s="14"/>
      <c r="AA1076" s="14"/>
      <c r="AB1076" s="49">
        <f>AVERAGE(AB85:AB96)</f>
        <v>6.4566673465187563</v>
      </c>
      <c r="AC1076" s="45">
        <f>AVERAGE(AC85:AC96)</f>
        <v>6.388425899280576</v>
      </c>
    </row>
    <row r="1077" spans="1:29" ht="15.75" x14ac:dyDescent="0.25">
      <c r="A1077" s="10">
        <v>2020</v>
      </c>
      <c r="B1077" s="14">
        <f t="shared" ref="B1077:S1077" si="17">AVERAGE(B97:B108)</f>
        <v>6.955958333333335</v>
      </c>
      <c r="C1077" s="14">
        <f t="shared" si="17"/>
        <v>6.9622250000000001</v>
      </c>
      <c r="D1077" s="14">
        <f t="shared" si="17"/>
        <v>7.1512583333333337</v>
      </c>
      <c r="E1077" s="14">
        <f t="shared" si="17"/>
        <v>7.1836833333333319</v>
      </c>
      <c r="F1077" s="14">
        <f t="shared" si="17"/>
        <v>6.9805999999999999</v>
      </c>
      <c r="G1077" s="14">
        <f t="shared" si="17"/>
        <v>6.9979666666666658</v>
      </c>
      <c r="H1077" s="14">
        <f t="shared" si="17"/>
        <v>7.1727916666666678</v>
      </c>
      <c r="I1077" s="14">
        <f t="shared" si="17"/>
        <v>7.0000500000000008</v>
      </c>
      <c r="J1077" s="14">
        <f t="shared" si="17"/>
        <v>6.9735999999999985</v>
      </c>
      <c r="K1077" s="52">
        <f t="shared" si="17"/>
        <v>6.9961500000000001</v>
      </c>
      <c r="L1077" s="14">
        <f t="shared" si="17"/>
        <v>7.7597916666666675</v>
      </c>
      <c r="M1077" s="14">
        <f t="shared" si="17"/>
        <v>6.8558750000000002</v>
      </c>
      <c r="N1077" s="14">
        <f t="shared" si="17"/>
        <v>6.8729083333333323</v>
      </c>
      <c r="O1077" s="14">
        <f t="shared" si="17"/>
        <v>7.0514749999999999</v>
      </c>
      <c r="P1077" s="14">
        <f t="shared" si="17"/>
        <v>6.881524999999999</v>
      </c>
      <c r="Q1077" s="14">
        <f t="shared" si="17"/>
        <v>7.6461750000000004</v>
      </c>
      <c r="R1077" s="14">
        <f t="shared" si="17"/>
        <v>8.2522833333333327</v>
      </c>
      <c r="S1077" s="14">
        <f t="shared" si="17"/>
        <v>6.674475000000001</v>
      </c>
      <c r="T1077" s="48">
        <f>SUM(T97:T108)</f>
        <v>358.26753550000001</v>
      </c>
      <c r="U1077" s="48">
        <f>SUM(U97:U108)</f>
        <v>142.42176299999997</v>
      </c>
      <c r="V1077" s="48">
        <f>SUM(V97:V108)</f>
        <v>50.325000000000003</v>
      </c>
      <c r="W1077" s="48">
        <f>SUM(W97:W108)</f>
        <v>5.0961473999999995</v>
      </c>
      <c r="X1077" s="48">
        <f>SUM(X97:X108)</f>
        <v>20.800615543999996</v>
      </c>
      <c r="Y1077" s="48"/>
      <c r="Z1077" s="14"/>
      <c r="AA1077" s="14"/>
      <c r="AB1077" s="49">
        <f>AVERAGE(AB97:AB108)</f>
        <v>7.0019099189287139</v>
      </c>
      <c r="AC1077" s="45">
        <f>AVERAGE(AC97:AC108)</f>
        <v>6.9239704436450831</v>
      </c>
    </row>
    <row r="1078" spans="1:29" ht="15.75" x14ac:dyDescent="0.25">
      <c r="A1078" s="10">
        <v>2021</v>
      </c>
      <c r="B1078" s="14">
        <f t="shared" ref="B1078:S1078" si="18">AVERAGE(B109:B120)</f>
        <v>7.3609999999999998</v>
      </c>
      <c r="C1078" s="14">
        <f t="shared" si="18"/>
        <v>7.3672500000000012</v>
      </c>
      <c r="D1078" s="14">
        <f t="shared" si="18"/>
        <v>7.5562916666666666</v>
      </c>
      <c r="E1078" s="14">
        <f t="shared" si="18"/>
        <v>7.5886999999999993</v>
      </c>
      <c r="F1078" s="14">
        <f t="shared" si="18"/>
        <v>7.3856416666666673</v>
      </c>
      <c r="G1078" s="14">
        <f t="shared" si="18"/>
        <v>7.402991666666666</v>
      </c>
      <c r="H1078" s="14">
        <f t="shared" si="18"/>
        <v>7.5778249999999998</v>
      </c>
      <c r="I1078" s="14">
        <f t="shared" si="18"/>
        <v>7.4063666666666679</v>
      </c>
      <c r="J1078" s="14">
        <f t="shared" si="18"/>
        <v>7.3786416666666668</v>
      </c>
      <c r="K1078" s="52">
        <f t="shared" si="18"/>
        <v>7.4024666666666663</v>
      </c>
      <c r="L1078" s="14">
        <f t="shared" si="18"/>
        <v>8.1648249999999987</v>
      </c>
      <c r="M1078" s="14">
        <f t="shared" si="18"/>
        <v>7.2536249999999995</v>
      </c>
      <c r="N1078" s="14">
        <f t="shared" si="18"/>
        <v>7.2706499999999998</v>
      </c>
      <c r="O1078" s="14">
        <f t="shared" si="18"/>
        <v>7.4492083333333321</v>
      </c>
      <c r="P1078" s="14">
        <f t="shared" si="18"/>
        <v>7.2804833333333336</v>
      </c>
      <c r="Q1078" s="14">
        <f t="shared" si="18"/>
        <v>8.0439083333333325</v>
      </c>
      <c r="R1078" s="14">
        <f t="shared" si="18"/>
        <v>8.6510249999999989</v>
      </c>
      <c r="S1078" s="14">
        <f t="shared" si="18"/>
        <v>7.0636583333333336</v>
      </c>
      <c r="T1078" s="48">
        <f>SUM(T109:T120)</f>
        <v>357.33618100000001</v>
      </c>
      <c r="U1078" s="48">
        <f>SUM(U109:U120)</f>
        <v>142.03263249999998</v>
      </c>
      <c r="V1078" s="48">
        <f>SUM(V109:V120)</f>
        <v>50.187500000000007</v>
      </c>
      <c r="W1078" s="48">
        <f>SUM(W109:W120)</f>
        <v>5.0822234999999996</v>
      </c>
      <c r="X1078" s="48">
        <f>SUM(X109:X120)</f>
        <v>20.758966663999999</v>
      </c>
      <c r="Y1078" s="48"/>
      <c r="Z1078" s="14"/>
      <c r="AA1078" s="14"/>
      <c r="AB1078" s="49">
        <f>AVERAGE(AB109:AB120)</f>
        <v>7.4070488766254883</v>
      </c>
      <c r="AC1078" s="45">
        <f>AVERAGE(AC109:AC120)</f>
        <v>7.3218862709832138</v>
      </c>
    </row>
    <row r="1079" spans="1:29" ht="15.75" x14ac:dyDescent="0.25">
      <c r="A1079" s="10">
        <v>2022</v>
      </c>
      <c r="B1079" s="14">
        <f t="shared" ref="B1079:S1079" si="19">AVERAGE(B121:B132)</f>
        <v>7.6703000000000001</v>
      </c>
      <c r="C1079" s="14">
        <f t="shared" si="19"/>
        <v>7.6765916666666678</v>
      </c>
      <c r="D1079" s="14">
        <f t="shared" si="19"/>
        <v>7.8656166666666669</v>
      </c>
      <c r="E1079" s="14">
        <f t="shared" si="19"/>
        <v>7.8980250000000005</v>
      </c>
      <c r="F1079" s="14">
        <f t="shared" si="19"/>
        <v>7.6949666666666658</v>
      </c>
      <c r="G1079" s="14">
        <f t="shared" si="19"/>
        <v>7.7123166666666654</v>
      </c>
      <c r="H1079" s="14">
        <f t="shared" si="19"/>
        <v>7.8871583333333328</v>
      </c>
      <c r="I1079" s="14">
        <f t="shared" si="19"/>
        <v>7.7166333333333341</v>
      </c>
      <c r="J1079" s="14">
        <f t="shared" si="19"/>
        <v>7.6879666666666679</v>
      </c>
      <c r="K1079" s="52">
        <f t="shared" si="19"/>
        <v>7.7127416666666688</v>
      </c>
      <c r="L1079" s="14">
        <f t="shared" si="19"/>
        <v>8.4741583333333335</v>
      </c>
      <c r="M1079" s="14">
        <f t="shared" si="19"/>
        <v>7.5573666666666668</v>
      </c>
      <c r="N1079" s="14">
        <f t="shared" si="19"/>
        <v>7.5744166666666679</v>
      </c>
      <c r="O1079" s="14">
        <f t="shared" si="19"/>
        <v>7.7529750000000002</v>
      </c>
      <c r="P1079" s="14">
        <f t="shared" si="19"/>
        <v>7.5851833333333332</v>
      </c>
      <c r="Q1079" s="14">
        <f t="shared" si="19"/>
        <v>8.3476750000000006</v>
      </c>
      <c r="R1079" s="14">
        <f t="shared" si="19"/>
        <v>8.9555333333333333</v>
      </c>
      <c r="S1079" s="14">
        <f t="shared" si="19"/>
        <v>7.3608749999999992</v>
      </c>
      <c r="T1079" s="48">
        <f>SUM(T121:T132)</f>
        <v>357.33618100000001</v>
      </c>
      <c r="U1079" s="48">
        <f>SUM(U121:U132)</f>
        <v>142.03263249999998</v>
      </c>
      <c r="V1079" s="48">
        <f>SUM(V121:V132)</f>
        <v>50.187500000000007</v>
      </c>
      <c r="W1079" s="48">
        <f>SUM(W121:W132)</f>
        <v>5.0822234999999996</v>
      </c>
      <c r="X1079" s="48">
        <f>SUM(X121:X132)</f>
        <v>20.758966663999999</v>
      </c>
      <c r="Y1079" s="48"/>
      <c r="Z1079" s="14"/>
      <c r="AA1079" s="14"/>
      <c r="AB1079" s="49">
        <f>AVERAGE(AB121:AB132)</f>
        <v>7.7164515044991511</v>
      </c>
      <c r="AC1079" s="45">
        <f>AVERAGE(AC121:AC132)</f>
        <v>7.625780035971224</v>
      </c>
    </row>
    <row r="1080" spans="1:29" ht="15.75" x14ac:dyDescent="0.25">
      <c r="A1080" s="10">
        <v>2023</v>
      </c>
      <c r="B1080" s="14">
        <f t="shared" ref="B1080:S1080" si="20">AVERAGE(B133:B144)</f>
        <v>8.3051083333333331</v>
      </c>
      <c r="C1080" s="14">
        <f t="shared" si="20"/>
        <v>8.3113916666666672</v>
      </c>
      <c r="D1080" s="14">
        <f t="shared" si="20"/>
        <v>8.5004250000000017</v>
      </c>
      <c r="E1080" s="14">
        <f t="shared" si="20"/>
        <v>8.5328250000000008</v>
      </c>
      <c r="F1080" s="14">
        <f t="shared" si="20"/>
        <v>8.3297583333333325</v>
      </c>
      <c r="G1080" s="14">
        <f t="shared" si="20"/>
        <v>8.3471333333333355</v>
      </c>
      <c r="H1080" s="14">
        <f t="shared" si="20"/>
        <v>8.5219666666666658</v>
      </c>
      <c r="I1080" s="14">
        <f t="shared" si="20"/>
        <v>8.3534416666666669</v>
      </c>
      <c r="J1080" s="14">
        <f t="shared" si="20"/>
        <v>8.3227583333333346</v>
      </c>
      <c r="K1080" s="52">
        <f t="shared" si="20"/>
        <v>8.3495416666666653</v>
      </c>
      <c r="L1080" s="14">
        <f t="shared" si="20"/>
        <v>9.1089666666666655</v>
      </c>
      <c r="M1080" s="14">
        <f t="shared" si="20"/>
        <v>8.1807583333333351</v>
      </c>
      <c r="N1080" s="14">
        <f t="shared" si="20"/>
        <v>8.1978166666666663</v>
      </c>
      <c r="O1080" s="14">
        <f t="shared" si="20"/>
        <v>8.3763666666666676</v>
      </c>
      <c r="P1080" s="14">
        <f t="shared" si="20"/>
        <v>8.2105000000000015</v>
      </c>
      <c r="Q1080" s="14">
        <f t="shared" si="20"/>
        <v>8.9710666666666672</v>
      </c>
      <c r="R1080" s="14">
        <f t="shared" si="20"/>
        <v>9.5804999999999989</v>
      </c>
      <c r="S1080" s="14">
        <f t="shared" si="20"/>
        <v>7.9708666666666668</v>
      </c>
      <c r="T1080" s="48">
        <f>SUM(T133:T144)</f>
        <v>357.33618100000001</v>
      </c>
      <c r="U1080" s="48">
        <f>SUM(U133:U144)</f>
        <v>142.03263249999998</v>
      </c>
      <c r="V1080" s="48">
        <f>SUM(V133:V144)</f>
        <v>50.187500000000007</v>
      </c>
      <c r="W1080" s="48">
        <f>SUM(W133:W144)</f>
        <v>5.0822234999999996</v>
      </c>
      <c r="X1080" s="48">
        <f>SUM(X133:X144)</f>
        <v>20.758966663999999</v>
      </c>
      <c r="Y1080" s="48"/>
      <c r="Z1080" s="14"/>
      <c r="AA1080" s="14"/>
      <c r="AB1080" s="49">
        <f>AVERAGE(AB133:AB144)</f>
        <v>8.3514190607556724</v>
      </c>
      <c r="AC1080" s="45">
        <f>AVERAGE(AC133:AC144)</f>
        <v>8.2494491606714622</v>
      </c>
    </row>
    <row r="1081" spans="1:29" ht="15.75" x14ac:dyDescent="0.25">
      <c r="A1081" s="10">
        <v>2024</v>
      </c>
      <c r="B1081" s="14">
        <f t="shared" ref="B1081:S1081" si="21">AVERAGE(B145:B156)</f>
        <v>8.6737166666666674</v>
      </c>
      <c r="C1081" s="14">
        <f t="shared" si="21"/>
        <v>8.6799916666666661</v>
      </c>
      <c r="D1081" s="14">
        <f t="shared" si="21"/>
        <v>8.8690083333333334</v>
      </c>
      <c r="E1081" s="14">
        <f t="shared" si="21"/>
        <v>8.9014416666666687</v>
      </c>
      <c r="F1081" s="14">
        <f t="shared" si="21"/>
        <v>8.6983666666666668</v>
      </c>
      <c r="G1081" s="14">
        <f t="shared" si="21"/>
        <v>8.7157333333333344</v>
      </c>
      <c r="H1081" s="14">
        <f t="shared" si="21"/>
        <v>8.8905416666666657</v>
      </c>
      <c r="I1081" s="14">
        <f t="shared" si="21"/>
        <v>8.7231999999999985</v>
      </c>
      <c r="J1081" s="14">
        <f t="shared" si="21"/>
        <v>8.6913666666666654</v>
      </c>
      <c r="K1081" s="52">
        <f t="shared" si="21"/>
        <v>8.7193083333333323</v>
      </c>
      <c r="L1081" s="14">
        <f t="shared" si="21"/>
        <v>9.4775416666666672</v>
      </c>
      <c r="M1081" s="14">
        <f t="shared" si="21"/>
        <v>8.5427499999999981</v>
      </c>
      <c r="N1081" s="14">
        <f t="shared" si="21"/>
        <v>8.5597750000000001</v>
      </c>
      <c r="O1081" s="14">
        <f t="shared" si="21"/>
        <v>8.7383249999999979</v>
      </c>
      <c r="P1081" s="14">
        <f t="shared" si="21"/>
        <v>8.5735916666666654</v>
      </c>
      <c r="Q1081" s="14">
        <f t="shared" si="21"/>
        <v>9.333025000000001</v>
      </c>
      <c r="R1081" s="14">
        <f t="shared" si="21"/>
        <v>9.9433666666666678</v>
      </c>
      <c r="S1081" s="14">
        <f t="shared" si="21"/>
        <v>8.3250666666666664</v>
      </c>
      <c r="T1081" s="48">
        <f>SUM(T145:T156)</f>
        <v>358.26753550000001</v>
      </c>
      <c r="U1081" s="48">
        <f>SUM(U145:U156)</f>
        <v>142.42176299999997</v>
      </c>
      <c r="V1081" s="48">
        <f>SUM(V145:V156)</f>
        <v>50.325000000000003</v>
      </c>
      <c r="W1081" s="48">
        <f>SUM(W145:W156)</f>
        <v>5.0961473999999995</v>
      </c>
      <c r="X1081" s="48">
        <f>SUM(X145:X156)</f>
        <v>20.800615543999996</v>
      </c>
      <c r="Y1081" s="48"/>
      <c r="Z1081" s="14"/>
      <c r="AA1081" s="14"/>
      <c r="AB1081" s="49">
        <f>AVERAGE(AB145:AB156)</f>
        <v>8.7201177004703023</v>
      </c>
      <c r="AC1081" s="45">
        <f>AVERAGE(AC145:AC156)</f>
        <v>8.6115820743405269</v>
      </c>
    </row>
    <row r="1082" spans="1:29" ht="15.75" x14ac:dyDescent="0.25">
      <c r="A1082" s="10">
        <v>2025</v>
      </c>
      <c r="B1082" s="14">
        <f t="shared" ref="B1082:S1082" si="22">AVERAGE(B157:B168)</f>
        <v>9.0405250000000006</v>
      </c>
      <c r="C1082" s="14">
        <f t="shared" si="22"/>
        <v>9.0468166666666683</v>
      </c>
      <c r="D1082" s="14">
        <f t="shared" si="22"/>
        <v>9.2358333333333338</v>
      </c>
      <c r="E1082" s="14">
        <f t="shared" si="22"/>
        <v>9.2682500000000001</v>
      </c>
      <c r="F1082" s="14">
        <f t="shared" si="22"/>
        <v>9.065191666666669</v>
      </c>
      <c r="G1082" s="14">
        <f t="shared" si="22"/>
        <v>9.0825666666666667</v>
      </c>
      <c r="H1082" s="14">
        <f t="shared" si="22"/>
        <v>9.2573750000000015</v>
      </c>
      <c r="I1082" s="14">
        <f t="shared" si="22"/>
        <v>9.091191666666667</v>
      </c>
      <c r="J1082" s="14">
        <f t="shared" si="22"/>
        <v>9.0581916666666658</v>
      </c>
      <c r="K1082" s="52">
        <f t="shared" si="22"/>
        <v>9.087291666666669</v>
      </c>
      <c r="L1082" s="14">
        <f t="shared" si="22"/>
        <v>9.8443750000000012</v>
      </c>
      <c r="M1082" s="14">
        <f t="shared" si="22"/>
        <v>8.902966666666666</v>
      </c>
      <c r="N1082" s="14">
        <f t="shared" si="22"/>
        <v>8.9200083333333335</v>
      </c>
      <c r="O1082" s="14">
        <f t="shared" si="22"/>
        <v>9.0985666666666649</v>
      </c>
      <c r="P1082" s="14">
        <f t="shared" si="22"/>
        <v>8.9349083333333343</v>
      </c>
      <c r="Q1082" s="14">
        <f t="shared" si="22"/>
        <v>9.6932666666666663</v>
      </c>
      <c r="R1082" s="14">
        <f t="shared" si="22"/>
        <v>10.304491666666665</v>
      </c>
      <c r="S1082" s="14">
        <f t="shared" si="22"/>
        <v>8.6775416666666683</v>
      </c>
      <c r="T1082" s="48">
        <f>SUM(T157:T168)</f>
        <v>357.33618100000001</v>
      </c>
      <c r="U1082" s="48">
        <f>SUM(U157:U168)</f>
        <v>142.03263249999998</v>
      </c>
      <c r="V1082" s="48">
        <f>SUM(V157:V168)</f>
        <v>50.187500000000007</v>
      </c>
      <c r="W1082" s="48">
        <f>SUM(W157:W168)</f>
        <v>5.0822234999999996</v>
      </c>
      <c r="X1082" s="48">
        <f>SUM(X157:X168)</f>
        <v>20.758966663999999</v>
      </c>
      <c r="Y1082" s="48"/>
      <c r="Z1082" s="14"/>
      <c r="AA1082" s="14"/>
      <c r="AB1082" s="49">
        <f>AVERAGE(AB157:AB168)</f>
        <v>9.0870365292976043</v>
      </c>
      <c r="AC1082" s="45">
        <f>AVERAGE(AC157:AC168)</f>
        <v>8.9719693045563549</v>
      </c>
    </row>
    <row r="1083" spans="1:29" ht="15.75" x14ac:dyDescent="0.25">
      <c r="A1083" s="10">
        <v>2026</v>
      </c>
      <c r="B1083" s="14">
        <f t="shared" ref="B1083:S1083" si="23">AVERAGE(B169:B180)</f>
        <v>9.3663916666666669</v>
      </c>
      <c r="C1083" s="14">
        <f t="shared" si="23"/>
        <v>9.3726499999999984</v>
      </c>
      <c r="D1083" s="14">
        <f t="shared" si="23"/>
        <v>9.5616916666666665</v>
      </c>
      <c r="E1083" s="14">
        <f t="shared" si="23"/>
        <v>9.5941000000000027</v>
      </c>
      <c r="F1083" s="14">
        <f t="shared" si="23"/>
        <v>9.3910583333333317</v>
      </c>
      <c r="G1083" s="14">
        <f t="shared" si="23"/>
        <v>9.4084083333333339</v>
      </c>
      <c r="H1083" s="14">
        <f t="shared" si="23"/>
        <v>9.5832333333333342</v>
      </c>
      <c r="I1083" s="14">
        <f t="shared" si="23"/>
        <v>9.4180416666666673</v>
      </c>
      <c r="J1083" s="14">
        <f t="shared" si="23"/>
        <v>9.3840583333333338</v>
      </c>
      <c r="K1083" s="52">
        <f t="shared" si="23"/>
        <v>9.4141499999999994</v>
      </c>
      <c r="L1083" s="14">
        <f t="shared" si="23"/>
        <v>10.170233333333334</v>
      </c>
      <c r="M1083" s="14">
        <f t="shared" si="23"/>
        <v>9.2229499999999991</v>
      </c>
      <c r="N1083" s="14">
        <f t="shared" si="23"/>
        <v>9.239983333333333</v>
      </c>
      <c r="O1083" s="14">
        <f t="shared" si="23"/>
        <v>9.4185416666666661</v>
      </c>
      <c r="P1083" s="14">
        <f t="shared" si="23"/>
        <v>9.2558916666666669</v>
      </c>
      <c r="Q1083" s="14">
        <f t="shared" si="23"/>
        <v>10.013241666666667</v>
      </c>
      <c r="R1083" s="14">
        <f t="shared" si="23"/>
        <v>10.625275</v>
      </c>
      <c r="S1083" s="14">
        <f t="shared" si="23"/>
        <v>8.9906583333333323</v>
      </c>
      <c r="T1083" s="48">
        <f>SUM(T169:T180)</f>
        <v>357.33618100000001</v>
      </c>
      <c r="U1083" s="48">
        <f>SUM(U169:U180)</f>
        <v>142.03263249999998</v>
      </c>
      <c r="V1083" s="48">
        <f>SUM(V169:V180)</f>
        <v>50.187500000000007</v>
      </c>
      <c r="W1083" s="48">
        <f>SUM(W169:W180)</f>
        <v>5.0822234999999996</v>
      </c>
      <c r="X1083" s="48">
        <f>SUM(X169:X180)</f>
        <v>20.758966663999999</v>
      </c>
      <c r="Y1083" s="48"/>
      <c r="Z1083" s="14"/>
      <c r="AA1083" s="14"/>
      <c r="AB1083" s="49">
        <f>AVERAGE(AB169:AB180)</f>
        <v>9.4129713489118103</v>
      </c>
      <c r="AC1083" s="45">
        <f>AVERAGE(AC169:AC180)</f>
        <v>9.2920922661870513</v>
      </c>
    </row>
    <row r="1084" spans="1:29" ht="15.75" x14ac:dyDescent="0.25">
      <c r="A1084" s="10">
        <v>2027</v>
      </c>
      <c r="B1084" s="14">
        <f t="shared" ref="B1084:S1084" si="24">AVERAGE(B181:B192)</f>
        <v>9.6871000000000009</v>
      </c>
      <c r="C1084" s="14">
        <f t="shared" si="24"/>
        <v>9.693366666666666</v>
      </c>
      <c r="D1084" s="14">
        <f t="shared" si="24"/>
        <v>9.8824000000000005</v>
      </c>
      <c r="E1084" s="14">
        <f t="shared" si="24"/>
        <v>9.9148083333333332</v>
      </c>
      <c r="F1084" s="14">
        <f t="shared" si="24"/>
        <v>9.7117500000000003</v>
      </c>
      <c r="G1084" s="14">
        <f t="shared" si="24"/>
        <v>9.7291083333333344</v>
      </c>
      <c r="H1084" s="14">
        <f t="shared" si="24"/>
        <v>9.9039416666666664</v>
      </c>
      <c r="I1084" s="14">
        <f t="shared" si="24"/>
        <v>9.7397583333333344</v>
      </c>
      <c r="J1084" s="14">
        <f t="shared" si="24"/>
        <v>9.7047499999999989</v>
      </c>
      <c r="K1084" s="52">
        <f t="shared" si="24"/>
        <v>9.7358666666666682</v>
      </c>
      <c r="L1084" s="14">
        <f t="shared" si="24"/>
        <v>10.490941666666666</v>
      </c>
      <c r="M1084" s="14">
        <f t="shared" si="24"/>
        <v>9.5378916666666669</v>
      </c>
      <c r="N1084" s="14">
        <f t="shared" si="24"/>
        <v>9.5549166666666654</v>
      </c>
      <c r="O1084" s="14">
        <f t="shared" si="24"/>
        <v>9.7334916666666658</v>
      </c>
      <c r="P1084" s="14">
        <f t="shared" si="24"/>
        <v>9.5717833333333324</v>
      </c>
      <c r="Q1084" s="14">
        <f t="shared" si="24"/>
        <v>10.328191666666667</v>
      </c>
      <c r="R1084" s="14">
        <f t="shared" si="24"/>
        <v>10.941008333333334</v>
      </c>
      <c r="S1084" s="14">
        <f t="shared" si="24"/>
        <v>9.2988333333333326</v>
      </c>
      <c r="T1084" s="48">
        <f>SUM(T181:T192)</f>
        <v>357.33618100000001</v>
      </c>
      <c r="U1084" s="48">
        <f>SUM(U181:U192)</f>
        <v>142.03263249999998</v>
      </c>
      <c r="V1084" s="48">
        <f>SUM(V181:V192)</f>
        <v>50.187500000000007</v>
      </c>
      <c r="W1084" s="48">
        <f>SUM(W181:W192)</f>
        <v>5.0822234999999996</v>
      </c>
      <c r="X1084" s="48">
        <f>SUM(X181:X192)</f>
        <v>20.758966663999999</v>
      </c>
      <c r="Y1084" s="48"/>
      <c r="Z1084" s="14"/>
      <c r="AA1084" s="14"/>
      <c r="AB1084" s="49">
        <f>AVERAGE(AB181:AB192)</f>
        <v>9.7337592068334011</v>
      </c>
      <c r="AC1084" s="45">
        <f>AVERAGE(AC181:AC192)</f>
        <v>9.6071739208633105</v>
      </c>
    </row>
    <row r="1085" spans="1:29" ht="15.75" x14ac:dyDescent="0.25">
      <c r="A1085" s="10">
        <v>2028</v>
      </c>
      <c r="B1085" s="14">
        <f t="shared" ref="B1085:S1085" si="25">AVERAGE(B193:B204)</f>
        <v>10.009924999999999</v>
      </c>
      <c r="C1085" s="14">
        <f t="shared" si="25"/>
        <v>10.016174999999999</v>
      </c>
      <c r="D1085" s="14">
        <f t="shared" si="25"/>
        <v>10.20519166666667</v>
      </c>
      <c r="E1085" s="14">
        <f t="shared" si="25"/>
        <v>10.237633333333333</v>
      </c>
      <c r="F1085" s="14">
        <f t="shared" si="25"/>
        <v>10.034558333333333</v>
      </c>
      <c r="G1085" s="14">
        <f t="shared" si="25"/>
        <v>10.051916666666665</v>
      </c>
      <c r="H1085" s="14">
        <f t="shared" si="25"/>
        <v>10.226733333333334</v>
      </c>
      <c r="I1085" s="14">
        <f t="shared" si="25"/>
        <v>10.063575</v>
      </c>
      <c r="J1085" s="14">
        <f t="shared" si="25"/>
        <v>10.027558333333333</v>
      </c>
      <c r="K1085" s="52">
        <f t="shared" si="25"/>
        <v>10.059675</v>
      </c>
      <c r="L1085" s="14">
        <f t="shared" si="25"/>
        <v>10.813733333333337</v>
      </c>
      <c r="M1085" s="14">
        <f t="shared" si="25"/>
        <v>9.8549083333333325</v>
      </c>
      <c r="N1085" s="14">
        <f t="shared" si="25"/>
        <v>9.8719249999999992</v>
      </c>
      <c r="O1085" s="14">
        <f t="shared" si="25"/>
        <v>10.050483333333332</v>
      </c>
      <c r="P1085" s="14">
        <f t="shared" si="25"/>
        <v>9.8897833333333338</v>
      </c>
      <c r="Q1085" s="14">
        <f t="shared" si="25"/>
        <v>10.645183333333334</v>
      </c>
      <c r="R1085" s="14">
        <f t="shared" si="25"/>
        <v>11.258800000000001</v>
      </c>
      <c r="S1085" s="14">
        <f t="shared" si="25"/>
        <v>9.6090083333333336</v>
      </c>
      <c r="T1085" s="48">
        <f>SUM(T193:T204)</f>
        <v>358.26753550000001</v>
      </c>
      <c r="U1085" s="48">
        <f>SUM(U193:U204)</f>
        <v>142.42176299999997</v>
      </c>
      <c r="V1085" s="48">
        <f>SUM(V193:V204)</f>
        <v>50.325000000000003</v>
      </c>
      <c r="W1085" s="48">
        <f>SUM(W193:W204)</f>
        <v>5.0961473999999995</v>
      </c>
      <c r="X1085" s="48">
        <f>SUM(X193:X204)</f>
        <v>20.800615543999996</v>
      </c>
      <c r="Y1085" s="48"/>
      <c r="Z1085" s="14"/>
      <c r="AA1085" s="14"/>
      <c r="AB1085" s="49">
        <f>AVERAGE(AB193:AB204)</f>
        <v>10.056651560412247</v>
      </c>
      <c r="AC1085" s="45">
        <f>AVERAGE(AC193:AC204)</f>
        <v>9.9243202637889691</v>
      </c>
    </row>
    <row r="1086" spans="1:29" ht="15.75" x14ac:dyDescent="0.25">
      <c r="A1086" s="10">
        <v>2029</v>
      </c>
      <c r="B1086" s="14">
        <f t="shared" ref="B1086:S1086" si="26">AVERAGE(B205:B216)</f>
        <v>10.342808333333332</v>
      </c>
      <c r="C1086" s="14">
        <f t="shared" si="26"/>
        <v>10.349066666666667</v>
      </c>
      <c r="D1086" s="14">
        <f t="shared" si="26"/>
        <v>10.5381</v>
      </c>
      <c r="E1086" s="14">
        <f t="shared" si="26"/>
        <v>10.570525</v>
      </c>
      <c r="F1086" s="14">
        <f t="shared" si="26"/>
        <v>10.367466666666665</v>
      </c>
      <c r="G1086" s="14">
        <f t="shared" si="26"/>
        <v>10.384816666666666</v>
      </c>
      <c r="H1086" s="14">
        <f t="shared" si="26"/>
        <v>10.559641666666666</v>
      </c>
      <c r="I1086" s="14">
        <f t="shared" si="26"/>
        <v>10.397525</v>
      </c>
      <c r="J1086" s="14">
        <f t="shared" si="26"/>
        <v>10.360466666666667</v>
      </c>
      <c r="K1086" s="52">
        <f t="shared" si="26"/>
        <v>10.393633333333334</v>
      </c>
      <c r="L1086" s="14">
        <f t="shared" si="26"/>
        <v>11.146641666666667</v>
      </c>
      <c r="M1086" s="14">
        <f t="shared" si="26"/>
        <v>10.181816666666666</v>
      </c>
      <c r="N1086" s="14">
        <f t="shared" si="26"/>
        <v>10.198841666666668</v>
      </c>
      <c r="O1086" s="14">
        <f t="shared" si="26"/>
        <v>10.3774</v>
      </c>
      <c r="P1086" s="14">
        <f t="shared" si="26"/>
        <v>10.217691666666665</v>
      </c>
      <c r="Q1086" s="14">
        <f t="shared" si="26"/>
        <v>10.972099999999999</v>
      </c>
      <c r="R1086" s="14">
        <f t="shared" si="26"/>
        <v>11.58653333333333</v>
      </c>
      <c r="S1086" s="14">
        <f t="shared" si="26"/>
        <v>9.928899999999997</v>
      </c>
      <c r="T1086" s="48">
        <f>SUM(T205:T216)</f>
        <v>357.33618100000001</v>
      </c>
      <c r="U1086" s="48">
        <f>SUM(U205:U216)</f>
        <v>142.03263249999998</v>
      </c>
      <c r="V1086" s="48">
        <f>SUM(V205:V216)</f>
        <v>50.187500000000007</v>
      </c>
      <c r="W1086" s="48">
        <f>SUM(W205:W216)</f>
        <v>5.0822234999999996</v>
      </c>
      <c r="X1086" s="48">
        <f>SUM(X205:X216)</f>
        <v>20.758966663999999</v>
      </c>
      <c r="Y1086" s="48"/>
      <c r="Z1086" s="14"/>
      <c r="AA1086" s="14"/>
      <c r="AB1086" s="49">
        <f>AVERAGE(AB205:AB216)</f>
        <v>10.389636663692359</v>
      </c>
      <c r="AC1086" s="45">
        <f>AVERAGE(AC205:AC216)</f>
        <v>10.251378177458035</v>
      </c>
    </row>
    <row r="1087" spans="1:29" ht="15.75" x14ac:dyDescent="0.25">
      <c r="A1087" s="10">
        <v>2030</v>
      </c>
      <c r="B1087" s="14">
        <f t="shared" ref="B1087:S1087" si="27">AVERAGE(B217:B228)</f>
        <v>10.642949999999999</v>
      </c>
      <c r="C1087" s="14">
        <f t="shared" si="27"/>
        <v>10.649216666666668</v>
      </c>
      <c r="D1087" s="14">
        <f t="shared" si="27"/>
        <v>10.838250000000002</v>
      </c>
      <c r="E1087" s="14">
        <f t="shared" si="27"/>
        <v>10.870674999999999</v>
      </c>
      <c r="F1087" s="14">
        <f t="shared" si="27"/>
        <v>10.667608333333334</v>
      </c>
      <c r="G1087" s="14">
        <f t="shared" si="27"/>
        <v>10.684966666666668</v>
      </c>
      <c r="H1087" s="14">
        <f t="shared" si="27"/>
        <v>10.859791666666666</v>
      </c>
      <c r="I1087" s="14">
        <f t="shared" si="27"/>
        <v>10.698591666666665</v>
      </c>
      <c r="J1087" s="14">
        <f t="shared" si="27"/>
        <v>10.660608333333332</v>
      </c>
      <c r="K1087" s="52">
        <f t="shared" si="27"/>
        <v>10.694708333333333</v>
      </c>
      <c r="L1087" s="14">
        <f t="shared" si="27"/>
        <v>11.446791666666664</v>
      </c>
      <c r="M1087" s="14">
        <f t="shared" si="27"/>
        <v>10.476541666666668</v>
      </c>
      <c r="N1087" s="14">
        <f t="shared" si="27"/>
        <v>10.493591666666665</v>
      </c>
      <c r="O1087" s="14">
        <f t="shared" si="27"/>
        <v>10.672141666666667</v>
      </c>
      <c r="P1087" s="14">
        <f t="shared" si="27"/>
        <v>10.513333333333334</v>
      </c>
      <c r="Q1087" s="14">
        <f t="shared" si="27"/>
        <v>11.26684166666667</v>
      </c>
      <c r="R1087" s="14">
        <f t="shared" si="27"/>
        <v>11.882000000000003</v>
      </c>
      <c r="S1087" s="14">
        <f t="shared" si="27"/>
        <v>10.217308333333333</v>
      </c>
      <c r="T1087" s="48">
        <f>SUM(T217:T228)</f>
        <v>357.33618100000001</v>
      </c>
      <c r="U1087" s="48">
        <f>SUM(U217:U228)</f>
        <v>142.03263249999998</v>
      </c>
      <c r="V1087" s="48">
        <f>SUM(V217:V228)</f>
        <v>50.187500000000007</v>
      </c>
      <c r="W1087" s="48">
        <f>SUM(W217:W228)</f>
        <v>5.0822234999999996</v>
      </c>
      <c r="X1087" s="48">
        <f>SUM(X217:X228)</f>
        <v>20.758966663999999</v>
      </c>
      <c r="Y1087" s="48"/>
      <c r="Z1087" s="14"/>
      <c r="AA1087" s="14"/>
      <c r="AB1087" s="49">
        <f>AVERAGE(AB217:AB228)</f>
        <v>10.689858298906332</v>
      </c>
      <c r="AC1087" s="45">
        <f>AVERAGE(AC217:AC228)</f>
        <v>10.54624262589928</v>
      </c>
    </row>
    <row r="1088" spans="1:29" ht="15.75" x14ac:dyDescent="0.25">
      <c r="A1088" s="10">
        <v>2031</v>
      </c>
      <c r="B1088" s="14">
        <f t="shared" ref="B1088:S1088" si="28">AVERAGE(B229:B240)</f>
        <v>11.096716666666666</v>
      </c>
      <c r="C1088" s="14">
        <f t="shared" si="28"/>
        <v>11.103</v>
      </c>
      <c r="D1088" s="14">
        <f t="shared" si="28"/>
        <v>11.292016666666667</v>
      </c>
      <c r="E1088" s="14">
        <f t="shared" si="28"/>
        <v>11.324433333333333</v>
      </c>
      <c r="F1088" s="14">
        <f t="shared" si="28"/>
        <v>11.121391666666668</v>
      </c>
      <c r="G1088" s="14">
        <f t="shared" si="28"/>
        <v>11.138733333333333</v>
      </c>
      <c r="H1088" s="14">
        <f t="shared" si="28"/>
        <v>11.313558333333331</v>
      </c>
      <c r="I1088" s="14">
        <f t="shared" si="28"/>
        <v>11.153783333333335</v>
      </c>
      <c r="J1088" s="14">
        <f t="shared" si="28"/>
        <v>11.114391666666664</v>
      </c>
      <c r="K1088" s="52">
        <f t="shared" si="28"/>
        <v>11.149891666666667</v>
      </c>
      <c r="L1088" s="14">
        <f t="shared" si="28"/>
        <v>11.900558333333331</v>
      </c>
      <c r="M1088" s="14">
        <f t="shared" si="28"/>
        <v>10.922174999999998</v>
      </c>
      <c r="N1088" s="14">
        <f t="shared" si="28"/>
        <v>10.939183333333332</v>
      </c>
      <c r="O1088" s="14">
        <f t="shared" si="28"/>
        <v>11.117749999999999</v>
      </c>
      <c r="P1088" s="14">
        <f t="shared" si="28"/>
        <v>10.960308333333332</v>
      </c>
      <c r="Q1088" s="14">
        <f t="shared" si="28"/>
        <v>11.712450000000002</v>
      </c>
      <c r="R1088" s="14">
        <f t="shared" si="28"/>
        <v>12.328733333333334</v>
      </c>
      <c r="S1088" s="14">
        <f t="shared" si="28"/>
        <v>10.653333333333331</v>
      </c>
      <c r="T1088" s="48">
        <f>SUM(T229:T240)</f>
        <v>357.33618100000001</v>
      </c>
      <c r="U1088" s="48">
        <f>SUM(U229:U240)</f>
        <v>142.03263249999998</v>
      </c>
      <c r="V1088" s="48">
        <f>SUM(V229:V240)</f>
        <v>50.187500000000007</v>
      </c>
      <c r="W1088" s="48">
        <f>SUM(W229:W240)</f>
        <v>5.0822234999999996</v>
      </c>
      <c r="X1088" s="48">
        <f>SUM(X229:X240)</f>
        <v>20.758966663999999</v>
      </c>
      <c r="Y1088" s="48"/>
      <c r="Z1088" s="14"/>
      <c r="AA1088" s="14"/>
      <c r="AB1088" s="49">
        <f>AVERAGE(AB229:AB240)</f>
        <v>11.143750851855893</v>
      </c>
      <c r="AC1088" s="45">
        <f>AVERAGE(AC229:AC240)</f>
        <v>10.992052398081533</v>
      </c>
    </row>
    <row r="1089" spans="1:29" ht="15.75" x14ac:dyDescent="0.25">
      <c r="A1089" s="10">
        <v>2032</v>
      </c>
      <c r="B1089" s="14">
        <f t="shared" ref="B1089:S1089" si="29">AVERAGE(B241:B252)</f>
        <v>11.526933333333332</v>
      </c>
      <c r="C1089" s="14">
        <f t="shared" si="29"/>
        <v>11.533208333333334</v>
      </c>
      <c r="D1089" s="14">
        <f t="shared" si="29"/>
        <v>11.722225</v>
      </c>
      <c r="E1089" s="14">
        <f t="shared" si="29"/>
        <v>11.754641666666664</v>
      </c>
      <c r="F1089" s="14">
        <f t="shared" si="29"/>
        <v>11.551591666666667</v>
      </c>
      <c r="G1089" s="14">
        <f t="shared" si="29"/>
        <v>11.568950000000001</v>
      </c>
      <c r="H1089" s="14">
        <f t="shared" si="29"/>
        <v>11.743766666666666</v>
      </c>
      <c r="I1089" s="14">
        <f t="shared" si="29"/>
        <v>11.585366666666667</v>
      </c>
      <c r="J1089" s="14">
        <f t="shared" si="29"/>
        <v>11.544591666666667</v>
      </c>
      <c r="K1089" s="52">
        <f t="shared" si="29"/>
        <v>11.581466666666666</v>
      </c>
      <c r="L1089" s="14">
        <f t="shared" si="29"/>
        <v>12.330766666666667</v>
      </c>
      <c r="M1089" s="14">
        <f t="shared" si="29"/>
        <v>11.344633333333332</v>
      </c>
      <c r="N1089" s="14">
        <f t="shared" si="29"/>
        <v>11.361666666666666</v>
      </c>
      <c r="O1089" s="14">
        <f t="shared" si="29"/>
        <v>11.540225000000001</v>
      </c>
      <c r="P1089" s="14">
        <f t="shared" si="29"/>
        <v>11.384066666666667</v>
      </c>
      <c r="Q1089" s="14">
        <f t="shared" si="29"/>
        <v>12.134925000000001</v>
      </c>
      <c r="R1089" s="14">
        <f t="shared" si="29"/>
        <v>12.752258333333335</v>
      </c>
      <c r="S1089" s="14">
        <f t="shared" si="29"/>
        <v>11.066725</v>
      </c>
      <c r="T1089" s="48">
        <f>SUM(T241:T252)</f>
        <v>358.26753550000001</v>
      </c>
      <c r="U1089" s="48">
        <f>SUM(U241:U252)</f>
        <v>142.42176299999997</v>
      </c>
      <c r="V1089" s="48">
        <f>SUM(V241:V252)</f>
        <v>50.325000000000003</v>
      </c>
      <c r="W1089" s="48">
        <f>SUM(W241:W252)</f>
        <v>5.0961473999999995</v>
      </c>
      <c r="X1089" s="48">
        <f>SUM(X241:X252)</f>
        <v>20.800615543999996</v>
      </c>
      <c r="Y1089" s="48"/>
      <c r="Z1089" s="14"/>
      <c r="AA1089" s="14"/>
      <c r="AB1089" s="49">
        <f>AVERAGE(AB241:AB252)</f>
        <v>11.574073479683401</v>
      </c>
      <c r="AC1089" s="45">
        <f>AVERAGE(AC241:AC252)</f>
        <v>11.414708213429256</v>
      </c>
    </row>
    <row r="1090" spans="1:29" ht="15.75" x14ac:dyDescent="0.25">
      <c r="A1090" s="10">
        <v>2033</v>
      </c>
      <c r="B1090" s="14">
        <f t="shared" ref="B1090:S1090" si="30">AVERAGE(B253:B264)</f>
        <v>11.973833333333333</v>
      </c>
      <c r="C1090" s="14">
        <f t="shared" si="30"/>
        <v>11.980091666666667</v>
      </c>
      <c r="D1090" s="14">
        <f t="shared" si="30"/>
        <v>12.169133333333335</v>
      </c>
      <c r="E1090" s="14">
        <f t="shared" si="30"/>
        <v>12.201558333333333</v>
      </c>
      <c r="F1090" s="14">
        <f t="shared" si="30"/>
        <v>11.998483333333334</v>
      </c>
      <c r="G1090" s="14">
        <f t="shared" si="30"/>
        <v>12.015833333333333</v>
      </c>
      <c r="H1090" s="14">
        <f t="shared" si="30"/>
        <v>12.190666666666667</v>
      </c>
      <c r="I1090" s="14">
        <f t="shared" si="30"/>
        <v>12.033641666666668</v>
      </c>
      <c r="J1090" s="14">
        <f t="shared" si="30"/>
        <v>11.991483333333335</v>
      </c>
      <c r="K1090" s="52">
        <f t="shared" si="30"/>
        <v>12.029750000000002</v>
      </c>
      <c r="L1090" s="14">
        <f t="shared" si="30"/>
        <v>12.777666666666667</v>
      </c>
      <c r="M1090" s="14">
        <f t="shared" si="30"/>
        <v>11.783508333333332</v>
      </c>
      <c r="N1090" s="14">
        <f t="shared" si="30"/>
        <v>11.800533333333332</v>
      </c>
      <c r="O1090" s="14">
        <f t="shared" si="30"/>
        <v>11.979083333333334</v>
      </c>
      <c r="P1090" s="14">
        <f t="shared" si="30"/>
        <v>11.824316666666666</v>
      </c>
      <c r="Q1090" s="14">
        <f t="shared" si="30"/>
        <v>12.573783333333333</v>
      </c>
      <c r="R1090" s="14">
        <f t="shared" si="30"/>
        <v>13.192233333333332</v>
      </c>
      <c r="S1090" s="14">
        <f t="shared" si="30"/>
        <v>11.496158333333334</v>
      </c>
      <c r="T1090" s="48">
        <f>SUM(T253:T264)</f>
        <v>357.33618100000001</v>
      </c>
      <c r="U1090" s="48">
        <f>SUM(U253:U264)</f>
        <v>142.03263249999998</v>
      </c>
      <c r="V1090" s="48">
        <f>SUM(V253:V264)</f>
        <v>50.187500000000007</v>
      </c>
      <c r="W1090" s="48">
        <f>SUM(W253:W264)</f>
        <v>5.0822234999999996</v>
      </c>
      <c r="X1090" s="48">
        <f>SUM(X253:X264)</f>
        <v>20.758966663999999</v>
      </c>
      <c r="Y1090" s="48"/>
      <c r="Z1090" s="14"/>
      <c r="AA1090" s="14"/>
      <c r="AB1090" s="49">
        <f>AVERAGE(AB253:AB264)</f>
        <v>12.021079280899409</v>
      </c>
      <c r="AC1090" s="45">
        <f>AVERAGE(AC253:AC264)</f>
        <v>11.853774460431657</v>
      </c>
    </row>
    <row r="1091" spans="1:29" ht="15.75" x14ac:dyDescent="0.25">
      <c r="A1091" s="10">
        <v>2034</v>
      </c>
      <c r="B1091" s="14">
        <f t="shared" ref="B1091:S1091" si="31">AVERAGE(B265:B276)</f>
        <v>12.438083333333331</v>
      </c>
      <c r="C1091" s="14">
        <f t="shared" si="31"/>
        <v>12.44435</v>
      </c>
      <c r="D1091" s="14">
        <f t="shared" si="31"/>
        <v>12.633374999999999</v>
      </c>
      <c r="E1091" s="14">
        <f t="shared" si="31"/>
        <v>12.665791666666669</v>
      </c>
      <c r="F1091" s="14">
        <f t="shared" si="31"/>
        <v>12.462716666666665</v>
      </c>
      <c r="G1091" s="14">
        <f t="shared" si="31"/>
        <v>12.480091666666665</v>
      </c>
      <c r="H1091" s="14">
        <f t="shared" si="31"/>
        <v>12.654916666666665</v>
      </c>
      <c r="I1091" s="14">
        <f t="shared" si="31"/>
        <v>12.499341666666666</v>
      </c>
      <c r="J1091" s="14">
        <f t="shared" si="31"/>
        <v>12.455716666666667</v>
      </c>
      <c r="K1091" s="52">
        <f t="shared" si="31"/>
        <v>12.49545</v>
      </c>
      <c r="L1091" s="14">
        <f t="shared" si="31"/>
        <v>13.241916666666668</v>
      </c>
      <c r="M1091" s="14">
        <f t="shared" si="31"/>
        <v>12.239391666666664</v>
      </c>
      <c r="N1091" s="14">
        <f t="shared" si="31"/>
        <v>12.256425</v>
      </c>
      <c r="O1091" s="14">
        <f t="shared" si="31"/>
        <v>12.434991666666667</v>
      </c>
      <c r="P1091" s="14">
        <f t="shared" si="31"/>
        <v>12.281608333333333</v>
      </c>
      <c r="Q1091" s="14">
        <f t="shared" si="31"/>
        <v>13.029691666666666</v>
      </c>
      <c r="R1091" s="14">
        <f t="shared" si="31"/>
        <v>13.649258333333334</v>
      </c>
      <c r="S1091" s="14">
        <f t="shared" si="31"/>
        <v>11.942233333333332</v>
      </c>
      <c r="T1091" s="48">
        <f>SUM(T265:T276)</f>
        <v>357.33618100000001</v>
      </c>
      <c r="U1091" s="48">
        <f>SUM(U265:U276)</f>
        <v>142.03263249999998</v>
      </c>
      <c r="V1091" s="48">
        <f>SUM(V265:V276)</f>
        <v>50.187500000000007</v>
      </c>
      <c r="W1091" s="48">
        <f>SUM(W265:W276)</f>
        <v>5.0822234999999996</v>
      </c>
      <c r="X1091" s="48">
        <f>SUM(X265:X276)</f>
        <v>20.758966663999999</v>
      </c>
      <c r="Y1091" s="48"/>
      <c r="Z1091" s="14"/>
      <c r="AA1091" s="14"/>
      <c r="AB1091" s="49">
        <f>AVERAGE(AB265:AB276)</f>
        <v>12.48544545951412</v>
      </c>
      <c r="AC1091" s="45">
        <f>AVERAGE(AC265:AC276)</f>
        <v>12.309872242206234</v>
      </c>
    </row>
    <row r="1092" spans="1:29" ht="15.75" x14ac:dyDescent="0.25">
      <c r="A1092" s="10">
        <v>2035</v>
      </c>
      <c r="B1092" s="14">
        <f t="shared" ref="B1092:S1092" si="32">AVERAGE(B277:B288)</f>
        <v>12.920341666666667</v>
      </c>
      <c r="C1092" s="14">
        <f t="shared" si="32"/>
        <v>12.926608333333334</v>
      </c>
      <c r="D1092" s="14">
        <f t="shared" si="32"/>
        <v>13.115650000000002</v>
      </c>
      <c r="E1092" s="14">
        <f t="shared" si="32"/>
        <v>13.148066666666667</v>
      </c>
      <c r="F1092" s="14">
        <f t="shared" si="32"/>
        <v>12.945</v>
      </c>
      <c r="G1092" s="14">
        <f t="shared" si="32"/>
        <v>12.962341666666667</v>
      </c>
      <c r="H1092" s="14">
        <f t="shared" si="32"/>
        <v>13.137191666666666</v>
      </c>
      <c r="I1092" s="14">
        <f t="shared" si="32"/>
        <v>12.983133333333335</v>
      </c>
      <c r="J1092" s="14">
        <f t="shared" si="32"/>
        <v>12.938000000000001</v>
      </c>
      <c r="K1092" s="52">
        <f t="shared" si="32"/>
        <v>12.979233333333333</v>
      </c>
      <c r="L1092" s="14">
        <f t="shared" si="32"/>
        <v>13.724191666666668</v>
      </c>
      <c r="M1092" s="14">
        <f t="shared" si="32"/>
        <v>12.712966666666667</v>
      </c>
      <c r="N1092" s="14">
        <f t="shared" si="32"/>
        <v>12.730024999999998</v>
      </c>
      <c r="O1092" s="14">
        <f t="shared" si="32"/>
        <v>12.908574999999999</v>
      </c>
      <c r="P1092" s="14">
        <f t="shared" si="32"/>
        <v>12.756641666666667</v>
      </c>
      <c r="Q1092" s="14">
        <f t="shared" si="32"/>
        <v>13.503275</v>
      </c>
      <c r="R1092" s="14">
        <f t="shared" si="32"/>
        <v>14.124049999999997</v>
      </c>
      <c r="S1092" s="14">
        <f t="shared" si="32"/>
        <v>12.40565</v>
      </c>
      <c r="T1092" s="48">
        <f>SUM(T277:T288)</f>
        <v>357.33618100000001</v>
      </c>
      <c r="U1092" s="48">
        <f>SUM(U277:U288)</f>
        <v>142.03263249999998</v>
      </c>
      <c r="V1092" s="48">
        <f>SUM(V277:V288)</f>
        <v>50.187500000000007</v>
      </c>
      <c r="W1092" s="48">
        <f>SUM(W277:W288)</f>
        <v>5.0822234999999996</v>
      </c>
      <c r="X1092" s="48">
        <f>SUM(X277:X288)</f>
        <v>20.758966663999999</v>
      </c>
      <c r="Y1092" s="48"/>
      <c r="Z1092" s="14"/>
      <c r="AA1092" s="14"/>
      <c r="AB1092" s="49">
        <f>AVERAGE(AB277:AB288)</f>
        <v>12.96783808828244</v>
      </c>
      <c r="AC1092" s="45">
        <f>AVERAGE(AC277:AC288)</f>
        <v>12.783663729016785</v>
      </c>
    </row>
    <row r="1093" spans="1:29" ht="15.75" x14ac:dyDescent="0.25">
      <c r="A1093" s="10">
        <v>2036</v>
      </c>
      <c r="B1093" s="14">
        <f t="shared" ref="B1093:S1093" si="33">AVERAGE(B289:B300)</f>
        <v>13.421333333333335</v>
      </c>
      <c r="C1093" s="14">
        <f t="shared" si="33"/>
        <v>13.42759166666667</v>
      </c>
      <c r="D1093" s="14">
        <f t="shared" si="33"/>
        <v>13.616608333333337</v>
      </c>
      <c r="E1093" s="14">
        <f t="shared" si="33"/>
        <v>13.649033333333334</v>
      </c>
      <c r="F1093" s="14">
        <f t="shared" si="33"/>
        <v>13.445975000000002</v>
      </c>
      <c r="G1093" s="14">
        <f t="shared" si="33"/>
        <v>13.463325000000003</v>
      </c>
      <c r="H1093" s="14">
        <f t="shared" si="33"/>
        <v>13.638150000000001</v>
      </c>
      <c r="I1093" s="14">
        <f t="shared" si="33"/>
        <v>13.485674999999999</v>
      </c>
      <c r="J1093" s="14">
        <f t="shared" si="33"/>
        <v>13.438974999999999</v>
      </c>
      <c r="K1093" s="52">
        <f t="shared" si="33"/>
        <v>13.481783333333334</v>
      </c>
      <c r="L1093" s="14">
        <f t="shared" si="33"/>
        <v>14.225150000000001</v>
      </c>
      <c r="M1093" s="14">
        <f t="shared" si="33"/>
        <v>13.204941666666668</v>
      </c>
      <c r="N1093" s="14">
        <f t="shared" si="33"/>
        <v>13.221983333333334</v>
      </c>
      <c r="O1093" s="14">
        <f t="shared" si="33"/>
        <v>13.400533333333334</v>
      </c>
      <c r="P1093" s="14">
        <f t="shared" si="33"/>
        <v>13.250116666666665</v>
      </c>
      <c r="Q1093" s="14">
        <f t="shared" si="33"/>
        <v>13.995233333333331</v>
      </c>
      <c r="R1093" s="14">
        <f t="shared" si="33"/>
        <v>14.617224999999999</v>
      </c>
      <c r="S1093" s="14">
        <f t="shared" si="33"/>
        <v>12.887041666666663</v>
      </c>
      <c r="T1093" s="48">
        <f>SUM(T289:T300)</f>
        <v>358.26753550000001</v>
      </c>
      <c r="U1093" s="48">
        <f>SUM(U289:U300)</f>
        <v>142.42176299999997</v>
      </c>
      <c r="V1093" s="48">
        <f>SUM(V289:V300)</f>
        <v>50.325000000000003</v>
      </c>
      <c r="W1093" s="48">
        <f>SUM(W289:W300)</f>
        <v>5.0961473999999995</v>
      </c>
      <c r="X1093" s="48">
        <f>SUM(X289:X300)</f>
        <v>20.800615543999996</v>
      </c>
      <c r="Y1093" s="48"/>
      <c r="Z1093" s="14"/>
      <c r="AA1093" s="14"/>
      <c r="AB1093" s="49">
        <f>AVERAGE(AB289:AB300)</f>
        <v>13.46894648406829</v>
      </c>
      <c r="AC1093" s="45">
        <f>AVERAGE(AC289:AC300)</f>
        <v>13.275844604316546</v>
      </c>
    </row>
    <row r="1094" spans="1:29" ht="15.75" x14ac:dyDescent="0.25">
      <c r="A1094" s="10">
        <v>2037</v>
      </c>
      <c r="B1094" s="14">
        <f t="shared" ref="B1094:S1094" si="34">AVERAGE(B301:B312)</f>
        <v>13.941749999999999</v>
      </c>
      <c r="C1094" s="14">
        <f t="shared" si="34"/>
        <v>13.948016666666666</v>
      </c>
      <c r="D1094" s="14">
        <f t="shared" si="34"/>
        <v>14.137033333333335</v>
      </c>
      <c r="E1094" s="14">
        <f t="shared" si="34"/>
        <v>14.169450000000003</v>
      </c>
      <c r="F1094" s="14">
        <f t="shared" si="34"/>
        <v>13.9664</v>
      </c>
      <c r="G1094" s="14">
        <f t="shared" si="34"/>
        <v>13.983750000000001</v>
      </c>
      <c r="H1094" s="14">
        <f t="shared" si="34"/>
        <v>14.158574999999999</v>
      </c>
      <c r="I1094" s="14">
        <f t="shared" si="34"/>
        <v>14.007724999999999</v>
      </c>
      <c r="J1094" s="14">
        <f t="shared" si="34"/>
        <v>13.9594</v>
      </c>
      <c r="K1094" s="52">
        <f t="shared" si="34"/>
        <v>14.003841666666668</v>
      </c>
      <c r="L1094" s="14">
        <f t="shared" si="34"/>
        <v>14.745574999999997</v>
      </c>
      <c r="M1094" s="14">
        <f t="shared" si="34"/>
        <v>13.715999999999999</v>
      </c>
      <c r="N1094" s="14">
        <f t="shared" si="34"/>
        <v>13.733041666666663</v>
      </c>
      <c r="O1094" s="14">
        <f t="shared" si="34"/>
        <v>13.911616666666667</v>
      </c>
      <c r="P1094" s="14">
        <f t="shared" si="34"/>
        <v>13.762741666666669</v>
      </c>
      <c r="Q1094" s="14">
        <f t="shared" si="34"/>
        <v>14.506316666666669</v>
      </c>
      <c r="R1094" s="14">
        <f t="shared" si="34"/>
        <v>15.129558333333334</v>
      </c>
      <c r="S1094" s="14">
        <f t="shared" si="34"/>
        <v>13.387108333333336</v>
      </c>
      <c r="T1094" s="48">
        <f>SUM(T301:T312)</f>
        <v>357.33618100000001</v>
      </c>
      <c r="U1094" s="48">
        <f>SUM(U301:U312)</f>
        <v>142.03263249999998</v>
      </c>
      <c r="V1094" s="48">
        <f>SUM(V301:V312)</f>
        <v>50.187500000000007</v>
      </c>
      <c r="W1094" s="48">
        <f>SUM(W301:W312)</f>
        <v>5.0822234999999996</v>
      </c>
      <c r="X1094" s="48">
        <f>SUM(X301:X312)</f>
        <v>20.758966663999999</v>
      </c>
      <c r="Y1094" s="48"/>
      <c r="Z1094" s="14"/>
      <c r="AA1094" s="14"/>
      <c r="AB1094" s="49">
        <f>AVERAGE(AB301:AB312)</f>
        <v>13.989504005510177</v>
      </c>
      <c r="AC1094" s="45">
        <f>AVERAGE(AC301:AC312)</f>
        <v>13.787138249400479</v>
      </c>
    </row>
    <row r="1095" spans="1:29" ht="15.75" x14ac:dyDescent="0.25">
      <c r="A1095" s="10">
        <f t="shared" ref="A1095:A1126" si="35">A1094+1</f>
        <v>2038</v>
      </c>
      <c r="B1095" s="14">
        <f t="shared" ref="B1095:S1095" si="36">AVERAGE(B313:B324)</f>
        <v>14.482349999999999</v>
      </c>
      <c r="C1095" s="14">
        <f t="shared" si="36"/>
        <v>14.488624999999999</v>
      </c>
      <c r="D1095" s="14">
        <f t="shared" si="36"/>
        <v>14.677641666666668</v>
      </c>
      <c r="E1095" s="14">
        <f t="shared" si="36"/>
        <v>14.710066666666668</v>
      </c>
      <c r="F1095" s="14">
        <f t="shared" si="36"/>
        <v>14.507008333333332</v>
      </c>
      <c r="G1095" s="14">
        <f t="shared" si="36"/>
        <v>14.524374999999999</v>
      </c>
      <c r="H1095" s="14">
        <f t="shared" si="36"/>
        <v>14.699183333333332</v>
      </c>
      <c r="I1095" s="14">
        <f t="shared" si="36"/>
        <v>14.550008333333333</v>
      </c>
      <c r="J1095" s="14">
        <f t="shared" si="36"/>
        <v>14.500008333333334</v>
      </c>
      <c r="K1095" s="52">
        <f t="shared" si="36"/>
        <v>14.546116666666665</v>
      </c>
      <c r="L1095" s="14">
        <f t="shared" si="36"/>
        <v>15.286183333333335</v>
      </c>
      <c r="M1095" s="14">
        <f t="shared" si="36"/>
        <v>14.246883333333336</v>
      </c>
      <c r="N1095" s="14">
        <f t="shared" si="36"/>
        <v>14.263924999999999</v>
      </c>
      <c r="O1095" s="14">
        <f t="shared" si="36"/>
        <v>14.442491666666669</v>
      </c>
      <c r="P1095" s="14">
        <f t="shared" si="36"/>
        <v>14.295266666666665</v>
      </c>
      <c r="Q1095" s="14">
        <f t="shared" si="36"/>
        <v>15.037191666666667</v>
      </c>
      <c r="R1095" s="14">
        <f t="shared" si="36"/>
        <v>15.661766666666667</v>
      </c>
      <c r="S1095" s="14">
        <f t="shared" si="36"/>
        <v>13.906566666666668</v>
      </c>
      <c r="T1095" s="48">
        <f>SUM(T313:T324)</f>
        <v>357.33618100000001</v>
      </c>
      <c r="U1095" s="48">
        <f>SUM(U313:U324)</f>
        <v>142.03263249999998</v>
      </c>
      <c r="V1095" s="48">
        <f>SUM(V313:V324)</f>
        <v>50.187500000000007</v>
      </c>
      <c r="W1095" s="48">
        <f>SUM(W313:W324)</f>
        <v>5.0822234999999996</v>
      </c>
      <c r="X1095" s="48">
        <f>SUM(X313:X324)</f>
        <v>20.758966663999999</v>
      </c>
      <c r="Y1095" s="48"/>
      <c r="Z1095" s="14"/>
      <c r="AA1095" s="14"/>
      <c r="AB1095" s="49">
        <f>AVERAGE(AB313:AB324)</f>
        <v>14.530252160180895</v>
      </c>
      <c r="AC1095" s="45">
        <f>AVERAGE(AC313:AC324)</f>
        <v>14.31825401678657</v>
      </c>
    </row>
    <row r="1096" spans="1:29" ht="15.75" x14ac:dyDescent="0.25">
      <c r="A1096" s="10">
        <f t="shared" si="35"/>
        <v>2039</v>
      </c>
      <c r="B1096" s="14">
        <f t="shared" ref="B1096:S1096" si="37">AVERAGE(B325:B336)</f>
        <v>15.043950000000001</v>
      </c>
      <c r="C1096" s="14">
        <f t="shared" si="37"/>
        <v>15.050200000000002</v>
      </c>
      <c r="D1096" s="14">
        <f t="shared" si="37"/>
        <v>15.239233333333333</v>
      </c>
      <c r="E1096" s="14">
        <f t="shared" si="37"/>
        <v>15.271666666666667</v>
      </c>
      <c r="F1096" s="14">
        <f t="shared" si="37"/>
        <v>15.068591666666668</v>
      </c>
      <c r="G1096" s="14">
        <f t="shared" si="37"/>
        <v>15.085949999999999</v>
      </c>
      <c r="H1096" s="14">
        <f t="shared" si="37"/>
        <v>15.260775000000002</v>
      </c>
      <c r="I1096" s="14">
        <f t="shared" si="37"/>
        <v>15.113383333333333</v>
      </c>
      <c r="J1096" s="14">
        <f t="shared" si="37"/>
        <v>15.06159166666667</v>
      </c>
      <c r="K1096" s="52">
        <f t="shared" si="37"/>
        <v>15.109491666666665</v>
      </c>
      <c r="L1096" s="14">
        <f t="shared" si="37"/>
        <v>15.847774999999999</v>
      </c>
      <c r="M1096" s="14">
        <f t="shared" si="37"/>
        <v>14.798391666666666</v>
      </c>
      <c r="N1096" s="14">
        <f t="shared" si="37"/>
        <v>14.815424999999999</v>
      </c>
      <c r="O1096" s="14">
        <f t="shared" si="37"/>
        <v>14.993958333333333</v>
      </c>
      <c r="P1096" s="14">
        <f t="shared" si="37"/>
        <v>14.848466666666667</v>
      </c>
      <c r="Q1096" s="14">
        <f t="shared" si="37"/>
        <v>15.588658333333333</v>
      </c>
      <c r="R1096" s="14">
        <f t="shared" si="37"/>
        <v>16.214658333333336</v>
      </c>
      <c r="S1096" s="14">
        <f t="shared" si="37"/>
        <v>14.446208333333331</v>
      </c>
      <c r="T1096" s="48">
        <f>SUM(T325:T336)</f>
        <v>357.33618100000001</v>
      </c>
      <c r="U1096" s="48">
        <f>SUM(U325:U336)</f>
        <v>142.03263249999998</v>
      </c>
      <c r="V1096" s="48">
        <f>SUM(V325:V336)</f>
        <v>50.187500000000007</v>
      </c>
      <c r="W1096" s="48">
        <f>SUM(W325:W336)</f>
        <v>5.0822234999999996</v>
      </c>
      <c r="X1096" s="48">
        <f>SUM(X325:X336)</f>
        <v>20.758966663999999</v>
      </c>
      <c r="Y1096" s="48"/>
      <c r="Z1096" s="54"/>
      <c r="AA1096" s="53"/>
      <c r="AB1096" s="49">
        <f>AVERAGE(AB325:AB336)</f>
        <v>15.091982829423735</v>
      </c>
      <c r="AC1096" s="45">
        <f>AVERAGE(AC325:AC336)</f>
        <v>14.869990707434054</v>
      </c>
    </row>
    <row r="1097" spans="1:29" ht="15.75" x14ac:dyDescent="0.25">
      <c r="A1097" s="10">
        <f t="shared" si="35"/>
        <v>2040</v>
      </c>
      <c r="B1097" s="14">
        <f t="shared" ref="B1097:S1097" si="38">AVERAGE(B337:B348)</f>
        <v>15.62735</v>
      </c>
      <c r="C1097" s="14">
        <f t="shared" si="38"/>
        <v>15.633599999999999</v>
      </c>
      <c r="D1097" s="14">
        <f t="shared" si="38"/>
        <v>15.822625</v>
      </c>
      <c r="E1097" s="14">
        <f t="shared" si="38"/>
        <v>15.85505</v>
      </c>
      <c r="F1097" s="14">
        <f t="shared" si="38"/>
        <v>15.651974999999998</v>
      </c>
      <c r="G1097" s="14">
        <f t="shared" si="38"/>
        <v>15.66935</v>
      </c>
      <c r="H1097" s="14">
        <f t="shared" si="38"/>
        <v>15.844166666666666</v>
      </c>
      <c r="I1097" s="14">
        <f t="shared" si="38"/>
        <v>15.698600000000001</v>
      </c>
      <c r="J1097" s="14">
        <f t="shared" si="38"/>
        <v>15.644975000000001</v>
      </c>
      <c r="K1097" s="52">
        <f t="shared" si="38"/>
        <v>15.694699999999999</v>
      </c>
      <c r="L1097" s="14">
        <f t="shared" si="38"/>
        <v>16.43116666666667</v>
      </c>
      <c r="M1097" s="14">
        <f t="shared" si="38"/>
        <v>15.371291666666664</v>
      </c>
      <c r="N1097" s="14">
        <f t="shared" si="38"/>
        <v>15.388333333333334</v>
      </c>
      <c r="O1097" s="14">
        <f t="shared" si="38"/>
        <v>15.566875000000001</v>
      </c>
      <c r="P1097" s="14">
        <f t="shared" si="38"/>
        <v>15.423116666666667</v>
      </c>
      <c r="Q1097" s="14">
        <f t="shared" si="38"/>
        <v>16.161574999999996</v>
      </c>
      <c r="R1097" s="14">
        <f t="shared" si="38"/>
        <v>16.788975000000004</v>
      </c>
      <c r="S1097" s="14">
        <f t="shared" si="38"/>
        <v>15.006783333333333</v>
      </c>
      <c r="T1097" s="48">
        <f>SUM(T337:T348)</f>
        <v>358.26753550000001</v>
      </c>
      <c r="U1097" s="48">
        <f>SUM(U337:U348)</f>
        <v>142.42176299999997</v>
      </c>
      <c r="V1097" s="48">
        <f>SUM(V337:V348)</f>
        <v>50.325000000000003</v>
      </c>
      <c r="W1097" s="48">
        <f>SUM(W337:W348)</f>
        <v>5.0961473999999995</v>
      </c>
      <c r="X1097" s="48">
        <f>SUM(X337:X348)</f>
        <v>20.800615543999996</v>
      </c>
      <c r="Y1097" s="48"/>
      <c r="Z1097" s="54"/>
      <c r="AA1097" s="53"/>
      <c r="AB1097" s="49">
        <f>AVERAGE(AB337:AB348)</f>
        <v>15.675526566689641</v>
      </c>
      <c r="AC1097" s="45">
        <f>AVERAGE(AC337:AC348)</f>
        <v>15.443149100719424</v>
      </c>
    </row>
    <row r="1098" spans="1:29" ht="15.75" x14ac:dyDescent="0.25">
      <c r="A1098" s="10">
        <f t="shared" si="35"/>
        <v>2041</v>
      </c>
      <c r="B1098" s="14">
        <f t="shared" ref="B1098:S1098" si="39">AVERAGE(B349:B360)</f>
        <v>16.233358333333332</v>
      </c>
      <c r="C1098" s="14">
        <f t="shared" si="39"/>
        <v>16.239625</v>
      </c>
      <c r="D1098" s="14">
        <f t="shared" si="39"/>
        <v>16.428658333333331</v>
      </c>
      <c r="E1098" s="14">
        <f t="shared" si="39"/>
        <v>16.461066666666671</v>
      </c>
      <c r="F1098" s="14">
        <f t="shared" si="39"/>
        <v>16.257999999999999</v>
      </c>
      <c r="G1098" s="14">
        <f t="shared" si="39"/>
        <v>16.275358333333333</v>
      </c>
      <c r="H1098" s="14">
        <f t="shared" si="39"/>
        <v>16.450199999999999</v>
      </c>
      <c r="I1098" s="14">
        <f t="shared" si="39"/>
        <v>16.306516666666667</v>
      </c>
      <c r="J1098" s="14">
        <f t="shared" si="39"/>
        <v>16.251000000000001</v>
      </c>
      <c r="K1098" s="52">
        <f t="shared" si="39"/>
        <v>16.302625000000003</v>
      </c>
      <c r="L1098" s="14">
        <f t="shared" si="39"/>
        <v>17.037200000000002</v>
      </c>
      <c r="M1098" s="14">
        <f t="shared" si="39"/>
        <v>15.966425000000001</v>
      </c>
      <c r="N1098" s="14">
        <f t="shared" si="39"/>
        <v>15.983441666666666</v>
      </c>
      <c r="O1098" s="14">
        <f t="shared" si="39"/>
        <v>16.161991666666665</v>
      </c>
      <c r="P1098" s="14">
        <f t="shared" si="39"/>
        <v>16.020083333333336</v>
      </c>
      <c r="Q1098" s="14">
        <f t="shared" si="39"/>
        <v>16.756691666666669</v>
      </c>
      <c r="R1098" s="14">
        <f t="shared" si="39"/>
        <v>17.385591666666667</v>
      </c>
      <c r="S1098" s="14">
        <f t="shared" si="39"/>
        <v>15.589125000000001</v>
      </c>
      <c r="T1098" s="48">
        <f>SUM(T349:T360)</f>
        <v>357.33618100000001</v>
      </c>
      <c r="U1098" s="48">
        <f>SUM(U349:U360)</f>
        <v>142.03263249999998</v>
      </c>
      <c r="V1098" s="48">
        <f>SUM(V349:V360)</f>
        <v>50.187500000000007</v>
      </c>
      <c r="W1098" s="48">
        <f>SUM(W349:W360)</f>
        <v>5.0822234999999996</v>
      </c>
      <c r="X1098" s="48">
        <f>SUM(X349:X360)</f>
        <v>20.758966663999999</v>
      </c>
      <c r="Y1098" s="48"/>
      <c r="Z1098" s="54"/>
      <c r="AA1098" s="53"/>
      <c r="AB1098" s="49">
        <f>AVERAGE(AB349:AB360)</f>
        <v>16.281703053452198</v>
      </c>
      <c r="AC1098" s="45">
        <f>AVERAGE(AC349:AC360)</f>
        <v>16.03853723021583</v>
      </c>
    </row>
    <row r="1099" spans="1:29" ht="15.75" x14ac:dyDescent="0.25">
      <c r="A1099" s="10">
        <f t="shared" si="35"/>
        <v>2042</v>
      </c>
      <c r="B1099" s="14">
        <f t="shared" ref="B1099:S1099" si="40">AVERAGE(B361:B372)</f>
        <v>16.8629</v>
      </c>
      <c r="C1099" s="14">
        <f t="shared" si="40"/>
        <v>16.869175000000002</v>
      </c>
      <c r="D1099" s="14">
        <f t="shared" si="40"/>
        <v>17.058183333333332</v>
      </c>
      <c r="E1099" s="14">
        <f t="shared" si="40"/>
        <v>17.090624999999999</v>
      </c>
      <c r="F1099" s="14">
        <f t="shared" si="40"/>
        <v>16.887558333333335</v>
      </c>
      <c r="G1099" s="14">
        <f t="shared" si="40"/>
        <v>16.904916666666665</v>
      </c>
      <c r="H1099" s="14">
        <f t="shared" si="40"/>
        <v>17.079725</v>
      </c>
      <c r="I1099" s="14">
        <f t="shared" si="40"/>
        <v>16.938025</v>
      </c>
      <c r="J1099" s="14">
        <f t="shared" si="40"/>
        <v>16.880558333333333</v>
      </c>
      <c r="K1099" s="52">
        <f t="shared" si="40"/>
        <v>16.934133333333332</v>
      </c>
      <c r="L1099" s="14">
        <f t="shared" si="40"/>
        <v>17.666725</v>
      </c>
      <c r="M1099" s="14">
        <f t="shared" si="40"/>
        <v>16.584624999999999</v>
      </c>
      <c r="N1099" s="14">
        <f t="shared" si="40"/>
        <v>16.601666666666667</v>
      </c>
      <c r="O1099" s="14">
        <f t="shared" si="40"/>
        <v>16.780233333333332</v>
      </c>
      <c r="P1099" s="14">
        <f t="shared" si="40"/>
        <v>16.640191666666666</v>
      </c>
      <c r="Q1099" s="14">
        <f t="shared" si="40"/>
        <v>17.374933333333331</v>
      </c>
      <c r="R1099" s="14">
        <f t="shared" si="40"/>
        <v>18.005349999999996</v>
      </c>
      <c r="S1099" s="14">
        <f t="shared" si="40"/>
        <v>16.194033333333334</v>
      </c>
      <c r="T1099" s="48">
        <f>SUM(T361:T372)</f>
        <v>357.33618100000001</v>
      </c>
      <c r="U1099" s="48">
        <f>SUM(U361:U372)</f>
        <v>142.03263249999998</v>
      </c>
      <c r="V1099" s="48">
        <f>SUM(V361:V372)</f>
        <v>50.187500000000007</v>
      </c>
      <c r="W1099" s="48">
        <f>SUM(W361:W372)</f>
        <v>5.0822234999999996</v>
      </c>
      <c r="X1099" s="48">
        <f>SUM(X361:X372)</f>
        <v>20.758966663999999</v>
      </c>
      <c r="Y1099" s="48"/>
      <c r="Z1099" s="54"/>
      <c r="AA1099" s="53"/>
      <c r="AB1099" s="49">
        <f>AVERAGE(AB361:AB372)</f>
        <v>16.91141490838482</v>
      </c>
      <c r="AC1099" s="45">
        <f>AVERAGE(AC361:AC372)</f>
        <v>16.657030695443648</v>
      </c>
    </row>
    <row r="1100" spans="1:29" ht="15.75" x14ac:dyDescent="0.25">
      <c r="A1100" s="10">
        <f t="shared" si="35"/>
        <v>2043</v>
      </c>
      <c r="B1100" s="14">
        <f t="shared" ref="B1100:S1100" si="41">AVERAGE(B373:B384)</f>
        <v>17.516883333333336</v>
      </c>
      <c r="C1100" s="14">
        <f t="shared" si="41"/>
        <v>17.523150000000001</v>
      </c>
      <c r="D1100" s="14">
        <f t="shared" si="41"/>
        <v>17.712183333333336</v>
      </c>
      <c r="E1100" s="14">
        <f t="shared" si="41"/>
        <v>17.744583333333335</v>
      </c>
      <c r="F1100" s="14">
        <f t="shared" si="41"/>
        <v>17.541541666666667</v>
      </c>
      <c r="G1100" s="14">
        <f t="shared" si="41"/>
        <v>17.558883333333331</v>
      </c>
      <c r="H1100" s="14">
        <f t="shared" si="41"/>
        <v>17.73371666666667</v>
      </c>
      <c r="I1100" s="14">
        <f t="shared" si="41"/>
        <v>17.594049999999999</v>
      </c>
      <c r="J1100" s="14">
        <f t="shared" si="41"/>
        <v>17.534541666666666</v>
      </c>
      <c r="K1100" s="52">
        <f t="shared" si="41"/>
        <v>17.590174999999999</v>
      </c>
      <c r="L1100" s="14">
        <f t="shared" si="41"/>
        <v>18.320716666666666</v>
      </c>
      <c r="M1100" s="14">
        <f t="shared" si="41"/>
        <v>17.226841666666665</v>
      </c>
      <c r="N1100" s="14">
        <f t="shared" si="41"/>
        <v>17.243883333333333</v>
      </c>
      <c r="O1100" s="14">
        <f t="shared" si="41"/>
        <v>17.422441666666664</v>
      </c>
      <c r="P1100" s="14">
        <f t="shared" si="41"/>
        <v>17.284399999999998</v>
      </c>
      <c r="Q1100" s="14">
        <f t="shared" si="41"/>
        <v>18.017141666666667</v>
      </c>
      <c r="R1100" s="14">
        <f t="shared" si="41"/>
        <v>18.649166666666666</v>
      </c>
      <c r="S1100" s="14">
        <f t="shared" si="41"/>
        <v>16.822458333333334</v>
      </c>
      <c r="T1100" s="48">
        <f>SUM(T373:T384)</f>
        <v>357.33618100000001</v>
      </c>
      <c r="U1100" s="48">
        <f>SUM(U373:U384)</f>
        <v>142.03263249999998</v>
      </c>
      <c r="V1100" s="48">
        <f>SUM(V373:V384)</f>
        <v>50.187500000000007</v>
      </c>
      <c r="W1100" s="48">
        <f>SUM(W373:W384)</f>
        <v>5.0822234999999996</v>
      </c>
      <c r="X1100" s="48">
        <f>SUM(X373:X384)</f>
        <v>20.758966663999999</v>
      </c>
      <c r="Y1100" s="48"/>
      <c r="Z1100" s="54"/>
      <c r="AA1100" s="53"/>
      <c r="AB1100" s="49">
        <f>AVERAGE(AB373:AB384)</f>
        <v>17.56556302329837</v>
      </c>
      <c r="AC1100" s="45">
        <f>AVERAGE(AC373:AC384)</f>
        <v>17.299531594724218</v>
      </c>
    </row>
    <row r="1101" spans="1:29" ht="15.75" x14ac:dyDescent="0.25">
      <c r="A1101" s="10">
        <f t="shared" si="35"/>
        <v>2044</v>
      </c>
      <c r="B1101" s="14">
        <f t="shared" ref="B1101:S1101" si="42">AVERAGE(B385:B396)</f>
        <v>18.196225000000002</v>
      </c>
      <c r="C1101" s="14">
        <f t="shared" si="42"/>
        <v>18.202508333333331</v>
      </c>
      <c r="D1101" s="14">
        <f t="shared" si="42"/>
        <v>18.391508333333334</v>
      </c>
      <c r="E1101" s="14">
        <f t="shared" si="42"/>
        <v>18.423941666666664</v>
      </c>
      <c r="F1101" s="14">
        <f t="shared" si="42"/>
        <v>18.220883333333333</v>
      </c>
      <c r="G1101" s="14">
        <f t="shared" si="42"/>
        <v>18.238250000000004</v>
      </c>
      <c r="H1101" s="14">
        <f t="shared" si="42"/>
        <v>18.413050000000002</v>
      </c>
      <c r="I1101" s="14">
        <f t="shared" si="42"/>
        <v>18.275533333333332</v>
      </c>
      <c r="J1101" s="14">
        <f t="shared" si="42"/>
        <v>18.213883333333335</v>
      </c>
      <c r="K1101" s="52">
        <f t="shared" si="42"/>
        <v>18.271641666666667</v>
      </c>
      <c r="L1101" s="14">
        <f t="shared" si="42"/>
        <v>19.000049999999998</v>
      </c>
      <c r="M1101" s="14">
        <f t="shared" si="42"/>
        <v>17.893966666666667</v>
      </c>
      <c r="N1101" s="14">
        <f t="shared" si="42"/>
        <v>17.911000000000001</v>
      </c>
      <c r="O1101" s="14">
        <f t="shared" si="42"/>
        <v>18.089575</v>
      </c>
      <c r="P1101" s="14">
        <f t="shared" si="42"/>
        <v>17.953558333333334</v>
      </c>
      <c r="Q1101" s="14">
        <f t="shared" si="42"/>
        <v>18.684275000000003</v>
      </c>
      <c r="R1101" s="14">
        <f t="shared" si="42"/>
        <v>19.317975000000004</v>
      </c>
      <c r="S1101" s="14">
        <f t="shared" si="42"/>
        <v>17.475233333333335</v>
      </c>
      <c r="T1101" s="48">
        <f>SUM(T385:T396)</f>
        <v>358.26753550000001</v>
      </c>
      <c r="U1101" s="48">
        <f>SUM(U385:U396)</f>
        <v>142.42176299999997</v>
      </c>
      <c r="V1101" s="48">
        <f>SUM(V385:V396)</f>
        <v>50.325000000000003</v>
      </c>
      <c r="W1101" s="48">
        <f>SUM(W385:W396)</f>
        <v>5.0961473999999995</v>
      </c>
      <c r="X1101" s="48">
        <f>SUM(X385:X396)</f>
        <v>20.800615543999996</v>
      </c>
      <c r="Y1101" s="48"/>
      <c r="Z1101" s="54"/>
      <c r="AA1101" s="53"/>
      <c r="AB1101" s="49">
        <f>AVERAGE(AB385:AB396)</f>
        <v>18.245088191717411</v>
      </c>
      <c r="AC1101" s="45">
        <f>AVERAGE(AC385:AC396)</f>
        <v>17.966949580335733</v>
      </c>
    </row>
    <row r="1102" spans="1:29" ht="15.75" x14ac:dyDescent="0.25">
      <c r="A1102" s="10">
        <f t="shared" si="35"/>
        <v>2045</v>
      </c>
      <c r="B1102" s="14">
        <f t="shared" ref="B1102:S1102" si="43">AVERAGE(B397:B408)</f>
        <v>18.901941666666666</v>
      </c>
      <c r="C1102" s="14">
        <f t="shared" si="43"/>
        <v>18.908225000000002</v>
      </c>
      <c r="D1102" s="14">
        <f t="shared" si="43"/>
        <v>19.097241666666665</v>
      </c>
      <c r="E1102" s="14">
        <f t="shared" si="43"/>
        <v>19.129675000000002</v>
      </c>
      <c r="F1102" s="14">
        <f t="shared" si="43"/>
        <v>18.926591666666663</v>
      </c>
      <c r="G1102" s="14">
        <f t="shared" si="43"/>
        <v>18.943941666666664</v>
      </c>
      <c r="H1102" s="14">
        <f t="shared" si="43"/>
        <v>19.118783333333333</v>
      </c>
      <c r="I1102" s="14">
        <f t="shared" si="43"/>
        <v>18.983466666666672</v>
      </c>
      <c r="J1102" s="14">
        <f t="shared" si="43"/>
        <v>18.919591666666665</v>
      </c>
      <c r="K1102" s="52">
        <f t="shared" si="43"/>
        <v>18.979566666666667</v>
      </c>
      <c r="L1102" s="14">
        <f t="shared" si="43"/>
        <v>19.705783333333333</v>
      </c>
      <c r="M1102" s="14">
        <f t="shared" si="43"/>
        <v>18.586974999999999</v>
      </c>
      <c r="N1102" s="14">
        <f t="shared" si="43"/>
        <v>18.604024999999996</v>
      </c>
      <c r="O1102" s="14">
        <f t="shared" si="43"/>
        <v>18.782591666666665</v>
      </c>
      <c r="P1102" s="14">
        <f t="shared" si="43"/>
        <v>18.648716666666665</v>
      </c>
      <c r="Q1102" s="14">
        <f t="shared" si="43"/>
        <v>19.377291666666661</v>
      </c>
      <c r="R1102" s="14">
        <f t="shared" si="43"/>
        <v>20.012733333333333</v>
      </c>
      <c r="S1102" s="14">
        <f t="shared" si="43"/>
        <v>18.153366666666663</v>
      </c>
      <c r="T1102" s="48">
        <f>SUM(T397:T408)</f>
        <v>357.33618100000001</v>
      </c>
      <c r="U1102" s="48">
        <f>SUM(U397:U408)</f>
        <v>142.03263249999998</v>
      </c>
      <c r="V1102" s="48">
        <f>SUM(V397:V408)</f>
        <v>50.187500000000007</v>
      </c>
      <c r="W1102" s="48">
        <f>SUM(W397:W408)</f>
        <v>5.0822234999999996</v>
      </c>
      <c r="X1102" s="48">
        <f>SUM(X397:X408)</f>
        <v>20.758966663999999</v>
      </c>
      <c r="Y1102" s="48"/>
      <c r="Z1102" s="54"/>
      <c r="AA1102" s="53"/>
      <c r="AB1102" s="49">
        <f>AVERAGE(AB397:AB408)</f>
        <v>18.95098287038623</v>
      </c>
      <c r="AC1102" s="45">
        <f>AVERAGE(AC397:AC408)</f>
        <v>18.660272002398077</v>
      </c>
    </row>
    <row r="1103" spans="1:29" ht="15.75" x14ac:dyDescent="0.25">
      <c r="A1103" s="10">
        <f t="shared" si="35"/>
        <v>2046</v>
      </c>
      <c r="B1103" s="14">
        <f t="shared" ref="B1103:S1103" si="44">AVERAGE(B409:B420)</f>
        <v>19.635041666666666</v>
      </c>
      <c r="C1103" s="14">
        <f t="shared" si="44"/>
        <v>19.641325000000002</v>
      </c>
      <c r="D1103" s="14">
        <f t="shared" si="44"/>
        <v>19.830341666666666</v>
      </c>
      <c r="E1103" s="14">
        <f t="shared" si="44"/>
        <v>19.862774999999999</v>
      </c>
      <c r="F1103" s="14">
        <f t="shared" si="44"/>
        <v>19.659708333333334</v>
      </c>
      <c r="G1103" s="14">
        <f t="shared" si="44"/>
        <v>19.677041666666671</v>
      </c>
      <c r="H1103" s="14">
        <f t="shared" si="44"/>
        <v>19.85189166666667</v>
      </c>
      <c r="I1103" s="14">
        <f t="shared" si="44"/>
        <v>19.718850000000003</v>
      </c>
      <c r="J1103" s="14">
        <f t="shared" si="44"/>
        <v>19.652708333333333</v>
      </c>
      <c r="K1103" s="52">
        <f t="shared" si="44"/>
        <v>19.714949999999998</v>
      </c>
      <c r="L1103" s="14">
        <f t="shared" si="44"/>
        <v>20.438891666666667</v>
      </c>
      <c r="M1103" s="14">
        <f t="shared" si="44"/>
        <v>19.306908333333336</v>
      </c>
      <c r="N1103" s="14">
        <f t="shared" si="44"/>
        <v>19.323958333333334</v>
      </c>
      <c r="O1103" s="14">
        <f t="shared" si="44"/>
        <v>19.502500000000001</v>
      </c>
      <c r="P1103" s="14">
        <f t="shared" si="44"/>
        <v>19.370841666666667</v>
      </c>
      <c r="Q1103" s="14">
        <f t="shared" si="44"/>
        <v>20.097199999999997</v>
      </c>
      <c r="R1103" s="14">
        <f t="shared" si="44"/>
        <v>20.734449999999999</v>
      </c>
      <c r="S1103" s="14">
        <f t="shared" si="44"/>
        <v>18.857808333333331</v>
      </c>
      <c r="T1103" s="48">
        <f>SUM(T409:T420)</f>
        <v>357.33618100000001</v>
      </c>
      <c r="U1103" s="48">
        <f>SUM(U409:U420)</f>
        <v>142.03263249999998</v>
      </c>
      <c r="V1103" s="48">
        <f>SUM(V409:V420)</f>
        <v>50.187500000000007</v>
      </c>
      <c r="W1103" s="48">
        <f>SUM(W409:W420)</f>
        <v>5.0822234999999996</v>
      </c>
      <c r="X1103" s="48">
        <f>SUM(X409:X420)</f>
        <v>20.758966663999999</v>
      </c>
      <c r="Y1103" s="48"/>
      <c r="Z1103" s="54"/>
      <c r="AA1103" s="53"/>
      <c r="AB1103" s="49">
        <f>AVERAGE(AB409:AB420)</f>
        <v>19.684276428605333</v>
      </c>
      <c r="AC1103" s="45">
        <f>AVERAGE(AC409:AC420)</f>
        <v>19.380513669064751</v>
      </c>
    </row>
    <row r="1104" spans="1:29" ht="15.75" x14ac:dyDescent="0.25">
      <c r="A1104" s="10">
        <f t="shared" si="35"/>
        <v>2047</v>
      </c>
      <c r="B1104" s="14">
        <f t="shared" ref="B1104:S1104" si="45">AVERAGE(B421:B432)</f>
        <v>20.396583333333336</v>
      </c>
      <c r="C1104" s="14">
        <f t="shared" si="45"/>
        <v>20.402866666666668</v>
      </c>
      <c r="D1104" s="14">
        <f t="shared" si="45"/>
        <v>20.591891666666665</v>
      </c>
      <c r="E1104" s="14">
        <f t="shared" si="45"/>
        <v>20.624308333333335</v>
      </c>
      <c r="F1104" s="14">
        <f t="shared" si="45"/>
        <v>20.421250000000004</v>
      </c>
      <c r="G1104" s="14">
        <f t="shared" si="45"/>
        <v>20.438616666666668</v>
      </c>
      <c r="H1104" s="14">
        <f t="shared" si="45"/>
        <v>20.613433333333333</v>
      </c>
      <c r="I1104" s="14">
        <f t="shared" si="45"/>
        <v>20.482800000000001</v>
      </c>
      <c r="J1104" s="14">
        <f t="shared" si="45"/>
        <v>20.414249999999999</v>
      </c>
      <c r="K1104" s="52">
        <f t="shared" si="45"/>
        <v>20.478908333333333</v>
      </c>
      <c r="L1104" s="14">
        <f t="shared" si="45"/>
        <v>21.200433333333333</v>
      </c>
      <c r="M1104" s="14">
        <f t="shared" si="45"/>
        <v>20.054766666666669</v>
      </c>
      <c r="N1104" s="14">
        <f t="shared" si="45"/>
        <v>20.071783333333332</v>
      </c>
      <c r="O1104" s="14">
        <f t="shared" si="45"/>
        <v>20.250349999999997</v>
      </c>
      <c r="P1104" s="14">
        <f t="shared" si="45"/>
        <v>20.121008333333332</v>
      </c>
      <c r="Q1104" s="14">
        <f t="shared" si="45"/>
        <v>20.845050000000004</v>
      </c>
      <c r="R1104" s="14">
        <f t="shared" si="45"/>
        <v>21.484174999999997</v>
      </c>
      <c r="S1104" s="14">
        <f t="shared" si="45"/>
        <v>19.589591666666667</v>
      </c>
      <c r="T1104" s="48">
        <f>SUM(T421:T432)</f>
        <v>357.33618100000001</v>
      </c>
      <c r="U1104" s="48">
        <f>SUM(U421:U432)</f>
        <v>142.03263249999998</v>
      </c>
      <c r="V1104" s="48">
        <f>SUM(V421:V432)</f>
        <v>50.187500000000007</v>
      </c>
      <c r="W1104" s="48">
        <f>SUM(W421:W432)</f>
        <v>5.0822234999999996</v>
      </c>
      <c r="X1104" s="48">
        <f>SUM(X421:X432)</f>
        <v>20.758966663999999</v>
      </c>
      <c r="Y1104" s="48"/>
      <c r="Z1104" s="54"/>
      <c r="AA1104" s="53"/>
      <c r="AB1104" s="49">
        <f>AVERAGE(AB421:AB432)</f>
        <v>20.44602085716042</v>
      </c>
      <c r="AC1104" s="45">
        <f>AVERAGE(AC421:AC432)</f>
        <v>20.128695563549158</v>
      </c>
    </row>
    <row r="1105" spans="1:29" ht="15.75" x14ac:dyDescent="0.25">
      <c r="A1105" s="10">
        <f t="shared" si="35"/>
        <v>2048</v>
      </c>
      <c r="B1105" s="14">
        <f t="shared" ref="B1105:S1105" si="46">AVERAGE(B433:B444)</f>
        <v>21.187708333333333</v>
      </c>
      <c r="C1105" s="14">
        <f t="shared" si="46"/>
        <v>21.193974999999998</v>
      </c>
      <c r="D1105" s="14">
        <f t="shared" si="46"/>
        <v>21.382991666666666</v>
      </c>
      <c r="E1105" s="14">
        <f t="shared" si="46"/>
        <v>21.415424999999999</v>
      </c>
      <c r="F1105" s="14">
        <f t="shared" si="46"/>
        <v>21.212350000000001</v>
      </c>
      <c r="G1105" s="14">
        <f t="shared" si="46"/>
        <v>21.229724999999998</v>
      </c>
      <c r="H1105" s="14">
        <f t="shared" si="46"/>
        <v>21.404533333333333</v>
      </c>
      <c r="I1105" s="14">
        <f t="shared" si="46"/>
        <v>21.276358333333334</v>
      </c>
      <c r="J1105" s="14">
        <f t="shared" si="46"/>
        <v>21.205349999999999</v>
      </c>
      <c r="K1105" s="52">
        <f t="shared" si="46"/>
        <v>21.272466666666666</v>
      </c>
      <c r="L1105" s="14">
        <f t="shared" si="46"/>
        <v>21.991533333333333</v>
      </c>
      <c r="M1105" s="14">
        <f t="shared" si="46"/>
        <v>20.831624999999999</v>
      </c>
      <c r="N1105" s="14">
        <f t="shared" si="46"/>
        <v>20.848674999999997</v>
      </c>
      <c r="O1105" s="14">
        <f t="shared" si="46"/>
        <v>21.027233333333331</v>
      </c>
      <c r="P1105" s="14">
        <f t="shared" si="46"/>
        <v>20.900266666666663</v>
      </c>
      <c r="Q1105" s="14">
        <f t="shared" si="46"/>
        <v>21.621933333333331</v>
      </c>
      <c r="R1105" s="14">
        <f t="shared" si="46"/>
        <v>22.262991666666665</v>
      </c>
      <c r="S1105" s="14">
        <f t="shared" si="46"/>
        <v>20.34975833333333</v>
      </c>
      <c r="T1105" s="48">
        <f>SUM(T433:T444)</f>
        <v>358.26753550000001</v>
      </c>
      <c r="U1105" s="48">
        <f>SUM(U433:U444)</f>
        <v>142.42176299999997</v>
      </c>
      <c r="V1105" s="48">
        <f>SUM(V433:V444)</f>
        <v>50.325000000000003</v>
      </c>
      <c r="W1105" s="48">
        <f>SUM(W433:W444)</f>
        <v>5.0961473999999995</v>
      </c>
      <c r="X1105" s="48">
        <f>SUM(X433:X444)</f>
        <v>20.800615543999996</v>
      </c>
      <c r="Y1105" s="48"/>
      <c r="Z1105" s="54"/>
      <c r="AA1105" s="53"/>
      <c r="AB1105" s="49">
        <f>AVERAGE(AB433:AB444)</f>
        <v>21.237331440093254</v>
      </c>
      <c r="AC1105" s="45">
        <f>AVERAGE(AC433:AC444)</f>
        <v>20.905912470023981</v>
      </c>
    </row>
    <row r="1106" spans="1:29" ht="15.75" x14ac:dyDescent="0.25">
      <c r="A1106" s="10">
        <f t="shared" si="35"/>
        <v>2049</v>
      </c>
      <c r="B1106" s="14">
        <f t="shared" ref="B1106:S1106" si="47">AVERAGE(B445:B456)</f>
        <v>22.009508333333333</v>
      </c>
      <c r="C1106" s="14">
        <f t="shared" si="47"/>
        <v>22.015766666666668</v>
      </c>
      <c r="D1106" s="14">
        <f t="shared" si="47"/>
        <v>22.204800000000002</v>
      </c>
      <c r="E1106" s="14">
        <f t="shared" si="47"/>
        <v>22.237208333333339</v>
      </c>
      <c r="F1106" s="14">
        <f t="shared" si="47"/>
        <v>22.034149999999997</v>
      </c>
      <c r="G1106" s="14">
        <f t="shared" si="47"/>
        <v>22.051516666666668</v>
      </c>
      <c r="H1106" s="14">
        <f t="shared" si="47"/>
        <v>22.22634166666667</v>
      </c>
      <c r="I1106" s="14">
        <f t="shared" si="47"/>
        <v>22.100741666666668</v>
      </c>
      <c r="J1106" s="14">
        <f t="shared" si="47"/>
        <v>22.027150000000006</v>
      </c>
      <c r="K1106" s="52">
        <f t="shared" si="47"/>
        <v>22.09685833333333</v>
      </c>
      <c r="L1106" s="14">
        <f t="shared" si="47"/>
        <v>22.81334166666667</v>
      </c>
      <c r="M1106" s="14">
        <f t="shared" si="47"/>
        <v>21.638658333333336</v>
      </c>
      <c r="N1106" s="14">
        <f t="shared" si="47"/>
        <v>21.6557</v>
      </c>
      <c r="O1106" s="14">
        <f t="shared" si="47"/>
        <v>21.834258333333334</v>
      </c>
      <c r="P1106" s="14">
        <f t="shared" si="47"/>
        <v>21.709766666666667</v>
      </c>
      <c r="Q1106" s="14">
        <f t="shared" si="47"/>
        <v>22.42895833333333</v>
      </c>
      <c r="R1106" s="14">
        <f t="shared" si="47"/>
        <v>23.072025</v>
      </c>
      <c r="S1106" s="14">
        <f t="shared" si="47"/>
        <v>21.139416666666666</v>
      </c>
      <c r="T1106" s="48">
        <f>SUM(T445:T456)</f>
        <v>357.33618100000001</v>
      </c>
      <c r="U1106" s="48">
        <f>SUM(U445:U456)</f>
        <v>142.03263249999998</v>
      </c>
      <c r="V1106" s="48">
        <f>SUM(V445:V456)</f>
        <v>50.187500000000007</v>
      </c>
      <c r="W1106" s="48">
        <f>SUM(W445:W456)</f>
        <v>5.0822234999999996</v>
      </c>
      <c r="X1106" s="48">
        <f>SUM(X445:X456)</f>
        <v>20.758966663999999</v>
      </c>
      <c r="Y1106" s="48"/>
      <c r="Z1106" s="54"/>
      <c r="AA1106" s="53"/>
      <c r="AB1106" s="49">
        <f>AVERAGE(AB445:AB456)</f>
        <v>22.059340616182997</v>
      </c>
      <c r="AC1106" s="45">
        <f>AVERAGE(AC445:AC456)</f>
        <v>21.713297901678654</v>
      </c>
    </row>
    <row r="1107" spans="1:29" ht="15.75" x14ac:dyDescent="0.25">
      <c r="A1107" s="10">
        <f t="shared" si="35"/>
        <v>2050</v>
      </c>
      <c r="B1107" s="14">
        <f t="shared" ref="B1107:S1107" si="48">AVERAGE(B457:B468)</f>
        <v>22.863200000000003</v>
      </c>
      <c r="C1107" s="14">
        <f t="shared" si="48"/>
        <v>22.869458333333331</v>
      </c>
      <c r="D1107" s="14">
        <f t="shared" si="48"/>
        <v>23.058491666666669</v>
      </c>
      <c r="E1107" s="14">
        <f t="shared" si="48"/>
        <v>23.090924999999999</v>
      </c>
      <c r="F1107" s="14">
        <f t="shared" si="48"/>
        <v>22.88784166666667</v>
      </c>
      <c r="G1107" s="14">
        <f t="shared" si="48"/>
        <v>22.905208333333334</v>
      </c>
      <c r="H1107" s="14">
        <f t="shared" si="48"/>
        <v>23.080033333333333</v>
      </c>
      <c r="I1107" s="14">
        <f t="shared" si="48"/>
        <v>22.957108333333334</v>
      </c>
      <c r="J1107" s="14">
        <f t="shared" si="48"/>
        <v>22.880841666666669</v>
      </c>
      <c r="K1107" s="52">
        <f t="shared" si="48"/>
        <v>22.953225000000003</v>
      </c>
      <c r="L1107" s="14">
        <f t="shared" si="48"/>
        <v>23.667033333333336</v>
      </c>
      <c r="M1107" s="14">
        <f t="shared" si="48"/>
        <v>22.477</v>
      </c>
      <c r="N1107" s="14">
        <f t="shared" si="48"/>
        <v>22.494050000000001</v>
      </c>
      <c r="O1107" s="14">
        <f t="shared" si="48"/>
        <v>22.672600000000003</v>
      </c>
      <c r="P1107" s="14">
        <f t="shared" si="48"/>
        <v>22.550683333333335</v>
      </c>
      <c r="Q1107" s="14">
        <f t="shared" si="48"/>
        <v>23.267300000000002</v>
      </c>
      <c r="R1107" s="14">
        <f t="shared" si="48"/>
        <v>23.912466666666671</v>
      </c>
      <c r="S1107" s="14">
        <f t="shared" si="48"/>
        <v>21.959741666666662</v>
      </c>
      <c r="T1107" s="48">
        <f>SUM(T457:T468)</f>
        <v>357.33618100000001</v>
      </c>
      <c r="U1107" s="48">
        <f>SUM(U457:U468)</f>
        <v>142.03263249999998</v>
      </c>
      <c r="V1107" s="48">
        <f>SUM(V457:V468)</f>
        <v>50.187500000000007</v>
      </c>
      <c r="W1107" s="48">
        <f>SUM(W457:W468)</f>
        <v>5.0822234999999996</v>
      </c>
      <c r="X1107" s="48">
        <f>SUM(X457:X468)</f>
        <v>20.758966663999999</v>
      </c>
      <c r="Y1107" s="48"/>
      <c r="Z1107" s="54"/>
      <c r="AA1107" s="53"/>
      <c r="AB1107" s="49">
        <f>AVERAGE(AB457:AB468)</f>
        <v>22.91325359255114</v>
      </c>
      <c r="AC1107" s="45">
        <f>AVERAGE(AC457:AC468)</f>
        <v>22.552010551558755</v>
      </c>
    </row>
    <row r="1108" spans="1:29" ht="15.75" x14ac:dyDescent="0.25">
      <c r="A1108" s="10">
        <f t="shared" si="35"/>
        <v>2051</v>
      </c>
      <c r="B1108" s="14">
        <f t="shared" ref="B1108:S1108" si="49">AVERAGE(B469:B480)</f>
        <v>23.750033333333331</v>
      </c>
      <c r="C1108" s="14">
        <f t="shared" si="49"/>
        <v>23.756283333333339</v>
      </c>
      <c r="D1108" s="14">
        <f t="shared" si="49"/>
        <v>23.94530833333333</v>
      </c>
      <c r="E1108" s="14">
        <f t="shared" si="49"/>
        <v>23.977733333333333</v>
      </c>
      <c r="F1108" s="14">
        <f t="shared" si="49"/>
        <v>23.774683333333332</v>
      </c>
      <c r="G1108" s="14">
        <f t="shared" si="49"/>
        <v>23.792041666666666</v>
      </c>
      <c r="H1108" s="14">
        <f t="shared" si="49"/>
        <v>23.966849999999997</v>
      </c>
      <c r="I1108" s="14">
        <f t="shared" si="49"/>
        <v>23.846708333333336</v>
      </c>
      <c r="J1108" s="14">
        <f t="shared" si="49"/>
        <v>23.767683333333327</v>
      </c>
      <c r="K1108" s="52">
        <f t="shared" si="49"/>
        <v>23.842833333333331</v>
      </c>
      <c r="L1108" s="14">
        <f t="shared" si="49"/>
        <v>24.553849999999997</v>
      </c>
      <c r="M1108" s="14">
        <f t="shared" si="49"/>
        <v>23.347874999999998</v>
      </c>
      <c r="N1108" s="14">
        <f t="shared" si="49"/>
        <v>23.364900000000002</v>
      </c>
      <c r="O1108" s="14">
        <f t="shared" si="49"/>
        <v>23.543458333333334</v>
      </c>
      <c r="P1108" s="14">
        <f t="shared" si="49"/>
        <v>23.424250000000001</v>
      </c>
      <c r="Q1108" s="14">
        <f t="shared" si="49"/>
        <v>24.138158333333333</v>
      </c>
      <c r="R1108" s="14">
        <f t="shared" si="49"/>
        <v>24.785516666666666</v>
      </c>
      <c r="S1108" s="14">
        <f t="shared" si="49"/>
        <v>22.811908333333339</v>
      </c>
      <c r="T1108" s="48">
        <f>SUM(T469:T480)</f>
        <v>357.33618100000001</v>
      </c>
      <c r="U1108" s="48">
        <f>SUM(U469:U480)</f>
        <v>142.03263249999998</v>
      </c>
      <c r="V1108" s="48">
        <f>SUM(V469:V480)</f>
        <v>50.187500000000007</v>
      </c>
      <c r="W1108" s="48">
        <f>SUM(W469:W480)</f>
        <v>5.0822234999999996</v>
      </c>
      <c r="X1108" s="48">
        <f>SUM(X469:X480)</f>
        <v>20.758966663999999</v>
      </c>
      <c r="Y1108" s="48"/>
      <c r="Z1108" s="54"/>
      <c r="AA1108" s="53"/>
      <c r="AB1108" s="49">
        <f>AVERAGE(AB469:AB480)</f>
        <v>23.800313026796633</v>
      </c>
      <c r="AC1108" s="45">
        <f>AVERAGE(AC469:AC480)</f>
        <v>23.423262410071942</v>
      </c>
    </row>
    <row r="1109" spans="1:29" ht="15.75" x14ac:dyDescent="0.25">
      <c r="A1109" s="10">
        <f t="shared" si="35"/>
        <v>2052</v>
      </c>
      <c r="B1109" s="14">
        <f t="shared" ref="B1109:S1109" si="50">AVERAGE(B481:B492)</f>
        <v>24.671258333333331</v>
      </c>
      <c r="C1109" s="14">
        <f t="shared" si="50"/>
        <v>24.677524999999999</v>
      </c>
      <c r="D1109" s="14">
        <f t="shared" si="50"/>
        <v>24.866550000000004</v>
      </c>
      <c r="E1109" s="14">
        <f t="shared" si="50"/>
        <v>24.898975000000004</v>
      </c>
      <c r="F1109" s="14">
        <f t="shared" si="50"/>
        <v>24.695924999999999</v>
      </c>
      <c r="G1109" s="14">
        <f t="shared" si="50"/>
        <v>24.713283333333337</v>
      </c>
      <c r="H1109" s="14">
        <f t="shared" si="50"/>
        <v>24.888091666666668</v>
      </c>
      <c r="I1109" s="14">
        <f t="shared" si="50"/>
        <v>24.770833333333329</v>
      </c>
      <c r="J1109" s="14">
        <f t="shared" si="50"/>
        <v>24.688925000000001</v>
      </c>
      <c r="K1109" s="52">
        <f t="shared" si="50"/>
        <v>24.766941666666668</v>
      </c>
      <c r="L1109" s="14">
        <f t="shared" si="50"/>
        <v>25.475091666666671</v>
      </c>
      <c r="M1109" s="14">
        <f t="shared" si="50"/>
        <v>24.252533333333332</v>
      </c>
      <c r="N1109" s="14">
        <f t="shared" si="50"/>
        <v>24.269591666666667</v>
      </c>
      <c r="O1109" s="14">
        <f t="shared" si="50"/>
        <v>24.448141666666661</v>
      </c>
      <c r="P1109" s="14">
        <f t="shared" si="50"/>
        <v>24.331691666666668</v>
      </c>
      <c r="Q1109" s="14">
        <f t="shared" si="50"/>
        <v>25.042841666666671</v>
      </c>
      <c r="R1109" s="14">
        <f t="shared" si="50"/>
        <v>25.692441666666664</v>
      </c>
      <c r="S1109" s="14">
        <f t="shared" si="50"/>
        <v>23.697108333333333</v>
      </c>
      <c r="T1109" s="48">
        <f>SUM(T481:T492)</f>
        <v>358.26753550000001</v>
      </c>
      <c r="U1109" s="48">
        <f>SUM(U481:U492)</f>
        <v>142.42176299999997</v>
      </c>
      <c r="V1109" s="48">
        <f>SUM(V481:V492)</f>
        <v>50.325000000000003</v>
      </c>
      <c r="W1109" s="48">
        <f>SUM(W481:W492)</f>
        <v>5.0961473999999995</v>
      </c>
      <c r="X1109" s="48">
        <f>SUM(X481:X492)</f>
        <v>20.800615543999996</v>
      </c>
      <c r="Y1109" s="48"/>
      <c r="Z1109" s="54"/>
      <c r="AA1109" s="53"/>
      <c r="AB1109" s="49">
        <f>AVERAGE(AB481:AB492)</f>
        <v>24.721790261635608</v>
      </c>
      <c r="AC1109" s="45">
        <f>AVERAGE(AC481:AC492)</f>
        <v>24.328334472422068</v>
      </c>
    </row>
    <row r="1110" spans="1:29" ht="15.75" x14ac:dyDescent="0.25">
      <c r="A1110" s="10">
        <f t="shared" si="35"/>
        <v>2053</v>
      </c>
      <c r="B1110" s="14">
        <f t="shared" ref="B1110:S1110" si="51">AVERAGE(B493:B504)</f>
        <v>25.628241666666668</v>
      </c>
      <c r="C1110" s="14">
        <f t="shared" si="51"/>
        <v>25.63451666666667</v>
      </c>
      <c r="D1110" s="14">
        <f t="shared" si="51"/>
        <v>25.823533333333334</v>
      </c>
      <c r="E1110" s="14">
        <f t="shared" si="51"/>
        <v>25.855975000000001</v>
      </c>
      <c r="F1110" s="14">
        <f t="shared" si="51"/>
        <v>25.652908333333333</v>
      </c>
      <c r="G1110" s="14">
        <f t="shared" si="51"/>
        <v>25.670266666666667</v>
      </c>
      <c r="H1110" s="14">
        <f t="shared" si="51"/>
        <v>25.845074999999994</v>
      </c>
      <c r="I1110" s="14">
        <f t="shared" si="51"/>
        <v>25.730833333333337</v>
      </c>
      <c r="J1110" s="14">
        <f t="shared" si="51"/>
        <v>25.645908333333335</v>
      </c>
      <c r="K1110" s="52">
        <f t="shared" si="51"/>
        <v>25.726949999999999</v>
      </c>
      <c r="L1110" s="14">
        <f t="shared" si="51"/>
        <v>26.432074999999998</v>
      </c>
      <c r="M1110" s="14">
        <f t="shared" si="51"/>
        <v>25.192299999999999</v>
      </c>
      <c r="N1110" s="14">
        <f t="shared" si="51"/>
        <v>25.209350000000001</v>
      </c>
      <c r="O1110" s="14">
        <f t="shared" si="51"/>
        <v>25.387900000000002</v>
      </c>
      <c r="P1110" s="14">
        <f t="shared" si="51"/>
        <v>25.274341666666668</v>
      </c>
      <c r="Q1110" s="14">
        <f t="shared" si="51"/>
        <v>25.982600000000001</v>
      </c>
      <c r="R1110" s="14">
        <f t="shared" si="51"/>
        <v>26.634574999999998</v>
      </c>
      <c r="S1110" s="14">
        <f t="shared" si="51"/>
        <v>24.616675000000004</v>
      </c>
      <c r="T1110" s="48">
        <f>SUM(T493:T504)</f>
        <v>357.33618100000001</v>
      </c>
      <c r="U1110" s="48">
        <f>SUM(U493:U504)</f>
        <v>142.03263249999998</v>
      </c>
      <c r="V1110" s="48">
        <f>SUM(V493:V504)</f>
        <v>50.187500000000007</v>
      </c>
      <c r="W1110" s="48">
        <f>SUM(W493:W504)</f>
        <v>5.0822234999999996</v>
      </c>
      <c r="X1110" s="48">
        <f>SUM(X493:X504)</f>
        <v>20.758966663999999</v>
      </c>
      <c r="Y1110" s="48"/>
      <c r="Z1110" s="54"/>
      <c r="AA1110" s="53"/>
      <c r="AB1110" s="49">
        <f>AVERAGE(AB493:AB504)</f>
        <v>25.679025135646057</v>
      </c>
      <c r="AC1110" s="45">
        <f>AVERAGE(AC493:AC504)</f>
        <v>25.268511750599519</v>
      </c>
    </row>
    <row r="1111" spans="1:29" ht="15.75" x14ac:dyDescent="0.25">
      <c r="A1111" s="10">
        <f t="shared" si="35"/>
        <v>2054</v>
      </c>
      <c r="B1111" s="14">
        <f t="shared" ref="B1111:S1111" si="52">AVERAGE(B505:B516)</f>
        <v>26.622374999999995</v>
      </c>
      <c r="C1111" s="14">
        <f t="shared" si="52"/>
        <v>26.628650000000004</v>
      </c>
      <c r="D1111" s="14">
        <f t="shared" si="52"/>
        <v>26.817683333333335</v>
      </c>
      <c r="E1111" s="14">
        <f t="shared" si="52"/>
        <v>26.850108333333338</v>
      </c>
      <c r="F1111" s="14">
        <f t="shared" si="52"/>
        <v>26.647041666666663</v>
      </c>
      <c r="G1111" s="14">
        <f t="shared" si="52"/>
        <v>26.664391666666663</v>
      </c>
      <c r="H1111" s="14">
        <f t="shared" si="52"/>
        <v>26.839208333333332</v>
      </c>
      <c r="I1111" s="14">
        <f t="shared" si="52"/>
        <v>26.728075</v>
      </c>
      <c r="J1111" s="14">
        <f t="shared" si="52"/>
        <v>26.640041666666662</v>
      </c>
      <c r="K1111" s="52">
        <f t="shared" si="52"/>
        <v>26.724174999999999</v>
      </c>
      <c r="L1111" s="14">
        <f t="shared" si="52"/>
        <v>27.426208333333335</v>
      </c>
      <c r="M1111" s="14">
        <f t="shared" si="52"/>
        <v>26.168575000000001</v>
      </c>
      <c r="N1111" s="14">
        <f t="shared" si="52"/>
        <v>26.185599999999997</v>
      </c>
      <c r="O1111" s="14">
        <f t="shared" si="52"/>
        <v>26.364149999999999</v>
      </c>
      <c r="P1111" s="14">
        <f t="shared" si="52"/>
        <v>26.253608333333336</v>
      </c>
      <c r="Q1111" s="14">
        <f t="shared" si="52"/>
        <v>26.958849999999998</v>
      </c>
      <c r="R1111" s="14">
        <f t="shared" si="52"/>
        <v>27.613258333333331</v>
      </c>
      <c r="S1111" s="14">
        <f t="shared" si="52"/>
        <v>25.571933333333334</v>
      </c>
      <c r="T1111" s="48">
        <f>SUM(T505:T516)</f>
        <v>357.33618100000001</v>
      </c>
      <c r="U1111" s="48">
        <f>SUM(U505:U516)</f>
        <v>142.03263249999998</v>
      </c>
      <c r="V1111" s="48">
        <f>SUM(V505:V516)</f>
        <v>50.187500000000007</v>
      </c>
      <c r="W1111" s="48">
        <f>SUM(W505:W516)</f>
        <v>5.0822234999999996</v>
      </c>
      <c r="X1111" s="48">
        <f>SUM(X505:X516)</f>
        <v>20.758966663999999</v>
      </c>
      <c r="Y1111" s="48"/>
      <c r="Z1111" s="51"/>
      <c r="AA1111" s="50"/>
      <c r="AB1111" s="49">
        <f>AVERAGE(AB505:AB516)</f>
        <v>26.673414719272618</v>
      </c>
      <c r="AC1111" s="45">
        <f>AVERAGE(AC505:AC516)</f>
        <v>26.245207314148683</v>
      </c>
    </row>
    <row r="1112" spans="1:29" ht="15.75" x14ac:dyDescent="0.25">
      <c r="A1112" s="10">
        <f t="shared" si="35"/>
        <v>2055</v>
      </c>
      <c r="B1112" s="14">
        <f t="shared" ref="B1112:S1112" si="53">AVERAGE(B517:B528)</f>
        <v>27.655075</v>
      </c>
      <c r="C1112" s="14">
        <f t="shared" si="53"/>
        <v>27.661358333333336</v>
      </c>
      <c r="D1112" s="14">
        <f t="shared" si="53"/>
        <v>27.850375</v>
      </c>
      <c r="E1112" s="14">
        <f t="shared" si="53"/>
        <v>27.88280833333334</v>
      </c>
      <c r="F1112" s="14">
        <f t="shared" si="53"/>
        <v>27.679741666666661</v>
      </c>
      <c r="G1112" s="14">
        <f t="shared" si="53"/>
        <v>27.697083333333339</v>
      </c>
      <c r="H1112" s="14">
        <f t="shared" si="53"/>
        <v>27.871916666666667</v>
      </c>
      <c r="I1112" s="14">
        <f t="shared" si="53"/>
        <v>27.764008333333333</v>
      </c>
      <c r="J1112" s="14">
        <f t="shared" si="53"/>
        <v>27.672741666666671</v>
      </c>
      <c r="K1112" s="52">
        <f t="shared" si="53"/>
        <v>27.760116666666672</v>
      </c>
      <c r="L1112" s="14">
        <f t="shared" si="53"/>
        <v>28.458916666666667</v>
      </c>
      <c r="M1112" s="14">
        <f t="shared" si="53"/>
        <v>27.182683333333333</v>
      </c>
      <c r="N1112" s="14">
        <f t="shared" si="53"/>
        <v>27.199725000000001</v>
      </c>
      <c r="O1112" s="14">
        <f t="shared" si="53"/>
        <v>27.378299999999996</v>
      </c>
      <c r="P1112" s="14">
        <f t="shared" si="53"/>
        <v>27.270849999999999</v>
      </c>
      <c r="Q1112" s="14">
        <f t="shared" si="53"/>
        <v>27.972999999999995</v>
      </c>
      <c r="R1112" s="14">
        <f t="shared" si="53"/>
        <v>28.629933333333337</v>
      </c>
      <c r="S1112" s="14">
        <f t="shared" si="53"/>
        <v>26.564249999999998</v>
      </c>
      <c r="T1112" s="48">
        <f>SUM(T517:T528)</f>
        <v>357.33618100000001</v>
      </c>
      <c r="U1112" s="48">
        <f>SUM(U517:U528)</f>
        <v>142.03263249999998</v>
      </c>
      <c r="V1112" s="48">
        <f>SUM(V517:V528)</f>
        <v>50.187500000000007</v>
      </c>
      <c r="W1112" s="48">
        <f>SUM(W517:W528)</f>
        <v>5.0822234999999996</v>
      </c>
      <c r="X1112" s="48">
        <f>SUM(X517:X528)</f>
        <v>20.758966663999999</v>
      </c>
      <c r="Y1112" s="48"/>
      <c r="Z1112" s="51"/>
      <c r="AA1112" s="50"/>
      <c r="AB1112" s="49">
        <f>AVERAGE(AB517:AB528)</f>
        <v>27.706380971502156</v>
      </c>
      <c r="AC1112" s="45">
        <f>AVERAGE(AC517:AC528)</f>
        <v>27.259780575539565</v>
      </c>
    </row>
    <row r="1113" spans="1:29" ht="15.75" x14ac:dyDescent="0.25">
      <c r="A1113" s="10">
        <f t="shared" si="35"/>
        <v>2056</v>
      </c>
      <c r="B1113" s="14">
        <f t="shared" ref="B1113:S1113" si="54">AVERAGE(B529:B540)</f>
        <v>28.727875000000001</v>
      </c>
      <c r="C1113" s="14">
        <f t="shared" si="54"/>
        <v>28.73414166666667</v>
      </c>
      <c r="D1113" s="14">
        <f t="shared" si="54"/>
        <v>28.923158333333337</v>
      </c>
      <c r="E1113" s="14">
        <f t="shared" si="54"/>
        <v>28.95555833333334</v>
      </c>
      <c r="F1113" s="14">
        <f t="shared" si="54"/>
        <v>28.752525000000002</v>
      </c>
      <c r="G1113" s="14">
        <f t="shared" si="54"/>
        <v>28.769874999999995</v>
      </c>
      <c r="H1113" s="14">
        <f t="shared" si="54"/>
        <v>28.944700000000001</v>
      </c>
      <c r="I1113" s="14">
        <f t="shared" si="54"/>
        <v>28.840149999999998</v>
      </c>
      <c r="J1113" s="14">
        <f t="shared" si="54"/>
        <v>28.745525000000001</v>
      </c>
      <c r="K1113" s="52">
        <f t="shared" si="54"/>
        <v>28.836266666666663</v>
      </c>
      <c r="L1113" s="14">
        <f t="shared" si="54"/>
        <v>29.531700000000001</v>
      </c>
      <c r="M1113" s="14">
        <f t="shared" si="54"/>
        <v>28.236183333333329</v>
      </c>
      <c r="N1113" s="14">
        <f t="shared" si="54"/>
        <v>28.253208333333333</v>
      </c>
      <c r="O1113" s="14">
        <f t="shared" si="54"/>
        <v>28.431766666666665</v>
      </c>
      <c r="P1113" s="14">
        <f t="shared" si="54"/>
        <v>28.327566666666669</v>
      </c>
      <c r="Q1113" s="14">
        <f t="shared" si="54"/>
        <v>29.026466666666668</v>
      </c>
      <c r="R1113" s="14">
        <f t="shared" si="54"/>
        <v>29.686041666666664</v>
      </c>
      <c r="S1113" s="14">
        <f t="shared" si="54"/>
        <v>27.595108333333332</v>
      </c>
      <c r="T1113" s="48">
        <f>SUM(T529:T540)</f>
        <v>358.26753550000001</v>
      </c>
      <c r="U1113" s="48">
        <f>SUM(U529:U540)</f>
        <v>142.42176299999997</v>
      </c>
      <c r="V1113" s="48">
        <f>SUM(V529:V540)</f>
        <v>50.325000000000003</v>
      </c>
      <c r="W1113" s="48">
        <f>SUM(W529:W540)</f>
        <v>5.0961473999999995</v>
      </c>
      <c r="X1113" s="48">
        <f>SUM(X529:X540)</f>
        <v>20.800615543999996</v>
      </c>
      <c r="Y1113" s="48"/>
      <c r="Z1113" s="51"/>
      <c r="AA1113" s="50"/>
      <c r="AB1113" s="49">
        <f>AVERAGE(AB529:AB540)</f>
        <v>28.779442739085312</v>
      </c>
      <c r="AC1113" s="45">
        <f>AVERAGE(AC529:AC540)</f>
        <v>28.313730215827334</v>
      </c>
    </row>
    <row r="1114" spans="1:29" ht="15.75" x14ac:dyDescent="0.25">
      <c r="A1114" s="10">
        <f t="shared" si="35"/>
        <v>2057</v>
      </c>
      <c r="B1114" s="14">
        <f t="shared" ref="B1114:S1114" si="55">AVERAGE(B541:B552)</f>
        <v>29.842283333333327</v>
      </c>
      <c r="C1114" s="14">
        <f t="shared" si="55"/>
        <v>29.848541666666666</v>
      </c>
      <c r="D1114" s="14">
        <f t="shared" si="55"/>
        <v>30.037575000000004</v>
      </c>
      <c r="E1114" s="14">
        <f t="shared" si="55"/>
        <v>30.06998333333334</v>
      </c>
      <c r="F1114" s="14">
        <f t="shared" si="55"/>
        <v>29.866933333333336</v>
      </c>
      <c r="G1114" s="14">
        <f t="shared" si="55"/>
        <v>29.884291666666666</v>
      </c>
      <c r="H1114" s="14">
        <f t="shared" si="55"/>
        <v>30.059116666666668</v>
      </c>
      <c r="I1114" s="14">
        <f t="shared" si="55"/>
        <v>29.958033333333336</v>
      </c>
      <c r="J1114" s="14">
        <f t="shared" si="55"/>
        <v>29.859933333333331</v>
      </c>
      <c r="K1114" s="52">
        <f t="shared" si="55"/>
        <v>29.954158333333329</v>
      </c>
      <c r="L1114" s="14">
        <f t="shared" si="55"/>
        <v>30.646116666666661</v>
      </c>
      <c r="M1114" s="14">
        <f t="shared" si="55"/>
        <v>29.330541666666665</v>
      </c>
      <c r="N1114" s="14">
        <f t="shared" si="55"/>
        <v>29.347583333333329</v>
      </c>
      <c r="O1114" s="14">
        <f t="shared" si="55"/>
        <v>29.526125000000004</v>
      </c>
      <c r="P1114" s="14">
        <f t="shared" si="55"/>
        <v>29.425316666666671</v>
      </c>
      <c r="Q1114" s="14">
        <f t="shared" si="55"/>
        <v>30.120825</v>
      </c>
      <c r="R1114" s="14">
        <f t="shared" si="55"/>
        <v>30.783150000000003</v>
      </c>
      <c r="S1114" s="14">
        <f t="shared" si="55"/>
        <v>28.665925000000001</v>
      </c>
      <c r="T1114" s="48">
        <f>SUM(T541:T552)</f>
        <v>357.33618100000001</v>
      </c>
      <c r="U1114" s="48">
        <f>SUM(U541:U552)</f>
        <v>142.03263249999998</v>
      </c>
      <c r="V1114" s="48">
        <f>SUM(V541:V552)</f>
        <v>50.187500000000007</v>
      </c>
      <c r="W1114" s="48">
        <f>SUM(W541:W552)</f>
        <v>5.0822234999999996</v>
      </c>
      <c r="X1114" s="48">
        <f>SUM(X541:X552)</f>
        <v>20.758966663999999</v>
      </c>
      <c r="Y1114" s="48"/>
      <c r="Z1114" s="51"/>
      <c r="AA1114" s="50"/>
      <c r="AB1114" s="49">
        <f>AVERAGE(AB541:AB552)</f>
        <v>29.894138492404618</v>
      </c>
      <c r="AC1114" s="45">
        <f>AVERAGE(AC541:AC552)</f>
        <v>29.408578956834535</v>
      </c>
    </row>
    <row r="1115" spans="1:29" ht="15.75" x14ac:dyDescent="0.25">
      <c r="A1115" s="10">
        <f t="shared" si="35"/>
        <v>2058</v>
      </c>
      <c r="B1115" s="14">
        <f t="shared" ref="B1115:S1115" si="56">AVERAGE(B553:B564)</f>
        <v>30.999925000000001</v>
      </c>
      <c r="C1115" s="14">
        <f t="shared" si="56"/>
        <v>31.006200000000003</v>
      </c>
      <c r="D1115" s="14">
        <f t="shared" si="56"/>
        <v>31.195233333333334</v>
      </c>
      <c r="E1115" s="14">
        <f t="shared" si="56"/>
        <v>31.227658333333334</v>
      </c>
      <c r="F1115" s="14">
        <f t="shared" si="56"/>
        <v>31.024574999999999</v>
      </c>
      <c r="G1115" s="14">
        <f t="shared" si="56"/>
        <v>31.041933333333336</v>
      </c>
      <c r="H1115" s="14">
        <f t="shared" si="56"/>
        <v>31.216775000000002</v>
      </c>
      <c r="I1115" s="14">
        <f t="shared" si="56"/>
        <v>31.119333333333334</v>
      </c>
      <c r="J1115" s="14">
        <f t="shared" si="56"/>
        <v>31.017574999999994</v>
      </c>
      <c r="K1115" s="52">
        <f t="shared" si="56"/>
        <v>31.115449999999999</v>
      </c>
      <c r="L1115" s="14">
        <f t="shared" si="56"/>
        <v>31.803775000000002</v>
      </c>
      <c r="M1115" s="14">
        <f t="shared" si="56"/>
        <v>30.467366666666663</v>
      </c>
      <c r="N1115" s="14">
        <f t="shared" si="56"/>
        <v>30.484408333333334</v>
      </c>
      <c r="O1115" s="14">
        <f t="shared" si="56"/>
        <v>30.662966666666662</v>
      </c>
      <c r="P1115" s="14">
        <f t="shared" si="56"/>
        <v>30.565650000000005</v>
      </c>
      <c r="Q1115" s="14">
        <f t="shared" si="56"/>
        <v>31.257666666666665</v>
      </c>
      <c r="R1115" s="14">
        <f t="shared" si="56"/>
        <v>31.922800000000006</v>
      </c>
      <c r="S1115" s="14">
        <f t="shared" si="56"/>
        <v>29.778325000000006</v>
      </c>
      <c r="T1115" s="48">
        <f>SUM(T553:T564)</f>
        <v>357.33618100000001</v>
      </c>
      <c r="U1115" s="48">
        <f>SUM(U553:U564)</f>
        <v>142.03263249999998</v>
      </c>
      <c r="V1115" s="48">
        <f>SUM(V553:V564)</f>
        <v>50.187500000000007</v>
      </c>
      <c r="W1115" s="48">
        <f>SUM(W553:W564)</f>
        <v>5.0822234999999996</v>
      </c>
      <c r="X1115" s="48">
        <f>SUM(X553:X564)</f>
        <v>20.758966663999999</v>
      </c>
      <c r="Y1115" s="48"/>
      <c r="Z1115" s="51"/>
      <c r="AA1115" s="50"/>
      <c r="AB1115" s="49">
        <f>AVERAGE(AB553:AB564)</f>
        <v>31.052088419344329</v>
      </c>
      <c r="AC1115" s="45">
        <f>AVERAGE(AC553:AC564)</f>
        <v>30.545914868105516</v>
      </c>
    </row>
    <row r="1116" spans="1:29" ht="15.75" x14ac:dyDescent="0.25">
      <c r="A1116" s="10">
        <f t="shared" si="35"/>
        <v>2059</v>
      </c>
      <c r="B1116" s="14">
        <f t="shared" ref="B1116:S1116" si="57">AVERAGE(B565:B576)</f>
        <v>32.202525000000001</v>
      </c>
      <c r="C1116" s="14">
        <f t="shared" si="57"/>
        <v>32.208775000000003</v>
      </c>
      <c r="D1116" s="14">
        <f t="shared" si="57"/>
        <v>32.397800000000004</v>
      </c>
      <c r="E1116" s="14">
        <f t="shared" si="57"/>
        <v>32.430225</v>
      </c>
      <c r="F1116" s="14">
        <f t="shared" si="57"/>
        <v>32.227166666666669</v>
      </c>
      <c r="G1116" s="14">
        <f t="shared" si="57"/>
        <v>32.244524999999996</v>
      </c>
      <c r="H1116" s="14">
        <f t="shared" si="57"/>
        <v>32.419341666666668</v>
      </c>
      <c r="I1116" s="14">
        <f t="shared" si="57"/>
        <v>32.325675000000004</v>
      </c>
      <c r="J1116" s="14">
        <f t="shared" si="57"/>
        <v>32.220166666666671</v>
      </c>
      <c r="K1116" s="52">
        <f t="shared" si="57"/>
        <v>32.321783333333329</v>
      </c>
      <c r="L1116" s="14">
        <f t="shared" si="57"/>
        <v>33.006341666666664</v>
      </c>
      <c r="M1116" s="14">
        <f t="shared" si="57"/>
        <v>31.648333333333337</v>
      </c>
      <c r="N1116" s="14">
        <f t="shared" si="57"/>
        <v>31.66535833333333</v>
      </c>
      <c r="O1116" s="14">
        <f t="shared" si="57"/>
        <v>31.843916666666662</v>
      </c>
      <c r="P1116" s="14">
        <f t="shared" si="57"/>
        <v>31.75023333333333</v>
      </c>
      <c r="Q1116" s="14">
        <f t="shared" si="57"/>
        <v>32.438616666666668</v>
      </c>
      <c r="R1116" s="14">
        <f t="shared" si="57"/>
        <v>33.106733333333331</v>
      </c>
      <c r="S1116" s="14">
        <f t="shared" si="57"/>
        <v>30.933883333333331</v>
      </c>
      <c r="T1116" s="48">
        <f>SUM(T565:T576)</f>
        <v>357.33618100000001</v>
      </c>
      <c r="U1116" s="48">
        <f>SUM(U565:U576)</f>
        <v>142.03263249999998</v>
      </c>
      <c r="V1116" s="48">
        <f>SUM(V565:V576)</f>
        <v>50.187500000000007</v>
      </c>
      <c r="W1116" s="48">
        <f>SUM(W565:W576)</f>
        <v>5.0822234999999996</v>
      </c>
      <c r="X1116" s="48">
        <f>SUM(X565:X576)</f>
        <v>20.758966663999999</v>
      </c>
      <c r="Y1116" s="48"/>
      <c r="Z1116" s="14"/>
      <c r="AA1116" s="14"/>
      <c r="AB1116" s="49">
        <f>AVERAGE(AB565:AB576)</f>
        <v>32.254982388331982</v>
      </c>
      <c r="AC1116" s="45">
        <f>AVERAGE(AC565:AC576)</f>
        <v>31.727393405275777</v>
      </c>
    </row>
    <row r="1117" spans="1:29" ht="15.75" x14ac:dyDescent="0.25">
      <c r="A1117" s="10">
        <f t="shared" si="35"/>
        <v>2060</v>
      </c>
      <c r="B1117" s="14">
        <f t="shared" ref="B1117:S1117" si="58">AVERAGE(B577:B588)</f>
        <v>33.451758333333331</v>
      </c>
      <c r="C1117" s="14">
        <f t="shared" si="58"/>
        <v>33.458033333333333</v>
      </c>
      <c r="D1117" s="14">
        <f t="shared" si="58"/>
        <v>33.647041666666667</v>
      </c>
      <c r="E1117" s="14">
        <f t="shared" si="58"/>
        <v>33.679475000000004</v>
      </c>
      <c r="F1117" s="14">
        <f t="shared" si="58"/>
        <v>33.476424999999992</v>
      </c>
      <c r="G1117" s="14">
        <f t="shared" si="58"/>
        <v>33.493774999999999</v>
      </c>
      <c r="H1117" s="14">
        <f t="shared" si="58"/>
        <v>33.668583333333331</v>
      </c>
      <c r="I1117" s="14">
        <f t="shared" si="58"/>
        <v>33.578841666666662</v>
      </c>
      <c r="J1117" s="14">
        <f t="shared" si="58"/>
        <v>33.469424999999994</v>
      </c>
      <c r="K1117" s="52">
        <f t="shared" si="58"/>
        <v>33.574950000000001</v>
      </c>
      <c r="L1117" s="14">
        <f t="shared" si="58"/>
        <v>34.255583333333334</v>
      </c>
      <c r="M1117" s="14">
        <f t="shared" si="58"/>
        <v>32.875116666666663</v>
      </c>
      <c r="N1117" s="14">
        <f t="shared" si="58"/>
        <v>32.892141666666667</v>
      </c>
      <c r="O1117" s="14">
        <f t="shared" si="58"/>
        <v>33.070708333333336</v>
      </c>
      <c r="P1117" s="14">
        <f t="shared" si="58"/>
        <v>32.980791666666669</v>
      </c>
      <c r="Q1117" s="14">
        <f t="shared" si="58"/>
        <v>33.665408333333332</v>
      </c>
      <c r="R1117" s="14">
        <f t="shared" si="58"/>
        <v>34.336566666666663</v>
      </c>
      <c r="S1117" s="14">
        <f t="shared" si="58"/>
        <v>32.134291666666662</v>
      </c>
      <c r="T1117" s="48">
        <f>SUM(T577:T588)</f>
        <v>358.26753550000001</v>
      </c>
      <c r="U1117" s="48">
        <f>SUM(U577:U588)</f>
        <v>142.42176299999997</v>
      </c>
      <c r="V1117" s="48">
        <f>SUM(V577:V588)</f>
        <v>50.325000000000003</v>
      </c>
      <c r="W1117" s="48">
        <f>SUM(W577:W588)</f>
        <v>5.0961473999999995</v>
      </c>
      <c r="X1117" s="48">
        <f>SUM(X577:X588)</f>
        <v>20.800615543999996</v>
      </c>
      <c r="Y1117" s="48"/>
      <c r="Z1117" s="51"/>
      <c r="AA1117" s="50"/>
      <c r="AB1117" s="49">
        <f>AVERAGE(AB577:AB588)</f>
        <v>33.504556171772805</v>
      </c>
      <c r="AC1117" s="45">
        <f>AVERAGE(AC577:AC588)</f>
        <v>32.95472368105515</v>
      </c>
    </row>
    <row r="1118" spans="1:29" ht="15.75" x14ac:dyDescent="0.25">
      <c r="A1118" s="10">
        <f t="shared" si="35"/>
        <v>2061</v>
      </c>
      <c r="B1118" s="14">
        <f t="shared" ref="B1118:S1118" si="59">AVERAGE(B589:B600)</f>
        <v>34.749500000000005</v>
      </c>
      <c r="C1118" s="14">
        <f t="shared" si="59"/>
        <v>34.755750000000006</v>
      </c>
      <c r="D1118" s="14">
        <f t="shared" si="59"/>
        <v>34.944791666666667</v>
      </c>
      <c r="E1118" s="14">
        <f t="shared" si="59"/>
        <v>34.977224999999997</v>
      </c>
      <c r="F1118" s="14">
        <f t="shared" si="59"/>
        <v>34.774149999999999</v>
      </c>
      <c r="G1118" s="14">
        <f t="shared" si="59"/>
        <v>34.79150833333334</v>
      </c>
      <c r="H1118" s="14">
        <f t="shared" si="59"/>
        <v>34.966333333333338</v>
      </c>
      <c r="I1118" s="14">
        <f t="shared" si="59"/>
        <v>34.880633333333328</v>
      </c>
      <c r="J1118" s="14">
        <f t="shared" si="59"/>
        <v>34.767150000000008</v>
      </c>
      <c r="K1118" s="52">
        <f t="shared" si="59"/>
        <v>34.876741666666668</v>
      </c>
      <c r="L1118" s="14">
        <f t="shared" si="59"/>
        <v>35.553333333333335</v>
      </c>
      <c r="M1118" s="14">
        <f t="shared" si="59"/>
        <v>34.149499999999996</v>
      </c>
      <c r="N1118" s="14">
        <f t="shared" si="59"/>
        <v>34.166533333333327</v>
      </c>
      <c r="O1118" s="14">
        <f t="shared" si="59"/>
        <v>34.345108333333329</v>
      </c>
      <c r="P1118" s="14">
        <f t="shared" si="59"/>
        <v>34.259083333333336</v>
      </c>
      <c r="Q1118" s="14">
        <f t="shared" si="59"/>
        <v>34.939808333333332</v>
      </c>
      <c r="R1118" s="14">
        <f t="shared" si="59"/>
        <v>35.614141666666661</v>
      </c>
      <c r="S1118" s="14">
        <f t="shared" si="59"/>
        <v>33.381283333333329</v>
      </c>
      <c r="T1118" s="48">
        <f>SUM(T589:T600)</f>
        <v>357.33618100000001</v>
      </c>
      <c r="U1118" s="48">
        <f>SUM(U589:U600)</f>
        <v>142.03263249999998</v>
      </c>
      <c r="V1118" s="48">
        <f>SUM(V589:V600)</f>
        <v>50.187500000000007</v>
      </c>
      <c r="W1118" s="48">
        <f>SUM(W589:W600)</f>
        <v>5.0822234999999996</v>
      </c>
      <c r="X1118" s="48">
        <f>SUM(X589:X600)</f>
        <v>20.758966663999999</v>
      </c>
      <c r="Y1118" s="48"/>
      <c r="Z1118" s="51"/>
      <c r="AA1118" s="50"/>
      <c r="AB1118" s="49">
        <f>AVERAGE(AB589:AB600)</f>
        <v>34.802622089071406</v>
      </c>
      <c r="AC1118" s="45">
        <f>AVERAGE(AC589:AC600)</f>
        <v>34.229675959232615</v>
      </c>
    </row>
    <row r="1119" spans="1:29" ht="15" x14ac:dyDescent="0.2">
      <c r="A1119" s="10">
        <f t="shared" si="35"/>
        <v>2062</v>
      </c>
      <c r="B1119" s="14">
        <f t="shared" ref="B1119:K1128" ca="1" si="60">AVERAGE(OFFSET(B$601,($A1119-$A$1119)*12,0,12,1))</f>
        <v>36.097591666666666</v>
      </c>
      <c r="C1119" s="14">
        <f t="shared" ca="1" si="60"/>
        <v>36.103858333333342</v>
      </c>
      <c r="D1119" s="14">
        <f t="shared" ca="1" si="60"/>
        <v>36.292883333333329</v>
      </c>
      <c r="E1119" s="14">
        <f t="shared" ca="1" si="60"/>
        <v>36.325300000000006</v>
      </c>
      <c r="F1119" s="14">
        <f t="shared" ca="1" si="60"/>
        <v>36.122241666666667</v>
      </c>
      <c r="G1119" s="14">
        <f t="shared" ca="1" si="60"/>
        <v>36.139608333333335</v>
      </c>
      <c r="H1119" s="14">
        <f t="shared" ca="1" si="60"/>
        <v>36.314425</v>
      </c>
      <c r="I1119" s="14">
        <f t="shared" ca="1" si="60"/>
        <v>36.232958333333336</v>
      </c>
      <c r="J1119" s="14">
        <f t="shared" ca="1" si="60"/>
        <v>36.115241666666662</v>
      </c>
      <c r="K1119" s="14">
        <f t="shared" ca="1" si="60"/>
        <v>36.229066666666661</v>
      </c>
      <c r="L1119" s="14">
        <f t="shared" ref="L1119:S1128" ca="1" si="61">AVERAGE(OFFSET(L$601,($A1119-$A$1119)*12,0,12,1))</f>
        <v>36.901424999999996</v>
      </c>
      <c r="M1119" s="14">
        <f t="shared" ca="1" si="61"/>
        <v>35.473333333333336</v>
      </c>
      <c r="N1119" s="14">
        <f t="shared" ca="1" si="61"/>
        <v>35.490383333333334</v>
      </c>
      <c r="O1119" s="14">
        <f t="shared" ca="1" si="61"/>
        <v>35.668933333333335</v>
      </c>
      <c r="P1119" s="14">
        <f t="shared" ca="1" si="61"/>
        <v>35.587008333333337</v>
      </c>
      <c r="Q1119" s="14">
        <f t="shared" ca="1" si="61"/>
        <v>36.263633333333331</v>
      </c>
      <c r="R1119" s="14">
        <f t="shared" ca="1" si="61"/>
        <v>36.941308333333339</v>
      </c>
      <c r="S1119" s="14">
        <f t="shared" ca="1" si="61"/>
        <v>34.676658333333336</v>
      </c>
      <c r="T1119" s="48">
        <f t="shared" ref="T1119:X1128" ca="1" si="62">SUM(OFFSET(T$601,($A1119-$A$1119)*12,0,12,1))</f>
        <v>357.33618100000001</v>
      </c>
      <c r="U1119" s="48">
        <f t="shared" ca="1" si="62"/>
        <v>142.03263249999998</v>
      </c>
      <c r="V1119" s="48">
        <f t="shared" ca="1" si="62"/>
        <v>50.187500000000007</v>
      </c>
      <c r="W1119" s="48">
        <f t="shared" ca="1" si="62"/>
        <v>5.0822234999999996</v>
      </c>
      <c r="X1119" s="48">
        <f t="shared" ca="1" si="62"/>
        <v>20.758966663999999</v>
      </c>
      <c r="Y1119" s="14"/>
      <c r="Z1119" s="14"/>
      <c r="AA1119" s="14"/>
      <c r="AB1119" s="14">
        <f t="shared" ref="AB1119:AC1138" ca="1" si="63">AVERAGE(OFFSET(AB$601,($A1119-$A$1119)*12,0,12,1))</f>
        <v>36.151066848501252</v>
      </c>
      <c r="AC1119" s="14">
        <f t="shared" ca="1" si="63"/>
        <v>35.579323980815346</v>
      </c>
    </row>
    <row r="1120" spans="1:29" ht="15" x14ac:dyDescent="0.2">
      <c r="A1120" s="10">
        <f t="shared" si="35"/>
        <v>2063</v>
      </c>
      <c r="B1120" s="14">
        <f t="shared" ca="1" si="60"/>
        <v>37.497991666666671</v>
      </c>
      <c r="C1120" s="14">
        <f t="shared" ca="1" si="60"/>
        <v>37.50425833333334</v>
      </c>
      <c r="D1120" s="14">
        <f t="shared" ca="1" si="60"/>
        <v>37.693283333333333</v>
      </c>
      <c r="E1120" s="14">
        <f t="shared" ca="1" si="60"/>
        <v>37.725708333333337</v>
      </c>
      <c r="F1120" s="14">
        <f t="shared" ca="1" si="60"/>
        <v>37.522641666666665</v>
      </c>
      <c r="G1120" s="14">
        <f t="shared" ca="1" si="60"/>
        <v>37.539999999999992</v>
      </c>
      <c r="H1120" s="14">
        <f t="shared" ca="1" si="60"/>
        <v>37.714824999999998</v>
      </c>
      <c r="I1120" s="14">
        <f t="shared" ca="1" si="60"/>
        <v>37.637758333333338</v>
      </c>
      <c r="J1120" s="14">
        <f t="shared" ca="1" si="60"/>
        <v>37.515641666666667</v>
      </c>
      <c r="K1120" s="14">
        <f t="shared" ca="1" si="60"/>
        <v>37.633858333333329</v>
      </c>
      <c r="L1120" s="14">
        <f t="shared" ca="1" si="61"/>
        <v>38.301825000000001</v>
      </c>
      <c r="M1120" s="14">
        <f t="shared" ca="1" si="61"/>
        <v>36.848558333333337</v>
      </c>
      <c r="N1120" s="14">
        <f t="shared" ca="1" si="61"/>
        <v>36.865591666666667</v>
      </c>
      <c r="O1120" s="14">
        <f t="shared" ca="1" si="61"/>
        <v>37.044149999999995</v>
      </c>
      <c r="P1120" s="14">
        <f t="shared" ca="1" si="61"/>
        <v>36.966458333333335</v>
      </c>
      <c r="Q1120" s="14">
        <f t="shared" ca="1" si="61"/>
        <v>37.638850000000005</v>
      </c>
      <c r="R1120" s="14">
        <f t="shared" ca="1" si="61"/>
        <v>38.319941666666665</v>
      </c>
      <c r="S1120" s="14">
        <f t="shared" ca="1" si="61"/>
        <v>36.022308333333335</v>
      </c>
      <c r="T1120" s="48">
        <f t="shared" ca="1" si="62"/>
        <v>357.33618100000001</v>
      </c>
      <c r="U1120" s="48">
        <f t="shared" ca="1" si="62"/>
        <v>142.03263249999998</v>
      </c>
      <c r="V1120" s="48">
        <f t="shared" ca="1" si="62"/>
        <v>50.187500000000007</v>
      </c>
      <c r="W1120" s="48">
        <f t="shared" ca="1" si="62"/>
        <v>5.0822234999999996</v>
      </c>
      <c r="X1120" s="48">
        <f t="shared" ca="1" si="62"/>
        <v>20.758966663999999</v>
      </c>
      <c r="Y1120" s="14"/>
      <c r="Z1120" s="14"/>
      <c r="AA1120" s="14"/>
      <c r="AB1120" s="14">
        <f t="shared" ca="1" si="63"/>
        <v>37.551827748851629</v>
      </c>
      <c r="AC1120" s="14">
        <f t="shared" ca="1" si="63"/>
        <v>36.955152158273386</v>
      </c>
    </row>
    <row r="1121" spans="1:29" ht="15" x14ac:dyDescent="0.2">
      <c r="A1121" s="10">
        <f t="shared" si="35"/>
        <v>2064</v>
      </c>
      <c r="B1121" s="14">
        <f t="shared" ca="1" si="60"/>
        <v>38.952758333333328</v>
      </c>
      <c r="C1121" s="14">
        <f t="shared" ca="1" si="60"/>
        <v>38.959008333333337</v>
      </c>
      <c r="D1121" s="14">
        <f t="shared" ca="1" si="60"/>
        <v>39.148033333333331</v>
      </c>
      <c r="E1121" s="14">
        <f t="shared" ca="1" si="60"/>
        <v>39.180458333333341</v>
      </c>
      <c r="F1121" s="14">
        <f t="shared" ca="1" si="60"/>
        <v>38.977399999999996</v>
      </c>
      <c r="G1121" s="14">
        <f t="shared" ca="1" si="60"/>
        <v>38.994741666666663</v>
      </c>
      <c r="H1121" s="14">
        <f t="shared" ca="1" si="60"/>
        <v>39.169575000000002</v>
      </c>
      <c r="I1121" s="14">
        <f t="shared" ca="1" si="60"/>
        <v>39.097050000000003</v>
      </c>
      <c r="J1121" s="14">
        <f t="shared" ca="1" si="60"/>
        <v>38.970399999999991</v>
      </c>
      <c r="K1121" s="14">
        <f t="shared" ca="1" si="60"/>
        <v>39.093150000000001</v>
      </c>
      <c r="L1121" s="14">
        <f t="shared" ca="1" si="61"/>
        <v>39.756574999999998</v>
      </c>
      <c r="M1121" s="14">
        <f t="shared" ca="1" si="61"/>
        <v>38.277149999999999</v>
      </c>
      <c r="N1121" s="14">
        <f t="shared" ca="1" si="61"/>
        <v>38.294183333333336</v>
      </c>
      <c r="O1121" s="14">
        <f t="shared" ca="1" si="61"/>
        <v>38.472741666666671</v>
      </c>
      <c r="P1121" s="14">
        <f t="shared" ca="1" si="61"/>
        <v>38.39941666666666</v>
      </c>
      <c r="Q1121" s="14">
        <f t="shared" ca="1" si="61"/>
        <v>39.067441666666667</v>
      </c>
      <c r="R1121" s="14">
        <f t="shared" ca="1" si="61"/>
        <v>39.752108333333339</v>
      </c>
      <c r="S1121" s="14">
        <f t="shared" ca="1" si="61"/>
        <v>37.420166666666667</v>
      </c>
      <c r="T1121" s="48">
        <f t="shared" ca="1" si="62"/>
        <v>358.26753550000001</v>
      </c>
      <c r="U1121" s="48">
        <f t="shared" ca="1" si="62"/>
        <v>142.42176299999997</v>
      </c>
      <c r="V1121" s="48">
        <f t="shared" ca="1" si="62"/>
        <v>50.325000000000003</v>
      </c>
      <c r="W1121" s="48">
        <f t="shared" ca="1" si="62"/>
        <v>5.0961473999999995</v>
      </c>
      <c r="X1121" s="48">
        <f t="shared" ca="1" si="62"/>
        <v>20.800615543999996</v>
      </c>
      <c r="Y1121" s="14"/>
      <c r="Z1121" s="14"/>
      <c r="AA1121" s="14"/>
      <c r="AB1121" s="14">
        <f t="shared" ca="1" si="63"/>
        <v>39.006955347337737</v>
      </c>
      <c r="AC1121" s="14">
        <f t="shared" ca="1" si="63"/>
        <v>38.38437212230216</v>
      </c>
    </row>
    <row r="1122" spans="1:29" ht="15" x14ac:dyDescent="0.2">
      <c r="A1122" s="10">
        <f t="shared" si="35"/>
        <v>2065</v>
      </c>
      <c r="B1122" s="14">
        <f t="shared" ca="1" si="60"/>
        <v>40.463941666666663</v>
      </c>
      <c r="C1122" s="14">
        <f t="shared" ca="1" si="60"/>
        <v>40.470216666666666</v>
      </c>
      <c r="D1122" s="14">
        <f t="shared" ca="1" si="60"/>
        <v>40.659224999999999</v>
      </c>
      <c r="E1122" s="14">
        <f t="shared" ca="1" si="60"/>
        <v>40.691658333333343</v>
      </c>
      <c r="F1122" s="14">
        <f t="shared" ca="1" si="60"/>
        <v>40.488599999999998</v>
      </c>
      <c r="G1122" s="14">
        <f t="shared" ca="1" si="60"/>
        <v>40.505941666666665</v>
      </c>
      <c r="H1122" s="14">
        <f t="shared" ca="1" si="60"/>
        <v>40.680774999999997</v>
      </c>
      <c r="I1122" s="14">
        <f t="shared" ca="1" si="60"/>
        <v>40.612974999999999</v>
      </c>
      <c r="J1122" s="14">
        <f t="shared" ca="1" si="60"/>
        <v>40.4816</v>
      </c>
      <c r="K1122" s="14">
        <f t="shared" ca="1" si="60"/>
        <v>40.609108333333324</v>
      </c>
      <c r="L1122" s="14">
        <f t="shared" ca="1" si="61"/>
        <v>41.267775</v>
      </c>
      <c r="M1122" s="14">
        <f t="shared" ca="1" si="61"/>
        <v>39.761141666666667</v>
      </c>
      <c r="N1122" s="14">
        <f t="shared" ca="1" si="61"/>
        <v>39.778200000000005</v>
      </c>
      <c r="O1122" s="14">
        <f t="shared" ca="1" si="61"/>
        <v>39.956766666666674</v>
      </c>
      <c r="P1122" s="14">
        <f t="shared" ca="1" si="61"/>
        <v>39.888008333333339</v>
      </c>
      <c r="Q1122" s="14">
        <f t="shared" ca="1" si="61"/>
        <v>40.55146666666667</v>
      </c>
      <c r="R1122" s="14">
        <f t="shared" ca="1" si="61"/>
        <v>41.23983333333333</v>
      </c>
      <c r="S1122" s="14">
        <f t="shared" ca="1" si="61"/>
        <v>38.872275000000002</v>
      </c>
      <c r="T1122" s="48">
        <f t="shared" ca="1" si="62"/>
        <v>357.33618100000001</v>
      </c>
      <c r="U1122" s="48">
        <f t="shared" ca="1" si="62"/>
        <v>142.03263249999998</v>
      </c>
      <c r="V1122" s="48">
        <f t="shared" ca="1" si="62"/>
        <v>50.187500000000007</v>
      </c>
      <c r="W1122" s="48">
        <f t="shared" ca="1" si="62"/>
        <v>5.0822234999999996</v>
      </c>
      <c r="X1122" s="48">
        <f t="shared" ca="1" si="62"/>
        <v>20.758966663999999</v>
      </c>
      <c r="Y1122" s="14"/>
      <c r="Z1122" s="14"/>
      <c r="AA1122" s="14"/>
      <c r="AB1122" s="14">
        <f t="shared" ca="1" si="63"/>
        <v>40.518543934790266</v>
      </c>
      <c r="AC1122" s="14">
        <f t="shared" ca="1" si="63"/>
        <v>39.869042206235015</v>
      </c>
    </row>
    <row r="1123" spans="1:29" ht="15" x14ac:dyDescent="0.2">
      <c r="A1123" s="10">
        <f t="shared" si="35"/>
        <v>2066</v>
      </c>
      <c r="B1123" s="14">
        <f t="shared" ca="1" si="60"/>
        <v>42.033783333333332</v>
      </c>
      <c r="C1123" s="14">
        <f t="shared" ca="1" si="60"/>
        <v>42.040066666666661</v>
      </c>
      <c r="D1123" s="14">
        <f t="shared" ca="1" si="60"/>
        <v>42.229083333333328</v>
      </c>
      <c r="E1123" s="14">
        <f t="shared" ca="1" si="60"/>
        <v>42.261491666666679</v>
      </c>
      <c r="F1123" s="14">
        <f t="shared" ca="1" si="60"/>
        <v>42.058450000000001</v>
      </c>
      <c r="G1123" s="14">
        <f t="shared" ca="1" si="60"/>
        <v>42.075800000000001</v>
      </c>
      <c r="H1123" s="14">
        <f t="shared" ca="1" si="60"/>
        <v>42.250624999999999</v>
      </c>
      <c r="I1123" s="14">
        <f t="shared" ca="1" si="60"/>
        <v>42.187758333333328</v>
      </c>
      <c r="J1123" s="14">
        <f t="shared" ca="1" si="60"/>
        <v>42.051450000000003</v>
      </c>
      <c r="K1123" s="14">
        <f t="shared" ca="1" si="60"/>
        <v>42.183883333333334</v>
      </c>
      <c r="L1123" s="14">
        <f t="shared" ca="1" si="61"/>
        <v>42.837624999999996</v>
      </c>
      <c r="M1123" s="14">
        <f t="shared" ca="1" si="61"/>
        <v>41.302758333333337</v>
      </c>
      <c r="N1123" s="14">
        <f t="shared" ca="1" si="61"/>
        <v>41.319800000000001</v>
      </c>
      <c r="O1123" s="14">
        <f t="shared" ca="1" si="61"/>
        <v>41.498366666666669</v>
      </c>
      <c r="P1123" s="14">
        <f t="shared" ca="1" si="61"/>
        <v>41.434366666666669</v>
      </c>
      <c r="Q1123" s="14">
        <f t="shared" ca="1" si="61"/>
        <v>42.093066666666672</v>
      </c>
      <c r="R1123" s="14">
        <f t="shared" ca="1" si="61"/>
        <v>42.785308333333326</v>
      </c>
      <c r="S1123" s="14">
        <f t="shared" ca="1" si="61"/>
        <v>40.38075833333334</v>
      </c>
      <c r="T1123" s="48">
        <f t="shared" ca="1" si="62"/>
        <v>357.33618100000001</v>
      </c>
      <c r="U1123" s="48">
        <f t="shared" ca="1" si="62"/>
        <v>142.03263249999998</v>
      </c>
      <c r="V1123" s="48">
        <f t="shared" ca="1" si="62"/>
        <v>50.187500000000007</v>
      </c>
      <c r="W1123" s="48">
        <f t="shared" ca="1" si="62"/>
        <v>5.0822234999999996</v>
      </c>
      <c r="X1123" s="48">
        <f t="shared" ca="1" si="62"/>
        <v>20.758966663999999</v>
      </c>
      <c r="Y1123" s="14"/>
      <c r="Z1123" s="14"/>
      <c r="AA1123" s="14"/>
      <c r="AB1123" s="14">
        <f t="shared" ca="1" si="63"/>
        <v>42.088800178681176</v>
      </c>
      <c r="AC1123" s="14">
        <f t="shared" ca="1" si="63"/>
        <v>41.411332613908876</v>
      </c>
    </row>
    <row r="1124" spans="1:29" ht="15" x14ac:dyDescent="0.2">
      <c r="A1124" s="10">
        <f t="shared" si="35"/>
        <v>2067</v>
      </c>
      <c r="B1124" s="14">
        <f t="shared" ca="1" si="60"/>
        <v>43.664558333333332</v>
      </c>
      <c r="C1124" s="14">
        <f t="shared" ca="1" si="60"/>
        <v>43.670825000000008</v>
      </c>
      <c r="D1124" s="14">
        <f t="shared" ca="1" si="60"/>
        <v>43.859850000000002</v>
      </c>
      <c r="E1124" s="14">
        <f t="shared" ca="1" si="60"/>
        <v>43.892275000000005</v>
      </c>
      <c r="F1124" s="14">
        <f t="shared" ca="1" si="60"/>
        <v>43.68921666666666</v>
      </c>
      <c r="G1124" s="14">
        <f t="shared" ca="1" si="60"/>
        <v>43.706583333333334</v>
      </c>
      <c r="H1124" s="14">
        <f t="shared" ca="1" si="60"/>
        <v>43.881391666666666</v>
      </c>
      <c r="I1124" s="14">
        <f t="shared" ca="1" si="60"/>
        <v>43.823616666666673</v>
      </c>
      <c r="J1124" s="14">
        <f t="shared" ca="1" si="60"/>
        <v>43.682216666666669</v>
      </c>
      <c r="K1124" s="14">
        <f t="shared" ca="1" si="60"/>
        <v>43.819733333333325</v>
      </c>
      <c r="L1124" s="14">
        <f t="shared" ca="1" si="61"/>
        <v>44.468391666666669</v>
      </c>
      <c r="M1124" s="14">
        <f t="shared" ca="1" si="61"/>
        <v>42.904225000000004</v>
      </c>
      <c r="N1124" s="14">
        <f t="shared" ca="1" si="61"/>
        <v>42.921224999999993</v>
      </c>
      <c r="O1124" s="14">
        <f t="shared" ca="1" si="61"/>
        <v>43.099800000000009</v>
      </c>
      <c r="P1124" s="14">
        <f t="shared" ca="1" si="61"/>
        <v>43.040725000000002</v>
      </c>
      <c r="Q1124" s="14">
        <f t="shared" ca="1" si="61"/>
        <v>43.694499999999998</v>
      </c>
      <c r="R1124" s="14">
        <f t="shared" ca="1" si="61"/>
        <v>44.390741666666656</v>
      </c>
      <c r="S1124" s="14">
        <f t="shared" ca="1" si="61"/>
        <v>41.947774999999993</v>
      </c>
      <c r="T1124" s="48">
        <f t="shared" ca="1" si="62"/>
        <v>357.33618100000001</v>
      </c>
      <c r="U1124" s="48">
        <f t="shared" ca="1" si="62"/>
        <v>142.03263249999998</v>
      </c>
      <c r="V1124" s="48">
        <f t="shared" ca="1" si="62"/>
        <v>50.187500000000007</v>
      </c>
      <c r="W1124" s="48">
        <f t="shared" ca="1" si="62"/>
        <v>5.0822234999999996</v>
      </c>
      <c r="X1124" s="48">
        <f t="shared" ca="1" si="62"/>
        <v>20.758966663999999</v>
      </c>
      <c r="Y1124" s="14"/>
      <c r="Z1124" s="14"/>
      <c r="AA1124" s="14"/>
      <c r="AB1124" s="14">
        <f t="shared" ca="1" si="63"/>
        <v>43.719989169327327</v>
      </c>
      <c r="AC1124" s="14">
        <f t="shared" ca="1" si="63"/>
        <v>43.013485611510795</v>
      </c>
    </row>
    <row r="1125" spans="1:29" ht="15" x14ac:dyDescent="0.2">
      <c r="A1125" s="10">
        <f t="shared" si="35"/>
        <v>2068</v>
      </c>
      <c r="B1125" s="14">
        <f t="shared" ca="1" si="60"/>
        <v>45.358616666666656</v>
      </c>
      <c r="C1125" s="14">
        <f t="shared" ca="1" si="60"/>
        <v>45.364875000000005</v>
      </c>
      <c r="D1125" s="14">
        <f t="shared" ca="1" si="60"/>
        <v>45.553899999999999</v>
      </c>
      <c r="E1125" s="14">
        <f t="shared" ca="1" si="60"/>
        <v>45.586324999999995</v>
      </c>
      <c r="F1125" s="14">
        <f t="shared" ca="1" si="60"/>
        <v>45.383266666666664</v>
      </c>
      <c r="G1125" s="14">
        <f t="shared" ca="1" si="60"/>
        <v>45.400608333333338</v>
      </c>
      <c r="H1125" s="14">
        <f t="shared" ca="1" si="60"/>
        <v>45.57544166666667</v>
      </c>
      <c r="I1125" s="14">
        <f t="shared" ca="1" si="60"/>
        <v>45.522983333333336</v>
      </c>
      <c r="J1125" s="14">
        <f t="shared" ca="1" si="60"/>
        <v>45.376266666666673</v>
      </c>
      <c r="K1125" s="14">
        <f t="shared" ca="1" si="60"/>
        <v>45.519108333333328</v>
      </c>
      <c r="L1125" s="14">
        <f t="shared" ca="1" si="61"/>
        <v>46.162441666666666</v>
      </c>
      <c r="M1125" s="14">
        <f t="shared" ca="1" si="61"/>
        <v>44.567791666666665</v>
      </c>
      <c r="N1125" s="14">
        <f t="shared" ca="1" si="61"/>
        <v>44.584833333333336</v>
      </c>
      <c r="O1125" s="14">
        <f t="shared" ca="1" si="61"/>
        <v>44.763391666666671</v>
      </c>
      <c r="P1125" s="14">
        <f t="shared" ca="1" si="61"/>
        <v>44.709408333333329</v>
      </c>
      <c r="Q1125" s="14">
        <f t="shared" ca="1" si="61"/>
        <v>45.358091666666667</v>
      </c>
      <c r="R1125" s="14">
        <f t="shared" ca="1" si="61"/>
        <v>46.058475000000008</v>
      </c>
      <c r="S1125" s="14">
        <f t="shared" ca="1" si="61"/>
        <v>43.575583333333334</v>
      </c>
      <c r="T1125" s="48">
        <f t="shared" ca="1" si="62"/>
        <v>358.26753550000001</v>
      </c>
      <c r="U1125" s="48">
        <f t="shared" ca="1" si="62"/>
        <v>142.42176299999997</v>
      </c>
      <c r="V1125" s="48">
        <f t="shared" ca="1" si="62"/>
        <v>50.325000000000003</v>
      </c>
      <c r="W1125" s="48">
        <f t="shared" ca="1" si="62"/>
        <v>5.0961473999999995</v>
      </c>
      <c r="X1125" s="48">
        <f t="shared" ca="1" si="62"/>
        <v>20.800615543999996</v>
      </c>
      <c r="Y1125" s="14"/>
      <c r="Z1125" s="14"/>
      <c r="AA1125" s="14"/>
      <c r="AB1125" s="14">
        <f t="shared" ca="1" si="63"/>
        <v>45.414474207864167</v>
      </c>
      <c r="AC1125" s="14">
        <f t="shared" ca="1" si="63"/>
        <v>44.677802218225416</v>
      </c>
    </row>
    <row r="1126" spans="1:29" ht="15" x14ac:dyDescent="0.2">
      <c r="A1126" s="10">
        <f t="shared" si="35"/>
        <v>2069</v>
      </c>
      <c r="B1126" s="14">
        <f t="shared" ca="1" si="60"/>
        <v>47.118391666666668</v>
      </c>
      <c r="C1126" s="14">
        <f t="shared" ca="1" si="60"/>
        <v>47.124675000000003</v>
      </c>
      <c r="D1126" s="14">
        <f t="shared" ca="1" si="60"/>
        <v>47.313691666666671</v>
      </c>
      <c r="E1126" s="14">
        <f t="shared" ca="1" si="60"/>
        <v>47.346141666666675</v>
      </c>
      <c r="F1126" s="14">
        <f t="shared" ca="1" si="60"/>
        <v>47.143049999999995</v>
      </c>
      <c r="G1126" s="14">
        <f t="shared" ca="1" si="60"/>
        <v>47.160408333333343</v>
      </c>
      <c r="H1126" s="14">
        <f t="shared" ca="1" si="60"/>
        <v>47.335225000000008</v>
      </c>
      <c r="I1126" s="14">
        <f t="shared" ca="1" si="60"/>
        <v>47.288291666666673</v>
      </c>
      <c r="J1126" s="14">
        <f t="shared" ca="1" si="60"/>
        <v>47.136050000000004</v>
      </c>
      <c r="K1126" s="14">
        <f t="shared" ca="1" si="60"/>
        <v>47.284399999999998</v>
      </c>
      <c r="L1126" s="14">
        <f t="shared" ca="1" si="61"/>
        <v>47.922224999999997</v>
      </c>
      <c r="M1126" s="14">
        <f t="shared" ca="1" si="61"/>
        <v>46.295925000000004</v>
      </c>
      <c r="N1126" s="14">
        <f t="shared" ca="1" si="61"/>
        <v>46.312958333333334</v>
      </c>
      <c r="O1126" s="14">
        <f t="shared" ca="1" si="61"/>
        <v>46.491524999999996</v>
      </c>
      <c r="P1126" s="14">
        <f t="shared" ca="1" si="61"/>
        <v>46.442866666666674</v>
      </c>
      <c r="Q1126" s="14">
        <f t="shared" ca="1" si="61"/>
        <v>47.086224999999992</v>
      </c>
      <c r="R1126" s="14">
        <f t="shared" ca="1" si="61"/>
        <v>47.790933333333335</v>
      </c>
      <c r="S1126" s="14">
        <f t="shared" ca="1" si="61"/>
        <v>45.266566666666677</v>
      </c>
      <c r="T1126" s="48">
        <f t="shared" ca="1" si="62"/>
        <v>357.33618100000001</v>
      </c>
      <c r="U1126" s="48">
        <f t="shared" ca="1" si="62"/>
        <v>142.03263249999998</v>
      </c>
      <c r="V1126" s="48">
        <f t="shared" ca="1" si="62"/>
        <v>50.187500000000007</v>
      </c>
      <c r="W1126" s="48">
        <f t="shared" ca="1" si="62"/>
        <v>5.0822234999999996</v>
      </c>
      <c r="X1126" s="48">
        <f t="shared" ca="1" si="62"/>
        <v>20.758966663999999</v>
      </c>
      <c r="Y1126" s="14"/>
      <c r="Z1126" s="14"/>
      <c r="AA1126" s="14"/>
      <c r="AB1126" s="14">
        <f t="shared" ca="1" si="63"/>
        <v>47.17472132234483</v>
      </c>
      <c r="AC1126" s="14">
        <f t="shared" ca="1" si="63"/>
        <v>46.406701258992804</v>
      </c>
    </row>
    <row r="1127" spans="1:29" ht="15" x14ac:dyDescent="0.2">
      <c r="A1127" s="10">
        <f t="shared" ref="A1127:A1157" si="64">A1126+1</f>
        <v>2070</v>
      </c>
      <c r="B1127" s="14">
        <f t="shared" ca="1" si="60"/>
        <v>48.946491666666667</v>
      </c>
      <c r="C1127" s="14">
        <f t="shared" ca="1" si="60"/>
        <v>48.952750000000002</v>
      </c>
      <c r="D1127" s="14">
        <f t="shared" ca="1" si="60"/>
        <v>49.141783333333329</v>
      </c>
      <c r="E1127" s="14">
        <f t="shared" ca="1" si="60"/>
        <v>49.174225</v>
      </c>
      <c r="F1127" s="14">
        <f t="shared" ca="1" si="60"/>
        <v>48.971150000000002</v>
      </c>
      <c r="G1127" s="14">
        <f t="shared" ca="1" si="60"/>
        <v>48.988483333333335</v>
      </c>
      <c r="H1127" s="14">
        <f t="shared" ca="1" si="60"/>
        <v>49.163324999999993</v>
      </c>
      <c r="I1127" s="14">
        <f t="shared" ca="1" si="60"/>
        <v>49.122099999999996</v>
      </c>
      <c r="J1127" s="14">
        <f t="shared" ca="1" si="60"/>
        <v>48.964149999999997</v>
      </c>
      <c r="K1127" s="14">
        <f t="shared" ca="1" si="60"/>
        <v>49.118208333333335</v>
      </c>
      <c r="L1127" s="14">
        <f t="shared" ca="1" si="61"/>
        <v>49.750325000000004</v>
      </c>
      <c r="M1127" s="14">
        <f t="shared" ca="1" si="61"/>
        <v>48.091133333333339</v>
      </c>
      <c r="N1127" s="14">
        <f t="shared" ca="1" si="61"/>
        <v>48.108150000000002</v>
      </c>
      <c r="O1127" s="14">
        <f t="shared" ca="1" si="61"/>
        <v>48.286724999999997</v>
      </c>
      <c r="P1127" s="14">
        <f t="shared" ca="1" si="61"/>
        <v>48.243599999999994</v>
      </c>
      <c r="Q1127" s="14">
        <f t="shared" ca="1" si="61"/>
        <v>48.881425</v>
      </c>
      <c r="R1127" s="14">
        <f t="shared" ca="1" si="61"/>
        <v>49.590624999999996</v>
      </c>
      <c r="S1127" s="14">
        <f t="shared" ca="1" si="61"/>
        <v>47.023166666666668</v>
      </c>
      <c r="T1127" s="48">
        <f t="shared" ca="1" si="62"/>
        <v>357.33618100000001</v>
      </c>
      <c r="U1127" s="48">
        <f t="shared" ca="1" si="62"/>
        <v>142.03263249999998</v>
      </c>
      <c r="V1127" s="48">
        <f t="shared" ca="1" si="62"/>
        <v>50.187500000000007</v>
      </c>
      <c r="W1127" s="48">
        <f t="shared" ca="1" si="62"/>
        <v>5.0822234999999996</v>
      </c>
      <c r="X1127" s="48">
        <f t="shared" ca="1" si="62"/>
        <v>20.758966663999999</v>
      </c>
      <c r="Y1127" s="14"/>
      <c r="Z1127" s="14"/>
      <c r="AA1127" s="14"/>
      <c r="AB1127" s="14">
        <f t="shared" ca="1" si="63"/>
        <v>49.003280487554356</v>
      </c>
      <c r="AC1127" s="14">
        <f t="shared" ca="1" si="63"/>
        <v>48.202699820143891</v>
      </c>
    </row>
    <row r="1128" spans="1:29" ht="15" x14ac:dyDescent="0.2">
      <c r="A1128" s="10">
        <f t="shared" si="64"/>
        <v>2071</v>
      </c>
      <c r="B1128" s="14">
        <f t="shared" ca="1" si="60"/>
        <v>50.845499999999994</v>
      </c>
      <c r="C1128" s="14">
        <f t="shared" ca="1" si="60"/>
        <v>50.851783333333337</v>
      </c>
      <c r="D1128" s="14">
        <f t="shared" ca="1" si="60"/>
        <v>51.040799999999997</v>
      </c>
      <c r="E1128" s="14">
        <f t="shared" ca="1" si="60"/>
        <v>51.073225000000001</v>
      </c>
      <c r="F1128" s="14">
        <f t="shared" ca="1" si="60"/>
        <v>50.870149999999995</v>
      </c>
      <c r="G1128" s="14">
        <f t="shared" ca="1" si="60"/>
        <v>50.887508333333336</v>
      </c>
      <c r="H1128" s="14">
        <f t="shared" ca="1" si="60"/>
        <v>51.062341666666669</v>
      </c>
      <c r="I1128" s="14">
        <f t="shared" ca="1" si="60"/>
        <v>51.027058333333336</v>
      </c>
      <c r="J1128" s="14">
        <f t="shared" ca="1" si="60"/>
        <v>50.86314999999999</v>
      </c>
      <c r="K1128" s="14">
        <f t="shared" ca="1" si="60"/>
        <v>51.023174999999988</v>
      </c>
      <c r="L1128" s="14">
        <f t="shared" ca="1" si="61"/>
        <v>51.649341666666665</v>
      </c>
      <c r="M1128" s="14">
        <f t="shared" ca="1" si="61"/>
        <v>49.956016666666663</v>
      </c>
      <c r="N1128" s="14">
        <f t="shared" ca="1" si="61"/>
        <v>49.973041666666667</v>
      </c>
      <c r="O1128" s="14">
        <f t="shared" ca="1" si="61"/>
        <v>50.151599999999995</v>
      </c>
      <c r="P1128" s="14">
        <f t="shared" ca="1" si="61"/>
        <v>50.11419166666667</v>
      </c>
      <c r="Q1128" s="14">
        <f t="shared" ca="1" si="61"/>
        <v>50.746299999999998</v>
      </c>
      <c r="R1128" s="14">
        <f t="shared" ca="1" si="61"/>
        <v>51.460166666666673</v>
      </c>
      <c r="S1128" s="14">
        <f t="shared" ca="1" si="61"/>
        <v>48.847924999999996</v>
      </c>
      <c r="T1128" s="48">
        <f t="shared" ca="1" si="62"/>
        <v>357.33618100000001</v>
      </c>
      <c r="U1128" s="48">
        <f t="shared" ca="1" si="62"/>
        <v>142.03263249999998</v>
      </c>
      <c r="V1128" s="48">
        <f t="shared" ca="1" si="62"/>
        <v>50.187500000000007</v>
      </c>
      <c r="W1128" s="48">
        <f t="shared" ca="1" si="62"/>
        <v>5.0822234999999996</v>
      </c>
      <c r="X1128" s="48">
        <f t="shared" ca="1" si="62"/>
        <v>20.758966663999999</v>
      </c>
      <c r="Y1128" s="14"/>
      <c r="Z1128" s="14"/>
      <c r="AA1128" s="14"/>
      <c r="AB1128" s="14">
        <f t="shared" ca="1" si="63"/>
        <v>50.902784535694678</v>
      </c>
      <c r="AC1128" s="14">
        <f t="shared" ca="1" si="63"/>
        <v>50.068401199040771</v>
      </c>
    </row>
    <row r="1129" spans="1:29" ht="15" x14ac:dyDescent="0.2">
      <c r="A1129" s="10">
        <f t="shared" si="64"/>
        <v>2072</v>
      </c>
      <c r="B1129" s="14">
        <f t="shared" ref="B1129:K1138" ca="1" si="65">AVERAGE(OFFSET(B$601,($A1129-$A$1119)*12,0,12,1))</f>
        <v>52.818241666666673</v>
      </c>
      <c r="C1129" s="14">
        <f t="shared" ca="1" si="65"/>
        <v>52.824508333333334</v>
      </c>
      <c r="D1129" s="14">
        <f t="shared" ca="1" si="65"/>
        <v>53.013533333333335</v>
      </c>
      <c r="E1129" s="14">
        <f t="shared" ca="1" si="65"/>
        <v>53.045950000000005</v>
      </c>
      <c r="F1129" s="14">
        <f t="shared" ca="1" si="65"/>
        <v>52.842874999999999</v>
      </c>
      <c r="G1129" s="14">
        <f t="shared" ca="1" si="65"/>
        <v>52.860233333333333</v>
      </c>
      <c r="H1129" s="14">
        <f t="shared" ca="1" si="65"/>
        <v>53.035074999999999</v>
      </c>
      <c r="I1129" s="14">
        <f t="shared" ca="1" si="65"/>
        <v>53.005975000000007</v>
      </c>
      <c r="J1129" s="14">
        <f t="shared" ca="1" si="65"/>
        <v>52.835875000000009</v>
      </c>
      <c r="K1129" s="14">
        <f t="shared" ca="1" si="65"/>
        <v>53.002083333333331</v>
      </c>
      <c r="L1129" s="14">
        <f t="shared" ref="L1129:S1138" ca="1" si="66">AVERAGE(OFFSET(L$601,($A1129-$A$1119)*12,0,12,1))</f>
        <v>53.622075000000017</v>
      </c>
      <c r="M1129" s="14">
        <f t="shared" ca="1" si="66"/>
        <v>51.893233333333335</v>
      </c>
      <c r="N1129" s="14">
        <f t="shared" ca="1" si="66"/>
        <v>51.910266666666672</v>
      </c>
      <c r="O1129" s="14">
        <f t="shared" ca="1" si="66"/>
        <v>52.088824999999993</v>
      </c>
      <c r="P1129" s="14">
        <f t="shared" ca="1" si="66"/>
        <v>52.057375</v>
      </c>
      <c r="Q1129" s="14">
        <f t="shared" ca="1" si="66"/>
        <v>52.68352500000001</v>
      </c>
      <c r="R1129" s="14">
        <f t="shared" ca="1" si="66"/>
        <v>53.402241666666669</v>
      </c>
      <c r="S1129" s="14">
        <f t="shared" ca="1" si="66"/>
        <v>50.743541666666665</v>
      </c>
      <c r="T1129" s="48">
        <f t="shared" ref="T1129:X1138" ca="1" si="67">SUM(OFFSET(T$601,($A1129-$A$1119)*12,0,12,1))</f>
        <v>358.26753550000001</v>
      </c>
      <c r="U1129" s="48">
        <f t="shared" ca="1" si="67"/>
        <v>142.42176299999997</v>
      </c>
      <c r="V1129" s="48">
        <f t="shared" ca="1" si="67"/>
        <v>50.325000000000003</v>
      </c>
      <c r="W1129" s="48">
        <f t="shared" ca="1" si="67"/>
        <v>5.0961473999999995</v>
      </c>
      <c r="X1129" s="48">
        <f t="shared" ca="1" si="67"/>
        <v>20.800615543999996</v>
      </c>
      <c r="Y1129" s="14"/>
      <c r="Z1129" s="14"/>
      <c r="AA1129" s="14"/>
      <c r="AB1129" s="14">
        <f t="shared" ca="1" si="63"/>
        <v>52.876023340425796</v>
      </c>
      <c r="AC1129" s="14">
        <f t="shared" ca="1" si="63"/>
        <v>52.00648063549162</v>
      </c>
    </row>
    <row r="1130" spans="1:29" ht="15" x14ac:dyDescent="0.2">
      <c r="A1130" s="10">
        <f t="shared" si="64"/>
        <v>2073</v>
      </c>
      <c r="B1130" s="14">
        <f t="shared" ca="1" si="65"/>
        <v>54.867525000000008</v>
      </c>
      <c r="C1130" s="14">
        <f t="shared" ca="1" si="65"/>
        <v>54.873791666666655</v>
      </c>
      <c r="D1130" s="14">
        <f t="shared" ca="1" si="65"/>
        <v>55.062799999999989</v>
      </c>
      <c r="E1130" s="14">
        <f t="shared" ca="1" si="65"/>
        <v>55.095208333333339</v>
      </c>
      <c r="F1130" s="14">
        <f t="shared" ca="1" si="65"/>
        <v>54.892166666666668</v>
      </c>
      <c r="G1130" s="14">
        <f t="shared" ca="1" si="65"/>
        <v>54.909533333333336</v>
      </c>
      <c r="H1130" s="14">
        <f t="shared" ca="1" si="65"/>
        <v>55.084341666666667</v>
      </c>
      <c r="I1130" s="14">
        <f t="shared" ca="1" si="65"/>
        <v>55.061658333333334</v>
      </c>
      <c r="J1130" s="14">
        <f t="shared" ca="1" si="65"/>
        <v>54.885166666666663</v>
      </c>
      <c r="K1130" s="14">
        <f t="shared" ca="1" si="65"/>
        <v>55.057766666666659</v>
      </c>
      <c r="L1130" s="14">
        <f t="shared" ca="1" si="66"/>
        <v>55.67134166666667</v>
      </c>
      <c r="M1130" s="14">
        <f t="shared" ca="1" si="66"/>
        <v>53.905650000000001</v>
      </c>
      <c r="N1130" s="14">
        <f t="shared" ca="1" si="66"/>
        <v>53.922699999999999</v>
      </c>
      <c r="O1130" s="14">
        <f t="shared" ca="1" si="66"/>
        <v>54.101258333333334</v>
      </c>
      <c r="P1130" s="14">
        <f t="shared" ca="1" si="66"/>
        <v>54.076008333333334</v>
      </c>
      <c r="Q1130" s="14">
        <f t="shared" ca="1" si="66"/>
        <v>54.69595833333333</v>
      </c>
      <c r="R1130" s="14">
        <f t="shared" ca="1" si="66"/>
        <v>55.419691666666665</v>
      </c>
      <c r="S1130" s="14">
        <f t="shared" ca="1" si="66"/>
        <v>52.712683333333331</v>
      </c>
      <c r="T1130" s="48">
        <f t="shared" ca="1" si="67"/>
        <v>357.33618100000001</v>
      </c>
      <c r="U1130" s="48">
        <f t="shared" ca="1" si="67"/>
        <v>142.03263249999998</v>
      </c>
      <c r="V1130" s="48">
        <f t="shared" ca="1" si="67"/>
        <v>50.187500000000007</v>
      </c>
      <c r="W1130" s="48">
        <f t="shared" ca="1" si="67"/>
        <v>5.0822234999999996</v>
      </c>
      <c r="X1130" s="48">
        <f t="shared" ca="1" si="67"/>
        <v>20.758966663999999</v>
      </c>
      <c r="Y1130" s="14"/>
      <c r="Z1130" s="14"/>
      <c r="AA1130" s="14"/>
      <c r="AB1130" s="14">
        <f t="shared" ca="1" si="63"/>
        <v>54.92583693117021</v>
      </c>
      <c r="AC1130" s="14">
        <f t="shared" ca="1" si="63"/>
        <v>54.019800299760192</v>
      </c>
    </row>
    <row r="1131" spans="1:29" ht="15" x14ac:dyDescent="0.2">
      <c r="A1131" s="10">
        <f t="shared" si="64"/>
        <v>2074</v>
      </c>
      <c r="B1131" s="14">
        <f t="shared" ca="1" si="65"/>
        <v>56.996308333333339</v>
      </c>
      <c r="C1131" s="14">
        <f t="shared" ca="1" si="65"/>
        <v>57.002566666666667</v>
      </c>
      <c r="D1131" s="14">
        <f t="shared" ca="1" si="65"/>
        <v>57.191591666666675</v>
      </c>
      <c r="E1131" s="14">
        <f t="shared" ca="1" si="65"/>
        <v>57.224016666666664</v>
      </c>
      <c r="F1131" s="14">
        <f t="shared" ca="1" si="65"/>
        <v>57.02095000000002</v>
      </c>
      <c r="G1131" s="14">
        <f t="shared" ca="1" si="65"/>
        <v>57.038316666666674</v>
      </c>
      <c r="H1131" s="14">
        <f t="shared" ca="1" si="65"/>
        <v>57.213133333333325</v>
      </c>
      <c r="I1131" s="14">
        <f t="shared" ca="1" si="65"/>
        <v>57.19714166666666</v>
      </c>
      <c r="J1131" s="14">
        <f t="shared" ca="1" si="65"/>
        <v>57.013949999999994</v>
      </c>
      <c r="K1131" s="14">
        <f t="shared" ca="1" si="65"/>
        <v>57.193241666666673</v>
      </c>
      <c r="L1131" s="14">
        <f t="shared" ca="1" si="66"/>
        <v>57.800133333333328</v>
      </c>
      <c r="M1131" s="14">
        <f t="shared" ca="1" si="66"/>
        <v>55.99616666666666</v>
      </c>
      <c r="N1131" s="14">
        <f t="shared" ca="1" si="66"/>
        <v>56.013208333333331</v>
      </c>
      <c r="O1131" s="14">
        <f t="shared" ca="1" si="66"/>
        <v>56.191758333333325</v>
      </c>
      <c r="P1131" s="14">
        <f t="shared" ca="1" si="66"/>
        <v>56.172941666666667</v>
      </c>
      <c r="Q1131" s="14">
        <f t="shared" ca="1" si="66"/>
        <v>56.786458333333321</v>
      </c>
      <c r="R1131" s="14">
        <f t="shared" ca="1" si="66"/>
        <v>57.51541666666666</v>
      </c>
      <c r="S1131" s="14">
        <f t="shared" ca="1" si="66"/>
        <v>54.758249999999983</v>
      </c>
      <c r="T1131" s="48">
        <f t="shared" ca="1" si="67"/>
        <v>357.33618100000001</v>
      </c>
      <c r="U1131" s="48">
        <f t="shared" ca="1" si="67"/>
        <v>142.03263249999998</v>
      </c>
      <c r="V1131" s="48">
        <f t="shared" ca="1" si="67"/>
        <v>50.187500000000007</v>
      </c>
      <c r="W1131" s="48">
        <f t="shared" ca="1" si="67"/>
        <v>5.0822234999999996</v>
      </c>
      <c r="X1131" s="48">
        <f t="shared" ca="1" si="67"/>
        <v>20.758966663999999</v>
      </c>
      <c r="Y1131" s="14"/>
      <c r="Z1131" s="14"/>
      <c r="AA1131" s="14"/>
      <c r="AB1131" s="14">
        <f t="shared" ca="1" si="63"/>
        <v>57.055170871136262</v>
      </c>
      <c r="AC1131" s="14">
        <f t="shared" ca="1" si="63"/>
        <v>56.1112321942446</v>
      </c>
    </row>
    <row r="1132" spans="1:29" ht="15" x14ac:dyDescent="0.2">
      <c r="A1132" s="10">
        <f t="shared" si="64"/>
        <v>2075</v>
      </c>
      <c r="B1132" s="14">
        <f t="shared" ca="1" si="65"/>
        <v>59.207725000000011</v>
      </c>
      <c r="C1132" s="14">
        <f t="shared" ca="1" si="65"/>
        <v>59.213999999999999</v>
      </c>
      <c r="D1132" s="14">
        <f t="shared" ca="1" si="65"/>
        <v>59.403008333333332</v>
      </c>
      <c r="E1132" s="14">
        <f t="shared" ca="1" si="65"/>
        <v>59.435425000000009</v>
      </c>
      <c r="F1132" s="14">
        <f t="shared" ca="1" si="65"/>
        <v>59.232374999999998</v>
      </c>
      <c r="G1132" s="14">
        <f t="shared" ca="1" si="65"/>
        <v>59.249716666666671</v>
      </c>
      <c r="H1132" s="14">
        <f t="shared" ca="1" si="65"/>
        <v>59.42454166666667</v>
      </c>
      <c r="I1132" s="14">
        <f t="shared" ca="1" si="65"/>
        <v>59.415458333333341</v>
      </c>
      <c r="J1132" s="14">
        <f t="shared" ca="1" si="65"/>
        <v>59.225375000000007</v>
      </c>
      <c r="K1132" s="14">
        <f t="shared" ca="1" si="65"/>
        <v>59.411558333333325</v>
      </c>
      <c r="L1132" s="14">
        <f t="shared" ca="1" si="66"/>
        <v>60.011541666666666</v>
      </c>
      <c r="M1132" s="14">
        <f t="shared" ca="1" si="66"/>
        <v>58.167791666666666</v>
      </c>
      <c r="N1132" s="14">
        <f t="shared" ca="1" si="66"/>
        <v>58.184841666666664</v>
      </c>
      <c r="O1132" s="14">
        <f t="shared" ca="1" si="66"/>
        <v>58.363399999999992</v>
      </c>
      <c r="P1132" s="14">
        <f t="shared" ca="1" si="66"/>
        <v>58.35125</v>
      </c>
      <c r="Q1132" s="14">
        <f t="shared" ca="1" si="66"/>
        <v>58.958100000000002</v>
      </c>
      <c r="R1132" s="14">
        <f t="shared" ca="1" si="66"/>
        <v>59.692491666666676</v>
      </c>
      <c r="S1132" s="14">
        <f t="shared" ca="1" si="66"/>
        <v>56.883183333333335</v>
      </c>
      <c r="T1132" s="48">
        <f t="shared" ca="1" si="67"/>
        <v>357.33618100000001</v>
      </c>
      <c r="U1132" s="48">
        <f t="shared" ca="1" si="67"/>
        <v>142.03263249999998</v>
      </c>
      <c r="V1132" s="48">
        <f t="shared" ca="1" si="67"/>
        <v>50.187500000000007</v>
      </c>
      <c r="W1132" s="48">
        <f t="shared" ca="1" si="67"/>
        <v>5.0822234999999996</v>
      </c>
      <c r="X1132" s="48">
        <f t="shared" ca="1" si="67"/>
        <v>20.758966663999999</v>
      </c>
      <c r="Y1132" s="14"/>
      <c r="Z1132" s="14"/>
      <c r="AA1132" s="14"/>
      <c r="AB1132" s="14">
        <f t="shared" ca="1" si="63"/>
        <v>59.267160219625559</v>
      </c>
      <c r="AC1132" s="14">
        <f t="shared" ca="1" si="63"/>
        <v>58.283826858513187</v>
      </c>
    </row>
    <row r="1133" spans="1:29" ht="15" x14ac:dyDescent="0.2">
      <c r="A1133" s="10">
        <f t="shared" si="64"/>
        <v>2076</v>
      </c>
      <c r="B1133" s="14">
        <f t="shared" ca="1" si="65"/>
        <v>61.504950000000001</v>
      </c>
      <c r="C1133" s="14">
        <f t="shared" ca="1" si="65"/>
        <v>61.51124166666667</v>
      </c>
      <c r="D1133" s="14">
        <f t="shared" ca="1" si="65"/>
        <v>61.70024166666667</v>
      </c>
      <c r="E1133" s="14">
        <f t="shared" ca="1" si="65"/>
        <v>61.732641666666673</v>
      </c>
      <c r="F1133" s="14">
        <f t="shared" ca="1" si="65"/>
        <v>61.529591666666668</v>
      </c>
      <c r="G1133" s="14">
        <f t="shared" ca="1" si="65"/>
        <v>61.546958333333329</v>
      </c>
      <c r="H1133" s="14">
        <f t="shared" ca="1" si="65"/>
        <v>61.721783333333342</v>
      </c>
      <c r="I1133" s="14">
        <f t="shared" ca="1" si="65"/>
        <v>61.719891666666662</v>
      </c>
      <c r="J1133" s="14">
        <f t="shared" ca="1" si="65"/>
        <v>61.522591666666671</v>
      </c>
      <c r="K1133" s="14">
        <f t="shared" ca="1" si="65"/>
        <v>61.715991666666667</v>
      </c>
      <c r="L1133" s="14">
        <f t="shared" ca="1" si="66"/>
        <v>62.308783333333338</v>
      </c>
      <c r="M1133" s="14">
        <f t="shared" ca="1" si="66"/>
        <v>60.423700000000004</v>
      </c>
      <c r="N1133" s="14">
        <f t="shared" ca="1" si="66"/>
        <v>60.440741666666668</v>
      </c>
      <c r="O1133" s="14">
        <f t="shared" ca="1" si="66"/>
        <v>60.619308333333329</v>
      </c>
      <c r="P1133" s="14">
        <f t="shared" ca="1" si="66"/>
        <v>60.614100000000001</v>
      </c>
      <c r="Q1133" s="14">
        <f t="shared" ca="1" si="66"/>
        <v>61.214008333333339</v>
      </c>
      <c r="R1133" s="14">
        <f t="shared" ca="1" si="66"/>
        <v>61.954041666666662</v>
      </c>
      <c r="S1133" s="14">
        <f t="shared" ca="1" si="66"/>
        <v>59.090591666666661</v>
      </c>
      <c r="T1133" s="48">
        <f t="shared" ca="1" si="67"/>
        <v>358.26753550000001</v>
      </c>
      <c r="U1133" s="48">
        <f t="shared" ca="1" si="67"/>
        <v>142.42176299999997</v>
      </c>
      <c r="V1133" s="48">
        <f t="shared" ca="1" si="67"/>
        <v>50.325000000000003</v>
      </c>
      <c r="W1133" s="48">
        <f t="shared" ca="1" si="67"/>
        <v>5.0961473999999995</v>
      </c>
      <c r="X1133" s="48">
        <f t="shared" ca="1" si="67"/>
        <v>20.800615543999996</v>
      </c>
      <c r="Y1133" s="14"/>
      <c r="Z1133" s="14"/>
      <c r="AA1133" s="14"/>
      <c r="AB1133" s="14">
        <f t="shared" ca="1" si="63"/>
        <v>61.564983510772755</v>
      </c>
      <c r="AC1133" s="14">
        <f t="shared" ca="1" si="63"/>
        <v>60.540733513189444</v>
      </c>
    </row>
    <row r="1134" spans="1:29" ht="15" x14ac:dyDescent="0.2">
      <c r="A1134" s="10">
        <f t="shared" si="64"/>
        <v>2077</v>
      </c>
      <c r="B1134" s="14">
        <f t="shared" ca="1" si="65"/>
        <v>63.891316666666661</v>
      </c>
      <c r="C1134" s="14">
        <f t="shared" ca="1" si="65"/>
        <v>63.89758333333333</v>
      </c>
      <c r="D1134" s="14">
        <f t="shared" ca="1" si="65"/>
        <v>64.086616666666671</v>
      </c>
      <c r="E1134" s="14">
        <f t="shared" ca="1" si="65"/>
        <v>64.119058333333328</v>
      </c>
      <c r="F1134" s="14">
        <f t="shared" ca="1" si="65"/>
        <v>63.915983333333337</v>
      </c>
      <c r="G1134" s="14">
        <f t="shared" ca="1" si="65"/>
        <v>63.933316666666677</v>
      </c>
      <c r="H1134" s="14">
        <f t="shared" ca="1" si="65"/>
        <v>64.108158333333336</v>
      </c>
      <c r="I1134" s="14">
        <f t="shared" ca="1" si="65"/>
        <v>64.113733333333329</v>
      </c>
      <c r="J1134" s="14">
        <f t="shared" ca="1" si="65"/>
        <v>63.908983333333339</v>
      </c>
      <c r="K1134" s="14">
        <f t="shared" ca="1" si="65"/>
        <v>64.109849999999994</v>
      </c>
      <c r="L1134" s="14">
        <f t="shared" ca="1" si="66"/>
        <v>64.695158333333339</v>
      </c>
      <c r="M1134" s="14">
        <f t="shared" ca="1" si="66"/>
        <v>62.767150000000008</v>
      </c>
      <c r="N1134" s="14">
        <f t="shared" ca="1" si="66"/>
        <v>62.784191666666658</v>
      </c>
      <c r="O1134" s="14">
        <f t="shared" ca="1" si="66"/>
        <v>62.962758333333333</v>
      </c>
      <c r="P1134" s="14">
        <f t="shared" ca="1" si="66"/>
        <v>62.964758333333329</v>
      </c>
      <c r="Q1134" s="14">
        <f t="shared" ca="1" si="66"/>
        <v>63.557458333333336</v>
      </c>
      <c r="R1134" s="14">
        <f t="shared" ca="1" si="66"/>
        <v>64.303350000000009</v>
      </c>
      <c r="S1134" s="14">
        <f t="shared" ca="1" si="66"/>
        <v>61.383675000000004</v>
      </c>
      <c r="T1134" s="48">
        <f t="shared" ca="1" si="67"/>
        <v>357.33618100000001</v>
      </c>
      <c r="U1134" s="48">
        <f t="shared" ca="1" si="67"/>
        <v>142.03263249999998</v>
      </c>
      <c r="V1134" s="48">
        <f t="shared" ca="1" si="67"/>
        <v>50.187500000000007</v>
      </c>
      <c r="W1134" s="48">
        <f t="shared" ca="1" si="67"/>
        <v>5.0822234999999996</v>
      </c>
      <c r="X1134" s="48">
        <f t="shared" ca="1" si="67"/>
        <v>20.758966663999999</v>
      </c>
      <c r="Y1134" s="14"/>
      <c r="Z1134" s="14"/>
      <c r="AA1134" s="14"/>
      <c r="AB1134" s="14">
        <f t="shared" ca="1" si="63"/>
        <v>63.951969417362299</v>
      </c>
      <c r="AC1134" s="14">
        <f t="shared" ca="1" si="63"/>
        <v>62.885220683453234</v>
      </c>
    </row>
    <row r="1135" spans="1:29" ht="15" x14ac:dyDescent="0.2">
      <c r="A1135" s="10">
        <f t="shared" si="64"/>
        <v>2078</v>
      </c>
      <c r="B1135" s="14">
        <f t="shared" ca="1" si="65"/>
        <v>66.370308333333327</v>
      </c>
      <c r="C1135" s="14">
        <f t="shared" ca="1" si="65"/>
        <v>66.376583333333329</v>
      </c>
      <c r="D1135" s="14">
        <f t="shared" ca="1" si="65"/>
        <v>66.565591666666663</v>
      </c>
      <c r="E1135" s="14">
        <f t="shared" ca="1" si="65"/>
        <v>66.598016666666652</v>
      </c>
      <c r="F1135" s="14">
        <f t="shared" ca="1" si="65"/>
        <v>66.394966666666662</v>
      </c>
      <c r="G1135" s="14">
        <f t="shared" ca="1" si="65"/>
        <v>66.412316666666655</v>
      </c>
      <c r="H1135" s="14">
        <f t="shared" ca="1" si="65"/>
        <v>66.587133333333341</v>
      </c>
      <c r="I1135" s="14">
        <f t="shared" ca="1" si="65"/>
        <v>66.600483333333329</v>
      </c>
      <c r="J1135" s="14">
        <f t="shared" ca="1" si="65"/>
        <v>66.387966666666671</v>
      </c>
      <c r="K1135" s="14">
        <f t="shared" ca="1" si="65"/>
        <v>66.59660833333335</v>
      </c>
      <c r="L1135" s="14">
        <f t="shared" ca="1" si="66"/>
        <v>67.17413333333333</v>
      </c>
      <c r="M1135" s="14">
        <f t="shared" ca="1" si="66"/>
        <v>65.201566666666665</v>
      </c>
      <c r="N1135" s="14">
        <f t="shared" ca="1" si="66"/>
        <v>65.218599999999995</v>
      </c>
      <c r="O1135" s="14">
        <f t="shared" ca="1" si="66"/>
        <v>65.397141666666656</v>
      </c>
      <c r="P1135" s="14">
        <f t="shared" ca="1" si="66"/>
        <v>65.406633333333332</v>
      </c>
      <c r="Q1135" s="14">
        <f t="shared" ca="1" si="66"/>
        <v>65.991841666666673</v>
      </c>
      <c r="R1135" s="14">
        <f t="shared" ca="1" si="66"/>
        <v>66.743808333333334</v>
      </c>
      <c r="S1135" s="14">
        <f t="shared" ca="1" si="66"/>
        <v>63.765716666666663</v>
      </c>
      <c r="T1135" s="48">
        <f t="shared" ca="1" si="67"/>
        <v>357.33618100000001</v>
      </c>
      <c r="U1135" s="48">
        <f t="shared" ca="1" si="67"/>
        <v>142.03263249999998</v>
      </c>
      <c r="V1135" s="48">
        <f t="shared" ca="1" si="67"/>
        <v>50.187500000000007</v>
      </c>
      <c r="W1135" s="48">
        <f t="shared" ca="1" si="67"/>
        <v>5.0822234999999996</v>
      </c>
      <c r="X1135" s="48">
        <f t="shared" ca="1" si="67"/>
        <v>20.758966663999999</v>
      </c>
      <c r="Y1135" s="14"/>
      <c r="Z1135" s="14"/>
      <c r="AA1135" s="14"/>
      <c r="AB1135" s="14">
        <f t="shared" ca="1" si="63"/>
        <v>66.43159828701674</v>
      </c>
      <c r="AC1135" s="14">
        <f t="shared" ca="1" si="63"/>
        <v>65.320694904076731</v>
      </c>
    </row>
    <row r="1136" spans="1:29" ht="15" x14ac:dyDescent="0.2">
      <c r="A1136" s="10">
        <f t="shared" si="64"/>
        <v>2079</v>
      </c>
      <c r="B1136" s="14">
        <f t="shared" ca="1" si="65"/>
        <v>68.945483333333328</v>
      </c>
      <c r="C1136" s="14">
        <f t="shared" ca="1" si="65"/>
        <v>68.95174999999999</v>
      </c>
      <c r="D1136" s="14">
        <f t="shared" ca="1" si="65"/>
        <v>69.140766666666664</v>
      </c>
      <c r="E1136" s="14">
        <f t="shared" ca="1" si="65"/>
        <v>69.173199999999994</v>
      </c>
      <c r="F1136" s="14">
        <f t="shared" ca="1" si="65"/>
        <v>68.970150000000004</v>
      </c>
      <c r="G1136" s="14">
        <f t="shared" ca="1" si="65"/>
        <v>68.987508333333338</v>
      </c>
      <c r="H1136" s="14">
        <f t="shared" ca="1" si="65"/>
        <v>69.162308333333328</v>
      </c>
      <c r="I1136" s="14">
        <f t="shared" ca="1" si="65"/>
        <v>69.18372500000001</v>
      </c>
      <c r="J1136" s="14">
        <f t="shared" ca="1" si="65"/>
        <v>68.963149999999999</v>
      </c>
      <c r="K1136" s="14">
        <f t="shared" ca="1" si="65"/>
        <v>69.179824999999994</v>
      </c>
      <c r="L1136" s="14">
        <f t="shared" ca="1" si="66"/>
        <v>69.749308333333332</v>
      </c>
      <c r="M1136" s="14">
        <f t="shared" ca="1" si="66"/>
        <v>67.73041666666667</v>
      </c>
      <c r="N1136" s="14">
        <f t="shared" ca="1" si="66"/>
        <v>67.747450000000001</v>
      </c>
      <c r="O1136" s="14">
        <f t="shared" ca="1" si="66"/>
        <v>67.926024999999996</v>
      </c>
      <c r="P1136" s="14">
        <f t="shared" ca="1" si="66"/>
        <v>67.943275</v>
      </c>
      <c r="Q1136" s="14">
        <f t="shared" ca="1" si="66"/>
        <v>68.520725000000013</v>
      </c>
      <c r="R1136" s="14">
        <f t="shared" ca="1" si="66"/>
        <v>69.27902499999999</v>
      </c>
      <c r="S1136" s="14">
        <f t="shared" ca="1" si="66"/>
        <v>66.240208333333314</v>
      </c>
      <c r="T1136" s="48">
        <f t="shared" ca="1" si="67"/>
        <v>357.33618100000001</v>
      </c>
      <c r="U1136" s="48">
        <f t="shared" ca="1" si="67"/>
        <v>142.03263249999998</v>
      </c>
      <c r="V1136" s="48">
        <f t="shared" ca="1" si="67"/>
        <v>50.187500000000007</v>
      </c>
      <c r="W1136" s="48">
        <f t="shared" ca="1" si="67"/>
        <v>5.0822234999999996</v>
      </c>
      <c r="X1136" s="48">
        <f t="shared" ca="1" si="67"/>
        <v>20.758966663999999</v>
      </c>
      <c r="Y1136" s="14"/>
      <c r="Z1136" s="14"/>
      <c r="AA1136" s="14"/>
      <c r="AB1136" s="14">
        <f t="shared" ca="1" si="63"/>
        <v>69.007440724018934</v>
      </c>
      <c r="AC1136" s="14">
        <f t="shared" ca="1" si="63"/>
        <v>67.850681115107918</v>
      </c>
    </row>
    <row r="1137" spans="1:29" ht="15" x14ac:dyDescent="0.2">
      <c r="A1137" s="10">
        <f t="shared" si="64"/>
        <v>2080</v>
      </c>
      <c r="B1137" s="14">
        <f t="shared" ca="1" si="65"/>
        <v>71.620599999999996</v>
      </c>
      <c r="C1137" s="14">
        <f t="shared" ca="1" si="65"/>
        <v>71.626883333333325</v>
      </c>
      <c r="D1137" s="14">
        <f t="shared" ca="1" si="65"/>
        <v>71.815908333333326</v>
      </c>
      <c r="E1137" s="14">
        <f t="shared" ca="1" si="65"/>
        <v>71.848316666666676</v>
      </c>
      <c r="F1137" s="14">
        <f t="shared" ca="1" si="65"/>
        <v>71.64524999999999</v>
      </c>
      <c r="G1137" s="14">
        <f t="shared" ca="1" si="65"/>
        <v>71.662616666666679</v>
      </c>
      <c r="H1137" s="14">
        <f t="shared" ca="1" si="65"/>
        <v>71.837441666666663</v>
      </c>
      <c r="I1137" s="14">
        <f t="shared" ca="1" si="65"/>
        <v>71.867216666666664</v>
      </c>
      <c r="J1137" s="14">
        <f t="shared" ca="1" si="65"/>
        <v>71.638250000000014</v>
      </c>
      <c r="K1137" s="14">
        <f t="shared" ca="1" si="65"/>
        <v>71.863325000000003</v>
      </c>
      <c r="L1137" s="14">
        <f t="shared" ca="1" si="66"/>
        <v>72.424441666666667</v>
      </c>
      <c r="M1137" s="14">
        <f t="shared" ca="1" si="66"/>
        <v>70.357416666666666</v>
      </c>
      <c r="N1137" s="14">
        <f t="shared" ca="1" si="66"/>
        <v>70.374441666666655</v>
      </c>
      <c r="O1137" s="14">
        <f t="shared" ca="1" si="66"/>
        <v>70.553016666666664</v>
      </c>
      <c r="P1137" s="14">
        <f t="shared" ca="1" si="66"/>
        <v>70.578358333333327</v>
      </c>
      <c r="Q1137" s="14">
        <f t="shared" ca="1" si="66"/>
        <v>71.147716666666668</v>
      </c>
      <c r="R1137" s="14">
        <f t="shared" ca="1" si="66"/>
        <v>71.912591666666671</v>
      </c>
      <c r="S1137" s="14">
        <f t="shared" ca="1" si="66"/>
        <v>68.810716666666664</v>
      </c>
      <c r="T1137" s="48">
        <f t="shared" ca="1" si="67"/>
        <v>358.26753550000001</v>
      </c>
      <c r="U1137" s="48">
        <f t="shared" ca="1" si="67"/>
        <v>142.42176299999997</v>
      </c>
      <c r="V1137" s="48">
        <f t="shared" ca="1" si="67"/>
        <v>50.325000000000003</v>
      </c>
      <c r="W1137" s="48">
        <f t="shared" ca="1" si="67"/>
        <v>5.0961473999999995</v>
      </c>
      <c r="X1137" s="48">
        <f t="shared" ca="1" si="67"/>
        <v>20.800615543999996</v>
      </c>
      <c r="Y1137" s="14"/>
      <c r="Z1137" s="14"/>
      <c r="AA1137" s="14"/>
      <c r="AB1137" s="14">
        <f t="shared" ca="1" si="63"/>
        <v>71.683247491841328</v>
      </c>
      <c r="AC1137" s="14">
        <f t="shared" ca="1" si="63"/>
        <v>70.478839928057553</v>
      </c>
    </row>
    <row r="1138" spans="1:29" ht="15" x14ac:dyDescent="0.2">
      <c r="A1138" s="10">
        <f t="shared" si="64"/>
        <v>2081</v>
      </c>
      <c r="B1138" s="14">
        <f t="shared" ca="1" si="65"/>
        <v>74.399516666666671</v>
      </c>
      <c r="C1138" s="14">
        <f t="shared" ca="1" si="65"/>
        <v>74.40580833333334</v>
      </c>
      <c r="D1138" s="14">
        <f t="shared" ca="1" si="65"/>
        <v>74.594816666666659</v>
      </c>
      <c r="E1138" s="14">
        <f t="shared" ca="1" si="65"/>
        <v>74.627249999999989</v>
      </c>
      <c r="F1138" s="14">
        <f t="shared" ca="1" si="65"/>
        <v>74.424175000000005</v>
      </c>
      <c r="G1138" s="14">
        <f t="shared" ca="1" si="65"/>
        <v>74.441525000000013</v>
      </c>
      <c r="H1138" s="14">
        <f t="shared" ca="1" si="65"/>
        <v>74.616349999999997</v>
      </c>
      <c r="I1138" s="14">
        <f t="shared" ca="1" si="65"/>
        <v>74.654858333333308</v>
      </c>
      <c r="J1138" s="14">
        <f t="shared" ca="1" si="65"/>
        <v>74.417175</v>
      </c>
      <c r="K1138" s="14">
        <f t="shared" ca="1" si="65"/>
        <v>74.650966666666662</v>
      </c>
      <c r="L1138" s="14">
        <f t="shared" ca="1" si="66"/>
        <v>75.20335</v>
      </c>
      <c r="M1138" s="14">
        <f t="shared" ca="1" si="66"/>
        <v>73.086366666666663</v>
      </c>
      <c r="N1138" s="14">
        <f t="shared" ca="1" si="66"/>
        <v>73.103408333333348</v>
      </c>
      <c r="O1138" s="14">
        <f t="shared" ca="1" si="66"/>
        <v>73.281966666666662</v>
      </c>
      <c r="P1138" s="14">
        <f t="shared" ca="1" si="66"/>
        <v>73.31568333333334</v>
      </c>
      <c r="Q1138" s="14">
        <f t="shared" ca="1" si="66"/>
        <v>73.876666666666665</v>
      </c>
      <c r="R1138" s="14">
        <f t="shared" ca="1" si="66"/>
        <v>74.648341666666667</v>
      </c>
      <c r="S1138" s="14">
        <f t="shared" ca="1" si="66"/>
        <v>71.481016666666662</v>
      </c>
      <c r="T1138" s="48">
        <f t="shared" ca="1" si="67"/>
        <v>357.33618100000001</v>
      </c>
      <c r="U1138" s="48">
        <f t="shared" ca="1" si="67"/>
        <v>142.03263249999998</v>
      </c>
      <c r="V1138" s="48">
        <f t="shared" ca="1" si="67"/>
        <v>50.187500000000007</v>
      </c>
      <c r="W1138" s="48">
        <f t="shared" ca="1" si="67"/>
        <v>5.0822234999999996</v>
      </c>
      <c r="X1138" s="48">
        <f t="shared" ca="1" si="67"/>
        <v>20.758966663999999</v>
      </c>
      <c r="Y1138" s="14"/>
      <c r="Z1138" s="14"/>
      <c r="AA1138" s="14"/>
      <c r="AB1138" s="14">
        <f t="shared" ca="1" si="63"/>
        <v>74.462886257963717</v>
      </c>
      <c r="AC1138" s="14">
        <f t="shared" ca="1" si="63"/>
        <v>73.208995923261398</v>
      </c>
    </row>
    <row r="1139" spans="1:29" ht="15" x14ac:dyDescent="0.2">
      <c r="A1139" s="10">
        <f t="shared" si="64"/>
        <v>2082</v>
      </c>
      <c r="B1139" s="14">
        <f t="shared" ref="B1139:K1148" ca="1" si="68">AVERAGE(OFFSET(B$601,($A1139-$A$1119)*12,0,12,1))</f>
        <v>77.286299999999997</v>
      </c>
      <c r="C1139" s="14">
        <f t="shared" ca="1" si="68"/>
        <v>77.292583333333326</v>
      </c>
      <c r="D1139" s="14">
        <f t="shared" ca="1" si="68"/>
        <v>77.4816</v>
      </c>
      <c r="E1139" s="14">
        <f t="shared" ca="1" si="68"/>
        <v>77.514008333333337</v>
      </c>
      <c r="F1139" s="14">
        <f t="shared" ca="1" si="68"/>
        <v>77.310966666666658</v>
      </c>
      <c r="G1139" s="14">
        <f t="shared" ca="1" si="68"/>
        <v>77.328308333333339</v>
      </c>
      <c r="H1139" s="14">
        <f t="shared" ca="1" si="68"/>
        <v>77.503133333333338</v>
      </c>
      <c r="I1139" s="14">
        <f t="shared" ca="1" si="68"/>
        <v>77.550650000000005</v>
      </c>
      <c r="J1139" s="14">
        <f t="shared" ca="1" si="68"/>
        <v>77.303966666666668</v>
      </c>
      <c r="K1139" s="14">
        <f t="shared" ca="1" si="68"/>
        <v>77.546783333333337</v>
      </c>
      <c r="L1139" s="14">
        <f t="shared" ref="L1139:S1148" ca="1" si="69">AVERAGE(OFFSET(L$601,($A1139-$A$1119)*12,0,12,1))</f>
        <v>78.090133333333327</v>
      </c>
      <c r="M1139" s="14">
        <f t="shared" ca="1" si="69"/>
        <v>75.921208333333325</v>
      </c>
      <c r="N1139" s="14">
        <f t="shared" ca="1" si="69"/>
        <v>75.938249999999996</v>
      </c>
      <c r="O1139" s="14">
        <f t="shared" ca="1" si="69"/>
        <v>76.116791666666686</v>
      </c>
      <c r="P1139" s="14">
        <f t="shared" ca="1" si="69"/>
        <v>76.159266666666667</v>
      </c>
      <c r="Q1139" s="14">
        <f t="shared" ca="1" si="69"/>
        <v>76.711491666666674</v>
      </c>
      <c r="R1139" s="14">
        <f t="shared" ca="1" si="69"/>
        <v>77.490283333333338</v>
      </c>
      <c r="S1139" s="14">
        <f t="shared" ca="1" si="69"/>
        <v>74.254900000000006</v>
      </c>
      <c r="T1139" s="48">
        <f t="shared" ref="T1139:X1148" ca="1" si="70">SUM(OFFSET(T$601,($A1139-$A$1119)*12,0,12,1))</f>
        <v>357.33618100000001</v>
      </c>
      <c r="U1139" s="48">
        <f t="shared" ca="1" si="70"/>
        <v>142.03263249999998</v>
      </c>
      <c r="V1139" s="48">
        <f t="shared" ca="1" si="70"/>
        <v>50.187500000000007</v>
      </c>
      <c r="W1139" s="48">
        <f t="shared" ca="1" si="70"/>
        <v>5.0822234999999996</v>
      </c>
      <c r="X1139" s="48">
        <f t="shared" ca="1" si="70"/>
        <v>20.758966663999999</v>
      </c>
      <c r="Y1139" s="14"/>
      <c r="Z1139" s="14"/>
      <c r="AA1139" s="14"/>
      <c r="AB1139" s="14">
        <f t="shared" ref="AB1139:AC1157" ca="1" si="71">AVERAGE(OFFSET(AB$601,($A1139-$A$1119)*12,0,12,1))</f>
        <v>77.350411284795584</v>
      </c>
      <c r="AC1139" s="14">
        <f t="shared" ca="1" si="71"/>
        <v>76.045087829736204</v>
      </c>
    </row>
    <row r="1140" spans="1:29" ht="15" x14ac:dyDescent="0.2">
      <c r="A1140" s="10">
        <f t="shared" si="64"/>
        <v>2083</v>
      </c>
      <c r="B1140" s="14">
        <f t="shared" ca="1" si="68"/>
        <v>80.2851</v>
      </c>
      <c r="C1140" s="14">
        <f t="shared" ca="1" si="68"/>
        <v>80.291366666666661</v>
      </c>
      <c r="D1140" s="14">
        <f t="shared" ca="1" si="68"/>
        <v>80.480383333333336</v>
      </c>
      <c r="E1140" s="14">
        <f t="shared" ca="1" si="68"/>
        <v>80.512816666666666</v>
      </c>
      <c r="F1140" s="14">
        <f t="shared" ca="1" si="68"/>
        <v>80.309758333333335</v>
      </c>
      <c r="G1140" s="14">
        <f t="shared" ca="1" si="68"/>
        <v>80.327108333333328</v>
      </c>
      <c r="H1140" s="14">
        <f t="shared" ca="1" si="68"/>
        <v>80.501925000000014</v>
      </c>
      <c r="I1140" s="14">
        <f t="shared" ca="1" si="68"/>
        <v>80.558858333333333</v>
      </c>
      <c r="J1140" s="14">
        <f t="shared" ca="1" si="68"/>
        <v>80.30275833333333</v>
      </c>
      <c r="K1140" s="14">
        <f t="shared" ca="1" si="68"/>
        <v>80.554958333333332</v>
      </c>
      <c r="L1140" s="14">
        <f t="shared" ca="1" si="69"/>
        <v>81.088925000000003</v>
      </c>
      <c r="M1140" s="14">
        <f t="shared" ca="1" si="69"/>
        <v>78.866066666666683</v>
      </c>
      <c r="N1140" s="14">
        <f t="shared" ca="1" si="69"/>
        <v>78.88310833333334</v>
      </c>
      <c r="O1140" s="14">
        <f t="shared" ca="1" si="69"/>
        <v>79.061658333333341</v>
      </c>
      <c r="P1140" s="14">
        <f t="shared" ca="1" si="69"/>
        <v>79.113166666666658</v>
      </c>
      <c r="Q1140" s="14">
        <f t="shared" ca="1" si="69"/>
        <v>79.65635833333333</v>
      </c>
      <c r="R1140" s="14">
        <f t="shared" ca="1" si="69"/>
        <v>80.442508333333336</v>
      </c>
      <c r="S1140" s="14">
        <f t="shared" ca="1" si="69"/>
        <v>77.136433333333329</v>
      </c>
      <c r="T1140" s="48">
        <f t="shared" ca="1" si="70"/>
        <v>357.33618100000001</v>
      </c>
      <c r="U1140" s="48">
        <f t="shared" ca="1" si="70"/>
        <v>142.03263249999998</v>
      </c>
      <c r="V1140" s="48">
        <f t="shared" ca="1" si="70"/>
        <v>50.187500000000007</v>
      </c>
      <c r="W1140" s="48">
        <f t="shared" ca="1" si="70"/>
        <v>5.0822234999999996</v>
      </c>
      <c r="X1140" s="48">
        <f t="shared" ca="1" si="70"/>
        <v>20.758966663999999</v>
      </c>
      <c r="Y1140" s="14"/>
      <c r="Z1140" s="14"/>
      <c r="AA1140" s="14"/>
      <c r="AB1140" s="14">
        <f t="shared" ca="1" si="71"/>
        <v>80.349979162799215</v>
      </c>
      <c r="AC1140" s="14">
        <f t="shared" ca="1" si="71"/>
        <v>78.991250899280573</v>
      </c>
    </row>
    <row r="1141" spans="1:29" ht="15" x14ac:dyDescent="0.2">
      <c r="A1141" s="10">
        <f t="shared" si="64"/>
        <v>2084</v>
      </c>
      <c r="B1141" s="14">
        <f t="shared" ca="1" si="68"/>
        <v>83.400258333333326</v>
      </c>
      <c r="C1141" s="14">
        <f t="shared" ca="1" si="68"/>
        <v>83.406533333333329</v>
      </c>
      <c r="D1141" s="14">
        <f t="shared" ca="1" si="68"/>
        <v>83.595574999999997</v>
      </c>
      <c r="E1141" s="14">
        <f t="shared" ca="1" si="68"/>
        <v>83.627991666666674</v>
      </c>
      <c r="F1141" s="14">
        <f t="shared" ca="1" si="68"/>
        <v>83.424924999999988</v>
      </c>
      <c r="G1141" s="14">
        <f t="shared" ca="1" si="68"/>
        <v>83.442274999999995</v>
      </c>
      <c r="H1141" s="14">
        <f t="shared" ca="1" si="68"/>
        <v>83.617108333333348</v>
      </c>
      <c r="I1141" s="14">
        <f t="shared" ca="1" si="68"/>
        <v>83.683774999999997</v>
      </c>
      <c r="J1141" s="14">
        <f t="shared" ca="1" si="68"/>
        <v>83.417924999999997</v>
      </c>
      <c r="K1141" s="14">
        <f t="shared" ca="1" si="68"/>
        <v>83.67988333333335</v>
      </c>
      <c r="L1141" s="14">
        <f t="shared" ca="1" si="69"/>
        <v>84.204108333333338</v>
      </c>
      <c r="M1141" s="14">
        <f t="shared" ca="1" si="69"/>
        <v>81.925208333333345</v>
      </c>
      <c r="N1141" s="14">
        <f t="shared" ca="1" si="69"/>
        <v>81.942224999999993</v>
      </c>
      <c r="O1141" s="14">
        <f t="shared" ca="1" si="69"/>
        <v>82.12081666666667</v>
      </c>
      <c r="P1141" s="14">
        <f t="shared" ca="1" si="69"/>
        <v>82.181725</v>
      </c>
      <c r="Q1141" s="14">
        <f t="shared" ca="1" si="69"/>
        <v>82.715516666666659</v>
      </c>
      <c r="R1141" s="14">
        <f t="shared" ca="1" si="69"/>
        <v>83.509275000000017</v>
      </c>
      <c r="S1141" s="14">
        <f t="shared" ca="1" si="69"/>
        <v>80.129799999999989</v>
      </c>
      <c r="T1141" s="48">
        <f t="shared" ca="1" si="70"/>
        <v>358.26753550000001</v>
      </c>
      <c r="U1141" s="48">
        <f t="shared" ca="1" si="70"/>
        <v>142.42176299999997</v>
      </c>
      <c r="V1141" s="48">
        <f t="shared" ca="1" si="70"/>
        <v>50.325000000000003</v>
      </c>
      <c r="W1141" s="48">
        <f t="shared" ca="1" si="70"/>
        <v>5.0961473999999995</v>
      </c>
      <c r="X1141" s="48">
        <f t="shared" ca="1" si="70"/>
        <v>20.800615543999996</v>
      </c>
      <c r="Y1141" s="14"/>
      <c r="Z1141" s="14"/>
      <c r="AA1141" s="14"/>
      <c r="AB1141" s="14">
        <f t="shared" ca="1" si="71"/>
        <v>83.465950604450953</v>
      </c>
      <c r="AC1141" s="14">
        <f t="shared" ca="1" si="71"/>
        <v>82.0517535971223</v>
      </c>
    </row>
    <row r="1142" spans="1:29" ht="15" x14ac:dyDescent="0.2">
      <c r="A1142" s="10">
        <f t="shared" si="64"/>
        <v>2085</v>
      </c>
      <c r="B1142" s="14">
        <f t="shared" ca="1" si="68"/>
        <v>86.636324999999999</v>
      </c>
      <c r="C1142" s="14">
        <f t="shared" ca="1" si="68"/>
        <v>86.642583333333334</v>
      </c>
      <c r="D1142" s="14">
        <f t="shared" ca="1" si="68"/>
        <v>86.831624999999988</v>
      </c>
      <c r="E1142" s="14">
        <f t="shared" ca="1" si="68"/>
        <v>86.864041666666665</v>
      </c>
      <c r="F1142" s="14">
        <f t="shared" ca="1" si="68"/>
        <v>86.660966666666681</v>
      </c>
      <c r="G1142" s="14">
        <f t="shared" ca="1" si="68"/>
        <v>86.678333333333342</v>
      </c>
      <c r="H1142" s="14">
        <f t="shared" ca="1" si="68"/>
        <v>86.853166666666667</v>
      </c>
      <c r="I1142" s="14">
        <f t="shared" ca="1" si="68"/>
        <v>86.929966666666658</v>
      </c>
      <c r="J1142" s="14">
        <f t="shared" ca="1" si="68"/>
        <v>86.653966666666676</v>
      </c>
      <c r="K1142" s="14">
        <f t="shared" ca="1" si="68"/>
        <v>86.926066666666671</v>
      </c>
      <c r="L1142" s="14">
        <f t="shared" ca="1" si="69"/>
        <v>87.440166666666656</v>
      </c>
      <c r="M1142" s="14">
        <f t="shared" ca="1" si="69"/>
        <v>85.103049999999996</v>
      </c>
      <c r="N1142" s="14">
        <f t="shared" ca="1" si="69"/>
        <v>85.120074999999986</v>
      </c>
      <c r="O1142" s="14">
        <f t="shared" ca="1" si="69"/>
        <v>85.298649999999995</v>
      </c>
      <c r="P1142" s="14">
        <f t="shared" ca="1" si="69"/>
        <v>85.36933333333333</v>
      </c>
      <c r="Q1142" s="14">
        <f t="shared" ca="1" si="69"/>
        <v>85.893349999999984</v>
      </c>
      <c r="R1142" s="14">
        <f t="shared" ca="1" si="69"/>
        <v>86.695083333333329</v>
      </c>
      <c r="S1142" s="14">
        <f t="shared" ca="1" si="69"/>
        <v>83.239325000000008</v>
      </c>
      <c r="T1142" s="48">
        <f t="shared" ca="1" si="70"/>
        <v>357.33618100000001</v>
      </c>
      <c r="U1142" s="48">
        <f t="shared" ca="1" si="70"/>
        <v>142.03263249999998</v>
      </c>
      <c r="V1142" s="48">
        <f t="shared" ca="1" si="70"/>
        <v>50.187500000000007</v>
      </c>
      <c r="W1142" s="48">
        <f t="shared" ca="1" si="70"/>
        <v>5.0822234999999996</v>
      </c>
      <c r="X1142" s="48">
        <f t="shared" ca="1" si="70"/>
        <v>20.758966663999999</v>
      </c>
      <c r="Y1142" s="14"/>
      <c r="Z1142" s="14"/>
      <c r="AA1142" s="14"/>
      <c r="AB1142" s="14">
        <f t="shared" ca="1" si="71"/>
        <v>86.702837409175629</v>
      </c>
      <c r="AC1142" s="14">
        <f t="shared" ca="1" si="71"/>
        <v>85.230997242206243</v>
      </c>
    </row>
    <row r="1143" spans="1:29" ht="15" x14ac:dyDescent="0.2">
      <c r="A1143" s="10">
        <f t="shared" si="64"/>
        <v>2086</v>
      </c>
      <c r="B1143" s="14">
        <f t="shared" ca="1" si="68"/>
        <v>89.997941666666676</v>
      </c>
      <c r="C1143" s="14">
        <f t="shared" ca="1" si="68"/>
        <v>90.004216666666665</v>
      </c>
      <c r="D1143" s="14">
        <f t="shared" ca="1" si="68"/>
        <v>90.193233333333339</v>
      </c>
      <c r="E1143" s="14">
        <f t="shared" ca="1" si="68"/>
        <v>90.225674999999981</v>
      </c>
      <c r="F1143" s="14">
        <f t="shared" ca="1" si="68"/>
        <v>90.022616666666678</v>
      </c>
      <c r="G1143" s="14">
        <f t="shared" ca="1" si="68"/>
        <v>90.039966666666672</v>
      </c>
      <c r="H1143" s="14">
        <f t="shared" ca="1" si="68"/>
        <v>90.214774999999989</v>
      </c>
      <c r="I1143" s="14">
        <f t="shared" ca="1" si="68"/>
        <v>90.302149999999997</v>
      </c>
      <c r="J1143" s="14">
        <f t="shared" ca="1" si="68"/>
        <v>90.015616666666645</v>
      </c>
      <c r="K1143" s="14">
        <f t="shared" ca="1" si="68"/>
        <v>90.298249999999996</v>
      </c>
      <c r="L1143" s="14">
        <f t="shared" ca="1" si="69"/>
        <v>90.801775000000006</v>
      </c>
      <c r="M1143" s="14">
        <f t="shared" ca="1" si="69"/>
        <v>88.404225000000011</v>
      </c>
      <c r="N1143" s="14">
        <f t="shared" ca="1" si="69"/>
        <v>88.421266666666668</v>
      </c>
      <c r="O1143" s="14">
        <f t="shared" ca="1" si="69"/>
        <v>88.59982500000001</v>
      </c>
      <c r="P1143" s="14">
        <f t="shared" ca="1" si="69"/>
        <v>88.680658333333326</v>
      </c>
      <c r="Q1143" s="14">
        <f t="shared" ca="1" si="69"/>
        <v>89.194525000000013</v>
      </c>
      <c r="R1143" s="14">
        <f t="shared" ca="1" si="69"/>
        <v>90.004491666666652</v>
      </c>
      <c r="S1143" s="14">
        <f t="shared" ca="1" si="69"/>
        <v>86.46952499999999</v>
      </c>
      <c r="T1143" s="48">
        <f t="shared" ca="1" si="70"/>
        <v>357.33618100000001</v>
      </c>
      <c r="U1143" s="48">
        <f t="shared" ca="1" si="70"/>
        <v>142.03263249999998</v>
      </c>
      <c r="V1143" s="48">
        <f t="shared" ca="1" si="70"/>
        <v>50.187500000000007</v>
      </c>
      <c r="W1143" s="48">
        <f t="shared" ca="1" si="70"/>
        <v>5.0822234999999996</v>
      </c>
      <c r="X1143" s="48">
        <f t="shared" ca="1" si="70"/>
        <v>20.758966663999999</v>
      </c>
      <c r="Y1143" s="14"/>
      <c r="Z1143" s="14"/>
      <c r="AA1143" s="14"/>
      <c r="AB1143" s="14">
        <f t="shared" ca="1" si="71"/>
        <v>90.0653403734688</v>
      </c>
      <c r="AC1143" s="14">
        <f t="shared" ca="1" si="71"/>
        <v>88.53363363309353</v>
      </c>
    </row>
    <row r="1144" spans="1:29" ht="15" x14ac:dyDescent="0.2">
      <c r="A1144" s="10">
        <f t="shared" si="64"/>
        <v>2087</v>
      </c>
      <c r="B1144" s="14">
        <f t="shared" ca="1" si="68"/>
        <v>93.490041666666642</v>
      </c>
      <c r="C1144" s="14">
        <f t="shared" ca="1" si="68"/>
        <v>93.496308333333332</v>
      </c>
      <c r="D1144" s="14">
        <f t="shared" ca="1" si="68"/>
        <v>93.685333333333304</v>
      </c>
      <c r="E1144" s="14">
        <f t="shared" ca="1" si="68"/>
        <v>93.717766666666662</v>
      </c>
      <c r="F1144" s="14">
        <f t="shared" ca="1" si="68"/>
        <v>93.514683333333323</v>
      </c>
      <c r="G1144" s="14">
        <f t="shared" ca="1" si="68"/>
        <v>93.532058333333325</v>
      </c>
      <c r="H1144" s="14">
        <f t="shared" ca="1" si="68"/>
        <v>93.706875000000011</v>
      </c>
      <c r="I1144" s="14">
        <f t="shared" ca="1" si="68"/>
        <v>93.805175000000006</v>
      </c>
      <c r="J1144" s="14">
        <f t="shared" ca="1" si="68"/>
        <v>93.507683333333333</v>
      </c>
      <c r="K1144" s="14">
        <f t="shared" ca="1" si="68"/>
        <v>93.801275000000032</v>
      </c>
      <c r="L1144" s="14">
        <f t="shared" ca="1" si="69"/>
        <v>94.293875</v>
      </c>
      <c r="M1144" s="14">
        <f t="shared" ca="1" si="69"/>
        <v>91.833483333333319</v>
      </c>
      <c r="N1144" s="14">
        <f t="shared" ca="1" si="69"/>
        <v>91.850533333333331</v>
      </c>
      <c r="O1144" s="14">
        <f t="shared" ca="1" si="69"/>
        <v>92.029100000000014</v>
      </c>
      <c r="P1144" s="14">
        <f t="shared" ca="1" si="69"/>
        <v>92.120466666666672</v>
      </c>
      <c r="Q1144" s="14">
        <f t="shared" ca="1" si="69"/>
        <v>92.623800000000017</v>
      </c>
      <c r="R1144" s="14">
        <f t="shared" ca="1" si="69"/>
        <v>93.442358333333331</v>
      </c>
      <c r="S1144" s="14">
        <f t="shared" ca="1" si="69"/>
        <v>89.825066666666672</v>
      </c>
      <c r="T1144" s="48">
        <f t="shared" ca="1" si="70"/>
        <v>357.33618100000001</v>
      </c>
      <c r="U1144" s="48">
        <f t="shared" ca="1" si="70"/>
        <v>142.03263249999998</v>
      </c>
      <c r="V1144" s="48">
        <f t="shared" ca="1" si="70"/>
        <v>50.187500000000007</v>
      </c>
      <c r="W1144" s="48">
        <f t="shared" ca="1" si="70"/>
        <v>5.0822234999999996</v>
      </c>
      <c r="X1144" s="48">
        <f t="shared" ca="1" si="70"/>
        <v>20.758966663999999</v>
      </c>
      <c r="Y1144" s="14"/>
      <c r="Z1144" s="14"/>
      <c r="AA1144" s="14"/>
      <c r="AB1144" s="14">
        <f t="shared" ca="1" si="71"/>
        <v>93.558327593684012</v>
      </c>
      <c r="AC1144" s="14">
        <f t="shared" ca="1" si="71"/>
        <v>91.96441798561149</v>
      </c>
    </row>
    <row r="1145" spans="1:29" ht="15" x14ac:dyDescent="0.2">
      <c r="A1145" s="10">
        <f t="shared" si="64"/>
        <v>2088</v>
      </c>
      <c r="B1145" s="14">
        <f t="shared" ca="1" si="68"/>
        <v>97.117641666666671</v>
      </c>
      <c r="C1145" s="14">
        <f t="shared" ca="1" si="68"/>
        <v>97.123925</v>
      </c>
      <c r="D1145" s="14">
        <f t="shared" ca="1" si="68"/>
        <v>97.312950000000001</v>
      </c>
      <c r="E1145" s="14">
        <f t="shared" ca="1" si="68"/>
        <v>97.345366666666678</v>
      </c>
      <c r="F1145" s="14">
        <f t="shared" ca="1" si="68"/>
        <v>97.142308333333332</v>
      </c>
      <c r="G1145" s="14">
        <f t="shared" ca="1" si="68"/>
        <v>97.159666666666666</v>
      </c>
      <c r="H1145" s="14">
        <f t="shared" ca="1" si="68"/>
        <v>97.334491666666665</v>
      </c>
      <c r="I1145" s="14">
        <f t="shared" ca="1" si="68"/>
        <v>97.444124999999985</v>
      </c>
      <c r="J1145" s="14">
        <f t="shared" ca="1" si="68"/>
        <v>97.135308333333342</v>
      </c>
      <c r="K1145" s="14">
        <f t="shared" ca="1" si="68"/>
        <v>97.440258333333347</v>
      </c>
      <c r="L1145" s="14">
        <f t="shared" ca="1" si="69"/>
        <v>97.921491666666668</v>
      </c>
      <c r="M1145" s="14">
        <f t="shared" ca="1" si="69"/>
        <v>95.39585000000001</v>
      </c>
      <c r="N1145" s="14">
        <f t="shared" ca="1" si="69"/>
        <v>95.412891666666667</v>
      </c>
      <c r="O1145" s="14">
        <f t="shared" ca="1" si="69"/>
        <v>95.591450000000009</v>
      </c>
      <c r="P1145" s="14">
        <f t="shared" ca="1" si="69"/>
        <v>95.693808333333322</v>
      </c>
      <c r="Q1145" s="14">
        <f t="shared" ca="1" si="69"/>
        <v>96.186150000000012</v>
      </c>
      <c r="R1145" s="14">
        <f t="shared" ca="1" si="69"/>
        <v>97.01362499999999</v>
      </c>
      <c r="S1145" s="14">
        <f t="shared" ca="1" si="69"/>
        <v>93.310841666666661</v>
      </c>
      <c r="T1145" s="48">
        <f t="shared" ca="1" si="70"/>
        <v>358.26753550000001</v>
      </c>
      <c r="U1145" s="48">
        <f t="shared" ca="1" si="70"/>
        <v>142.42176299999997</v>
      </c>
      <c r="V1145" s="48">
        <f t="shared" ca="1" si="70"/>
        <v>50.325000000000003</v>
      </c>
      <c r="W1145" s="48">
        <f t="shared" ca="1" si="70"/>
        <v>5.0961473999999995</v>
      </c>
      <c r="X1145" s="48">
        <f t="shared" ca="1" si="70"/>
        <v>20.800615543999996</v>
      </c>
      <c r="Y1145" s="14"/>
      <c r="Z1145" s="14"/>
      <c r="AA1145" s="14"/>
      <c r="AB1145" s="14">
        <f t="shared" ca="1" si="71"/>
        <v>97.186876560780433</v>
      </c>
      <c r="AC1145" s="14">
        <f t="shared" ca="1" si="71"/>
        <v>95.528355755395694</v>
      </c>
    </row>
    <row r="1146" spans="1:29" ht="15" x14ac:dyDescent="0.2">
      <c r="A1146" s="10">
        <f t="shared" si="64"/>
        <v>2089</v>
      </c>
      <c r="B1146" s="14">
        <f t="shared" ca="1" si="68"/>
        <v>100.88604166666666</v>
      </c>
      <c r="C1146" s="14">
        <f t="shared" ca="1" si="68"/>
        <v>100.89230833333333</v>
      </c>
      <c r="D1146" s="14">
        <f t="shared" ca="1" si="68"/>
        <v>101.08132499999999</v>
      </c>
      <c r="E1146" s="14">
        <f t="shared" ca="1" si="68"/>
        <v>101.11374166666667</v>
      </c>
      <c r="F1146" s="14">
        <f t="shared" ca="1" si="68"/>
        <v>100.91068333333332</v>
      </c>
      <c r="G1146" s="14">
        <f t="shared" ca="1" si="68"/>
        <v>100.92804166666666</v>
      </c>
      <c r="H1146" s="14">
        <f t="shared" ca="1" si="68"/>
        <v>101.102875</v>
      </c>
      <c r="I1146" s="14">
        <f t="shared" ca="1" si="68"/>
        <v>101.22431666666665</v>
      </c>
      <c r="J1146" s="14">
        <f t="shared" ca="1" si="68"/>
        <v>100.90368333333333</v>
      </c>
      <c r="K1146" s="14">
        <f t="shared" ca="1" si="68"/>
        <v>101.22041666666667</v>
      </c>
      <c r="L1146" s="14">
        <f t="shared" ca="1" si="69"/>
        <v>101.68987500000001</v>
      </c>
      <c r="M1146" s="14">
        <f t="shared" ca="1" si="69"/>
        <v>99.096458333333317</v>
      </c>
      <c r="N1146" s="14">
        <f t="shared" ca="1" si="69"/>
        <v>99.113474999999994</v>
      </c>
      <c r="O1146" s="14">
        <f t="shared" ca="1" si="69"/>
        <v>99.292050000000003</v>
      </c>
      <c r="P1146" s="14">
        <f t="shared" ca="1" si="69"/>
        <v>99.405783333333332</v>
      </c>
      <c r="Q1146" s="14">
        <f t="shared" ca="1" si="69"/>
        <v>99.886750000000006</v>
      </c>
      <c r="R1146" s="14">
        <f t="shared" ca="1" si="69"/>
        <v>100.72346666666665</v>
      </c>
      <c r="S1146" s="14">
        <f t="shared" ca="1" si="69"/>
        <v>96.931891666666672</v>
      </c>
      <c r="T1146" s="48">
        <f t="shared" ca="1" si="70"/>
        <v>357.33618100000001</v>
      </c>
      <c r="U1146" s="48">
        <f t="shared" ca="1" si="70"/>
        <v>142.03263249999998</v>
      </c>
      <c r="V1146" s="48">
        <f t="shared" ca="1" si="70"/>
        <v>50.187500000000007</v>
      </c>
      <c r="W1146" s="48">
        <f t="shared" ca="1" si="70"/>
        <v>5.0822234999999996</v>
      </c>
      <c r="X1146" s="48">
        <f t="shared" ca="1" si="70"/>
        <v>20.758966663999999</v>
      </c>
      <c r="Y1146" s="14"/>
      <c r="Z1146" s="14"/>
      <c r="AA1146" s="14"/>
      <c r="AB1146" s="14">
        <f t="shared" ca="1" si="71"/>
        <v>100.95623035307057</v>
      </c>
      <c r="AC1146" s="14">
        <f t="shared" ca="1" si="71"/>
        <v>99.230594364508377</v>
      </c>
    </row>
    <row r="1147" spans="1:29" ht="15" x14ac:dyDescent="0.2">
      <c r="A1147" s="10">
        <f t="shared" si="64"/>
        <v>2090</v>
      </c>
      <c r="B1147" s="14">
        <f t="shared" ca="1" si="68"/>
        <v>104.80065833333333</v>
      </c>
      <c r="C1147" s="14">
        <f t="shared" ca="1" si="68"/>
        <v>104.80692499999999</v>
      </c>
      <c r="D1147" s="14">
        <f t="shared" ca="1" si="68"/>
        <v>104.99593333333331</v>
      </c>
      <c r="E1147" s="14">
        <f t="shared" ca="1" si="68"/>
        <v>105.02835</v>
      </c>
      <c r="F1147" s="14">
        <f t="shared" ca="1" si="68"/>
        <v>104.82531666666667</v>
      </c>
      <c r="G1147" s="14">
        <f t="shared" ca="1" si="68"/>
        <v>104.84266666666667</v>
      </c>
      <c r="H1147" s="14">
        <f t="shared" ca="1" si="68"/>
        <v>105.017475</v>
      </c>
      <c r="I1147" s="14">
        <f t="shared" ca="1" si="68"/>
        <v>105.15117500000001</v>
      </c>
      <c r="J1147" s="14">
        <f t="shared" ca="1" si="68"/>
        <v>104.81831666666666</v>
      </c>
      <c r="K1147" s="14">
        <f t="shared" ca="1" si="68"/>
        <v>105.14728333333335</v>
      </c>
      <c r="L1147" s="14">
        <f t="shared" ca="1" si="69"/>
        <v>105.60447500000002</v>
      </c>
      <c r="M1147" s="14">
        <f t="shared" ca="1" si="69"/>
        <v>102.94066666666669</v>
      </c>
      <c r="N1147" s="14">
        <f t="shared" ca="1" si="69"/>
        <v>102.95769999999999</v>
      </c>
      <c r="O1147" s="14">
        <f t="shared" ca="1" si="69"/>
        <v>103.13624999999998</v>
      </c>
      <c r="P1147" s="14">
        <f t="shared" ca="1" si="69"/>
        <v>103.26180833333332</v>
      </c>
      <c r="Q1147" s="14">
        <f t="shared" ca="1" si="69"/>
        <v>103.73095000000001</v>
      </c>
      <c r="R1147" s="14">
        <f t="shared" ca="1" si="69"/>
        <v>104.57728333333331</v>
      </c>
      <c r="S1147" s="14">
        <f t="shared" ca="1" si="69"/>
        <v>100.69342499999999</v>
      </c>
      <c r="T1147" s="48">
        <f t="shared" ca="1" si="70"/>
        <v>357.33618100000001</v>
      </c>
      <c r="U1147" s="48">
        <f t="shared" ca="1" si="70"/>
        <v>142.03263249999998</v>
      </c>
      <c r="V1147" s="48">
        <f t="shared" ca="1" si="70"/>
        <v>50.187500000000007</v>
      </c>
      <c r="W1147" s="48">
        <f t="shared" ca="1" si="70"/>
        <v>5.0822234999999996</v>
      </c>
      <c r="X1147" s="48">
        <f t="shared" ca="1" si="70"/>
        <v>20.758966663999999</v>
      </c>
      <c r="Y1147" s="14"/>
      <c r="Z1147" s="14"/>
      <c r="AA1147" s="14"/>
      <c r="AB1147" s="14">
        <f t="shared" ca="1" si="71"/>
        <v>104.87186085302419</v>
      </c>
      <c r="AC1147" s="14">
        <f t="shared" ca="1" si="71"/>
        <v>103.07650011990408</v>
      </c>
    </row>
    <row r="1148" spans="1:29" ht="15" x14ac:dyDescent="0.2">
      <c r="A1148" s="10">
        <f t="shared" si="64"/>
        <v>2091</v>
      </c>
      <c r="B1148" s="14">
        <f t="shared" ca="1" si="68"/>
        <v>108.86716666666668</v>
      </c>
      <c r="C1148" s="14">
        <f t="shared" ca="1" si="68"/>
        <v>108.87344166666664</v>
      </c>
      <c r="D1148" s="14">
        <f t="shared" ca="1" si="68"/>
        <v>109.06248333333332</v>
      </c>
      <c r="E1148" s="14">
        <f t="shared" ca="1" si="68"/>
        <v>109.09490000000001</v>
      </c>
      <c r="F1148" s="14">
        <f t="shared" ca="1" si="68"/>
        <v>108.89183333333334</v>
      </c>
      <c r="G1148" s="14">
        <f t="shared" ca="1" si="68"/>
        <v>108.90919166666667</v>
      </c>
      <c r="H1148" s="14">
        <f t="shared" ca="1" si="68"/>
        <v>109.08402500000001</v>
      </c>
      <c r="I1148" s="14">
        <f t="shared" ca="1" si="68"/>
        <v>109.23044166666665</v>
      </c>
      <c r="J1148" s="14">
        <f t="shared" ca="1" si="68"/>
        <v>108.88483333333335</v>
      </c>
      <c r="K1148" s="14">
        <f t="shared" ca="1" si="68"/>
        <v>109.22656666666667</v>
      </c>
      <c r="L1148" s="14">
        <f t="shared" ca="1" si="69"/>
        <v>109.671025</v>
      </c>
      <c r="M1148" s="14">
        <f t="shared" ca="1" si="69"/>
        <v>106.93405000000001</v>
      </c>
      <c r="N1148" s="14">
        <f t="shared" ca="1" si="69"/>
        <v>106.95108333333333</v>
      </c>
      <c r="O1148" s="14">
        <f t="shared" ca="1" si="69"/>
        <v>107.12963333333333</v>
      </c>
      <c r="P1148" s="14">
        <f t="shared" ca="1" si="69"/>
        <v>107.26745833333332</v>
      </c>
      <c r="Q1148" s="14">
        <f t="shared" ca="1" si="69"/>
        <v>107.72433333333333</v>
      </c>
      <c r="R1148" s="14">
        <f t="shared" ca="1" si="69"/>
        <v>108.58064166666668</v>
      </c>
      <c r="S1148" s="14">
        <f t="shared" ca="1" si="69"/>
        <v>104.60095000000001</v>
      </c>
      <c r="T1148" s="48">
        <f t="shared" ca="1" si="70"/>
        <v>357.33618100000001</v>
      </c>
      <c r="U1148" s="48">
        <f t="shared" ca="1" si="70"/>
        <v>142.03263249999998</v>
      </c>
      <c r="V1148" s="48">
        <f t="shared" ca="1" si="70"/>
        <v>50.187500000000007</v>
      </c>
      <c r="W1148" s="48">
        <f t="shared" ca="1" si="70"/>
        <v>5.0822234999999996</v>
      </c>
      <c r="X1148" s="48">
        <f t="shared" ca="1" si="70"/>
        <v>20.758966663999999</v>
      </c>
      <c r="Y1148" s="14"/>
      <c r="Z1148" s="14"/>
      <c r="AA1148" s="14"/>
      <c r="AB1148" s="14">
        <f t="shared" ca="1" si="71"/>
        <v>108.93943204212887</v>
      </c>
      <c r="AC1148" s="14">
        <f t="shared" ca="1" si="71"/>
        <v>107.07164844124702</v>
      </c>
    </row>
    <row r="1149" spans="1:29" ht="15" x14ac:dyDescent="0.2">
      <c r="A1149" s="10">
        <f t="shared" si="64"/>
        <v>2092</v>
      </c>
      <c r="B1149" s="14">
        <f t="shared" ref="B1149:K1157" ca="1" si="72">AVERAGE(OFFSET(B$601,($A1149-$A$1119)*12,0,12,1))</f>
        <v>113.09150833333335</v>
      </c>
      <c r="C1149" s="14">
        <f t="shared" ca="1" si="72"/>
        <v>113.09779166666668</v>
      </c>
      <c r="D1149" s="14">
        <f t="shared" ca="1" si="72"/>
        <v>113.28680833333333</v>
      </c>
      <c r="E1149" s="14">
        <f t="shared" ca="1" si="72"/>
        <v>113.31922500000002</v>
      </c>
      <c r="F1149" s="14">
        <f t="shared" ca="1" si="72"/>
        <v>113.11616666666667</v>
      </c>
      <c r="G1149" s="14">
        <f t="shared" ca="1" si="72"/>
        <v>113.13352500000001</v>
      </c>
      <c r="H1149" s="14">
        <f t="shared" ca="1" si="72"/>
        <v>113.30834166666669</v>
      </c>
      <c r="I1149" s="14">
        <f t="shared" ca="1" si="72"/>
        <v>113.468025</v>
      </c>
      <c r="J1149" s="14">
        <f t="shared" ca="1" si="72"/>
        <v>113.10916666666667</v>
      </c>
      <c r="K1149" s="14">
        <f t="shared" ca="1" si="72"/>
        <v>113.46413333333334</v>
      </c>
      <c r="L1149" s="14">
        <f t="shared" ref="L1149:S1157" ca="1" si="73">AVERAGE(OFFSET(L$601,($A1149-$A$1119)*12,0,12,1))</f>
        <v>113.89534166666668</v>
      </c>
      <c r="M1149" s="14">
        <f t="shared" ca="1" si="73"/>
        <v>111.08240833333332</v>
      </c>
      <c r="N1149" s="14">
        <f t="shared" ca="1" si="73"/>
        <v>111.09943333333332</v>
      </c>
      <c r="O1149" s="14">
        <f t="shared" ca="1" si="73"/>
        <v>111.27799166666667</v>
      </c>
      <c r="P1149" s="14">
        <f t="shared" ca="1" si="73"/>
        <v>111.42858333333334</v>
      </c>
      <c r="Q1149" s="14">
        <f t="shared" ca="1" si="73"/>
        <v>111.87269166666665</v>
      </c>
      <c r="R1149" s="14">
        <f t="shared" ca="1" si="73"/>
        <v>112.739375</v>
      </c>
      <c r="S1149" s="14">
        <f t="shared" ca="1" si="73"/>
        <v>108.66013333333335</v>
      </c>
      <c r="T1149" s="48">
        <f t="shared" ref="T1149:X1157" ca="1" si="74">SUM(OFFSET(T$601,($A1149-$A$1119)*12,0,12,1))</f>
        <v>358.26753550000001</v>
      </c>
      <c r="U1149" s="48">
        <f t="shared" ca="1" si="74"/>
        <v>142.42176299999997</v>
      </c>
      <c r="V1149" s="48">
        <f t="shared" ca="1" si="74"/>
        <v>50.325000000000003</v>
      </c>
      <c r="W1149" s="48">
        <f t="shared" ca="1" si="74"/>
        <v>5.0961473999999995</v>
      </c>
      <c r="X1149" s="48">
        <f t="shared" ca="1" si="74"/>
        <v>20.800615543999996</v>
      </c>
      <c r="Y1149" s="14"/>
      <c r="Z1149" s="14"/>
      <c r="AA1149" s="14"/>
      <c r="AB1149" s="14">
        <f t="shared" ca="1" si="71"/>
        <v>113.16486152586612</v>
      </c>
      <c r="AC1149" s="14">
        <f t="shared" ca="1" si="71"/>
        <v>111.22184322541962</v>
      </c>
    </row>
    <row r="1150" spans="1:29" ht="15" x14ac:dyDescent="0.2">
      <c r="A1150" s="10">
        <f t="shared" si="64"/>
        <v>2093</v>
      </c>
      <c r="B1150" s="14">
        <f t="shared" ca="1" si="72"/>
        <v>117.47979166666669</v>
      </c>
      <c r="C1150" s="14">
        <f t="shared" ca="1" si="72"/>
        <v>117.48604166666665</v>
      </c>
      <c r="D1150" s="14">
        <f t="shared" ca="1" si="72"/>
        <v>117.67507499999999</v>
      </c>
      <c r="E1150" s="14">
        <f t="shared" ca="1" si="72"/>
        <v>117.70750833333334</v>
      </c>
      <c r="F1150" s="14">
        <f t="shared" ca="1" si="72"/>
        <v>117.50444166666666</v>
      </c>
      <c r="G1150" s="14">
        <f t="shared" ca="1" si="72"/>
        <v>117.52179166666666</v>
      </c>
      <c r="H1150" s="14">
        <f t="shared" ca="1" si="72"/>
        <v>117.69661666666667</v>
      </c>
      <c r="I1150" s="14">
        <f t="shared" ca="1" si="72"/>
        <v>117.87001666666667</v>
      </c>
      <c r="J1150" s="14">
        <f t="shared" ca="1" si="72"/>
        <v>117.49744166666669</v>
      </c>
      <c r="K1150" s="14">
        <f t="shared" ca="1" si="72"/>
        <v>117.86613333333337</v>
      </c>
      <c r="L1150" s="14">
        <f t="shared" ca="1" si="73"/>
        <v>118.28361666666667</v>
      </c>
      <c r="M1150" s="14">
        <f t="shared" ca="1" si="73"/>
        <v>115.39174166666665</v>
      </c>
      <c r="N1150" s="14">
        <f t="shared" ca="1" si="73"/>
        <v>115.40878333333335</v>
      </c>
      <c r="O1150" s="14">
        <f t="shared" ca="1" si="73"/>
        <v>115.58734166666666</v>
      </c>
      <c r="P1150" s="14">
        <f t="shared" ca="1" si="73"/>
        <v>115.751175</v>
      </c>
      <c r="Q1150" s="14">
        <f t="shared" ca="1" si="73"/>
        <v>116.18204166666668</v>
      </c>
      <c r="R1150" s="14">
        <f t="shared" ca="1" si="73"/>
        <v>117.05948333333333</v>
      </c>
      <c r="S1150" s="14">
        <f t="shared" ca="1" si="73"/>
        <v>112.87682499999998</v>
      </c>
      <c r="T1150" s="48">
        <f t="shared" ca="1" si="74"/>
        <v>357.33618100000001</v>
      </c>
      <c r="U1150" s="48">
        <f t="shared" ca="1" si="74"/>
        <v>142.03263249999998</v>
      </c>
      <c r="V1150" s="48">
        <f t="shared" ca="1" si="74"/>
        <v>50.187500000000007</v>
      </c>
      <c r="W1150" s="48">
        <f t="shared" ca="1" si="74"/>
        <v>5.0822234999999996</v>
      </c>
      <c r="X1150" s="48">
        <f t="shared" ca="1" si="74"/>
        <v>20.758966663999999</v>
      </c>
      <c r="Y1150" s="14"/>
      <c r="Z1150" s="14"/>
      <c r="AA1150" s="14"/>
      <c r="AB1150" s="14">
        <f t="shared" ca="1" si="71"/>
        <v>117.55425995170079</v>
      </c>
      <c r="AC1150" s="14">
        <f t="shared" ca="1" si="71"/>
        <v>115.53309274580334</v>
      </c>
    </row>
    <row r="1151" spans="1:29" ht="15" x14ac:dyDescent="0.2">
      <c r="A1151" s="10">
        <f t="shared" si="64"/>
        <v>2094</v>
      </c>
      <c r="B1151" s="14">
        <f t="shared" ca="1" si="72"/>
        <v>122.03835833333333</v>
      </c>
      <c r="C1151" s="14">
        <f t="shared" ca="1" si="72"/>
        <v>122.04461666666664</v>
      </c>
      <c r="D1151" s="14">
        <f t="shared" ca="1" si="72"/>
        <v>122.23363333333332</v>
      </c>
      <c r="E1151" s="14">
        <f t="shared" ca="1" si="72"/>
        <v>122.26606666666669</v>
      </c>
      <c r="F1151" s="14">
        <f t="shared" ca="1" si="72"/>
        <v>122.06300833333334</v>
      </c>
      <c r="G1151" s="14">
        <f t="shared" ca="1" si="72"/>
        <v>122.08036666666668</v>
      </c>
      <c r="H1151" s="14">
        <f t="shared" ca="1" si="72"/>
        <v>122.25517500000001</v>
      </c>
      <c r="I1151" s="14">
        <f t="shared" ca="1" si="72"/>
        <v>122.44286666666665</v>
      </c>
      <c r="J1151" s="14">
        <f t="shared" ca="1" si="72"/>
        <v>122.05600833333331</v>
      </c>
      <c r="K1151" s="14">
        <f t="shared" ca="1" si="72"/>
        <v>122.43898333333333</v>
      </c>
      <c r="L1151" s="14">
        <f t="shared" ca="1" si="73"/>
        <v>122.842175</v>
      </c>
      <c r="M1151" s="14">
        <f t="shared" ca="1" si="73"/>
        <v>119.86829166666666</v>
      </c>
      <c r="N1151" s="14">
        <f t="shared" ca="1" si="73"/>
        <v>119.88536666666664</v>
      </c>
      <c r="O1151" s="14">
        <f t="shared" ca="1" si="73"/>
        <v>120.06390833333334</v>
      </c>
      <c r="P1151" s="14">
        <f t="shared" ca="1" si="73"/>
        <v>120.24151666666667</v>
      </c>
      <c r="Q1151" s="14">
        <f t="shared" ca="1" si="73"/>
        <v>120.65860833333333</v>
      </c>
      <c r="R1151" s="14">
        <f t="shared" ca="1" si="73"/>
        <v>121.54725000000001</v>
      </c>
      <c r="S1151" s="14">
        <f t="shared" ca="1" si="73"/>
        <v>117.25712500000002</v>
      </c>
      <c r="T1151" s="48">
        <f t="shared" ca="1" si="74"/>
        <v>357.33618100000001</v>
      </c>
      <c r="U1151" s="48">
        <f t="shared" ca="1" si="74"/>
        <v>142.03263249999998</v>
      </c>
      <c r="V1151" s="48">
        <f t="shared" ca="1" si="74"/>
        <v>50.187500000000007</v>
      </c>
      <c r="W1151" s="48">
        <f t="shared" ca="1" si="74"/>
        <v>5.0822234999999996</v>
      </c>
      <c r="X1151" s="48">
        <f t="shared" ca="1" si="74"/>
        <v>20.758966663999999</v>
      </c>
      <c r="Y1151" s="14"/>
      <c r="Z1151" s="14"/>
      <c r="AA1151" s="14"/>
      <c r="AB1151" s="14">
        <f t="shared" ca="1" si="71"/>
        <v>122.11400613928517</v>
      </c>
      <c r="AC1151" s="14">
        <f t="shared" ca="1" si="71"/>
        <v>120.01163663069542</v>
      </c>
    </row>
    <row r="1152" spans="1:29" ht="15" x14ac:dyDescent="0.2">
      <c r="A1152" s="10">
        <f t="shared" si="64"/>
        <v>2095</v>
      </c>
      <c r="B1152" s="14">
        <f t="shared" ca="1" si="72"/>
        <v>126.77380833333332</v>
      </c>
      <c r="C1152" s="14">
        <f t="shared" ca="1" si="72"/>
        <v>126.78009166666668</v>
      </c>
      <c r="D1152" s="14">
        <f t="shared" ca="1" si="72"/>
        <v>126.96911666666666</v>
      </c>
      <c r="E1152" s="14">
        <f t="shared" ca="1" si="72"/>
        <v>127.001525</v>
      </c>
      <c r="F1152" s="14">
        <f t="shared" ca="1" si="72"/>
        <v>126.79847500000001</v>
      </c>
      <c r="G1152" s="14">
        <f t="shared" ca="1" si="72"/>
        <v>126.81580833333332</v>
      </c>
      <c r="H1152" s="14">
        <f t="shared" ca="1" si="72"/>
        <v>126.99065833333331</v>
      </c>
      <c r="I1152" s="14">
        <f t="shared" ca="1" si="72"/>
        <v>127.19315833333332</v>
      </c>
      <c r="J1152" s="14">
        <f t="shared" ca="1" si="72"/>
        <v>126.79147500000001</v>
      </c>
      <c r="K1152" s="14">
        <f t="shared" ca="1" si="72"/>
        <v>127.18926666666665</v>
      </c>
      <c r="L1152" s="14">
        <f t="shared" ca="1" si="73"/>
        <v>127.5776583333333</v>
      </c>
      <c r="M1152" s="14">
        <f t="shared" ca="1" si="73"/>
        <v>124.51860833333335</v>
      </c>
      <c r="N1152" s="14">
        <f t="shared" ca="1" si="73"/>
        <v>124.53564166666666</v>
      </c>
      <c r="O1152" s="14">
        <f t="shared" ca="1" si="73"/>
        <v>124.71419999999999</v>
      </c>
      <c r="P1152" s="14">
        <f t="shared" ca="1" si="73"/>
        <v>124.90610833333334</v>
      </c>
      <c r="Q1152" s="14">
        <f t="shared" ca="1" si="73"/>
        <v>125.30889999999998</v>
      </c>
      <c r="R1152" s="14">
        <f t="shared" ca="1" si="73"/>
        <v>126.209175</v>
      </c>
      <c r="S1152" s="14">
        <f t="shared" ca="1" si="73"/>
        <v>121.80744166666669</v>
      </c>
      <c r="T1152" s="48">
        <f t="shared" ca="1" si="74"/>
        <v>357.33618100000001</v>
      </c>
      <c r="U1152" s="48">
        <f t="shared" ca="1" si="74"/>
        <v>142.03263249999998</v>
      </c>
      <c r="V1152" s="48">
        <f t="shared" ca="1" si="74"/>
        <v>50.187500000000007</v>
      </c>
      <c r="W1152" s="48">
        <f t="shared" ca="1" si="74"/>
        <v>5.0822234999999996</v>
      </c>
      <c r="X1152" s="48">
        <f t="shared" ca="1" si="74"/>
        <v>20.758966663999999</v>
      </c>
      <c r="Y1152" s="14"/>
      <c r="Z1152" s="14"/>
      <c r="AA1152" s="14"/>
      <c r="AB1152" s="14">
        <f t="shared" ca="1" si="71"/>
        <v>126.85069210012615</v>
      </c>
      <c r="AC1152" s="14">
        <f t="shared" ca="1" si="71"/>
        <v>124.66399352517986</v>
      </c>
    </row>
    <row r="1153" spans="1:29" ht="15" x14ac:dyDescent="0.2">
      <c r="A1153" s="10">
        <f t="shared" si="64"/>
        <v>2096</v>
      </c>
      <c r="B1153" s="14">
        <f t="shared" ca="1" si="72"/>
        <v>131.69305</v>
      </c>
      <c r="C1153" s="14">
        <f t="shared" ca="1" si="72"/>
        <v>131.69929999999999</v>
      </c>
      <c r="D1153" s="14">
        <f t="shared" ca="1" si="72"/>
        <v>131.88833333333332</v>
      </c>
      <c r="E1153" s="14">
        <f t="shared" ca="1" si="72"/>
        <v>131.92077500000002</v>
      </c>
      <c r="F1153" s="14">
        <f t="shared" ca="1" si="72"/>
        <v>131.71770833333332</v>
      </c>
      <c r="G1153" s="14">
        <f t="shared" ca="1" si="72"/>
        <v>131.73504999999997</v>
      </c>
      <c r="H1153" s="14">
        <f t="shared" ca="1" si="72"/>
        <v>131.90987499999997</v>
      </c>
      <c r="I1153" s="14">
        <f t="shared" ca="1" si="72"/>
        <v>132.12780833333332</v>
      </c>
      <c r="J1153" s="14">
        <f t="shared" ca="1" si="72"/>
        <v>131.71070833333332</v>
      </c>
      <c r="K1153" s="14">
        <f t="shared" ca="1" si="72"/>
        <v>132.12390833333336</v>
      </c>
      <c r="L1153" s="14">
        <f t="shared" ca="1" si="73"/>
        <v>132.49687499999999</v>
      </c>
      <c r="M1153" s="14">
        <f t="shared" ca="1" si="73"/>
        <v>129.34935833333333</v>
      </c>
      <c r="N1153" s="14">
        <f t="shared" ca="1" si="73"/>
        <v>129.36639166666666</v>
      </c>
      <c r="O1153" s="14">
        <f t="shared" ca="1" si="73"/>
        <v>129.54495833333331</v>
      </c>
      <c r="P1153" s="14">
        <f t="shared" ca="1" si="73"/>
        <v>129.7517</v>
      </c>
      <c r="Q1153" s="14">
        <f t="shared" ca="1" si="73"/>
        <v>130.13965833333333</v>
      </c>
      <c r="R1153" s="14">
        <f t="shared" ca="1" si="73"/>
        <v>131.05199166666668</v>
      </c>
      <c r="S1153" s="14">
        <f t="shared" ca="1" si="73"/>
        <v>126.53432500000001</v>
      </c>
      <c r="T1153" s="48">
        <f t="shared" ca="1" si="74"/>
        <v>358.26753550000001</v>
      </c>
      <c r="U1153" s="48">
        <f t="shared" ca="1" si="74"/>
        <v>142.42176299999997</v>
      </c>
      <c r="V1153" s="48">
        <f t="shared" ca="1" si="74"/>
        <v>50.325000000000003</v>
      </c>
      <c r="W1153" s="48">
        <f t="shared" ca="1" si="74"/>
        <v>5.0961473999999995</v>
      </c>
      <c r="X1153" s="48">
        <f t="shared" ca="1" si="74"/>
        <v>20.800615543999996</v>
      </c>
      <c r="Y1153" s="14"/>
      <c r="Z1153" s="14"/>
      <c r="AA1153" s="14"/>
      <c r="AB1153" s="14">
        <f t="shared" ca="1" si="71"/>
        <v>131.77119082873861</v>
      </c>
      <c r="AC1153" s="14">
        <f t="shared" ca="1" si="71"/>
        <v>129.49688279376497</v>
      </c>
    </row>
    <row r="1154" spans="1:29" ht="15" x14ac:dyDescent="0.2">
      <c r="A1154" s="10">
        <f t="shared" si="64"/>
        <v>2097</v>
      </c>
      <c r="B1154" s="14">
        <f t="shared" ca="1" si="72"/>
        <v>136.80317499999998</v>
      </c>
      <c r="C1154" s="14">
        <f t="shared" ca="1" si="72"/>
        <v>136.80945</v>
      </c>
      <c r="D1154" s="14">
        <f t="shared" ca="1" si="72"/>
        <v>136.99848333333333</v>
      </c>
      <c r="E1154" s="14">
        <f t="shared" ca="1" si="72"/>
        <v>137.0309</v>
      </c>
      <c r="F1154" s="14">
        <f t="shared" ca="1" si="72"/>
        <v>136.82782499999999</v>
      </c>
      <c r="G1154" s="14">
        <f t="shared" ca="1" si="72"/>
        <v>136.84518333333332</v>
      </c>
      <c r="H1154" s="14">
        <f t="shared" ca="1" si="72"/>
        <v>137.020025</v>
      </c>
      <c r="I1154" s="14">
        <f t="shared" ca="1" si="72"/>
        <v>137.25393333333335</v>
      </c>
      <c r="J1154" s="14">
        <f t="shared" ca="1" si="72"/>
        <v>136.82082499999999</v>
      </c>
      <c r="K1154" s="14">
        <f t="shared" ca="1" si="72"/>
        <v>137.25003333333333</v>
      </c>
      <c r="L1154" s="14">
        <f t="shared" ca="1" si="73"/>
        <v>137.60702499999999</v>
      </c>
      <c r="M1154" s="14">
        <f t="shared" ca="1" si="73"/>
        <v>134.36758333333333</v>
      </c>
      <c r="N1154" s="14">
        <f t="shared" ca="1" si="73"/>
        <v>134.38461666666669</v>
      </c>
      <c r="O1154" s="14">
        <f t="shared" ca="1" si="73"/>
        <v>134.56315833333332</v>
      </c>
      <c r="P1154" s="14">
        <f t="shared" ca="1" si="73"/>
        <v>134.78535833333333</v>
      </c>
      <c r="Q1154" s="14">
        <f t="shared" ca="1" si="73"/>
        <v>135.15785833333334</v>
      </c>
      <c r="R1154" s="14">
        <f t="shared" ca="1" si="73"/>
        <v>136.08275833333335</v>
      </c>
      <c r="S1154" s="14">
        <f t="shared" ca="1" si="73"/>
        <v>131.44465833333331</v>
      </c>
      <c r="T1154" s="48">
        <f t="shared" ca="1" si="74"/>
        <v>357.33618100000001</v>
      </c>
      <c r="U1154" s="48">
        <f t="shared" ca="1" si="74"/>
        <v>142.03263249999998</v>
      </c>
      <c r="V1154" s="48">
        <f t="shared" ca="1" si="74"/>
        <v>50.187500000000007</v>
      </c>
      <c r="W1154" s="48">
        <f t="shared" ca="1" si="74"/>
        <v>5.0822234999999996</v>
      </c>
      <c r="X1154" s="48">
        <f t="shared" ca="1" si="74"/>
        <v>20.758966663999999</v>
      </c>
      <c r="Y1154" s="14"/>
      <c r="Z1154" s="14"/>
      <c r="AA1154" s="14"/>
      <c r="AB1154" s="14">
        <f t="shared" ca="1" si="71"/>
        <v>136.88264193483221</v>
      </c>
      <c r="AC1154" s="14">
        <f t="shared" ca="1" si="71"/>
        <v>134.51731708633093</v>
      </c>
    </row>
    <row r="1155" spans="1:29" ht="15" x14ac:dyDescent="0.2">
      <c r="A1155" s="10">
        <f t="shared" si="64"/>
        <v>2098</v>
      </c>
      <c r="B1155" s="14">
        <f t="shared" ca="1" si="72"/>
        <v>142.11160833333329</v>
      </c>
      <c r="C1155" s="14">
        <f t="shared" ca="1" si="72"/>
        <v>142.117875</v>
      </c>
      <c r="D1155" s="14">
        <f t="shared" ca="1" si="72"/>
        <v>142.30690000000001</v>
      </c>
      <c r="E1155" s="14">
        <f t="shared" ca="1" si="72"/>
        <v>142.33931666666663</v>
      </c>
      <c r="F1155" s="14">
        <f t="shared" ca="1" si="72"/>
        <v>142.13625833333336</v>
      </c>
      <c r="G1155" s="14">
        <f t="shared" ca="1" si="72"/>
        <v>142.15362500000001</v>
      </c>
      <c r="H1155" s="14">
        <f t="shared" ca="1" si="72"/>
        <v>142.32844166666666</v>
      </c>
      <c r="I1155" s="14">
        <f t="shared" ca="1" si="72"/>
        <v>142.57900000000001</v>
      </c>
      <c r="J1155" s="14">
        <f t="shared" ca="1" si="72"/>
        <v>142.12925833333335</v>
      </c>
      <c r="K1155" s="14">
        <f t="shared" ca="1" si="72"/>
        <v>142.5751083333333</v>
      </c>
      <c r="L1155" s="14">
        <f t="shared" ca="1" si="73"/>
        <v>142.91544166666665</v>
      </c>
      <c r="M1155" s="14">
        <f t="shared" ca="1" si="73"/>
        <v>139.58051666666665</v>
      </c>
      <c r="N1155" s="14">
        <f t="shared" ca="1" si="73"/>
        <v>139.59755833333335</v>
      </c>
      <c r="O1155" s="14">
        <f t="shared" ca="1" si="73"/>
        <v>139.77612500000001</v>
      </c>
      <c r="P1155" s="14">
        <f t="shared" ca="1" si="73"/>
        <v>140.01433333333333</v>
      </c>
      <c r="Q1155" s="14">
        <f t="shared" ca="1" si="73"/>
        <v>140.370825</v>
      </c>
      <c r="R1155" s="14">
        <f t="shared" ca="1" si="73"/>
        <v>141.30874166666666</v>
      </c>
      <c r="S1155" s="14">
        <f t="shared" ca="1" si="73"/>
        <v>136.54553333333334</v>
      </c>
      <c r="T1155" s="48">
        <f t="shared" ca="1" si="74"/>
        <v>357.33618100000001</v>
      </c>
      <c r="U1155" s="48">
        <f t="shared" ca="1" si="74"/>
        <v>142.03263249999998</v>
      </c>
      <c r="V1155" s="48">
        <f t="shared" ca="1" si="74"/>
        <v>50.187500000000007</v>
      </c>
      <c r="W1155" s="48">
        <f t="shared" ca="1" si="74"/>
        <v>5.0822234999999996</v>
      </c>
      <c r="X1155" s="48">
        <f t="shared" ca="1" si="74"/>
        <v>20.758966663999999</v>
      </c>
      <c r="Y1155" s="14"/>
      <c r="Z1155" s="14"/>
      <c r="AA1155" s="14"/>
      <c r="AB1155" s="14">
        <f t="shared" ca="1" si="71"/>
        <v>142.19244244016664</v>
      </c>
      <c r="AC1155" s="14">
        <f t="shared" ca="1" si="71"/>
        <v>139.73257416067148</v>
      </c>
    </row>
    <row r="1156" spans="1:29" ht="15" x14ac:dyDescent="0.2">
      <c r="A1156" s="10">
        <f t="shared" si="64"/>
        <v>2099</v>
      </c>
      <c r="B1156" s="14">
        <f t="shared" ca="1" si="72"/>
        <v>147.62605000000002</v>
      </c>
      <c r="C1156" s="14">
        <f t="shared" ca="1" si="72"/>
        <v>147.63232499999998</v>
      </c>
      <c r="D1156" s="14">
        <f t="shared" ca="1" si="72"/>
        <v>147.82135</v>
      </c>
      <c r="E1156" s="14">
        <f t="shared" ca="1" si="72"/>
        <v>147.85377500000001</v>
      </c>
      <c r="F1156" s="14">
        <f t="shared" ca="1" si="72"/>
        <v>147.65071666666668</v>
      </c>
      <c r="G1156" s="14">
        <f t="shared" ca="1" si="72"/>
        <v>147.66805833333333</v>
      </c>
      <c r="H1156" s="14">
        <f t="shared" ca="1" si="72"/>
        <v>147.8428916666667</v>
      </c>
      <c r="I1156" s="14">
        <f t="shared" ca="1" si="72"/>
        <v>148.11071666666666</v>
      </c>
      <c r="J1156" s="14">
        <f t="shared" ca="1" si="72"/>
        <v>147.64371666666668</v>
      </c>
      <c r="K1156" s="14">
        <f t="shared" ca="1" si="72"/>
        <v>148.10682500000001</v>
      </c>
      <c r="L1156" s="14">
        <f t="shared" ca="1" si="73"/>
        <v>148.42989166666669</v>
      </c>
      <c r="M1156" s="14">
        <f t="shared" ca="1" si="73"/>
        <v>144.99578333333332</v>
      </c>
      <c r="N1156" s="14">
        <f t="shared" ca="1" si="73"/>
        <v>145.01280833333331</v>
      </c>
      <c r="O1156" s="14">
        <f t="shared" ca="1" si="73"/>
        <v>145.19136666666665</v>
      </c>
      <c r="P1156" s="14">
        <f t="shared" ca="1" si="73"/>
        <v>145.44624166666665</v>
      </c>
      <c r="Q1156" s="14">
        <f t="shared" ca="1" si="73"/>
        <v>145.78606666666667</v>
      </c>
      <c r="R1156" s="14">
        <f t="shared" ca="1" si="73"/>
        <v>146.73753333333332</v>
      </c>
      <c r="S1156" s="14">
        <f t="shared" ca="1" si="73"/>
        <v>141.84436666666667</v>
      </c>
      <c r="T1156" s="48">
        <f t="shared" ca="1" si="74"/>
        <v>357.33618100000001</v>
      </c>
      <c r="U1156" s="48">
        <f t="shared" ca="1" si="74"/>
        <v>142.03263249999998</v>
      </c>
      <c r="V1156" s="48">
        <f t="shared" ca="1" si="74"/>
        <v>50.187500000000007</v>
      </c>
      <c r="W1156" s="48">
        <f t="shared" ca="1" si="74"/>
        <v>5.0822234999999996</v>
      </c>
      <c r="X1156" s="48">
        <f t="shared" ca="1" si="74"/>
        <v>20.758966663999999</v>
      </c>
      <c r="Y1156" s="14"/>
      <c r="Z1156" s="14"/>
      <c r="AA1156" s="14"/>
      <c r="AB1156" s="14">
        <f t="shared" ca="1" si="71"/>
        <v>147.70831524404062</v>
      </c>
      <c r="AC1156" s="14">
        <f t="shared" ca="1" si="71"/>
        <v>145.15022302158272</v>
      </c>
    </row>
    <row r="1157" spans="1:29" ht="15" x14ac:dyDescent="0.2">
      <c r="A1157" s="10">
        <f t="shared" si="64"/>
        <v>2100</v>
      </c>
      <c r="B1157" s="14">
        <f t="shared" ca="1" si="72"/>
        <v>153.35443333333333</v>
      </c>
      <c r="C1157" s="14">
        <f t="shared" ca="1" si="72"/>
        <v>153.36067499999999</v>
      </c>
      <c r="D1157" s="14">
        <f t="shared" ca="1" si="72"/>
        <v>153.54970833333331</v>
      </c>
      <c r="E1157" s="14">
        <f t="shared" ca="1" si="72"/>
        <v>153.58214166666667</v>
      </c>
      <c r="F1157" s="14">
        <f t="shared" ca="1" si="72"/>
        <v>153.37908333333331</v>
      </c>
      <c r="G1157" s="14">
        <f t="shared" ca="1" si="72"/>
        <v>153.39643333333333</v>
      </c>
      <c r="H1157" s="14">
        <f t="shared" ca="1" si="72"/>
        <v>153.57125000000002</v>
      </c>
      <c r="I1157" s="14">
        <f t="shared" ca="1" si="72"/>
        <v>153.85701666666665</v>
      </c>
      <c r="J1157" s="14">
        <f t="shared" ca="1" si="72"/>
        <v>153.37208333333334</v>
      </c>
      <c r="K1157" s="14">
        <f t="shared" ca="1" si="72"/>
        <v>153.85313333333332</v>
      </c>
      <c r="L1157" s="14">
        <f t="shared" ca="1" si="73"/>
        <v>154.15825000000001</v>
      </c>
      <c r="M1157" s="14">
        <f t="shared" ca="1" si="73"/>
        <v>150.62110833333332</v>
      </c>
      <c r="N1157" s="14">
        <f t="shared" ca="1" si="73"/>
        <v>150.63815000000002</v>
      </c>
      <c r="O1157" s="14">
        <f t="shared" ca="1" si="73"/>
        <v>150.8167</v>
      </c>
      <c r="P1157" s="14">
        <f t="shared" ca="1" si="73"/>
        <v>151.08889166666665</v>
      </c>
      <c r="Q1157" s="14">
        <f t="shared" ca="1" si="73"/>
        <v>151.41139999999999</v>
      </c>
      <c r="R1157" s="14">
        <f t="shared" ca="1" si="73"/>
        <v>152.37694999999999</v>
      </c>
      <c r="S1157" s="14">
        <f t="shared" ca="1" si="73"/>
        <v>147.34875</v>
      </c>
      <c r="T1157" s="48">
        <f t="shared" ca="1" si="74"/>
        <v>358.26753550000001</v>
      </c>
      <c r="U1157" s="48">
        <f t="shared" ca="1" si="74"/>
        <v>142.42176299999997</v>
      </c>
      <c r="V1157" s="48">
        <f t="shared" ca="1" si="74"/>
        <v>50.325000000000003</v>
      </c>
      <c r="W1157" s="48">
        <f t="shared" ca="1" si="74"/>
        <v>5.0961473999999995</v>
      </c>
      <c r="X1157" s="48">
        <f t="shared" ca="1" si="74"/>
        <v>20.758966663999999</v>
      </c>
      <c r="Y1157" s="14"/>
      <c r="Z1157" s="14"/>
      <c r="AA1157" s="14"/>
      <c r="AB1157" s="14">
        <f t="shared" ca="1" si="71"/>
        <v>153.43815705133662</v>
      </c>
      <c r="AC1157" s="14">
        <f t="shared" ca="1" si="71"/>
        <v>150.77804556354917</v>
      </c>
    </row>
    <row r="1158" spans="1:29" ht="15" x14ac:dyDescent="0.2">
      <c r="A1158" s="10"/>
    </row>
    <row r="1159" spans="1:29" ht="15" x14ac:dyDescent="0.2">
      <c r="A1159" s="10"/>
    </row>
    <row r="1160" spans="1:29" ht="15" x14ac:dyDescent="0.2">
      <c r="A1160" s="10"/>
    </row>
    <row r="1161" spans="1:29" ht="15" x14ac:dyDescent="0.2">
      <c r="A1161" s="10"/>
    </row>
    <row r="1162" spans="1:29" ht="15" x14ac:dyDescent="0.2">
      <c r="A1162" s="10"/>
    </row>
    <row r="1163" spans="1:29" ht="15" x14ac:dyDescent="0.2">
      <c r="A1163" s="10"/>
    </row>
    <row r="1164" spans="1:29" ht="15" x14ac:dyDescent="0.2">
      <c r="A1164" s="10"/>
    </row>
    <row r="1165" spans="1:29" ht="15" x14ac:dyDescent="0.2">
      <c r="A1165" s="10"/>
    </row>
    <row r="1166" spans="1:29" ht="15" x14ac:dyDescent="0.2">
      <c r="A1166" s="10"/>
    </row>
    <row r="1167" spans="1:29" ht="15" x14ac:dyDescent="0.2">
      <c r="A1167" s="10"/>
    </row>
    <row r="1168" spans="1:29" ht="15" x14ac:dyDescent="0.2">
      <c r="A1168" s="10"/>
    </row>
    <row r="1169" spans="1:1" ht="15" x14ac:dyDescent="0.2">
      <c r="A1169" s="10"/>
    </row>
    <row r="1170" spans="1:1" ht="15" x14ac:dyDescent="0.2">
      <c r="A1170" s="10"/>
    </row>
    <row r="1171" spans="1:1" ht="15" x14ac:dyDescent="0.2">
      <c r="A1171" s="10"/>
    </row>
    <row r="1172" spans="1:1" ht="15" x14ac:dyDescent="0.2">
      <c r="A1172" s="10"/>
    </row>
  </sheetData>
  <mergeCells count="4">
    <mergeCell ref="Z9:AA9"/>
    <mergeCell ref="T9:Y9"/>
    <mergeCell ref="T10:Y10"/>
    <mergeCell ref="T8:Y8"/>
  </mergeCells>
  <pageMargins left="0.25" right="0.25" top="0.5" bottom="0.5" header="0.25" footer="0.25"/>
  <pageSetup paperSize="17" scale="3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7</xdr:col>
                    <xdr:colOff>333375</xdr:colOff>
                    <xdr:row>7</xdr:row>
                    <xdr:rowOff>85725</xdr:rowOff>
                  </from>
                  <to>
                    <xdr:col>8</xdr:col>
                    <xdr:colOff>600075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locked="0" defaultSize="0" autoLine="0" autoPict="0">
                <anchor moveWithCells="1">
                  <from>
                    <xdr:col>11</xdr:col>
                    <xdr:colOff>47625</xdr:colOff>
                    <xdr:row>7</xdr:row>
                    <xdr:rowOff>180975</xdr:rowOff>
                  </from>
                  <to>
                    <xdr:col>12</xdr:col>
                    <xdr:colOff>323850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1176"/>
  <sheetViews>
    <sheetView zoomScale="75" zoomScaleNormal="75"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12" sqref="B12"/>
    </sheetView>
  </sheetViews>
  <sheetFormatPr defaultColWidth="7.109375" defaultRowHeight="12.75" x14ac:dyDescent="0.2"/>
  <cols>
    <col min="1" max="1" width="19.21875" style="31" customWidth="1"/>
    <col min="2" max="2" width="7.88671875" style="31" customWidth="1"/>
    <col min="3" max="14" width="13" style="8" customWidth="1"/>
    <col min="15" max="19" width="20.6640625" style="8" customWidth="1"/>
    <col min="20" max="20" width="15.44140625" style="8" customWidth="1"/>
    <col min="21" max="21" width="7.77734375" style="8" customWidth="1"/>
    <col min="22" max="16384" width="7.109375" style="8"/>
  </cols>
  <sheetData>
    <row r="1" spans="1:30" ht="15.75" x14ac:dyDescent="0.25">
      <c r="A1" s="100" t="s">
        <v>90</v>
      </c>
    </row>
    <row r="2" spans="1:30" ht="15.75" x14ac:dyDescent="0.25">
      <c r="A2" s="100" t="s">
        <v>91</v>
      </c>
    </row>
    <row r="3" spans="1:30" ht="15.75" x14ac:dyDescent="0.25">
      <c r="A3" s="100" t="s">
        <v>92</v>
      </c>
    </row>
    <row r="4" spans="1:30" ht="15.75" x14ac:dyDescent="0.25">
      <c r="A4" s="100" t="s">
        <v>93</v>
      </c>
    </row>
    <row r="5" spans="1:30" ht="15.75" x14ac:dyDescent="0.25">
      <c r="A5" s="100" t="s">
        <v>95</v>
      </c>
    </row>
    <row r="6" spans="1:30" ht="15.75" x14ac:dyDescent="0.25">
      <c r="A6" s="100" t="s">
        <v>100</v>
      </c>
    </row>
    <row r="8" spans="1:30" ht="15.75" x14ac:dyDescent="0.25">
      <c r="A8" s="43" t="s">
        <v>27</v>
      </c>
      <c r="B8" s="43"/>
      <c r="C8" s="99"/>
      <c r="O8" s="71"/>
      <c r="P8" s="71"/>
      <c r="Q8" s="71"/>
      <c r="R8" s="71"/>
      <c r="S8" s="71"/>
    </row>
    <row r="9" spans="1:30" ht="15.75" x14ac:dyDescent="0.25">
      <c r="A9" s="43"/>
      <c r="C9" s="109" t="s">
        <v>89</v>
      </c>
      <c r="D9" s="109"/>
      <c r="E9" s="109"/>
      <c r="F9" s="109"/>
      <c r="G9" s="98"/>
      <c r="H9" s="98"/>
      <c r="I9" s="114" t="s">
        <v>88</v>
      </c>
      <c r="J9" s="115"/>
      <c r="K9" s="115"/>
      <c r="L9" s="97"/>
      <c r="M9" s="73"/>
      <c r="N9" s="96"/>
      <c r="O9" s="113"/>
      <c r="P9" s="113"/>
      <c r="Q9" s="113"/>
      <c r="R9" s="95"/>
      <c r="S9" s="95"/>
    </row>
    <row r="10" spans="1:30" ht="97.9" customHeight="1" x14ac:dyDescent="0.25">
      <c r="A10" s="94"/>
      <c r="B10" s="94"/>
      <c r="C10" s="66" t="s">
        <v>76</v>
      </c>
      <c r="D10" s="70" t="s">
        <v>75</v>
      </c>
      <c r="E10" s="66" t="s">
        <v>74</v>
      </c>
      <c r="F10" s="66" t="s">
        <v>73</v>
      </c>
      <c r="G10" s="70" t="s">
        <v>72</v>
      </c>
      <c r="H10" s="70" t="s">
        <v>71</v>
      </c>
      <c r="I10" s="70" t="s">
        <v>70</v>
      </c>
      <c r="J10" s="70" t="s">
        <v>69</v>
      </c>
      <c r="K10" s="70" t="s">
        <v>68</v>
      </c>
      <c r="L10" s="66" t="s">
        <v>87</v>
      </c>
      <c r="M10" s="67" t="s">
        <v>67</v>
      </c>
      <c r="N10" s="37" t="s">
        <v>66</v>
      </c>
      <c r="O10" s="69" t="s">
        <v>86</v>
      </c>
      <c r="P10" s="69" t="s">
        <v>85</v>
      </c>
      <c r="Q10" s="69" t="s">
        <v>84</v>
      </c>
      <c r="R10" s="69" t="s">
        <v>62</v>
      </c>
      <c r="S10" s="93" t="s">
        <v>83</v>
      </c>
      <c r="T10" s="39" t="s">
        <v>82</v>
      </c>
    </row>
    <row r="11" spans="1:30" ht="15.75" x14ac:dyDescent="0.25">
      <c r="A11" s="38" t="s">
        <v>15</v>
      </c>
      <c r="B11" s="38" t="s">
        <v>81</v>
      </c>
      <c r="C11" s="38" t="s">
        <v>80</v>
      </c>
      <c r="D11" s="38" t="s">
        <v>80</v>
      </c>
      <c r="E11" s="38" t="s">
        <v>80</v>
      </c>
      <c r="F11" s="38" t="s">
        <v>80</v>
      </c>
      <c r="G11" s="38" t="s">
        <v>80</v>
      </c>
      <c r="H11" s="38" t="s">
        <v>80</v>
      </c>
      <c r="I11" s="38" t="s">
        <v>80</v>
      </c>
      <c r="J11" s="38" t="s">
        <v>80</v>
      </c>
      <c r="K11" s="38" t="s">
        <v>80</v>
      </c>
      <c r="L11" s="38" t="s">
        <v>80</v>
      </c>
      <c r="M11" s="92" t="s">
        <v>80</v>
      </c>
      <c r="N11" s="38" t="s">
        <v>80</v>
      </c>
      <c r="O11" s="38" t="s">
        <v>80</v>
      </c>
      <c r="P11" s="38" t="s">
        <v>80</v>
      </c>
      <c r="Q11" s="38" t="s">
        <v>80</v>
      </c>
      <c r="R11" s="38" t="s">
        <v>80</v>
      </c>
      <c r="S11" s="38" t="s">
        <v>80</v>
      </c>
      <c r="T11" s="38" t="s">
        <v>80</v>
      </c>
    </row>
    <row r="12" spans="1:30" ht="15" x14ac:dyDescent="0.2">
      <c r="A12" s="13">
        <v>41275</v>
      </c>
      <c r="B12" s="90">
        <v>31</v>
      </c>
      <c r="C12" s="76">
        <v>122.58</v>
      </c>
      <c r="D12" s="76">
        <v>297.94099999999997</v>
      </c>
      <c r="E12" s="85">
        <v>89.177000000000007</v>
      </c>
      <c r="F12" s="76">
        <v>200.30199999999999</v>
      </c>
      <c r="G12" s="79">
        <v>40</v>
      </c>
      <c r="H12" s="76">
        <v>0</v>
      </c>
      <c r="I12" s="76">
        <v>0</v>
      </c>
      <c r="J12" s="79">
        <v>100</v>
      </c>
      <c r="K12" s="79">
        <v>300</v>
      </c>
      <c r="L12" s="76">
        <v>1150</v>
      </c>
      <c r="M12" s="91"/>
      <c r="N12" s="76">
        <v>125</v>
      </c>
      <c r="O12" s="79">
        <v>240</v>
      </c>
      <c r="P12" s="79">
        <v>0</v>
      </c>
      <c r="Q12" s="79">
        <v>355</v>
      </c>
      <c r="R12" s="79">
        <v>100</v>
      </c>
      <c r="S12" s="76">
        <v>695</v>
      </c>
      <c r="T12" s="76">
        <v>50</v>
      </c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1:30" ht="15" x14ac:dyDescent="0.2">
      <c r="A13" s="13">
        <v>41306</v>
      </c>
      <c r="B13" s="90">
        <v>28</v>
      </c>
      <c r="C13" s="76">
        <v>122.58</v>
      </c>
      <c r="D13" s="76">
        <v>297.94099999999997</v>
      </c>
      <c r="E13" s="85">
        <v>89.177000000000007</v>
      </c>
      <c r="F13" s="76">
        <v>200.30199999999999</v>
      </c>
      <c r="G13" s="79">
        <v>40</v>
      </c>
      <c r="H13" s="76">
        <v>0</v>
      </c>
      <c r="I13" s="76">
        <v>0</v>
      </c>
      <c r="J13" s="79">
        <v>100</v>
      </c>
      <c r="K13" s="79">
        <v>300</v>
      </c>
      <c r="L13" s="76">
        <v>1150</v>
      </c>
      <c r="M13" s="91"/>
      <c r="N13" s="76">
        <v>125</v>
      </c>
      <c r="O13" s="79">
        <v>240</v>
      </c>
      <c r="P13" s="79">
        <v>0</v>
      </c>
      <c r="Q13" s="79">
        <v>355</v>
      </c>
      <c r="R13" s="79">
        <v>100</v>
      </c>
      <c r="S13" s="76">
        <v>695</v>
      </c>
      <c r="T13" s="76">
        <v>50</v>
      </c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15" x14ac:dyDescent="0.2">
      <c r="A14" s="13">
        <v>41334</v>
      </c>
      <c r="B14" s="90">
        <v>31</v>
      </c>
      <c r="C14" s="76">
        <v>122.58</v>
      </c>
      <c r="D14" s="76">
        <v>297.94099999999997</v>
      </c>
      <c r="E14" s="85">
        <v>89.177000000000007</v>
      </c>
      <c r="F14" s="76">
        <v>200.30199999999999</v>
      </c>
      <c r="G14" s="79">
        <v>40</v>
      </c>
      <c r="H14" s="76">
        <v>0</v>
      </c>
      <c r="I14" s="76">
        <v>0</v>
      </c>
      <c r="J14" s="79">
        <v>100</v>
      </c>
      <c r="K14" s="79">
        <v>300</v>
      </c>
      <c r="L14" s="76">
        <v>1150</v>
      </c>
      <c r="M14" s="91"/>
      <c r="N14" s="76">
        <v>125</v>
      </c>
      <c r="O14" s="79">
        <v>240</v>
      </c>
      <c r="P14" s="79">
        <v>0</v>
      </c>
      <c r="Q14" s="79">
        <v>355</v>
      </c>
      <c r="R14" s="79">
        <v>100</v>
      </c>
      <c r="S14" s="76">
        <v>695</v>
      </c>
      <c r="T14" s="76">
        <v>50</v>
      </c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0" ht="15" x14ac:dyDescent="0.2">
      <c r="A15" s="13">
        <v>41365</v>
      </c>
      <c r="B15" s="90">
        <v>30</v>
      </c>
      <c r="C15" s="76">
        <v>141.29300000000001</v>
      </c>
      <c r="D15" s="76">
        <v>267.99299999999999</v>
      </c>
      <c r="E15" s="85">
        <v>115.01600000000001</v>
      </c>
      <c r="F15" s="76">
        <v>249.69800000000001</v>
      </c>
      <c r="G15" s="79">
        <v>40</v>
      </c>
      <c r="H15" s="76">
        <v>25</v>
      </c>
      <c r="I15" s="76">
        <v>0</v>
      </c>
      <c r="J15" s="79">
        <v>100</v>
      </c>
      <c r="K15" s="79">
        <v>300</v>
      </c>
      <c r="L15" s="76">
        <v>1239</v>
      </c>
      <c r="M15" s="91"/>
      <c r="N15" s="76">
        <v>125</v>
      </c>
      <c r="O15" s="79">
        <v>240</v>
      </c>
      <c r="P15" s="79">
        <v>120</v>
      </c>
      <c r="Q15" s="79">
        <v>235</v>
      </c>
      <c r="R15" s="79">
        <v>100</v>
      </c>
      <c r="S15" s="76">
        <v>695</v>
      </c>
      <c r="T15" s="76">
        <v>50</v>
      </c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0" ht="15" x14ac:dyDescent="0.2">
      <c r="A16" s="13">
        <v>41395</v>
      </c>
      <c r="B16" s="90">
        <v>31</v>
      </c>
      <c r="C16" s="76">
        <f>194.205</f>
        <v>194.20500000000001</v>
      </c>
      <c r="D16" s="76">
        <f>267.466</f>
        <v>267.46600000000001</v>
      </c>
      <c r="E16" s="85">
        <f>133.845</f>
        <v>133.845</v>
      </c>
      <c r="F16" s="76">
        <f>278.484-40-25</f>
        <v>213.48399999999998</v>
      </c>
      <c r="G16" s="79">
        <v>40</v>
      </c>
      <c r="H16" s="76">
        <v>25</v>
      </c>
      <c r="I16" s="91">
        <v>30</v>
      </c>
      <c r="J16" s="79">
        <v>100</v>
      </c>
      <c r="K16" s="79">
        <v>300</v>
      </c>
      <c r="L16" s="76">
        <f t="shared" ref="L16:L79" si="0">SUM(C16:K16)</f>
        <v>1304</v>
      </c>
      <c r="M16" s="91"/>
      <c r="N16" s="76">
        <f>100</f>
        <v>100</v>
      </c>
      <c r="O16" s="79">
        <v>240</v>
      </c>
      <c r="P16" s="79">
        <f t="shared" ref="P16:P21" si="1">145-H16</f>
        <v>120</v>
      </c>
      <c r="Q16" s="79">
        <f t="shared" ref="Q16:Q79" si="2">695-R16-O16-P16</f>
        <v>235</v>
      </c>
      <c r="R16" s="79">
        <f t="shared" ref="R16:R79" si="3">200-J16</f>
        <v>100</v>
      </c>
      <c r="S16" s="76">
        <f t="shared" ref="S16:S79" si="4">SUM(O16:R16)</f>
        <v>695</v>
      </c>
      <c r="T16" s="76">
        <f>50</f>
        <v>50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1:30" ht="15" x14ac:dyDescent="0.2">
      <c r="A17" s="13">
        <v>41426</v>
      </c>
      <c r="B17" s="90">
        <v>30</v>
      </c>
      <c r="C17" s="76">
        <f>194.205</f>
        <v>194.20500000000001</v>
      </c>
      <c r="D17" s="76">
        <f>267.466</f>
        <v>267.46600000000001</v>
      </c>
      <c r="E17" s="85">
        <f>133.845</f>
        <v>133.845</v>
      </c>
      <c r="F17" s="76">
        <f>278.484-40-25</f>
        <v>213.48399999999998</v>
      </c>
      <c r="G17" s="79">
        <v>40</v>
      </c>
      <c r="H17" s="76">
        <v>25</v>
      </c>
      <c r="I17" s="91">
        <v>30</v>
      </c>
      <c r="J17" s="79">
        <v>100</v>
      </c>
      <c r="K17" s="79">
        <v>300</v>
      </c>
      <c r="L17" s="76">
        <f t="shared" si="0"/>
        <v>1304</v>
      </c>
      <c r="M17" s="91"/>
      <c r="N17" s="76">
        <f>55</f>
        <v>55</v>
      </c>
      <c r="O17" s="79">
        <v>240</v>
      </c>
      <c r="P17" s="79">
        <f t="shared" si="1"/>
        <v>120</v>
      </c>
      <c r="Q17" s="79">
        <f t="shared" si="2"/>
        <v>235</v>
      </c>
      <c r="R17" s="79">
        <f t="shared" si="3"/>
        <v>100</v>
      </c>
      <c r="S17" s="76">
        <f t="shared" si="4"/>
        <v>695</v>
      </c>
      <c r="T17" s="76">
        <f>50</f>
        <v>50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ht="15" x14ac:dyDescent="0.2">
      <c r="A18" s="13">
        <v>41456</v>
      </c>
      <c r="B18" s="90">
        <v>31</v>
      </c>
      <c r="C18" s="76">
        <f>194.205</f>
        <v>194.20500000000001</v>
      </c>
      <c r="D18" s="76">
        <f>267.466</f>
        <v>267.46600000000001</v>
      </c>
      <c r="E18" s="85">
        <f>133.845</f>
        <v>133.845</v>
      </c>
      <c r="F18" s="76">
        <f>278.484-40-25</f>
        <v>213.48399999999998</v>
      </c>
      <c r="G18" s="79">
        <v>40</v>
      </c>
      <c r="H18" s="76">
        <v>25</v>
      </c>
      <c r="I18" s="91">
        <v>30</v>
      </c>
      <c r="J18" s="79">
        <v>100</v>
      </c>
      <c r="K18" s="79">
        <v>300</v>
      </c>
      <c r="L18" s="76">
        <f t="shared" si="0"/>
        <v>1304</v>
      </c>
      <c r="M18" s="91"/>
      <c r="N18" s="76">
        <f>55</f>
        <v>55</v>
      </c>
      <c r="O18" s="79">
        <v>240</v>
      </c>
      <c r="P18" s="79">
        <f t="shared" si="1"/>
        <v>120</v>
      </c>
      <c r="Q18" s="79">
        <f t="shared" si="2"/>
        <v>235</v>
      </c>
      <c r="R18" s="79">
        <f t="shared" si="3"/>
        <v>100</v>
      </c>
      <c r="S18" s="76">
        <f t="shared" si="4"/>
        <v>695</v>
      </c>
      <c r="T18" s="76">
        <f>0</f>
        <v>0</v>
      </c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1:30" ht="15" x14ac:dyDescent="0.2">
      <c r="A19" s="13">
        <v>41487</v>
      </c>
      <c r="B19" s="90">
        <v>31</v>
      </c>
      <c r="C19" s="76">
        <f>194.205</f>
        <v>194.20500000000001</v>
      </c>
      <c r="D19" s="76">
        <f>267.466</f>
        <v>267.46600000000001</v>
      </c>
      <c r="E19" s="85">
        <f>133.845</f>
        <v>133.845</v>
      </c>
      <c r="F19" s="76">
        <f>278.484-40-25</f>
        <v>213.48399999999998</v>
      </c>
      <c r="G19" s="79">
        <v>40</v>
      </c>
      <c r="H19" s="76">
        <v>25</v>
      </c>
      <c r="I19" s="91">
        <v>30</v>
      </c>
      <c r="J19" s="79">
        <v>100</v>
      </c>
      <c r="K19" s="79">
        <v>300</v>
      </c>
      <c r="L19" s="76">
        <f t="shared" si="0"/>
        <v>1304</v>
      </c>
      <c r="M19" s="91"/>
      <c r="N19" s="76">
        <f>55</f>
        <v>55</v>
      </c>
      <c r="O19" s="79">
        <v>240</v>
      </c>
      <c r="P19" s="79">
        <f t="shared" si="1"/>
        <v>120</v>
      </c>
      <c r="Q19" s="79">
        <f t="shared" si="2"/>
        <v>235</v>
      </c>
      <c r="R19" s="79">
        <f t="shared" si="3"/>
        <v>100</v>
      </c>
      <c r="S19" s="76">
        <f t="shared" si="4"/>
        <v>695</v>
      </c>
      <c r="T19" s="76">
        <f>0</f>
        <v>0</v>
      </c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ht="15" x14ac:dyDescent="0.2">
      <c r="A20" s="13">
        <v>41518</v>
      </c>
      <c r="B20" s="90">
        <v>30</v>
      </c>
      <c r="C20" s="76">
        <f>194.205</f>
        <v>194.20500000000001</v>
      </c>
      <c r="D20" s="76">
        <f>267.466</f>
        <v>267.46600000000001</v>
      </c>
      <c r="E20" s="85">
        <f>133.845</f>
        <v>133.845</v>
      </c>
      <c r="F20" s="76">
        <f>278.484-40-25</f>
        <v>213.48399999999998</v>
      </c>
      <c r="G20" s="79">
        <v>40</v>
      </c>
      <c r="H20" s="76">
        <v>25</v>
      </c>
      <c r="I20" s="91">
        <v>30</v>
      </c>
      <c r="J20" s="79">
        <v>100</v>
      </c>
      <c r="K20" s="79">
        <v>300</v>
      </c>
      <c r="L20" s="76">
        <f t="shared" si="0"/>
        <v>1304</v>
      </c>
      <c r="M20" s="91"/>
      <c r="N20" s="76">
        <f>55</f>
        <v>55</v>
      </c>
      <c r="O20" s="79">
        <v>240</v>
      </c>
      <c r="P20" s="79">
        <f t="shared" si="1"/>
        <v>120</v>
      </c>
      <c r="Q20" s="79">
        <f t="shared" si="2"/>
        <v>235</v>
      </c>
      <c r="R20" s="79">
        <f t="shared" si="3"/>
        <v>100</v>
      </c>
      <c r="S20" s="76">
        <f t="shared" si="4"/>
        <v>695</v>
      </c>
      <c r="T20" s="76">
        <f>0</f>
        <v>0</v>
      </c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ht="15" x14ac:dyDescent="0.2">
      <c r="A21" s="13">
        <v>41548</v>
      </c>
      <c r="B21" s="90">
        <v>31</v>
      </c>
      <c r="C21" s="76">
        <f>131.881</f>
        <v>131.881</v>
      </c>
      <c r="D21" s="76">
        <f>277.167</f>
        <v>277.16699999999997</v>
      </c>
      <c r="E21" s="85">
        <f>79.08</f>
        <v>79.08</v>
      </c>
      <c r="F21" s="76">
        <f>350.872-40-25</f>
        <v>285.87200000000001</v>
      </c>
      <c r="G21" s="79">
        <v>40</v>
      </c>
      <c r="H21" s="76">
        <v>25</v>
      </c>
      <c r="I21" s="76">
        <v>0</v>
      </c>
      <c r="J21" s="79">
        <v>100</v>
      </c>
      <c r="K21" s="79">
        <v>300</v>
      </c>
      <c r="L21" s="76">
        <f t="shared" si="0"/>
        <v>1239</v>
      </c>
      <c r="M21" s="91"/>
      <c r="N21" s="76">
        <f>100</f>
        <v>100</v>
      </c>
      <c r="O21" s="79">
        <v>240</v>
      </c>
      <c r="P21" s="79">
        <f t="shared" si="1"/>
        <v>120</v>
      </c>
      <c r="Q21" s="79">
        <f t="shared" si="2"/>
        <v>235</v>
      </c>
      <c r="R21" s="79">
        <f t="shared" si="3"/>
        <v>100</v>
      </c>
      <c r="S21" s="76">
        <f t="shared" si="4"/>
        <v>695</v>
      </c>
      <c r="T21" s="76">
        <f>0</f>
        <v>0</v>
      </c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ht="15" x14ac:dyDescent="0.2">
      <c r="A22" s="13">
        <v>41579</v>
      </c>
      <c r="B22" s="90">
        <v>30</v>
      </c>
      <c r="C22" s="76">
        <f>122.58</f>
        <v>122.58</v>
      </c>
      <c r="D22" s="76">
        <f>297.941</f>
        <v>297.94099999999997</v>
      </c>
      <c r="E22" s="85">
        <f>89.177</f>
        <v>89.177000000000007</v>
      </c>
      <c r="F22" s="76">
        <f>240.302-40</f>
        <v>200.30199999999999</v>
      </c>
      <c r="G22" s="79">
        <v>40</v>
      </c>
      <c r="H22" s="76">
        <v>0</v>
      </c>
      <c r="I22" s="76">
        <v>0</v>
      </c>
      <c r="J22" s="79">
        <v>100</v>
      </c>
      <c r="K22" s="79">
        <v>300</v>
      </c>
      <c r="L22" s="76">
        <f t="shared" si="0"/>
        <v>1150</v>
      </c>
      <c r="M22" s="91"/>
      <c r="N22" s="76">
        <f>125</f>
        <v>125</v>
      </c>
      <c r="O22" s="79">
        <v>240</v>
      </c>
      <c r="P22" s="79">
        <v>0</v>
      </c>
      <c r="Q22" s="79">
        <f t="shared" si="2"/>
        <v>355</v>
      </c>
      <c r="R22" s="79">
        <f t="shared" si="3"/>
        <v>100</v>
      </c>
      <c r="S22" s="76">
        <f t="shared" si="4"/>
        <v>695</v>
      </c>
      <c r="T22" s="76">
        <f>50</f>
        <v>50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ht="15" x14ac:dyDescent="0.2">
      <c r="A23" s="13">
        <v>41609</v>
      </c>
      <c r="B23" s="90">
        <v>31</v>
      </c>
      <c r="C23" s="76">
        <f>122.58</f>
        <v>122.58</v>
      </c>
      <c r="D23" s="76">
        <f>297.941</f>
        <v>297.94099999999997</v>
      </c>
      <c r="E23" s="85">
        <f>89.177</f>
        <v>89.177000000000007</v>
      </c>
      <c r="F23" s="76">
        <f>240.302-40</f>
        <v>200.30199999999999</v>
      </c>
      <c r="G23" s="79">
        <v>40</v>
      </c>
      <c r="H23" s="76">
        <v>0</v>
      </c>
      <c r="I23" s="76">
        <v>0</v>
      </c>
      <c r="J23" s="79">
        <v>100</v>
      </c>
      <c r="K23" s="79">
        <v>300</v>
      </c>
      <c r="L23" s="76">
        <f t="shared" si="0"/>
        <v>1150</v>
      </c>
      <c r="M23" s="91"/>
      <c r="N23" s="76">
        <f>125</f>
        <v>125</v>
      </c>
      <c r="O23" s="79">
        <v>240</v>
      </c>
      <c r="P23" s="79">
        <v>0</v>
      </c>
      <c r="Q23" s="79">
        <f t="shared" si="2"/>
        <v>355</v>
      </c>
      <c r="R23" s="79">
        <f t="shared" si="3"/>
        <v>100</v>
      </c>
      <c r="S23" s="76">
        <f t="shared" si="4"/>
        <v>695</v>
      </c>
      <c r="T23" s="76">
        <f>50</f>
        <v>50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ht="15.75" x14ac:dyDescent="0.25">
      <c r="A24" s="13">
        <v>41640</v>
      </c>
      <c r="B24" s="90">
        <v>31</v>
      </c>
      <c r="C24" s="76">
        <f>122.58</f>
        <v>122.58</v>
      </c>
      <c r="D24" s="76">
        <f>297.941</f>
        <v>297.94099999999997</v>
      </c>
      <c r="E24" s="85">
        <f>89.177</f>
        <v>89.177000000000007</v>
      </c>
      <c r="F24" s="76">
        <f>240.302-40</f>
        <v>200.30199999999999</v>
      </c>
      <c r="G24" s="79">
        <v>40</v>
      </c>
      <c r="H24" s="76">
        <v>0</v>
      </c>
      <c r="I24" s="76">
        <v>0</v>
      </c>
      <c r="J24" s="79">
        <v>100</v>
      </c>
      <c r="K24" s="79">
        <v>300</v>
      </c>
      <c r="L24" s="76">
        <f t="shared" si="0"/>
        <v>1150</v>
      </c>
      <c r="M24" s="87"/>
      <c r="N24" s="76">
        <f>100</f>
        <v>100</v>
      </c>
      <c r="O24" s="79">
        <v>240</v>
      </c>
      <c r="P24" s="79">
        <v>0</v>
      </c>
      <c r="Q24" s="79">
        <f t="shared" si="2"/>
        <v>355</v>
      </c>
      <c r="R24" s="79">
        <f t="shared" si="3"/>
        <v>100</v>
      </c>
      <c r="S24" s="76">
        <f t="shared" si="4"/>
        <v>695</v>
      </c>
      <c r="T24" s="76">
        <f>50</f>
        <v>50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1:30" ht="15.75" x14ac:dyDescent="0.25">
      <c r="A25" s="13">
        <v>41671</v>
      </c>
      <c r="B25" s="90">
        <v>28</v>
      </c>
      <c r="C25" s="76">
        <f>122.58</f>
        <v>122.58</v>
      </c>
      <c r="D25" s="76">
        <f>297.941</f>
        <v>297.94099999999997</v>
      </c>
      <c r="E25" s="85">
        <f>89.177</f>
        <v>89.177000000000007</v>
      </c>
      <c r="F25" s="76">
        <f>240.302-40</f>
        <v>200.30199999999999</v>
      </c>
      <c r="G25" s="79">
        <v>40</v>
      </c>
      <c r="H25" s="76">
        <v>0</v>
      </c>
      <c r="I25" s="76">
        <v>0</v>
      </c>
      <c r="J25" s="79">
        <v>100</v>
      </c>
      <c r="K25" s="79">
        <v>300</v>
      </c>
      <c r="L25" s="76">
        <f t="shared" si="0"/>
        <v>1150</v>
      </c>
      <c r="M25" s="87"/>
      <c r="N25" s="76">
        <f>100</f>
        <v>100</v>
      </c>
      <c r="O25" s="79">
        <v>240</v>
      </c>
      <c r="P25" s="79">
        <v>0</v>
      </c>
      <c r="Q25" s="79">
        <f t="shared" si="2"/>
        <v>355</v>
      </c>
      <c r="R25" s="79">
        <f t="shared" si="3"/>
        <v>100</v>
      </c>
      <c r="S25" s="76">
        <f t="shared" si="4"/>
        <v>695</v>
      </c>
      <c r="T25" s="76">
        <f>50</f>
        <v>50</v>
      </c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1:30" ht="15.75" x14ac:dyDescent="0.25">
      <c r="A26" s="13">
        <v>41699</v>
      </c>
      <c r="B26" s="90">
        <v>31</v>
      </c>
      <c r="C26" s="76">
        <f>122.58</f>
        <v>122.58</v>
      </c>
      <c r="D26" s="76">
        <f>297.941</f>
        <v>297.94099999999997</v>
      </c>
      <c r="E26" s="85">
        <f>89.177</f>
        <v>89.177000000000007</v>
      </c>
      <c r="F26" s="76">
        <f>240.302-40</f>
        <v>200.30199999999999</v>
      </c>
      <c r="G26" s="79">
        <v>40</v>
      </c>
      <c r="H26" s="76">
        <v>0</v>
      </c>
      <c r="I26" s="76">
        <v>0</v>
      </c>
      <c r="J26" s="79">
        <v>100</v>
      </c>
      <c r="K26" s="79">
        <v>300</v>
      </c>
      <c r="L26" s="76">
        <f t="shared" si="0"/>
        <v>1150</v>
      </c>
      <c r="M26" s="87"/>
      <c r="N26" s="76">
        <f>100</f>
        <v>100</v>
      </c>
      <c r="O26" s="79">
        <v>240</v>
      </c>
      <c r="P26" s="79">
        <v>0</v>
      </c>
      <c r="Q26" s="79">
        <f t="shared" si="2"/>
        <v>355</v>
      </c>
      <c r="R26" s="79">
        <f t="shared" si="3"/>
        <v>100</v>
      </c>
      <c r="S26" s="76">
        <f t="shared" si="4"/>
        <v>695</v>
      </c>
      <c r="T26" s="76">
        <f>50</f>
        <v>50</v>
      </c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ht="15.75" x14ac:dyDescent="0.25">
      <c r="A27" s="13">
        <v>41730</v>
      </c>
      <c r="B27" s="90">
        <v>30</v>
      </c>
      <c r="C27" s="76">
        <f>141.293</f>
        <v>141.29300000000001</v>
      </c>
      <c r="D27" s="76">
        <f>267.993</f>
        <v>267.99299999999999</v>
      </c>
      <c r="E27" s="85">
        <f>115.016</f>
        <v>115.01600000000001</v>
      </c>
      <c r="F27" s="76">
        <f>314.698-40-25</f>
        <v>249.69799999999998</v>
      </c>
      <c r="G27" s="79">
        <v>40</v>
      </c>
      <c r="H27" s="76">
        <v>25</v>
      </c>
      <c r="I27" s="76">
        <v>0</v>
      </c>
      <c r="J27" s="79">
        <v>100</v>
      </c>
      <c r="K27" s="79">
        <v>300</v>
      </c>
      <c r="L27" s="76">
        <f t="shared" si="0"/>
        <v>1239</v>
      </c>
      <c r="M27" s="87"/>
      <c r="N27" s="76">
        <f>100</f>
        <v>100</v>
      </c>
      <c r="O27" s="79">
        <v>240</v>
      </c>
      <c r="P27" s="79">
        <f t="shared" ref="P27:P33" si="5">145-H27</f>
        <v>120</v>
      </c>
      <c r="Q27" s="79">
        <f t="shared" si="2"/>
        <v>235</v>
      </c>
      <c r="R27" s="79">
        <f t="shared" si="3"/>
        <v>100</v>
      </c>
      <c r="S27" s="76">
        <f t="shared" si="4"/>
        <v>695</v>
      </c>
      <c r="T27" s="76">
        <f>50</f>
        <v>50</v>
      </c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1:30" ht="15.75" x14ac:dyDescent="0.25">
      <c r="A28" s="13">
        <v>41760</v>
      </c>
      <c r="B28" s="90">
        <v>31</v>
      </c>
      <c r="C28" s="76">
        <f>194.205</f>
        <v>194.20500000000001</v>
      </c>
      <c r="D28" s="76">
        <f>267.466</f>
        <v>267.46600000000001</v>
      </c>
      <c r="E28" s="85">
        <f>133.845</f>
        <v>133.845</v>
      </c>
      <c r="F28" s="76">
        <f>278.484-40-25</f>
        <v>213.48399999999998</v>
      </c>
      <c r="G28" s="79">
        <v>40</v>
      </c>
      <c r="H28" s="76">
        <v>25</v>
      </c>
      <c r="I28" s="91">
        <v>50</v>
      </c>
      <c r="J28" s="79">
        <v>100</v>
      </c>
      <c r="K28" s="79">
        <v>300</v>
      </c>
      <c r="L28" s="76">
        <f t="shared" si="0"/>
        <v>1324</v>
      </c>
      <c r="M28" s="87"/>
      <c r="N28" s="76">
        <f>75</f>
        <v>75</v>
      </c>
      <c r="O28" s="79">
        <v>240</v>
      </c>
      <c r="P28" s="79">
        <f t="shared" si="5"/>
        <v>120</v>
      </c>
      <c r="Q28" s="79">
        <f t="shared" si="2"/>
        <v>235</v>
      </c>
      <c r="R28" s="79">
        <f t="shared" si="3"/>
        <v>100</v>
      </c>
      <c r="S28" s="76">
        <f t="shared" si="4"/>
        <v>695</v>
      </c>
      <c r="T28" s="76">
        <f>50</f>
        <v>50</v>
      </c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ht="15.75" x14ac:dyDescent="0.25">
      <c r="A29" s="13">
        <v>41791</v>
      </c>
      <c r="B29" s="90">
        <v>30</v>
      </c>
      <c r="C29" s="76">
        <f>194.205</f>
        <v>194.20500000000001</v>
      </c>
      <c r="D29" s="76">
        <f>267.466</f>
        <v>267.46600000000001</v>
      </c>
      <c r="E29" s="85">
        <f>133.845</f>
        <v>133.845</v>
      </c>
      <c r="F29" s="76">
        <f>278.484-40-25</f>
        <v>213.48399999999998</v>
      </c>
      <c r="G29" s="79">
        <v>40</v>
      </c>
      <c r="H29" s="76">
        <v>25</v>
      </c>
      <c r="I29" s="91">
        <v>50</v>
      </c>
      <c r="J29" s="79">
        <v>100</v>
      </c>
      <c r="K29" s="79">
        <v>300</v>
      </c>
      <c r="L29" s="76">
        <f t="shared" si="0"/>
        <v>1324</v>
      </c>
      <c r="M29" s="87"/>
      <c r="N29" s="76">
        <f>30</f>
        <v>30</v>
      </c>
      <c r="O29" s="79">
        <v>240</v>
      </c>
      <c r="P29" s="79">
        <f t="shared" si="5"/>
        <v>120</v>
      </c>
      <c r="Q29" s="79">
        <f t="shared" si="2"/>
        <v>235</v>
      </c>
      <c r="R29" s="79">
        <f t="shared" si="3"/>
        <v>100</v>
      </c>
      <c r="S29" s="76">
        <f t="shared" si="4"/>
        <v>695</v>
      </c>
      <c r="T29" s="76">
        <f>50</f>
        <v>50</v>
      </c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1:30" ht="15.75" x14ac:dyDescent="0.25">
      <c r="A30" s="13">
        <v>41821</v>
      </c>
      <c r="B30" s="90">
        <v>31</v>
      </c>
      <c r="C30" s="76">
        <f>194.205</f>
        <v>194.20500000000001</v>
      </c>
      <c r="D30" s="76">
        <f>267.466</f>
        <v>267.46600000000001</v>
      </c>
      <c r="E30" s="85">
        <f>133.845</f>
        <v>133.845</v>
      </c>
      <c r="F30" s="76">
        <f>278.484-40-25</f>
        <v>213.48399999999998</v>
      </c>
      <c r="G30" s="79">
        <v>40</v>
      </c>
      <c r="H30" s="76">
        <v>25</v>
      </c>
      <c r="I30" s="91">
        <v>50</v>
      </c>
      <c r="J30" s="79">
        <v>100</v>
      </c>
      <c r="K30" s="79">
        <v>300</v>
      </c>
      <c r="L30" s="76">
        <f t="shared" si="0"/>
        <v>1324</v>
      </c>
      <c r="M30" s="87"/>
      <c r="N30" s="76">
        <f>30</f>
        <v>30</v>
      </c>
      <c r="O30" s="79">
        <v>240</v>
      </c>
      <c r="P30" s="79">
        <f t="shared" si="5"/>
        <v>120</v>
      </c>
      <c r="Q30" s="79">
        <f t="shared" si="2"/>
        <v>235</v>
      </c>
      <c r="R30" s="79">
        <f t="shared" si="3"/>
        <v>100</v>
      </c>
      <c r="S30" s="76">
        <f t="shared" si="4"/>
        <v>695</v>
      </c>
      <c r="T30" s="76">
        <f>0</f>
        <v>0</v>
      </c>
      <c r="U30" s="77"/>
      <c r="V30" s="77"/>
      <c r="W30" s="77"/>
      <c r="X30" s="77"/>
      <c r="Y30" s="77"/>
      <c r="Z30" s="77"/>
      <c r="AA30" s="77"/>
      <c r="AB30" s="77"/>
      <c r="AC30" s="77"/>
      <c r="AD30" s="77"/>
    </row>
    <row r="31" spans="1:30" ht="15.75" x14ac:dyDescent="0.25">
      <c r="A31" s="13">
        <v>41852</v>
      </c>
      <c r="B31" s="90">
        <v>31</v>
      </c>
      <c r="C31" s="76">
        <f>194.205</f>
        <v>194.20500000000001</v>
      </c>
      <c r="D31" s="76">
        <f>267.466</f>
        <v>267.46600000000001</v>
      </c>
      <c r="E31" s="85">
        <f>133.845</f>
        <v>133.845</v>
      </c>
      <c r="F31" s="76">
        <f>278.484-40-25</f>
        <v>213.48399999999998</v>
      </c>
      <c r="G31" s="79">
        <v>40</v>
      </c>
      <c r="H31" s="76">
        <v>25</v>
      </c>
      <c r="I31" s="91">
        <v>50</v>
      </c>
      <c r="J31" s="79">
        <v>100</v>
      </c>
      <c r="K31" s="79">
        <v>300</v>
      </c>
      <c r="L31" s="76">
        <f t="shared" si="0"/>
        <v>1324</v>
      </c>
      <c r="M31" s="87"/>
      <c r="N31" s="76">
        <f>30</f>
        <v>30</v>
      </c>
      <c r="O31" s="79">
        <v>240</v>
      </c>
      <c r="P31" s="79">
        <f t="shared" si="5"/>
        <v>120</v>
      </c>
      <c r="Q31" s="79">
        <f t="shared" si="2"/>
        <v>235</v>
      </c>
      <c r="R31" s="79">
        <f t="shared" si="3"/>
        <v>100</v>
      </c>
      <c r="S31" s="76">
        <f t="shared" si="4"/>
        <v>695</v>
      </c>
      <c r="T31" s="76">
        <f>0</f>
        <v>0</v>
      </c>
      <c r="U31" s="77"/>
      <c r="V31" s="77"/>
      <c r="W31" s="77"/>
      <c r="X31" s="77"/>
      <c r="Y31" s="77"/>
      <c r="Z31" s="77"/>
      <c r="AA31" s="77"/>
      <c r="AB31" s="77"/>
      <c r="AC31" s="77"/>
      <c r="AD31" s="77"/>
    </row>
    <row r="32" spans="1:30" ht="15.75" x14ac:dyDescent="0.25">
      <c r="A32" s="13">
        <v>41883</v>
      </c>
      <c r="B32" s="90">
        <v>30</v>
      </c>
      <c r="C32" s="76">
        <f>194.205</f>
        <v>194.20500000000001</v>
      </c>
      <c r="D32" s="76">
        <f>267.466</f>
        <v>267.46600000000001</v>
      </c>
      <c r="E32" s="85">
        <f>133.845</f>
        <v>133.845</v>
      </c>
      <c r="F32" s="76">
        <f>278.484-40-25</f>
        <v>213.48399999999998</v>
      </c>
      <c r="G32" s="79">
        <v>40</v>
      </c>
      <c r="H32" s="76">
        <v>25</v>
      </c>
      <c r="I32" s="91">
        <v>50</v>
      </c>
      <c r="J32" s="79">
        <v>100</v>
      </c>
      <c r="K32" s="79">
        <v>300</v>
      </c>
      <c r="L32" s="76">
        <f t="shared" si="0"/>
        <v>1324</v>
      </c>
      <c r="M32" s="87"/>
      <c r="N32" s="76">
        <f>30</f>
        <v>30</v>
      </c>
      <c r="O32" s="79">
        <v>240</v>
      </c>
      <c r="P32" s="79">
        <f t="shared" si="5"/>
        <v>120</v>
      </c>
      <c r="Q32" s="79">
        <f t="shared" si="2"/>
        <v>235</v>
      </c>
      <c r="R32" s="79">
        <f t="shared" si="3"/>
        <v>100</v>
      </c>
      <c r="S32" s="76">
        <f t="shared" si="4"/>
        <v>695</v>
      </c>
      <c r="T32" s="76">
        <f>0</f>
        <v>0</v>
      </c>
      <c r="U32" s="77"/>
      <c r="V32" s="77"/>
      <c r="W32" s="77"/>
      <c r="X32" s="77"/>
      <c r="Y32" s="77"/>
      <c r="Z32" s="77"/>
      <c r="AA32" s="77"/>
      <c r="AB32" s="77"/>
      <c r="AC32" s="77"/>
      <c r="AD32" s="77"/>
    </row>
    <row r="33" spans="1:30" ht="15.75" x14ac:dyDescent="0.25">
      <c r="A33" s="13">
        <v>41913</v>
      </c>
      <c r="B33" s="90">
        <v>31</v>
      </c>
      <c r="C33" s="76">
        <f>131.881</f>
        <v>131.881</v>
      </c>
      <c r="D33" s="76">
        <f>277.167</f>
        <v>277.16699999999997</v>
      </c>
      <c r="E33" s="85">
        <f>79.08</f>
        <v>79.08</v>
      </c>
      <c r="F33" s="76">
        <f>350.872-40-25</f>
        <v>285.87200000000001</v>
      </c>
      <c r="G33" s="79">
        <v>40</v>
      </c>
      <c r="H33" s="76">
        <v>25</v>
      </c>
      <c r="I33" s="76">
        <v>0</v>
      </c>
      <c r="J33" s="79">
        <v>100</v>
      </c>
      <c r="K33" s="79">
        <v>300</v>
      </c>
      <c r="L33" s="76">
        <f t="shared" si="0"/>
        <v>1239</v>
      </c>
      <c r="M33" s="87"/>
      <c r="N33" s="76">
        <f>75</f>
        <v>75</v>
      </c>
      <c r="O33" s="79">
        <v>240</v>
      </c>
      <c r="P33" s="79">
        <f t="shared" si="5"/>
        <v>120</v>
      </c>
      <c r="Q33" s="79">
        <f t="shared" si="2"/>
        <v>235</v>
      </c>
      <c r="R33" s="79">
        <f t="shared" si="3"/>
        <v>100</v>
      </c>
      <c r="S33" s="76">
        <f t="shared" si="4"/>
        <v>695</v>
      </c>
      <c r="T33" s="76">
        <f>0</f>
        <v>0</v>
      </c>
      <c r="U33" s="77"/>
      <c r="V33" s="77"/>
      <c r="W33" s="77"/>
      <c r="X33" s="77"/>
      <c r="Y33" s="77"/>
      <c r="Z33" s="77"/>
      <c r="AA33" s="77"/>
      <c r="AB33" s="77"/>
      <c r="AC33" s="77"/>
      <c r="AD33" s="77"/>
    </row>
    <row r="34" spans="1:30" ht="15.75" x14ac:dyDescent="0.25">
      <c r="A34" s="13">
        <v>41944</v>
      </c>
      <c r="B34" s="90">
        <v>30</v>
      </c>
      <c r="C34" s="76">
        <f>122.58</f>
        <v>122.58</v>
      </c>
      <c r="D34" s="76">
        <f>297.941</f>
        <v>297.94099999999997</v>
      </c>
      <c r="E34" s="85">
        <f>89.177</f>
        <v>89.177000000000007</v>
      </c>
      <c r="F34" s="76">
        <f>240.302-40</f>
        <v>200.30199999999999</v>
      </c>
      <c r="G34" s="79">
        <v>40</v>
      </c>
      <c r="H34" s="76">
        <v>0</v>
      </c>
      <c r="I34" s="76">
        <v>0</v>
      </c>
      <c r="J34" s="79">
        <v>100</v>
      </c>
      <c r="K34" s="79">
        <v>300</v>
      </c>
      <c r="L34" s="76">
        <f t="shared" si="0"/>
        <v>1150</v>
      </c>
      <c r="M34" s="87"/>
      <c r="N34" s="76">
        <f>100</f>
        <v>100</v>
      </c>
      <c r="O34" s="79">
        <v>240</v>
      </c>
      <c r="P34" s="79">
        <v>0</v>
      </c>
      <c r="Q34" s="79">
        <f t="shared" si="2"/>
        <v>355</v>
      </c>
      <c r="R34" s="79">
        <f t="shared" si="3"/>
        <v>100</v>
      </c>
      <c r="S34" s="76">
        <f t="shared" si="4"/>
        <v>695</v>
      </c>
      <c r="T34" s="76">
        <f>50</f>
        <v>50</v>
      </c>
      <c r="U34" s="77"/>
      <c r="V34" s="77"/>
      <c r="W34" s="77"/>
      <c r="X34" s="77"/>
      <c r="Y34" s="77"/>
      <c r="Z34" s="77"/>
      <c r="AA34" s="77"/>
      <c r="AB34" s="77"/>
      <c r="AC34" s="77"/>
      <c r="AD34" s="77"/>
    </row>
    <row r="35" spans="1:30" ht="15.75" x14ac:dyDescent="0.25">
      <c r="A35" s="13">
        <v>41974</v>
      </c>
      <c r="B35" s="90">
        <v>31</v>
      </c>
      <c r="C35" s="76">
        <f>122.58</f>
        <v>122.58</v>
      </c>
      <c r="D35" s="76">
        <f>297.941</f>
        <v>297.94099999999997</v>
      </c>
      <c r="E35" s="85">
        <f>89.177</f>
        <v>89.177000000000007</v>
      </c>
      <c r="F35" s="76">
        <f>240.302-40</f>
        <v>200.30199999999999</v>
      </c>
      <c r="G35" s="79">
        <v>40</v>
      </c>
      <c r="H35" s="76">
        <v>0</v>
      </c>
      <c r="I35" s="76">
        <v>0</v>
      </c>
      <c r="J35" s="79">
        <v>100</v>
      </c>
      <c r="K35" s="79">
        <v>300</v>
      </c>
      <c r="L35" s="76">
        <f t="shared" si="0"/>
        <v>1150</v>
      </c>
      <c r="M35" s="87"/>
      <c r="N35" s="76">
        <f>100</f>
        <v>100</v>
      </c>
      <c r="O35" s="79">
        <v>240</v>
      </c>
      <c r="P35" s="79">
        <v>0</v>
      </c>
      <c r="Q35" s="79">
        <f t="shared" si="2"/>
        <v>355</v>
      </c>
      <c r="R35" s="79">
        <f t="shared" si="3"/>
        <v>100</v>
      </c>
      <c r="S35" s="76">
        <f t="shared" si="4"/>
        <v>695</v>
      </c>
      <c r="T35" s="76">
        <f>50</f>
        <v>50</v>
      </c>
      <c r="U35" s="77"/>
      <c r="V35" s="77"/>
      <c r="W35" s="77"/>
      <c r="X35" s="77"/>
      <c r="Y35" s="77"/>
      <c r="Z35" s="77"/>
      <c r="AA35" s="77"/>
      <c r="AB35" s="77"/>
      <c r="AC35" s="77"/>
      <c r="AD35" s="77"/>
    </row>
    <row r="36" spans="1:30" ht="15.75" x14ac:dyDescent="0.25">
      <c r="A36" s="13">
        <v>42005</v>
      </c>
      <c r="B36" s="90">
        <v>31</v>
      </c>
      <c r="C36" s="76">
        <f>122.58</f>
        <v>122.58</v>
      </c>
      <c r="D36" s="76">
        <f>297.941</f>
        <v>297.94099999999997</v>
      </c>
      <c r="E36" s="85">
        <f>89.177</f>
        <v>89.177000000000007</v>
      </c>
      <c r="F36" s="76">
        <f>240.302-40</f>
        <v>200.30199999999999</v>
      </c>
      <c r="G36" s="79">
        <v>40</v>
      </c>
      <c r="H36" s="76">
        <v>0</v>
      </c>
      <c r="I36" s="76">
        <v>0</v>
      </c>
      <c r="J36" s="79">
        <v>100</v>
      </c>
      <c r="K36" s="79">
        <v>300</v>
      </c>
      <c r="L36" s="76">
        <f t="shared" si="0"/>
        <v>1150</v>
      </c>
      <c r="M36" s="87"/>
      <c r="N36" s="76">
        <f>100</f>
        <v>100</v>
      </c>
      <c r="O36" s="79">
        <v>240</v>
      </c>
      <c r="P36" s="79">
        <v>0</v>
      </c>
      <c r="Q36" s="79">
        <f t="shared" si="2"/>
        <v>355</v>
      </c>
      <c r="R36" s="79">
        <f t="shared" si="3"/>
        <v>100</v>
      </c>
      <c r="S36" s="76">
        <f t="shared" si="4"/>
        <v>695</v>
      </c>
      <c r="T36" s="76">
        <f>50</f>
        <v>50</v>
      </c>
      <c r="U36" s="77"/>
      <c r="V36" s="77"/>
      <c r="W36" s="77"/>
      <c r="X36" s="77"/>
      <c r="Y36" s="77"/>
      <c r="Z36" s="77"/>
      <c r="AA36" s="77"/>
      <c r="AB36" s="77"/>
      <c r="AC36" s="77"/>
      <c r="AD36" s="77"/>
    </row>
    <row r="37" spans="1:30" ht="15.75" x14ac:dyDescent="0.25">
      <c r="A37" s="13">
        <v>42036</v>
      </c>
      <c r="B37" s="90">
        <v>28</v>
      </c>
      <c r="C37" s="76">
        <f>122.58</f>
        <v>122.58</v>
      </c>
      <c r="D37" s="76">
        <f>297.941</f>
        <v>297.94099999999997</v>
      </c>
      <c r="E37" s="85">
        <f>89.177</f>
        <v>89.177000000000007</v>
      </c>
      <c r="F37" s="76">
        <f>240.302-40</f>
        <v>200.30199999999999</v>
      </c>
      <c r="G37" s="79">
        <v>40</v>
      </c>
      <c r="H37" s="76">
        <v>0</v>
      </c>
      <c r="I37" s="76">
        <v>0</v>
      </c>
      <c r="J37" s="79">
        <v>100</v>
      </c>
      <c r="K37" s="79">
        <v>300</v>
      </c>
      <c r="L37" s="76">
        <f t="shared" si="0"/>
        <v>1150</v>
      </c>
      <c r="M37" s="87"/>
      <c r="N37" s="76">
        <f>100</f>
        <v>100</v>
      </c>
      <c r="O37" s="79">
        <v>240</v>
      </c>
      <c r="P37" s="79">
        <v>0</v>
      </c>
      <c r="Q37" s="79">
        <f t="shared" si="2"/>
        <v>355</v>
      </c>
      <c r="R37" s="79">
        <f t="shared" si="3"/>
        <v>100</v>
      </c>
      <c r="S37" s="76">
        <f t="shared" si="4"/>
        <v>695</v>
      </c>
      <c r="T37" s="76">
        <f>50</f>
        <v>50</v>
      </c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0" ht="15.75" x14ac:dyDescent="0.25">
      <c r="A38" s="13">
        <v>42064</v>
      </c>
      <c r="B38" s="90">
        <v>31</v>
      </c>
      <c r="C38" s="76">
        <f>122.58</f>
        <v>122.58</v>
      </c>
      <c r="D38" s="76">
        <f>297.941</f>
        <v>297.94099999999997</v>
      </c>
      <c r="E38" s="85">
        <f>89.177</f>
        <v>89.177000000000007</v>
      </c>
      <c r="F38" s="76">
        <f>240.302-40</f>
        <v>200.30199999999999</v>
      </c>
      <c r="G38" s="79">
        <v>40</v>
      </c>
      <c r="H38" s="76">
        <v>0</v>
      </c>
      <c r="I38" s="76">
        <v>0</v>
      </c>
      <c r="J38" s="79">
        <v>100</v>
      </c>
      <c r="K38" s="79">
        <v>300</v>
      </c>
      <c r="L38" s="76">
        <f t="shared" si="0"/>
        <v>1150</v>
      </c>
      <c r="M38" s="87"/>
      <c r="N38" s="76">
        <f>100</f>
        <v>100</v>
      </c>
      <c r="O38" s="79">
        <v>240</v>
      </c>
      <c r="P38" s="79">
        <v>0</v>
      </c>
      <c r="Q38" s="79">
        <f t="shared" si="2"/>
        <v>355</v>
      </c>
      <c r="R38" s="79">
        <f t="shared" si="3"/>
        <v>100</v>
      </c>
      <c r="S38" s="76">
        <f t="shared" si="4"/>
        <v>695</v>
      </c>
      <c r="T38" s="76">
        <f>50</f>
        <v>50</v>
      </c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0" ht="15.75" x14ac:dyDescent="0.25">
      <c r="A39" s="13">
        <v>42095</v>
      </c>
      <c r="B39" s="90">
        <v>30</v>
      </c>
      <c r="C39" s="76">
        <f>141.293</f>
        <v>141.29300000000001</v>
      </c>
      <c r="D39" s="76">
        <f>267.993</f>
        <v>267.99299999999999</v>
      </c>
      <c r="E39" s="85">
        <f>115.016</f>
        <v>115.01600000000001</v>
      </c>
      <c r="F39" s="76">
        <f>314.698-40-25-60-100</f>
        <v>89.697999999999979</v>
      </c>
      <c r="G39" s="79">
        <v>40</v>
      </c>
      <c r="H39" s="76">
        <f t="shared" ref="H39:H45" si="6">25+60+100</f>
        <v>185</v>
      </c>
      <c r="I39" s="76">
        <v>0</v>
      </c>
      <c r="J39" s="79">
        <v>100</v>
      </c>
      <c r="K39" s="79">
        <v>300</v>
      </c>
      <c r="L39" s="76">
        <f t="shared" si="0"/>
        <v>1239</v>
      </c>
      <c r="M39" s="87"/>
      <c r="N39" s="76">
        <f>100</f>
        <v>100</v>
      </c>
      <c r="O39" s="79">
        <v>240</v>
      </c>
      <c r="P39" s="79">
        <f t="shared" ref="P39:P45" si="7">120+40</f>
        <v>160</v>
      </c>
      <c r="Q39" s="79">
        <f t="shared" si="2"/>
        <v>195</v>
      </c>
      <c r="R39" s="79">
        <f t="shared" si="3"/>
        <v>100</v>
      </c>
      <c r="S39" s="76">
        <f t="shared" si="4"/>
        <v>695</v>
      </c>
      <c r="T39" s="76">
        <f>50</f>
        <v>50</v>
      </c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0" ht="15.75" x14ac:dyDescent="0.25">
      <c r="A40" s="13">
        <v>42125</v>
      </c>
      <c r="B40" s="90">
        <v>31</v>
      </c>
      <c r="C40" s="76">
        <f>194.205</f>
        <v>194.20500000000001</v>
      </c>
      <c r="D40" s="76">
        <f>267.466</f>
        <v>267.46600000000001</v>
      </c>
      <c r="E40" s="85">
        <f>133.845</f>
        <v>133.845</v>
      </c>
      <c r="F40" s="76">
        <f>278.484-40-25-60-100</f>
        <v>53.48399999999998</v>
      </c>
      <c r="G40" s="79">
        <v>40</v>
      </c>
      <c r="H40" s="76">
        <f t="shared" si="6"/>
        <v>185</v>
      </c>
      <c r="I40" s="91">
        <v>50</v>
      </c>
      <c r="J40" s="79">
        <v>100</v>
      </c>
      <c r="K40" s="79">
        <v>300</v>
      </c>
      <c r="L40" s="76">
        <f t="shared" si="0"/>
        <v>1324</v>
      </c>
      <c r="M40" s="87"/>
      <c r="N40" s="76">
        <f>75</f>
        <v>75</v>
      </c>
      <c r="O40" s="79">
        <v>240</v>
      </c>
      <c r="P40" s="79">
        <f t="shared" si="7"/>
        <v>160</v>
      </c>
      <c r="Q40" s="79">
        <f t="shared" si="2"/>
        <v>195</v>
      </c>
      <c r="R40" s="79">
        <f t="shared" si="3"/>
        <v>100</v>
      </c>
      <c r="S40" s="76">
        <f t="shared" si="4"/>
        <v>695</v>
      </c>
      <c r="T40" s="76">
        <f>50</f>
        <v>50</v>
      </c>
      <c r="U40" s="77"/>
      <c r="V40" s="77"/>
      <c r="W40" s="77"/>
      <c r="X40" s="77"/>
      <c r="Y40" s="77"/>
      <c r="Z40" s="77"/>
      <c r="AA40" s="77"/>
      <c r="AB40" s="77"/>
      <c r="AC40" s="77"/>
      <c r="AD40" s="77"/>
    </row>
    <row r="41" spans="1:30" ht="15.75" x14ac:dyDescent="0.25">
      <c r="A41" s="13">
        <v>42156</v>
      </c>
      <c r="B41" s="90">
        <v>30</v>
      </c>
      <c r="C41" s="76">
        <f>194.205</f>
        <v>194.20500000000001</v>
      </c>
      <c r="D41" s="76">
        <f>267.466</f>
        <v>267.46600000000001</v>
      </c>
      <c r="E41" s="85">
        <f>133.845</f>
        <v>133.845</v>
      </c>
      <c r="F41" s="76">
        <f>278.484-40-25-60-100</f>
        <v>53.48399999999998</v>
      </c>
      <c r="G41" s="79">
        <v>40</v>
      </c>
      <c r="H41" s="76">
        <f t="shared" si="6"/>
        <v>185</v>
      </c>
      <c r="I41" s="91">
        <v>50</v>
      </c>
      <c r="J41" s="79">
        <v>100</v>
      </c>
      <c r="K41" s="79">
        <v>300</v>
      </c>
      <c r="L41" s="76">
        <f t="shared" si="0"/>
        <v>1324</v>
      </c>
      <c r="M41" s="87"/>
      <c r="N41" s="76">
        <f>30</f>
        <v>30</v>
      </c>
      <c r="O41" s="79">
        <v>240</v>
      </c>
      <c r="P41" s="79">
        <f t="shared" si="7"/>
        <v>160</v>
      </c>
      <c r="Q41" s="79">
        <f t="shared" si="2"/>
        <v>195</v>
      </c>
      <c r="R41" s="79">
        <f t="shared" si="3"/>
        <v>100</v>
      </c>
      <c r="S41" s="76">
        <f t="shared" si="4"/>
        <v>695</v>
      </c>
      <c r="T41" s="76">
        <f>50</f>
        <v>50</v>
      </c>
      <c r="U41" s="77"/>
      <c r="V41" s="77"/>
      <c r="W41" s="77"/>
      <c r="X41" s="77"/>
      <c r="Y41" s="77"/>
      <c r="Z41" s="77"/>
      <c r="AA41" s="77"/>
      <c r="AB41" s="77"/>
      <c r="AC41" s="77"/>
      <c r="AD41" s="77"/>
    </row>
    <row r="42" spans="1:30" ht="15.75" x14ac:dyDescent="0.25">
      <c r="A42" s="13">
        <v>42186</v>
      </c>
      <c r="B42" s="90">
        <v>31</v>
      </c>
      <c r="C42" s="76">
        <f>194.205</f>
        <v>194.20500000000001</v>
      </c>
      <c r="D42" s="76">
        <f>267.466</f>
        <v>267.46600000000001</v>
      </c>
      <c r="E42" s="85">
        <f>133.845</f>
        <v>133.845</v>
      </c>
      <c r="F42" s="76">
        <f>278.484-40-25-60-100</f>
        <v>53.48399999999998</v>
      </c>
      <c r="G42" s="79">
        <v>40</v>
      </c>
      <c r="H42" s="76">
        <f t="shared" si="6"/>
        <v>185</v>
      </c>
      <c r="I42" s="91">
        <v>50</v>
      </c>
      <c r="J42" s="79">
        <v>100</v>
      </c>
      <c r="K42" s="79">
        <v>300</v>
      </c>
      <c r="L42" s="76">
        <f t="shared" si="0"/>
        <v>1324</v>
      </c>
      <c r="M42" s="87"/>
      <c r="N42" s="76">
        <f>30</f>
        <v>30</v>
      </c>
      <c r="O42" s="79">
        <v>240</v>
      </c>
      <c r="P42" s="79">
        <f t="shared" si="7"/>
        <v>160</v>
      </c>
      <c r="Q42" s="79">
        <f t="shared" si="2"/>
        <v>195</v>
      </c>
      <c r="R42" s="79">
        <f t="shared" si="3"/>
        <v>100</v>
      </c>
      <c r="S42" s="76">
        <f t="shared" si="4"/>
        <v>695</v>
      </c>
      <c r="T42" s="76">
        <f>0</f>
        <v>0</v>
      </c>
      <c r="U42" s="77"/>
      <c r="V42" s="77"/>
      <c r="W42" s="77"/>
      <c r="X42" s="77"/>
      <c r="Y42" s="77"/>
      <c r="Z42" s="77"/>
      <c r="AA42" s="77"/>
      <c r="AB42" s="77"/>
      <c r="AC42" s="77"/>
      <c r="AD42" s="77"/>
    </row>
    <row r="43" spans="1:30" ht="15.75" x14ac:dyDescent="0.25">
      <c r="A43" s="13">
        <v>42217</v>
      </c>
      <c r="B43" s="90">
        <v>31</v>
      </c>
      <c r="C43" s="76">
        <f>194.205</f>
        <v>194.20500000000001</v>
      </c>
      <c r="D43" s="76">
        <f>267.466</f>
        <v>267.46600000000001</v>
      </c>
      <c r="E43" s="85">
        <f>133.845</f>
        <v>133.845</v>
      </c>
      <c r="F43" s="76">
        <f>278.484-40-25-60-100</f>
        <v>53.48399999999998</v>
      </c>
      <c r="G43" s="79">
        <v>40</v>
      </c>
      <c r="H43" s="76">
        <f t="shared" si="6"/>
        <v>185</v>
      </c>
      <c r="I43" s="91">
        <v>50</v>
      </c>
      <c r="J43" s="79">
        <v>100</v>
      </c>
      <c r="K43" s="79">
        <v>300</v>
      </c>
      <c r="L43" s="76">
        <f t="shared" si="0"/>
        <v>1324</v>
      </c>
      <c r="M43" s="87"/>
      <c r="N43" s="76">
        <f>30</f>
        <v>30</v>
      </c>
      <c r="O43" s="79">
        <v>240</v>
      </c>
      <c r="P43" s="79">
        <f t="shared" si="7"/>
        <v>160</v>
      </c>
      <c r="Q43" s="79">
        <f t="shared" si="2"/>
        <v>195</v>
      </c>
      <c r="R43" s="79">
        <f t="shared" si="3"/>
        <v>100</v>
      </c>
      <c r="S43" s="76">
        <f t="shared" si="4"/>
        <v>695</v>
      </c>
      <c r="T43" s="76">
        <f>0</f>
        <v>0</v>
      </c>
      <c r="U43" s="77"/>
      <c r="V43" s="77"/>
      <c r="W43" s="77"/>
      <c r="X43" s="77"/>
      <c r="Y43" s="77"/>
      <c r="Z43" s="77"/>
      <c r="AA43" s="77"/>
      <c r="AB43" s="77"/>
      <c r="AC43" s="77"/>
      <c r="AD43" s="77"/>
    </row>
    <row r="44" spans="1:30" ht="15.75" x14ac:dyDescent="0.25">
      <c r="A44" s="13">
        <v>42248</v>
      </c>
      <c r="B44" s="90">
        <v>30</v>
      </c>
      <c r="C44" s="76">
        <f>194.205</f>
        <v>194.20500000000001</v>
      </c>
      <c r="D44" s="76">
        <f>267.466</f>
        <v>267.46600000000001</v>
      </c>
      <c r="E44" s="85">
        <f>133.845</f>
        <v>133.845</v>
      </c>
      <c r="F44" s="76">
        <f>278.484-40-25-60-100</f>
        <v>53.48399999999998</v>
      </c>
      <c r="G44" s="79">
        <v>40</v>
      </c>
      <c r="H44" s="76">
        <f t="shared" si="6"/>
        <v>185</v>
      </c>
      <c r="I44" s="91">
        <v>50</v>
      </c>
      <c r="J44" s="79">
        <v>100</v>
      </c>
      <c r="K44" s="79">
        <v>300</v>
      </c>
      <c r="L44" s="76">
        <f t="shared" si="0"/>
        <v>1324</v>
      </c>
      <c r="M44" s="87"/>
      <c r="N44" s="76">
        <f>30</f>
        <v>30</v>
      </c>
      <c r="O44" s="79">
        <v>240</v>
      </c>
      <c r="P44" s="79">
        <f t="shared" si="7"/>
        <v>160</v>
      </c>
      <c r="Q44" s="79">
        <f t="shared" si="2"/>
        <v>195</v>
      </c>
      <c r="R44" s="79">
        <f t="shared" si="3"/>
        <v>100</v>
      </c>
      <c r="S44" s="76">
        <f t="shared" si="4"/>
        <v>695</v>
      </c>
      <c r="T44" s="76">
        <f>0</f>
        <v>0</v>
      </c>
      <c r="U44" s="77"/>
      <c r="V44" s="77"/>
      <c r="W44" s="77"/>
      <c r="X44" s="77"/>
      <c r="Y44" s="77"/>
      <c r="Z44" s="77"/>
      <c r="AA44" s="77"/>
      <c r="AB44" s="77"/>
      <c r="AC44" s="77"/>
      <c r="AD44" s="77"/>
    </row>
    <row r="45" spans="1:30" ht="15.75" x14ac:dyDescent="0.25">
      <c r="A45" s="13">
        <v>42278</v>
      </c>
      <c r="B45" s="90">
        <v>31</v>
      </c>
      <c r="C45" s="76">
        <f>131.881</f>
        <v>131.881</v>
      </c>
      <c r="D45" s="76">
        <f>277.167</f>
        <v>277.16699999999997</v>
      </c>
      <c r="E45" s="85">
        <f>79.08</f>
        <v>79.08</v>
      </c>
      <c r="F45" s="76">
        <f>350.872-40-25-60-100</f>
        <v>125.87200000000001</v>
      </c>
      <c r="G45" s="79">
        <v>40</v>
      </c>
      <c r="H45" s="76">
        <f t="shared" si="6"/>
        <v>185</v>
      </c>
      <c r="I45" s="76">
        <v>0</v>
      </c>
      <c r="J45" s="79">
        <v>100</v>
      </c>
      <c r="K45" s="79">
        <v>300</v>
      </c>
      <c r="L45" s="76">
        <f t="shared" si="0"/>
        <v>1239</v>
      </c>
      <c r="M45" s="87"/>
      <c r="N45" s="76">
        <f>75</f>
        <v>75</v>
      </c>
      <c r="O45" s="79">
        <v>240</v>
      </c>
      <c r="P45" s="79">
        <f t="shared" si="7"/>
        <v>160</v>
      </c>
      <c r="Q45" s="79">
        <f t="shared" si="2"/>
        <v>195</v>
      </c>
      <c r="R45" s="79">
        <f t="shared" si="3"/>
        <v>100</v>
      </c>
      <c r="S45" s="76">
        <f t="shared" si="4"/>
        <v>695</v>
      </c>
      <c r="T45" s="76">
        <f>0</f>
        <v>0</v>
      </c>
      <c r="U45" s="77"/>
      <c r="V45" s="77"/>
      <c r="W45" s="77"/>
      <c r="X45" s="77"/>
      <c r="Y45" s="77"/>
      <c r="Z45" s="77"/>
      <c r="AA45" s="77"/>
      <c r="AB45" s="77"/>
      <c r="AC45" s="77"/>
      <c r="AD45" s="77"/>
    </row>
    <row r="46" spans="1:30" ht="15.75" x14ac:dyDescent="0.25">
      <c r="A46" s="13">
        <v>42309</v>
      </c>
      <c r="B46" s="90">
        <v>30</v>
      </c>
      <c r="C46" s="76">
        <f>122.58</f>
        <v>122.58</v>
      </c>
      <c r="D46" s="76">
        <f>297.941</f>
        <v>297.94099999999997</v>
      </c>
      <c r="E46" s="85">
        <f>89.177</f>
        <v>89.177000000000007</v>
      </c>
      <c r="F46" s="76">
        <f>240.302-40-60-100</f>
        <v>40.301999999999992</v>
      </c>
      <c r="G46" s="79">
        <v>40</v>
      </c>
      <c r="H46" s="76">
        <f>60+100</f>
        <v>160</v>
      </c>
      <c r="I46" s="76">
        <v>0</v>
      </c>
      <c r="J46" s="79">
        <v>100</v>
      </c>
      <c r="K46" s="79">
        <v>300</v>
      </c>
      <c r="L46" s="76">
        <f t="shared" si="0"/>
        <v>1150</v>
      </c>
      <c r="M46" s="87"/>
      <c r="N46" s="76">
        <f>100</f>
        <v>100</v>
      </c>
      <c r="O46" s="79">
        <v>240</v>
      </c>
      <c r="P46" s="79">
        <v>40</v>
      </c>
      <c r="Q46" s="79">
        <f t="shared" si="2"/>
        <v>315</v>
      </c>
      <c r="R46" s="79">
        <f t="shared" si="3"/>
        <v>100</v>
      </c>
      <c r="S46" s="76">
        <f t="shared" si="4"/>
        <v>695</v>
      </c>
      <c r="T46" s="76">
        <f>50</f>
        <v>50</v>
      </c>
      <c r="U46" s="77"/>
      <c r="V46" s="77"/>
      <c r="W46" s="77"/>
      <c r="X46" s="77"/>
      <c r="Y46" s="77"/>
      <c r="Z46" s="77"/>
      <c r="AA46" s="77"/>
      <c r="AB46" s="77"/>
      <c r="AC46" s="77"/>
      <c r="AD46" s="77"/>
    </row>
    <row r="47" spans="1:30" ht="15.75" x14ac:dyDescent="0.25">
      <c r="A47" s="13">
        <v>42339</v>
      </c>
      <c r="B47" s="90">
        <v>31</v>
      </c>
      <c r="C47" s="76">
        <f>122.58</f>
        <v>122.58</v>
      </c>
      <c r="D47" s="76">
        <f>297.941</f>
        <v>297.94099999999997</v>
      </c>
      <c r="E47" s="85">
        <f>89.177</f>
        <v>89.177000000000007</v>
      </c>
      <c r="F47" s="76">
        <f>240.302-40-60-100</f>
        <v>40.301999999999992</v>
      </c>
      <c r="G47" s="79">
        <v>40</v>
      </c>
      <c r="H47" s="76">
        <f>60+100</f>
        <v>160</v>
      </c>
      <c r="I47" s="76">
        <v>0</v>
      </c>
      <c r="J47" s="79">
        <v>100</v>
      </c>
      <c r="K47" s="79">
        <v>300</v>
      </c>
      <c r="L47" s="76">
        <f t="shared" si="0"/>
        <v>1150</v>
      </c>
      <c r="M47" s="87"/>
      <c r="N47" s="76">
        <f>100</f>
        <v>100</v>
      </c>
      <c r="O47" s="79">
        <v>240</v>
      </c>
      <c r="P47" s="79">
        <v>40</v>
      </c>
      <c r="Q47" s="79">
        <f t="shared" si="2"/>
        <v>315</v>
      </c>
      <c r="R47" s="79">
        <f t="shared" si="3"/>
        <v>100</v>
      </c>
      <c r="S47" s="76">
        <f t="shared" si="4"/>
        <v>695</v>
      </c>
      <c r="T47" s="76">
        <f>50</f>
        <v>50</v>
      </c>
      <c r="U47" s="77"/>
      <c r="V47" s="77"/>
      <c r="W47" s="77"/>
      <c r="X47" s="77"/>
      <c r="Y47" s="77"/>
      <c r="Z47" s="77"/>
      <c r="AA47" s="77"/>
      <c r="AB47" s="77"/>
      <c r="AC47" s="77"/>
      <c r="AD47" s="77"/>
    </row>
    <row r="48" spans="1:30" ht="15.75" x14ac:dyDescent="0.25">
      <c r="A48" s="13">
        <v>42370</v>
      </c>
      <c r="B48" s="90">
        <v>31</v>
      </c>
      <c r="C48" s="76">
        <f>122.58</f>
        <v>122.58</v>
      </c>
      <c r="D48" s="76">
        <f>297.941</f>
        <v>297.94099999999997</v>
      </c>
      <c r="E48" s="85">
        <f>89.177</f>
        <v>89.177000000000007</v>
      </c>
      <c r="F48" s="76">
        <f>240.302-40-60-100</f>
        <v>40.301999999999992</v>
      </c>
      <c r="G48" s="79">
        <v>40</v>
      </c>
      <c r="H48" s="76">
        <f>60+100</f>
        <v>160</v>
      </c>
      <c r="I48" s="76">
        <v>0</v>
      </c>
      <c r="J48" s="79">
        <v>100</v>
      </c>
      <c r="K48" s="79">
        <v>300</v>
      </c>
      <c r="L48" s="76">
        <f t="shared" si="0"/>
        <v>1150</v>
      </c>
      <c r="M48" s="87"/>
      <c r="N48" s="76">
        <f>100</f>
        <v>100</v>
      </c>
      <c r="O48" s="79">
        <v>240</v>
      </c>
      <c r="P48" s="79">
        <v>40</v>
      </c>
      <c r="Q48" s="79">
        <f t="shared" si="2"/>
        <v>315</v>
      </c>
      <c r="R48" s="79">
        <f t="shared" si="3"/>
        <v>100</v>
      </c>
      <c r="S48" s="76">
        <f t="shared" si="4"/>
        <v>695</v>
      </c>
      <c r="T48" s="76">
        <f>50</f>
        <v>50</v>
      </c>
      <c r="U48" s="77"/>
      <c r="V48" s="77"/>
      <c r="W48" s="77"/>
      <c r="X48" s="77"/>
      <c r="Y48" s="77"/>
      <c r="Z48" s="77"/>
      <c r="AA48" s="77"/>
      <c r="AB48" s="77"/>
      <c r="AC48" s="77"/>
      <c r="AD48" s="77"/>
    </row>
    <row r="49" spans="1:30" ht="15.75" x14ac:dyDescent="0.25">
      <c r="A49" s="13">
        <v>42401</v>
      </c>
      <c r="B49" s="90">
        <v>29</v>
      </c>
      <c r="C49" s="76">
        <f>122.58</f>
        <v>122.58</v>
      </c>
      <c r="D49" s="76">
        <f>297.941</f>
        <v>297.94099999999997</v>
      </c>
      <c r="E49" s="85">
        <f>89.177</f>
        <v>89.177000000000007</v>
      </c>
      <c r="F49" s="76">
        <f>240.302-40-60-100</f>
        <v>40.301999999999992</v>
      </c>
      <c r="G49" s="79">
        <v>40</v>
      </c>
      <c r="H49" s="76">
        <f>60+100</f>
        <v>160</v>
      </c>
      <c r="I49" s="76">
        <v>0</v>
      </c>
      <c r="J49" s="79">
        <v>100</v>
      </c>
      <c r="K49" s="79">
        <v>300</v>
      </c>
      <c r="L49" s="76">
        <f t="shared" si="0"/>
        <v>1150</v>
      </c>
      <c r="M49" s="87"/>
      <c r="N49" s="76">
        <f>100</f>
        <v>100</v>
      </c>
      <c r="O49" s="79">
        <v>240</v>
      </c>
      <c r="P49" s="79">
        <v>40</v>
      </c>
      <c r="Q49" s="79">
        <f t="shared" si="2"/>
        <v>315</v>
      </c>
      <c r="R49" s="79">
        <f t="shared" si="3"/>
        <v>100</v>
      </c>
      <c r="S49" s="76">
        <f t="shared" si="4"/>
        <v>695</v>
      </c>
      <c r="T49" s="76">
        <f>50</f>
        <v>50</v>
      </c>
      <c r="U49" s="77"/>
      <c r="V49" s="77"/>
      <c r="W49" s="77"/>
      <c r="X49" s="77"/>
      <c r="Y49" s="77"/>
      <c r="Z49" s="77"/>
      <c r="AA49" s="77"/>
      <c r="AB49" s="77"/>
      <c r="AC49" s="77"/>
      <c r="AD49" s="77"/>
    </row>
    <row r="50" spans="1:30" ht="15.75" x14ac:dyDescent="0.25">
      <c r="A50" s="13">
        <v>42430</v>
      </c>
      <c r="B50" s="90">
        <v>31</v>
      </c>
      <c r="C50" s="76">
        <f>122.58</f>
        <v>122.58</v>
      </c>
      <c r="D50" s="76">
        <f>297.941</f>
        <v>297.94099999999997</v>
      </c>
      <c r="E50" s="85">
        <f>89.177</f>
        <v>89.177000000000007</v>
      </c>
      <c r="F50" s="76">
        <f>240.302-40-60-100</f>
        <v>40.301999999999992</v>
      </c>
      <c r="G50" s="79">
        <v>40</v>
      </c>
      <c r="H50" s="76">
        <f>60+100</f>
        <v>160</v>
      </c>
      <c r="I50" s="76">
        <v>0</v>
      </c>
      <c r="J50" s="79">
        <v>100</v>
      </c>
      <c r="K50" s="79">
        <v>300</v>
      </c>
      <c r="L50" s="76">
        <f t="shared" si="0"/>
        <v>1150</v>
      </c>
      <c r="M50" s="87"/>
      <c r="N50" s="76">
        <f>100</f>
        <v>100</v>
      </c>
      <c r="O50" s="79">
        <v>240</v>
      </c>
      <c r="P50" s="79">
        <v>40</v>
      </c>
      <c r="Q50" s="79">
        <f t="shared" si="2"/>
        <v>315</v>
      </c>
      <c r="R50" s="79">
        <f t="shared" si="3"/>
        <v>100</v>
      </c>
      <c r="S50" s="76">
        <f t="shared" si="4"/>
        <v>695</v>
      </c>
      <c r="T50" s="76">
        <f>50</f>
        <v>50</v>
      </c>
      <c r="U50" s="77"/>
      <c r="V50" s="77"/>
      <c r="W50" s="77"/>
      <c r="X50" s="77"/>
      <c r="Y50" s="77"/>
      <c r="Z50" s="77"/>
      <c r="AA50" s="77"/>
      <c r="AB50" s="77"/>
      <c r="AC50" s="77"/>
      <c r="AD50" s="77"/>
    </row>
    <row r="51" spans="1:30" ht="15.75" x14ac:dyDescent="0.25">
      <c r="A51" s="13">
        <v>42461</v>
      </c>
      <c r="B51" s="90">
        <v>30</v>
      </c>
      <c r="C51" s="76">
        <f>141.293</f>
        <v>141.29300000000001</v>
      </c>
      <c r="D51" s="76">
        <f>267.993</f>
        <v>267.99299999999999</v>
      </c>
      <c r="E51" s="85">
        <f>115.016</f>
        <v>115.01600000000001</v>
      </c>
      <c r="F51" s="76">
        <f>314.698-40-25-60-100</f>
        <v>89.697999999999979</v>
      </c>
      <c r="G51" s="79">
        <v>40</v>
      </c>
      <c r="H51" s="76">
        <f t="shared" ref="H51:H57" si="8">25+60+100</f>
        <v>185</v>
      </c>
      <c r="I51" s="76">
        <v>0</v>
      </c>
      <c r="J51" s="79">
        <v>100</v>
      </c>
      <c r="K51" s="79">
        <v>300</v>
      </c>
      <c r="L51" s="76">
        <f t="shared" si="0"/>
        <v>1239</v>
      </c>
      <c r="M51" s="87"/>
      <c r="N51" s="76">
        <f>100</f>
        <v>100</v>
      </c>
      <c r="O51" s="79">
        <v>240</v>
      </c>
      <c r="P51" s="79">
        <v>160</v>
      </c>
      <c r="Q51" s="79">
        <f t="shared" si="2"/>
        <v>195</v>
      </c>
      <c r="R51" s="79">
        <f t="shared" si="3"/>
        <v>100</v>
      </c>
      <c r="S51" s="76">
        <f t="shared" si="4"/>
        <v>695</v>
      </c>
      <c r="T51" s="76">
        <f>50</f>
        <v>50</v>
      </c>
      <c r="U51" s="77"/>
      <c r="V51" s="77"/>
      <c r="W51" s="77"/>
      <c r="X51" s="77"/>
      <c r="Y51" s="77"/>
      <c r="Z51" s="77"/>
      <c r="AA51" s="77"/>
      <c r="AB51" s="77"/>
      <c r="AC51" s="77"/>
      <c r="AD51" s="77"/>
    </row>
    <row r="52" spans="1:30" ht="15.75" x14ac:dyDescent="0.25">
      <c r="A52" s="13">
        <v>42491</v>
      </c>
      <c r="B52" s="90">
        <v>31</v>
      </c>
      <c r="C52" s="76">
        <f>194.205</f>
        <v>194.20500000000001</v>
      </c>
      <c r="D52" s="76">
        <f>267.466</f>
        <v>267.46600000000001</v>
      </c>
      <c r="E52" s="85">
        <f>133.845</f>
        <v>133.845</v>
      </c>
      <c r="F52" s="76">
        <f>278.484-40-25-60-100</f>
        <v>53.48399999999998</v>
      </c>
      <c r="G52" s="79">
        <v>40</v>
      </c>
      <c r="H52" s="76">
        <f t="shared" si="8"/>
        <v>185</v>
      </c>
      <c r="I52" s="76">
        <f t="shared" ref="I52:I115" si="9">400-J52-K52</f>
        <v>0</v>
      </c>
      <c r="J52" s="79">
        <v>100</v>
      </c>
      <c r="K52" s="79">
        <v>300</v>
      </c>
      <c r="L52" s="76">
        <f t="shared" si="0"/>
        <v>1274</v>
      </c>
      <c r="M52" s="87"/>
      <c r="N52" s="76">
        <f>75</f>
        <v>75</v>
      </c>
      <c r="O52" s="79">
        <v>240</v>
      </c>
      <c r="P52" s="79">
        <v>160</v>
      </c>
      <c r="Q52" s="79">
        <f t="shared" si="2"/>
        <v>195</v>
      </c>
      <c r="R52" s="79">
        <f t="shared" si="3"/>
        <v>100</v>
      </c>
      <c r="S52" s="76">
        <f t="shared" si="4"/>
        <v>695</v>
      </c>
      <c r="T52" s="76">
        <f>50</f>
        <v>50</v>
      </c>
      <c r="U52" s="77"/>
      <c r="V52" s="77"/>
      <c r="W52" s="77"/>
      <c r="X52" s="77"/>
      <c r="Y52" s="77"/>
      <c r="Z52" s="77"/>
      <c r="AA52" s="77"/>
      <c r="AB52" s="77"/>
      <c r="AC52" s="77"/>
      <c r="AD52" s="77"/>
    </row>
    <row r="53" spans="1:30" ht="15.75" x14ac:dyDescent="0.25">
      <c r="A53" s="13">
        <v>42522</v>
      </c>
      <c r="B53" s="90">
        <v>30</v>
      </c>
      <c r="C53" s="76">
        <f>194.205</f>
        <v>194.20500000000001</v>
      </c>
      <c r="D53" s="76">
        <f>267.466</f>
        <v>267.46600000000001</v>
      </c>
      <c r="E53" s="85">
        <f>133.845</f>
        <v>133.845</v>
      </c>
      <c r="F53" s="76">
        <f>278.484-40-25-60-100</f>
        <v>53.48399999999998</v>
      </c>
      <c r="G53" s="79">
        <v>40</v>
      </c>
      <c r="H53" s="76">
        <f t="shared" si="8"/>
        <v>185</v>
      </c>
      <c r="I53" s="76">
        <f t="shared" si="9"/>
        <v>0</v>
      </c>
      <c r="J53" s="79">
        <v>100</v>
      </c>
      <c r="K53" s="79">
        <v>300</v>
      </c>
      <c r="L53" s="76">
        <f t="shared" si="0"/>
        <v>1274</v>
      </c>
      <c r="M53" s="87"/>
      <c r="N53" s="76">
        <f>30</f>
        <v>30</v>
      </c>
      <c r="O53" s="79">
        <v>240</v>
      </c>
      <c r="P53" s="79">
        <v>160</v>
      </c>
      <c r="Q53" s="79">
        <f t="shared" si="2"/>
        <v>195</v>
      </c>
      <c r="R53" s="79">
        <f t="shared" si="3"/>
        <v>100</v>
      </c>
      <c r="S53" s="76">
        <f t="shared" si="4"/>
        <v>695</v>
      </c>
      <c r="T53" s="76">
        <f>50</f>
        <v>50</v>
      </c>
      <c r="U53" s="77"/>
      <c r="V53" s="77"/>
      <c r="W53" s="77"/>
      <c r="X53" s="77"/>
      <c r="Y53" s="77"/>
      <c r="Z53" s="77"/>
      <c r="AA53" s="77"/>
      <c r="AB53" s="77"/>
      <c r="AC53" s="77"/>
      <c r="AD53" s="77"/>
    </row>
    <row r="54" spans="1:30" ht="15.75" x14ac:dyDescent="0.25">
      <c r="A54" s="13">
        <v>42552</v>
      </c>
      <c r="B54" s="90">
        <v>31</v>
      </c>
      <c r="C54" s="76">
        <f>194.205</f>
        <v>194.20500000000001</v>
      </c>
      <c r="D54" s="76">
        <f>267.466</f>
        <v>267.46600000000001</v>
      </c>
      <c r="E54" s="85">
        <f>133.845</f>
        <v>133.845</v>
      </c>
      <c r="F54" s="76">
        <f>278.484-40-25-60-100</f>
        <v>53.48399999999998</v>
      </c>
      <c r="G54" s="79">
        <v>40</v>
      </c>
      <c r="H54" s="76">
        <f t="shared" si="8"/>
        <v>185</v>
      </c>
      <c r="I54" s="76">
        <f t="shared" si="9"/>
        <v>0</v>
      </c>
      <c r="J54" s="79">
        <v>100</v>
      </c>
      <c r="K54" s="79">
        <v>300</v>
      </c>
      <c r="L54" s="76">
        <f t="shared" si="0"/>
        <v>1274</v>
      </c>
      <c r="M54" s="87"/>
      <c r="N54" s="76">
        <f>30</f>
        <v>30</v>
      </c>
      <c r="O54" s="79">
        <v>240</v>
      </c>
      <c r="P54" s="79">
        <v>160</v>
      </c>
      <c r="Q54" s="79">
        <f t="shared" si="2"/>
        <v>195</v>
      </c>
      <c r="R54" s="79">
        <f t="shared" si="3"/>
        <v>100</v>
      </c>
      <c r="S54" s="76">
        <f t="shared" si="4"/>
        <v>695</v>
      </c>
      <c r="T54" s="76">
        <f>0</f>
        <v>0</v>
      </c>
      <c r="U54" s="77"/>
      <c r="V54" s="77"/>
      <c r="W54" s="77"/>
      <c r="X54" s="77"/>
      <c r="Y54" s="77"/>
      <c r="Z54" s="77"/>
      <c r="AA54" s="77"/>
      <c r="AB54" s="77"/>
      <c r="AC54" s="77"/>
      <c r="AD54" s="77"/>
    </row>
    <row r="55" spans="1:30" ht="15.75" x14ac:dyDescent="0.25">
      <c r="A55" s="13">
        <v>42583</v>
      </c>
      <c r="B55" s="90">
        <v>31</v>
      </c>
      <c r="C55" s="76">
        <f>194.205</f>
        <v>194.20500000000001</v>
      </c>
      <c r="D55" s="76">
        <f>267.466</f>
        <v>267.46600000000001</v>
      </c>
      <c r="E55" s="85">
        <f>133.845</f>
        <v>133.845</v>
      </c>
      <c r="F55" s="76">
        <f>278.484-40-25-60-100</f>
        <v>53.48399999999998</v>
      </c>
      <c r="G55" s="79">
        <v>40</v>
      </c>
      <c r="H55" s="76">
        <f t="shared" si="8"/>
        <v>185</v>
      </c>
      <c r="I55" s="76">
        <f t="shared" si="9"/>
        <v>0</v>
      </c>
      <c r="J55" s="79">
        <v>100</v>
      </c>
      <c r="K55" s="79">
        <v>300</v>
      </c>
      <c r="L55" s="76">
        <f t="shared" si="0"/>
        <v>1274</v>
      </c>
      <c r="M55" s="87"/>
      <c r="N55" s="76">
        <f>30</f>
        <v>30</v>
      </c>
      <c r="O55" s="79">
        <v>240</v>
      </c>
      <c r="P55" s="79">
        <v>160</v>
      </c>
      <c r="Q55" s="79">
        <f t="shared" si="2"/>
        <v>195</v>
      </c>
      <c r="R55" s="79">
        <f t="shared" si="3"/>
        <v>100</v>
      </c>
      <c r="S55" s="76">
        <f t="shared" si="4"/>
        <v>695</v>
      </c>
      <c r="T55" s="76">
        <f>0</f>
        <v>0</v>
      </c>
      <c r="U55" s="77"/>
      <c r="V55" s="77"/>
      <c r="W55" s="77"/>
      <c r="X55" s="77"/>
      <c r="Y55" s="77"/>
      <c r="Z55" s="77"/>
      <c r="AA55" s="77"/>
      <c r="AB55" s="77"/>
      <c r="AC55" s="77"/>
      <c r="AD55" s="77"/>
    </row>
    <row r="56" spans="1:30" ht="15.75" x14ac:dyDescent="0.25">
      <c r="A56" s="13">
        <v>42614</v>
      </c>
      <c r="B56" s="90">
        <v>30</v>
      </c>
      <c r="C56" s="76">
        <f>194.205</f>
        <v>194.20500000000001</v>
      </c>
      <c r="D56" s="76">
        <f>267.466</f>
        <v>267.46600000000001</v>
      </c>
      <c r="E56" s="85">
        <f>133.845</f>
        <v>133.845</v>
      </c>
      <c r="F56" s="76">
        <f>278.484-40-25-60-100</f>
        <v>53.48399999999998</v>
      </c>
      <c r="G56" s="79">
        <v>40</v>
      </c>
      <c r="H56" s="76">
        <f t="shared" si="8"/>
        <v>185</v>
      </c>
      <c r="I56" s="76">
        <f t="shared" si="9"/>
        <v>0</v>
      </c>
      <c r="J56" s="79">
        <v>100</v>
      </c>
      <c r="K56" s="79">
        <v>300</v>
      </c>
      <c r="L56" s="76">
        <f t="shared" si="0"/>
        <v>1274</v>
      </c>
      <c r="M56" s="87"/>
      <c r="N56" s="76">
        <f>30</f>
        <v>30</v>
      </c>
      <c r="O56" s="79">
        <v>240</v>
      </c>
      <c r="P56" s="79">
        <v>160</v>
      </c>
      <c r="Q56" s="79">
        <f t="shared" si="2"/>
        <v>195</v>
      </c>
      <c r="R56" s="79">
        <f t="shared" si="3"/>
        <v>100</v>
      </c>
      <c r="S56" s="76">
        <f t="shared" si="4"/>
        <v>695</v>
      </c>
      <c r="T56" s="76">
        <f>0</f>
        <v>0</v>
      </c>
      <c r="U56" s="77"/>
      <c r="V56" s="77"/>
      <c r="W56" s="77"/>
      <c r="X56" s="77"/>
      <c r="Y56" s="77"/>
      <c r="Z56" s="77"/>
      <c r="AA56" s="77"/>
      <c r="AB56" s="77"/>
      <c r="AC56" s="77"/>
      <c r="AD56" s="77"/>
    </row>
    <row r="57" spans="1:30" ht="15.75" x14ac:dyDescent="0.25">
      <c r="A57" s="13">
        <v>42644</v>
      </c>
      <c r="B57" s="90">
        <v>31</v>
      </c>
      <c r="C57" s="76">
        <f>131.881</f>
        <v>131.881</v>
      </c>
      <c r="D57" s="76">
        <f>277.167</f>
        <v>277.16699999999997</v>
      </c>
      <c r="E57" s="85">
        <f>79.08</f>
        <v>79.08</v>
      </c>
      <c r="F57" s="76">
        <f>350.872-40-25-60-100</f>
        <v>125.87200000000001</v>
      </c>
      <c r="G57" s="79">
        <v>40</v>
      </c>
      <c r="H57" s="76">
        <f t="shared" si="8"/>
        <v>185</v>
      </c>
      <c r="I57" s="76">
        <f t="shared" si="9"/>
        <v>0</v>
      </c>
      <c r="J57" s="79">
        <v>100</v>
      </c>
      <c r="K57" s="79">
        <v>300</v>
      </c>
      <c r="L57" s="76">
        <f t="shared" si="0"/>
        <v>1239</v>
      </c>
      <c r="M57" s="87"/>
      <c r="N57" s="76">
        <f>75</f>
        <v>75</v>
      </c>
      <c r="O57" s="79">
        <v>240</v>
      </c>
      <c r="P57" s="79">
        <v>160</v>
      </c>
      <c r="Q57" s="79">
        <f t="shared" si="2"/>
        <v>195</v>
      </c>
      <c r="R57" s="79">
        <f t="shared" si="3"/>
        <v>100</v>
      </c>
      <c r="S57" s="76">
        <f t="shared" si="4"/>
        <v>695</v>
      </c>
      <c r="T57" s="76">
        <f>0</f>
        <v>0</v>
      </c>
      <c r="U57" s="77"/>
      <c r="V57" s="77"/>
      <c r="W57" s="77"/>
      <c r="X57" s="77"/>
      <c r="Y57" s="77"/>
      <c r="Z57" s="77"/>
      <c r="AA57" s="77"/>
      <c r="AB57" s="77"/>
      <c r="AC57" s="77"/>
      <c r="AD57" s="77"/>
    </row>
    <row r="58" spans="1:30" ht="15.75" x14ac:dyDescent="0.25">
      <c r="A58" s="13">
        <v>42675</v>
      </c>
      <c r="B58" s="90">
        <v>30</v>
      </c>
      <c r="C58" s="76">
        <f>122.58</f>
        <v>122.58</v>
      </c>
      <c r="D58" s="76">
        <f>297.941</f>
        <v>297.94099999999997</v>
      </c>
      <c r="E58" s="85">
        <f>89.177</f>
        <v>89.177000000000007</v>
      </c>
      <c r="F58" s="76">
        <f>240.302-40-60-100</f>
        <v>40.301999999999992</v>
      </c>
      <c r="G58" s="79">
        <v>40</v>
      </c>
      <c r="H58" s="76">
        <f>60+100</f>
        <v>160</v>
      </c>
      <c r="I58" s="76">
        <f t="shared" si="9"/>
        <v>0</v>
      </c>
      <c r="J58" s="79">
        <v>100</v>
      </c>
      <c r="K58" s="79">
        <v>300</v>
      </c>
      <c r="L58" s="76">
        <f t="shared" si="0"/>
        <v>1150</v>
      </c>
      <c r="M58" s="87"/>
      <c r="N58" s="76">
        <f>100</f>
        <v>100</v>
      </c>
      <c r="O58" s="79">
        <v>240</v>
      </c>
      <c r="P58" s="79">
        <v>40</v>
      </c>
      <c r="Q58" s="79">
        <f t="shared" si="2"/>
        <v>315</v>
      </c>
      <c r="R58" s="79">
        <f t="shared" si="3"/>
        <v>100</v>
      </c>
      <c r="S58" s="76">
        <f t="shared" si="4"/>
        <v>695</v>
      </c>
      <c r="T58" s="76">
        <f>50</f>
        <v>50</v>
      </c>
      <c r="U58" s="77"/>
      <c r="V58" s="77"/>
      <c r="W58" s="77"/>
      <c r="X58" s="77"/>
      <c r="Y58" s="77"/>
      <c r="Z58" s="77"/>
      <c r="AA58" s="77"/>
      <c r="AB58" s="77"/>
      <c r="AC58" s="77"/>
      <c r="AD58" s="77"/>
    </row>
    <row r="59" spans="1:30" ht="15.75" x14ac:dyDescent="0.25">
      <c r="A59" s="13">
        <v>42705</v>
      </c>
      <c r="B59" s="90">
        <v>31</v>
      </c>
      <c r="C59" s="76">
        <f>122.58</f>
        <v>122.58</v>
      </c>
      <c r="D59" s="76">
        <f>297.941</f>
        <v>297.94099999999997</v>
      </c>
      <c r="E59" s="85">
        <f>89.177</f>
        <v>89.177000000000007</v>
      </c>
      <c r="F59" s="76">
        <f>240.302-40-60-100</f>
        <v>40.301999999999992</v>
      </c>
      <c r="G59" s="79">
        <v>40</v>
      </c>
      <c r="H59" s="76">
        <f>60+100</f>
        <v>160</v>
      </c>
      <c r="I59" s="76">
        <f t="shared" si="9"/>
        <v>0</v>
      </c>
      <c r="J59" s="79">
        <v>100</v>
      </c>
      <c r="K59" s="79">
        <v>300</v>
      </c>
      <c r="L59" s="76">
        <f t="shared" si="0"/>
        <v>1150</v>
      </c>
      <c r="M59" s="87"/>
      <c r="N59" s="76">
        <f>100</f>
        <v>100</v>
      </c>
      <c r="O59" s="79">
        <v>240</v>
      </c>
      <c r="P59" s="79">
        <v>40</v>
      </c>
      <c r="Q59" s="79">
        <f t="shared" si="2"/>
        <v>315</v>
      </c>
      <c r="R59" s="79">
        <f t="shared" si="3"/>
        <v>100</v>
      </c>
      <c r="S59" s="76">
        <f t="shared" si="4"/>
        <v>695</v>
      </c>
      <c r="T59" s="76">
        <f>50</f>
        <v>50</v>
      </c>
      <c r="U59" s="77"/>
      <c r="V59" s="77"/>
      <c r="W59" s="77"/>
      <c r="X59" s="77"/>
      <c r="Y59" s="77"/>
      <c r="Z59" s="77"/>
      <c r="AA59" s="77"/>
      <c r="AB59" s="77"/>
      <c r="AC59" s="77"/>
      <c r="AD59" s="77"/>
    </row>
    <row r="60" spans="1:30" ht="15.75" x14ac:dyDescent="0.25">
      <c r="A60" s="13">
        <v>42736</v>
      </c>
      <c r="B60" s="90">
        <v>31</v>
      </c>
      <c r="C60" s="76">
        <f>122.58</f>
        <v>122.58</v>
      </c>
      <c r="D60" s="76">
        <f>297.941</f>
        <v>297.94099999999997</v>
      </c>
      <c r="E60" s="85">
        <f>89.177</f>
        <v>89.177000000000007</v>
      </c>
      <c r="F60" s="76">
        <f>240.302-40-60-100</f>
        <v>40.301999999999992</v>
      </c>
      <c r="G60" s="79">
        <v>40</v>
      </c>
      <c r="H60" s="76">
        <f>60+100</f>
        <v>160</v>
      </c>
      <c r="I60" s="76">
        <f t="shared" si="9"/>
        <v>0</v>
      </c>
      <c r="J60" s="79">
        <v>100</v>
      </c>
      <c r="K60" s="79">
        <v>300</v>
      </c>
      <c r="L60" s="76">
        <f t="shared" si="0"/>
        <v>1150</v>
      </c>
      <c r="M60" s="87">
        <v>400</v>
      </c>
      <c r="N60" s="76">
        <f>100</f>
        <v>100</v>
      </c>
      <c r="O60" s="79">
        <v>240</v>
      </c>
      <c r="P60" s="79">
        <v>40</v>
      </c>
      <c r="Q60" s="79">
        <f t="shared" si="2"/>
        <v>315</v>
      </c>
      <c r="R60" s="79">
        <f t="shared" si="3"/>
        <v>100</v>
      </c>
      <c r="S60" s="76">
        <f t="shared" si="4"/>
        <v>695</v>
      </c>
      <c r="T60" s="76">
        <f>50</f>
        <v>50</v>
      </c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15.75" x14ac:dyDescent="0.25">
      <c r="A61" s="13">
        <v>42767</v>
      </c>
      <c r="B61" s="90">
        <v>28</v>
      </c>
      <c r="C61" s="76">
        <f>122.58</f>
        <v>122.58</v>
      </c>
      <c r="D61" s="76">
        <f>297.941</f>
        <v>297.94099999999997</v>
      </c>
      <c r="E61" s="85">
        <f>89.177</f>
        <v>89.177000000000007</v>
      </c>
      <c r="F61" s="76">
        <f>240.302-40-60-100</f>
        <v>40.301999999999992</v>
      </c>
      <c r="G61" s="79">
        <v>40</v>
      </c>
      <c r="H61" s="76">
        <f>60+100</f>
        <v>160</v>
      </c>
      <c r="I61" s="76">
        <f t="shared" si="9"/>
        <v>0</v>
      </c>
      <c r="J61" s="79">
        <v>100</v>
      </c>
      <c r="K61" s="79">
        <v>300</v>
      </c>
      <c r="L61" s="76">
        <f t="shared" si="0"/>
        <v>1150</v>
      </c>
      <c r="M61" s="87">
        <v>400</v>
      </c>
      <c r="N61" s="76">
        <f>100</f>
        <v>100</v>
      </c>
      <c r="O61" s="79">
        <v>240</v>
      </c>
      <c r="P61" s="79">
        <v>40</v>
      </c>
      <c r="Q61" s="79">
        <f t="shared" si="2"/>
        <v>315</v>
      </c>
      <c r="R61" s="79">
        <f t="shared" si="3"/>
        <v>100</v>
      </c>
      <c r="S61" s="76">
        <f t="shared" si="4"/>
        <v>695</v>
      </c>
      <c r="T61" s="76">
        <f>50</f>
        <v>50</v>
      </c>
      <c r="U61" s="77"/>
      <c r="V61" s="77"/>
      <c r="W61" s="77"/>
      <c r="X61" s="77"/>
      <c r="Y61" s="77"/>
      <c r="Z61" s="77"/>
      <c r="AA61" s="77"/>
      <c r="AB61" s="77"/>
      <c r="AC61" s="77"/>
      <c r="AD61" s="77"/>
    </row>
    <row r="62" spans="1:30" ht="15.75" x14ac:dyDescent="0.25">
      <c r="A62" s="13">
        <v>42795</v>
      </c>
      <c r="B62" s="90">
        <v>31</v>
      </c>
      <c r="C62" s="76">
        <f>122.58</f>
        <v>122.58</v>
      </c>
      <c r="D62" s="76">
        <f>297.941</f>
        <v>297.94099999999997</v>
      </c>
      <c r="E62" s="85">
        <f>89.177</f>
        <v>89.177000000000007</v>
      </c>
      <c r="F62" s="76">
        <f>240.302-40-60-100</f>
        <v>40.301999999999992</v>
      </c>
      <c r="G62" s="79">
        <v>40</v>
      </c>
      <c r="H62" s="76">
        <f>60+100</f>
        <v>160</v>
      </c>
      <c r="I62" s="76">
        <f t="shared" si="9"/>
        <v>0</v>
      </c>
      <c r="J62" s="79">
        <v>100</v>
      </c>
      <c r="K62" s="79">
        <v>300</v>
      </c>
      <c r="L62" s="76">
        <f t="shared" si="0"/>
        <v>1150</v>
      </c>
      <c r="M62" s="87">
        <v>400</v>
      </c>
      <c r="N62" s="76">
        <f>100</f>
        <v>100</v>
      </c>
      <c r="O62" s="79">
        <v>240</v>
      </c>
      <c r="P62" s="79">
        <v>40</v>
      </c>
      <c r="Q62" s="79">
        <f t="shared" si="2"/>
        <v>315</v>
      </c>
      <c r="R62" s="79">
        <f t="shared" si="3"/>
        <v>100</v>
      </c>
      <c r="S62" s="76">
        <f t="shared" si="4"/>
        <v>695</v>
      </c>
      <c r="T62" s="76">
        <f>50</f>
        <v>50</v>
      </c>
      <c r="U62" s="77"/>
      <c r="V62" s="77"/>
      <c r="W62" s="77"/>
      <c r="X62" s="77"/>
      <c r="Y62" s="77"/>
      <c r="Z62" s="77"/>
      <c r="AA62" s="77"/>
      <c r="AB62" s="77"/>
      <c r="AC62" s="77"/>
      <c r="AD62" s="77"/>
    </row>
    <row r="63" spans="1:30" ht="15.75" x14ac:dyDescent="0.25">
      <c r="A63" s="13">
        <v>42826</v>
      </c>
      <c r="B63" s="90">
        <v>30</v>
      </c>
      <c r="C63" s="76">
        <f>141.293</f>
        <v>141.29300000000001</v>
      </c>
      <c r="D63" s="76">
        <f>267.993</f>
        <v>267.99299999999999</v>
      </c>
      <c r="E63" s="85">
        <f>115.016</f>
        <v>115.01600000000001</v>
      </c>
      <c r="F63" s="76">
        <f>314.698-40-25-60-100</f>
        <v>89.697999999999979</v>
      </c>
      <c r="G63" s="79">
        <v>40</v>
      </c>
      <c r="H63" s="76">
        <f t="shared" ref="H63:H69" si="10">25+60+100</f>
        <v>185</v>
      </c>
      <c r="I63" s="76">
        <f t="shared" si="9"/>
        <v>0</v>
      </c>
      <c r="J63" s="79">
        <v>100</v>
      </c>
      <c r="K63" s="79">
        <v>300</v>
      </c>
      <c r="L63" s="76">
        <f t="shared" si="0"/>
        <v>1239</v>
      </c>
      <c r="M63" s="87">
        <v>400</v>
      </c>
      <c r="N63" s="76">
        <f>100</f>
        <v>100</v>
      </c>
      <c r="O63" s="79">
        <v>240</v>
      </c>
      <c r="P63" s="79">
        <v>160</v>
      </c>
      <c r="Q63" s="79">
        <f t="shared" si="2"/>
        <v>195</v>
      </c>
      <c r="R63" s="79">
        <f t="shared" si="3"/>
        <v>100</v>
      </c>
      <c r="S63" s="76">
        <f t="shared" si="4"/>
        <v>695</v>
      </c>
      <c r="T63" s="76">
        <f>50</f>
        <v>50</v>
      </c>
      <c r="U63" s="77"/>
      <c r="V63" s="77"/>
      <c r="W63" s="77"/>
      <c r="X63" s="77"/>
      <c r="Y63" s="77"/>
      <c r="Z63" s="77"/>
      <c r="AA63" s="77"/>
      <c r="AB63" s="77"/>
      <c r="AC63" s="77"/>
      <c r="AD63" s="77"/>
    </row>
    <row r="64" spans="1:30" ht="15.75" x14ac:dyDescent="0.25">
      <c r="A64" s="13">
        <v>42856</v>
      </c>
      <c r="B64" s="90">
        <v>31</v>
      </c>
      <c r="C64" s="76">
        <f>194.205</f>
        <v>194.20500000000001</v>
      </c>
      <c r="D64" s="76">
        <f>267.466</f>
        <v>267.46600000000001</v>
      </c>
      <c r="E64" s="85">
        <f>133.845</f>
        <v>133.845</v>
      </c>
      <c r="F64" s="76">
        <f>278.484-40-25-60-100</f>
        <v>53.48399999999998</v>
      </c>
      <c r="G64" s="79">
        <v>40</v>
      </c>
      <c r="H64" s="76">
        <f t="shared" si="10"/>
        <v>185</v>
      </c>
      <c r="I64" s="76">
        <f t="shared" si="9"/>
        <v>0</v>
      </c>
      <c r="J64" s="79">
        <v>100</v>
      </c>
      <c r="K64" s="79">
        <v>300</v>
      </c>
      <c r="L64" s="76">
        <f t="shared" si="0"/>
        <v>1274</v>
      </c>
      <c r="M64" s="87">
        <v>400</v>
      </c>
      <c r="N64" s="76">
        <f>75</f>
        <v>75</v>
      </c>
      <c r="O64" s="79">
        <v>240</v>
      </c>
      <c r="P64" s="79">
        <v>160</v>
      </c>
      <c r="Q64" s="79">
        <f t="shared" si="2"/>
        <v>195</v>
      </c>
      <c r="R64" s="79">
        <f t="shared" si="3"/>
        <v>100</v>
      </c>
      <c r="S64" s="76">
        <f t="shared" si="4"/>
        <v>695</v>
      </c>
      <c r="T64" s="76">
        <f>50</f>
        <v>50</v>
      </c>
      <c r="U64" s="77"/>
      <c r="V64" s="77"/>
      <c r="W64" s="77"/>
      <c r="X64" s="77"/>
      <c r="Y64" s="77"/>
      <c r="Z64" s="77"/>
      <c r="AA64" s="77"/>
      <c r="AB64" s="77"/>
      <c r="AC64" s="77"/>
      <c r="AD64" s="77"/>
    </row>
    <row r="65" spans="1:30" ht="15.75" x14ac:dyDescent="0.25">
      <c r="A65" s="13">
        <v>42887</v>
      </c>
      <c r="B65" s="90">
        <v>30</v>
      </c>
      <c r="C65" s="76">
        <f>194.205</f>
        <v>194.20500000000001</v>
      </c>
      <c r="D65" s="76">
        <f>267.466</f>
        <v>267.46600000000001</v>
      </c>
      <c r="E65" s="85">
        <f>133.845</f>
        <v>133.845</v>
      </c>
      <c r="F65" s="76">
        <f>278.484-40-25-60-100</f>
        <v>53.48399999999998</v>
      </c>
      <c r="G65" s="79">
        <v>40</v>
      </c>
      <c r="H65" s="76">
        <f t="shared" si="10"/>
        <v>185</v>
      </c>
      <c r="I65" s="76">
        <f t="shared" si="9"/>
        <v>0</v>
      </c>
      <c r="J65" s="79">
        <v>100</v>
      </c>
      <c r="K65" s="79">
        <v>300</v>
      </c>
      <c r="L65" s="76">
        <f t="shared" si="0"/>
        <v>1274</v>
      </c>
      <c r="M65" s="87">
        <v>400</v>
      </c>
      <c r="N65" s="76">
        <f>30</f>
        <v>30</v>
      </c>
      <c r="O65" s="79">
        <v>240</v>
      </c>
      <c r="P65" s="79">
        <v>160</v>
      </c>
      <c r="Q65" s="79">
        <f t="shared" si="2"/>
        <v>195</v>
      </c>
      <c r="R65" s="79">
        <f t="shared" si="3"/>
        <v>100</v>
      </c>
      <c r="S65" s="76">
        <f t="shared" si="4"/>
        <v>695</v>
      </c>
      <c r="T65" s="76">
        <f>50</f>
        <v>50</v>
      </c>
      <c r="U65" s="77"/>
      <c r="V65" s="77"/>
      <c r="W65" s="77"/>
      <c r="X65" s="77"/>
      <c r="Y65" s="77"/>
      <c r="Z65" s="77"/>
      <c r="AA65" s="77"/>
      <c r="AB65" s="77"/>
      <c r="AC65" s="77"/>
      <c r="AD65" s="77"/>
    </row>
    <row r="66" spans="1:30" ht="15.75" x14ac:dyDescent="0.25">
      <c r="A66" s="13">
        <v>42917</v>
      </c>
      <c r="B66" s="90">
        <v>31</v>
      </c>
      <c r="C66" s="76">
        <f>194.205</f>
        <v>194.20500000000001</v>
      </c>
      <c r="D66" s="76">
        <f>267.466</f>
        <v>267.46600000000001</v>
      </c>
      <c r="E66" s="85">
        <f>133.845</f>
        <v>133.845</v>
      </c>
      <c r="F66" s="76">
        <f>278.484-40-25-60-100</f>
        <v>53.48399999999998</v>
      </c>
      <c r="G66" s="79">
        <v>40</v>
      </c>
      <c r="H66" s="76">
        <f t="shared" si="10"/>
        <v>185</v>
      </c>
      <c r="I66" s="76">
        <f t="shared" si="9"/>
        <v>0</v>
      </c>
      <c r="J66" s="79">
        <v>100</v>
      </c>
      <c r="K66" s="79">
        <v>300</v>
      </c>
      <c r="L66" s="76">
        <f t="shared" si="0"/>
        <v>1274</v>
      </c>
      <c r="M66" s="87">
        <v>400</v>
      </c>
      <c r="N66" s="76">
        <f>30</f>
        <v>30</v>
      </c>
      <c r="O66" s="79">
        <v>240</v>
      </c>
      <c r="P66" s="79">
        <v>160</v>
      </c>
      <c r="Q66" s="79">
        <f t="shared" si="2"/>
        <v>195</v>
      </c>
      <c r="R66" s="79">
        <f t="shared" si="3"/>
        <v>100</v>
      </c>
      <c r="S66" s="76">
        <f t="shared" si="4"/>
        <v>695</v>
      </c>
      <c r="T66" s="76">
        <f>0</f>
        <v>0</v>
      </c>
      <c r="U66" s="77"/>
      <c r="V66" s="77"/>
      <c r="W66" s="77"/>
      <c r="X66" s="77"/>
      <c r="Y66" s="77"/>
      <c r="Z66" s="77"/>
      <c r="AA66" s="77"/>
      <c r="AB66" s="77"/>
      <c r="AC66" s="77"/>
      <c r="AD66" s="77"/>
    </row>
    <row r="67" spans="1:30" ht="15.75" x14ac:dyDescent="0.25">
      <c r="A67" s="13">
        <v>42948</v>
      </c>
      <c r="B67" s="90">
        <v>31</v>
      </c>
      <c r="C67" s="76">
        <f>194.205</f>
        <v>194.20500000000001</v>
      </c>
      <c r="D67" s="76">
        <f>267.466</f>
        <v>267.46600000000001</v>
      </c>
      <c r="E67" s="85">
        <f>133.845</f>
        <v>133.845</v>
      </c>
      <c r="F67" s="76">
        <f>278.484-40-25-60-100</f>
        <v>53.48399999999998</v>
      </c>
      <c r="G67" s="79">
        <v>40</v>
      </c>
      <c r="H67" s="76">
        <f t="shared" si="10"/>
        <v>185</v>
      </c>
      <c r="I67" s="76">
        <f t="shared" si="9"/>
        <v>0</v>
      </c>
      <c r="J67" s="79">
        <v>100</v>
      </c>
      <c r="K67" s="79">
        <v>300</v>
      </c>
      <c r="L67" s="76">
        <f t="shared" si="0"/>
        <v>1274</v>
      </c>
      <c r="M67" s="87">
        <v>400</v>
      </c>
      <c r="N67" s="76">
        <f>30</f>
        <v>30</v>
      </c>
      <c r="O67" s="79">
        <v>240</v>
      </c>
      <c r="P67" s="79">
        <v>160</v>
      </c>
      <c r="Q67" s="79">
        <f t="shared" si="2"/>
        <v>195</v>
      </c>
      <c r="R67" s="79">
        <f t="shared" si="3"/>
        <v>100</v>
      </c>
      <c r="S67" s="76">
        <f t="shared" si="4"/>
        <v>695</v>
      </c>
      <c r="T67" s="76">
        <f>0</f>
        <v>0</v>
      </c>
      <c r="U67" s="77"/>
      <c r="V67" s="77"/>
      <c r="W67" s="77"/>
      <c r="X67" s="77"/>
      <c r="Y67" s="77"/>
      <c r="Z67" s="77"/>
      <c r="AA67" s="77"/>
      <c r="AB67" s="77"/>
      <c r="AC67" s="77"/>
      <c r="AD67" s="77"/>
    </row>
    <row r="68" spans="1:30" ht="15.75" x14ac:dyDescent="0.25">
      <c r="A68" s="13">
        <v>42979</v>
      </c>
      <c r="B68" s="90">
        <v>30</v>
      </c>
      <c r="C68" s="76">
        <f>194.205</f>
        <v>194.20500000000001</v>
      </c>
      <c r="D68" s="76">
        <f>267.466</f>
        <v>267.46600000000001</v>
      </c>
      <c r="E68" s="85">
        <f>133.845</f>
        <v>133.845</v>
      </c>
      <c r="F68" s="76">
        <f>278.484-40-25-60-100</f>
        <v>53.48399999999998</v>
      </c>
      <c r="G68" s="79">
        <v>40</v>
      </c>
      <c r="H68" s="76">
        <f t="shared" si="10"/>
        <v>185</v>
      </c>
      <c r="I68" s="76">
        <f t="shared" si="9"/>
        <v>0</v>
      </c>
      <c r="J68" s="79">
        <v>100</v>
      </c>
      <c r="K68" s="79">
        <v>300</v>
      </c>
      <c r="L68" s="76">
        <f t="shared" si="0"/>
        <v>1274</v>
      </c>
      <c r="M68" s="87">
        <v>400</v>
      </c>
      <c r="N68" s="76">
        <f>30</f>
        <v>30</v>
      </c>
      <c r="O68" s="79">
        <v>240</v>
      </c>
      <c r="P68" s="79">
        <v>160</v>
      </c>
      <c r="Q68" s="79">
        <f t="shared" si="2"/>
        <v>195</v>
      </c>
      <c r="R68" s="79">
        <f t="shared" si="3"/>
        <v>100</v>
      </c>
      <c r="S68" s="76">
        <f t="shared" si="4"/>
        <v>695</v>
      </c>
      <c r="T68" s="76">
        <f>0</f>
        <v>0</v>
      </c>
      <c r="U68" s="77"/>
      <c r="V68" s="77"/>
      <c r="W68" s="77"/>
      <c r="X68" s="77"/>
      <c r="Y68" s="77"/>
      <c r="Z68" s="77"/>
      <c r="AA68" s="77"/>
      <c r="AB68" s="77"/>
      <c r="AC68" s="77"/>
      <c r="AD68" s="77"/>
    </row>
    <row r="69" spans="1:30" ht="15.75" x14ac:dyDescent="0.25">
      <c r="A69" s="13">
        <v>43009</v>
      </c>
      <c r="B69" s="90">
        <v>31</v>
      </c>
      <c r="C69" s="76">
        <f>131.881</f>
        <v>131.881</v>
      </c>
      <c r="D69" s="76">
        <f>277.167</f>
        <v>277.16699999999997</v>
      </c>
      <c r="E69" s="85">
        <f>79.08</f>
        <v>79.08</v>
      </c>
      <c r="F69" s="76">
        <f>350.872-40-25-60-100</f>
        <v>125.87200000000001</v>
      </c>
      <c r="G69" s="79">
        <v>40</v>
      </c>
      <c r="H69" s="76">
        <f t="shared" si="10"/>
        <v>185</v>
      </c>
      <c r="I69" s="76">
        <f t="shared" si="9"/>
        <v>0</v>
      </c>
      <c r="J69" s="79">
        <v>100</v>
      </c>
      <c r="K69" s="79">
        <v>300</v>
      </c>
      <c r="L69" s="76">
        <f t="shared" si="0"/>
        <v>1239</v>
      </c>
      <c r="M69" s="87">
        <v>400</v>
      </c>
      <c r="N69" s="76">
        <f>75</f>
        <v>75</v>
      </c>
      <c r="O69" s="79">
        <v>240</v>
      </c>
      <c r="P69" s="79">
        <v>160</v>
      </c>
      <c r="Q69" s="79">
        <f t="shared" si="2"/>
        <v>195</v>
      </c>
      <c r="R69" s="79">
        <f t="shared" si="3"/>
        <v>100</v>
      </c>
      <c r="S69" s="76">
        <f t="shared" si="4"/>
        <v>695</v>
      </c>
      <c r="T69" s="76">
        <f>0</f>
        <v>0</v>
      </c>
      <c r="U69" s="77"/>
      <c r="V69" s="77"/>
      <c r="W69" s="77"/>
      <c r="X69" s="77"/>
      <c r="Y69" s="77"/>
      <c r="Z69" s="77"/>
      <c r="AA69" s="77"/>
      <c r="AB69" s="77"/>
      <c r="AC69" s="77"/>
      <c r="AD69" s="77"/>
    </row>
    <row r="70" spans="1:30" ht="15.75" x14ac:dyDescent="0.25">
      <c r="A70" s="13">
        <v>43040</v>
      </c>
      <c r="B70" s="90">
        <v>30</v>
      </c>
      <c r="C70" s="76">
        <f>122.58</f>
        <v>122.58</v>
      </c>
      <c r="D70" s="76">
        <f>297.941</f>
        <v>297.94099999999997</v>
      </c>
      <c r="E70" s="85">
        <f>89.177</f>
        <v>89.177000000000007</v>
      </c>
      <c r="F70" s="76">
        <f>240.302-40-60-100</f>
        <v>40.301999999999992</v>
      </c>
      <c r="G70" s="79">
        <v>40</v>
      </c>
      <c r="H70" s="76">
        <f>60+100</f>
        <v>160</v>
      </c>
      <c r="I70" s="76">
        <f t="shared" si="9"/>
        <v>0</v>
      </c>
      <c r="J70" s="79">
        <v>100</v>
      </c>
      <c r="K70" s="79">
        <v>300</v>
      </c>
      <c r="L70" s="76">
        <f t="shared" si="0"/>
        <v>1150</v>
      </c>
      <c r="M70" s="87">
        <v>400</v>
      </c>
      <c r="N70" s="76">
        <f>100</f>
        <v>100</v>
      </c>
      <c r="O70" s="79">
        <v>240</v>
      </c>
      <c r="P70" s="79">
        <v>40</v>
      </c>
      <c r="Q70" s="79">
        <f t="shared" si="2"/>
        <v>315</v>
      </c>
      <c r="R70" s="79">
        <f t="shared" si="3"/>
        <v>100</v>
      </c>
      <c r="S70" s="76">
        <f t="shared" si="4"/>
        <v>695</v>
      </c>
      <c r="T70" s="76">
        <f>50</f>
        <v>50</v>
      </c>
      <c r="U70" s="77"/>
      <c r="V70" s="77"/>
      <c r="W70" s="77"/>
      <c r="X70" s="77"/>
      <c r="Y70" s="77"/>
      <c r="Z70" s="77"/>
      <c r="AA70" s="77"/>
      <c r="AB70" s="77"/>
      <c r="AC70" s="77"/>
      <c r="AD70" s="77"/>
    </row>
    <row r="71" spans="1:30" ht="15.75" x14ac:dyDescent="0.25">
      <c r="A71" s="13">
        <v>43070</v>
      </c>
      <c r="B71" s="90">
        <v>31</v>
      </c>
      <c r="C71" s="76">
        <f>122.58</f>
        <v>122.58</v>
      </c>
      <c r="D71" s="76">
        <f>297.941</f>
        <v>297.94099999999997</v>
      </c>
      <c r="E71" s="85">
        <f>89.177</f>
        <v>89.177000000000007</v>
      </c>
      <c r="F71" s="76">
        <f>240.302-40-60-100</f>
        <v>40.301999999999992</v>
      </c>
      <c r="G71" s="79">
        <v>40</v>
      </c>
      <c r="H71" s="76">
        <f>60+100</f>
        <v>160</v>
      </c>
      <c r="I71" s="76">
        <f t="shared" si="9"/>
        <v>0</v>
      </c>
      <c r="J71" s="79">
        <v>100</v>
      </c>
      <c r="K71" s="79">
        <v>300</v>
      </c>
      <c r="L71" s="76">
        <f t="shared" si="0"/>
        <v>1150</v>
      </c>
      <c r="M71" s="87">
        <v>400</v>
      </c>
      <c r="N71" s="76">
        <f>100</f>
        <v>100</v>
      </c>
      <c r="O71" s="79">
        <v>240</v>
      </c>
      <c r="P71" s="79">
        <v>40</v>
      </c>
      <c r="Q71" s="79">
        <f t="shared" si="2"/>
        <v>315</v>
      </c>
      <c r="R71" s="79">
        <f t="shared" si="3"/>
        <v>100</v>
      </c>
      <c r="S71" s="76">
        <f t="shared" si="4"/>
        <v>695</v>
      </c>
      <c r="T71" s="76">
        <f>50</f>
        <v>50</v>
      </c>
      <c r="U71" s="77"/>
      <c r="V71" s="77"/>
      <c r="W71" s="77"/>
      <c r="X71" s="77"/>
      <c r="Y71" s="77"/>
      <c r="Z71" s="77"/>
      <c r="AA71" s="77"/>
      <c r="AB71" s="77"/>
      <c r="AC71" s="77"/>
      <c r="AD71" s="77"/>
    </row>
    <row r="72" spans="1:30" ht="15.75" x14ac:dyDescent="0.25">
      <c r="A72" s="13">
        <v>43101</v>
      </c>
      <c r="B72" s="90">
        <v>31</v>
      </c>
      <c r="C72" s="76">
        <f>122.58</f>
        <v>122.58</v>
      </c>
      <c r="D72" s="76">
        <f>297.941</f>
        <v>297.94099999999997</v>
      </c>
      <c r="E72" s="85">
        <f>89.177</f>
        <v>89.177000000000007</v>
      </c>
      <c r="F72" s="76">
        <f>240.302-40-60-100</f>
        <v>40.301999999999992</v>
      </c>
      <c r="G72" s="79">
        <v>40</v>
      </c>
      <c r="H72" s="76">
        <f>60+100</f>
        <v>160</v>
      </c>
      <c r="I72" s="76">
        <f t="shared" si="9"/>
        <v>0</v>
      </c>
      <c r="J72" s="79">
        <v>100</v>
      </c>
      <c r="K72" s="79">
        <v>300</v>
      </c>
      <c r="L72" s="76">
        <f t="shared" si="0"/>
        <v>1150</v>
      </c>
      <c r="M72" s="87">
        <v>400</v>
      </c>
      <c r="N72" s="76">
        <f>100</f>
        <v>100</v>
      </c>
      <c r="O72" s="79">
        <v>240</v>
      </c>
      <c r="P72" s="79">
        <v>40</v>
      </c>
      <c r="Q72" s="79">
        <f t="shared" si="2"/>
        <v>315</v>
      </c>
      <c r="R72" s="79">
        <f t="shared" si="3"/>
        <v>100</v>
      </c>
      <c r="S72" s="76">
        <f t="shared" si="4"/>
        <v>695</v>
      </c>
      <c r="T72" s="76">
        <f>50</f>
        <v>50</v>
      </c>
      <c r="U72" s="77"/>
      <c r="V72" s="77"/>
      <c r="W72" s="77"/>
      <c r="X72" s="77"/>
      <c r="Y72" s="77"/>
      <c r="Z72" s="77"/>
      <c r="AA72" s="77"/>
      <c r="AB72" s="77"/>
      <c r="AC72" s="77"/>
      <c r="AD72" s="77"/>
    </row>
    <row r="73" spans="1:30" ht="15.75" x14ac:dyDescent="0.25">
      <c r="A73" s="13">
        <v>43132</v>
      </c>
      <c r="B73" s="90">
        <v>28</v>
      </c>
      <c r="C73" s="76">
        <f>122.58</f>
        <v>122.58</v>
      </c>
      <c r="D73" s="76">
        <f>297.941</f>
        <v>297.94099999999997</v>
      </c>
      <c r="E73" s="85">
        <f>89.177</f>
        <v>89.177000000000007</v>
      </c>
      <c r="F73" s="76">
        <f>240.302-40-60-100</f>
        <v>40.301999999999992</v>
      </c>
      <c r="G73" s="79">
        <v>40</v>
      </c>
      <c r="H73" s="76">
        <f>60+100</f>
        <v>160</v>
      </c>
      <c r="I73" s="76">
        <f t="shared" si="9"/>
        <v>0</v>
      </c>
      <c r="J73" s="79">
        <v>100</v>
      </c>
      <c r="K73" s="79">
        <v>300</v>
      </c>
      <c r="L73" s="76">
        <f t="shared" si="0"/>
        <v>1150</v>
      </c>
      <c r="M73" s="87">
        <v>400</v>
      </c>
      <c r="N73" s="76">
        <f>100</f>
        <v>100</v>
      </c>
      <c r="O73" s="79">
        <v>240</v>
      </c>
      <c r="P73" s="79">
        <v>40</v>
      </c>
      <c r="Q73" s="79">
        <f t="shared" si="2"/>
        <v>315</v>
      </c>
      <c r="R73" s="79">
        <f t="shared" si="3"/>
        <v>100</v>
      </c>
      <c r="S73" s="76">
        <f t="shared" si="4"/>
        <v>695</v>
      </c>
      <c r="T73" s="76">
        <f>50</f>
        <v>50</v>
      </c>
      <c r="U73" s="77"/>
      <c r="V73" s="77"/>
      <c r="W73" s="77"/>
      <c r="X73" s="77"/>
      <c r="Y73" s="77"/>
      <c r="Z73" s="77"/>
      <c r="AA73" s="77"/>
      <c r="AB73" s="77"/>
      <c r="AC73" s="77"/>
      <c r="AD73" s="77"/>
    </row>
    <row r="74" spans="1:30" ht="15.75" x14ac:dyDescent="0.25">
      <c r="A74" s="13">
        <v>43160</v>
      </c>
      <c r="B74" s="90">
        <v>31</v>
      </c>
      <c r="C74" s="76">
        <f>122.58</f>
        <v>122.58</v>
      </c>
      <c r="D74" s="76">
        <f>297.941</f>
        <v>297.94099999999997</v>
      </c>
      <c r="E74" s="85">
        <f>89.177</f>
        <v>89.177000000000007</v>
      </c>
      <c r="F74" s="76">
        <f>240.302-40-60-100</f>
        <v>40.301999999999992</v>
      </c>
      <c r="G74" s="79">
        <v>40</v>
      </c>
      <c r="H74" s="76">
        <f>60+100</f>
        <v>160</v>
      </c>
      <c r="I74" s="76">
        <f t="shared" si="9"/>
        <v>0</v>
      </c>
      <c r="J74" s="79">
        <v>100</v>
      </c>
      <c r="K74" s="79">
        <v>300</v>
      </c>
      <c r="L74" s="76">
        <f t="shared" si="0"/>
        <v>1150</v>
      </c>
      <c r="M74" s="87">
        <v>400</v>
      </c>
      <c r="N74" s="76">
        <f>100</f>
        <v>100</v>
      </c>
      <c r="O74" s="79">
        <v>240</v>
      </c>
      <c r="P74" s="79">
        <v>40</v>
      </c>
      <c r="Q74" s="79">
        <f t="shared" si="2"/>
        <v>315</v>
      </c>
      <c r="R74" s="79">
        <f t="shared" si="3"/>
        <v>100</v>
      </c>
      <c r="S74" s="76">
        <f t="shared" si="4"/>
        <v>695</v>
      </c>
      <c r="T74" s="76">
        <f>50</f>
        <v>50</v>
      </c>
      <c r="U74" s="77"/>
      <c r="V74" s="77"/>
      <c r="W74" s="77"/>
      <c r="X74" s="77"/>
      <c r="Y74" s="77"/>
      <c r="Z74" s="77"/>
      <c r="AA74" s="77"/>
      <c r="AB74" s="77"/>
      <c r="AC74" s="77"/>
      <c r="AD74" s="77"/>
    </row>
    <row r="75" spans="1:30" ht="15.75" x14ac:dyDescent="0.25">
      <c r="A75" s="13">
        <v>43191</v>
      </c>
      <c r="B75" s="90">
        <v>30</v>
      </c>
      <c r="C75" s="76">
        <f>141.293</f>
        <v>141.29300000000001</v>
      </c>
      <c r="D75" s="76">
        <f>267.993</f>
        <v>267.99299999999999</v>
      </c>
      <c r="E75" s="85">
        <f>115.016</f>
        <v>115.01600000000001</v>
      </c>
      <c r="F75" s="76">
        <f>314.698-40-25-60-100</f>
        <v>89.697999999999979</v>
      </c>
      <c r="G75" s="79">
        <v>40</v>
      </c>
      <c r="H75" s="76">
        <f t="shared" ref="H75:H81" si="11">25+60+100</f>
        <v>185</v>
      </c>
      <c r="I75" s="76">
        <f t="shared" si="9"/>
        <v>0</v>
      </c>
      <c r="J75" s="79">
        <v>100</v>
      </c>
      <c r="K75" s="79">
        <v>300</v>
      </c>
      <c r="L75" s="76">
        <f t="shared" si="0"/>
        <v>1239</v>
      </c>
      <c r="M75" s="87">
        <v>400</v>
      </c>
      <c r="N75" s="76">
        <f>100</f>
        <v>100</v>
      </c>
      <c r="O75" s="79">
        <v>240</v>
      </c>
      <c r="P75" s="79">
        <v>160</v>
      </c>
      <c r="Q75" s="79">
        <f t="shared" si="2"/>
        <v>195</v>
      </c>
      <c r="R75" s="79">
        <f t="shared" si="3"/>
        <v>100</v>
      </c>
      <c r="S75" s="76">
        <f t="shared" si="4"/>
        <v>695</v>
      </c>
      <c r="T75" s="76">
        <f>50</f>
        <v>50</v>
      </c>
      <c r="U75" s="77"/>
      <c r="V75" s="77"/>
      <c r="W75" s="77"/>
      <c r="X75" s="77"/>
      <c r="Y75" s="77"/>
      <c r="Z75" s="77"/>
      <c r="AA75" s="77"/>
      <c r="AB75" s="77"/>
      <c r="AC75" s="77"/>
      <c r="AD75" s="77"/>
    </row>
    <row r="76" spans="1:30" ht="15.75" x14ac:dyDescent="0.25">
      <c r="A76" s="13">
        <v>43221</v>
      </c>
      <c r="B76" s="90">
        <v>31</v>
      </c>
      <c r="C76" s="76">
        <f>194.205</f>
        <v>194.20500000000001</v>
      </c>
      <c r="D76" s="76">
        <f>267.466</f>
        <v>267.46600000000001</v>
      </c>
      <c r="E76" s="85">
        <f>133.845</f>
        <v>133.845</v>
      </c>
      <c r="F76" s="76">
        <f>278.484-40-25-60-100</f>
        <v>53.48399999999998</v>
      </c>
      <c r="G76" s="79">
        <v>40</v>
      </c>
      <c r="H76" s="76">
        <f t="shared" si="11"/>
        <v>185</v>
      </c>
      <c r="I76" s="76">
        <f t="shared" si="9"/>
        <v>0</v>
      </c>
      <c r="J76" s="79">
        <v>100</v>
      </c>
      <c r="K76" s="79">
        <v>300</v>
      </c>
      <c r="L76" s="76">
        <f t="shared" si="0"/>
        <v>1274</v>
      </c>
      <c r="M76" s="87">
        <v>400</v>
      </c>
      <c r="N76" s="76">
        <f>75</f>
        <v>75</v>
      </c>
      <c r="O76" s="79">
        <v>240</v>
      </c>
      <c r="P76" s="79">
        <v>160</v>
      </c>
      <c r="Q76" s="79">
        <f t="shared" si="2"/>
        <v>195</v>
      </c>
      <c r="R76" s="79">
        <f t="shared" si="3"/>
        <v>100</v>
      </c>
      <c r="S76" s="76">
        <f t="shared" si="4"/>
        <v>695</v>
      </c>
      <c r="T76" s="76">
        <f>50</f>
        <v>50</v>
      </c>
      <c r="U76" s="77"/>
      <c r="V76" s="77"/>
      <c r="W76" s="77"/>
      <c r="X76" s="77"/>
      <c r="Y76" s="77"/>
      <c r="Z76" s="77"/>
      <c r="AA76" s="77"/>
      <c r="AB76" s="77"/>
      <c r="AC76" s="77"/>
      <c r="AD76" s="77"/>
    </row>
    <row r="77" spans="1:30" ht="15.75" x14ac:dyDescent="0.25">
      <c r="A77" s="13">
        <v>43252</v>
      </c>
      <c r="B77" s="90">
        <v>30</v>
      </c>
      <c r="C77" s="76">
        <f>194.205</f>
        <v>194.20500000000001</v>
      </c>
      <c r="D77" s="76">
        <f>267.466</f>
        <v>267.46600000000001</v>
      </c>
      <c r="E77" s="85">
        <f>133.845</f>
        <v>133.845</v>
      </c>
      <c r="F77" s="76">
        <f>278.484-40-25-60-100</f>
        <v>53.48399999999998</v>
      </c>
      <c r="G77" s="79">
        <v>40</v>
      </c>
      <c r="H77" s="76">
        <f t="shared" si="11"/>
        <v>185</v>
      </c>
      <c r="I77" s="76">
        <f t="shared" si="9"/>
        <v>0</v>
      </c>
      <c r="J77" s="79">
        <v>100</v>
      </c>
      <c r="K77" s="79">
        <v>300</v>
      </c>
      <c r="L77" s="76">
        <f t="shared" si="0"/>
        <v>1274</v>
      </c>
      <c r="M77" s="87">
        <v>400</v>
      </c>
      <c r="N77" s="76">
        <f>30</f>
        <v>30</v>
      </c>
      <c r="O77" s="79">
        <v>240</v>
      </c>
      <c r="P77" s="79">
        <v>160</v>
      </c>
      <c r="Q77" s="79">
        <f t="shared" si="2"/>
        <v>195</v>
      </c>
      <c r="R77" s="79">
        <f t="shared" si="3"/>
        <v>100</v>
      </c>
      <c r="S77" s="76">
        <f t="shared" si="4"/>
        <v>695</v>
      </c>
      <c r="T77" s="76">
        <f>50</f>
        <v>50</v>
      </c>
      <c r="U77" s="77"/>
      <c r="V77" s="77"/>
      <c r="W77" s="77"/>
      <c r="X77" s="77"/>
      <c r="Y77" s="77"/>
      <c r="Z77" s="77"/>
      <c r="AA77" s="77"/>
      <c r="AB77" s="77"/>
      <c r="AC77" s="77"/>
      <c r="AD77" s="77"/>
    </row>
    <row r="78" spans="1:30" ht="15.75" x14ac:dyDescent="0.25">
      <c r="A78" s="13">
        <v>43282</v>
      </c>
      <c r="B78" s="90">
        <v>31</v>
      </c>
      <c r="C78" s="76">
        <f>194.205</f>
        <v>194.20500000000001</v>
      </c>
      <c r="D78" s="76">
        <f>267.466</f>
        <v>267.46600000000001</v>
      </c>
      <c r="E78" s="85">
        <f>133.845</f>
        <v>133.845</v>
      </c>
      <c r="F78" s="76">
        <f>278.484-40-25-60-100</f>
        <v>53.48399999999998</v>
      </c>
      <c r="G78" s="79">
        <v>40</v>
      </c>
      <c r="H78" s="76">
        <f t="shared" si="11"/>
        <v>185</v>
      </c>
      <c r="I78" s="76">
        <f t="shared" si="9"/>
        <v>0</v>
      </c>
      <c r="J78" s="79">
        <v>100</v>
      </c>
      <c r="K78" s="79">
        <v>300</v>
      </c>
      <c r="L78" s="76">
        <f t="shared" si="0"/>
        <v>1274</v>
      </c>
      <c r="M78" s="87">
        <v>400</v>
      </c>
      <c r="N78" s="76">
        <f>30</f>
        <v>30</v>
      </c>
      <c r="O78" s="79">
        <v>240</v>
      </c>
      <c r="P78" s="79">
        <v>160</v>
      </c>
      <c r="Q78" s="79">
        <f t="shared" si="2"/>
        <v>195</v>
      </c>
      <c r="R78" s="79">
        <f t="shared" si="3"/>
        <v>100</v>
      </c>
      <c r="S78" s="76">
        <f t="shared" si="4"/>
        <v>695</v>
      </c>
      <c r="T78" s="76">
        <f>0</f>
        <v>0</v>
      </c>
      <c r="U78" s="77"/>
      <c r="V78" s="77"/>
      <c r="W78" s="77"/>
      <c r="X78" s="77"/>
      <c r="Y78" s="77"/>
      <c r="Z78" s="77"/>
      <c r="AA78" s="77"/>
      <c r="AB78" s="77"/>
      <c r="AC78" s="77"/>
      <c r="AD78" s="77"/>
    </row>
    <row r="79" spans="1:30" ht="15.75" x14ac:dyDescent="0.25">
      <c r="A79" s="13">
        <v>43313</v>
      </c>
      <c r="B79" s="90">
        <v>31</v>
      </c>
      <c r="C79" s="76">
        <f>194.205</f>
        <v>194.20500000000001</v>
      </c>
      <c r="D79" s="76">
        <f>267.466</f>
        <v>267.46600000000001</v>
      </c>
      <c r="E79" s="85">
        <f>133.845</f>
        <v>133.845</v>
      </c>
      <c r="F79" s="76">
        <f>278.484-40-25-60-100</f>
        <v>53.48399999999998</v>
      </c>
      <c r="G79" s="79">
        <v>40</v>
      </c>
      <c r="H79" s="76">
        <f t="shared" si="11"/>
        <v>185</v>
      </c>
      <c r="I79" s="76">
        <f t="shared" si="9"/>
        <v>0</v>
      </c>
      <c r="J79" s="79">
        <v>100</v>
      </c>
      <c r="K79" s="79">
        <v>300</v>
      </c>
      <c r="L79" s="76">
        <f t="shared" si="0"/>
        <v>1274</v>
      </c>
      <c r="M79" s="87">
        <v>400</v>
      </c>
      <c r="N79" s="76">
        <f>30</f>
        <v>30</v>
      </c>
      <c r="O79" s="79">
        <v>240</v>
      </c>
      <c r="P79" s="79">
        <v>160</v>
      </c>
      <c r="Q79" s="79">
        <f t="shared" si="2"/>
        <v>195</v>
      </c>
      <c r="R79" s="79">
        <f t="shared" si="3"/>
        <v>100</v>
      </c>
      <c r="S79" s="76">
        <f t="shared" si="4"/>
        <v>695</v>
      </c>
      <c r="T79" s="76">
        <f>0</f>
        <v>0</v>
      </c>
      <c r="U79" s="77"/>
      <c r="V79" s="77"/>
      <c r="W79" s="77"/>
      <c r="X79" s="77"/>
      <c r="Y79" s="77"/>
      <c r="Z79" s="77"/>
      <c r="AA79" s="77"/>
      <c r="AB79" s="77"/>
      <c r="AC79" s="77"/>
      <c r="AD79" s="77"/>
    </row>
    <row r="80" spans="1:30" ht="15.75" x14ac:dyDescent="0.25">
      <c r="A80" s="13">
        <v>43344</v>
      </c>
      <c r="B80" s="90">
        <v>30</v>
      </c>
      <c r="C80" s="76">
        <f>194.205</f>
        <v>194.20500000000001</v>
      </c>
      <c r="D80" s="76">
        <f>267.466</f>
        <v>267.46600000000001</v>
      </c>
      <c r="E80" s="85">
        <f>133.845</f>
        <v>133.845</v>
      </c>
      <c r="F80" s="76">
        <f>278.484-40-25-60-100</f>
        <v>53.48399999999998</v>
      </c>
      <c r="G80" s="79">
        <v>40</v>
      </c>
      <c r="H80" s="76">
        <f t="shared" si="11"/>
        <v>185</v>
      </c>
      <c r="I80" s="76">
        <f t="shared" si="9"/>
        <v>0</v>
      </c>
      <c r="J80" s="79">
        <v>100</v>
      </c>
      <c r="K80" s="79">
        <v>300</v>
      </c>
      <c r="L80" s="76">
        <f t="shared" ref="L80:L143" si="12">SUM(C80:K80)</f>
        <v>1274</v>
      </c>
      <c r="M80" s="87">
        <v>400</v>
      </c>
      <c r="N80" s="76">
        <f>30</f>
        <v>30</v>
      </c>
      <c r="O80" s="79">
        <v>240</v>
      </c>
      <c r="P80" s="79">
        <v>160</v>
      </c>
      <c r="Q80" s="79">
        <f t="shared" ref="Q80:Q143" si="13">695-R80-O80-P80</f>
        <v>195</v>
      </c>
      <c r="R80" s="79">
        <f t="shared" ref="R80:R143" si="14">200-J80</f>
        <v>100</v>
      </c>
      <c r="S80" s="76">
        <f t="shared" ref="S80:S143" si="15">SUM(O80:R80)</f>
        <v>695</v>
      </c>
      <c r="T80" s="76">
        <f>0</f>
        <v>0</v>
      </c>
      <c r="U80" s="77"/>
      <c r="V80" s="77"/>
      <c r="W80" s="77"/>
      <c r="X80" s="77"/>
      <c r="Y80" s="77"/>
      <c r="Z80" s="77"/>
      <c r="AA80" s="77"/>
      <c r="AB80" s="77"/>
      <c r="AC80" s="77"/>
      <c r="AD80" s="77"/>
    </row>
    <row r="81" spans="1:30" ht="15.75" x14ac:dyDescent="0.25">
      <c r="A81" s="13">
        <v>43374</v>
      </c>
      <c r="B81" s="90">
        <v>31</v>
      </c>
      <c r="C81" s="76">
        <f>131.881</f>
        <v>131.881</v>
      </c>
      <c r="D81" s="76">
        <f>277.167</f>
        <v>277.16699999999997</v>
      </c>
      <c r="E81" s="85">
        <f>79.08</f>
        <v>79.08</v>
      </c>
      <c r="F81" s="76">
        <f>350.872-40-25-60-100</f>
        <v>125.87200000000001</v>
      </c>
      <c r="G81" s="79">
        <v>40</v>
      </c>
      <c r="H81" s="76">
        <f t="shared" si="11"/>
        <v>185</v>
      </c>
      <c r="I81" s="76">
        <f t="shared" si="9"/>
        <v>0</v>
      </c>
      <c r="J81" s="79">
        <v>100</v>
      </c>
      <c r="K81" s="79">
        <v>300</v>
      </c>
      <c r="L81" s="76">
        <f t="shared" si="12"/>
        <v>1239</v>
      </c>
      <c r="M81" s="87">
        <v>400</v>
      </c>
      <c r="N81" s="76">
        <f>75</f>
        <v>75</v>
      </c>
      <c r="O81" s="79">
        <v>240</v>
      </c>
      <c r="P81" s="79">
        <v>160</v>
      </c>
      <c r="Q81" s="79">
        <f t="shared" si="13"/>
        <v>195</v>
      </c>
      <c r="R81" s="79">
        <f t="shared" si="14"/>
        <v>100</v>
      </c>
      <c r="S81" s="76">
        <f t="shared" si="15"/>
        <v>695</v>
      </c>
      <c r="T81" s="76">
        <f>0</f>
        <v>0</v>
      </c>
      <c r="U81" s="77"/>
      <c r="V81" s="77"/>
      <c r="W81" s="77"/>
      <c r="X81" s="77"/>
      <c r="Y81" s="77"/>
      <c r="Z81" s="77"/>
      <c r="AA81" s="77"/>
      <c r="AB81" s="77"/>
      <c r="AC81" s="77"/>
      <c r="AD81" s="77"/>
    </row>
    <row r="82" spans="1:30" ht="15.75" x14ac:dyDescent="0.25">
      <c r="A82" s="13">
        <v>43405</v>
      </c>
      <c r="B82" s="90">
        <v>30</v>
      </c>
      <c r="C82" s="76">
        <f>122.58</f>
        <v>122.58</v>
      </c>
      <c r="D82" s="76">
        <f>297.941</f>
        <v>297.94099999999997</v>
      </c>
      <c r="E82" s="85">
        <f>89.177</f>
        <v>89.177000000000007</v>
      </c>
      <c r="F82" s="76">
        <f>240.302-40-60-100</f>
        <v>40.301999999999992</v>
      </c>
      <c r="G82" s="79">
        <v>40</v>
      </c>
      <c r="H82" s="76">
        <f>60+100</f>
        <v>160</v>
      </c>
      <c r="I82" s="76">
        <f t="shared" si="9"/>
        <v>0</v>
      </c>
      <c r="J82" s="79">
        <v>100</v>
      </c>
      <c r="K82" s="79">
        <v>300</v>
      </c>
      <c r="L82" s="76">
        <f t="shared" si="12"/>
        <v>1150</v>
      </c>
      <c r="M82" s="87">
        <v>400</v>
      </c>
      <c r="N82" s="76">
        <f>100</f>
        <v>100</v>
      </c>
      <c r="O82" s="79">
        <v>240</v>
      </c>
      <c r="P82" s="79">
        <v>40</v>
      </c>
      <c r="Q82" s="79">
        <f t="shared" si="13"/>
        <v>315</v>
      </c>
      <c r="R82" s="79">
        <f t="shared" si="14"/>
        <v>100</v>
      </c>
      <c r="S82" s="76">
        <f t="shared" si="15"/>
        <v>695</v>
      </c>
      <c r="T82" s="76">
        <f>50</f>
        <v>50</v>
      </c>
      <c r="U82" s="77"/>
      <c r="V82" s="77"/>
      <c r="W82" s="77"/>
      <c r="X82" s="77"/>
      <c r="Y82" s="77"/>
      <c r="Z82" s="77"/>
      <c r="AA82" s="77"/>
      <c r="AB82" s="77"/>
      <c r="AC82" s="77"/>
      <c r="AD82" s="77"/>
    </row>
    <row r="83" spans="1:30" ht="15.75" x14ac:dyDescent="0.25">
      <c r="A83" s="13">
        <v>43435</v>
      </c>
      <c r="B83" s="90">
        <v>31</v>
      </c>
      <c r="C83" s="76">
        <f>122.58</f>
        <v>122.58</v>
      </c>
      <c r="D83" s="76">
        <f>297.941</f>
        <v>297.94099999999997</v>
      </c>
      <c r="E83" s="85">
        <f>89.177</f>
        <v>89.177000000000007</v>
      </c>
      <c r="F83" s="76">
        <f>240.302-40-60-100</f>
        <v>40.301999999999992</v>
      </c>
      <c r="G83" s="79">
        <v>40</v>
      </c>
      <c r="H83" s="76">
        <f>60+100</f>
        <v>160</v>
      </c>
      <c r="I83" s="76">
        <f t="shared" si="9"/>
        <v>0</v>
      </c>
      <c r="J83" s="79">
        <v>100</v>
      </c>
      <c r="K83" s="79">
        <v>300</v>
      </c>
      <c r="L83" s="76">
        <f t="shared" si="12"/>
        <v>1150</v>
      </c>
      <c r="M83" s="87">
        <v>400</v>
      </c>
      <c r="N83" s="76">
        <f>100</f>
        <v>100</v>
      </c>
      <c r="O83" s="79">
        <v>240</v>
      </c>
      <c r="P83" s="79">
        <v>40</v>
      </c>
      <c r="Q83" s="79">
        <f t="shared" si="13"/>
        <v>315</v>
      </c>
      <c r="R83" s="79">
        <f t="shared" si="14"/>
        <v>100</v>
      </c>
      <c r="S83" s="76">
        <f t="shared" si="15"/>
        <v>695</v>
      </c>
      <c r="T83" s="76">
        <f>50</f>
        <v>50</v>
      </c>
      <c r="U83" s="77"/>
      <c r="V83" s="77"/>
      <c r="W83" s="77"/>
      <c r="X83" s="77"/>
      <c r="Y83" s="77"/>
      <c r="Z83" s="77"/>
      <c r="AA83" s="77"/>
      <c r="AB83" s="77"/>
      <c r="AC83" s="77"/>
      <c r="AD83" s="77"/>
    </row>
    <row r="84" spans="1:30" ht="15.75" x14ac:dyDescent="0.25">
      <c r="A84" s="13">
        <v>43466</v>
      </c>
      <c r="B84" s="90">
        <v>31</v>
      </c>
      <c r="C84" s="76">
        <f>122.58</f>
        <v>122.58</v>
      </c>
      <c r="D84" s="76">
        <f>297.941</f>
        <v>297.94099999999997</v>
      </c>
      <c r="E84" s="85">
        <f>89.177</f>
        <v>89.177000000000007</v>
      </c>
      <c r="F84" s="76">
        <f>240.302-40-60-100</f>
        <v>40.301999999999992</v>
      </c>
      <c r="G84" s="79">
        <v>40</v>
      </c>
      <c r="H84" s="76">
        <f>60+100</f>
        <v>160</v>
      </c>
      <c r="I84" s="76">
        <f t="shared" si="9"/>
        <v>0</v>
      </c>
      <c r="J84" s="79">
        <v>100</v>
      </c>
      <c r="K84" s="79">
        <v>300</v>
      </c>
      <c r="L84" s="76">
        <f t="shared" si="12"/>
        <v>1150</v>
      </c>
      <c r="M84" s="87">
        <v>400</v>
      </c>
      <c r="N84" s="76">
        <f>100</f>
        <v>100</v>
      </c>
      <c r="O84" s="79">
        <v>240</v>
      </c>
      <c r="P84" s="79">
        <v>40</v>
      </c>
      <c r="Q84" s="79">
        <f t="shared" si="13"/>
        <v>315</v>
      </c>
      <c r="R84" s="79">
        <f t="shared" si="14"/>
        <v>100</v>
      </c>
      <c r="S84" s="76">
        <f t="shared" si="15"/>
        <v>695</v>
      </c>
      <c r="T84" s="76">
        <f>50</f>
        <v>50</v>
      </c>
      <c r="U84" s="77"/>
      <c r="V84" s="77"/>
      <c r="W84" s="77"/>
      <c r="X84" s="77"/>
      <c r="Y84" s="77"/>
      <c r="Z84" s="77"/>
      <c r="AA84" s="77"/>
      <c r="AB84" s="77"/>
      <c r="AC84" s="77"/>
      <c r="AD84" s="77"/>
    </row>
    <row r="85" spans="1:30" ht="15.75" x14ac:dyDescent="0.25">
      <c r="A85" s="13">
        <v>43497</v>
      </c>
      <c r="B85" s="90">
        <v>28</v>
      </c>
      <c r="C85" s="76">
        <f>122.58</f>
        <v>122.58</v>
      </c>
      <c r="D85" s="76">
        <f>297.941</f>
        <v>297.94099999999997</v>
      </c>
      <c r="E85" s="85">
        <f>89.177</f>
        <v>89.177000000000007</v>
      </c>
      <c r="F85" s="76">
        <f>240.302-40-60-100</f>
        <v>40.301999999999992</v>
      </c>
      <c r="G85" s="79">
        <v>40</v>
      </c>
      <c r="H85" s="76">
        <f>60+100</f>
        <v>160</v>
      </c>
      <c r="I85" s="76">
        <f t="shared" si="9"/>
        <v>0</v>
      </c>
      <c r="J85" s="79">
        <v>100</v>
      </c>
      <c r="K85" s="79">
        <v>300</v>
      </c>
      <c r="L85" s="76">
        <f t="shared" si="12"/>
        <v>1150</v>
      </c>
      <c r="M85" s="87">
        <v>400</v>
      </c>
      <c r="N85" s="76">
        <f>100</f>
        <v>100</v>
      </c>
      <c r="O85" s="79">
        <v>240</v>
      </c>
      <c r="P85" s="79">
        <v>40</v>
      </c>
      <c r="Q85" s="79">
        <f t="shared" si="13"/>
        <v>315</v>
      </c>
      <c r="R85" s="79">
        <f t="shared" si="14"/>
        <v>100</v>
      </c>
      <c r="S85" s="76">
        <f t="shared" si="15"/>
        <v>695</v>
      </c>
      <c r="T85" s="76">
        <f>50</f>
        <v>50</v>
      </c>
      <c r="U85" s="77"/>
      <c r="V85" s="77"/>
      <c r="W85" s="77"/>
      <c r="X85" s="77"/>
      <c r="Y85" s="77"/>
      <c r="Z85" s="77"/>
      <c r="AA85" s="77"/>
      <c r="AB85" s="77"/>
      <c r="AC85" s="77"/>
      <c r="AD85" s="77"/>
    </row>
    <row r="86" spans="1:30" ht="15.75" x14ac:dyDescent="0.25">
      <c r="A86" s="13">
        <v>43525</v>
      </c>
      <c r="B86" s="90">
        <v>31</v>
      </c>
      <c r="C86" s="76">
        <f>122.58</f>
        <v>122.58</v>
      </c>
      <c r="D86" s="76">
        <f>297.941</f>
        <v>297.94099999999997</v>
      </c>
      <c r="E86" s="85">
        <f>89.177</f>
        <v>89.177000000000007</v>
      </c>
      <c r="F86" s="76">
        <f>240.302-40-60-100</f>
        <v>40.301999999999992</v>
      </c>
      <c r="G86" s="79">
        <v>40</v>
      </c>
      <c r="H86" s="76">
        <f>60+100</f>
        <v>160</v>
      </c>
      <c r="I86" s="76">
        <f t="shared" si="9"/>
        <v>0</v>
      </c>
      <c r="J86" s="79">
        <v>100</v>
      </c>
      <c r="K86" s="79">
        <v>300</v>
      </c>
      <c r="L86" s="76">
        <f t="shared" si="12"/>
        <v>1150</v>
      </c>
      <c r="M86" s="87">
        <v>400</v>
      </c>
      <c r="N86" s="76">
        <f>100</f>
        <v>100</v>
      </c>
      <c r="O86" s="79">
        <v>240</v>
      </c>
      <c r="P86" s="79">
        <v>40</v>
      </c>
      <c r="Q86" s="79">
        <f t="shared" si="13"/>
        <v>315</v>
      </c>
      <c r="R86" s="79">
        <f t="shared" si="14"/>
        <v>100</v>
      </c>
      <c r="S86" s="76">
        <f t="shared" si="15"/>
        <v>695</v>
      </c>
      <c r="T86" s="76">
        <f>50</f>
        <v>50</v>
      </c>
      <c r="U86" s="77"/>
      <c r="V86" s="77"/>
      <c r="W86" s="77"/>
      <c r="X86" s="77"/>
      <c r="Y86" s="77"/>
      <c r="Z86" s="77"/>
      <c r="AA86" s="77"/>
      <c r="AB86" s="77"/>
      <c r="AC86" s="77"/>
      <c r="AD86" s="77"/>
    </row>
    <row r="87" spans="1:30" ht="15.75" x14ac:dyDescent="0.25">
      <c r="A87" s="13">
        <v>43556</v>
      </c>
      <c r="B87" s="90">
        <v>30</v>
      </c>
      <c r="C87" s="76">
        <f>141.293</f>
        <v>141.29300000000001</v>
      </c>
      <c r="D87" s="76">
        <f>267.993</f>
        <v>267.99299999999999</v>
      </c>
      <c r="E87" s="85">
        <f>115.016</f>
        <v>115.01600000000001</v>
      </c>
      <c r="F87" s="76">
        <f>314.698-40-25-60-100</f>
        <v>89.697999999999979</v>
      </c>
      <c r="G87" s="79">
        <v>40</v>
      </c>
      <c r="H87" s="76">
        <f t="shared" ref="H87:H93" si="16">25+60+100</f>
        <v>185</v>
      </c>
      <c r="I87" s="76">
        <f t="shared" si="9"/>
        <v>0</v>
      </c>
      <c r="J87" s="79">
        <v>100</v>
      </c>
      <c r="K87" s="79">
        <v>300</v>
      </c>
      <c r="L87" s="76">
        <f t="shared" si="12"/>
        <v>1239</v>
      </c>
      <c r="M87" s="87">
        <v>400</v>
      </c>
      <c r="N87" s="76">
        <f>100</f>
        <v>100</v>
      </c>
      <c r="O87" s="79">
        <v>240</v>
      </c>
      <c r="P87" s="79">
        <v>160</v>
      </c>
      <c r="Q87" s="79">
        <f t="shared" si="13"/>
        <v>195</v>
      </c>
      <c r="R87" s="79">
        <f t="shared" si="14"/>
        <v>100</v>
      </c>
      <c r="S87" s="76">
        <f t="shared" si="15"/>
        <v>695</v>
      </c>
      <c r="T87" s="76">
        <f>50</f>
        <v>50</v>
      </c>
      <c r="U87" s="77"/>
      <c r="V87" s="77"/>
      <c r="W87" s="77"/>
      <c r="X87" s="77"/>
      <c r="Y87" s="77"/>
      <c r="Z87" s="77"/>
      <c r="AA87" s="77"/>
      <c r="AB87" s="77"/>
      <c r="AC87" s="77"/>
      <c r="AD87" s="77"/>
    </row>
    <row r="88" spans="1:30" ht="15.75" x14ac:dyDescent="0.25">
      <c r="A88" s="13">
        <v>43586</v>
      </c>
      <c r="B88" s="90">
        <v>31</v>
      </c>
      <c r="C88" s="76">
        <f>194.205</f>
        <v>194.20500000000001</v>
      </c>
      <c r="D88" s="76">
        <f>267.466</f>
        <v>267.46600000000001</v>
      </c>
      <c r="E88" s="85">
        <f>133.845</f>
        <v>133.845</v>
      </c>
      <c r="F88" s="76">
        <f>278.484-40-25-60-100</f>
        <v>53.48399999999998</v>
      </c>
      <c r="G88" s="79">
        <v>40</v>
      </c>
      <c r="H88" s="76">
        <f t="shared" si="16"/>
        <v>185</v>
      </c>
      <c r="I88" s="76">
        <f t="shared" si="9"/>
        <v>0</v>
      </c>
      <c r="J88" s="79">
        <v>100</v>
      </c>
      <c r="K88" s="79">
        <v>300</v>
      </c>
      <c r="L88" s="76">
        <f t="shared" si="12"/>
        <v>1274</v>
      </c>
      <c r="M88" s="87">
        <v>400</v>
      </c>
      <c r="N88" s="76">
        <f>75</f>
        <v>75</v>
      </c>
      <c r="O88" s="79">
        <v>240</v>
      </c>
      <c r="P88" s="79">
        <v>160</v>
      </c>
      <c r="Q88" s="79">
        <f t="shared" si="13"/>
        <v>195</v>
      </c>
      <c r="R88" s="79">
        <f t="shared" si="14"/>
        <v>100</v>
      </c>
      <c r="S88" s="76">
        <f t="shared" si="15"/>
        <v>695</v>
      </c>
      <c r="T88" s="76">
        <f>50</f>
        <v>50</v>
      </c>
      <c r="U88" s="77"/>
      <c r="V88" s="77"/>
      <c r="W88" s="77"/>
      <c r="X88" s="77"/>
      <c r="Y88" s="77"/>
      <c r="Z88" s="77"/>
      <c r="AA88" s="77"/>
      <c r="AB88" s="77"/>
      <c r="AC88" s="77"/>
      <c r="AD88" s="77"/>
    </row>
    <row r="89" spans="1:30" ht="15.75" x14ac:dyDescent="0.25">
      <c r="A89" s="13">
        <v>43617</v>
      </c>
      <c r="B89" s="90">
        <v>30</v>
      </c>
      <c r="C89" s="76">
        <f>194.205</f>
        <v>194.20500000000001</v>
      </c>
      <c r="D89" s="76">
        <f>267.466</f>
        <v>267.46600000000001</v>
      </c>
      <c r="E89" s="85">
        <f>133.845</f>
        <v>133.845</v>
      </c>
      <c r="F89" s="76">
        <f>278.484-40-25-60-100</f>
        <v>53.48399999999998</v>
      </c>
      <c r="G89" s="79">
        <v>40</v>
      </c>
      <c r="H89" s="76">
        <f t="shared" si="16"/>
        <v>185</v>
      </c>
      <c r="I89" s="76">
        <f t="shared" si="9"/>
        <v>0</v>
      </c>
      <c r="J89" s="79">
        <v>100</v>
      </c>
      <c r="K89" s="79">
        <v>300</v>
      </c>
      <c r="L89" s="76">
        <f t="shared" si="12"/>
        <v>1274</v>
      </c>
      <c r="M89" s="87">
        <v>400</v>
      </c>
      <c r="N89" s="76">
        <f>30</f>
        <v>30</v>
      </c>
      <c r="O89" s="79">
        <v>240</v>
      </c>
      <c r="P89" s="79">
        <v>160</v>
      </c>
      <c r="Q89" s="79">
        <f t="shared" si="13"/>
        <v>195</v>
      </c>
      <c r="R89" s="79">
        <f t="shared" si="14"/>
        <v>100</v>
      </c>
      <c r="S89" s="76">
        <f t="shared" si="15"/>
        <v>695</v>
      </c>
      <c r="T89" s="76">
        <f>50</f>
        <v>50</v>
      </c>
      <c r="U89" s="77"/>
      <c r="V89" s="77"/>
      <c r="W89" s="77"/>
      <c r="X89" s="77"/>
      <c r="Y89" s="77"/>
      <c r="Z89" s="77"/>
      <c r="AA89" s="77"/>
      <c r="AB89" s="77"/>
      <c r="AC89" s="77"/>
      <c r="AD89" s="77"/>
    </row>
    <row r="90" spans="1:30" ht="15.75" x14ac:dyDescent="0.25">
      <c r="A90" s="13">
        <v>43647</v>
      </c>
      <c r="B90" s="90">
        <v>31</v>
      </c>
      <c r="C90" s="76">
        <f>194.205</f>
        <v>194.20500000000001</v>
      </c>
      <c r="D90" s="76">
        <f>267.466</f>
        <v>267.46600000000001</v>
      </c>
      <c r="E90" s="85">
        <f>133.845</f>
        <v>133.845</v>
      </c>
      <c r="F90" s="76">
        <f>278.484-40-25-60-100</f>
        <v>53.48399999999998</v>
      </c>
      <c r="G90" s="79">
        <v>40</v>
      </c>
      <c r="H90" s="76">
        <f t="shared" si="16"/>
        <v>185</v>
      </c>
      <c r="I90" s="76">
        <f t="shared" si="9"/>
        <v>0</v>
      </c>
      <c r="J90" s="79">
        <v>100</v>
      </c>
      <c r="K90" s="79">
        <v>300</v>
      </c>
      <c r="L90" s="76">
        <f t="shared" si="12"/>
        <v>1274</v>
      </c>
      <c r="M90" s="87">
        <v>400</v>
      </c>
      <c r="N90" s="76">
        <f>30</f>
        <v>30</v>
      </c>
      <c r="O90" s="79">
        <v>240</v>
      </c>
      <c r="P90" s="79">
        <v>160</v>
      </c>
      <c r="Q90" s="79">
        <f t="shared" si="13"/>
        <v>195</v>
      </c>
      <c r="R90" s="79">
        <f t="shared" si="14"/>
        <v>100</v>
      </c>
      <c r="S90" s="76">
        <f t="shared" si="15"/>
        <v>695</v>
      </c>
      <c r="T90" s="76">
        <f>0</f>
        <v>0</v>
      </c>
      <c r="U90" s="77"/>
      <c r="V90" s="77"/>
      <c r="W90" s="77"/>
      <c r="X90" s="77"/>
      <c r="Y90" s="77"/>
      <c r="Z90" s="77"/>
      <c r="AA90" s="77"/>
      <c r="AB90" s="77"/>
      <c r="AC90" s="77"/>
      <c r="AD90" s="77"/>
    </row>
    <row r="91" spans="1:30" ht="15.75" x14ac:dyDescent="0.25">
      <c r="A91" s="13">
        <v>43678</v>
      </c>
      <c r="B91" s="90">
        <v>31</v>
      </c>
      <c r="C91" s="76">
        <f>194.205</f>
        <v>194.20500000000001</v>
      </c>
      <c r="D91" s="76">
        <f>267.466</f>
        <v>267.46600000000001</v>
      </c>
      <c r="E91" s="85">
        <f>133.845</f>
        <v>133.845</v>
      </c>
      <c r="F91" s="76">
        <f>278.484-40-25-60-100</f>
        <v>53.48399999999998</v>
      </c>
      <c r="G91" s="79">
        <v>40</v>
      </c>
      <c r="H91" s="76">
        <f t="shared" si="16"/>
        <v>185</v>
      </c>
      <c r="I91" s="76">
        <f t="shared" si="9"/>
        <v>0</v>
      </c>
      <c r="J91" s="79">
        <v>100</v>
      </c>
      <c r="K91" s="79">
        <v>300</v>
      </c>
      <c r="L91" s="76">
        <f t="shared" si="12"/>
        <v>1274</v>
      </c>
      <c r="M91" s="87">
        <v>400</v>
      </c>
      <c r="N91" s="76">
        <f>30</f>
        <v>30</v>
      </c>
      <c r="O91" s="79">
        <v>240</v>
      </c>
      <c r="P91" s="79">
        <v>160</v>
      </c>
      <c r="Q91" s="79">
        <f t="shared" si="13"/>
        <v>195</v>
      </c>
      <c r="R91" s="79">
        <f t="shared" si="14"/>
        <v>100</v>
      </c>
      <c r="S91" s="76">
        <f t="shared" si="15"/>
        <v>695</v>
      </c>
      <c r="T91" s="76">
        <f>0</f>
        <v>0</v>
      </c>
      <c r="U91" s="77"/>
      <c r="V91" s="77"/>
      <c r="W91" s="77"/>
      <c r="X91" s="77"/>
      <c r="Y91" s="77"/>
      <c r="Z91" s="77"/>
      <c r="AA91" s="77"/>
      <c r="AB91" s="77"/>
      <c r="AC91" s="77"/>
      <c r="AD91" s="77"/>
    </row>
    <row r="92" spans="1:30" ht="15.75" x14ac:dyDescent="0.25">
      <c r="A92" s="13">
        <v>43709</v>
      </c>
      <c r="B92" s="90">
        <v>30</v>
      </c>
      <c r="C92" s="76">
        <f>194.205</f>
        <v>194.20500000000001</v>
      </c>
      <c r="D92" s="76">
        <f>267.466</f>
        <v>267.46600000000001</v>
      </c>
      <c r="E92" s="85">
        <f>133.845</f>
        <v>133.845</v>
      </c>
      <c r="F92" s="76">
        <f>278.484-40-25-60-100</f>
        <v>53.48399999999998</v>
      </c>
      <c r="G92" s="79">
        <v>40</v>
      </c>
      <c r="H92" s="76">
        <f t="shared" si="16"/>
        <v>185</v>
      </c>
      <c r="I92" s="76">
        <f t="shared" si="9"/>
        <v>0</v>
      </c>
      <c r="J92" s="79">
        <v>100</v>
      </c>
      <c r="K92" s="79">
        <v>300</v>
      </c>
      <c r="L92" s="76">
        <f t="shared" si="12"/>
        <v>1274</v>
      </c>
      <c r="M92" s="87">
        <v>400</v>
      </c>
      <c r="N92" s="76">
        <f>30</f>
        <v>30</v>
      </c>
      <c r="O92" s="79">
        <v>240</v>
      </c>
      <c r="P92" s="79">
        <v>160</v>
      </c>
      <c r="Q92" s="79">
        <f t="shared" si="13"/>
        <v>195</v>
      </c>
      <c r="R92" s="79">
        <f t="shared" si="14"/>
        <v>100</v>
      </c>
      <c r="S92" s="76">
        <f t="shared" si="15"/>
        <v>695</v>
      </c>
      <c r="T92" s="76">
        <f>0</f>
        <v>0</v>
      </c>
      <c r="U92" s="77"/>
      <c r="V92" s="77"/>
      <c r="W92" s="77"/>
      <c r="X92" s="77"/>
      <c r="Y92" s="77"/>
      <c r="Z92" s="77"/>
      <c r="AA92" s="77"/>
      <c r="AB92" s="77"/>
      <c r="AC92" s="77"/>
      <c r="AD92" s="77"/>
    </row>
    <row r="93" spans="1:30" ht="15.75" x14ac:dyDescent="0.25">
      <c r="A93" s="13">
        <v>43739</v>
      </c>
      <c r="B93" s="90">
        <v>31</v>
      </c>
      <c r="C93" s="76">
        <f>131.881</f>
        <v>131.881</v>
      </c>
      <c r="D93" s="76">
        <f>277.167</f>
        <v>277.16699999999997</v>
      </c>
      <c r="E93" s="85">
        <f>79.08</f>
        <v>79.08</v>
      </c>
      <c r="F93" s="76">
        <f>350.872-40-25-60-100</f>
        <v>125.87200000000001</v>
      </c>
      <c r="G93" s="79">
        <v>40</v>
      </c>
      <c r="H93" s="76">
        <f t="shared" si="16"/>
        <v>185</v>
      </c>
      <c r="I93" s="76">
        <f t="shared" si="9"/>
        <v>0</v>
      </c>
      <c r="J93" s="79">
        <v>100</v>
      </c>
      <c r="K93" s="79">
        <v>300</v>
      </c>
      <c r="L93" s="76">
        <f t="shared" si="12"/>
        <v>1239</v>
      </c>
      <c r="M93" s="87">
        <v>400</v>
      </c>
      <c r="N93" s="76">
        <f>75</f>
        <v>75</v>
      </c>
      <c r="O93" s="79">
        <v>240</v>
      </c>
      <c r="P93" s="79">
        <v>160</v>
      </c>
      <c r="Q93" s="79">
        <f t="shared" si="13"/>
        <v>195</v>
      </c>
      <c r="R93" s="79">
        <f t="shared" si="14"/>
        <v>100</v>
      </c>
      <c r="S93" s="76">
        <f t="shared" si="15"/>
        <v>695</v>
      </c>
      <c r="T93" s="76">
        <f>0</f>
        <v>0</v>
      </c>
      <c r="U93" s="77"/>
      <c r="V93" s="77"/>
      <c r="W93" s="77"/>
      <c r="X93" s="77"/>
      <c r="Y93" s="77"/>
      <c r="Z93" s="77"/>
      <c r="AA93" s="77"/>
      <c r="AB93" s="77"/>
      <c r="AC93" s="77"/>
      <c r="AD93" s="77"/>
    </row>
    <row r="94" spans="1:30" ht="15.75" x14ac:dyDescent="0.25">
      <c r="A94" s="13">
        <v>43770</v>
      </c>
      <c r="B94" s="90">
        <v>30</v>
      </c>
      <c r="C94" s="76">
        <f>122.58</f>
        <v>122.58</v>
      </c>
      <c r="D94" s="76">
        <f>297.941</f>
        <v>297.94099999999997</v>
      </c>
      <c r="E94" s="85">
        <f>89.177</f>
        <v>89.177000000000007</v>
      </c>
      <c r="F94" s="76">
        <f>240.302-40-60-100</f>
        <v>40.301999999999992</v>
      </c>
      <c r="G94" s="79">
        <v>40</v>
      </c>
      <c r="H94" s="76">
        <f>60+100</f>
        <v>160</v>
      </c>
      <c r="I94" s="76">
        <f t="shared" si="9"/>
        <v>0</v>
      </c>
      <c r="J94" s="79">
        <v>100</v>
      </c>
      <c r="K94" s="79">
        <v>300</v>
      </c>
      <c r="L94" s="76">
        <f t="shared" si="12"/>
        <v>1150</v>
      </c>
      <c r="M94" s="87">
        <v>400</v>
      </c>
      <c r="N94" s="76">
        <f>100</f>
        <v>100</v>
      </c>
      <c r="O94" s="79">
        <v>240</v>
      </c>
      <c r="P94" s="79">
        <v>40</v>
      </c>
      <c r="Q94" s="79">
        <f t="shared" si="13"/>
        <v>315</v>
      </c>
      <c r="R94" s="79">
        <f t="shared" si="14"/>
        <v>100</v>
      </c>
      <c r="S94" s="76">
        <f t="shared" si="15"/>
        <v>695</v>
      </c>
      <c r="T94" s="76">
        <f>50</f>
        <v>50</v>
      </c>
      <c r="U94" s="77"/>
      <c r="V94" s="77"/>
      <c r="W94" s="77"/>
      <c r="X94" s="77"/>
      <c r="Y94" s="77"/>
      <c r="Z94" s="77"/>
      <c r="AA94" s="77"/>
      <c r="AB94" s="77"/>
      <c r="AC94" s="77"/>
      <c r="AD94" s="77"/>
    </row>
    <row r="95" spans="1:30" ht="15.75" x14ac:dyDescent="0.25">
      <c r="A95" s="13">
        <v>43800</v>
      </c>
      <c r="B95" s="90">
        <v>31</v>
      </c>
      <c r="C95" s="76">
        <f>122.58</f>
        <v>122.58</v>
      </c>
      <c r="D95" s="76">
        <f>297.941</f>
        <v>297.94099999999997</v>
      </c>
      <c r="E95" s="85">
        <f>89.177</f>
        <v>89.177000000000007</v>
      </c>
      <c r="F95" s="76">
        <f>240.302-40-60-100</f>
        <v>40.301999999999992</v>
      </c>
      <c r="G95" s="79">
        <v>40</v>
      </c>
      <c r="H95" s="76">
        <f>60+100</f>
        <v>160</v>
      </c>
      <c r="I95" s="76">
        <f t="shared" si="9"/>
        <v>0</v>
      </c>
      <c r="J95" s="79">
        <v>100</v>
      </c>
      <c r="K95" s="79">
        <v>300</v>
      </c>
      <c r="L95" s="76">
        <f t="shared" si="12"/>
        <v>1150</v>
      </c>
      <c r="M95" s="87">
        <v>400</v>
      </c>
      <c r="N95" s="76">
        <f>100</f>
        <v>100</v>
      </c>
      <c r="O95" s="79">
        <v>240</v>
      </c>
      <c r="P95" s="79">
        <v>40</v>
      </c>
      <c r="Q95" s="79">
        <f t="shared" si="13"/>
        <v>315</v>
      </c>
      <c r="R95" s="79">
        <f t="shared" si="14"/>
        <v>100</v>
      </c>
      <c r="S95" s="76">
        <f t="shared" si="15"/>
        <v>695</v>
      </c>
      <c r="T95" s="76">
        <f>50</f>
        <v>50</v>
      </c>
      <c r="U95" s="77"/>
      <c r="V95" s="77"/>
      <c r="W95" s="77"/>
      <c r="X95" s="77"/>
      <c r="Y95" s="77"/>
      <c r="Z95" s="77"/>
      <c r="AA95" s="77"/>
      <c r="AB95" s="77"/>
      <c r="AC95" s="77"/>
      <c r="AD95" s="77"/>
    </row>
    <row r="96" spans="1:30" ht="15.75" x14ac:dyDescent="0.25">
      <c r="A96" s="13">
        <v>43831</v>
      </c>
      <c r="B96" s="90">
        <v>31</v>
      </c>
      <c r="C96" s="76">
        <f>122.58</f>
        <v>122.58</v>
      </c>
      <c r="D96" s="76">
        <f>297.941</f>
        <v>297.94099999999997</v>
      </c>
      <c r="E96" s="85">
        <f>89.177</f>
        <v>89.177000000000007</v>
      </c>
      <c r="F96" s="76">
        <f>240.302-40-60-100</f>
        <v>40.301999999999992</v>
      </c>
      <c r="G96" s="79">
        <v>40</v>
      </c>
      <c r="H96" s="76">
        <f>60+100</f>
        <v>160</v>
      </c>
      <c r="I96" s="76">
        <f t="shared" si="9"/>
        <v>0</v>
      </c>
      <c r="J96" s="79">
        <v>100</v>
      </c>
      <c r="K96" s="79">
        <v>300</v>
      </c>
      <c r="L96" s="76">
        <f t="shared" si="12"/>
        <v>1150</v>
      </c>
      <c r="M96" s="87">
        <v>400</v>
      </c>
      <c r="N96" s="76">
        <f>100</f>
        <v>100</v>
      </c>
      <c r="O96" s="79">
        <v>240</v>
      </c>
      <c r="P96" s="79">
        <v>40</v>
      </c>
      <c r="Q96" s="79">
        <f t="shared" si="13"/>
        <v>315</v>
      </c>
      <c r="R96" s="79">
        <f t="shared" si="14"/>
        <v>100</v>
      </c>
      <c r="S96" s="76">
        <f t="shared" si="15"/>
        <v>695</v>
      </c>
      <c r="T96" s="76">
        <f>50</f>
        <v>50</v>
      </c>
      <c r="U96" s="77"/>
      <c r="V96" s="77"/>
      <c r="W96" s="77"/>
      <c r="X96" s="77"/>
      <c r="Y96" s="77"/>
      <c r="Z96" s="77"/>
      <c r="AA96" s="77"/>
      <c r="AB96" s="77"/>
      <c r="AC96" s="77"/>
      <c r="AD96" s="77"/>
    </row>
    <row r="97" spans="1:30" ht="15.75" x14ac:dyDescent="0.25">
      <c r="A97" s="13">
        <v>43862</v>
      </c>
      <c r="B97" s="90">
        <v>29</v>
      </c>
      <c r="C97" s="76">
        <f>122.58</f>
        <v>122.58</v>
      </c>
      <c r="D97" s="76">
        <f>297.941</f>
        <v>297.94099999999997</v>
      </c>
      <c r="E97" s="85">
        <f>89.177</f>
        <v>89.177000000000007</v>
      </c>
      <c r="F97" s="76">
        <f>240.302-40-60-100</f>
        <v>40.301999999999992</v>
      </c>
      <c r="G97" s="79">
        <v>40</v>
      </c>
      <c r="H97" s="76">
        <f>60+100</f>
        <v>160</v>
      </c>
      <c r="I97" s="76">
        <f t="shared" si="9"/>
        <v>0</v>
      </c>
      <c r="J97" s="79">
        <v>100</v>
      </c>
      <c r="K97" s="79">
        <v>300</v>
      </c>
      <c r="L97" s="76">
        <f t="shared" si="12"/>
        <v>1150</v>
      </c>
      <c r="M97" s="87">
        <v>400</v>
      </c>
      <c r="N97" s="76">
        <f>100</f>
        <v>100</v>
      </c>
      <c r="O97" s="79">
        <v>240</v>
      </c>
      <c r="P97" s="79">
        <v>40</v>
      </c>
      <c r="Q97" s="79">
        <f t="shared" si="13"/>
        <v>315</v>
      </c>
      <c r="R97" s="79">
        <f t="shared" si="14"/>
        <v>100</v>
      </c>
      <c r="S97" s="76">
        <f t="shared" si="15"/>
        <v>695</v>
      </c>
      <c r="T97" s="76">
        <f>50</f>
        <v>50</v>
      </c>
      <c r="U97" s="77"/>
      <c r="V97" s="77"/>
      <c r="W97" s="77"/>
      <c r="X97" s="77"/>
      <c r="Y97" s="77"/>
      <c r="Z97" s="77"/>
      <c r="AA97" s="77"/>
      <c r="AB97" s="77"/>
      <c r="AC97" s="77"/>
      <c r="AD97" s="77"/>
    </row>
    <row r="98" spans="1:30" ht="15.75" x14ac:dyDescent="0.25">
      <c r="A98" s="13">
        <v>43891</v>
      </c>
      <c r="B98" s="90">
        <v>31</v>
      </c>
      <c r="C98" s="76">
        <f>122.58</f>
        <v>122.58</v>
      </c>
      <c r="D98" s="76">
        <f>297.941</f>
        <v>297.94099999999997</v>
      </c>
      <c r="E98" s="85">
        <f>89.177</f>
        <v>89.177000000000007</v>
      </c>
      <c r="F98" s="76">
        <f>240.302-40-60-100</f>
        <v>40.301999999999992</v>
      </c>
      <c r="G98" s="79">
        <v>40</v>
      </c>
      <c r="H98" s="76">
        <f>60+100</f>
        <v>160</v>
      </c>
      <c r="I98" s="76">
        <f t="shared" si="9"/>
        <v>0</v>
      </c>
      <c r="J98" s="79">
        <v>100</v>
      </c>
      <c r="K98" s="79">
        <v>300</v>
      </c>
      <c r="L98" s="76">
        <f t="shared" si="12"/>
        <v>1150</v>
      </c>
      <c r="M98" s="87">
        <v>400</v>
      </c>
      <c r="N98" s="76">
        <f>100</f>
        <v>100</v>
      </c>
      <c r="O98" s="79">
        <v>240</v>
      </c>
      <c r="P98" s="79">
        <v>40</v>
      </c>
      <c r="Q98" s="79">
        <f t="shared" si="13"/>
        <v>315</v>
      </c>
      <c r="R98" s="79">
        <f t="shared" si="14"/>
        <v>100</v>
      </c>
      <c r="S98" s="76">
        <f t="shared" si="15"/>
        <v>695</v>
      </c>
      <c r="T98" s="76">
        <f>50</f>
        <v>50</v>
      </c>
      <c r="U98" s="77"/>
      <c r="V98" s="77"/>
      <c r="W98" s="77"/>
      <c r="X98" s="77"/>
      <c r="Y98" s="77"/>
      <c r="Z98" s="77"/>
      <c r="AA98" s="77"/>
      <c r="AB98" s="77"/>
      <c r="AC98" s="77"/>
      <c r="AD98" s="77"/>
    </row>
    <row r="99" spans="1:30" ht="15.75" x14ac:dyDescent="0.25">
      <c r="A99" s="13">
        <v>43922</v>
      </c>
      <c r="B99" s="90">
        <v>30</v>
      </c>
      <c r="C99" s="76">
        <f>141.293</f>
        <v>141.29300000000001</v>
      </c>
      <c r="D99" s="76">
        <f>267.993</f>
        <v>267.99299999999999</v>
      </c>
      <c r="E99" s="85">
        <f>115.016</f>
        <v>115.01600000000001</v>
      </c>
      <c r="F99" s="76">
        <f>314.698-40-25-60-100</f>
        <v>89.697999999999979</v>
      </c>
      <c r="G99" s="79">
        <v>40</v>
      </c>
      <c r="H99" s="76">
        <f t="shared" ref="H99:H105" si="17">25+60+100</f>
        <v>185</v>
      </c>
      <c r="I99" s="76">
        <f t="shared" si="9"/>
        <v>0</v>
      </c>
      <c r="J99" s="79">
        <v>100</v>
      </c>
      <c r="K99" s="79">
        <v>300</v>
      </c>
      <c r="L99" s="76">
        <f t="shared" si="12"/>
        <v>1239</v>
      </c>
      <c r="M99" s="87">
        <v>400</v>
      </c>
      <c r="N99" s="76">
        <f>100</f>
        <v>100</v>
      </c>
      <c r="O99" s="79">
        <v>240</v>
      </c>
      <c r="P99" s="79">
        <v>160</v>
      </c>
      <c r="Q99" s="79">
        <f t="shared" si="13"/>
        <v>195</v>
      </c>
      <c r="R99" s="79">
        <f t="shared" si="14"/>
        <v>100</v>
      </c>
      <c r="S99" s="76">
        <f t="shared" si="15"/>
        <v>695</v>
      </c>
      <c r="T99" s="76">
        <f>50</f>
        <v>50</v>
      </c>
      <c r="U99" s="77"/>
      <c r="V99" s="77"/>
      <c r="W99" s="77"/>
      <c r="X99" s="77"/>
      <c r="Y99" s="77"/>
      <c r="Z99" s="77"/>
      <c r="AA99" s="77"/>
      <c r="AB99" s="77"/>
      <c r="AC99" s="77"/>
      <c r="AD99" s="77"/>
    </row>
    <row r="100" spans="1:30" ht="15.75" x14ac:dyDescent="0.25">
      <c r="A100" s="13">
        <v>43952</v>
      </c>
      <c r="B100" s="90">
        <v>31</v>
      </c>
      <c r="C100" s="76">
        <f>194.205</f>
        <v>194.20500000000001</v>
      </c>
      <c r="D100" s="76">
        <f>267.466</f>
        <v>267.46600000000001</v>
      </c>
      <c r="E100" s="85">
        <f>133.845</f>
        <v>133.845</v>
      </c>
      <c r="F100" s="76">
        <f>278.484-40-25-60-100</f>
        <v>53.48399999999998</v>
      </c>
      <c r="G100" s="79">
        <v>40</v>
      </c>
      <c r="H100" s="76">
        <f t="shared" si="17"/>
        <v>185</v>
      </c>
      <c r="I100" s="76">
        <f t="shared" si="9"/>
        <v>0</v>
      </c>
      <c r="J100" s="79">
        <v>100</v>
      </c>
      <c r="K100" s="79">
        <v>300</v>
      </c>
      <c r="L100" s="76">
        <f t="shared" si="12"/>
        <v>1274</v>
      </c>
      <c r="M100" s="87">
        <v>600</v>
      </c>
      <c r="N100" s="76">
        <f>75</f>
        <v>75</v>
      </c>
      <c r="O100" s="79">
        <v>240</v>
      </c>
      <c r="P100" s="79">
        <v>160</v>
      </c>
      <c r="Q100" s="79">
        <f t="shared" si="13"/>
        <v>195</v>
      </c>
      <c r="R100" s="79">
        <f t="shared" si="14"/>
        <v>100</v>
      </c>
      <c r="S100" s="76">
        <f t="shared" si="15"/>
        <v>695</v>
      </c>
      <c r="T100" s="76">
        <f>50</f>
        <v>50</v>
      </c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</row>
    <row r="101" spans="1:30" ht="15.75" x14ac:dyDescent="0.25">
      <c r="A101" s="13">
        <v>43983</v>
      </c>
      <c r="B101" s="90">
        <v>30</v>
      </c>
      <c r="C101" s="76">
        <f>194.205</f>
        <v>194.20500000000001</v>
      </c>
      <c r="D101" s="76">
        <f>267.466</f>
        <v>267.46600000000001</v>
      </c>
      <c r="E101" s="85">
        <f>133.845</f>
        <v>133.845</v>
      </c>
      <c r="F101" s="76">
        <f>278.484-40-25-60-100</f>
        <v>53.48399999999998</v>
      </c>
      <c r="G101" s="79">
        <v>40</v>
      </c>
      <c r="H101" s="76">
        <f t="shared" si="17"/>
        <v>185</v>
      </c>
      <c r="I101" s="76">
        <f t="shared" si="9"/>
        <v>0</v>
      </c>
      <c r="J101" s="79">
        <v>100</v>
      </c>
      <c r="K101" s="79">
        <v>300</v>
      </c>
      <c r="L101" s="76">
        <f t="shared" si="12"/>
        <v>1274</v>
      </c>
      <c r="M101" s="87">
        <v>600</v>
      </c>
      <c r="N101" s="76">
        <f>30</f>
        <v>30</v>
      </c>
      <c r="O101" s="79">
        <v>240</v>
      </c>
      <c r="P101" s="79">
        <v>160</v>
      </c>
      <c r="Q101" s="79">
        <f t="shared" si="13"/>
        <v>195</v>
      </c>
      <c r="R101" s="79">
        <f t="shared" si="14"/>
        <v>100</v>
      </c>
      <c r="S101" s="76">
        <f t="shared" si="15"/>
        <v>695</v>
      </c>
      <c r="T101" s="76">
        <f>50</f>
        <v>50</v>
      </c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</row>
    <row r="102" spans="1:30" ht="15.75" x14ac:dyDescent="0.25">
      <c r="A102" s="13">
        <v>44013</v>
      </c>
      <c r="B102" s="90">
        <v>31</v>
      </c>
      <c r="C102" s="76">
        <f>194.205</f>
        <v>194.20500000000001</v>
      </c>
      <c r="D102" s="76">
        <f>267.466</f>
        <v>267.46600000000001</v>
      </c>
      <c r="E102" s="85">
        <f>133.845</f>
        <v>133.845</v>
      </c>
      <c r="F102" s="76">
        <f>278.484-40-25-60-100</f>
        <v>53.48399999999998</v>
      </c>
      <c r="G102" s="79">
        <v>40</v>
      </c>
      <c r="H102" s="76">
        <f t="shared" si="17"/>
        <v>185</v>
      </c>
      <c r="I102" s="76">
        <f t="shared" si="9"/>
        <v>0</v>
      </c>
      <c r="J102" s="79">
        <v>100</v>
      </c>
      <c r="K102" s="79">
        <v>300</v>
      </c>
      <c r="L102" s="76">
        <f t="shared" si="12"/>
        <v>1274</v>
      </c>
      <c r="M102" s="87">
        <v>600</v>
      </c>
      <c r="N102" s="76">
        <f>30</f>
        <v>30</v>
      </c>
      <c r="O102" s="79">
        <v>240</v>
      </c>
      <c r="P102" s="79">
        <v>160</v>
      </c>
      <c r="Q102" s="79">
        <f t="shared" si="13"/>
        <v>195</v>
      </c>
      <c r="R102" s="79">
        <f t="shared" si="14"/>
        <v>100</v>
      </c>
      <c r="S102" s="76">
        <f t="shared" si="15"/>
        <v>695</v>
      </c>
      <c r="T102" s="76">
        <f>0</f>
        <v>0</v>
      </c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</row>
    <row r="103" spans="1:30" ht="15.75" x14ac:dyDescent="0.25">
      <c r="A103" s="13">
        <v>44044</v>
      </c>
      <c r="B103" s="90">
        <v>31</v>
      </c>
      <c r="C103" s="76">
        <f>194.205</f>
        <v>194.20500000000001</v>
      </c>
      <c r="D103" s="76">
        <f>267.466</f>
        <v>267.46600000000001</v>
      </c>
      <c r="E103" s="85">
        <f>133.845</f>
        <v>133.845</v>
      </c>
      <c r="F103" s="76">
        <f>278.484-40-25-60-100</f>
        <v>53.48399999999998</v>
      </c>
      <c r="G103" s="79">
        <v>40</v>
      </c>
      <c r="H103" s="76">
        <f t="shared" si="17"/>
        <v>185</v>
      </c>
      <c r="I103" s="76">
        <f t="shared" si="9"/>
        <v>0</v>
      </c>
      <c r="J103" s="79">
        <v>100</v>
      </c>
      <c r="K103" s="79">
        <v>300</v>
      </c>
      <c r="L103" s="76">
        <f t="shared" si="12"/>
        <v>1274</v>
      </c>
      <c r="M103" s="87">
        <v>600</v>
      </c>
      <c r="N103" s="76">
        <f>30</f>
        <v>30</v>
      </c>
      <c r="O103" s="79">
        <v>240</v>
      </c>
      <c r="P103" s="79">
        <v>160</v>
      </c>
      <c r="Q103" s="79">
        <f t="shared" si="13"/>
        <v>195</v>
      </c>
      <c r="R103" s="79">
        <f t="shared" si="14"/>
        <v>100</v>
      </c>
      <c r="S103" s="76">
        <f t="shared" si="15"/>
        <v>695</v>
      </c>
      <c r="T103" s="76">
        <f>0</f>
        <v>0</v>
      </c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</row>
    <row r="104" spans="1:30" ht="15.75" x14ac:dyDescent="0.25">
      <c r="A104" s="13">
        <v>44075</v>
      </c>
      <c r="B104" s="90">
        <v>30</v>
      </c>
      <c r="C104" s="76">
        <f>194.205</f>
        <v>194.20500000000001</v>
      </c>
      <c r="D104" s="76">
        <f>267.466</f>
        <v>267.46600000000001</v>
      </c>
      <c r="E104" s="85">
        <f>133.845</f>
        <v>133.845</v>
      </c>
      <c r="F104" s="76">
        <f>278.484-40-25-60-100</f>
        <v>53.48399999999998</v>
      </c>
      <c r="G104" s="79">
        <v>40</v>
      </c>
      <c r="H104" s="76">
        <f t="shared" si="17"/>
        <v>185</v>
      </c>
      <c r="I104" s="76">
        <f t="shared" si="9"/>
        <v>0</v>
      </c>
      <c r="J104" s="79">
        <v>100</v>
      </c>
      <c r="K104" s="79">
        <v>300</v>
      </c>
      <c r="L104" s="76">
        <f t="shared" si="12"/>
        <v>1274</v>
      </c>
      <c r="M104" s="87">
        <v>600</v>
      </c>
      <c r="N104" s="76">
        <f>30</f>
        <v>30</v>
      </c>
      <c r="O104" s="79">
        <v>240</v>
      </c>
      <c r="P104" s="79">
        <v>160</v>
      </c>
      <c r="Q104" s="79">
        <f t="shared" si="13"/>
        <v>195</v>
      </c>
      <c r="R104" s="79">
        <f t="shared" si="14"/>
        <v>100</v>
      </c>
      <c r="S104" s="76">
        <f t="shared" si="15"/>
        <v>695</v>
      </c>
      <c r="T104" s="76">
        <f>0</f>
        <v>0</v>
      </c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</row>
    <row r="105" spans="1:30" ht="15.75" x14ac:dyDescent="0.25">
      <c r="A105" s="13">
        <v>44105</v>
      </c>
      <c r="B105" s="90">
        <v>31</v>
      </c>
      <c r="C105" s="76">
        <f>131.881</f>
        <v>131.881</v>
      </c>
      <c r="D105" s="76">
        <f>277.167</f>
        <v>277.16699999999997</v>
      </c>
      <c r="E105" s="85">
        <f>79.08</f>
        <v>79.08</v>
      </c>
      <c r="F105" s="76">
        <f>350.872-40-25-60-100</f>
        <v>125.87200000000001</v>
      </c>
      <c r="G105" s="79">
        <v>40</v>
      </c>
      <c r="H105" s="76">
        <f t="shared" si="17"/>
        <v>185</v>
      </c>
      <c r="I105" s="76">
        <f t="shared" si="9"/>
        <v>0</v>
      </c>
      <c r="J105" s="79">
        <v>100</v>
      </c>
      <c r="K105" s="79">
        <v>300</v>
      </c>
      <c r="L105" s="76">
        <f t="shared" si="12"/>
        <v>1239</v>
      </c>
      <c r="M105" s="87">
        <v>600</v>
      </c>
      <c r="N105" s="76">
        <f>75</f>
        <v>75</v>
      </c>
      <c r="O105" s="79">
        <v>240</v>
      </c>
      <c r="P105" s="79">
        <v>160</v>
      </c>
      <c r="Q105" s="79">
        <f t="shared" si="13"/>
        <v>195</v>
      </c>
      <c r="R105" s="79">
        <f t="shared" si="14"/>
        <v>100</v>
      </c>
      <c r="S105" s="76">
        <f t="shared" si="15"/>
        <v>695</v>
      </c>
      <c r="T105" s="76">
        <f>0</f>
        <v>0</v>
      </c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</row>
    <row r="106" spans="1:30" ht="15.75" x14ac:dyDescent="0.25">
      <c r="A106" s="13">
        <v>44136</v>
      </c>
      <c r="B106" s="90">
        <v>30</v>
      </c>
      <c r="C106" s="76">
        <f>122.58</f>
        <v>122.58</v>
      </c>
      <c r="D106" s="76">
        <f>297.941</f>
        <v>297.94099999999997</v>
      </c>
      <c r="E106" s="85">
        <f>89.177</f>
        <v>89.177000000000007</v>
      </c>
      <c r="F106" s="76">
        <f>240.302-40-60-100</f>
        <v>40.301999999999992</v>
      </c>
      <c r="G106" s="79">
        <v>40</v>
      </c>
      <c r="H106" s="76">
        <f>60+100</f>
        <v>160</v>
      </c>
      <c r="I106" s="76">
        <f t="shared" si="9"/>
        <v>0</v>
      </c>
      <c r="J106" s="79">
        <v>100</v>
      </c>
      <c r="K106" s="79">
        <v>300</v>
      </c>
      <c r="L106" s="76">
        <f t="shared" si="12"/>
        <v>1150</v>
      </c>
      <c r="M106" s="87">
        <v>600</v>
      </c>
      <c r="N106" s="76">
        <f>100</f>
        <v>100</v>
      </c>
      <c r="O106" s="79">
        <v>240</v>
      </c>
      <c r="P106" s="79">
        <v>40</v>
      </c>
      <c r="Q106" s="79">
        <f t="shared" si="13"/>
        <v>315</v>
      </c>
      <c r="R106" s="79">
        <f t="shared" si="14"/>
        <v>100</v>
      </c>
      <c r="S106" s="76">
        <f t="shared" si="15"/>
        <v>695</v>
      </c>
      <c r="T106" s="76">
        <f>50</f>
        <v>50</v>
      </c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</row>
    <row r="107" spans="1:30" ht="15.75" x14ac:dyDescent="0.25">
      <c r="A107" s="13">
        <v>44166</v>
      </c>
      <c r="B107" s="90">
        <v>31</v>
      </c>
      <c r="C107" s="76">
        <f>122.58</f>
        <v>122.58</v>
      </c>
      <c r="D107" s="76">
        <f>297.941</f>
        <v>297.94099999999997</v>
      </c>
      <c r="E107" s="85">
        <f>89.177</f>
        <v>89.177000000000007</v>
      </c>
      <c r="F107" s="76">
        <f>240.302-40-60-100</f>
        <v>40.301999999999992</v>
      </c>
      <c r="G107" s="79">
        <v>40</v>
      </c>
      <c r="H107" s="76">
        <f>60+100</f>
        <v>160</v>
      </c>
      <c r="I107" s="76">
        <f t="shared" si="9"/>
        <v>0</v>
      </c>
      <c r="J107" s="79">
        <v>100</v>
      </c>
      <c r="K107" s="79">
        <v>300</v>
      </c>
      <c r="L107" s="76">
        <f t="shared" si="12"/>
        <v>1150</v>
      </c>
      <c r="M107" s="87">
        <v>600</v>
      </c>
      <c r="N107" s="76">
        <f>100</f>
        <v>100</v>
      </c>
      <c r="O107" s="79">
        <v>240</v>
      </c>
      <c r="P107" s="79">
        <v>40</v>
      </c>
      <c r="Q107" s="79">
        <f t="shared" si="13"/>
        <v>315</v>
      </c>
      <c r="R107" s="79">
        <f t="shared" si="14"/>
        <v>100</v>
      </c>
      <c r="S107" s="76">
        <f t="shared" si="15"/>
        <v>695</v>
      </c>
      <c r="T107" s="76">
        <f>50</f>
        <v>50</v>
      </c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</row>
    <row r="108" spans="1:30" ht="15.75" x14ac:dyDescent="0.25">
      <c r="A108" s="13">
        <v>44197</v>
      </c>
      <c r="B108" s="90">
        <v>31</v>
      </c>
      <c r="C108" s="76">
        <f>122.58</f>
        <v>122.58</v>
      </c>
      <c r="D108" s="76">
        <f>297.941</f>
        <v>297.94099999999997</v>
      </c>
      <c r="E108" s="85">
        <f>89.177</f>
        <v>89.177000000000007</v>
      </c>
      <c r="F108" s="76">
        <f>240.302-40-60-100</f>
        <v>40.301999999999992</v>
      </c>
      <c r="G108" s="79">
        <v>40</v>
      </c>
      <c r="H108" s="76">
        <f>60+100</f>
        <v>160</v>
      </c>
      <c r="I108" s="76">
        <f t="shared" si="9"/>
        <v>0</v>
      </c>
      <c r="J108" s="79">
        <v>100</v>
      </c>
      <c r="K108" s="79">
        <v>300</v>
      </c>
      <c r="L108" s="76">
        <f t="shared" si="12"/>
        <v>1150</v>
      </c>
      <c r="M108" s="87">
        <v>600</v>
      </c>
      <c r="N108" s="76">
        <f>100</f>
        <v>100</v>
      </c>
      <c r="O108" s="79">
        <v>240</v>
      </c>
      <c r="P108" s="79">
        <v>40</v>
      </c>
      <c r="Q108" s="79">
        <f t="shared" si="13"/>
        <v>315</v>
      </c>
      <c r="R108" s="79">
        <f t="shared" si="14"/>
        <v>100</v>
      </c>
      <c r="S108" s="76">
        <f t="shared" si="15"/>
        <v>695</v>
      </c>
      <c r="T108" s="76">
        <f>50</f>
        <v>50</v>
      </c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</row>
    <row r="109" spans="1:30" ht="15.75" x14ac:dyDescent="0.25">
      <c r="A109" s="13">
        <v>44228</v>
      </c>
      <c r="B109" s="90">
        <v>28</v>
      </c>
      <c r="C109" s="76">
        <f>122.58</f>
        <v>122.58</v>
      </c>
      <c r="D109" s="76">
        <f>297.941</f>
        <v>297.94099999999997</v>
      </c>
      <c r="E109" s="85">
        <f>89.177</f>
        <v>89.177000000000007</v>
      </c>
      <c r="F109" s="76">
        <f>240.302-40-60-100</f>
        <v>40.301999999999992</v>
      </c>
      <c r="G109" s="79">
        <v>40</v>
      </c>
      <c r="H109" s="76">
        <f>60+100</f>
        <v>160</v>
      </c>
      <c r="I109" s="76">
        <f t="shared" si="9"/>
        <v>0</v>
      </c>
      <c r="J109" s="79">
        <v>100</v>
      </c>
      <c r="K109" s="79">
        <v>300</v>
      </c>
      <c r="L109" s="76">
        <f t="shared" si="12"/>
        <v>1150</v>
      </c>
      <c r="M109" s="87">
        <v>600</v>
      </c>
      <c r="N109" s="76">
        <f>100</f>
        <v>100</v>
      </c>
      <c r="O109" s="79">
        <v>240</v>
      </c>
      <c r="P109" s="79">
        <v>40</v>
      </c>
      <c r="Q109" s="79">
        <f t="shared" si="13"/>
        <v>315</v>
      </c>
      <c r="R109" s="79">
        <f t="shared" si="14"/>
        <v>100</v>
      </c>
      <c r="S109" s="76">
        <f t="shared" si="15"/>
        <v>695</v>
      </c>
      <c r="T109" s="76">
        <f>50</f>
        <v>50</v>
      </c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</row>
    <row r="110" spans="1:30" ht="15.75" x14ac:dyDescent="0.25">
      <c r="A110" s="13">
        <v>44256</v>
      </c>
      <c r="B110" s="90">
        <v>31</v>
      </c>
      <c r="C110" s="76">
        <f>122.58</f>
        <v>122.58</v>
      </c>
      <c r="D110" s="76">
        <f>297.941</f>
        <v>297.94099999999997</v>
      </c>
      <c r="E110" s="85">
        <f>89.177</f>
        <v>89.177000000000007</v>
      </c>
      <c r="F110" s="76">
        <f>240.302-40-60-100</f>
        <v>40.301999999999992</v>
      </c>
      <c r="G110" s="79">
        <v>40</v>
      </c>
      <c r="H110" s="76">
        <f>60+100</f>
        <v>160</v>
      </c>
      <c r="I110" s="76">
        <f t="shared" si="9"/>
        <v>0</v>
      </c>
      <c r="J110" s="79">
        <v>100</v>
      </c>
      <c r="K110" s="79">
        <v>300</v>
      </c>
      <c r="L110" s="76">
        <f t="shared" si="12"/>
        <v>1150</v>
      </c>
      <c r="M110" s="87">
        <v>600</v>
      </c>
      <c r="N110" s="76">
        <f>100</f>
        <v>100</v>
      </c>
      <c r="O110" s="79">
        <v>240</v>
      </c>
      <c r="P110" s="79">
        <v>40</v>
      </c>
      <c r="Q110" s="79">
        <f t="shared" si="13"/>
        <v>315</v>
      </c>
      <c r="R110" s="79">
        <f t="shared" si="14"/>
        <v>100</v>
      </c>
      <c r="S110" s="76">
        <f t="shared" si="15"/>
        <v>695</v>
      </c>
      <c r="T110" s="76">
        <f>50</f>
        <v>50</v>
      </c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</row>
    <row r="111" spans="1:30" ht="15.75" x14ac:dyDescent="0.25">
      <c r="A111" s="13">
        <v>44287</v>
      </c>
      <c r="B111" s="90">
        <v>30</v>
      </c>
      <c r="C111" s="76">
        <f>141.293</f>
        <v>141.29300000000001</v>
      </c>
      <c r="D111" s="76">
        <f>267.993</f>
        <v>267.99299999999999</v>
      </c>
      <c r="E111" s="85">
        <f>115.016</f>
        <v>115.01600000000001</v>
      </c>
      <c r="F111" s="76">
        <f>314.698-40-25-60-100</f>
        <v>89.697999999999979</v>
      </c>
      <c r="G111" s="79">
        <v>40</v>
      </c>
      <c r="H111" s="76">
        <f t="shared" ref="H111:H117" si="18">25+60+100</f>
        <v>185</v>
      </c>
      <c r="I111" s="76">
        <f t="shared" si="9"/>
        <v>0</v>
      </c>
      <c r="J111" s="79">
        <v>100</v>
      </c>
      <c r="K111" s="79">
        <v>300</v>
      </c>
      <c r="L111" s="76">
        <f t="shared" si="12"/>
        <v>1239</v>
      </c>
      <c r="M111" s="87">
        <v>600</v>
      </c>
      <c r="N111" s="76">
        <f>100</f>
        <v>100</v>
      </c>
      <c r="O111" s="79">
        <v>240</v>
      </c>
      <c r="P111" s="79">
        <v>160</v>
      </c>
      <c r="Q111" s="79">
        <f t="shared" si="13"/>
        <v>195</v>
      </c>
      <c r="R111" s="79">
        <f t="shared" si="14"/>
        <v>100</v>
      </c>
      <c r="S111" s="76">
        <f t="shared" si="15"/>
        <v>695</v>
      </c>
      <c r="T111" s="76">
        <f>50</f>
        <v>50</v>
      </c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</row>
    <row r="112" spans="1:30" ht="15.75" x14ac:dyDescent="0.25">
      <c r="A112" s="13">
        <v>44317</v>
      </c>
      <c r="B112" s="90">
        <v>31</v>
      </c>
      <c r="C112" s="76">
        <f>194.205</f>
        <v>194.20500000000001</v>
      </c>
      <c r="D112" s="76">
        <f>267.466</f>
        <v>267.46600000000001</v>
      </c>
      <c r="E112" s="85">
        <f>133.845</f>
        <v>133.845</v>
      </c>
      <c r="F112" s="76">
        <f>278.484-40-25-60-100</f>
        <v>53.48399999999998</v>
      </c>
      <c r="G112" s="79">
        <v>40</v>
      </c>
      <c r="H112" s="76">
        <f t="shared" si="18"/>
        <v>185</v>
      </c>
      <c r="I112" s="76">
        <f t="shared" si="9"/>
        <v>0</v>
      </c>
      <c r="J112" s="79">
        <v>100</v>
      </c>
      <c r="K112" s="79">
        <v>300</v>
      </c>
      <c r="L112" s="76">
        <f t="shared" si="12"/>
        <v>1274</v>
      </c>
      <c r="M112" s="87">
        <v>600</v>
      </c>
      <c r="N112" s="76">
        <f>75</f>
        <v>75</v>
      </c>
      <c r="O112" s="79">
        <v>240</v>
      </c>
      <c r="P112" s="79">
        <v>160</v>
      </c>
      <c r="Q112" s="79">
        <f t="shared" si="13"/>
        <v>195</v>
      </c>
      <c r="R112" s="79">
        <f t="shared" si="14"/>
        <v>100</v>
      </c>
      <c r="S112" s="76">
        <f t="shared" si="15"/>
        <v>695</v>
      </c>
      <c r="T112" s="76">
        <f>50</f>
        <v>50</v>
      </c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</row>
    <row r="113" spans="1:30" ht="15.75" x14ac:dyDescent="0.25">
      <c r="A113" s="13">
        <v>44348</v>
      </c>
      <c r="B113" s="90">
        <v>30</v>
      </c>
      <c r="C113" s="76">
        <f>194.205</f>
        <v>194.20500000000001</v>
      </c>
      <c r="D113" s="76">
        <f>267.466</f>
        <v>267.46600000000001</v>
      </c>
      <c r="E113" s="85">
        <f>133.845</f>
        <v>133.845</v>
      </c>
      <c r="F113" s="76">
        <f>278.484-40-25-60-100</f>
        <v>53.48399999999998</v>
      </c>
      <c r="G113" s="79">
        <v>40</v>
      </c>
      <c r="H113" s="76">
        <f t="shared" si="18"/>
        <v>185</v>
      </c>
      <c r="I113" s="76">
        <f t="shared" si="9"/>
        <v>0</v>
      </c>
      <c r="J113" s="79">
        <v>100</v>
      </c>
      <c r="K113" s="79">
        <v>300</v>
      </c>
      <c r="L113" s="76">
        <f t="shared" si="12"/>
        <v>1274</v>
      </c>
      <c r="M113" s="87">
        <v>600</v>
      </c>
      <c r="N113" s="76">
        <f>30</f>
        <v>30</v>
      </c>
      <c r="O113" s="79">
        <v>240</v>
      </c>
      <c r="P113" s="79">
        <v>160</v>
      </c>
      <c r="Q113" s="79">
        <f t="shared" si="13"/>
        <v>195</v>
      </c>
      <c r="R113" s="79">
        <f t="shared" si="14"/>
        <v>100</v>
      </c>
      <c r="S113" s="76">
        <f t="shared" si="15"/>
        <v>695</v>
      </c>
      <c r="T113" s="76">
        <f>50</f>
        <v>50</v>
      </c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</row>
    <row r="114" spans="1:30" ht="15.75" x14ac:dyDescent="0.25">
      <c r="A114" s="13">
        <v>44378</v>
      </c>
      <c r="B114" s="90">
        <v>31</v>
      </c>
      <c r="C114" s="76">
        <f>194.205</f>
        <v>194.20500000000001</v>
      </c>
      <c r="D114" s="76">
        <f>267.466</f>
        <v>267.46600000000001</v>
      </c>
      <c r="E114" s="85">
        <f>133.845</f>
        <v>133.845</v>
      </c>
      <c r="F114" s="76">
        <f>278.484-40-25-60-100</f>
        <v>53.48399999999998</v>
      </c>
      <c r="G114" s="79">
        <v>40</v>
      </c>
      <c r="H114" s="76">
        <f t="shared" si="18"/>
        <v>185</v>
      </c>
      <c r="I114" s="76">
        <f t="shared" si="9"/>
        <v>0</v>
      </c>
      <c r="J114" s="79">
        <v>100</v>
      </c>
      <c r="K114" s="79">
        <v>300</v>
      </c>
      <c r="L114" s="76">
        <f t="shared" si="12"/>
        <v>1274</v>
      </c>
      <c r="M114" s="87">
        <v>600</v>
      </c>
      <c r="N114" s="76">
        <f>30</f>
        <v>30</v>
      </c>
      <c r="O114" s="79">
        <v>240</v>
      </c>
      <c r="P114" s="79">
        <v>160</v>
      </c>
      <c r="Q114" s="79">
        <f t="shared" si="13"/>
        <v>195</v>
      </c>
      <c r="R114" s="79">
        <f t="shared" si="14"/>
        <v>100</v>
      </c>
      <c r="S114" s="76">
        <f t="shared" si="15"/>
        <v>695</v>
      </c>
      <c r="T114" s="76">
        <f>0</f>
        <v>0</v>
      </c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</row>
    <row r="115" spans="1:30" ht="15.75" x14ac:dyDescent="0.25">
      <c r="A115" s="13">
        <v>44409</v>
      </c>
      <c r="B115" s="90">
        <v>31</v>
      </c>
      <c r="C115" s="76">
        <f>194.205</f>
        <v>194.20500000000001</v>
      </c>
      <c r="D115" s="76">
        <f>267.466</f>
        <v>267.46600000000001</v>
      </c>
      <c r="E115" s="85">
        <f>133.845</f>
        <v>133.845</v>
      </c>
      <c r="F115" s="76">
        <f>278.484-40-25-60-100</f>
        <v>53.48399999999998</v>
      </c>
      <c r="G115" s="79">
        <v>40</v>
      </c>
      <c r="H115" s="76">
        <f t="shared" si="18"/>
        <v>185</v>
      </c>
      <c r="I115" s="76">
        <f t="shared" si="9"/>
        <v>0</v>
      </c>
      <c r="J115" s="79">
        <v>100</v>
      </c>
      <c r="K115" s="79">
        <v>300</v>
      </c>
      <c r="L115" s="76">
        <f t="shared" si="12"/>
        <v>1274</v>
      </c>
      <c r="M115" s="87">
        <v>600</v>
      </c>
      <c r="N115" s="76">
        <f>30</f>
        <v>30</v>
      </c>
      <c r="O115" s="79">
        <v>240</v>
      </c>
      <c r="P115" s="79">
        <v>160</v>
      </c>
      <c r="Q115" s="79">
        <f t="shared" si="13"/>
        <v>195</v>
      </c>
      <c r="R115" s="79">
        <f t="shared" si="14"/>
        <v>100</v>
      </c>
      <c r="S115" s="76">
        <f t="shared" si="15"/>
        <v>695</v>
      </c>
      <c r="T115" s="76">
        <f>0</f>
        <v>0</v>
      </c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</row>
    <row r="116" spans="1:30" ht="15.75" x14ac:dyDescent="0.25">
      <c r="A116" s="13">
        <v>44440</v>
      </c>
      <c r="B116" s="90">
        <v>30</v>
      </c>
      <c r="C116" s="76">
        <f>194.205</f>
        <v>194.20500000000001</v>
      </c>
      <c r="D116" s="76">
        <f>267.466</f>
        <v>267.46600000000001</v>
      </c>
      <c r="E116" s="85">
        <f>133.845</f>
        <v>133.845</v>
      </c>
      <c r="F116" s="76">
        <f>278.484-40-25-60-100</f>
        <v>53.48399999999998</v>
      </c>
      <c r="G116" s="79">
        <v>40</v>
      </c>
      <c r="H116" s="76">
        <f t="shared" si="18"/>
        <v>185</v>
      </c>
      <c r="I116" s="76">
        <f t="shared" ref="I116:I179" si="19">400-J116-K116</f>
        <v>0</v>
      </c>
      <c r="J116" s="79">
        <v>100</v>
      </c>
      <c r="K116" s="79">
        <v>300</v>
      </c>
      <c r="L116" s="76">
        <f t="shared" si="12"/>
        <v>1274</v>
      </c>
      <c r="M116" s="87">
        <v>600</v>
      </c>
      <c r="N116" s="76">
        <f>30</f>
        <v>30</v>
      </c>
      <c r="O116" s="79">
        <v>240</v>
      </c>
      <c r="P116" s="79">
        <v>160</v>
      </c>
      <c r="Q116" s="79">
        <f t="shared" si="13"/>
        <v>195</v>
      </c>
      <c r="R116" s="79">
        <f t="shared" si="14"/>
        <v>100</v>
      </c>
      <c r="S116" s="76">
        <f t="shared" si="15"/>
        <v>695</v>
      </c>
      <c r="T116" s="76">
        <f>0</f>
        <v>0</v>
      </c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</row>
    <row r="117" spans="1:30" ht="15.75" x14ac:dyDescent="0.25">
      <c r="A117" s="13">
        <v>44470</v>
      </c>
      <c r="B117" s="90">
        <v>31</v>
      </c>
      <c r="C117" s="76">
        <f>131.881</f>
        <v>131.881</v>
      </c>
      <c r="D117" s="76">
        <f>277.167</f>
        <v>277.16699999999997</v>
      </c>
      <c r="E117" s="85">
        <f>79.08</f>
        <v>79.08</v>
      </c>
      <c r="F117" s="76">
        <f>350.872-40-25-60-100</f>
        <v>125.87200000000001</v>
      </c>
      <c r="G117" s="79">
        <v>40</v>
      </c>
      <c r="H117" s="76">
        <f t="shared" si="18"/>
        <v>185</v>
      </c>
      <c r="I117" s="76">
        <f t="shared" si="19"/>
        <v>0</v>
      </c>
      <c r="J117" s="79">
        <v>100</v>
      </c>
      <c r="K117" s="79">
        <v>300</v>
      </c>
      <c r="L117" s="76">
        <f t="shared" si="12"/>
        <v>1239</v>
      </c>
      <c r="M117" s="87">
        <v>600</v>
      </c>
      <c r="N117" s="76">
        <f>75</f>
        <v>75</v>
      </c>
      <c r="O117" s="79">
        <v>240</v>
      </c>
      <c r="P117" s="79">
        <v>160</v>
      </c>
      <c r="Q117" s="79">
        <f t="shared" si="13"/>
        <v>195</v>
      </c>
      <c r="R117" s="79">
        <f t="shared" si="14"/>
        <v>100</v>
      </c>
      <c r="S117" s="76">
        <f t="shared" si="15"/>
        <v>695</v>
      </c>
      <c r="T117" s="76">
        <f>0</f>
        <v>0</v>
      </c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</row>
    <row r="118" spans="1:30" ht="15.75" x14ac:dyDescent="0.25">
      <c r="A118" s="13">
        <v>44501</v>
      </c>
      <c r="B118" s="90">
        <v>30</v>
      </c>
      <c r="C118" s="76">
        <f>122.58</f>
        <v>122.58</v>
      </c>
      <c r="D118" s="76">
        <f>297.941</f>
        <v>297.94099999999997</v>
      </c>
      <c r="E118" s="85">
        <f>89.177</f>
        <v>89.177000000000007</v>
      </c>
      <c r="F118" s="76">
        <f>240.302-40-60-100</f>
        <v>40.301999999999992</v>
      </c>
      <c r="G118" s="79">
        <v>40</v>
      </c>
      <c r="H118" s="76">
        <f>60+100</f>
        <v>160</v>
      </c>
      <c r="I118" s="76">
        <f t="shared" si="19"/>
        <v>0</v>
      </c>
      <c r="J118" s="79">
        <v>100</v>
      </c>
      <c r="K118" s="79">
        <v>300</v>
      </c>
      <c r="L118" s="76">
        <f t="shared" si="12"/>
        <v>1150</v>
      </c>
      <c r="M118" s="87">
        <v>600</v>
      </c>
      <c r="N118" s="76">
        <f>100</f>
        <v>100</v>
      </c>
      <c r="O118" s="79">
        <v>240</v>
      </c>
      <c r="P118" s="79">
        <v>40</v>
      </c>
      <c r="Q118" s="79">
        <f t="shared" si="13"/>
        <v>315</v>
      </c>
      <c r="R118" s="79">
        <f t="shared" si="14"/>
        <v>100</v>
      </c>
      <c r="S118" s="76">
        <f t="shared" si="15"/>
        <v>695</v>
      </c>
      <c r="T118" s="76">
        <f>50</f>
        <v>50</v>
      </c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</row>
    <row r="119" spans="1:30" ht="15.75" x14ac:dyDescent="0.25">
      <c r="A119" s="13">
        <v>44531</v>
      </c>
      <c r="B119" s="90">
        <v>31</v>
      </c>
      <c r="C119" s="76">
        <f>122.58</f>
        <v>122.58</v>
      </c>
      <c r="D119" s="76">
        <f>297.941</f>
        <v>297.94099999999997</v>
      </c>
      <c r="E119" s="85">
        <f>89.177</f>
        <v>89.177000000000007</v>
      </c>
      <c r="F119" s="76">
        <f>240.302-40-60-100</f>
        <v>40.301999999999992</v>
      </c>
      <c r="G119" s="79">
        <v>40</v>
      </c>
      <c r="H119" s="76">
        <f>60+100</f>
        <v>160</v>
      </c>
      <c r="I119" s="76">
        <f t="shared" si="19"/>
        <v>0</v>
      </c>
      <c r="J119" s="79">
        <v>100</v>
      </c>
      <c r="K119" s="79">
        <v>300</v>
      </c>
      <c r="L119" s="76">
        <f t="shared" si="12"/>
        <v>1150</v>
      </c>
      <c r="M119" s="87">
        <v>600</v>
      </c>
      <c r="N119" s="76">
        <f>100</f>
        <v>100</v>
      </c>
      <c r="O119" s="79">
        <v>240</v>
      </c>
      <c r="P119" s="79">
        <v>40</v>
      </c>
      <c r="Q119" s="79">
        <f t="shared" si="13"/>
        <v>315</v>
      </c>
      <c r="R119" s="79">
        <f t="shared" si="14"/>
        <v>100</v>
      </c>
      <c r="S119" s="76">
        <f t="shared" si="15"/>
        <v>695</v>
      </c>
      <c r="T119" s="76">
        <f>50</f>
        <v>50</v>
      </c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</row>
    <row r="120" spans="1:30" ht="15.75" x14ac:dyDescent="0.25">
      <c r="A120" s="13">
        <v>44562</v>
      </c>
      <c r="B120" s="90">
        <v>31</v>
      </c>
      <c r="C120" s="76">
        <f>122.58</f>
        <v>122.58</v>
      </c>
      <c r="D120" s="76">
        <f>297.941</f>
        <v>297.94099999999997</v>
      </c>
      <c r="E120" s="85">
        <f>89.177</f>
        <v>89.177000000000007</v>
      </c>
      <c r="F120" s="76">
        <f>240.302-40-60-100</f>
        <v>40.301999999999992</v>
      </c>
      <c r="G120" s="79">
        <v>40</v>
      </c>
      <c r="H120" s="76">
        <f>60+100</f>
        <v>160</v>
      </c>
      <c r="I120" s="76">
        <f t="shared" si="19"/>
        <v>0</v>
      </c>
      <c r="J120" s="79">
        <v>100</v>
      </c>
      <c r="K120" s="79">
        <v>300</v>
      </c>
      <c r="L120" s="76">
        <f t="shared" si="12"/>
        <v>1150</v>
      </c>
      <c r="M120" s="87">
        <v>600</v>
      </c>
      <c r="N120" s="76">
        <f>100</f>
        <v>100</v>
      </c>
      <c r="O120" s="79">
        <v>240</v>
      </c>
      <c r="P120" s="79">
        <v>40</v>
      </c>
      <c r="Q120" s="79">
        <f t="shared" si="13"/>
        <v>315</v>
      </c>
      <c r="R120" s="79">
        <f t="shared" si="14"/>
        <v>100</v>
      </c>
      <c r="S120" s="76">
        <f t="shared" si="15"/>
        <v>695</v>
      </c>
      <c r="T120" s="76">
        <f>50</f>
        <v>50</v>
      </c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</row>
    <row r="121" spans="1:30" ht="15.75" x14ac:dyDescent="0.25">
      <c r="A121" s="13">
        <v>44593</v>
      </c>
      <c r="B121" s="90">
        <v>28</v>
      </c>
      <c r="C121" s="76">
        <f>122.58</f>
        <v>122.58</v>
      </c>
      <c r="D121" s="76">
        <f>297.941</f>
        <v>297.94099999999997</v>
      </c>
      <c r="E121" s="85">
        <f>89.177</f>
        <v>89.177000000000007</v>
      </c>
      <c r="F121" s="76">
        <f>240.302-40-60-100</f>
        <v>40.301999999999992</v>
      </c>
      <c r="G121" s="79">
        <v>40</v>
      </c>
      <c r="H121" s="76">
        <f>60+100</f>
        <v>160</v>
      </c>
      <c r="I121" s="76">
        <f t="shared" si="19"/>
        <v>0</v>
      </c>
      <c r="J121" s="79">
        <v>100</v>
      </c>
      <c r="K121" s="79">
        <v>300</v>
      </c>
      <c r="L121" s="76">
        <f t="shared" si="12"/>
        <v>1150</v>
      </c>
      <c r="M121" s="87">
        <v>600</v>
      </c>
      <c r="N121" s="76">
        <f>100</f>
        <v>100</v>
      </c>
      <c r="O121" s="79">
        <v>240</v>
      </c>
      <c r="P121" s="79">
        <v>40</v>
      </c>
      <c r="Q121" s="79">
        <f t="shared" si="13"/>
        <v>315</v>
      </c>
      <c r="R121" s="79">
        <f t="shared" si="14"/>
        <v>100</v>
      </c>
      <c r="S121" s="76">
        <f t="shared" si="15"/>
        <v>695</v>
      </c>
      <c r="T121" s="76">
        <f>50</f>
        <v>50</v>
      </c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</row>
    <row r="122" spans="1:30" ht="15.75" x14ac:dyDescent="0.25">
      <c r="A122" s="13">
        <v>44621</v>
      </c>
      <c r="B122" s="90">
        <v>31</v>
      </c>
      <c r="C122" s="76">
        <f>122.58</f>
        <v>122.58</v>
      </c>
      <c r="D122" s="76">
        <f>297.941</f>
        <v>297.94099999999997</v>
      </c>
      <c r="E122" s="85">
        <f>89.177</f>
        <v>89.177000000000007</v>
      </c>
      <c r="F122" s="76">
        <f>240.302-40-60-100</f>
        <v>40.301999999999992</v>
      </c>
      <c r="G122" s="79">
        <v>40</v>
      </c>
      <c r="H122" s="76">
        <f>60+100</f>
        <v>160</v>
      </c>
      <c r="I122" s="76">
        <f t="shared" si="19"/>
        <v>0</v>
      </c>
      <c r="J122" s="79">
        <v>100</v>
      </c>
      <c r="K122" s="79">
        <v>300</v>
      </c>
      <c r="L122" s="76">
        <f t="shared" si="12"/>
        <v>1150</v>
      </c>
      <c r="M122" s="87">
        <v>600</v>
      </c>
      <c r="N122" s="76">
        <f>100</f>
        <v>100</v>
      </c>
      <c r="O122" s="79">
        <v>240</v>
      </c>
      <c r="P122" s="79">
        <v>40</v>
      </c>
      <c r="Q122" s="79">
        <f t="shared" si="13"/>
        <v>315</v>
      </c>
      <c r="R122" s="79">
        <f t="shared" si="14"/>
        <v>100</v>
      </c>
      <c r="S122" s="76">
        <f t="shared" si="15"/>
        <v>695</v>
      </c>
      <c r="T122" s="76">
        <f>50</f>
        <v>50</v>
      </c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</row>
    <row r="123" spans="1:30" ht="15.75" x14ac:dyDescent="0.25">
      <c r="A123" s="13">
        <v>44652</v>
      </c>
      <c r="B123" s="90">
        <v>30</v>
      </c>
      <c r="C123" s="76">
        <f>141.293</f>
        <v>141.29300000000001</v>
      </c>
      <c r="D123" s="76">
        <f>267.993</f>
        <v>267.99299999999999</v>
      </c>
      <c r="E123" s="85">
        <f>115.016</f>
        <v>115.01600000000001</v>
      </c>
      <c r="F123" s="76">
        <f>314.698-40-25-60-100</f>
        <v>89.697999999999979</v>
      </c>
      <c r="G123" s="79">
        <v>40</v>
      </c>
      <c r="H123" s="76">
        <f t="shared" ref="H123:H129" si="20">25+60+100</f>
        <v>185</v>
      </c>
      <c r="I123" s="76">
        <f t="shared" si="19"/>
        <v>0</v>
      </c>
      <c r="J123" s="79">
        <v>100</v>
      </c>
      <c r="K123" s="79">
        <v>300</v>
      </c>
      <c r="L123" s="76">
        <f t="shared" si="12"/>
        <v>1239</v>
      </c>
      <c r="M123" s="87">
        <v>600</v>
      </c>
      <c r="N123" s="76">
        <f>100</f>
        <v>100</v>
      </c>
      <c r="O123" s="79">
        <v>240</v>
      </c>
      <c r="P123" s="79">
        <v>160</v>
      </c>
      <c r="Q123" s="79">
        <f t="shared" si="13"/>
        <v>195</v>
      </c>
      <c r="R123" s="79">
        <f t="shared" si="14"/>
        <v>100</v>
      </c>
      <c r="S123" s="76">
        <f t="shared" si="15"/>
        <v>695</v>
      </c>
      <c r="T123" s="76">
        <f>50</f>
        <v>50</v>
      </c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</row>
    <row r="124" spans="1:30" ht="15.75" x14ac:dyDescent="0.25">
      <c r="A124" s="13">
        <v>44682</v>
      </c>
      <c r="B124" s="90">
        <v>31</v>
      </c>
      <c r="C124" s="76">
        <f>194.205</f>
        <v>194.20500000000001</v>
      </c>
      <c r="D124" s="76">
        <f>267.466</f>
        <v>267.46600000000001</v>
      </c>
      <c r="E124" s="85">
        <f>133.845</f>
        <v>133.845</v>
      </c>
      <c r="F124" s="76">
        <f>278.484-40-25-60-100</f>
        <v>53.48399999999998</v>
      </c>
      <c r="G124" s="79">
        <v>40</v>
      </c>
      <c r="H124" s="76">
        <f t="shared" si="20"/>
        <v>185</v>
      </c>
      <c r="I124" s="76">
        <f t="shared" si="19"/>
        <v>0</v>
      </c>
      <c r="J124" s="79">
        <v>100</v>
      </c>
      <c r="K124" s="79">
        <v>300</v>
      </c>
      <c r="L124" s="76">
        <f t="shared" si="12"/>
        <v>1274</v>
      </c>
      <c r="M124" s="87">
        <v>600</v>
      </c>
      <c r="N124" s="76">
        <f>75</f>
        <v>75</v>
      </c>
      <c r="O124" s="79">
        <v>240</v>
      </c>
      <c r="P124" s="79">
        <v>160</v>
      </c>
      <c r="Q124" s="79">
        <f t="shared" si="13"/>
        <v>195</v>
      </c>
      <c r="R124" s="79">
        <f t="shared" si="14"/>
        <v>100</v>
      </c>
      <c r="S124" s="76">
        <f t="shared" si="15"/>
        <v>695</v>
      </c>
      <c r="T124" s="76">
        <f>50</f>
        <v>50</v>
      </c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</row>
    <row r="125" spans="1:30" ht="15.75" x14ac:dyDescent="0.25">
      <c r="A125" s="13">
        <v>44713</v>
      </c>
      <c r="B125" s="90">
        <v>30</v>
      </c>
      <c r="C125" s="76">
        <f>194.205</f>
        <v>194.20500000000001</v>
      </c>
      <c r="D125" s="76">
        <f>267.466</f>
        <v>267.46600000000001</v>
      </c>
      <c r="E125" s="85">
        <f>133.845</f>
        <v>133.845</v>
      </c>
      <c r="F125" s="76">
        <f>278.484-40-25-60-100</f>
        <v>53.48399999999998</v>
      </c>
      <c r="G125" s="79">
        <v>40</v>
      </c>
      <c r="H125" s="76">
        <f t="shared" si="20"/>
        <v>185</v>
      </c>
      <c r="I125" s="76">
        <f t="shared" si="19"/>
        <v>0</v>
      </c>
      <c r="J125" s="79">
        <v>100</v>
      </c>
      <c r="K125" s="79">
        <v>300</v>
      </c>
      <c r="L125" s="76">
        <f t="shared" si="12"/>
        <v>1274</v>
      </c>
      <c r="M125" s="87">
        <v>600</v>
      </c>
      <c r="N125" s="76">
        <f>30</f>
        <v>30</v>
      </c>
      <c r="O125" s="79">
        <v>240</v>
      </c>
      <c r="P125" s="79">
        <v>160</v>
      </c>
      <c r="Q125" s="79">
        <f t="shared" si="13"/>
        <v>195</v>
      </c>
      <c r="R125" s="79">
        <f t="shared" si="14"/>
        <v>100</v>
      </c>
      <c r="S125" s="76">
        <f t="shared" si="15"/>
        <v>695</v>
      </c>
      <c r="T125" s="76">
        <f>50</f>
        <v>50</v>
      </c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</row>
    <row r="126" spans="1:30" ht="15.75" x14ac:dyDescent="0.25">
      <c r="A126" s="13">
        <v>44743</v>
      </c>
      <c r="B126" s="90">
        <v>31</v>
      </c>
      <c r="C126" s="76">
        <f>194.205</f>
        <v>194.20500000000001</v>
      </c>
      <c r="D126" s="76">
        <f>267.466</f>
        <v>267.46600000000001</v>
      </c>
      <c r="E126" s="85">
        <f>133.845</f>
        <v>133.845</v>
      </c>
      <c r="F126" s="76">
        <f>278.484-40-25-60-100</f>
        <v>53.48399999999998</v>
      </c>
      <c r="G126" s="79">
        <v>40</v>
      </c>
      <c r="H126" s="76">
        <f t="shared" si="20"/>
        <v>185</v>
      </c>
      <c r="I126" s="76">
        <f t="shared" si="19"/>
        <v>0</v>
      </c>
      <c r="J126" s="79">
        <v>100</v>
      </c>
      <c r="K126" s="79">
        <v>300</v>
      </c>
      <c r="L126" s="76">
        <f t="shared" si="12"/>
        <v>1274</v>
      </c>
      <c r="M126" s="87">
        <v>600</v>
      </c>
      <c r="N126" s="76">
        <f>30</f>
        <v>30</v>
      </c>
      <c r="O126" s="79">
        <v>240</v>
      </c>
      <c r="P126" s="79">
        <v>160</v>
      </c>
      <c r="Q126" s="79">
        <f t="shared" si="13"/>
        <v>195</v>
      </c>
      <c r="R126" s="79">
        <f t="shared" si="14"/>
        <v>100</v>
      </c>
      <c r="S126" s="76">
        <f t="shared" si="15"/>
        <v>695</v>
      </c>
      <c r="T126" s="76">
        <f>0</f>
        <v>0</v>
      </c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</row>
    <row r="127" spans="1:30" ht="15.75" x14ac:dyDescent="0.25">
      <c r="A127" s="13">
        <v>44774</v>
      </c>
      <c r="B127" s="90">
        <v>31</v>
      </c>
      <c r="C127" s="76">
        <f>194.205</f>
        <v>194.20500000000001</v>
      </c>
      <c r="D127" s="76">
        <f>267.466</f>
        <v>267.46600000000001</v>
      </c>
      <c r="E127" s="85">
        <f>133.845</f>
        <v>133.845</v>
      </c>
      <c r="F127" s="76">
        <f>278.484-40-25-60-100</f>
        <v>53.48399999999998</v>
      </c>
      <c r="G127" s="79">
        <v>40</v>
      </c>
      <c r="H127" s="76">
        <f t="shared" si="20"/>
        <v>185</v>
      </c>
      <c r="I127" s="76">
        <f t="shared" si="19"/>
        <v>0</v>
      </c>
      <c r="J127" s="79">
        <v>100</v>
      </c>
      <c r="K127" s="79">
        <v>300</v>
      </c>
      <c r="L127" s="76">
        <f t="shared" si="12"/>
        <v>1274</v>
      </c>
      <c r="M127" s="87">
        <v>600</v>
      </c>
      <c r="N127" s="76">
        <f>30</f>
        <v>30</v>
      </c>
      <c r="O127" s="79">
        <v>240</v>
      </c>
      <c r="P127" s="79">
        <v>160</v>
      </c>
      <c r="Q127" s="79">
        <f t="shared" si="13"/>
        <v>195</v>
      </c>
      <c r="R127" s="79">
        <f t="shared" si="14"/>
        <v>100</v>
      </c>
      <c r="S127" s="76">
        <f t="shared" si="15"/>
        <v>695</v>
      </c>
      <c r="T127" s="76">
        <f>0</f>
        <v>0</v>
      </c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</row>
    <row r="128" spans="1:30" ht="15.75" x14ac:dyDescent="0.25">
      <c r="A128" s="13">
        <v>44805</v>
      </c>
      <c r="B128" s="90">
        <v>30</v>
      </c>
      <c r="C128" s="76">
        <f>194.205</f>
        <v>194.20500000000001</v>
      </c>
      <c r="D128" s="76">
        <f>267.466</f>
        <v>267.46600000000001</v>
      </c>
      <c r="E128" s="85">
        <f>133.845</f>
        <v>133.845</v>
      </c>
      <c r="F128" s="76">
        <f>278.484-40-25-60-100</f>
        <v>53.48399999999998</v>
      </c>
      <c r="G128" s="79">
        <v>40</v>
      </c>
      <c r="H128" s="76">
        <f t="shared" si="20"/>
        <v>185</v>
      </c>
      <c r="I128" s="76">
        <f t="shared" si="19"/>
        <v>0</v>
      </c>
      <c r="J128" s="79">
        <v>100</v>
      </c>
      <c r="K128" s="79">
        <v>300</v>
      </c>
      <c r="L128" s="76">
        <f t="shared" si="12"/>
        <v>1274</v>
      </c>
      <c r="M128" s="87">
        <v>600</v>
      </c>
      <c r="N128" s="76">
        <f>30</f>
        <v>30</v>
      </c>
      <c r="O128" s="79">
        <v>240</v>
      </c>
      <c r="P128" s="79">
        <v>160</v>
      </c>
      <c r="Q128" s="79">
        <f t="shared" si="13"/>
        <v>195</v>
      </c>
      <c r="R128" s="79">
        <f t="shared" si="14"/>
        <v>100</v>
      </c>
      <c r="S128" s="76">
        <f t="shared" si="15"/>
        <v>695</v>
      </c>
      <c r="T128" s="76">
        <f>0</f>
        <v>0</v>
      </c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</row>
    <row r="129" spans="1:30" ht="15.75" x14ac:dyDescent="0.25">
      <c r="A129" s="13">
        <v>44835</v>
      </c>
      <c r="B129" s="90">
        <v>31</v>
      </c>
      <c r="C129" s="76">
        <f>131.881</f>
        <v>131.881</v>
      </c>
      <c r="D129" s="76">
        <f>277.167</f>
        <v>277.16699999999997</v>
      </c>
      <c r="E129" s="85">
        <f>79.08</f>
        <v>79.08</v>
      </c>
      <c r="F129" s="76">
        <f>350.872-40-25-60-100</f>
        <v>125.87200000000001</v>
      </c>
      <c r="G129" s="79">
        <v>40</v>
      </c>
      <c r="H129" s="76">
        <f t="shared" si="20"/>
        <v>185</v>
      </c>
      <c r="I129" s="76">
        <f t="shared" si="19"/>
        <v>0</v>
      </c>
      <c r="J129" s="79">
        <v>100</v>
      </c>
      <c r="K129" s="79">
        <v>300</v>
      </c>
      <c r="L129" s="76">
        <f t="shared" si="12"/>
        <v>1239</v>
      </c>
      <c r="M129" s="87">
        <v>600</v>
      </c>
      <c r="N129" s="76">
        <f>75</f>
        <v>75</v>
      </c>
      <c r="O129" s="79">
        <v>240</v>
      </c>
      <c r="P129" s="79">
        <v>160</v>
      </c>
      <c r="Q129" s="79">
        <f t="shared" si="13"/>
        <v>195</v>
      </c>
      <c r="R129" s="79">
        <f t="shared" si="14"/>
        <v>100</v>
      </c>
      <c r="S129" s="76">
        <f t="shared" si="15"/>
        <v>695</v>
      </c>
      <c r="T129" s="76">
        <f>0</f>
        <v>0</v>
      </c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</row>
    <row r="130" spans="1:30" ht="15.75" x14ac:dyDescent="0.25">
      <c r="A130" s="13">
        <v>44866</v>
      </c>
      <c r="B130" s="90">
        <v>30</v>
      </c>
      <c r="C130" s="76">
        <f>122.58</f>
        <v>122.58</v>
      </c>
      <c r="D130" s="76">
        <f>297.941</f>
        <v>297.94099999999997</v>
      </c>
      <c r="E130" s="85">
        <f>89.177</f>
        <v>89.177000000000007</v>
      </c>
      <c r="F130" s="76">
        <f>240.302-40-60-100</f>
        <v>40.301999999999992</v>
      </c>
      <c r="G130" s="79">
        <v>40</v>
      </c>
      <c r="H130" s="76">
        <f>60+100</f>
        <v>160</v>
      </c>
      <c r="I130" s="76">
        <f t="shared" si="19"/>
        <v>0</v>
      </c>
      <c r="J130" s="79">
        <v>100</v>
      </c>
      <c r="K130" s="79">
        <v>300</v>
      </c>
      <c r="L130" s="76">
        <f t="shared" si="12"/>
        <v>1150</v>
      </c>
      <c r="M130" s="87">
        <v>600</v>
      </c>
      <c r="N130" s="76">
        <f>100</f>
        <v>100</v>
      </c>
      <c r="O130" s="79">
        <v>240</v>
      </c>
      <c r="P130" s="79">
        <v>40</v>
      </c>
      <c r="Q130" s="79">
        <f t="shared" si="13"/>
        <v>315</v>
      </c>
      <c r="R130" s="79">
        <f t="shared" si="14"/>
        <v>100</v>
      </c>
      <c r="S130" s="76">
        <f t="shared" si="15"/>
        <v>695</v>
      </c>
      <c r="T130" s="76">
        <f>50</f>
        <v>50</v>
      </c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</row>
    <row r="131" spans="1:30" ht="15.75" x14ac:dyDescent="0.25">
      <c r="A131" s="13">
        <v>44896</v>
      </c>
      <c r="B131" s="90">
        <v>31</v>
      </c>
      <c r="C131" s="76">
        <f>122.58</f>
        <v>122.58</v>
      </c>
      <c r="D131" s="76">
        <f>297.941</f>
        <v>297.94099999999997</v>
      </c>
      <c r="E131" s="85">
        <f>89.177</f>
        <v>89.177000000000007</v>
      </c>
      <c r="F131" s="76">
        <f>240.302-40-60-100</f>
        <v>40.301999999999992</v>
      </c>
      <c r="G131" s="79">
        <v>40</v>
      </c>
      <c r="H131" s="76">
        <f>60+100</f>
        <v>160</v>
      </c>
      <c r="I131" s="76">
        <f t="shared" si="19"/>
        <v>0</v>
      </c>
      <c r="J131" s="79">
        <v>100</v>
      </c>
      <c r="K131" s="79">
        <v>300</v>
      </c>
      <c r="L131" s="76">
        <f t="shared" si="12"/>
        <v>1150</v>
      </c>
      <c r="M131" s="87">
        <v>600</v>
      </c>
      <c r="N131" s="76">
        <f>100</f>
        <v>100</v>
      </c>
      <c r="O131" s="79">
        <v>240</v>
      </c>
      <c r="P131" s="79">
        <v>40</v>
      </c>
      <c r="Q131" s="79">
        <f t="shared" si="13"/>
        <v>315</v>
      </c>
      <c r="R131" s="79">
        <f t="shared" si="14"/>
        <v>100</v>
      </c>
      <c r="S131" s="76">
        <f t="shared" si="15"/>
        <v>695</v>
      </c>
      <c r="T131" s="76">
        <f>50</f>
        <v>50</v>
      </c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</row>
    <row r="132" spans="1:30" ht="15.75" x14ac:dyDescent="0.25">
      <c r="A132" s="13">
        <v>44927</v>
      </c>
      <c r="B132" s="90">
        <v>31</v>
      </c>
      <c r="C132" s="76">
        <f>122.58</f>
        <v>122.58</v>
      </c>
      <c r="D132" s="76">
        <f>297.941</f>
        <v>297.94099999999997</v>
      </c>
      <c r="E132" s="85">
        <f>89.177</f>
        <v>89.177000000000007</v>
      </c>
      <c r="F132" s="76">
        <f>240.302-40-60-100</f>
        <v>40.301999999999992</v>
      </c>
      <c r="G132" s="79">
        <v>40</v>
      </c>
      <c r="H132" s="76">
        <f>60+100</f>
        <v>160</v>
      </c>
      <c r="I132" s="76">
        <f t="shared" si="19"/>
        <v>0</v>
      </c>
      <c r="J132" s="79">
        <v>100</v>
      </c>
      <c r="K132" s="79">
        <v>300</v>
      </c>
      <c r="L132" s="76">
        <f t="shared" si="12"/>
        <v>1150</v>
      </c>
      <c r="M132" s="87">
        <v>600</v>
      </c>
      <c r="N132" s="76">
        <f>100</f>
        <v>100</v>
      </c>
      <c r="O132" s="79">
        <v>240</v>
      </c>
      <c r="P132" s="79">
        <v>40</v>
      </c>
      <c r="Q132" s="79">
        <f t="shared" si="13"/>
        <v>315</v>
      </c>
      <c r="R132" s="79">
        <f t="shared" si="14"/>
        <v>100</v>
      </c>
      <c r="S132" s="76">
        <f t="shared" si="15"/>
        <v>695</v>
      </c>
      <c r="T132" s="76">
        <f>50</f>
        <v>50</v>
      </c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</row>
    <row r="133" spans="1:30" ht="15.75" x14ac:dyDescent="0.25">
      <c r="A133" s="13">
        <v>44958</v>
      </c>
      <c r="B133" s="90">
        <v>28</v>
      </c>
      <c r="C133" s="76">
        <f>122.58</f>
        <v>122.58</v>
      </c>
      <c r="D133" s="76">
        <f>297.941</f>
        <v>297.94099999999997</v>
      </c>
      <c r="E133" s="85">
        <f>89.177</f>
        <v>89.177000000000007</v>
      </c>
      <c r="F133" s="76">
        <f>240.302-40-60-100</f>
        <v>40.301999999999992</v>
      </c>
      <c r="G133" s="79">
        <v>40</v>
      </c>
      <c r="H133" s="76">
        <f>60+100</f>
        <v>160</v>
      </c>
      <c r="I133" s="76">
        <f t="shared" si="19"/>
        <v>0</v>
      </c>
      <c r="J133" s="79">
        <v>100</v>
      </c>
      <c r="K133" s="79">
        <v>300</v>
      </c>
      <c r="L133" s="76">
        <f t="shared" si="12"/>
        <v>1150</v>
      </c>
      <c r="M133" s="87">
        <v>600</v>
      </c>
      <c r="N133" s="76">
        <f>100</f>
        <v>100</v>
      </c>
      <c r="O133" s="79">
        <v>240</v>
      </c>
      <c r="P133" s="79">
        <v>40</v>
      </c>
      <c r="Q133" s="79">
        <f t="shared" si="13"/>
        <v>315</v>
      </c>
      <c r="R133" s="79">
        <f t="shared" si="14"/>
        <v>100</v>
      </c>
      <c r="S133" s="76">
        <f t="shared" si="15"/>
        <v>695</v>
      </c>
      <c r="T133" s="76">
        <f>50</f>
        <v>50</v>
      </c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</row>
    <row r="134" spans="1:30" ht="15.75" x14ac:dyDescent="0.25">
      <c r="A134" s="13">
        <v>44986</v>
      </c>
      <c r="B134" s="90">
        <v>31</v>
      </c>
      <c r="C134" s="76">
        <f>122.58</f>
        <v>122.58</v>
      </c>
      <c r="D134" s="76">
        <f>297.941</f>
        <v>297.94099999999997</v>
      </c>
      <c r="E134" s="85">
        <f>89.177</f>
        <v>89.177000000000007</v>
      </c>
      <c r="F134" s="76">
        <f>240.302-40-60-100</f>
        <v>40.301999999999992</v>
      </c>
      <c r="G134" s="79">
        <v>40</v>
      </c>
      <c r="H134" s="76">
        <f>60+100</f>
        <v>160</v>
      </c>
      <c r="I134" s="76">
        <f t="shared" si="19"/>
        <v>0</v>
      </c>
      <c r="J134" s="79">
        <v>100</v>
      </c>
      <c r="K134" s="79">
        <v>300</v>
      </c>
      <c r="L134" s="76">
        <f t="shared" si="12"/>
        <v>1150</v>
      </c>
      <c r="M134" s="87">
        <v>600</v>
      </c>
      <c r="N134" s="76">
        <f>100</f>
        <v>100</v>
      </c>
      <c r="O134" s="79">
        <v>240</v>
      </c>
      <c r="P134" s="79">
        <v>40</v>
      </c>
      <c r="Q134" s="79">
        <f t="shared" si="13"/>
        <v>315</v>
      </c>
      <c r="R134" s="79">
        <f t="shared" si="14"/>
        <v>100</v>
      </c>
      <c r="S134" s="76">
        <f t="shared" si="15"/>
        <v>695</v>
      </c>
      <c r="T134" s="76">
        <f>50</f>
        <v>50</v>
      </c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</row>
    <row r="135" spans="1:30" ht="15.75" x14ac:dyDescent="0.25">
      <c r="A135" s="13">
        <v>45017</v>
      </c>
      <c r="B135" s="90">
        <v>30</v>
      </c>
      <c r="C135" s="76">
        <f>141.293</f>
        <v>141.29300000000001</v>
      </c>
      <c r="D135" s="76">
        <f>267.993</f>
        <v>267.99299999999999</v>
      </c>
      <c r="E135" s="85">
        <f>115.016</f>
        <v>115.01600000000001</v>
      </c>
      <c r="F135" s="76">
        <f>314.698-40-25-60-100</f>
        <v>89.697999999999979</v>
      </c>
      <c r="G135" s="79">
        <v>40</v>
      </c>
      <c r="H135" s="76">
        <f t="shared" ref="H135:H141" si="21">25+60+100</f>
        <v>185</v>
      </c>
      <c r="I135" s="76">
        <f t="shared" si="19"/>
        <v>0</v>
      </c>
      <c r="J135" s="79">
        <v>100</v>
      </c>
      <c r="K135" s="79">
        <v>300</v>
      </c>
      <c r="L135" s="76">
        <f t="shared" si="12"/>
        <v>1239</v>
      </c>
      <c r="M135" s="87">
        <v>600</v>
      </c>
      <c r="N135" s="76">
        <f>100</f>
        <v>100</v>
      </c>
      <c r="O135" s="79">
        <v>240</v>
      </c>
      <c r="P135" s="79">
        <v>160</v>
      </c>
      <c r="Q135" s="79">
        <f t="shared" si="13"/>
        <v>195</v>
      </c>
      <c r="R135" s="79">
        <f t="shared" si="14"/>
        <v>100</v>
      </c>
      <c r="S135" s="76">
        <f t="shared" si="15"/>
        <v>695</v>
      </c>
      <c r="T135" s="76">
        <f>50</f>
        <v>50</v>
      </c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</row>
    <row r="136" spans="1:30" ht="15.75" x14ac:dyDescent="0.25">
      <c r="A136" s="13">
        <v>45047</v>
      </c>
      <c r="B136" s="90">
        <v>31</v>
      </c>
      <c r="C136" s="76">
        <f>194.205</f>
        <v>194.20500000000001</v>
      </c>
      <c r="D136" s="76">
        <f>267.466</f>
        <v>267.46600000000001</v>
      </c>
      <c r="E136" s="85">
        <f>133.845</f>
        <v>133.845</v>
      </c>
      <c r="F136" s="76">
        <f>278.484-40-25-60-100</f>
        <v>53.48399999999998</v>
      </c>
      <c r="G136" s="79">
        <v>40</v>
      </c>
      <c r="H136" s="76">
        <f t="shared" si="21"/>
        <v>185</v>
      </c>
      <c r="I136" s="76">
        <f t="shared" si="19"/>
        <v>0</v>
      </c>
      <c r="J136" s="79">
        <v>100</v>
      </c>
      <c r="K136" s="79">
        <v>300</v>
      </c>
      <c r="L136" s="76">
        <f t="shared" si="12"/>
        <v>1274</v>
      </c>
      <c r="M136" s="87">
        <v>600</v>
      </c>
      <c r="N136" s="76">
        <f>75</f>
        <v>75</v>
      </c>
      <c r="O136" s="79">
        <v>240</v>
      </c>
      <c r="P136" s="79">
        <v>160</v>
      </c>
      <c r="Q136" s="79">
        <f t="shared" si="13"/>
        <v>195</v>
      </c>
      <c r="R136" s="79">
        <f t="shared" si="14"/>
        <v>100</v>
      </c>
      <c r="S136" s="76">
        <f t="shared" si="15"/>
        <v>695</v>
      </c>
      <c r="T136" s="76">
        <f>50</f>
        <v>50</v>
      </c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</row>
    <row r="137" spans="1:30" ht="15.75" x14ac:dyDescent="0.25">
      <c r="A137" s="13">
        <v>45078</v>
      </c>
      <c r="B137" s="90">
        <v>30</v>
      </c>
      <c r="C137" s="76">
        <f>194.205</f>
        <v>194.20500000000001</v>
      </c>
      <c r="D137" s="76">
        <f>267.466</f>
        <v>267.46600000000001</v>
      </c>
      <c r="E137" s="85">
        <f>133.845</f>
        <v>133.845</v>
      </c>
      <c r="F137" s="76">
        <f>278.484-40-25-60-100</f>
        <v>53.48399999999998</v>
      </c>
      <c r="G137" s="79">
        <v>40</v>
      </c>
      <c r="H137" s="76">
        <f t="shared" si="21"/>
        <v>185</v>
      </c>
      <c r="I137" s="76">
        <f t="shared" si="19"/>
        <v>0</v>
      </c>
      <c r="J137" s="79">
        <v>100</v>
      </c>
      <c r="K137" s="79">
        <v>300</v>
      </c>
      <c r="L137" s="76">
        <f t="shared" si="12"/>
        <v>1274</v>
      </c>
      <c r="M137" s="87">
        <v>600</v>
      </c>
      <c r="N137" s="76">
        <f>30</f>
        <v>30</v>
      </c>
      <c r="O137" s="79">
        <v>240</v>
      </c>
      <c r="P137" s="79">
        <v>160</v>
      </c>
      <c r="Q137" s="79">
        <f t="shared" si="13"/>
        <v>195</v>
      </c>
      <c r="R137" s="79">
        <f t="shared" si="14"/>
        <v>100</v>
      </c>
      <c r="S137" s="76">
        <f t="shared" si="15"/>
        <v>695</v>
      </c>
      <c r="T137" s="76">
        <f>50</f>
        <v>50</v>
      </c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</row>
    <row r="138" spans="1:30" ht="15.75" x14ac:dyDescent="0.25">
      <c r="A138" s="13">
        <v>45108</v>
      </c>
      <c r="B138" s="90">
        <v>31</v>
      </c>
      <c r="C138" s="76">
        <f>194.205</f>
        <v>194.20500000000001</v>
      </c>
      <c r="D138" s="76">
        <f>267.466</f>
        <v>267.46600000000001</v>
      </c>
      <c r="E138" s="85">
        <f>133.845</f>
        <v>133.845</v>
      </c>
      <c r="F138" s="76">
        <f>278.484-40-25-60-100</f>
        <v>53.48399999999998</v>
      </c>
      <c r="G138" s="79">
        <v>40</v>
      </c>
      <c r="H138" s="76">
        <f t="shared" si="21"/>
        <v>185</v>
      </c>
      <c r="I138" s="76">
        <f t="shared" si="19"/>
        <v>0</v>
      </c>
      <c r="J138" s="79">
        <v>100</v>
      </c>
      <c r="K138" s="79">
        <v>300</v>
      </c>
      <c r="L138" s="76">
        <f t="shared" si="12"/>
        <v>1274</v>
      </c>
      <c r="M138" s="87">
        <v>600</v>
      </c>
      <c r="N138" s="76">
        <f>30</f>
        <v>30</v>
      </c>
      <c r="O138" s="79">
        <v>240</v>
      </c>
      <c r="P138" s="79">
        <v>160</v>
      </c>
      <c r="Q138" s="79">
        <f t="shared" si="13"/>
        <v>195</v>
      </c>
      <c r="R138" s="79">
        <f t="shared" si="14"/>
        <v>100</v>
      </c>
      <c r="S138" s="76">
        <f t="shared" si="15"/>
        <v>695</v>
      </c>
      <c r="T138" s="76">
        <f>0</f>
        <v>0</v>
      </c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</row>
    <row r="139" spans="1:30" ht="15.75" x14ac:dyDescent="0.25">
      <c r="A139" s="13">
        <v>45139</v>
      </c>
      <c r="B139" s="90">
        <v>31</v>
      </c>
      <c r="C139" s="76">
        <f>194.205</f>
        <v>194.20500000000001</v>
      </c>
      <c r="D139" s="76">
        <f>267.466</f>
        <v>267.46600000000001</v>
      </c>
      <c r="E139" s="85">
        <f>133.845</f>
        <v>133.845</v>
      </c>
      <c r="F139" s="76">
        <f>278.484-40-25-60-100</f>
        <v>53.48399999999998</v>
      </c>
      <c r="G139" s="79">
        <v>40</v>
      </c>
      <c r="H139" s="76">
        <f t="shared" si="21"/>
        <v>185</v>
      </c>
      <c r="I139" s="76">
        <f t="shared" si="19"/>
        <v>0</v>
      </c>
      <c r="J139" s="79">
        <v>100</v>
      </c>
      <c r="K139" s="79">
        <v>300</v>
      </c>
      <c r="L139" s="76">
        <f t="shared" si="12"/>
        <v>1274</v>
      </c>
      <c r="M139" s="87">
        <v>600</v>
      </c>
      <c r="N139" s="76">
        <f>30</f>
        <v>30</v>
      </c>
      <c r="O139" s="79">
        <v>240</v>
      </c>
      <c r="P139" s="79">
        <v>160</v>
      </c>
      <c r="Q139" s="79">
        <f t="shared" si="13"/>
        <v>195</v>
      </c>
      <c r="R139" s="79">
        <f t="shared" si="14"/>
        <v>100</v>
      </c>
      <c r="S139" s="76">
        <f t="shared" si="15"/>
        <v>695</v>
      </c>
      <c r="T139" s="76">
        <f>0</f>
        <v>0</v>
      </c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</row>
    <row r="140" spans="1:30" ht="15.75" x14ac:dyDescent="0.25">
      <c r="A140" s="13">
        <v>45170</v>
      </c>
      <c r="B140" s="90">
        <v>30</v>
      </c>
      <c r="C140" s="76">
        <f>194.205</f>
        <v>194.20500000000001</v>
      </c>
      <c r="D140" s="76">
        <f>267.466</f>
        <v>267.46600000000001</v>
      </c>
      <c r="E140" s="85">
        <f>133.845</f>
        <v>133.845</v>
      </c>
      <c r="F140" s="76">
        <f>278.484-40-25-60-100</f>
        <v>53.48399999999998</v>
      </c>
      <c r="G140" s="79">
        <v>40</v>
      </c>
      <c r="H140" s="76">
        <f t="shared" si="21"/>
        <v>185</v>
      </c>
      <c r="I140" s="76">
        <f t="shared" si="19"/>
        <v>0</v>
      </c>
      <c r="J140" s="79">
        <v>100</v>
      </c>
      <c r="K140" s="79">
        <v>300</v>
      </c>
      <c r="L140" s="76">
        <f t="shared" si="12"/>
        <v>1274</v>
      </c>
      <c r="M140" s="87">
        <v>600</v>
      </c>
      <c r="N140" s="76">
        <f>30</f>
        <v>30</v>
      </c>
      <c r="O140" s="79">
        <v>240</v>
      </c>
      <c r="P140" s="79">
        <v>160</v>
      </c>
      <c r="Q140" s="79">
        <f t="shared" si="13"/>
        <v>195</v>
      </c>
      <c r="R140" s="79">
        <f t="shared" si="14"/>
        <v>100</v>
      </c>
      <c r="S140" s="76">
        <f t="shared" si="15"/>
        <v>695</v>
      </c>
      <c r="T140" s="76">
        <f>0</f>
        <v>0</v>
      </c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</row>
    <row r="141" spans="1:30" ht="15.75" x14ac:dyDescent="0.25">
      <c r="A141" s="13">
        <v>45200</v>
      </c>
      <c r="B141" s="90">
        <v>31</v>
      </c>
      <c r="C141" s="76">
        <f>131.881</f>
        <v>131.881</v>
      </c>
      <c r="D141" s="76">
        <f>277.167</f>
        <v>277.16699999999997</v>
      </c>
      <c r="E141" s="85">
        <f>79.08</f>
        <v>79.08</v>
      </c>
      <c r="F141" s="76">
        <f>350.872-40-25-60-100</f>
        <v>125.87200000000001</v>
      </c>
      <c r="G141" s="79">
        <v>40</v>
      </c>
      <c r="H141" s="76">
        <f t="shared" si="21"/>
        <v>185</v>
      </c>
      <c r="I141" s="76">
        <f t="shared" si="19"/>
        <v>0</v>
      </c>
      <c r="J141" s="79">
        <v>100</v>
      </c>
      <c r="K141" s="79">
        <v>300</v>
      </c>
      <c r="L141" s="76">
        <f t="shared" si="12"/>
        <v>1239</v>
      </c>
      <c r="M141" s="87">
        <v>600</v>
      </c>
      <c r="N141" s="76">
        <f>75</f>
        <v>75</v>
      </c>
      <c r="O141" s="79">
        <v>240</v>
      </c>
      <c r="P141" s="79">
        <v>160</v>
      </c>
      <c r="Q141" s="79">
        <f t="shared" si="13"/>
        <v>195</v>
      </c>
      <c r="R141" s="79">
        <f t="shared" si="14"/>
        <v>100</v>
      </c>
      <c r="S141" s="76">
        <f t="shared" si="15"/>
        <v>695</v>
      </c>
      <c r="T141" s="76">
        <f>0</f>
        <v>0</v>
      </c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</row>
    <row r="142" spans="1:30" ht="15.75" x14ac:dyDescent="0.25">
      <c r="A142" s="13">
        <v>45231</v>
      </c>
      <c r="B142" s="90">
        <v>30</v>
      </c>
      <c r="C142" s="76">
        <f>122.58</f>
        <v>122.58</v>
      </c>
      <c r="D142" s="76">
        <f>297.941</f>
        <v>297.94099999999997</v>
      </c>
      <c r="E142" s="85">
        <f>89.177</f>
        <v>89.177000000000007</v>
      </c>
      <c r="F142" s="76">
        <f>240.302-40-60-100</f>
        <v>40.301999999999992</v>
      </c>
      <c r="G142" s="79">
        <v>40</v>
      </c>
      <c r="H142" s="76">
        <f>60+100</f>
        <v>160</v>
      </c>
      <c r="I142" s="76">
        <f t="shared" si="19"/>
        <v>0</v>
      </c>
      <c r="J142" s="79">
        <v>100</v>
      </c>
      <c r="K142" s="79">
        <v>300</v>
      </c>
      <c r="L142" s="76">
        <f t="shared" si="12"/>
        <v>1150</v>
      </c>
      <c r="M142" s="87">
        <v>600</v>
      </c>
      <c r="N142" s="76">
        <f>100</f>
        <v>100</v>
      </c>
      <c r="O142" s="79">
        <v>240</v>
      </c>
      <c r="P142" s="79">
        <v>40</v>
      </c>
      <c r="Q142" s="79">
        <f t="shared" si="13"/>
        <v>315</v>
      </c>
      <c r="R142" s="79">
        <f t="shared" si="14"/>
        <v>100</v>
      </c>
      <c r="S142" s="76">
        <f t="shared" si="15"/>
        <v>695</v>
      </c>
      <c r="T142" s="76">
        <f>50</f>
        <v>50</v>
      </c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</row>
    <row r="143" spans="1:30" ht="15.75" x14ac:dyDescent="0.25">
      <c r="A143" s="13">
        <v>45261</v>
      </c>
      <c r="B143" s="90">
        <v>31</v>
      </c>
      <c r="C143" s="76">
        <f>122.58</f>
        <v>122.58</v>
      </c>
      <c r="D143" s="76">
        <f>297.941</f>
        <v>297.94099999999997</v>
      </c>
      <c r="E143" s="85">
        <f>89.177</f>
        <v>89.177000000000007</v>
      </c>
      <c r="F143" s="76">
        <f>240.302-40-60-100</f>
        <v>40.301999999999992</v>
      </c>
      <c r="G143" s="79">
        <v>40</v>
      </c>
      <c r="H143" s="76">
        <f>60+100</f>
        <v>160</v>
      </c>
      <c r="I143" s="76">
        <f t="shared" si="19"/>
        <v>0</v>
      </c>
      <c r="J143" s="79">
        <v>100</v>
      </c>
      <c r="K143" s="79">
        <v>300</v>
      </c>
      <c r="L143" s="76">
        <f t="shared" si="12"/>
        <v>1150</v>
      </c>
      <c r="M143" s="87">
        <v>600</v>
      </c>
      <c r="N143" s="76">
        <f>100</f>
        <v>100</v>
      </c>
      <c r="O143" s="79">
        <v>240</v>
      </c>
      <c r="P143" s="79">
        <v>40</v>
      </c>
      <c r="Q143" s="79">
        <f t="shared" si="13"/>
        <v>315</v>
      </c>
      <c r="R143" s="79">
        <f t="shared" si="14"/>
        <v>100</v>
      </c>
      <c r="S143" s="76">
        <f t="shared" si="15"/>
        <v>695</v>
      </c>
      <c r="T143" s="76">
        <f>50</f>
        <v>50</v>
      </c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</row>
    <row r="144" spans="1:30" ht="15.75" x14ac:dyDescent="0.25">
      <c r="A144" s="13">
        <v>45292</v>
      </c>
      <c r="B144" s="90">
        <v>31</v>
      </c>
      <c r="C144" s="76">
        <f>122.58</f>
        <v>122.58</v>
      </c>
      <c r="D144" s="76">
        <f>297.941</f>
        <v>297.94099999999997</v>
      </c>
      <c r="E144" s="85">
        <f>89.177</f>
        <v>89.177000000000007</v>
      </c>
      <c r="F144" s="76">
        <f>240.302-40-60-100</f>
        <v>40.301999999999992</v>
      </c>
      <c r="G144" s="79">
        <v>40</v>
      </c>
      <c r="H144" s="76">
        <f>60+100</f>
        <v>160</v>
      </c>
      <c r="I144" s="76">
        <f t="shared" si="19"/>
        <v>0</v>
      </c>
      <c r="J144" s="79">
        <v>100</v>
      </c>
      <c r="K144" s="79">
        <v>300</v>
      </c>
      <c r="L144" s="76">
        <f t="shared" ref="L144:L207" si="22">SUM(C144:K144)</f>
        <v>1150</v>
      </c>
      <c r="M144" s="87">
        <v>600</v>
      </c>
      <c r="N144" s="76">
        <f>100</f>
        <v>100</v>
      </c>
      <c r="O144" s="79">
        <v>240</v>
      </c>
      <c r="P144" s="79">
        <v>40</v>
      </c>
      <c r="Q144" s="79">
        <f t="shared" ref="Q144:Q207" si="23">695-R144-O144-P144</f>
        <v>315</v>
      </c>
      <c r="R144" s="79">
        <f t="shared" ref="R144:R207" si="24">200-J144</f>
        <v>100</v>
      </c>
      <c r="S144" s="76">
        <f t="shared" ref="S144:S207" si="25">SUM(O144:R144)</f>
        <v>695</v>
      </c>
      <c r="T144" s="76">
        <f>50</f>
        <v>50</v>
      </c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</row>
    <row r="145" spans="1:30" ht="15.75" x14ac:dyDescent="0.25">
      <c r="A145" s="13">
        <v>45323</v>
      </c>
      <c r="B145" s="90">
        <v>29</v>
      </c>
      <c r="C145" s="76">
        <f>122.58</f>
        <v>122.58</v>
      </c>
      <c r="D145" s="76">
        <f>297.941</f>
        <v>297.94099999999997</v>
      </c>
      <c r="E145" s="85">
        <f>89.177</f>
        <v>89.177000000000007</v>
      </c>
      <c r="F145" s="76">
        <f>240.302-40-60-100</f>
        <v>40.301999999999992</v>
      </c>
      <c r="G145" s="79">
        <v>40</v>
      </c>
      <c r="H145" s="76">
        <f>60+100</f>
        <v>160</v>
      </c>
      <c r="I145" s="76">
        <f t="shared" si="19"/>
        <v>0</v>
      </c>
      <c r="J145" s="79">
        <v>100</v>
      </c>
      <c r="K145" s="79">
        <v>300</v>
      </c>
      <c r="L145" s="76">
        <f t="shared" si="22"/>
        <v>1150</v>
      </c>
      <c r="M145" s="87">
        <v>600</v>
      </c>
      <c r="N145" s="76">
        <f>100</f>
        <v>100</v>
      </c>
      <c r="O145" s="79">
        <v>240</v>
      </c>
      <c r="P145" s="79">
        <v>40</v>
      </c>
      <c r="Q145" s="79">
        <f t="shared" si="23"/>
        <v>315</v>
      </c>
      <c r="R145" s="79">
        <f t="shared" si="24"/>
        <v>100</v>
      </c>
      <c r="S145" s="76">
        <f t="shared" si="25"/>
        <v>695</v>
      </c>
      <c r="T145" s="76">
        <f>50</f>
        <v>50</v>
      </c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</row>
    <row r="146" spans="1:30" ht="15.75" x14ac:dyDescent="0.25">
      <c r="A146" s="13">
        <v>45352</v>
      </c>
      <c r="B146" s="90">
        <v>31</v>
      </c>
      <c r="C146" s="76">
        <f>122.58</f>
        <v>122.58</v>
      </c>
      <c r="D146" s="76">
        <f>297.941</f>
        <v>297.94099999999997</v>
      </c>
      <c r="E146" s="85">
        <f>89.177</f>
        <v>89.177000000000007</v>
      </c>
      <c r="F146" s="76">
        <f>240.302-40-60-100</f>
        <v>40.301999999999992</v>
      </c>
      <c r="G146" s="79">
        <v>40</v>
      </c>
      <c r="H146" s="76">
        <f>60+100</f>
        <v>160</v>
      </c>
      <c r="I146" s="76">
        <f t="shared" si="19"/>
        <v>0</v>
      </c>
      <c r="J146" s="79">
        <v>100</v>
      </c>
      <c r="K146" s="79">
        <v>300</v>
      </c>
      <c r="L146" s="76">
        <f t="shared" si="22"/>
        <v>1150</v>
      </c>
      <c r="M146" s="87">
        <v>600</v>
      </c>
      <c r="N146" s="76">
        <f>100</f>
        <v>100</v>
      </c>
      <c r="O146" s="79">
        <v>240</v>
      </c>
      <c r="P146" s="79">
        <v>40</v>
      </c>
      <c r="Q146" s="79">
        <f t="shared" si="23"/>
        <v>315</v>
      </c>
      <c r="R146" s="79">
        <f t="shared" si="24"/>
        <v>100</v>
      </c>
      <c r="S146" s="76">
        <f t="shared" si="25"/>
        <v>695</v>
      </c>
      <c r="T146" s="76">
        <f>50</f>
        <v>50</v>
      </c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</row>
    <row r="147" spans="1:30" ht="15.75" x14ac:dyDescent="0.25">
      <c r="A147" s="13">
        <v>45383</v>
      </c>
      <c r="B147" s="90">
        <v>30</v>
      </c>
      <c r="C147" s="76">
        <f>141.293</f>
        <v>141.29300000000001</v>
      </c>
      <c r="D147" s="76">
        <f>267.993</f>
        <v>267.99299999999999</v>
      </c>
      <c r="E147" s="85">
        <f>115.016</f>
        <v>115.01600000000001</v>
      </c>
      <c r="F147" s="76">
        <f>314.698-40-25-60-100</f>
        <v>89.697999999999979</v>
      </c>
      <c r="G147" s="79">
        <v>40</v>
      </c>
      <c r="H147" s="76">
        <f t="shared" ref="H147:H153" si="26">25+60+100</f>
        <v>185</v>
      </c>
      <c r="I147" s="76">
        <f t="shared" si="19"/>
        <v>0</v>
      </c>
      <c r="J147" s="79">
        <v>100</v>
      </c>
      <c r="K147" s="79">
        <v>300</v>
      </c>
      <c r="L147" s="76">
        <f t="shared" si="22"/>
        <v>1239</v>
      </c>
      <c r="M147" s="87">
        <v>600</v>
      </c>
      <c r="N147" s="76">
        <f>100</f>
        <v>100</v>
      </c>
      <c r="O147" s="79">
        <v>240</v>
      </c>
      <c r="P147" s="79">
        <v>160</v>
      </c>
      <c r="Q147" s="79">
        <f t="shared" si="23"/>
        <v>195</v>
      </c>
      <c r="R147" s="79">
        <f t="shared" si="24"/>
        <v>100</v>
      </c>
      <c r="S147" s="76">
        <f t="shared" si="25"/>
        <v>695</v>
      </c>
      <c r="T147" s="76">
        <f>50</f>
        <v>50</v>
      </c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</row>
    <row r="148" spans="1:30" ht="15.75" x14ac:dyDescent="0.25">
      <c r="A148" s="13">
        <v>45413</v>
      </c>
      <c r="B148" s="90">
        <v>31</v>
      </c>
      <c r="C148" s="76">
        <f>194.205</f>
        <v>194.20500000000001</v>
      </c>
      <c r="D148" s="76">
        <f>267.466</f>
        <v>267.46600000000001</v>
      </c>
      <c r="E148" s="85">
        <f>133.845</f>
        <v>133.845</v>
      </c>
      <c r="F148" s="76">
        <f>278.484-40-25-60-100</f>
        <v>53.48399999999998</v>
      </c>
      <c r="G148" s="79">
        <v>40</v>
      </c>
      <c r="H148" s="76">
        <f t="shared" si="26"/>
        <v>185</v>
      </c>
      <c r="I148" s="76">
        <f t="shared" si="19"/>
        <v>0</v>
      </c>
      <c r="J148" s="79">
        <v>100</v>
      </c>
      <c r="K148" s="79">
        <v>300</v>
      </c>
      <c r="L148" s="76">
        <f t="shared" si="22"/>
        <v>1274</v>
      </c>
      <c r="M148" s="87">
        <v>600</v>
      </c>
      <c r="N148" s="76">
        <f>75</f>
        <v>75</v>
      </c>
      <c r="O148" s="79">
        <v>240</v>
      </c>
      <c r="P148" s="79">
        <v>160</v>
      </c>
      <c r="Q148" s="79">
        <f t="shared" si="23"/>
        <v>195</v>
      </c>
      <c r="R148" s="79">
        <f t="shared" si="24"/>
        <v>100</v>
      </c>
      <c r="S148" s="76">
        <f t="shared" si="25"/>
        <v>695</v>
      </c>
      <c r="T148" s="76">
        <f>50</f>
        <v>50</v>
      </c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</row>
    <row r="149" spans="1:30" ht="15.75" x14ac:dyDescent="0.25">
      <c r="A149" s="13">
        <v>45444</v>
      </c>
      <c r="B149" s="90">
        <v>30</v>
      </c>
      <c r="C149" s="76">
        <f>194.205</f>
        <v>194.20500000000001</v>
      </c>
      <c r="D149" s="76">
        <f>267.466</f>
        <v>267.46600000000001</v>
      </c>
      <c r="E149" s="85">
        <f>133.845</f>
        <v>133.845</v>
      </c>
      <c r="F149" s="76">
        <f>278.484-40-25-60-100</f>
        <v>53.48399999999998</v>
      </c>
      <c r="G149" s="79">
        <v>40</v>
      </c>
      <c r="H149" s="76">
        <f t="shared" si="26"/>
        <v>185</v>
      </c>
      <c r="I149" s="76">
        <f t="shared" si="19"/>
        <v>0</v>
      </c>
      <c r="J149" s="79">
        <v>100</v>
      </c>
      <c r="K149" s="79">
        <v>300</v>
      </c>
      <c r="L149" s="76">
        <f t="shared" si="22"/>
        <v>1274</v>
      </c>
      <c r="M149" s="87">
        <v>600</v>
      </c>
      <c r="N149" s="76">
        <f>30</f>
        <v>30</v>
      </c>
      <c r="O149" s="79">
        <v>240</v>
      </c>
      <c r="P149" s="79">
        <v>160</v>
      </c>
      <c r="Q149" s="79">
        <f t="shared" si="23"/>
        <v>195</v>
      </c>
      <c r="R149" s="79">
        <f t="shared" si="24"/>
        <v>100</v>
      </c>
      <c r="S149" s="76">
        <f t="shared" si="25"/>
        <v>695</v>
      </c>
      <c r="T149" s="76">
        <f>50</f>
        <v>50</v>
      </c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</row>
    <row r="150" spans="1:30" ht="15.75" x14ac:dyDescent="0.25">
      <c r="A150" s="13">
        <v>45474</v>
      </c>
      <c r="B150" s="90">
        <v>31</v>
      </c>
      <c r="C150" s="76">
        <f>194.205</f>
        <v>194.20500000000001</v>
      </c>
      <c r="D150" s="76">
        <f>267.466</f>
        <v>267.46600000000001</v>
      </c>
      <c r="E150" s="85">
        <f>133.845</f>
        <v>133.845</v>
      </c>
      <c r="F150" s="76">
        <f>278.484-40-25-60-100</f>
        <v>53.48399999999998</v>
      </c>
      <c r="G150" s="79">
        <v>40</v>
      </c>
      <c r="H150" s="76">
        <f t="shared" si="26"/>
        <v>185</v>
      </c>
      <c r="I150" s="76">
        <f t="shared" si="19"/>
        <v>0</v>
      </c>
      <c r="J150" s="79">
        <v>100</v>
      </c>
      <c r="K150" s="79">
        <v>300</v>
      </c>
      <c r="L150" s="76">
        <f t="shared" si="22"/>
        <v>1274</v>
      </c>
      <c r="M150" s="87">
        <v>600</v>
      </c>
      <c r="N150" s="76">
        <f>30</f>
        <v>30</v>
      </c>
      <c r="O150" s="79">
        <v>240</v>
      </c>
      <c r="P150" s="79">
        <v>160</v>
      </c>
      <c r="Q150" s="79">
        <f t="shared" si="23"/>
        <v>195</v>
      </c>
      <c r="R150" s="79">
        <f t="shared" si="24"/>
        <v>100</v>
      </c>
      <c r="S150" s="76">
        <f t="shared" si="25"/>
        <v>695</v>
      </c>
      <c r="T150" s="76">
        <f>0</f>
        <v>0</v>
      </c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</row>
    <row r="151" spans="1:30" ht="15.75" x14ac:dyDescent="0.25">
      <c r="A151" s="13">
        <v>45505</v>
      </c>
      <c r="B151" s="90">
        <v>31</v>
      </c>
      <c r="C151" s="76">
        <f>194.205</f>
        <v>194.20500000000001</v>
      </c>
      <c r="D151" s="76">
        <f>267.466</f>
        <v>267.46600000000001</v>
      </c>
      <c r="E151" s="85">
        <f>133.845</f>
        <v>133.845</v>
      </c>
      <c r="F151" s="76">
        <f>278.484-40-25-60-100</f>
        <v>53.48399999999998</v>
      </c>
      <c r="G151" s="79">
        <v>40</v>
      </c>
      <c r="H151" s="76">
        <f t="shared" si="26"/>
        <v>185</v>
      </c>
      <c r="I151" s="76">
        <f t="shared" si="19"/>
        <v>0</v>
      </c>
      <c r="J151" s="79">
        <v>100</v>
      </c>
      <c r="K151" s="79">
        <v>300</v>
      </c>
      <c r="L151" s="76">
        <f t="shared" si="22"/>
        <v>1274</v>
      </c>
      <c r="M151" s="87">
        <v>600</v>
      </c>
      <c r="N151" s="76">
        <f>30</f>
        <v>30</v>
      </c>
      <c r="O151" s="79">
        <v>240</v>
      </c>
      <c r="P151" s="79">
        <v>160</v>
      </c>
      <c r="Q151" s="79">
        <f t="shared" si="23"/>
        <v>195</v>
      </c>
      <c r="R151" s="79">
        <f t="shared" si="24"/>
        <v>100</v>
      </c>
      <c r="S151" s="76">
        <f t="shared" si="25"/>
        <v>695</v>
      </c>
      <c r="T151" s="76">
        <f>0</f>
        <v>0</v>
      </c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</row>
    <row r="152" spans="1:30" ht="15.75" x14ac:dyDescent="0.25">
      <c r="A152" s="13">
        <v>45536</v>
      </c>
      <c r="B152" s="90">
        <v>30</v>
      </c>
      <c r="C152" s="76">
        <f>194.205</f>
        <v>194.20500000000001</v>
      </c>
      <c r="D152" s="76">
        <f>267.466</f>
        <v>267.46600000000001</v>
      </c>
      <c r="E152" s="85">
        <f>133.845</f>
        <v>133.845</v>
      </c>
      <c r="F152" s="76">
        <f>278.484-40-25-60-100</f>
        <v>53.48399999999998</v>
      </c>
      <c r="G152" s="79">
        <v>40</v>
      </c>
      <c r="H152" s="76">
        <f t="shared" si="26"/>
        <v>185</v>
      </c>
      <c r="I152" s="76">
        <f t="shared" si="19"/>
        <v>0</v>
      </c>
      <c r="J152" s="79">
        <v>100</v>
      </c>
      <c r="K152" s="79">
        <v>300</v>
      </c>
      <c r="L152" s="76">
        <f t="shared" si="22"/>
        <v>1274</v>
      </c>
      <c r="M152" s="87">
        <v>600</v>
      </c>
      <c r="N152" s="76">
        <f>30</f>
        <v>30</v>
      </c>
      <c r="O152" s="79">
        <v>240</v>
      </c>
      <c r="P152" s="79">
        <v>160</v>
      </c>
      <c r="Q152" s="79">
        <f t="shared" si="23"/>
        <v>195</v>
      </c>
      <c r="R152" s="79">
        <f t="shared" si="24"/>
        <v>100</v>
      </c>
      <c r="S152" s="76">
        <f t="shared" si="25"/>
        <v>695</v>
      </c>
      <c r="T152" s="76">
        <f>0</f>
        <v>0</v>
      </c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</row>
    <row r="153" spans="1:30" ht="15.75" x14ac:dyDescent="0.25">
      <c r="A153" s="13">
        <v>45566</v>
      </c>
      <c r="B153" s="90">
        <v>31</v>
      </c>
      <c r="C153" s="76">
        <f>131.881</f>
        <v>131.881</v>
      </c>
      <c r="D153" s="76">
        <f>277.167</f>
        <v>277.16699999999997</v>
      </c>
      <c r="E153" s="85">
        <f>79.08</f>
        <v>79.08</v>
      </c>
      <c r="F153" s="76">
        <f>350.872-40-25-60-100</f>
        <v>125.87200000000001</v>
      </c>
      <c r="G153" s="79">
        <v>40</v>
      </c>
      <c r="H153" s="76">
        <f t="shared" si="26"/>
        <v>185</v>
      </c>
      <c r="I153" s="76">
        <f t="shared" si="19"/>
        <v>0</v>
      </c>
      <c r="J153" s="79">
        <v>100</v>
      </c>
      <c r="K153" s="79">
        <v>300</v>
      </c>
      <c r="L153" s="76">
        <f t="shared" si="22"/>
        <v>1239</v>
      </c>
      <c r="M153" s="87">
        <v>600</v>
      </c>
      <c r="N153" s="76">
        <f>75</f>
        <v>75</v>
      </c>
      <c r="O153" s="79">
        <v>240</v>
      </c>
      <c r="P153" s="79">
        <v>160</v>
      </c>
      <c r="Q153" s="79">
        <f t="shared" si="23"/>
        <v>195</v>
      </c>
      <c r="R153" s="79">
        <f t="shared" si="24"/>
        <v>100</v>
      </c>
      <c r="S153" s="76">
        <f t="shared" si="25"/>
        <v>695</v>
      </c>
      <c r="T153" s="76">
        <f>0</f>
        <v>0</v>
      </c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</row>
    <row r="154" spans="1:30" ht="15.75" x14ac:dyDescent="0.25">
      <c r="A154" s="13">
        <v>45597</v>
      </c>
      <c r="B154" s="90">
        <v>30</v>
      </c>
      <c r="C154" s="76">
        <f>122.58</f>
        <v>122.58</v>
      </c>
      <c r="D154" s="76">
        <f>297.941</f>
        <v>297.94099999999997</v>
      </c>
      <c r="E154" s="85">
        <f>89.177</f>
        <v>89.177000000000007</v>
      </c>
      <c r="F154" s="76">
        <f>240.302-40-60-100</f>
        <v>40.301999999999992</v>
      </c>
      <c r="G154" s="79">
        <v>40</v>
      </c>
      <c r="H154" s="76">
        <f>60+100</f>
        <v>160</v>
      </c>
      <c r="I154" s="76">
        <f t="shared" si="19"/>
        <v>0</v>
      </c>
      <c r="J154" s="79">
        <v>100</v>
      </c>
      <c r="K154" s="79">
        <v>300</v>
      </c>
      <c r="L154" s="76">
        <f t="shared" si="22"/>
        <v>1150</v>
      </c>
      <c r="M154" s="87">
        <v>600</v>
      </c>
      <c r="N154" s="76">
        <f>100</f>
        <v>100</v>
      </c>
      <c r="O154" s="79">
        <v>240</v>
      </c>
      <c r="P154" s="79">
        <v>40</v>
      </c>
      <c r="Q154" s="79">
        <f t="shared" si="23"/>
        <v>315</v>
      </c>
      <c r="R154" s="79">
        <f t="shared" si="24"/>
        <v>100</v>
      </c>
      <c r="S154" s="76">
        <f t="shared" si="25"/>
        <v>695</v>
      </c>
      <c r="T154" s="76">
        <f>50</f>
        <v>50</v>
      </c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</row>
    <row r="155" spans="1:30" ht="15.75" x14ac:dyDescent="0.25">
      <c r="A155" s="13">
        <v>45627</v>
      </c>
      <c r="B155" s="90">
        <v>31</v>
      </c>
      <c r="C155" s="76">
        <f>122.58</f>
        <v>122.58</v>
      </c>
      <c r="D155" s="76">
        <f>297.941</f>
        <v>297.94099999999997</v>
      </c>
      <c r="E155" s="85">
        <f>89.177</f>
        <v>89.177000000000007</v>
      </c>
      <c r="F155" s="76">
        <f>240.302-40-60-100</f>
        <v>40.301999999999992</v>
      </c>
      <c r="G155" s="79">
        <v>40</v>
      </c>
      <c r="H155" s="76">
        <f>60+100</f>
        <v>160</v>
      </c>
      <c r="I155" s="76">
        <f t="shared" si="19"/>
        <v>0</v>
      </c>
      <c r="J155" s="79">
        <v>100</v>
      </c>
      <c r="K155" s="79">
        <v>300</v>
      </c>
      <c r="L155" s="76">
        <f t="shared" si="22"/>
        <v>1150</v>
      </c>
      <c r="M155" s="87">
        <v>600</v>
      </c>
      <c r="N155" s="76">
        <f>100</f>
        <v>100</v>
      </c>
      <c r="O155" s="79">
        <v>240</v>
      </c>
      <c r="P155" s="79">
        <v>40</v>
      </c>
      <c r="Q155" s="79">
        <f t="shared" si="23"/>
        <v>315</v>
      </c>
      <c r="R155" s="79">
        <f t="shared" si="24"/>
        <v>100</v>
      </c>
      <c r="S155" s="76">
        <f t="shared" si="25"/>
        <v>695</v>
      </c>
      <c r="T155" s="76">
        <f>50</f>
        <v>50</v>
      </c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</row>
    <row r="156" spans="1:30" ht="15.75" x14ac:dyDescent="0.25">
      <c r="A156" s="13">
        <v>45658</v>
      </c>
      <c r="B156" s="90">
        <v>31</v>
      </c>
      <c r="C156" s="76">
        <f>122.58</f>
        <v>122.58</v>
      </c>
      <c r="D156" s="76">
        <f>297.941</f>
        <v>297.94099999999997</v>
      </c>
      <c r="E156" s="85">
        <f>89.177</f>
        <v>89.177000000000007</v>
      </c>
      <c r="F156" s="76">
        <f>240.302-40-60-100</f>
        <v>40.301999999999992</v>
      </c>
      <c r="G156" s="79">
        <v>40</v>
      </c>
      <c r="H156" s="76">
        <f>60+100</f>
        <v>160</v>
      </c>
      <c r="I156" s="76">
        <f t="shared" si="19"/>
        <v>0</v>
      </c>
      <c r="J156" s="79">
        <v>100</v>
      </c>
      <c r="K156" s="79">
        <v>300</v>
      </c>
      <c r="L156" s="76">
        <f t="shared" si="22"/>
        <v>1150</v>
      </c>
      <c r="M156" s="87">
        <v>600</v>
      </c>
      <c r="N156" s="76">
        <f>100</f>
        <v>100</v>
      </c>
      <c r="O156" s="79">
        <v>240</v>
      </c>
      <c r="P156" s="79">
        <v>40</v>
      </c>
      <c r="Q156" s="79">
        <f t="shared" si="23"/>
        <v>315</v>
      </c>
      <c r="R156" s="79">
        <f t="shared" si="24"/>
        <v>100</v>
      </c>
      <c r="S156" s="76">
        <f t="shared" si="25"/>
        <v>695</v>
      </c>
      <c r="T156" s="76">
        <f>50</f>
        <v>50</v>
      </c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</row>
    <row r="157" spans="1:30" ht="15.75" x14ac:dyDescent="0.25">
      <c r="A157" s="13">
        <v>45689</v>
      </c>
      <c r="B157" s="90">
        <v>28</v>
      </c>
      <c r="C157" s="76">
        <f>122.58</f>
        <v>122.58</v>
      </c>
      <c r="D157" s="76">
        <f>297.941</f>
        <v>297.94099999999997</v>
      </c>
      <c r="E157" s="85">
        <f>89.177</f>
        <v>89.177000000000007</v>
      </c>
      <c r="F157" s="76">
        <f>240.302-40-60-100</f>
        <v>40.301999999999992</v>
      </c>
      <c r="G157" s="79">
        <v>40</v>
      </c>
      <c r="H157" s="76">
        <f>60+100</f>
        <v>160</v>
      </c>
      <c r="I157" s="76">
        <f t="shared" si="19"/>
        <v>0</v>
      </c>
      <c r="J157" s="79">
        <v>100</v>
      </c>
      <c r="K157" s="79">
        <v>300</v>
      </c>
      <c r="L157" s="76">
        <f t="shared" si="22"/>
        <v>1150</v>
      </c>
      <c r="M157" s="87">
        <v>600</v>
      </c>
      <c r="N157" s="76">
        <f>100</f>
        <v>100</v>
      </c>
      <c r="O157" s="79">
        <v>240</v>
      </c>
      <c r="P157" s="79">
        <v>40</v>
      </c>
      <c r="Q157" s="79">
        <f t="shared" si="23"/>
        <v>315</v>
      </c>
      <c r="R157" s="79">
        <f t="shared" si="24"/>
        <v>100</v>
      </c>
      <c r="S157" s="76">
        <f t="shared" si="25"/>
        <v>695</v>
      </c>
      <c r="T157" s="76">
        <f>50</f>
        <v>50</v>
      </c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</row>
    <row r="158" spans="1:30" ht="15.75" x14ac:dyDescent="0.25">
      <c r="A158" s="13">
        <v>45717</v>
      </c>
      <c r="B158" s="90">
        <v>31</v>
      </c>
      <c r="C158" s="76">
        <f>122.58</f>
        <v>122.58</v>
      </c>
      <c r="D158" s="76">
        <f>297.941</f>
        <v>297.94099999999997</v>
      </c>
      <c r="E158" s="85">
        <f>89.177</f>
        <v>89.177000000000007</v>
      </c>
      <c r="F158" s="76">
        <f>240.302-40-60-100</f>
        <v>40.301999999999992</v>
      </c>
      <c r="G158" s="79">
        <v>40</v>
      </c>
      <c r="H158" s="76">
        <f>60+100</f>
        <v>160</v>
      </c>
      <c r="I158" s="76">
        <f t="shared" si="19"/>
        <v>0</v>
      </c>
      <c r="J158" s="79">
        <v>100</v>
      </c>
      <c r="K158" s="79">
        <v>300</v>
      </c>
      <c r="L158" s="76">
        <f t="shared" si="22"/>
        <v>1150</v>
      </c>
      <c r="M158" s="87">
        <v>600</v>
      </c>
      <c r="N158" s="76">
        <f>100</f>
        <v>100</v>
      </c>
      <c r="O158" s="79">
        <v>240</v>
      </c>
      <c r="P158" s="79">
        <v>40</v>
      </c>
      <c r="Q158" s="79">
        <f t="shared" si="23"/>
        <v>315</v>
      </c>
      <c r="R158" s="79">
        <f t="shared" si="24"/>
        <v>100</v>
      </c>
      <c r="S158" s="76">
        <f t="shared" si="25"/>
        <v>695</v>
      </c>
      <c r="T158" s="76">
        <f>50</f>
        <v>50</v>
      </c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</row>
    <row r="159" spans="1:30" ht="15.75" x14ac:dyDescent="0.25">
      <c r="A159" s="13">
        <v>45748</v>
      </c>
      <c r="B159" s="90">
        <v>30</v>
      </c>
      <c r="C159" s="76">
        <f>141.293</f>
        <v>141.29300000000001</v>
      </c>
      <c r="D159" s="76">
        <f>267.993</f>
        <v>267.99299999999999</v>
      </c>
      <c r="E159" s="85">
        <f>115.016</f>
        <v>115.01600000000001</v>
      </c>
      <c r="F159" s="76">
        <f>314.698-40-25-60-100</f>
        <v>89.697999999999979</v>
      </c>
      <c r="G159" s="79">
        <v>40</v>
      </c>
      <c r="H159" s="76">
        <f t="shared" ref="H159:H165" si="27">25+60+100</f>
        <v>185</v>
      </c>
      <c r="I159" s="76">
        <f t="shared" si="19"/>
        <v>0</v>
      </c>
      <c r="J159" s="79">
        <v>100</v>
      </c>
      <c r="K159" s="79">
        <v>300</v>
      </c>
      <c r="L159" s="76">
        <f t="shared" si="22"/>
        <v>1239</v>
      </c>
      <c r="M159" s="87">
        <v>600</v>
      </c>
      <c r="N159" s="76">
        <f>100</f>
        <v>100</v>
      </c>
      <c r="O159" s="79">
        <v>240</v>
      </c>
      <c r="P159" s="79">
        <v>160</v>
      </c>
      <c r="Q159" s="79">
        <f t="shared" si="23"/>
        <v>195</v>
      </c>
      <c r="R159" s="79">
        <f t="shared" si="24"/>
        <v>100</v>
      </c>
      <c r="S159" s="76">
        <f t="shared" si="25"/>
        <v>695</v>
      </c>
      <c r="T159" s="76">
        <f>50</f>
        <v>50</v>
      </c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</row>
    <row r="160" spans="1:30" ht="15.75" x14ac:dyDescent="0.25">
      <c r="A160" s="13">
        <v>45778</v>
      </c>
      <c r="B160" s="90">
        <v>31</v>
      </c>
      <c r="C160" s="76">
        <f>194.205</f>
        <v>194.20500000000001</v>
      </c>
      <c r="D160" s="76">
        <f>267.466</f>
        <v>267.46600000000001</v>
      </c>
      <c r="E160" s="85">
        <f>133.845</f>
        <v>133.845</v>
      </c>
      <c r="F160" s="76">
        <f>278.484-40-25-60-100</f>
        <v>53.48399999999998</v>
      </c>
      <c r="G160" s="79">
        <v>40</v>
      </c>
      <c r="H160" s="76">
        <f t="shared" si="27"/>
        <v>185</v>
      </c>
      <c r="I160" s="76">
        <f t="shared" si="19"/>
        <v>0</v>
      </c>
      <c r="J160" s="79">
        <v>100</v>
      </c>
      <c r="K160" s="79">
        <v>300</v>
      </c>
      <c r="L160" s="76">
        <f t="shared" si="22"/>
        <v>1274</v>
      </c>
      <c r="M160" s="87">
        <v>600</v>
      </c>
      <c r="N160" s="76">
        <f>75</f>
        <v>75</v>
      </c>
      <c r="O160" s="79">
        <v>240</v>
      </c>
      <c r="P160" s="79">
        <v>160</v>
      </c>
      <c r="Q160" s="79">
        <f t="shared" si="23"/>
        <v>195</v>
      </c>
      <c r="R160" s="79">
        <f t="shared" si="24"/>
        <v>100</v>
      </c>
      <c r="S160" s="76">
        <f t="shared" si="25"/>
        <v>695</v>
      </c>
      <c r="T160" s="76">
        <f>50</f>
        <v>50</v>
      </c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</row>
    <row r="161" spans="1:30" ht="15.75" x14ac:dyDescent="0.25">
      <c r="A161" s="13">
        <v>45809</v>
      </c>
      <c r="B161" s="90">
        <v>30</v>
      </c>
      <c r="C161" s="76">
        <f>194.205</f>
        <v>194.20500000000001</v>
      </c>
      <c r="D161" s="76">
        <f>267.466</f>
        <v>267.46600000000001</v>
      </c>
      <c r="E161" s="85">
        <f>133.845</f>
        <v>133.845</v>
      </c>
      <c r="F161" s="76">
        <f>278.484-40-25-60-100</f>
        <v>53.48399999999998</v>
      </c>
      <c r="G161" s="79">
        <v>40</v>
      </c>
      <c r="H161" s="76">
        <f t="shared" si="27"/>
        <v>185</v>
      </c>
      <c r="I161" s="76">
        <f t="shared" si="19"/>
        <v>0</v>
      </c>
      <c r="J161" s="79">
        <v>100</v>
      </c>
      <c r="K161" s="79">
        <v>300</v>
      </c>
      <c r="L161" s="76">
        <f t="shared" si="22"/>
        <v>1274</v>
      </c>
      <c r="M161" s="87">
        <v>600</v>
      </c>
      <c r="N161" s="76">
        <f>30</f>
        <v>30</v>
      </c>
      <c r="O161" s="79">
        <v>240</v>
      </c>
      <c r="P161" s="79">
        <v>160</v>
      </c>
      <c r="Q161" s="79">
        <f t="shared" si="23"/>
        <v>195</v>
      </c>
      <c r="R161" s="79">
        <f t="shared" si="24"/>
        <v>100</v>
      </c>
      <c r="S161" s="76">
        <f t="shared" si="25"/>
        <v>695</v>
      </c>
      <c r="T161" s="76">
        <f>50</f>
        <v>50</v>
      </c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</row>
    <row r="162" spans="1:30" ht="15.75" x14ac:dyDescent="0.25">
      <c r="A162" s="13">
        <v>45839</v>
      </c>
      <c r="B162" s="90">
        <v>31</v>
      </c>
      <c r="C162" s="76">
        <f>194.205</f>
        <v>194.20500000000001</v>
      </c>
      <c r="D162" s="76">
        <f>267.466</f>
        <v>267.46600000000001</v>
      </c>
      <c r="E162" s="85">
        <f>133.845</f>
        <v>133.845</v>
      </c>
      <c r="F162" s="76">
        <f>278.484-40-25-60-100</f>
        <v>53.48399999999998</v>
      </c>
      <c r="G162" s="79">
        <v>40</v>
      </c>
      <c r="H162" s="76">
        <f t="shared" si="27"/>
        <v>185</v>
      </c>
      <c r="I162" s="76">
        <f t="shared" si="19"/>
        <v>0</v>
      </c>
      <c r="J162" s="79">
        <v>100</v>
      </c>
      <c r="K162" s="79">
        <v>300</v>
      </c>
      <c r="L162" s="76">
        <f t="shared" si="22"/>
        <v>1274</v>
      </c>
      <c r="M162" s="87">
        <v>600</v>
      </c>
      <c r="N162" s="76">
        <f>30</f>
        <v>30</v>
      </c>
      <c r="O162" s="79">
        <v>240</v>
      </c>
      <c r="P162" s="79">
        <v>160</v>
      </c>
      <c r="Q162" s="79">
        <f t="shared" si="23"/>
        <v>195</v>
      </c>
      <c r="R162" s="79">
        <f t="shared" si="24"/>
        <v>100</v>
      </c>
      <c r="S162" s="76">
        <f t="shared" si="25"/>
        <v>695</v>
      </c>
      <c r="T162" s="76">
        <f>0</f>
        <v>0</v>
      </c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</row>
    <row r="163" spans="1:30" ht="15.75" x14ac:dyDescent="0.25">
      <c r="A163" s="13">
        <v>45870</v>
      </c>
      <c r="B163" s="90">
        <v>31</v>
      </c>
      <c r="C163" s="76">
        <f>194.205</f>
        <v>194.20500000000001</v>
      </c>
      <c r="D163" s="76">
        <f>267.466</f>
        <v>267.46600000000001</v>
      </c>
      <c r="E163" s="85">
        <f>133.845</f>
        <v>133.845</v>
      </c>
      <c r="F163" s="76">
        <f>278.484-40-25-60-100</f>
        <v>53.48399999999998</v>
      </c>
      <c r="G163" s="79">
        <v>40</v>
      </c>
      <c r="H163" s="76">
        <f t="shared" si="27"/>
        <v>185</v>
      </c>
      <c r="I163" s="76">
        <f t="shared" si="19"/>
        <v>0</v>
      </c>
      <c r="J163" s="79">
        <v>100</v>
      </c>
      <c r="K163" s="79">
        <v>300</v>
      </c>
      <c r="L163" s="76">
        <f t="shared" si="22"/>
        <v>1274</v>
      </c>
      <c r="M163" s="87">
        <v>600</v>
      </c>
      <c r="N163" s="76">
        <f>30</f>
        <v>30</v>
      </c>
      <c r="O163" s="79">
        <v>240</v>
      </c>
      <c r="P163" s="79">
        <v>160</v>
      </c>
      <c r="Q163" s="79">
        <f t="shared" si="23"/>
        <v>195</v>
      </c>
      <c r="R163" s="79">
        <f t="shared" si="24"/>
        <v>100</v>
      </c>
      <c r="S163" s="76">
        <f t="shared" si="25"/>
        <v>695</v>
      </c>
      <c r="T163" s="76">
        <f>0</f>
        <v>0</v>
      </c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</row>
    <row r="164" spans="1:30" ht="15.75" x14ac:dyDescent="0.25">
      <c r="A164" s="13">
        <v>45901</v>
      </c>
      <c r="B164" s="90">
        <v>30</v>
      </c>
      <c r="C164" s="76">
        <f>194.205</f>
        <v>194.20500000000001</v>
      </c>
      <c r="D164" s="76">
        <f>267.466</f>
        <v>267.46600000000001</v>
      </c>
      <c r="E164" s="85">
        <f>133.845</f>
        <v>133.845</v>
      </c>
      <c r="F164" s="76">
        <f>278.484-40-25-60-100</f>
        <v>53.48399999999998</v>
      </c>
      <c r="G164" s="79">
        <v>40</v>
      </c>
      <c r="H164" s="76">
        <f t="shared" si="27"/>
        <v>185</v>
      </c>
      <c r="I164" s="76">
        <f t="shared" si="19"/>
        <v>0</v>
      </c>
      <c r="J164" s="79">
        <v>100</v>
      </c>
      <c r="K164" s="79">
        <v>300</v>
      </c>
      <c r="L164" s="76">
        <f t="shared" si="22"/>
        <v>1274</v>
      </c>
      <c r="M164" s="87">
        <v>600</v>
      </c>
      <c r="N164" s="76">
        <f>30</f>
        <v>30</v>
      </c>
      <c r="O164" s="79">
        <v>240</v>
      </c>
      <c r="P164" s="79">
        <v>160</v>
      </c>
      <c r="Q164" s="79">
        <f t="shared" si="23"/>
        <v>195</v>
      </c>
      <c r="R164" s="79">
        <f t="shared" si="24"/>
        <v>100</v>
      </c>
      <c r="S164" s="76">
        <f t="shared" si="25"/>
        <v>695</v>
      </c>
      <c r="T164" s="76">
        <f>0</f>
        <v>0</v>
      </c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</row>
    <row r="165" spans="1:30" ht="15.75" x14ac:dyDescent="0.25">
      <c r="A165" s="13">
        <v>45931</v>
      </c>
      <c r="B165" s="90">
        <v>31</v>
      </c>
      <c r="C165" s="76">
        <f>131.881</f>
        <v>131.881</v>
      </c>
      <c r="D165" s="76">
        <f>277.167</f>
        <v>277.16699999999997</v>
      </c>
      <c r="E165" s="85">
        <f>79.08</f>
        <v>79.08</v>
      </c>
      <c r="F165" s="76">
        <f>350.872-40-25-60-100</f>
        <v>125.87200000000001</v>
      </c>
      <c r="G165" s="79">
        <v>40</v>
      </c>
      <c r="H165" s="76">
        <f t="shared" si="27"/>
        <v>185</v>
      </c>
      <c r="I165" s="76">
        <f t="shared" si="19"/>
        <v>0</v>
      </c>
      <c r="J165" s="79">
        <v>100</v>
      </c>
      <c r="K165" s="79">
        <v>300</v>
      </c>
      <c r="L165" s="76">
        <f t="shared" si="22"/>
        <v>1239</v>
      </c>
      <c r="M165" s="87">
        <v>600</v>
      </c>
      <c r="N165" s="76">
        <f>75</f>
        <v>75</v>
      </c>
      <c r="O165" s="79">
        <v>240</v>
      </c>
      <c r="P165" s="79">
        <v>160</v>
      </c>
      <c r="Q165" s="79">
        <f t="shared" si="23"/>
        <v>195</v>
      </c>
      <c r="R165" s="79">
        <f t="shared" si="24"/>
        <v>100</v>
      </c>
      <c r="S165" s="76">
        <f t="shared" si="25"/>
        <v>695</v>
      </c>
      <c r="T165" s="76">
        <f>0</f>
        <v>0</v>
      </c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</row>
    <row r="166" spans="1:30" ht="15.75" x14ac:dyDescent="0.25">
      <c r="A166" s="13">
        <v>45962</v>
      </c>
      <c r="B166" s="90">
        <v>30</v>
      </c>
      <c r="C166" s="76">
        <f>122.58</f>
        <v>122.58</v>
      </c>
      <c r="D166" s="76">
        <f>297.941</f>
        <v>297.94099999999997</v>
      </c>
      <c r="E166" s="85">
        <f>89.177</f>
        <v>89.177000000000007</v>
      </c>
      <c r="F166" s="76">
        <f>240.302-40-60-100</f>
        <v>40.301999999999992</v>
      </c>
      <c r="G166" s="79">
        <v>40</v>
      </c>
      <c r="H166" s="76">
        <f>60+100</f>
        <v>160</v>
      </c>
      <c r="I166" s="76">
        <f t="shared" si="19"/>
        <v>0</v>
      </c>
      <c r="J166" s="79">
        <v>100</v>
      </c>
      <c r="K166" s="79">
        <v>300</v>
      </c>
      <c r="L166" s="76">
        <f t="shared" si="22"/>
        <v>1150</v>
      </c>
      <c r="M166" s="87">
        <v>600</v>
      </c>
      <c r="N166" s="76">
        <f>100</f>
        <v>100</v>
      </c>
      <c r="O166" s="79">
        <v>240</v>
      </c>
      <c r="P166" s="79">
        <v>40</v>
      </c>
      <c r="Q166" s="79">
        <f t="shared" si="23"/>
        <v>315</v>
      </c>
      <c r="R166" s="79">
        <f t="shared" si="24"/>
        <v>100</v>
      </c>
      <c r="S166" s="76">
        <f t="shared" si="25"/>
        <v>695</v>
      </c>
      <c r="T166" s="76">
        <f>50</f>
        <v>50</v>
      </c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</row>
    <row r="167" spans="1:30" ht="15.75" x14ac:dyDescent="0.25">
      <c r="A167" s="13">
        <v>45992</v>
      </c>
      <c r="B167" s="90">
        <v>31</v>
      </c>
      <c r="C167" s="76">
        <f>122.58</f>
        <v>122.58</v>
      </c>
      <c r="D167" s="76">
        <f>297.941</f>
        <v>297.94099999999997</v>
      </c>
      <c r="E167" s="85">
        <f>89.177</f>
        <v>89.177000000000007</v>
      </c>
      <c r="F167" s="76">
        <f>240.302-40-60-100</f>
        <v>40.301999999999992</v>
      </c>
      <c r="G167" s="79">
        <v>40</v>
      </c>
      <c r="H167" s="76">
        <f>60+100</f>
        <v>160</v>
      </c>
      <c r="I167" s="76">
        <f t="shared" si="19"/>
        <v>0</v>
      </c>
      <c r="J167" s="79">
        <v>100</v>
      </c>
      <c r="K167" s="79">
        <v>300</v>
      </c>
      <c r="L167" s="76">
        <f t="shared" si="22"/>
        <v>1150</v>
      </c>
      <c r="M167" s="87">
        <v>600</v>
      </c>
      <c r="N167" s="76">
        <f>100</f>
        <v>100</v>
      </c>
      <c r="O167" s="79">
        <v>240</v>
      </c>
      <c r="P167" s="79">
        <v>40</v>
      </c>
      <c r="Q167" s="79">
        <f t="shared" si="23"/>
        <v>315</v>
      </c>
      <c r="R167" s="79">
        <f t="shared" si="24"/>
        <v>100</v>
      </c>
      <c r="S167" s="76">
        <f t="shared" si="25"/>
        <v>695</v>
      </c>
      <c r="T167" s="76">
        <f>50</f>
        <v>50</v>
      </c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</row>
    <row r="168" spans="1:30" ht="15.75" x14ac:dyDescent="0.25">
      <c r="A168" s="13">
        <v>46023</v>
      </c>
      <c r="B168" s="90">
        <v>31</v>
      </c>
      <c r="C168" s="76">
        <f>122.58</f>
        <v>122.58</v>
      </c>
      <c r="D168" s="76">
        <f>297.941</f>
        <v>297.94099999999997</v>
      </c>
      <c r="E168" s="85">
        <f>89.177</f>
        <v>89.177000000000007</v>
      </c>
      <c r="F168" s="76">
        <f>240.302-40-60-100</f>
        <v>40.301999999999992</v>
      </c>
      <c r="G168" s="79">
        <v>40</v>
      </c>
      <c r="H168" s="76">
        <f>60+100</f>
        <v>160</v>
      </c>
      <c r="I168" s="76">
        <f t="shared" si="19"/>
        <v>0</v>
      </c>
      <c r="J168" s="79">
        <v>100</v>
      </c>
      <c r="K168" s="79">
        <v>300</v>
      </c>
      <c r="L168" s="76">
        <f t="shared" si="22"/>
        <v>1150</v>
      </c>
      <c r="M168" s="87">
        <v>600</v>
      </c>
      <c r="N168" s="76">
        <f>100</f>
        <v>100</v>
      </c>
      <c r="O168" s="79">
        <v>240</v>
      </c>
      <c r="P168" s="79">
        <v>40</v>
      </c>
      <c r="Q168" s="79">
        <f t="shared" si="23"/>
        <v>315</v>
      </c>
      <c r="R168" s="79">
        <f t="shared" si="24"/>
        <v>100</v>
      </c>
      <c r="S168" s="76">
        <f t="shared" si="25"/>
        <v>695</v>
      </c>
      <c r="T168" s="76">
        <f>50</f>
        <v>50</v>
      </c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</row>
    <row r="169" spans="1:30" ht="15.75" x14ac:dyDescent="0.25">
      <c r="A169" s="13">
        <v>46054</v>
      </c>
      <c r="B169" s="90">
        <v>28</v>
      </c>
      <c r="C169" s="76">
        <f>122.58</f>
        <v>122.58</v>
      </c>
      <c r="D169" s="76">
        <f>297.941</f>
        <v>297.94099999999997</v>
      </c>
      <c r="E169" s="85">
        <f>89.177</f>
        <v>89.177000000000007</v>
      </c>
      <c r="F169" s="76">
        <f>240.302-40-60-100</f>
        <v>40.301999999999992</v>
      </c>
      <c r="G169" s="79">
        <v>40</v>
      </c>
      <c r="H169" s="76">
        <f>60+100</f>
        <v>160</v>
      </c>
      <c r="I169" s="76">
        <f t="shared" si="19"/>
        <v>0</v>
      </c>
      <c r="J169" s="79">
        <v>100</v>
      </c>
      <c r="K169" s="79">
        <v>300</v>
      </c>
      <c r="L169" s="76">
        <f t="shared" si="22"/>
        <v>1150</v>
      </c>
      <c r="M169" s="87">
        <v>600</v>
      </c>
      <c r="N169" s="76">
        <f>100</f>
        <v>100</v>
      </c>
      <c r="O169" s="79">
        <v>240</v>
      </c>
      <c r="P169" s="79">
        <v>40</v>
      </c>
      <c r="Q169" s="79">
        <f t="shared" si="23"/>
        <v>315</v>
      </c>
      <c r="R169" s="79">
        <f t="shared" si="24"/>
        <v>100</v>
      </c>
      <c r="S169" s="76">
        <f t="shared" si="25"/>
        <v>695</v>
      </c>
      <c r="T169" s="76">
        <f>50</f>
        <v>50</v>
      </c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</row>
    <row r="170" spans="1:30" ht="15.75" x14ac:dyDescent="0.25">
      <c r="A170" s="13">
        <v>46082</v>
      </c>
      <c r="B170" s="90">
        <v>31</v>
      </c>
      <c r="C170" s="76">
        <f>122.58</f>
        <v>122.58</v>
      </c>
      <c r="D170" s="76">
        <f>297.941</f>
        <v>297.94099999999997</v>
      </c>
      <c r="E170" s="85">
        <f>89.177</f>
        <v>89.177000000000007</v>
      </c>
      <c r="F170" s="76">
        <f>240.302-40-60-100</f>
        <v>40.301999999999992</v>
      </c>
      <c r="G170" s="79">
        <v>40</v>
      </c>
      <c r="H170" s="76">
        <f>60+100</f>
        <v>160</v>
      </c>
      <c r="I170" s="76">
        <f t="shared" si="19"/>
        <v>0</v>
      </c>
      <c r="J170" s="79">
        <v>100</v>
      </c>
      <c r="K170" s="79">
        <v>300</v>
      </c>
      <c r="L170" s="76">
        <f t="shared" si="22"/>
        <v>1150</v>
      </c>
      <c r="M170" s="87">
        <v>600</v>
      </c>
      <c r="N170" s="76">
        <f>100</f>
        <v>100</v>
      </c>
      <c r="O170" s="79">
        <v>240</v>
      </c>
      <c r="P170" s="79">
        <v>40</v>
      </c>
      <c r="Q170" s="79">
        <f t="shared" si="23"/>
        <v>315</v>
      </c>
      <c r="R170" s="79">
        <f t="shared" si="24"/>
        <v>100</v>
      </c>
      <c r="S170" s="76">
        <f t="shared" si="25"/>
        <v>695</v>
      </c>
      <c r="T170" s="76">
        <f>50</f>
        <v>50</v>
      </c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</row>
    <row r="171" spans="1:30" ht="15.75" x14ac:dyDescent="0.25">
      <c r="A171" s="13">
        <v>46113</v>
      </c>
      <c r="B171" s="90">
        <v>30</v>
      </c>
      <c r="C171" s="76">
        <f>141.293</f>
        <v>141.29300000000001</v>
      </c>
      <c r="D171" s="76">
        <f>267.993</f>
        <v>267.99299999999999</v>
      </c>
      <c r="E171" s="85">
        <f>115.016</f>
        <v>115.01600000000001</v>
      </c>
      <c r="F171" s="76">
        <f>314.698-40-25-60-100</f>
        <v>89.697999999999979</v>
      </c>
      <c r="G171" s="79">
        <v>40</v>
      </c>
      <c r="H171" s="76">
        <f t="shared" ref="H171:H177" si="28">25+60+100</f>
        <v>185</v>
      </c>
      <c r="I171" s="76">
        <f t="shared" si="19"/>
        <v>0</v>
      </c>
      <c r="J171" s="79">
        <v>100</v>
      </c>
      <c r="K171" s="79">
        <v>300</v>
      </c>
      <c r="L171" s="76">
        <f t="shared" si="22"/>
        <v>1239</v>
      </c>
      <c r="M171" s="87">
        <v>600</v>
      </c>
      <c r="N171" s="76">
        <f>100</f>
        <v>100</v>
      </c>
      <c r="O171" s="79">
        <v>240</v>
      </c>
      <c r="P171" s="79">
        <v>160</v>
      </c>
      <c r="Q171" s="79">
        <f t="shared" si="23"/>
        <v>195</v>
      </c>
      <c r="R171" s="79">
        <f t="shared" si="24"/>
        <v>100</v>
      </c>
      <c r="S171" s="76">
        <f t="shared" si="25"/>
        <v>695</v>
      </c>
      <c r="T171" s="76">
        <f>50</f>
        <v>50</v>
      </c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</row>
    <row r="172" spans="1:30" ht="15.75" x14ac:dyDescent="0.25">
      <c r="A172" s="13">
        <v>46143</v>
      </c>
      <c r="B172" s="90">
        <v>31</v>
      </c>
      <c r="C172" s="76">
        <f>194.205</f>
        <v>194.20500000000001</v>
      </c>
      <c r="D172" s="76">
        <f>267.466</f>
        <v>267.46600000000001</v>
      </c>
      <c r="E172" s="85">
        <f>133.845</f>
        <v>133.845</v>
      </c>
      <c r="F172" s="76">
        <f>278.484-40-25-60-100</f>
        <v>53.48399999999998</v>
      </c>
      <c r="G172" s="79">
        <v>40</v>
      </c>
      <c r="H172" s="76">
        <f t="shared" si="28"/>
        <v>185</v>
      </c>
      <c r="I172" s="76">
        <f t="shared" si="19"/>
        <v>0</v>
      </c>
      <c r="J172" s="79">
        <v>100</v>
      </c>
      <c r="K172" s="79">
        <v>300</v>
      </c>
      <c r="L172" s="76">
        <f t="shared" si="22"/>
        <v>1274</v>
      </c>
      <c r="M172" s="87">
        <v>600</v>
      </c>
      <c r="N172" s="76">
        <f>75</f>
        <v>75</v>
      </c>
      <c r="O172" s="79">
        <v>240</v>
      </c>
      <c r="P172" s="79">
        <v>160</v>
      </c>
      <c r="Q172" s="79">
        <f t="shared" si="23"/>
        <v>195</v>
      </c>
      <c r="R172" s="79">
        <f t="shared" si="24"/>
        <v>100</v>
      </c>
      <c r="S172" s="76">
        <f t="shared" si="25"/>
        <v>695</v>
      </c>
      <c r="T172" s="76">
        <f>50</f>
        <v>50</v>
      </c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</row>
    <row r="173" spans="1:30" ht="15.75" x14ac:dyDescent="0.25">
      <c r="A173" s="13">
        <v>46174</v>
      </c>
      <c r="B173" s="90">
        <v>30</v>
      </c>
      <c r="C173" s="76">
        <f>194.205</f>
        <v>194.20500000000001</v>
      </c>
      <c r="D173" s="76">
        <f>267.466</f>
        <v>267.46600000000001</v>
      </c>
      <c r="E173" s="85">
        <f>133.845</f>
        <v>133.845</v>
      </c>
      <c r="F173" s="76">
        <f>278.484-40-25-60-100</f>
        <v>53.48399999999998</v>
      </c>
      <c r="G173" s="79">
        <v>40</v>
      </c>
      <c r="H173" s="76">
        <f t="shared" si="28"/>
        <v>185</v>
      </c>
      <c r="I173" s="76">
        <f t="shared" si="19"/>
        <v>0</v>
      </c>
      <c r="J173" s="79">
        <v>100</v>
      </c>
      <c r="K173" s="79">
        <v>300</v>
      </c>
      <c r="L173" s="76">
        <f t="shared" si="22"/>
        <v>1274</v>
      </c>
      <c r="M173" s="87">
        <v>600</v>
      </c>
      <c r="N173" s="76">
        <f>30</f>
        <v>30</v>
      </c>
      <c r="O173" s="79">
        <v>240</v>
      </c>
      <c r="P173" s="79">
        <v>160</v>
      </c>
      <c r="Q173" s="79">
        <f t="shared" si="23"/>
        <v>195</v>
      </c>
      <c r="R173" s="79">
        <f t="shared" si="24"/>
        <v>100</v>
      </c>
      <c r="S173" s="76">
        <f t="shared" si="25"/>
        <v>695</v>
      </c>
      <c r="T173" s="76">
        <f>50</f>
        <v>50</v>
      </c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</row>
    <row r="174" spans="1:30" ht="15.75" x14ac:dyDescent="0.25">
      <c r="A174" s="13">
        <v>46204</v>
      </c>
      <c r="B174" s="90">
        <v>31</v>
      </c>
      <c r="C174" s="76">
        <f>194.205</f>
        <v>194.20500000000001</v>
      </c>
      <c r="D174" s="76">
        <f>267.466</f>
        <v>267.46600000000001</v>
      </c>
      <c r="E174" s="85">
        <f>133.845</f>
        <v>133.845</v>
      </c>
      <c r="F174" s="76">
        <f>278.484-40-25-60-100</f>
        <v>53.48399999999998</v>
      </c>
      <c r="G174" s="79">
        <v>40</v>
      </c>
      <c r="H174" s="76">
        <f t="shared" si="28"/>
        <v>185</v>
      </c>
      <c r="I174" s="76">
        <f t="shared" si="19"/>
        <v>0</v>
      </c>
      <c r="J174" s="79">
        <v>100</v>
      </c>
      <c r="K174" s="79">
        <v>300</v>
      </c>
      <c r="L174" s="76">
        <f t="shared" si="22"/>
        <v>1274</v>
      </c>
      <c r="M174" s="87">
        <v>600</v>
      </c>
      <c r="N174" s="76">
        <f>30</f>
        <v>30</v>
      </c>
      <c r="O174" s="79">
        <v>240</v>
      </c>
      <c r="P174" s="79">
        <v>160</v>
      </c>
      <c r="Q174" s="79">
        <f t="shared" si="23"/>
        <v>195</v>
      </c>
      <c r="R174" s="79">
        <f t="shared" si="24"/>
        <v>100</v>
      </c>
      <c r="S174" s="76">
        <f t="shared" si="25"/>
        <v>695</v>
      </c>
      <c r="T174" s="76">
        <f>0</f>
        <v>0</v>
      </c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</row>
    <row r="175" spans="1:30" ht="15.75" x14ac:dyDescent="0.25">
      <c r="A175" s="13">
        <v>46235</v>
      </c>
      <c r="B175" s="90">
        <v>31</v>
      </c>
      <c r="C175" s="76">
        <f>194.205</f>
        <v>194.20500000000001</v>
      </c>
      <c r="D175" s="76">
        <f>267.466</f>
        <v>267.46600000000001</v>
      </c>
      <c r="E175" s="85">
        <f>133.845</f>
        <v>133.845</v>
      </c>
      <c r="F175" s="76">
        <f>278.484-40-25-60-100</f>
        <v>53.48399999999998</v>
      </c>
      <c r="G175" s="79">
        <v>40</v>
      </c>
      <c r="H175" s="76">
        <f t="shared" si="28"/>
        <v>185</v>
      </c>
      <c r="I175" s="76">
        <f t="shared" si="19"/>
        <v>0</v>
      </c>
      <c r="J175" s="79">
        <v>100</v>
      </c>
      <c r="K175" s="79">
        <v>300</v>
      </c>
      <c r="L175" s="76">
        <f t="shared" si="22"/>
        <v>1274</v>
      </c>
      <c r="M175" s="87">
        <v>600</v>
      </c>
      <c r="N175" s="76">
        <f>30</f>
        <v>30</v>
      </c>
      <c r="O175" s="79">
        <v>240</v>
      </c>
      <c r="P175" s="79">
        <v>160</v>
      </c>
      <c r="Q175" s="79">
        <f t="shared" si="23"/>
        <v>195</v>
      </c>
      <c r="R175" s="79">
        <f t="shared" si="24"/>
        <v>100</v>
      </c>
      <c r="S175" s="76">
        <f t="shared" si="25"/>
        <v>695</v>
      </c>
      <c r="T175" s="76">
        <f>0</f>
        <v>0</v>
      </c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</row>
    <row r="176" spans="1:30" ht="15.75" x14ac:dyDescent="0.25">
      <c r="A176" s="13">
        <v>46266</v>
      </c>
      <c r="B176" s="90">
        <v>30</v>
      </c>
      <c r="C176" s="76">
        <f>194.205</f>
        <v>194.20500000000001</v>
      </c>
      <c r="D176" s="76">
        <f>267.466</f>
        <v>267.46600000000001</v>
      </c>
      <c r="E176" s="85">
        <f>133.845</f>
        <v>133.845</v>
      </c>
      <c r="F176" s="76">
        <f>278.484-40-25-60-100</f>
        <v>53.48399999999998</v>
      </c>
      <c r="G176" s="79">
        <v>40</v>
      </c>
      <c r="H176" s="76">
        <f t="shared" si="28"/>
        <v>185</v>
      </c>
      <c r="I176" s="76">
        <f t="shared" si="19"/>
        <v>0</v>
      </c>
      <c r="J176" s="79">
        <v>100</v>
      </c>
      <c r="K176" s="79">
        <v>300</v>
      </c>
      <c r="L176" s="76">
        <f t="shared" si="22"/>
        <v>1274</v>
      </c>
      <c r="M176" s="87">
        <v>600</v>
      </c>
      <c r="N176" s="76">
        <f>30</f>
        <v>30</v>
      </c>
      <c r="O176" s="79">
        <v>240</v>
      </c>
      <c r="P176" s="79">
        <v>160</v>
      </c>
      <c r="Q176" s="79">
        <f t="shared" si="23"/>
        <v>195</v>
      </c>
      <c r="R176" s="79">
        <f t="shared" si="24"/>
        <v>100</v>
      </c>
      <c r="S176" s="76">
        <f t="shared" si="25"/>
        <v>695</v>
      </c>
      <c r="T176" s="76">
        <f>0</f>
        <v>0</v>
      </c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</row>
    <row r="177" spans="1:30" ht="15.75" x14ac:dyDescent="0.25">
      <c r="A177" s="13">
        <v>46296</v>
      </c>
      <c r="B177" s="90">
        <v>31</v>
      </c>
      <c r="C177" s="76">
        <f>131.881</f>
        <v>131.881</v>
      </c>
      <c r="D177" s="76">
        <f>277.167</f>
        <v>277.16699999999997</v>
      </c>
      <c r="E177" s="85">
        <f>79.08</f>
        <v>79.08</v>
      </c>
      <c r="F177" s="76">
        <f>350.872-40-25-60-100</f>
        <v>125.87200000000001</v>
      </c>
      <c r="G177" s="79">
        <v>40</v>
      </c>
      <c r="H177" s="76">
        <f t="shared" si="28"/>
        <v>185</v>
      </c>
      <c r="I177" s="76">
        <f t="shared" si="19"/>
        <v>0</v>
      </c>
      <c r="J177" s="79">
        <v>100</v>
      </c>
      <c r="K177" s="79">
        <v>300</v>
      </c>
      <c r="L177" s="76">
        <f t="shared" si="22"/>
        <v>1239</v>
      </c>
      <c r="M177" s="87">
        <v>600</v>
      </c>
      <c r="N177" s="76">
        <f>75</f>
        <v>75</v>
      </c>
      <c r="O177" s="79">
        <v>240</v>
      </c>
      <c r="P177" s="79">
        <v>160</v>
      </c>
      <c r="Q177" s="79">
        <f t="shared" si="23"/>
        <v>195</v>
      </c>
      <c r="R177" s="79">
        <f t="shared" si="24"/>
        <v>100</v>
      </c>
      <c r="S177" s="76">
        <f t="shared" si="25"/>
        <v>695</v>
      </c>
      <c r="T177" s="76">
        <f>0</f>
        <v>0</v>
      </c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</row>
    <row r="178" spans="1:30" ht="15.75" x14ac:dyDescent="0.25">
      <c r="A178" s="13">
        <v>46327</v>
      </c>
      <c r="B178" s="90">
        <v>30</v>
      </c>
      <c r="C178" s="76">
        <f>122.58</f>
        <v>122.58</v>
      </c>
      <c r="D178" s="76">
        <f>297.941</f>
        <v>297.94099999999997</v>
      </c>
      <c r="E178" s="85">
        <f>89.177</f>
        <v>89.177000000000007</v>
      </c>
      <c r="F178" s="76">
        <f>240.302-40-60-100</f>
        <v>40.301999999999992</v>
      </c>
      <c r="G178" s="79">
        <v>40</v>
      </c>
      <c r="H178" s="76">
        <f>60+100</f>
        <v>160</v>
      </c>
      <c r="I178" s="76">
        <f t="shared" si="19"/>
        <v>0</v>
      </c>
      <c r="J178" s="79">
        <v>100</v>
      </c>
      <c r="K178" s="79">
        <v>300</v>
      </c>
      <c r="L178" s="76">
        <f t="shared" si="22"/>
        <v>1150</v>
      </c>
      <c r="M178" s="87">
        <v>600</v>
      </c>
      <c r="N178" s="76">
        <f>100</f>
        <v>100</v>
      </c>
      <c r="O178" s="79">
        <v>240</v>
      </c>
      <c r="P178" s="79">
        <v>40</v>
      </c>
      <c r="Q178" s="79">
        <f t="shared" si="23"/>
        <v>315</v>
      </c>
      <c r="R178" s="79">
        <f t="shared" si="24"/>
        <v>100</v>
      </c>
      <c r="S178" s="76">
        <f t="shared" si="25"/>
        <v>695</v>
      </c>
      <c r="T178" s="76">
        <f>50</f>
        <v>50</v>
      </c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</row>
    <row r="179" spans="1:30" ht="15.75" x14ac:dyDescent="0.25">
      <c r="A179" s="13">
        <v>46357</v>
      </c>
      <c r="B179" s="90">
        <v>31</v>
      </c>
      <c r="C179" s="76">
        <f>122.58</f>
        <v>122.58</v>
      </c>
      <c r="D179" s="76">
        <f>297.941</f>
        <v>297.94099999999997</v>
      </c>
      <c r="E179" s="85">
        <f>89.177</f>
        <v>89.177000000000007</v>
      </c>
      <c r="F179" s="76">
        <f>240.302-40-60-100</f>
        <v>40.301999999999992</v>
      </c>
      <c r="G179" s="79">
        <v>40</v>
      </c>
      <c r="H179" s="76">
        <f>60+100</f>
        <v>160</v>
      </c>
      <c r="I179" s="76">
        <f t="shared" si="19"/>
        <v>0</v>
      </c>
      <c r="J179" s="79">
        <v>100</v>
      </c>
      <c r="K179" s="79">
        <v>300</v>
      </c>
      <c r="L179" s="76">
        <f t="shared" si="22"/>
        <v>1150</v>
      </c>
      <c r="M179" s="87">
        <v>600</v>
      </c>
      <c r="N179" s="76">
        <f>100</f>
        <v>100</v>
      </c>
      <c r="O179" s="79">
        <v>240</v>
      </c>
      <c r="P179" s="79">
        <v>40</v>
      </c>
      <c r="Q179" s="79">
        <f t="shared" si="23"/>
        <v>315</v>
      </c>
      <c r="R179" s="79">
        <f t="shared" si="24"/>
        <v>100</v>
      </c>
      <c r="S179" s="76">
        <f t="shared" si="25"/>
        <v>695</v>
      </c>
      <c r="T179" s="76">
        <f>50</f>
        <v>50</v>
      </c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</row>
    <row r="180" spans="1:30" ht="15.75" x14ac:dyDescent="0.25">
      <c r="A180" s="13">
        <v>46388</v>
      </c>
      <c r="B180" s="90">
        <v>31</v>
      </c>
      <c r="C180" s="76">
        <f>122.58</f>
        <v>122.58</v>
      </c>
      <c r="D180" s="76">
        <f>297.941</f>
        <v>297.94099999999997</v>
      </c>
      <c r="E180" s="85">
        <f>89.177</f>
        <v>89.177000000000007</v>
      </c>
      <c r="F180" s="76">
        <f>240.302-40-60-100</f>
        <v>40.301999999999992</v>
      </c>
      <c r="G180" s="79">
        <v>40</v>
      </c>
      <c r="H180" s="76">
        <f>60+100</f>
        <v>160</v>
      </c>
      <c r="I180" s="76">
        <f t="shared" ref="I180:I243" si="29">400-J180-K180</f>
        <v>0</v>
      </c>
      <c r="J180" s="79">
        <v>100</v>
      </c>
      <c r="K180" s="79">
        <v>300</v>
      </c>
      <c r="L180" s="76">
        <f t="shared" si="22"/>
        <v>1150</v>
      </c>
      <c r="M180" s="87">
        <v>600</v>
      </c>
      <c r="N180" s="76">
        <f>100</f>
        <v>100</v>
      </c>
      <c r="O180" s="79">
        <v>240</v>
      </c>
      <c r="P180" s="79">
        <v>40</v>
      </c>
      <c r="Q180" s="79">
        <f t="shared" si="23"/>
        <v>315</v>
      </c>
      <c r="R180" s="79">
        <f t="shared" si="24"/>
        <v>100</v>
      </c>
      <c r="S180" s="76">
        <f t="shared" si="25"/>
        <v>695</v>
      </c>
      <c r="T180" s="76">
        <f>50</f>
        <v>50</v>
      </c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</row>
    <row r="181" spans="1:30" ht="15.75" x14ac:dyDescent="0.25">
      <c r="A181" s="13">
        <v>46419</v>
      </c>
      <c r="B181" s="90">
        <v>28</v>
      </c>
      <c r="C181" s="76">
        <f>122.58</f>
        <v>122.58</v>
      </c>
      <c r="D181" s="76">
        <f>297.941</f>
        <v>297.94099999999997</v>
      </c>
      <c r="E181" s="85">
        <f>89.177</f>
        <v>89.177000000000007</v>
      </c>
      <c r="F181" s="76">
        <f>240.302-40-60-100</f>
        <v>40.301999999999992</v>
      </c>
      <c r="G181" s="79">
        <v>40</v>
      </c>
      <c r="H181" s="76">
        <f>60+100</f>
        <v>160</v>
      </c>
      <c r="I181" s="76">
        <f t="shared" si="29"/>
        <v>0</v>
      </c>
      <c r="J181" s="79">
        <v>100</v>
      </c>
      <c r="K181" s="79">
        <v>300</v>
      </c>
      <c r="L181" s="76">
        <f t="shared" si="22"/>
        <v>1150</v>
      </c>
      <c r="M181" s="87">
        <v>600</v>
      </c>
      <c r="N181" s="76">
        <f>100</f>
        <v>100</v>
      </c>
      <c r="O181" s="79">
        <v>240</v>
      </c>
      <c r="P181" s="79">
        <v>40</v>
      </c>
      <c r="Q181" s="79">
        <f t="shared" si="23"/>
        <v>315</v>
      </c>
      <c r="R181" s="79">
        <f t="shared" si="24"/>
        <v>100</v>
      </c>
      <c r="S181" s="76">
        <f t="shared" si="25"/>
        <v>695</v>
      </c>
      <c r="T181" s="76">
        <f>50</f>
        <v>50</v>
      </c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</row>
    <row r="182" spans="1:30" ht="15.75" x14ac:dyDescent="0.25">
      <c r="A182" s="13">
        <v>46447</v>
      </c>
      <c r="B182" s="90">
        <v>31</v>
      </c>
      <c r="C182" s="76">
        <f>122.58</f>
        <v>122.58</v>
      </c>
      <c r="D182" s="76">
        <f>297.941</f>
        <v>297.94099999999997</v>
      </c>
      <c r="E182" s="85">
        <f>89.177</f>
        <v>89.177000000000007</v>
      </c>
      <c r="F182" s="76">
        <f>240.302-40-60-100</f>
        <v>40.301999999999992</v>
      </c>
      <c r="G182" s="79">
        <v>40</v>
      </c>
      <c r="H182" s="76">
        <f>60+100</f>
        <v>160</v>
      </c>
      <c r="I182" s="76">
        <f t="shared" si="29"/>
        <v>0</v>
      </c>
      <c r="J182" s="79">
        <v>100</v>
      </c>
      <c r="K182" s="79">
        <v>300</v>
      </c>
      <c r="L182" s="76">
        <f t="shared" si="22"/>
        <v>1150</v>
      </c>
      <c r="M182" s="87">
        <v>600</v>
      </c>
      <c r="N182" s="76">
        <f>100</f>
        <v>100</v>
      </c>
      <c r="O182" s="79">
        <v>240</v>
      </c>
      <c r="P182" s="79">
        <v>40</v>
      </c>
      <c r="Q182" s="79">
        <f t="shared" si="23"/>
        <v>315</v>
      </c>
      <c r="R182" s="79">
        <f t="shared" si="24"/>
        <v>100</v>
      </c>
      <c r="S182" s="76">
        <f t="shared" si="25"/>
        <v>695</v>
      </c>
      <c r="T182" s="76">
        <f>50</f>
        <v>50</v>
      </c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</row>
    <row r="183" spans="1:30" ht="15.75" x14ac:dyDescent="0.25">
      <c r="A183" s="13">
        <v>46478</v>
      </c>
      <c r="B183" s="90">
        <v>30</v>
      </c>
      <c r="C183" s="76">
        <f>141.293</f>
        <v>141.29300000000001</v>
      </c>
      <c r="D183" s="76">
        <f>267.993</f>
        <v>267.99299999999999</v>
      </c>
      <c r="E183" s="85">
        <f>115.016</f>
        <v>115.01600000000001</v>
      </c>
      <c r="F183" s="76">
        <f>314.698-40-25-60-100</f>
        <v>89.697999999999979</v>
      </c>
      <c r="G183" s="79">
        <v>40</v>
      </c>
      <c r="H183" s="76">
        <f t="shared" ref="H183:H189" si="30">25+60+100</f>
        <v>185</v>
      </c>
      <c r="I183" s="76">
        <f t="shared" si="29"/>
        <v>0</v>
      </c>
      <c r="J183" s="79">
        <v>100</v>
      </c>
      <c r="K183" s="79">
        <v>300</v>
      </c>
      <c r="L183" s="76">
        <f t="shared" si="22"/>
        <v>1239</v>
      </c>
      <c r="M183" s="87">
        <v>600</v>
      </c>
      <c r="N183" s="76">
        <f>100</f>
        <v>100</v>
      </c>
      <c r="O183" s="79">
        <v>240</v>
      </c>
      <c r="P183" s="79">
        <v>160</v>
      </c>
      <c r="Q183" s="79">
        <f t="shared" si="23"/>
        <v>195</v>
      </c>
      <c r="R183" s="79">
        <f t="shared" si="24"/>
        <v>100</v>
      </c>
      <c r="S183" s="76">
        <f t="shared" si="25"/>
        <v>695</v>
      </c>
      <c r="T183" s="76">
        <f>50</f>
        <v>50</v>
      </c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</row>
    <row r="184" spans="1:30" ht="15.75" x14ac:dyDescent="0.25">
      <c r="A184" s="13">
        <v>46508</v>
      </c>
      <c r="B184" s="90">
        <v>31</v>
      </c>
      <c r="C184" s="76">
        <f>194.205</f>
        <v>194.20500000000001</v>
      </c>
      <c r="D184" s="76">
        <f>267.466</f>
        <v>267.46600000000001</v>
      </c>
      <c r="E184" s="85">
        <f>133.845</f>
        <v>133.845</v>
      </c>
      <c r="F184" s="76">
        <f>278.484-40-25-60-100</f>
        <v>53.48399999999998</v>
      </c>
      <c r="G184" s="79">
        <v>40</v>
      </c>
      <c r="H184" s="76">
        <f t="shared" si="30"/>
        <v>185</v>
      </c>
      <c r="I184" s="76">
        <f t="shared" si="29"/>
        <v>0</v>
      </c>
      <c r="J184" s="79">
        <v>100</v>
      </c>
      <c r="K184" s="79">
        <v>300</v>
      </c>
      <c r="L184" s="76">
        <f t="shared" si="22"/>
        <v>1274</v>
      </c>
      <c r="M184" s="87">
        <v>600</v>
      </c>
      <c r="N184" s="76">
        <f>75</f>
        <v>75</v>
      </c>
      <c r="O184" s="79">
        <v>240</v>
      </c>
      <c r="P184" s="79">
        <v>160</v>
      </c>
      <c r="Q184" s="79">
        <f t="shared" si="23"/>
        <v>195</v>
      </c>
      <c r="R184" s="79">
        <f t="shared" si="24"/>
        <v>100</v>
      </c>
      <c r="S184" s="76">
        <f t="shared" si="25"/>
        <v>695</v>
      </c>
      <c r="T184" s="76">
        <f>50</f>
        <v>50</v>
      </c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</row>
    <row r="185" spans="1:30" ht="15.75" x14ac:dyDescent="0.25">
      <c r="A185" s="13">
        <v>46539</v>
      </c>
      <c r="B185" s="90">
        <v>30</v>
      </c>
      <c r="C185" s="76">
        <f>194.205</f>
        <v>194.20500000000001</v>
      </c>
      <c r="D185" s="76">
        <f>267.466</f>
        <v>267.46600000000001</v>
      </c>
      <c r="E185" s="85">
        <f>133.845</f>
        <v>133.845</v>
      </c>
      <c r="F185" s="76">
        <f>278.484-40-25-60-100</f>
        <v>53.48399999999998</v>
      </c>
      <c r="G185" s="79">
        <v>40</v>
      </c>
      <c r="H185" s="76">
        <f t="shared" si="30"/>
        <v>185</v>
      </c>
      <c r="I185" s="76">
        <f t="shared" si="29"/>
        <v>0</v>
      </c>
      <c r="J185" s="79">
        <v>100</v>
      </c>
      <c r="K185" s="79">
        <v>300</v>
      </c>
      <c r="L185" s="76">
        <f t="shared" si="22"/>
        <v>1274</v>
      </c>
      <c r="M185" s="87">
        <v>600</v>
      </c>
      <c r="N185" s="76">
        <f>30</f>
        <v>30</v>
      </c>
      <c r="O185" s="79">
        <v>240</v>
      </c>
      <c r="P185" s="79">
        <v>160</v>
      </c>
      <c r="Q185" s="79">
        <f t="shared" si="23"/>
        <v>195</v>
      </c>
      <c r="R185" s="79">
        <f t="shared" si="24"/>
        <v>100</v>
      </c>
      <c r="S185" s="76">
        <f t="shared" si="25"/>
        <v>695</v>
      </c>
      <c r="T185" s="76">
        <f>50</f>
        <v>50</v>
      </c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</row>
    <row r="186" spans="1:30" ht="15.75" x14ac:dyDescent="0.25">
      <c r="A186" s="13">
        <v>46569</v>
      </c>
      <c r="B186" s="90">
        <v>31</v>
      </c>
      <c r="C186" s="76">
        <f>194.205</f>
        <v>194.20500000000001</v>
      </c>
      <c r="D186" s="76">
        <f>267.466</f>
        <v>267.46600000000001</v>
      </c>
      <c r="E186" s="85">
        <f>133.845</f>
        <v>133.845</v>
      </c>
      <c r="F186" s="76">
        <f>278.484-40-25-60-100</f>
        <v>53.48399999999998</v>
      </c>
      <c r="G186" s="79">
        <v>40</v>
      </c>
      <c r="H186" s="76">
        <f t="shared" si="30"/>
        <v>185</v>
      </c>
      <c r="I186" s="76">
        <f t="shared" si="29"/>
        <v>0</v>
      </c>
      <c r="J186" s="79">
        <v>100</v>
      </c>
      <c r="K186" s="79">
        <v>300</v>
      </c>
      <c r="L186" s="76">
        <f t="shared" si="22"/>
        <v>1274</v>
      </c>
      <c r="M186" s="87">
        <v>600</v>
      </c>
      <c r="N186" s="76">
        <f>30</f>
        <v>30</v>
      </c>
      <c r="O186" s="79">
        <v>240</v>
      </c>
      <c r="P186" s="79">
        <v>160</v>
      </c>
      <c r="Q186" s="79">
        <f t="shared" si="23"/>
        <v>195</v>
      </c>
      <c r="R186" s="79">
        <f t="shared" si="24"/>
        <v>100</v>
      </c>
      <c r="S186" s="76">
        <f t="shared" si="25"/>
        <v>695</v>
      </c>
      <c r="T186" s="76">
        <f>0</f>
        <v>0</v>
      </c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</row>
    <row r="187" spans="1:30" ht="15.75" x14ac:dyDescent="0.25">
      <c r="A187" s="13">
        <v>46600</v>
      </c>
      <c r="B187" s="90">
        <v>31</v>
      </c>
      <c r="C187" s="76">
        <f>194.205</f>
        <v>194.20500000000001</v>
      </c>
      <c r="D187" s="76">
        <f>267.466</f>
        <v>267.46600000000001</v>
      </c>
      <c r="E187" s="85">
        <f>133.845</f>
        <v>133.845</v>
      </c>
      <c r="F187" s="76">
        <f>278.484-40-25-60-100</f>
        <v>53.48399999999998</v>
      </c>
      <c r="G187" s="79">
        <v>40</v>
      </c>
      <c r="H187" s="76">
        <f t="shared" si="30"/>
        <v>185</v>
      </c>
      <c r="I187" s="76">
        <f t="shared" si="29"/>
        <v>0</v>
      </c>
      <c r="J187" s="79">
        <v>100</v>
      </c>
      <c r="K187" s="79">
        <v>300</v>
      </c>
      <c r="L187" s="76">
        <f t="shared" si="22"/>
        <v>1274</v>
      </c>
      <c r="M187" s="87">
        <v>600</v>
      </c>
      <c r="N187" s="76">
        <f>30</f>
        <v>30</v>
      </c>
      <c r="O187" s="79">
        <v>240</v>
      </c>
      <c r="P187" s="79">
        <v>160</v>
      </c>
      <c r="Q187" s="79">
        <f t="shared" si="23"/>
        <v>195</v>
      </c>
      <c r="R187" s="79">
        <f t="shared" si="24"/>
        <v>100</v>
      </c>
      <c r="S187" s="76">
        <f t="shared" si="25"/>
        <v>695</v>
      </c>
      <c r="T187" s="76">
        <f>0</f>
        <v>0</v>
      </c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</row>
    <row r="188" spans="1:30" ht="15.75" x14ac:dyDescent="0.25">
      <c r="A188" s="13">
        <v>46631</v>
      </c>
      <c r="B188" s="90">
        <v>30</v>
      </c>
      <c r="C188" s="76">
        <f>194.205</f>
        <v>194.20500000000001</v>
      </c>
      <c r="D188" s="76">
        <f>267.466</f>
        <v>267.46600000000001</v>
      </c>
      <c r="E188" s="85">
        <f>133.845</f>
        <v>133.845</v>
      </c>
      <c r="F188" s="76">
        <f>278.484-40-25-60-100</f>
        <v>53.48399999999998</v>
      </c>
      <c r="G188" s="79">
        <v>40</v>
      </c>
      <c r="H188" s="76">
        <f t="shared" si="30"/>
        <v>185</v>
      </c>
      <c r="I188" s="76">
        <f t="shared" si="29"/>
        <v>0</v>
      </c>
      <c r="J188" s="79">
        <v>100</v>
      </c>
      <c r="K188" s="79">
        <v>300</v>
      </c>
      <c r="L188" s="76">
        <f t="shared" si="22"/>
        <v>1274</v>
      </c>
      <c r="M188" s="87">
        <v>600</v>
      </c>
      <c r="N188" s="76">
        <f>30</f>
        <v>30</v>
      </c>
      <c r="O188" s="79">
        <v>240</v>
      </c>
      <c r="P188" s="79">
        <v>160</v>
      </c>
      <c r="Q188" s="79">
        <f t="shared" si="23"/>
        <v>195</v>
      </c>
      <c r="R188" s="79">
        <f t="shared" si="24"/>
        <v>100</v>
      </c>
      <c r="S188" s="76">
        <f t="shared" si="25"/>
        <v>695</v>
      </c>
      <c r="T188" s="76">
        <f>0</f>
        <v>0</v>
      </c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</row>
    <row r="189" spans="1:30" ht="15.75" x14ac:dyDescent="0.25">
      <c r="A189" s="13">
        <v>46661</v>
      </c>
      <c r="B189" s="90">
        <v>31</v>
      </c>
      <c r="C189" s="76">
        <f>131.881</f>
        <v>131.881</v>
      </c>
      <c r="D189" s="76">
        <f>277.167</f>
        <v>277.16699999999997</v>
      </c>
      <c r="E189" s="85">
        <f>79.08</f>
        <v>79.08</v>
      </c>
      <c r="F189" s="76">
        <f>350.872-40-25-60-100</f>
        <v>125.87200000000001</v>
      </c>
      <c r="G189" s="79">
        <v>40</v>
      </c>
      <c r="H189" s="76">
        <f t="shared" si="30"/>
        <v>185</v>
      </c>
      <c r="I189" s="76">
        <f t="shared" si="29"/>
        <v>0</v>
      </c>
      <c r="J189" s="79">
        <v>100</v>
      </c>
      <c r="K189" s="79">
        <v>300</v>
      </c>
      <c r="L189" s="76">
        <f t="shared" si="22"/>
        <v>1239</v>
      </c>
      <c r="M189" s="87">
        <v>600</v>
      </c>
      <c r="N189" s="76">
        <f>75</f>
        <v>75</v>
      </c>
      <c r="O189" s="79">
        <v>240</v>
      </c>
      <c r="P189" s="79">
        <v>160</v>
      </c>
      <c r="Q189" s="79">
        <f t="shared" si="23"/>
        <v>195</v>
      </c>
      <c r="R189" s="79">
        <f t="shared" si="24"/>
        <v>100</v>
      </c>
      <c r="S189" s="76">
        <f t="shared" si="25"/>
        <v>695</v>
      </c>
      <c r="T189" s="76">
        <f>0</f>
        <v>0</v>
      </c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</row>
    <row r="190" spans="1:30" ht="15.75" x14ac:dyDescent="0.25">
      <c r="A190" s="13">
        <v>46692</v>
      </c>
      <c r="B190" s="90">
        <v>30</v>
      </c>
      <c r="C190" s="76">
        <f>122.58</f>
        <v>122.58</v>
      </c>
      <c r="D190" s="76">
        <f>297.941</f>
        <v>297.94099999999997</v>
      </c>
      <c r="E190" s="85">
        <f>89.177</f>
        <v>89.177000000000007</v>
      </c>
      <c r="F190" s="76">
        <f>240.302-40-60-100</f>
        <v>40.301999999999992</v>
      </c>
      <c r="G190" s="79">
        <v>40</v>
      </c>
      <c r="H190" s="76">
        <f>60+100</f>
        <v>160</v>
      </c>
      <c r="I190" s="76">
        <f t="shared" si="29"/>
        <v>0</v>
      </c>
      <c r="J190" s="79">
        <v>100</v>
      </c>
      <c r="K190" s="79">
        <v>300</v>
      </c>
      <c r="L190" s="76">
        <f t="shared" si="22"/>
        <v>1150</v>
      </c>
      <c r="M190" s="87">
        <v>600</v>
      </c>
      <c r="N190" s="76">
        <f>100</f>
        <v>100</v>
      </c>
      <c r="O190" s="79">
        <v>240</v>
      </c>
      <c r="P190" s="79">
        <v>40</v>
      </c>
      <c r="Q190" s="79">
        <f t="shared" si="23"/>
        <v>315</v>
      </c>
      <c r="R190" s="79">
        <f t="shared" si="24"/>
        <v>100</v>
      </c>
      <c r="S190" s="76">
        <f t="shared" si="25"/>
        <v>695</v>
      </c>
      <c r="T190" s="76">
        <f>50</f>
        <v>50</v>
      </c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</row>
    <row r="191" spans="1:30" ht="15.75" x14ac:dyDescent="0.25">
      <c r="A191" s="13">
        <v>46722</v>
      </c>
      <c r="B191" s="90">
        <v>31</v>
      </c>
      <c r="C191" s="76">
        <f>122.58</f>
        <v>122.58</v>
      </c>
      <c r="D191" s="76">
        <f>297.941</f>
        <v>297.94099999999997</v>
      </c>
      <c r="E191" s="85">
        <f>89.177</f>
        <v>89.177000000000007</v>
      </c>
      <c r="F191" s="76">
        <f>240.302-40-60-100</f>
        <v>40.301999999999992</v>
      </c>
      <c r="G191" s="79">
        <v>40</v>
      </c>
      <c r="H191" s="76">
        <f>60+100</f>
        <v>160</v>
      </c>
      <c r="I191" s="76">
        <f t="shared" si="29"/>
        <v>0</v>
      </c>
      <c r="J191" s="79">
        <v>100</v>
      </c>
      <c r="K191" s="79">
        <v>300</v>
      </c>
      <c r="L191" s="76">
        <f t="shared" si="22"/>
        <v>1150</v>
      </c>
      <c r="M191" s="87">
        <v>600</v>
      </c>
      <c r="N191" s="76">
        <f>100</f>
        <v>100</v>
      </c>
      <c r="O191" s="79">
        <v>240</v>
      </c>
      <c r="P191" s="79">
        <v>40</v>
      </c>
      <c r="Q191" s="79">
        <f t="shared" si="23"/>
        <v>315</v>
      </c>
      <c r="R191" s="79">
        <f t="shared" si="24"/>
        <v>100</v>
      </c>
      <c r="S191" s="76">
        <f t="shared" si="25"/>
        <v>695</v>
      </c>
      <c r="T191" s="76">
        <f>50</f>
        <v>50</v>
      </c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</row>
    <row r="192" spans="1:30" ht="15.75" x14ac:dyDescent="0.25">
      <c r="A192" s="13">
        <v>46753</v>
      </c>
      <c r="B192" s="90">
        <v>31</v>
      </c>
      <c r="C192" s="76">
        <f>122.58</f>
        <v>122.58</v>
      </c>
      <c r="D192" s="76">
        <f>297.941</f>
        <v>297.94099999999997</v>
      </c>
      <c r="E192" s="85">
        <f>89.177</f>
        <v>89.177000000000007</v>
      </c>
      <c r="F192" s="76">
        <f>240.302-40-60-100</f>
        <v>40.301999999999992</v>
      </c>
      <c r="G192" s="79">
        <v>40</v>
      </c>
      <c r="H192" s="76">
        <f>60+100</f>
        <v>160</v>
      </c>
      <c r="I192" s="76">
        <f t="shared" si="29"/>
        <v>0</v>
      </c>
      <c r="J192" s="79">
        <v>100</v>
      </c>
      <c r="K192" s="79">
        <v>300</v>
      </c>
      <c r="L192" s="76">
        <f t="shared" si="22"/>
        <v>1150</v>
      </c>
      <c r="M192" s="87">
        <v>600</v>
      </c>
      <c r="N192" s="76">
        <f>100</f>
        <v>100</v>
      </c>
      <c r="O192" s="79">
        <v>240</v>
      </c>
      <c r="P192" s="79">
        <v>40</v>
      </c>
      <c r="Q192" s="79">
        <f t="shared" si="23"/>
        <v>315</v>
      </c>
      <c r="R192" s="79">
        <f t="shared" si="24"/>
        <v>100</v>
      </c>
      <c r="S192" s="76">
        <f t="shared" si="25"/>
        <v>695</v>
      </c>
      <c r="T192" s="76">
        <f>50</f>
        <v>50</v>
      </c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</row>
    <row r="193" spans="1:30" ht="15.75" x14ac:dyDescent="0.25">
      <c r="A193" s="13">
        <v>46784</v>
      </c>
      <c r="B193" s="90">
        <v>29</v>
      </c>
      <c r="C193" s="76">
        <f>122.58</f>
        <v>122.58</v>
      </c>
      <c r="D193" s="76">
        <f>297.941</f>
        <v>297.94099999999997</v>
      </c>
      <c r="E193" s="85">
        <f>89.177</f>
        <v>89.177000000000007</v>
      </c>
      <c r="F193" s="76">
        <f>240.302-40-60-100</f>
        <v>40.301999999999992</v>
      </c>
      <c r="G193" s="79">
        <v>40</v>
      </c>
      <c r="H193" s="76">
        <f>60+100</f>
        <v>160</v>
      </c>
      <c r="I193" s="76">
        <f t="shared" si="29"/>
        <v>0</v>
      </c>
      <c r="J193" s="79">
        <v>100</v>
      </c>
      <c r="K193" s="79">
        <v>300</v>
      </c>
      <c r="L193" s="76">
        <f t="shared" si="22"/>
        <v>1150</v>
      </c>
      <c r="M193" s="87">
        <v>600</v>
      </c>
      <c r="N193" s="76">
        <f>100</f>
        <v>100</v>
      </c>
      <c r="O193" s="79">
        <v>240</v>
      </c>
      <c r="P193" s="79">
        <v>40</v>
      </c>
      <c r="Q193" s="79">
        <f t="shared" si="23"/>
        <v>315</v>
      </c>
      <c r="R193" s="79">
        <f t="shared" si="24"/>
        <v>100</v>
      </c>
      <c r="S193" s="76">
        <f t="shared" si="25"/>
        <v>695</v>
      </c>
      <c r="T193" s="76">
        <f>50</f>
        <v>50</v>
      </c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</row>
    <row r="194" spans="1:30" ht="15.75" x14ac:dyDescent="0.25">
      <c r="A194" s="13">
        <v>46813</v>
      </c>
      <c r="B194" s="90">
        <v>31</v>
      </c>
      <c r="C194" s="76">
        <f>122.58</f>
        <v>122.58</v>
      </c>
      <c r="D194" s="76">
        <f>297.941</f>
        <v>297.94099999999997</v>
      </c>
      <c r="E194" s="85">
        <f>89.177</f>
        <v>89.177000000000007</v>
      </c>
      <c r="F194" s="76">
        <f>240.302-40-60-100</f>
        <v>40.301999999999992</v>
      </c>
      <c r="G194" s="79">
        <v>40</v>
      </c>
      <c r="H194" s="76">
        <f>60+100</f>
        <v>160</v>
      </c>
      <c r="I194" s="76">
        <f t="shared" si="29"/>
        <v>0</v>
      </c>
      <c r="J194" s="79">
        <v>100</v>
      </c>
      <c r="K194" s="79">
        <v>300</v>
      </c>
      <c r="L194" s="76">
        <f t="shared" si="22"/>
        <v>1150</v>
      </c>
      <c r="M194" s="87">
        <v>600</v>
      </c>
      <c r="N194" s="76">
        <f>100</f>
        <v>100</v>
      </c>
      <c r="O194" s="79">
        <v>240</v>
      </c>
      <c r="P194" s="79">
        <v>40</v>
      </c>
      <c r="Q194" s="79">
        <f t="shared" si="23"/>
        <v>315</v>
      </c>
      <c r="R194" s="79">
        <f t="shared" si="24"/>
        <v>100</v>
      </c>
      <c r="S194" s="76">
        <f t="shared" si="25"/>
        <v>695</v>
      </c>
      <c r="T194" s="76">
        <f>50</f>
        <v>50</v>
      </c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</row>
    <row r="195" spans="1:30" ht="15.75" x14ac:dyDescent="0.25">
      <c r="A195" s="13">
        <v>46844</v>
      </c>
      <c r="B195" s="90">
        <v>30</v>
      </c>
      <c r="C195" s="76">
        <f>141.293</f>
        <v>141.29300000000001</v>
      </c>
      <c r="D195" s="76">
        <f>267.993</f>
        <v>267.99299999999999</v>
      </c>
      <c r="E195" s="85">
        <f>115.016</f>
        <v>115.01600000000001</v>
      </c>
      <c r="F195" s="76">
        <f>314.698-40-25-60-100</f>
        <v>89.697999999999979</v>
      </c>
      <c r="G195" s="79">
        <v>40</v>
      </c>
      <c r="H195" s="76">
        <f t="shared" ref="H195:H201" si="31">25+60+100</f>
        <v>185</v>
      </c>
      <c r="I195" s="76">
        <f t="shared" si="29"/>
        <v>0</v>
      </c>
      <c r="J195" s="79">
        <v>100</v>
      </c>
      <c r="K195" s="79">
        <v>300</v>
      </c>
      <c r="L195" s="76">
        <f t="shared" si="22"/>
        <v>1239</v>
      </c>
      <c r="M195" s="87">
        <v>600</v>
      </c>
      <c r="N195" s="76">
        <f>100</f>
        <v>100</v>
      </c>
      <c r="O195" s="79">
        <v>240</v>
      </c>
      <c r="P195" s="79">
        <v>160</v>
      </c>
      <c r="Q195" s="79">
        <f t="shared" si="23"/>
        <v>195</v>
      </c>
      <c r="R195" s="79">
        <f t="shared" si="24"/>
        <v>100</v>
      </c>
      <c r="S195" s="76">
        <f t="shared" si="25"/>
        <v>695</v>
      </c>
      <c r="T195" s="76">
        <f>50</f>
        <v>50</v>
      </c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</row>
    <row r="196" spans="1:30" ht="15.75" x14ac:dyDescent="0.25">
      <c r="A196" s="13">
        <v>46874</v>
      </c>
      <c r="B196" s="90">
        <v>31</v>
      </c>
      <c r="C196" s="76">
        <f>194.205</f>
        <v>194.20500000000001</v>
      </c>
      <c r="D196" s="76">
        <f>267.466</f>
        <v>267.46600000000001</v>
      </c>
      <c r="E196" s="85">
        <f>133.845</f>
        <v>133.845</v>
      </c>
      <c r="F196" s="76">
        <f>278.484-40-25-60-100</f>
        <v>53.48399999999998</v>
      </c>
      <c r="G196" s="79">
        <v>40</v>
      </c>
      <c r="H196" s="76">
        <f t="shared" si="31"/>
        <v>185</v>
      </c>
      <c r="I196" s="76">
        <f t="shared" si="29"/>
        <v>0</v>
      </c>
      <c r="J196" s="79">
        <v>100</v>
      </c>
      <c r="K196" s="79">
        <v>300</v>
      </c>
      <c r="L196" s="76">
        <f t="shared" si="22"/>
        <v>1274</v>
      </c>
      <c r="M196" s="87">
        <v>600</v>
      </c>
      <c r="N196" s="76">
        <f>75</f>
        <v>75</v>
      </c>
      <c r="O196" s="79">
        <v>240</v>
      </c>
      <c r="P196" s="79">
        <v>160</v>
      </c>
      <c r="Q196" s="79">
        <f t="shared" si="23"/>
        <v>195</v>
      </c>
      <c r="R196" s="79">
        <f t="shared" si="24"/>
        <v>100</v>
      </c>
      <c r="S196" s="76">
        <f t="shared" si="25"/>
        <v>695</v>
      </c>
      <c r="T196" s="76">
        <f>50</f>
        <v>50</v>
      </c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</row>
    <row r="197" spans="1:30" ht="15.75" x14ac:dyDescent="0.25">
      <c r="A197" s="13">
        <v>46905</v>
      </c>
      <c r="B197" s="90">
        <v>30</v>
      </c>
      <c r="C197" s="76">
        <f>194.205</f>
        <v>194.20500000000001</v>
      </c>
      <c r="D197" s="76">
        <f>267.466</f>
        <v>267.46600000000001</v>
      </c>
      <c r="E197" s="85">
        <f>133.845</f>
        <v>133.845</v>
      </c>
      <c r="F197" s="76">
        <f>278.484-40-25-60-100</f>
        <v>53.48399999999998</v>
      </c>
      <c r="G197" s="79">
        <v>40</v>
      </c>
      <c r="H197" s="76">
        <f t="shared" si="31"/>
        <v>185</v>
      </c>
      <c r="I197" s="76">
        <f t="shared" si="29"/>
        <v>0</v>
      </c>
      <c r="J197" s="79">
        <v>100</v>
      </c>
      <c r="K197" s="79">
        <v>300</v>
      </c>
      <c r="L197" s="76">
        <f t="shared" si="22"/>
        <v>1274</v>
      </c>
      <c r="M197" s="87">
        <v>600</v>
      </c>
      <c r="N197" s="76">
        <f>30</f>
        <v>30</v>
      </c>
      <c r="O197" s="79">
        <v>240</v>
      </c>
      <c r="P197" s="79">
        <v>160</v>
      </c>
      <c r="Q197" s="79">
        <f t="shared" si="23"/>
        <v>195</v>
      </c>
      <c r="R197" s="79">
        <f t="shared" si="24"/>
        <v>100</v>
      </c>
      <c r="S197" s="76">
        <f t="shared" si="25"/>
        <v>695</v>
      </c>
      <c r="T197" s="76">
        <f>50</f>
        <v>50</v>
      </c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</row>
    <row r="198" spans="1:30" ht="15.75" x14ac:dyDescent="0.25">
      <c r="A198" s="13">
        <v>46935</v>
      </c>
      <c r="B198" s="90">
        <v>31</v>
      </c>
      <c r="C198" s="76">
        <f>194.205</f>
        <v>194.20500000000001</v>
      </c>
      <c r="D198" s="76">
        <f>267.466</f>
        <v>267.46600000000001</v>
      </c>
      <c r="E198" s="85">
        <f>133.845</f>
        <v>133.845</v>
      </c>
      <c r="F198" s="76">
        <f>278.484-40-25-60-100</f>
        <v>53.48399999999998</v>
      </c>
      <c r="G198" s="79">
        <v>40</v>
      </c>
      <c r="H198" s="76">
        <f t="shared" si="31"/>
        <v>185</v>
      </c>
      <c r="I198" s="76">
        <f t="shared" si="29"/>
        <v>0</v>
      </c>
      <c r="J198" s="79">
        <v>100</v>
      </c>
      <c r="K198" s="79">
        <v>300</v>
      </c>
      <c r="L198" s="76">
        <f t="shared" si="22"/>
        <v>1274</v>
      </c>
      <c r="M198" s="87">
        <v>600</v>
      </c>
      <c r="N198" s="76">
        <f>30</f>
        <v>30</v>
      </c>
      <c r="O198" s="79">
        <v>240</v>
      </c>
      <c r="P198" s="79">
        <v>160</v>
      </c>
      <c r="Q198" s="79">
        <f t="shared" si="23"/>
        <v>195</v>
      </c>
      <c r="R198" s="79">
        <f t="shared" si="24"/>
        <v>100</v>
      </c>
      <c r="S198" s="76">
        <f t="shared" si="25"/>
        <v>695</v>
      </c>
      <c r="T198" s="76">
        <f>0</f>
        <v>0</v>
      </c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</row>
    <row r="199" spans="1:30" ht="15.75" x14ac:dyDescent="0.25">
      <c r="A199" s="13">
        <v>46966</v>
      </c>
      <c r="B199" s="90">
        <v>31</v>
      </c>
      <c r="C199" s="76">
        <f>194.205</f>
        <v>194.20500000000001</v>
      </c>
      <c r="D199" s="76">
        <f>267.466</f>
        <v>267.46600000000001</v>
      </c>
      <c r="E199" s="85">
        <f>133.845</f>
        <v>133.845</v>
      </c>
      <c r="F199" s="76">
        <f>278.484-40-25-60-100</f>
        <v>53.48399999999998</v>
      </c>
      <c r="G199" s="79">
        <v>40</v>
      </c>
      <c r="H199" s="76">
        <f t="shared" si="31"/>
        <v>185</v>
      </c>
      <c r="I199" s="76">
        <f t="shared" si="29"/>
        <v>0</v>
      </c>
      <c r="J199" s="79">
        <v>100</v>
      </c>
      <c r="K199" s="79">
        <v>300</v>
      </c>
      <c r="L199" s="76">
        <f t="shared" si="22"/>
        <v>1274</v>
      </c>
      <c r="M199" s="87">
        <v>600</v>
      </c>
      <c r="N199" s="76">
        <f>30</f>
        <v>30</v>
      </c>
      <c r="O199" s="79">
        <v>240</v>
      </c>
      <c r="P199" s="79">
        <v>160</v>
      </c>
      <c r="Q199" s="79">
        <f t="shared" si="23"/>
        <v>195</v>
      </c>
      <c r="R199" s="79">
        <f t="shared" si="24"/>
        <v>100</v>
      </c>
      <c r="S199" s="76">
        <f t="shared" si="25"/>
        <v>695</v>
      </c>
      <c r="T199" s="76">
        <f>0</f>
        <v>0</v>
      </c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</row>
    <row r="200" spans="1:30" ht="15.75" x14ac:dyDescent="0.25">
      <c r="A200" s="13">
        <v>46997</v>
      </c>
      <c r="B200" s="90">
        <v>30</v>
      </c>
      <c r="C200" s="76">
        <f>194.205</f>
        <v>194.20500000000001</v>
      </c>
      <c r="D200" s="76">
        <f>267.466</f>
        <v>267.46600000000001</v>
      </c>
      <c r="E200" s="85">
        <f>133.845</f>
        <v>133.845</v>
      </c>
      <c r="F200" s="76">
        <f>278.484-40-25-60-100</f>
        <v>53.48399999999998</v>
      </c>
      <c r="G200" s="79">
        <v>40</v>
      </c>
      <c r="H200" s="76">
        <f t="shared" si="31"/>
        <v>185</v>
      </c>
      <c r="I200" s="76">
        <f t="shared" si="29"/>
        <v>0</v>
      </c>
      <c r="J200" s="79">
        <v>100</v>
      </c>
      <c r="K200" s="79">
        <v>300</v>
      </c>
      <c r="L200" s="76">
        <f t="shared" si="22"/>
        <v>1274</v>
      </c>
      <c r="M200" s="87">
        <v>600</v>
      </c>
      <c r="N200" s="76">
        <f>30</f>
        <v>30</v>
      </c>
      <c r="O200" s="79">
        <v>240</v>
      </c>
      <c r="P200" s="79">
        <v>160</v>
      </c>
      <c r="Q200" s="79">
        <f t="shared" si="23"/>
        <v>195</v>
      </c>
      <c r="R200" s="79">
        <f t="shared" si="24"/>
        <v>100</v>
      </c>
      <c r="S200" s="76">
        <f t="shared" si="25"/>
        <v>695</v>
      </c>
      <c r="T200" s="76">
        <f>0</f>
        <v>0</v>
      </c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</row>
    <row r="201" spans="1:30" ht="15.75" x14ac:dyDescent="0.25">
      <c r="A201" s="13">
        <v>47027</v>
      </c>
      <c r="B201" s="90">
        <v>31</v>
      </c>
      <c r="C201" s="76">
        <f>131.881</f>
        <v>131.881</v>
      </c>
      <c r="D201" s="76">
        <f>277.167</f>
        <v>277.16699999999997</v>
      </c>
      <c r="E201" s="85">
        <f>79.08</f>
        <v>79.08</v>
      </c>
      <c r="F201" s="76">
        <f>350.872-40-25-60-100</f>
        <v>125.87200000000001</v>
      </c>
      <c r="G201" s="79">
        <v>40</v>
      </c>
      <c r="H201" s="76">
        <f t="shared" si="31"/>
        <v>185</v>
      </c>
      <c r="I201" s="76">
        <f t="shared" si="29"/>
        <v>0</v>
      </c>
      <c r="J201" s="79">
        <v>100</v>
      </c>
      <c r="K201" s="79">
        <v>300</v>
      </c>
      <c r="L201" s="76">
        <f t="shared" si="22"/>
        <v>1239</v>
      </c>
      <c r="M201" s="87">
        <v>600</v>
      </c>
      <c r="N201" s="76">
        <f>75</f>
        <v>75</v>
      </c>
      <c r="O201" s="79">
        <v>240</v>
      </c>
      <c r="P201" s="79">
        <v>160</v>
      </c>
      <c r="Q201" s="79">
        <f t="shared" si="23"/>
        <v>195</v>
      </c>
      <c r="R201" s="79">
        <f t="shared" si="24"/>
        <v>100</v>
      </c>
      <c r="S201" s="76">
        <f t="shared" si="25"/>
        <v>695</v>
      </c>
      <c r="T201" s="76">
        <f>0</f>
        <v>0</v>
      </c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</row>
    <row r="202" spans="1:30" ht="15.75" x14ac:dyDescent="0.25">
      <c r="A202" s="13">
        <v>47058</v>
      </c>
      <c r="B202" s="90">
        <v>30</v>
      </c>
      <c r="C202" s="76">
        <f>122.58</f>
        <v>122.58</v>
      </c>
      <c r="D202" s="76">
        <f>297.941</f>
        <v>297.94099999999997</v>
      </c>
      <c r="E202" s="85">
        <f>89.177</f>
        <v>89.177000000000007</v>
      </c>
      <c r="F202" s="76">
        <f>240.302-40-60-100</f>
        <v>40.301999999999992</v>
      </c>
      <c r="G202" s="79">
        <v>40</v>
      </c>
      <c r="H202" s="76">
        <f>60+100</f>
        <v>160</v>
      </c>
      <c r="I202" s="76">
        <f t="shared" si="29"/>
        <v>0</v>
      </c>
      <c r="J202" s="79">
        <v>100</v>
      </c>
      <c r="K202" s="79">
        <v>300</v>
      </c>
      <c r="L202" s="76">
        <f t="shared" si="22"/>
        <v>1150</v>
      </c>
      <c r="M202" s="87">
        <v>600</v>
      </c>
      <c r="N202" s="76">
        <f>100</f>
        <v>100</v>
      </c>
      <c r="O202" s="79">
        <v>240</v>
      </c>
      <c r="P202" s="79">
        <v>40</v>
      </c>
      <c r="Q202" s="79">
        <f t="shared" si="23"/>
        <v>315</v>
      </c>
      <c r="R202" s="79">
        <f t="shared" si="24"/>
        <v>100</v>
      </c>
      <c r="S202" s="76">
        <f t="shared" si="25"/>
        <v>695</v>
      </c>
      <c r="T202" s="76">
        <f>50</f>
        <v>50</v>
      </c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</row>
    <row r="203" spans="1:30" ht="15.75" x14ac:dyDescent="0.25">
      <c r="A203" s="13">
        <v>47088</v>
      </c>
      <c r="B203" s="90">
        <v>31</v>
      </c>
      <c r="C203" s="76">
        <f>122.58</f>
        <v>122.58</v>
      </c>
      <c r="D203" s="76">
        <f>297.941</f>
        <v>297.94099999999997</v>
      </c>
      <c r="E203" s="85">
        <f>89.177</f>
        <v>89.177000000000007</v>
      </c>
      <c r="F203" s="76">
        <f>240.302-40-60-100</f>
        <v>40.301999999999992</v>
      </c>
      <c r="G203" s="79">
        <v>40</v>
      </c>
      <c r="H203" s="76">
        <f>60+100</f>
        <v>160</v>
      </c>
      <c r="I203" s="76">
        <f t="shared" si="29"/>
        <v>0</v>
      </c>
      <c r="J203" s="79">
        <v>100</v>
      </c>
      <c r="K203" s="79">
        <v>300</v>
      </c>
      <c r="L203" s="76">
        <f t="shared" si="22"/>
        <v>1150</v>
      </c>
      <c r="M203" s="87">
        <v>600</v>
      </c>
      <c r="N203" s="76">
        <f>100</f>
        <v>100</v>
      </c>
      <c r="O203" s="79">
        <v>240</v>
      </c>
      <c r="P203" s="79">
        <v>40</v>
      </c>
      <c r="Q203" s="79">
        <f t="shared" si="23"/>
        <v>315</v>
      </c>
      <c r="R203" s="79">
        <f t="shared" si="24"/>
        <v>100</v>
      </c>
      <c r="S203" s="76">
        <f t="shared" si="25"/>
        <v>695</v>
      </c>
      <c r="T203" s="76">
        <f>50</f>
        <v>50</v>
      </c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</row>
    <row r="204" spans="1:30" ht="15.75" x14ac:dyDescent="0.25">
      <c r="A204" s="13">
        <v>47119</v>
      </c>
      <c r="B204" s="90">
        <v>31</v>
      </c>
      <c r="C204" s="76">
        <f>122.58</f>
        <v>122.58</v>
      </c>
      <c r="D204" s="76">
        <f>297.941</f>
        <v>297.94099999999997</v>
      </c>
      <c r="E204" s="85">
        <f>89.177</f>
        <v>89.177000000000007</v>
      </c>
      <c r="F204" s="76">
        <f>240.302-40-60-100</f>
        <v>40.301999999999992</v>
      </c>
      <c r="G204" s="79">
        <v>40</v>
      </c>
      <c r="H204" s="76">
        <f>60+100</f>
        <v>160</v>
      </c>
      <c r="I204" s="76">
        <f t="shared" si="29"/>
        <v>0</v>
      </c>
      <c r="J204" s="79">
        <v>100</v>
      </c>
      <c r="K204" s="79">
        <v>300</v>
      </c>
      <c r="L204" s="76">
        <f t="shared" si="22"/>
        <v>1150</v>
      </c>
      <c r="M204" s="87">
        <v>600</v>
      </c>
      <c r="N204" s="76">
        <f>100</f>
        <v>100</v>
      </c>
      <c r="O204" s="79">
        <v>240</v>
      </c>
      <c r="P204" s="79">
        <v>40</v>
      </c>
      <c r="Q204" s="79">
        <f t="shared" si="23"/>
        <v>315</v>
      </c>
      <c r="R204" s="79">
        <f t="shared" si="24"/>
        <v>100</v>
      </c>
      <c r="S204" s="76">
        <f t="shared" si="25"/>
        <v>695</v>
      </c>
      <c r="T204" s="76">
        <f>50</f>
        <v>50</v>
      </c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</row>
    <row r="205" spans="1:30" ht="15.75" x14ac:dyDescent="0.25">
      <c r="A205" s="13">
        <v>47150</v>
      </c>
      <c r="B205" s="90">
        <v>28</v>
      </c>
      <c r="C205" s="76">
        <f>122.58</f>
        <v>122.58</v>
      </c>
      <c r="D205" s="76">
        <f>297.941</f>
        <v>297.94099999999997</v>
      </c>
      <c r="E205" s="85">
        <f>89.177</f>
        <v>89.177000000000007</v>
      </c>
      <c r="F205" s="76">
        <f>240.302-40-60-100</f>
        <v>40.301999999999992</v>
      </c>
      <c r="G205" s="79">
        <v>40</v>
      </c>
      <c r="H205" s="76">
        <f>60+100</f>
        <v>160</v>
      </c>
      <c r="I205" s="76">
        <f t="shared" si="29"/>
        <v>0</v>
      </c>
      <c r="J205" s="79">
        <v>100</v>
      </c>
      <c r="K205" s="79">
        <v>300</v>
      </c>
      <c r="L205" s="76">
        <f t="shared" si="22"/>
        <v>1150</v>
      </c>
      <c r="M205" s="87">
        <v>600</v>
      </c>
      <c r="N205" s="76">
        <f>100</f>
        <v>100</v>
      </c>
      <c r="O205" s="79">
        <v>240</v>
      </c>
      <c r="P205" s="79">
        <v>40</v>
      </c>
      <c r="Q205" s="79">
        <f t="shared" si="23"/>
        <v>315</v>
      </c>
      <c r="R205" s="79">
        <f t="shared" si="24"/>
        <v>100</v>
      </c>
      <c r="S205" s="76">
        <f t="shared" si="25"/>
        <v>695</v>
      </c>
      <c r="T205" s="76">
        <f>50</f>
        <v>50</v>
      </c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</row>
    <row r="206" spans="1:30" ht="15.75" x14ac:dyDescent="0.25">
      <c r="A206" s="13">
        <v>47178</v>
      </c>
      <c r="B206" s="90">
        <v>31</v>
      </c>
      <c r="C206" s="76">
        <f>122.58</f>
        <v>122.58</v>
      </c>
      <c r="D206" s="76">
        <f>297.941</f>
        <v>297.94099999999997</v>
      </c>
      <c r="E206" s="85">
        <f>89.177</f>
        <v>89.177000000000007</v>
      </c>
      <c r="F206" s="76">
        <f>240.302-40-60-100</f>
        <v>40.301999999999992</v>
      </c>
      <c r="G206" s="79">
        <v>40</v>
      </c>
      <c r="H206" s="76">
        <f>60+100</f>
        <v>160</v>
      </c>
      <c r="I206" s="76">
        <f t="shared" si="29"/>
        <v>0</v>
      </c>
      <c r="J206" s="79">
        <v>100</v>
      </c>
      <c r="K206" s="79">
        <v>300</v>
      </c>
      <c r="L206" s="76">
        <f t="shared" si="22"/>
        <v>1150</v>
      </c>
      <c r="M206" s="87">
        <v>600</v>
      </c>
      <c r="N206" s="76">
        <f>100</f>
        <v>100</v>
      </c>
      <c r="O206" s="79">
        <v>240</v>
      </c>
      <c r="P206" s="79">
        <v>40</v>
      </c>
      <c r="Q206" s="79">
        <f t="shared" si="23"/>
        <v>315</v>
      </c>
      <c r="R206" s="79">
        <f t="shared" si="24"/>
        <v>100</v>
      </c>
      <c r="S206" s="76">
        <f t="shared" si="25"/>
        <v>695</v>
      </c>
      <c r="T206" s="76">
        <f>50</f>
        <v>50</v>
      </c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</row>
    <row r="207" spans="1:30" ht="15.75" x14ac:dyDescent="0.25">
      <c r="A207" s="13">
        <v>47209</v>
      </c>
      <c r="B207" s="90">
        <v>30</v>
      </c>
      <c r="C207" s="76">
        <f>141.293</f>
        <v>141.29300000000001</v>
      </c>
      <c r="D207" s="76">
        <f>267.993</f>
        <v>267.99299999999999</v>
      </c>
      <c r="E207" s="85">
        <f>115.016</f>
        <v>115.01600000000001</v>
      </c>
      <c r="F207" s="76">
        <f>314.698-40-25-60-100</f>
        <v>89.697999999999979</v>
      </c>
      <c r="G207" s="79">
        <v>40</v>
      </c>
      <c r="H207" s="76">
        <f t="shared" ref="H207:H213" si="32">25+60+100</f>
        <v>185</v>
      </c>
      <c r="I207" s="76">
        <f t="shared" si="29"/>
        <v>0</v>
      </c>
      <c r="J207" s="79">
        <v>100</v>
      </c>
      <c r="K207" s="79">
        <v>300</v>
      </c>
      <c r="L207" s="76">
        <f t="shared" si="22"/>
        <v>1239</v>
      </c>
      <c r="M207" s="87">
        <v>600</v>
      </c>
      <c r="N207" s="76">
        <f>100</f>
        <v>100</v>
      </c>
      <c r="O207" s="79">
        <v>240</v>
      </c>
      <c r="P207" s="79">
        <v>160</v>
      </c>
      <c r="Q207" s="79">
        <f t="shared" si="23"/>
        <v>195</v>
      </c>
      <c r="R207" s="79">
        <f t="shared" si="24"/>
        <v>100</v>
      </c>
      <c r="S207" s="76">
        <f t="shared" si="25"/>
        <v>695</v>
      </c>
      <c r="T207" s="76">
        <f>50</f>
        <v>50</v>
      </c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</row>
    <row r="208" spans="1:30" ht="15.75" x14ac:dyDescent="0.25">
      <c r="A208" s="13">
        <v>47239</v>
      </c>
      <c r="B208" s="90">
        <v>31</v>
      </c>
      <c r="C208" s="76">
        <f>194.205</f>
        <v>194.20500000000001</v>
      </c>
      <c r="D208" s="76">
        <f>267.466</f>
        <v>267.46600000000001</v>
      </c>
      <c r="E208" s="85">
        <f>133.845</f>
        <v>133.845</v>
      </c>
      <c r="F208" s="76">
        <f>278.484-40-25-60-100</f>
        <v>53.48399999999998</v>
      </c>
      <c r="G208" s="79">
        <v>40</v>
      </c>
      <c r="H208" s="76">
        <f t="shared" si="32"/>
        <v>185</v>
      </c>
      <c r="I208" s="76">
        <f t="shared" si="29"/>
        <v>0</v>
      </c>
      <c r="J208" s="79">
        <v>100</v>
      </c>
      <c r="K208" s="79">
        <v>300</v>
      </c>
      <c r="L208" s="76">
        <f t="shared" ref="L208:L271" si="33">SUM(C208:K208)</f>
        <v>1274</v>
      </c>
      <c r="M208" s="87">
        <v>600</v>
      </c>
      <c r="N208" s="76">
        <f>75</f>
        <v>75</v>
      </c>
      <c r="O208" s="79">
        <v>240</v>
      </c>
      <c r="P208" s="79">
        <v>160</v>
      </c>
      <c r="Q208" s="79">
        <f t="shared" ref="Q208:Q271" si="34">695-R208-O208-P208</f>
        <v>195</v>
      </c>
      <c r="R208" s="79">
        <f t="shared" ref="R208:R271" si="35">200-J208</f>
        <v>100</v>
      </c>
      <c r="S208" s="76">
        <f t="shared" ref="S208:S271" si="36">SUM(O208:R208)</f>
        <v>695</v>
      </c>
      <c r="T208" s="76">
        <f>50</f>
        <v>50</v>
      </c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</row>
    <row r="209" spans="1:30" ht="15.75" x14ac:dyDescent="0.25">
      <c r="A209" s="13">
        <v>47270</v>
      </c>
      <c r="B209" s="90">
        <v>30</v>
      </c>
      <c r="C209" s="76">
        <f>194.205</f>
        <v>194.20500000000001</v>
      </c>
      <c r="D209" s="76">
        <f>267.466</f>
        <v>267.46600000000001</v>
      </c>
      <c r="E209" s="85">
        <f>133.845</f>
        <v>133.845</v>
      </c>
      <c r="F209" s="76">
        <f>278.484-40-25-60-100</f>
        <v>53.48399999999998</v>
      </c>
      <c r="G209" s="79">
        <v>40</v>
      </c>
      <c r="H209" s="76">
        <f t="shared" si="32"/>
        <v>185</v>
      </c>
      <c r="I209" s="76">
        <f t="shared" si="29"/>
        <v>0</v>
      </c>
      <c r="J209" s="79">
        <v>100</v>
      </c>
      <c r="K209" s="79">
        <v>300</v>
      </c>
      <c r="L209" s="76">
        <f t="shared" si="33"/>
        <v>1274</v>
      </c>
      <c r="M209" s="87">
        <v>600</v>
      </c>
      <c r="N209" s="76">
        <f>30</f>
        <v>30</v>
      </c>
      <c r="O209" s="79">
        <v>240</v>
      </c>
      <c r="P209" s="79">
        <v>160</v>
      </c>
      <c r="Q209" s="79">
        <f t="shared" si="34"/>
        <v>195</v>
      </c>
      <c r="R209" s="79">
        <f t="shared" si="35"/>
        <v>100</v>
      </c>
      <c r="S209" s="76">
        <f t="shared" si="36"/>
        <v>695</v>
      </c>
      <c r="T209" s="76">
        <f>50</f>
        <v>50</v>
      </c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</row>
    <row r="210" spans="1:30" ht="15.75" x14ac:dyDescent="0.25">
      <c r="A210" s="13">
        <v>47300</v>
      </c>
      <c r="B210" s="90">
        <v>31</v>
      </c>
      <c r="C210" s="76">
        <f>194.205</f>
        <v>194.20500000000001</v>
      </c>
      <c r="D210" s="76">
        <f>267.466</f>
        <v>267.46600000000001</v>
      </c>
      <c r="E210" s="85">
        <f>133.845</f>
        <v>133.845</v>
      </c>
      <c r="F210" s="76">
        <f>278.484-40-25-60-100</f>
        <v>53.48399999999998</v>
      </c>
      <c r="G210" s="79">
        <v>40</v>
      </c>
      <c r="H210" s="76">
        <f t="shared" si="32"/>
        <v>185</v>
      </c>
      <c r="I210" s="76">
        <f t="shared" si="29"/>
        <v>0</v>
      </c>
      <c r="J210" s="79">
        <v>100</v>
      </c>
      <c r="K210" s="79">
        <v>300</v>
      </c>
      <c r="L210" s="76">
        <f t="shared" si="33"/>
        <v>1274</v>
      </c>
      <c r="M210" s="87">
        <v>600</v>
      </c>
      <c r="N210" s="76">
        <f>30</f>
        <v>30</v>
      </c>
      <c r="O210" s="79">
        <v>240</v>
      </c>
      <c r="P210" s="79">
        <v>160</v>
      </c>
      <c r="Q210" s="79">
        <f t="shared" si="34"/>
        <v>195</v>
      </c>
      <c r="R210" s="79">
        <f t="shared" si="35"/>
        <v>100</v>
      </c>
      <c r="S210" s="76">
        <f t="shared" si="36"/>
        <v>695</v>
      </c>
      <c r="T210" s="76">
        <f>0</f>
        <v>0</v>
      </c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</row>
    <row r="211" spans="1:30" ht="15.75" x14ac:dyDescent="0.25">
      <c r="A211" s="13">
        <v>47331</v>
      </c>
      <c r="B211" s="90">
        <v>31</v>
      </c>
      <c r="C211" s="76">
        <f>194.205</f>
        <v>194.20500000000001</v>
      </c>
      <c r="D211" s="76">
        <f>267.466</f>
        <v>267.46600000000001</v>
      </c>
      <c r="E211" s="85">
        <f>133.845</f>
        <v>133.845</v>
      </c>
      <c r="F211" s="76">
        <f>278.484-40-25-60-100</f>
        <v>53.48399999999998</v>
      </c>
      <c r="G211" s="79">
        <v>40</v>
      </c>
      <c r="H211" s="76">
        <f t="shared" si="32"/>
        <v>185</v>
      </c>
      <c r="I211" s="76">
        <f t="shared" si="29"/>
        <v>0</v>
      </c>
      <c r="J211" s="79">
        <v>100</v>
      </c>
      <c r="K211" s="79">
        <v>300</v>
      </c>
      <c r="L211" s="76">
        <f t="shared" si="33"/>
        <v>1274</v>
      </c>
      <c r="M211" s="87">
        <v>600</v>
      </c>
      <c r="N211" s="76">
        <f>30</f>
        <v>30</v>
      </c>
      <c r="O211" s="79">
        <v>240</v>
      </c>
      <c r="P211" s="79">
        <v>160</v>
      </c>
      <c r="Q211" s="79">
        <f t="shared" si="34"/>
        <v>195</v>
      </c>
      <c r="R211" s="79">
        <f t="shared" si="35"/>
        <v>100</v>
      </c>
      <c r="S211" s="76">
        <f t="shared" si="36"/>
        <v>695</v>
      </c>
      <c r="T211" s="76">
        <f>0</f>
        <v>0</v>
      </c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</row>
    <row r="212" spans="1:30" ht="15.75" x14ac:dyDescent="0.25">
      <c r="A212" s="13">
        <v>47362</v>
      </c>
      <c r="B212" s="90">
        <v>30</v>
      </c>
      <c r="C212" s="76">
        <f>194.205</f>
        <v>194.20500000000001</v>
      </c>
      <c r="D212" s="76">
        <f>267.466</f>
        <v>267.46600000000001</v>
      </c>
      <c r="E212" s="85">
        <f>133.845</f>
        <v>133.845</v>
      </c>
      <c r="F212" s="76">
        <f>278.484-40-25-60-100</f>
        <v>53.48399999999998</v>
      </c>
      <c r="G212" s="79">
        <v>40</v>
      </c>
      <c r="H212" s="76">
        <f t="shared" si="32"/>
        <v>185</v>
      </c>
      <c r="I212" s="76">
        <f t="shared" si="29"/>
        <v>0</v>
      </c>
      <c r="J212" s="79">
        <v>100</v>
      </c>
      <c r="K212" s="79">
        <v>300</v>
      </c>
      <c r="L212" s="76">
        <f t="shared" si="33"/>
        <v>1274</v>
      </c>
      <c r="M212" s="87">
        <v>600</v>
      </c>
      <c r="N212" s="76">
        <f>30</f>
        <v>30</v>
      </c>
      <c r="O212" s="79">
        <v>240</v>
      </c>
      <c r="P212" s="79">
        <v>160</v>
      </c>
      <c r="Q212" s="79">
        <f t="shared" si="34"/>
        <v>195</v>
      </c>
      <c r="R212" s="79">
        <f t="shared" si="35"/>
        <v>100</v>
      </c>
      <c r="S212" s="76">
        <f t="shared" si="36"/>
        <v>695</v>
      </c>
      <c r="T212" s="76">
        <f>0</f>
        <v>0</v>
      </c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</row>
    <row r="213" spans="1:30" ht="15.75" x14ac:dyDescent="0.25">
      <c r="A213" s="13">
        <v>47392</v>
      </c>
      <c r="B213" s="90">
        <v>31</v>
      </c>
      <c r="C213" s="76">
        <f>131.881</f>
        <v>131.881</v>
      </c>
      <c r="D213" s="76">
        <f>277.167</f>
        <v>277.16699999999997</v>
      </c>
      <c r="E213" s="85">
        <f>79.08</f>
        <v>79.08</v>
      </c>
      <c r="F213" s="76">
        <f>350.872-40-25-60-100</f>
        <v>125.87200000000001</v>
      </c>
      <c r="G213" s="79">
        <v>40</v>
      </c>
      <c r="H213" s="76">
        <f t="shared" si="32"/>
        <v>185</v>
      </c>
      <c r="I213" s="76">
        <f t="shared" si="29"/>
        <v>0</v>
      </c>
      <c r="J213" s="79">
        <v>100</v>
      </c>
      <c r="K213" s="79">
        <v>300</v>
      </c>
      <c r="L213" s="76">
        <f t="shared" si="33"/>
        <v>1239</v>
      </c>
      <c r="M213" s="87">
        <v>600</v>
      </c>
      <c r="N213" s="76">
        <f>75</f>
        <v>75</v>
      </c>
      <c r="O213" s="79">
        <v>240</v>
      </c>
      <c r="P213" s="79">
        <v>160</v>
      </c>
      <c r="Q213" s="79">
        <f t="shared" si="34"/>
        <v>195</v>
      </c>
      <c r="R213" s="79">
        <f t="shared" si="35"/>
        <v>100</v>
      </c>
      <c r="S213" s="76">
        <f t="shared" si="36"/>
        <v>695</v>
      </c>
      <c r="T213" s="76">
        <f>0</f>
        <v>0</v>
      </c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</row>
    <row r="214" spans="1:30" ht="15.75" x14ac:dyDescent="0.25">
      <c r="A214" s="13">
        <v>47423</v>
      </c>
      <c r="B214" s="90">
        <v>30</v>
      </c>
      <c r="C214" s="76">
        <f>122.58</f>
        <v>122.58</v>
      </c>
      <c r="D214" s="76">
        <f>297.941</f>
        <v>297.94099999999997</v>
      </c>
      <c r="E214" s="85">
        <f>89.177</f>
        <v>89.177000000000007</v>
      </c>
      <c r="F214" s="76">
        <f>240.302-40-60-100</f>
        <v>40.301999999999992</v>
      </c>
      <c r="G214" s="79">
        <v>40</v>
      </c>
      <c r="H214" s="76">
        <f>60+100</f>
        <v>160</v>
      </c>
      <c r="I214" s="76">
        <f t="shared" si="29"/>
        <v>0</v>
      </c>
      <c r="J214" s="79">
        <v>100</v>
      </c>
      <c r="K214" s="79">
        <v>300</v>
      </c>
      <c r="L214" s="76">
        <f t="shared" si="33"/>
        <v>1150</v>
      </c>
      <c r="M214" s="87">
        <v>600</v>
      </c>
      <c r="N214" s="76">
        <f>100</f>
        <v>100</v>
      </c>
      <c r="O214" s="79">
        <v>240</v>
      </c>
      <c r="P214" s="79">
        <v>40</v>
      </c>
      <c r="Q214" s="79">
        <f t="shared" si="34"/>
        <v>315</v>
      </c>
      <c r="R214" s="79">
        <f t="shared" si="35"/>
        <v>100</v>
      </c>
      <c r="S214" s="76">
        <f t="shared" si="36"/>
        <v>695</v>
      </c>
      <c r="T214" s="76">
        <f>50</f>
        <v>50</v>
      </c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</row>
    <row r="215" spans="1:30" ht="15.75" x14ac:dyDescent="0.25">
      <c r="A215" s="13">
        <v>47453</v>
      </c>
      <c r="B215" s="90">
        <v>31</v>
      </c>
      <c r="C215" s="76">
        <f>122.58</f>
        <v>122.58</v>
      </c>
      <c r="D215" s="76">
        <f>297.941</f>
        <v>297.94099999999997</v>
      </c>
      <c r="E215" s="85">
        <f>89.177</f>
        <v>89.177000000000007</v>
      </c>
      <c r="F215" s="76">
        <f>240.302-40-60-100</f>
        <v>40.301999999999992</v>
      </c>
      <c r="G215" s="79">
        <v>40</v>
      </c>
      <c r="H215" s="76">
        <f>60+100</f>
        <v>160</v>
      </c>
      <c r="I215" s="76">
        <f t="shared" si="29"/>
        <v>0</v>
      </c>
      <c r="J215" s="79">
        <v>100</v>
      </c>
      <c r="K215" s="79">
        <v>300</v>
      </c>
      <c r="L215" s="76">
        <f t="shared" si="33"/>
        <v>1150</v>
      </c>
      <c r="M215" s="87">
        <v>600</v>
      </c>
      <c r="N215" s="76">
        <f>100</f>
        <v>100</v>
      </c>
      <c r="O215" s="79">
        <v>240</v>
      </c>
      <c r="P215" s="79">
        <v>40</v>
      </c>
      <c r="Q215" s="79">
        <f t="shared" si="34"/>
        <v>315</v>
      </c>
      <c r="R215" s="79">
        <f t="shared" si="35"/>
        <v>100</v>
      </c>
      <c r="S215" s="76">
        <f t="shared" si="36"/>
        <v>695</v>
      </c>
      <c r="T215" s="76">
        <f>50</f>
        <v>50</v>
      </c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</row>
    <row r="216" spans="1:30" ht="15.75" x14ac:dyDescent="0.25">
      <c r="A216" s="13">
        <v>47484</v>
      </c>
      <c r="B216" s="90">
        <v>31</v>
      </c>
      <c r="C216" s="76">
        <f>122.58</f>
        <v>122.58</v>
      </c>
      <c r="D216" s="76">
        <f>297.941</f>
        <v>297.94099999999997</v>
      </c>
      <c r="E216" s="85">
        <f>89.177</f>
        <v>89.177000000000007</v>
      </c>
      <c r="F216" s="76">
        <f>240.302-40-60-100</f>
        <v>40.301999999999992</v>
      </c>
      <c r="G216" s="79">
        <v>40</v>
      </c>
      <c r="H216" s="76">
        <f>60+100</f>
        <v>160</v>
      </c>
      <c r="I216" s="76">
        <f t="shared" si="29"/>
        <v>0</v>
      </c>
      <c r="J216" s="79">
        <v>100</v>
      </c>
      <c r="K216" s="79">
        <v>300</v>
      </c>
      <c r="L216" s="76">
        <f t="shared" si="33"/>
        <v>1150</v>
      </c>
      <c r="M216" s="87">
        <v>600</v>
      </c>
      <c r="N216" s="76">
        <f>100</f>
        <v>100</v>
      </c>
      <c r="O216" s="79">
        <v>240</v>
      </c>
      <c r="P216" s="79">
        <v>40</v>
      </c>
      <c r="Q216" s="79">
        <f t="shared" si="34"/>
        <v>315</v>
      </c>
      <c r="R216" s="79">
        <f t="shared" si="35"/>
        <v>100</v>
      </c>
      <c r="S216" s="76">
        <f t="shared" si="36"/>
        <v>695</v>
      </c>
      <c r="T216" s="76">
        <f>50</f>
        <v>50</v>
      </c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</row>
    <row r="217" spans="1:30" ht="15.75" x14ac:dyDescent="0.25">
      <c r="A217" s="13">
        <v>47515</v>
      </c>
      <c r="B217" s="90">
        <v>28</v>
      </c>
      <c r="C217" s="76">
        <f>122.58</f>
        <v>122.58</v>
      </c>
      <c r="D217" s="76">
        <f>297.941</f>
        <v>297.94099999999997</v>
      </c>
      <c r="E217" s="85">
        <f>89.177</f>
        <v>89.177000000000007</v>
      </c>
      <c r="F217" s="76">
        <f>240.302-40-60-100</f>
        <v>40.301999999999992</v>
      </c>
      <c r="G217" s="79">
        <v>40</v>
      </c>
      <c r="H217" s="76">
        <f>60+100</f>
        <v>160</v>
      </c>
      <c r="I217" s="76">
        <f t="shared" si="29"/>
        <v>0</v>
      </c>
      <c r="J217" s="79">
        <v>100</v>
      </c>
      <c r="K217" s="79">
        <v>300</v>
      </c>
      <c r="L217" s="76">
        <f t="shared" si="33"/>
        <v>1150</v>
      </c>
      <c r="M217" s="87">
        <v>600</v>
      </c>
      <c r="N217" s="76">
        <f>100</f>
        <v>100</v>
      </c>
      <c r="O217" s="79">
        <v>240</v>
      </c>
      <c r="P217" s="79">
        <v>40</v>
      </c>
      <c r="Q217" s="79">
        <f t="shared" si="34"/>
        <v>315</v>
      </c>
      <c r="R217" s="79">
        <f t="shared" si="35"/>
        <v>100</v>
      </c>
      <c r="S217" s="76">
        <f t="shared" si="36"/>
        <v>695</v>
      </c>
      <c r="T217" s="76">
        <f>50</f>
        <v>50</v>
      </c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</row>
    <row r="218" spans="1:30" ht="15.75" x14ac:dyDescent="0.25">
      <c r="A218" s="13">
        <v>47543</v>
      </c>
      <c r="B218" s="90">
        <v>31</v>
      </c>
      <c r="C218" s="76">
        <f>122.58</f>
        <v>122.58</v>
      </c>
      <c r="D218" s="76">
        <f>297.941</f>
        <v>297.94099999999997</v>
      </c>
      <c r="E218" s="85">
        <f>89.177</f>
        <v>89.177000000000007</v>
      </c>
      <c r="F218" s="76">
        <f>240.302-40-60-100</f>
        <v>40.301999999999992</v>
      </c>
      <c r="G218" s="79">
        <v>40</v>
      </c>
      <c r="H218" s="76">
        <f>60+100</f>
        <v>160</v>
      </c>
      <c r="I218" s="76">
        <f t="shared" si="29"/>
        <v>0</v>
      </c>
      <c r="J218" s="79">
        <v>100</v>
      </c>
      <c r="K218" s="79">
        <v>300</v>
      </c>
      <c r="L218" s="76">
        <f t="shared" si="33"/>
        <v>1150</v>
      </c>
      <c r="M218" s="87">
        <v>600</v>
      </c>
      <c r="N218" s="76">
        <f>100</f>
        <v>100</v>
      </c>
      <c r="O218" s="79">
        <v>240</v>
      </c>
      <c r="P218" s="79">
        <v>40</v>
      </c>
      <c r="Q218" s="79">
        <f t="shared" si="34"/>
        <v>315</v>
      </c>
      <c r="R218" s="79">
        <f t="shared" si="35"/>
        <v>100</v>
      </c>
      <c r="S218" s="76">
        <f t="shared" si="36"/>
        <v>695</v>
      </c>
      <c r="T218" s="76">
        <f>50</f>
        <v>50</v>
      </c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</row>
    <row r="219" spans="1:30" ht="15.75" x14ac:dyDescent="0.25">
      <c r="A219" s="13">
        <v>47574</v>
      </c>
      <c r="B219" s="90">
        <v>30</v>
      </c>
      <c r="C219" s="76">
        <f>141.293</f>
        <v>141.29300000000001</v>
      </c>
      <c r="D219" s="76">
        <f>267.993</f>
        <v>267.99299999999999</v>
      </c>
      <c r="E219" s="85">
        <f>115.016</f>
        <v>115.01600000000001</v>
      </c>
      <c r="F219" s="76">
        <f>314.698-40-25-60-100</f>
        <v>89.697999999999979</v>
      </c>
      <c r="G219" s="79">
        <v>40</v>
      </c>
      <c r="H219" s="76">
        <f t="shared" ref="H219:H225" si="37">25+60+100</f>
        <v>185</v>
      </c>
      <c r="I219" s="76">
        <f t="shared" si="29"/>
        <v>0</v>
      </c>
      <c r="J219" s="79">
        <v>100</v>
      </c>
      <c r="K219" s="79">
        <v>300</v>
      </c>
      <c r="L219" s="76">
        <f t="shared" si="33"/>
        <v>1239</v>
      </c>
      <c r="M219" s="87">
        <v>600</v>
      </c>
      <c r="N219" s="76">
        <f>100</f>
        <v>100</v>
      </c>
      <c r="O219" s="79">
        <v>240</v>
      </c>
      <c r="P219" s="79">
        <v>160</v>
      </c>
      <c r="Q219" s="79">
        <f t="shared" si="34"/>
        <v>195</v>
      </c>
      <c r="R219" s="79">
        <f t="shared" si="35"/>
        <v>100</v>
      </c>
      <c r="S219" s="76">
        <f t="shared" si="36"/>
        <v>695</v>
      </c>
      <c r="T219" s="76">
        <f>50</f>
        <v>50</v>
      </c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</row>
    <row r="220" spans="1:30" ht="15.75" x14ac:dyDescent="0.25">
      <c r="A220" s="13">
        <v>47604</v>
      </c>
      <c r="B220" s="90">
        <v>31</v>
      </c>
      <c r="C220" s="76">
        <f>194.205</f>
        <v>194.20500000000001</v>
      </c>
      <c r="D220" s="76">
        <f>267.466</f>
        <v>267.46600000000001</v>
      </c>
      <c r="E220" s="85">
        <f>133.845</f>
        <v>133.845</v>
      </c>
      <c r="F220" s="76">
        <f>278.484-40-25-60-100</f>
        <v>53.48399999999998</v>
      </c>
      <c r="G220" s="79">
        <v>40</v>
      </c>
      <c r="H220" s="76">
        <f t="shared" si="37"/>
        <v>185</v>
      </c>
      <c r="I220" s="76">
        <f t="shared" si="29"/>
        <v>0</v>
      </c>
      <c r="J220" s="79">
        <v>100</v>
      </c>
      <c r="K220" s="79">
        <v>300</v>
      </c>
      <c r="L220" s="76">
        <f t="shared" si="33"/>
        <v>1274</v>
      </c>
      <c r="M220" s="87">
        <v>600</v>
      </c>
      <c r="N220" s="76">
        <f>75</f>
        <v>75</v>
      </c>
      <c r="O220" s="79">
        <v>240</v>
      </c>
      <c r="P220" s="79">
        <v>160</v>
      </c>
      <c r="Q220" s="79">
        <f t="shared" si="34"/>
        <v>195</v>
      </c>
      <c r="R220" s="79">
        <f t="shared" si="35"/>
        <v>100</v>
      </c>
      <c r="S220" s="76">
        <f t="shared" si="36"/>
        <v>695</v>
      </c>
      <c r="T220" s="76">
        <f>50</f>
        <v>50</v>
      </c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</row>
    <row r="221" spans="1:30" ht="15.75" x14ac:dyDescent="0.25">
      <c r="A221" s="13">
        <v>47635</v>
      </c>
      <c r="B221" s="90">
        <v>30</v>
      </c>
      <c r="C221" s="76">
        <f>194.205</f>
        <v>194.20500000000001</v>
      </c>
      <c r="D221" s="76">
        <f>267.466</f>
        <v>267.46600000000001</v>
      </c>
      <c r="E221" s="85">
        <f>133.845</f>
        <v>133.845</v>
      </c>
      <c r="F221" s="76">
        <f>278.484-40-25-60-100</f>
        <v>53.48399999999998</v>
      </c>
      <c r="G221" s="79">
        <v>40</v>
      </c>
      <c r="H221" s="76">
        <f t="shared" si="37"/>
        <v>185</v>
      </c>
      <c r="I221" s="76">
        <f t="shared" si="29"/>
        <v>0</v>
      </c>
      <c r="J221" s="79">
        <v>100</v>
      </c>
      <c r="K221" s="79">
        <v>300</v>
      </c>
      <c r="L221" s="76">
        <f t="shared" si="33"/>
        <v>1274</v>
      </c>
      <c r="M221" s="87">
        <v>600</v>
      </c>
      <c r="N221" s="76">
        <f>30</f>
        <v>30</v>
      </c>
      <c r="O221" s="79">
        <v>240</v>
      </c>
      <c r="P221" s="79">
        <v>160</v>
      </c>
      <c r="Q221" s="79">
        <f t="shared" si="34"/>
        <v>195</v>
      </c>
      <c r="R221" s="79">
        <f t="shared" si="35"/>
        <v>100</v>
      </c>
      <c r="S221" s="76">
        <f t="shared" si="36"/>
        <v>695</v>
      </c>
      <c r="T221" s="76">
        <f>50</f>
        <v>50</v>
      </c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</row>
    <row r="222" spans="1:30" ht="15.75" x14ac:dyDescent="0.25">
      <c r="A222" s="13">
        <v>47665</v>
      </c>
      <c r="B222" s="90">
        <v>31</v>
      </c>
      <c r="C222" s="76">
        <f>194.205</f>
        <v>194.20500000000001</v>
      </c>
      <c r="D222" s="76">
        <f>267.466</f>
        <v>267.46600000000001</v>
      </c>
      <c r="E222" s="85">
        <f>133.845</f>
        <v>133.845</v>
      </c>
      <c r="F222" s="76">
        <f>278.484-40-25-60-100</f>
        <v>53.48399999999998</v>
      </c>
      <c r="G222" s="79">
        <v>40</v>
      </c>
      <c r="H222" s="76">
        <f t="shared" si="37"/>
        <v>185</v>
      </c>
      <c r="I222" s="76">
        <f t="shared" si="29"/>
        <v>0</v>
      </c>
      <c r="J222" s="79">
        <v>100</v>
      </c>
      <c r="K222" s="79">
        <v>300</v>
      </c>
      <c r="L222" s="76">
        <f t="shared" si="33"/>
        <v>1274</v>
      </c>
      <c r="M222" s="87">
        <v>600</v>
      </c>
      <c r="N222" s="76">
        <f>30</f>
        <v>30</v>
      </c>
      <c r="O222" s="79">
        <v>240</v>
      </c>
      <c r="P222" s="79">
        <v>160</v>
      </c>
      <c r="Q222" s="79">
        <f t="shared" si="34"/>
        <v>195</v>
      </c>
      <c r="R222" s="79">
        <f t="shared" si="35"/>
        <v>100</v>
      </c>
      <c r="S222" s="76">
        <f t="shared" si="36"/>
        <v>695</v>
      </c>
      <c r="T222" s="76">
        <f>0</f>
        <v>0</v>
      </c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</row>
    <row r="223" spans="1:30" ht="15.75" x14ac:dyDescent="0.25">
      <c r="A223" s="13">
        <v>47696</v>
      </c>
      <c r="B223" s="90">
        <v>31</v>
      </c>
      <c r="C223" s="76">
        <f>194.205</f>
        <v>194.20500000000001</v>
      </c>
      <c r="D223" s="76">
        <f>267.466</f>
        <v>267.46600000000001</v>
      </c>
      <c r="E223" s="85">
        <f>133.845</f>
        <v>133.845</v>
      </c>
      <c r="F223" s="76">
        <f>278.484-40-25-60-100</f>
        <v>53.48399999999998</v>
      </c>
      <c r="G223" s="79">
        <v>40</v>
      </c>
      <c r="H223" s="76">
        <f t="shared" si="37"/>
        <v>185</v>
      </c>
      <c r="I223" s="76">
        <f t="shared" si="29"/>
        <v>0</v>
      </c>
      <c r="J223" s="79">
        <v>100</v>
      </c>
      <c r="K223" s="79">
        <v>300</v>
      </c>
      <c r="L223" s="76">
        <f t="shared" si="33"/>
        <v>1274</v>
      </c>
      <c r="M223" s="87">
        <v>600</v>
      </c>
      <c r="N223" s="76">
        <f>30</f>
        <v>30</v>
      </c>
      <c r="O223" s="79">
        <v>240</v>
      </c>
      <c r="P223" s="79">
        <v>160</v>
      </c>
      <c r="Q223" s="79">
        <f t="shared" si="34"/>
        <v>195</v>
      </c>
      <c r="R223" s="79">
        <f t="shared" si="35"/>
        <v>100</v>
      </c>
      <c r="S223" s="76">
        <f t="shared" si="36"/>
        <v>695</v>
      </c>
      <c r="T223" s="76">
        <f>0</f>
        <v>0</v>
      </c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</row>
    <row r="224" spans="1:30" ht="15.75" x14ac:dyDescent="0.25">
      <c r="A224" s="13">
        <v>47727</v>
      </c>
      <c r="B224" s="90">
        <v>30</v>
      </c>
      <c r="C224" s="76">
        <f>194.205</f>
        <v>194.20500000000001</v>
      </c>
      <c r="D224" s="76">
        <f>267.466</f>
        <v>267.46600000000001</v>
      </c>
      <c r="E224" s="85">
        <f>133.845</f>
        <v>133.845</v>
      </c>
      <c r="F224" s="76">
        <f>278.484-40-25-60-100</f>
        <v>53.48399999999998</v>
      </c>
      <c r="G224" s="79">
        <v>40</v>
      </c>
      <c r="H224" s="76">
        <f t="shared" si="37"/>
        <v>185</v>
      </c>
      <c r="I224" s="76">
        <f t="shared" si="29"/>
        <v>0</v>
      </c>
      <c r="J224" s="79">
        <v>100</v>
      </c>
      <c r="K224" s="79">
        <v>300</v>
      </c>
      <c r="L224" s="76">
        <f t="shared" si="33"/>
        <v>1274</v>
      </c>
      <c r="M224" s="87">
        <v>600</v>
      </c>
      <c r="N224" s="76">
        <f>30</f>
        <v>30</v>
      </c>
      <c r="O224" s="79">
        <v>240</v>
      </c>
      <c r="P224" s="79">
        <v>160</v>
      </c>
      <c r="Q224" s="79">
        <f t="shared" si="34"/>
        <v>195</v>
      </c>
      <c r="R224" s="79">
        <f t="shared" si="35"/>
        <v>100</v>
      </c>
      <c r="S224" s="76">
        <f t="shared" si="36"/>
        <v>695</v>
      </c>
      <c r="T224" s="76">
        <f>0</f>
        <v>0</v>
      </c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</row>
    <row r="225" spans="1:30" ht="15.75" x14ac:dyDescent="0.25">
      <c r="A225" s="13">
        <v>47757</v>
      </c>
      <c r="B225" s="90">
        <v>31</v>
      </c>
      <c r="C225" s="76">
        <f>131.881</f>
        <v>131.881</v>
      </c>
      <c r="D225" s="76">
        <f>277.167</f>
        <v>277.16699999999997</v>
      </c>
      <c r="E225" s="85">
        <f>79.08</f>
        <v>79.08</v>
      </c>
      <c r="F225" s="76">
        <f>350.872-40-25-60-100</f>
        <v>125.87200000000001</v>
      </c>
      <c r="G225" s="79">
        <v>40</v>
      </c>
      <c r="H225" s="76">
        <f t="shared" si="37"/>
        <v>185</v>
      </c>
      <c r="I225" s="76">
        <f t="shared" si="29"/>
        <v>0</v>
      </c>
      <c r="J225" s="79">
        <v>100</v>
      </c>
      <c r="K225" s="79">
        <v>300</v>
      </c>
      <c r="L225" s="76">
        <f t="shared" si="33"/>
        <v>1239</v>
      </c>
      <c r="M225" s="87">
        <v>600</v>
      </c>
      <c r="N225" s="76">
        <f>75</f>
        <v>75</v>
      </c>
      <c r="O225" s="79">
        <v>240</v>
      </c>
      <c r="P225" s="79">
        <v>160</v>
      </c>
      <c r="Q225" s="79">
        <f t="shared" si="34"/>
        <v>195</v>
      </c>
      <c r="R225" s="79">
        <f t="shared" si="35"/>
        <v>100</v>
      </c>
      <c r="S225" s="76">
        <f t="shared" si="36"/>
        <v>695</v>
      </c>
      <c r="T225" s="76">
        <f>0</f>
        <v>0</v>
      </c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</row>
    <row r="226" spans="1:30" ht="15.75" x14ac:dyDescent="0.25">
      <c r="A226" s="13">
        <v>47788</v>
      </c>
      <c r="B226" s="90">
        <v>30</v>
      </c>
      <c r="C226" s="76">
        <f>122.58</f>
        <v>122.58</v>
      </c>
      <c r="D226" s="76">
        <f>297.941</f>
        <v>297.94099999999997</v>
      </c>
      <c r="E226" s="85">
        <f>89.177</f>
        <v>89.177000000000007</v>
      </c>
      <c r="F226" s="76">
        <f>240.302-40-60-100</f>
        <v>40.301999999999992</v>
      </c>
      <c r="G226" s="79">
        <v>40</v>
      </c>
      <c r="H226" s="76">
        <f>60+100</f>
        <v>160</v>
      </c>
      <c r="I226" s="76">
        <f t="shared" si="29"/>
        <v>0</v>
      </c>
      <c r="J226" s="79">
        <v>100</v>
      </c>
      <c r="K226" s="79">
        <v>300</v>
      </c>
      <c r="L226" s="76">
        <f t="shared" si="33"/>
        <v>1150</v>
      </c>
      <c r="M226" s="87">
        <v>600</v>
      </c>
      <c r="N226" s="76">
        <f>100</f>
        <v>100</v>
      </c>
      <c r="O226" s="79">
        <v>240</v>
      </c>
      <c r="P226" s="79">
        <v>40</v>
      </c>
      <c r="Q226" s="79">
        <f t="shared" si="34"/>
        <v>315</v>
      </c>
      <c r="R226" s="79">
        <f t="shared" si="35"/>
        <v>100</v>
      </c>
      <c r="S226" s="76">
        <f t="shared" si="36"/>
        <v>695</v>
      </c>
      <c r="T226" s="76">
        <f>50</f>
        <v>50</v>
      </c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</row>
    <row r="227" spans="1:30" ht="15.75" x14ac:dyDescent="0.25">
      <c r="A227" s="13">
        <v>47818</v>
      </c>
      <c r="B227" s="90">
        <v>31</v>
      </c>
      <c r="C227" s="76">
        <f>122.58</f>
        <v>122.58</v>
      </c>
      <c r="D227" s="76">
        <f>297.941</f>
        <v>297.94099999999997</v>
      </c>
      <c r="E227" s="85">
        <f>89.177</f>
        <v>89.177000000000007</v>
      </c>
      <c r="F227" s="76">
        <f>240.302-40-60-100</f>
        <v>40.301999999999992</v>
      </c>
      <c r="G227" s="79">
        <v>40</v>
      </c>
      <c r="H227" s="76">
        <f>60+100</f>
        <v>160</v>
      </c>
      <c r="I227" s="76">
        <f t="shared" si="29"/>
        <v>0</v>
      </c>
      <c r="J227" s="79">
        <v>100</v>
      </c>
      <c r="K227" s="79">
        <v>300</v>
      </c>
      <c r="L227" s="76">
        <f t="shared" si="33"/>
        <v>1150</v>
      </c>
      <c r="M227" s="87">
        <v>600</v>
      </c>
      <c r="N227" s="76">
        <f>100</f>
        <v>100</v>
      </c>
      <c r="O227" s="79">
        <v>240</v>
      </c>
      <c r="P227" s="79">
        <v>40</v>
      </c>
      <c r="Q227" s="79">
        <f t="shared" si="34"/>
        <v>315</v>
      </c>
      <c r="R227" s="79">
        <f t="shared" si="35"/>
        <v>100</v>
      </c>
      <c r="S227" s="76">
        <f t="shared" si="36"/>
        <v>695</v>
      </c>
      <c r="T227" s="76">
        <f>50</f>
        <v>50</v>
      </c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</row>
    <row r="228" spans="1:30" ht="15.75" x14ac:dyDescent="0.25">
      <c r="A228" s="13">
        <v>47849</v>
      </c>
      <c r="B228" s="90">
        <v>31</v>
      </c>
      <c r="C228" s="76">
        <f>122.58</f>
        <v>122.58</v>
      </c>
      <c r="D228" s="76">
        <f>297.941</f>
        <v>297.94099999999997</v>
      </c>
      <c r="E228" s="85">
        <f>89.177</f>
        <v>89.177000000000007</v>
      </c>
      <c r="F228" s="76">
        <f>240.302-40-60-100</f>
        <v>40.301999999999992</v>
      </c>
      <c r="G228" s="79">
        <v>40</v>
      </c>
      <c r="H228" s="76">
        <f>60+100</f>
        <v>160</v>
      </c>
      <c r="I228" s="76">
        <f t="shared" si="29"/>
        <v>0</v>
      </c>
      <c r="J228" s="79">
        <v>100</v>
      </c>
      <c r="K228" s="79">
        <v>300</v>
      </c>
      <c r="L228" s="76">
        <f t="shared" si="33"/>
        <v>1150</v>
      </c>
      <c r="M228" s="87">
        <v>600</v>
      </c>
      <c r="N228" s="76">
        <f>100</f>
        <v>100</v>
      </c>
      <c r="O228" s="79">
        <v>240</v>
      </c>
      <c r="P228" s="79">
        <v>40</v>
      </c>
      <c r="Q228" s="79">
        <f t="shared" si="34"/>
        <v>315</v>
      </c>
      <c r="R228" s="79">
        <f t="shared" si="35"/>
        <v>100</v>
      </c>
      <c r="S228" s="76">
        <f t="shared" si="36"/>
        <v>695</v>
      </c>
      <c r="T228" s="76">
        <f>50</f>
        <v>50</v>
      </c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</row>
    <row r="229" spans="1:30" ht="15.75" x14ac:dyDescent="0.25">
      <c r="A229" s="13">
        <v>47880</v>
      </c>
      <c r="B229" s="90">
        <v>28</v>
      </c>
      <c r="C229" s="76">
        <f>122.58</f>
        <v>122.58</v>
      </c>
      <c r="D229" s="76">
        <f>297.941</f>
        <v>297.94099999999997</v>
      </c>
      <c r="E229" s="85">
        <f>89.177</f>
        <v>89.177000000000007</v>
      </c>
      <c r="F229" s="76">
        <f>240.302-40-60-100</f>
        <v>40.301999999999992</v>
      </c>
      <c r="G229" s="79">
        <v>40</v>
      </c>
      <c r="H229" s="76">
        <f>60+100</f>
        <v>160</v>
      </c>
      <c r="I229" s="76">
        <f t="shared" si="29"/>
        <v>0</v>
      </c>
      <c r="J229" s="79">
        <v>100</v>
      </c>
      <c r="K229" s="79">
        <v>300</v>
      </c>
      <c r="L229" s="76">
        <f t="shared" si="33"/>
        <v>1150</v>
      </c>
      <c r="M229" s="87">
        <v>600</v>
      </c>
      <c r="N229" s="76">
        <f>100</f>
        <v>100</v>
      </c>
      <c r="O229" s="79">
        <v>240</v>
      </c>
      <c r="P229" s="79">
        <v>40</v>
      </c>
      <c r="Q229" s="79">
        <f t="shared" si="34"/>
        <v>315</v>
      </c>
      <c r="R229" s="79">
        <f t="shared" si="35"/>
        <v>100</v>
      </c>
      <c r="S229" s="76">
        <f t="shared" si="36"/>
        <v>695</v>
      </c>
      <c r="T229" s="76">
        <f>50</f>
        <v>50</v>
      </c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</row>
    <row r="230" spans="1:30" ht="15.75" x14ac:dyDescent="0.25">
      <c r="A230" s="13">
        <v>47908</v>
      </c>
      <c r="B230" s="90">
        <v>31</v>
      </c>
      <c r="C230" s="76">
        <f>122.58</f>
        <v>122.58</v>
      </c>
      <c r="D230" s="76">
        <f>297.941</f>
        <v>297.94099999999997</v>
      </c>
      <c r="E230" s="85">
        <f>89.177</f>
        <v>89.177000000000007</v>
      </c>
      <c r="F230" s="76">
        <f>240.302-40-60-100</f>
        <v>40.301999999999992</v>
      </c>
      <c r="G230" s="79">
        <v>40</v>
      </c>
      <c r="H230" s="76">
        <f>60+100</f>
        <v>160</v>
      </c>
      <c r="I230" s="76">
        <f t="shared" si="29"/>
        <v>0</v>
      </c>
      <c r="J230" s="79">
        <v>100</v>
      </c>
      <c r="K230" s="79">
        <v>300</v>
      </c>
      <c r="L230" s="76">
        <f t="shared" si="33"/>
        <v>1150</v>
      </c>
      <c r="M230" s="87">
        <v>600</v>
      </c>
      <c r="N230" s="76">
        <f>100</f>
        <v>100</v>
      </c>
      <c r="O230" s="79">
        <v>240</v>
      </c>
      <c r="P230" s="79">
        <v>40</v>
      </c>
      <c r="Q230" s="79">
        <f t="shared" si="34"/>
        <v>315</v>
      </c>
      <c r="R230" s="79">
        <f t="shared" si="35"/>
        <v>100</v>
      </c>
      <c r="S230" s="76">
        <f t="shared" si="36"/>
        <v>695</v>
      </c>
      <c r="T230" s="76">
        <f>50</f>
        <v>50</v>
      </c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</row>
    <row r="231" spans="1:30" ht="15.75" x14ac:dyDescent="0.25">
      <c r="A231" s="13">
        <v>47939</v>
      </c>
      <c r="B231" s="90">
        <v>30</v>
      </c>
      <c r="C231" s="76">
        <f>141.293</f>
        <v>141.29300000000001</v>
      </c>
      <c r="D231" s="76">
        <f>267.993</f>
        <v>267.99299999999999</v>
      </c>
      <c r="E231" s="85">
        <f>115.016</f>
        <v>115.01600000000001</v>
      </c>
      <c r="F231" s="76">
        <f>314.698-40-25-60-100</f>
        <v>89.697999999999979</v>
      </c>
      <c r="G231" s="79">
        <v>40</v>
      </c>
      <c r="H231" s="76">
        <f t="shared" ref="H231:H237" si="38">25+60+100</f>
        <v>185</v>
      </c>
      <c r="I231" s="76">
        <f t="shared" si="29"/>
        <v>0</v>
      </c>
      <c r="J231" s="79">
        <v>100</v>
      </c>
      <c r="K231" s="79">
        <v>300</v>
      </c>
      <c r="L231" s="76">
        <f t="shared" si="33"/>
        <v>1239</v>
      </c>
      <c r="M231" s="87">
        <v>600</v>
      </c>
      <c r="N231" s="76">
        <f>100</f>
        <v>100</v>
      </c>
      <c r="O231" s="79">
        <v>240</v>
      </c>
      <c r="P231" s="79">
        <v>160</v>
      </c>
      <c r="Q231" s="79">
        <f t="shared" si="34"/>
        <v>195</v>
      </c>
      <c r="R231" s="79">
        <f t="shared" si="35"/>
        <v>100</v>
      </c>
      <c r="S231" s="76">
        <f t="shared" si="36"/>
        <v>695</v>
      </c>
      <c r="T231" s="76">
        <f>50</f>
        <v>50</v>
      </c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</row>
    <row r="232" spans="1:30" ht="15.75" x14ac:dyDescent="0.25">
      <c r="A232" s="13">
        <v>47969</v>
      </c>
      <c r="B232" s="90">
        <v>31</v>
      </c>
      <c r="C232" s="76">
        <f>194.205</f>
        <v>194.20500000000001</v>
      </c>
      <c r="D232" s="76">
        <f>267.466</f>
        <v>267.46600000000001</v>
      </c>
      <c r="E232" s="85">
        <f>133.845</f>
        <v>133.845</v>
      </c>
      <c r="F232" s="76">
        <f>278.484-40-25-60-100</f>
        <v>53.48399999999998</v>
      </c>
      <c r="G232" s="79">
        <v>40</v>
      </c>
      <c r="H232" s="76">
        <f t="shared" si="38"/>
        <v>185</v>
      </c>
      <c r="I232" s="76">
        <f t="shared" si="29"/>
        <v>0</v>
      </c>
      <c r="J232" s="79">
        <v>100</v>
      </c>
      <c r="K232" s="79">
        <v>300</v>
      </c>
      <c r="L232" s="76">
        <f t="shared" si="33"/>
        <v>1274</v>
      </c>
      <c r="M232" s="87">
        <v>600</v>
      </c>
      <c r="N232" s="76">
        <f>75</f>
        <v>75</v>
      </c>
      <c r="O232" s="79">
        <v>240</v>
      </c>
      <c r="P232" s="79">
        <v>160</v>
      </c>
      <c r="Q232" s="79">
        <f t="shared" si="34"/>
        <v>195</v>
      </c>
      <c r="R232" s="79">
        <f t="shared" si="35"/>
        <v>100</v>
      </c>
      <c r="S232" s="76">
        <f t="shared" si="36"/>
        <v>695</v>
      </c>
      <c r="T232" s="76">
        <f>50</f>
        <v>50</v>
      </c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</row>
    <row r="233" spans="1:30" ht="15.75" x14ac:dyDescent="0.25">
      <c r="A233" s="13">
        <v>48000</v>
      </c>
      <c r="B233" s="90">
        <v>30</v>
      </c>
      <c r="C233" s="76">
        <f>194.205</f>
        <v>194.20500000000001</v>
      </c>
      <c r="D233" s="76">
        <f>267.466</f>
        <v>267.46600000000001</v>
      </c>
      <c r="E233" s="85">
        <f>133.845</f>
        <v>133.845</v>
      </c>
      <c r="F233" s="76">
        <f>278.484-40-25-60-100</f>
        <v>53.48399999999998</v>
      </c>
      <c r="G233" s="79">
        <v>40</v>
      </c>
      <c r="H233" s="76">
        <f t="shared" si="38"/>
        <v>185</v>
      </c>
      <c r="I233" s="76">
        <f t="shared" si="29"/>
        <v>0</v>
      </c>
      <c r="J233" s="79">
        <v>100</v>
      </c>
      <c r="K233" s="79">
        <v>300</v>
      </c>
      <c r="L233" s="76">
        <f t="shared" si="33"/>
        <v>1274</v>
      </c>
      <c r="M233" s="87">
        <v>600</v>
      </c>
      <c r="N233" s="76">
        <f>30</f>
        <v>30</v>
      </c>
      <c r="O233" s="79">
        <v>240</v>
      </c>
      <c r="P233" s="79">
        <v>160</v>
      </c>
      <c r="Q233" s="79">
        <f t="shared" si="34"/>
        <v>195</v>
      </c>
      <c r="R233" s="79">
        <f t="shared" si="35"/>
        <v>100</v>
      </c>
      <c r="S233" s="76">
        <f t="shared" si="36"/>
        <v>695</v>
      </c>
      <c r="T233" s="76">
        <f>50</f>
        <v>50</v>
      </c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</row>
    <row r="234" spans="1:30" ht="15.75" x14ac:dyDescent="0.25">
      <c r="A234" s="13">
        <v>48030</v>
      </c>
      <c r="B234" s="90">
        <v>31</v>
      </c>
      <c r="C234" s="76">
        <f>194.205</f>
        <v>194.20500000000001</v>
      </c>
      <c r="D234" s="76">
        <f>267.466</f>
        <v>267.46600000000001</v>
      </c>
      <c r="E234" s="85">
        <f>133.845</f>
        <v>133.845</v>
      </c>
      <c r="F234" s="76">
        <f>278.484-40-25-60-100</f>
        <v>53.48399999999998</v>
      </c>
      <c r="G234" s="79">
        <v>40</v>
      </c>
      <c r="H234" s="76">
        <f t="shared" si="38"/>
        <v>185</v>
      </c>
      <c r="I234" s="76">
        <f t="shared" si="29"/>
        <v>0</v>
      </c>
      <c r="J234" s="79">
        <v>100</v>
      </c>
      <c r="K234" s="79">
        <v>300</v>
      </c>
      <c r="L234" s="76">
        <f t="shared" si="33"/>
        <v>1274</v>
      </c>
      <c r="M234" s="87">
        <v>600</v>
      </c>
      <c r="N234" s="76">
        <f>30</f>
        <v>30</v>
      </c>
      <c r="O234" s="79">
        <v>240</v>
      </c>
      <c r="P234" s="79">
        <v>160</v>
      </c>
      <c r="Q234" s="79">
        <f t="shared" si="34"/>
        <v>195</v>
      </c>
      <c r="R234" s="79">
        <f t="shared" si="35"/>
        <v>100</v>
      </c>
      <c r="S234" s="76">
        <f t="shared" si="36"/>
        <v>695</v>
      </c>
      <c r="T234" s="76">
        <f>0</f>
        <v>0</v>
      </c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</row>
    <row r="235" spans="1:30" ht="15.75" x14ac:dyDescent="0.25">
      <c r="A235" s="13">
        <v>48061</v>
      </c>
      <c r="B235" s="90">
        <v>31</v>
      </c>
      <c r="C235" s="76">
        <f>194.205</f>
        <v>194.20500000000001</v>
      </c>
      <c r="D235" s="76">
        <f>267.466</f>
        <v>267.46600000000001</v>
      </c>
      <c r="E235" s="85">
        <f>133.845</f>
        <v>133.845</v>
      </c>
      <c r="F235" s="76">
        <f>278.484-40-25-60-100</f>
        <v>53.48399999999998</v>
      </c>
      <c r="G235" s="79">
        <v>40</v>
      </c>
      <c r="H235" s="76">
        <f t="shared" si="38"/>
        <v>185</v>
      </c>
      <c r="I235" s="76">
        <f t="shared" si="29"/>
        <v>0</v>
      </c>
      <c r="J235" s="79">
        <v>100</v>
      </c>
      <c r="K235" s="79">
        <v>300</v>
      </c>
      <c r="L235" s="76">
        <f t="shared" si="33"/>
        <v>1274</v>
      </c>
      <c r="M235" s="87">
        <v>600</v>
      </c>
      <c r="N235" s="76">
        <f>30</f>
        <v>30</v>
      </c>
      <c r="O235" s="79">
        <v>240</v>
      </c>
      <c r="P235" s="79">
        <v>160</v>
      </c>
      <c r="Q235" s="79">
        <f t="shared" si="34"/>
        <v>195</v>
      </c>
      <c r="R235" s="79">
        <f t="shared" si="35"/>
        <v>100</v>
      </c>
      <c r="S235" s="76">
        <f t="shared" si="36"/>
        <v>695</v>
      </c>
      <c r="T235" s="76">
        <f>0</f>
        <v>0</v>
      </c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</row>
    <row r="236" spans="1:30" ht="15.75" x14ac:dyDescent="0.25">
      <c r="A236" s="13">
        <v>48092</v>
      </c>
      <c r="B236" s="90">
        <v>30</v>
      </c>
      <c r="C236" s="76">
        <f>194.205</f>
        <v>194.20500000000001</v>
      </c>
      <c r="D236" s="76">
        <f>267.466</f>
        <v>267.46600000000001</v>
      </c>
      <c r="E236" s="85">
        <f>133.845</f>
        <v>133.845</v>
      </c>
      <c r="F236" s="76">
        <f>278.484-40-25-60-100</f>
        <v>53.48399999999998</v>
      </c>
      <c r="G236" s="79">
        <v>40</v>
      </c>
      <c r="H236" s="76">
        <f t="shared" si="38"/>
        <v>185</v>
      </c>
      <c r="I236" s="76">
        <f t="shared" si="29"/>
        <v>0</v>
      </c>
      <c r="J236" s="79">
        <v>100</v>
      </c>
      <c r="K236" s="79">
        <v>300</v>
      </c>
      <c r="L236" s="76">
        <f t="shared" si="33"/>
        <v>1274</v>
      </c>
      <c r="M236" s="87">
        <v>600</v>
      </c>
      <c r="N236" s="76">
        <f>30</f>
        <v>30</v>
      </c>
      <c r="O236" s="79">
        <v>240</v>
      </c>
      <c r="P236" s="79">
        <v>160</v>
      </c>
      <c r="Q236" s="79">
        <f t="shared" si="34"/>
        <v>195</v>
      </c>
      <c r="R236" s="79">
        <f t="shared" si="35"/>
        <v>100</v>
      </c>
      <c r="S236" s="76">
        <f t="shared" si="36"/>
        <v>695</v>
      </c>
      <c r="T236" s="76">
        <f>0</f>
        <v>0</v>
      </c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</row>
    <row r="237" spans="1:30" ht="15.75" x14ac:dyDescent="0.25">
      <c r="A237" s="13">
        <v>48122</v>
      </c>
      <c r="B237" s="90">
        <v>31</v>
      </c>
      <c r="C237" s="76">
        <f>131.881</f>
        <v>131.881</v>
      </c>
      <c r="D237" s="76">
        <f>277.167</f>
        <v>277.16699999999997</v>
      </c>
      <c r="E237" s="85">
        <f>79.08</f>
        <v>79.08</v>
      </c>
      <c r="F237" s="76">
        <f>350.872-40-25-60-100</f>
        <v>125.87200000000001</v>
      </c>
      <c r="G237" s="79">
        <v>40</v>
      </c>
      <c r="H237" s="76">
        <f t="shared" si="38"/>
        <v>185</v>
      </c>
      <c r="I237" s="76">
        <f t="shared" si="29"/>
        <v>0</v>
      </c>
      <c r="J237" s="79">
        <v>100</v>
      </c>
      <c r="K237" s="79">
        <v>300</v>
      </c>
      <c r="L237" s="76">
        <f t="shared" si="33"/>
        <v>1239</v>
      </c>
      <c r="M237" s="87">
        <v>600</v>
      </c>
      <c r="N237" s="76">
        <f>75</f>
        <v>75</v>
      </c>
      <c r="O237" s="79">
        <v>240</v>
      </c>
      <c r="P237" s="79">
        <v>160</v>
      </c>
      <c r="Q237" s="79">
        <f t="shared" si="34"/>
        <v>195</v>
      </c>
      <c r="R237" s="79">
        <f t="shared" si="35"/>
        <v>100</v>
      </c>
      <c r="S237" s="76">
        <f t="shared" si="36"/>
        <v>695</v>
      </c>
      <c r="T237" s="76">
        <f>0</f>
        <v>0</v>
      </c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</row>
    <row r="238" spans="1:30" ht="15.75" x14ac:dyDescent="0.25">
      <c r="A238" s="13">
        <v>48153</v>
      </c>
      <c r="B238" s="90">
        <v>30</v>
      </c>
      <c r="C238" s="76">
        <f>122.58</f>
        <v>122.58</v>
      </c>
      <c r="D238" s="76">
        <f>297.941</f>
        <v>297.94099999999997</v>
      </c>
      <c r="E238" s="85">
        <f>89.177</f>
        <v>89.177000000000007</v>
      </c>
      <c r="F238" s="76">
        <f>240.302-40-60-100</f>
        <v>40.301999999999992</v>
      </c>
      <c r="G238" s="79">
        <v>40</v>
      </c>
      <c r="H238" s="76">
        <f>60+100</f>
        <v>160</v>
      </c>
      <c r="I238" s="76">
        <f t="shared" si="29"/>
        <v>0</v>
      </c>
      <c r="J238" s="79">
        <v>100</v>
      </c>
      <c r="K238" s="79">
        <v>300</v>
      </c>
      <c r="L238" s="76">
        <f t="shared" si="33"/>
        <v>1150</v>
      </c>
      <c r="M238" s="87">
        <v>600</v>
      </c>
      <c r="N238" s="76">
        <f>100</f>
        <v>100</v>
      </c>
      <c r="O238" s="79">
        <v>240</v>
      </c>
      <c r="P238" s="79">
        <v>40</v>
      </c>
      <c r="Q238" s="79">
        <f t="shared" si="34"/>
        <v>315</v>
      </c>
      <c r="R238" s="79">
        <f t="shared" si="35"/>
        <v>100</v>
      </c>
      <c r="S238" s="76">
        <f t="shared" si="36"/>
        <v>695</v>
      </c>
      <c r="T238" s="76">
        <f>50</f>
        <v>50</v>
      </c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</row>
    <row r="239" spans="1:30" ht="15.75" x14ac:dyDescent="0.25">
      <c r="A239" s="13">
        <v>48183</v>
      </c>
      <c r="B239" s="90">
        <v>31</v>
      </c>
      <c r="C239" s="76">
        <f>122.58</f>
        <v>122.58</v>
      </c>
      <c r="D239" s="76">
        <f>297.941</f>
        <v>297.94099999999997</v>
      </c>
      <c r="E239" s="85">
        <f>89.177</f>
        <v>89.177000000000007</v>
      </c>
      <c r="F239" s="76">
        <f>240.302-40-60-100</f>
        <v>40.301999999999992</v>
      </c>
      <c r="G239" s="79">
        <v>40</v>
      </c>
      <c r="H239" s="76">
        <f>60+100</f>
        <v>160</v>
      </c>
      <c r="I239" s="76">
        <f t="shared" si="29"/>
        <v>0</v>
      </c>
      <c r="J239" s="79">
        <v>100</v>
      </c>
      <c r="K239" s="79">
        <v>300</v>
      </c>
      <c r="L239" s="76">
        <f t="shared" si="33"/>
        <v>1150</v>
      </c>
      <c r="M239" s="87">
        <v>600</v>
      </c>
      <c r="N239" s="76">
        <f>100</f>
        <v>100</v>
      </c>
      <c r="O239" s="79">
        <v>240</v>
      </c>
      <c r="P239" s="79">
        <v>40</v>
      </c>
      <c r="Q239" s="79">
        <f t="shared" si="34"/>
        <v>315</v>
      </c>
      <c r="R239" s="79">
        <f t="shared" si="35"/>
        <v>100</v>
      </c>
      <c r="S239" s="76">
        <f t="shared" si="36"/>
        <v>695</v>
      </c>
      <c r="T239" s="76">
        <f>50</f>
        <v>50</v>
      </c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</row>
    <row r="240" spans="1:30" ht="15.75" x14ac:dyDescent="0.25">
      <c r="A240" s="13">
        <v>48214</v>
      </c>
      <c r="B240" s="90">
        <v>31</v>
      </c>
      <c r="C240" s="76">
        <f>122.58</f>
        <v>122.58</v>
      </c>
      <c r="D240" s="76">
        <f>297.941</f>
        <v>297.94099999999997</v>
      </c>
      <c r="E240" s="85">
        <f>89.177</f>
        <v>89.177000000000007</v>
      </c>
      <c r="F240" s="76">
        <f>240.302-40-60-100</f>
        <v>40.301999999999992</v>
      </c>
      <c r="G240" s="79">
        <v>40</v>
      </c>
      <c r="H240" s="76">
        <f>60+100</f>
        <v>160</v>
      </c>
      <c r="I240" s="76">
        <f t="shared" si="29"/>
        <v>0</v>
      </c>
      <c r="J240" s="79">
        <v>100</v>
      </c>
      <c r="K240" s="79">
        <v>300</v>
      </c>
      <c r="L240" s="76">
        <f t="shared" si="33"/>
        <v>1150</v>
      </c>
      <c r="M240" s="87">
        <v>600</v>
      </c>
      <c r="N240" s="76">
        <f>100</f>
        <v>100</v>
      </c>
      <c r="O240" s="79">
        <v>240</v>
      </c>
      <c r="P240" s="79">
        <v>40</v>
      </c>
      <c r="Q240" s="79">
        <f t="shared" si="34"/>
        <v>315</v>
      </c>
      <c r="R240" s="79">
        <f t="shared" si="35"/>
        <v>100</v>
      </c>
      <c r="S240" s="76">
        <f t="shared" si="36"/>
        <v>695</v>
      </c>
      <c r="T240" s="76">
        <f>50</f>
        <v>50</v>
      </c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</row>
    <row r="241" spans="1:30" ht="15.75" x14ac:dyDescent="0.25">
      <c r="A241" s="13">
        <v>48245</v>
      </c>
      <c r="B241" s="90">
        <v>29</v>
      </c>
      <c r="C241" s="76">
        <f>122.58</f>
        <v>122.58</v>
      </c>
      <c r="D241" s="76">
        <f>297.941</f>
        <v>297.94099999999997</v>
      </c>
      <c r="E241" s="85">
        <f>89.177</f>
        <v>89.177000000000007</v>
      </c>
      <c r="F241" s="76">
        <f>240.302-40-60-100</f>
        <v>40.301999999999992</v>
      </c>
      <c r="G241" s="79">
        <v>40</v>
      </c>
      <c r="H241" s="76">
        <f>60+100</f>
        <v>160</v>
      </c>
      <c r="I241" s="76">
        <f t="shared" si="29"/>
        <v>0</v>
      </c>
      <c r="J241" s="79">
        <v>100</v>
      </c>
      <c r="K241" s="79">
        <v>300</v>
      </c>
      <c r="L241" s="76">
        <f t="shared" si="33"/>
        <v>1150</v>
      </c>
      <c r="M241" s="87">
        <v>600</v>
      </c>
      <c r="N241" s="76">
        <f>100</f>
        <v>100</v>
      </c>
      <c r="O241" s="79">
        <v>240</v>
      </c>
      <c r="P241" s="79">
        <v>40</v>
      </c>
      <c r="Q241" s="79">
        <f t="shared" si="34"/>
        <v>315</v>
      </c>
      <c r="R241" s="79">
        <f t="shared" si="35"/>
        <v>100</v>
      </c>
      <c r="S241" s="76">
        <f t="shared" si="36"/>
        <v>695</v>
      </c>
      <c r="T241" s="76">
        <f>50</f>
        <v>50</v>
      </c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</row>
    <row r="242" spans="1:30" ht="15.75" x14ac:dyDescent="0.25">
      <c r="A242" s="13">
        <v>48274</v>
      </c>
      <c r="B242" s="90">
        <v>31</v>
      </c>
      <c r="C242" s="76">
        <f>122.58</f>
        <v>122.58</v>
      </c>
      <c r="D242" s="76">
        <f>297.941</f>
        <v>297.94099999999997</v>
      </c>
      <c r="E242" s="85">
        <f>89.177</f>
        <v>89.177000000000007</v>
      </c>
      <c r="F242" s="76">
        <f>240.302-40-60-100</f>
        <v>40.301999999999992</v>
      </c>
      <c r="G242" s="79">
        <v>40</v>
      </c>
      <c r="H242" s="76">
        <f>60+100</f>
        <v>160</v>
      </c>
      <c r="I242" s="76">
        <f t="shared" si="29"/>
        <v>0</v>
      </c>
      <c r="J242" s="79">
        <v>100</v>
      </c>
      <c r="K242" s="79">
        <v>300</v>
      </c>
      <c r="L242" s="76">
        <f t="shared" si="33"/>
        <v>1150</v>
      </c>
      <c r="M242" s="87">
        <v>600</v>
      </c>
      <c r="N242" s="76">
        <f>100</f>
        <v>100</v>
      </c>
      <c r="O242" s="79">
        <v>240</v>
      </c>
      <c r="P242" s="79">
        <v>40</v>
      </c>
      <c r="Q242" s="79">
        <f t="shared" si="34"/>
        <v>315</v>
      </c>
      <c r="R242" s="79">
        <f t="shared" si="35"/>
        <v>100</v>
      </c>
      <c r="S242" s="76">
        <f t="shared" si="36"/>
        <v>695</v>
      </c>
      <c r="T242" s="76">
        <f>50</f>
        <v>50</v>
      </c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</row>
    <row r="243" spans="1:30" ht="15.75" x14ac:dyDescent="0.25">
      <c r="A243" s="13">
        <v>48305</v>
      </c>
      <c r="B243" s="90">
        <v>30</v>
      </c>
      <c r="C243" s="76">
        <f>141.293</f>
        <v>141.29300000000001</v>
      </c>
      <c r="D243" s="76">
        <f>267.993</f>
        <v>267.99299999999999</v>
      </c>
      <c r="E243" s="85">
        <f>115.016</f>
        <v>115.01600000000001</v>
      </c>
      <c r="F243" s="76">
        <f>314.698-40-25-60-100</f>
        <v>89.697999999999979</v>
      </c>
      <c r="G243" s="79">
        <v>40</v>
      </c>
      <c r="H243" s="76">
        <f t="shared" ref="H243:H249" si="39">25+60+100</f>
        <v>185</v>
      </c>
      <c r="I243" s="76">
        <f t="shared" si="29"/>
        <v>0</v>
      </c>
      <c r="J243" s="79">
        <v>100</v>
      </c>
      <c r="K243" s="79">
        <v>300</v>
      </c>
      <c r="L243" s="76">
        <f t="shared" si="33"/>
        <v>1239</v>
      </c>
      <c r="M243" s="87">
        <v>600</v>
      </c>
      <c r="N243" s="76">
        <f>100</f>
        <v>100</v>
      </c>
      <c r="O243" s="79">
        <v>240</v>
      </c>
      <c r="P243" s="79">
        <v>160</v>
      </c>
      <c r="Q243" s="79">
        <f t="shared" si="34"/>
        <v>195</v>
      </c>
      <c r="R243" s="79">
        <f t="shared" si="35"/>
        <v>100</v>
      </c>
      <c r="S243" s="76">
        <f t="shared" si="36"/>
        <v>695</v>
      </c>
      <c r="T243" s="76">
        <f>50</f>
        <v>50</v>
      </c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</row>
    <row r="244" spans="1:30" ht="15.75" x14ac:dyDescent="0.25">
      <c r="A244" s="13">
        <v>48335</v>
      </c>
      <c r="B244" s="90">
        <v>31</v>
      </c>
      <c r="C244" s="76">
        <f>194.205</f>
        <v>194.20500000000001</v>
      </c>
      <c r="D244" s="76">
        <f>267.466</f>
        <v>267.46600000000001</v>
      </c>
      <c r="E244" s="85">
        <f>133.845</f>
        <v>133.845</v>
      </c>
      <c r="F244" s="76">
        <f>278.484-40-25-60-100</f>
        <v>53.48399999999998</v>
      </c>
      <c r="G244" s="79">
        <v>40</v>
      </c>
      <c r="H244" s="76">
        <f t="shared" si="39"/>
        <v>185</v>
      </c>
      <c r="I244" s="76">
        <f t="shared" ref="I244:I307" si="40">400-J244-K244</f>
        <v>0</v>
      </c>
      <c r="J244" s="79">
        <v>100</v>
      </c>
      <c r="K244" s="79">
        <v>300</v>
      </c>
      <c r="L244" s="76">
        <f t="shared" si="33"/>
        <v>1274</v>
      </c>
      <c r="M244" s="87">
        <v>600</v>
      </c>
      <c r="N244" s="76">
        <f>75</f>
        <v>75</v>
      </c>
      <c r="O244" s="79">
        <v>240</v>
      </c>
      <c r="P244" s="79">
        <v>160</v>
      </c>
      <c r="Q244" s="79">
        <f t="shared" si="34"/>
        <v>195</v>
      </c>
      <c r="R244" s="79">
        <f t="shared" si="35"/>
        <v>100</v>
      </c>
      <c r="S244" s="76">
        <f t="shared" si="36"/>
        <v>695</v>
      </c>
      <c r="T244" s="76">
        <f>50</f>
        <v>50</v>
      </c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</row>
    <row r="245" spans="1:30" ht="15.75" x14ac:dyDescent="0.25">
      <c r="A245" s="13">
        <v>48366</v>
      </c>
      <c r="B245" s="90">
        <v>30</v>
      </c>
      <c r="C245" s="76">
        <f>194.205</f>
        <v>194.20500000000001</v>
      </c>
      <c r="D245" s="76">
        <f>267.466</f>
        <v>267.46600000000001</v>
      </c>
      <c r="E245" s="85">
        <f>133.845</f>
        <v>133.845</v>
      </c>
      <c r="F245" s="76">
        <f>278.484-40-25-60-100</f>
        <v>53.48399999999998</v>
      </c>
      <c r="G245" s="79">
        <v>40</v>
      </c>
      <c r="H245" s="76">
        <f t="shared" si="39"/>
        <v>185</v>
      </c>
      <c r="I245" s="76">
        <f t="shared" si="40"/>
        <v>0</v>
      </c>
      <c r="J245" s="79">
        <v>100</v>
      </c>
      <c r="K245" s="79">
        <v>300</v>
      </c>
      <c r="L245" s="76">
        <f t="shared" si="33"/>
        <v>1274</v>
      </c>
      <c r="M245" s="87">
        <v>600</v>
      </c>
      <c r="N245" s="76">
        <f>30</f>
        <v>30</v>
      </c>
      <c r="O245" s="79">
        <v>240</v>
      </c>
      <c r="P245" s="79">
        <v>160</v>
      </c>
      <c r="Q245" s="79">
        <f t="shared" si="34"/>
        <v>195</v>
      </c>
      <c r="R245" s="79">
        <f t="shared" si="35"/>
        <v>100</v>
      </c>
      <c r="S245" s="76">
        <f t="shared" si="36"/>
        <v>695</v>
      </c>
      <c r="T245" s="76">
        <f>50</f>
        <v>50</v>
      </c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</row>
    <row r="246" spans="1:30" ht="15.75" x14ac:dyDescent="0.25">
      <c r="A246" s="13">
        <v>48396</v>
      </c>
      <c r="B246" s="90">
        <v>31</v>
      </c>
      <c r="C246" s="76">
        <f>194.205</f>
        <v>194.20500000000001</v>
      </c>
      <c r="D246" s="76">
        <f>267.466</f>
        <v>267.46600000000001</v>
      </c>
      <c r="E246" s="85">
        <f>133.845</f>
        <v>133.845</v>
      </c>
      <c r="F246" s="76">
        <f>278.484-40-25-60-100</f>
        <v>53.48399999999998</v>
      </c>
      <c r="G246" s="79">
        <v>40</v>
      </c>
      <c r="H246" s="76">
        <f t="shared" si="39"/>
        <v>185</v>
      </c>
      <c r="I246" s="76">
        <f t="shared" si="40"/>
        <v>0</v>
      </c>
      <c r="J246" s="79">
        <v>100</v>
      </c>
      <c r="K246" s="79">
        <v>300</v>
      </c>
      <c r="L246" s="76">
        <f t="shared" si="33"/>
        <v>1274</v>
      </c>
      <c r="M246" s="87">
        <v>600</v>
      </c>
      <c r="N246" s="76">
        <f>30</f>
        <v>30</v>
      </c>
      <c r="O246" s="79">
        <v>240</v>
      </c>
      <c r="P246" s="79">
        <v>160</v>
      </c>
      <c r="Q246" s="79">
        <f t="shared" si="34"/>
        <v>195</v>
      </c>
      <c r="R246" s="79">
        <f t="shared" si="35"/>
        <v>100</v>
      </c>
      <c r="S246" s="76">
        <f t="shared" si="36"/>
        <v>695</v>
      </c>
      <c r="T246" s="76">
        <f>0</f>
        <v>0</v>
      </c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</row>
    <row r="247" spans="1:30" ht="15.75" x14ac:dyDescent="0.25">
      <c r="A247" s="13">
        <v>48427</v>
      </c>
      <c r="B247" s="90">
        <v>31</v>
      </c>
      <c r="C247" s="76">
        <f>194.205</f>
        <v>194.20500000000001</v>
      </c>
      <c r="D247" s="76">
        <f>267.466</f>
        <v>267.46600000000001</v>
      </c>
      <c r="E247" s="85">
        <f>133.845</f>
        <v>133.845</v>
      </c>
      <c r="F247" s="76">
        <f>278.484-40-25-60-100</f>
        <v>53.48399999999998</v>
      </c>
      <c r="G247" s="79">
        <v>40</v>
      </c>
      <c r="H247" s="76">
        <f t="shared" si="39"/>
        <v>185</v>
      </c>
      <c r="I247" s="76">
        <f t="shared" si="40"/>
        <v>0</v>
      </c>
      <c r="J247" s="79">
        <v>100</v>
      </c>
      <c r="K247" s="79">
        <v>300</v>
      </c>
      <c r="L247" s="76">
        <f t="shared" si="33"/>
        <v>1274</v>
      </c>
      <c r="M247" s="87">
        <v>600</v>
      </c>
      <c r="N247" s="76">
        <f>30</f>
        <v>30</v>
      </c>
      <c r="O247" s="79">
        <v>240</v>
      </c>
      <c r="P247" s="79">
        <v>160</v>
      </c>
      <c r="Q247" s="79">
        <f t="shared" si="34"/>
        <v>195</v>
      </c>
      <c r="R247" s="79">
        <f t="shared" si="35"/>
        <v>100</v>
      </c>
      <c r="S247" s="76">
        <f t="shared" si="36"/>
        <v>695</v>
      </c>
      <c r="T247" s="76">
        <f>0</f>
        <v>0</v>
      </c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</row>
    <row r="248" spans="1:30" ht="15.75" x14ac:dyDescent="0.25">
      <c r="A248" s="13">
        <v>48458</v>
      </c>
      <c r="B248" s="90">
        <v>30</v>
      </c>
      <c r="C248" s="76">
        <f>194.205</f>
        <v>194.20500000000001</v>
      </c>
      <c r="D248" s="76">
        <f>267.466</f>
        <v>267.46600000000001</v>
      </c>
      <c r="E248" s="85">
        <f>133.845</f>
        <v>133.845</v>
      </c>
      <c r="F248" s="76">
        <f>278.484-40-25-60-100</f>
        <v>53.48399999999998</v>
      </c>
      <c r="G248" s="79">
        <v>40</v>
      </c>
      <c r="H248" s="76">
        <f t="shared" si="39"/>
        <v>185</v>
      </c>
      <c r="I248" s="76">
        <f t="shared" si="40"/>
        <v>0</v>
      </c>
      <c r="J248" s="79">
        <v>100</v>
      </c>
      <c r="K248" s="79">
        <v>300</v>
      </c>
      <c r="L248" s="76">
        <f t="shared" si="33"/>
        <v>1274</v>
      </c>
      <c r="M248" s="87">
        <v>600</v>
      </c>
      <c r="N248" s="76">
        <f>30</f>
        <v>30</v>
      </c>
      <c r="O248" s="79">
        <v>240</v>
      </c>
      <c r="P248" s="79">
        <v>160</v>
      </c>
      <c r="Q248" s="79">
        <f t="shared" si="34"/>
        <v>195</v>
      </c>
      <c r="R248" s="79">
        <f t="shared" si="35"/>
        <v>100</v>
      </c>
      <c r="S248" s="76">
        <f t="shared" si="36"/>
        <v>695</v>
      </c>
      <c r="T248" s="76">
        <f>0</f>
        <v>0</v>
      </c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</row>
    <row r="249" spans="1:30" ht="15.75" x14ac:dyDescent="0.25">
      <c r="A249" s="13">
        <v>48488</v>
      </c>
      <c r="B249" s="90">
        <v>31</v>
      </c>
      <c r="C249" s="76">
        <f>131.881</f>
        <v>131.881</v>
      </c>
      <c r="D249" s="76">
        <f>277.167</f>
        <v>277.16699999999997</v>
      </c>
      <c r="E249" s="85">
        <f>79.08</f>
        <v>79.08</v>
      </c>
      <c r="F249" s="76">
        <f>350.872-40-25-60-100</f>
        <v>125.87200000000001</v>
      </c>
      <c r="G249" s="79">
        <v>40</v>
      </c>
      <c r="H249" s="76">
        <f t="shared" si="39"/>
        <v>185</v>
      </c>
      <c r="I249" s="76">
        <f t="shared" si="40"/>
        <v>0</v>
      </c>
      <c r="J249" s="79">
        <v>100</v>
      </c>
      <c r="K249" s="79">
        <v>300</v>
      </c>
      <c r="L249" s="76">
        <f t="shared" si="33"/>
        <v>1239</v>
      </c>
      <c r="M249" s="87">
        <v>600</v>
      </c>
      <c r="N249" s="76">
        <f>75</f>
        <v>75</v>
      </c>
      <c r="O249" s="79">
        <v>240</v>
      </c>
      <c r="P249" s="79">
        <v>160</v>
      </c>
      <c r="Q249" s="79">
        <f t="shared" si="34"/>
        <v>195</v>
      </c>
      <c r="R249" s="79">
        <f t="shared" si="35"/>
        <v>100</v>
      </c>
      <c r="S249" s="76">
        <f t="shared" si="36"/>
        <v>695</v>
      </c>
      <c r="T249" s="76">
        <f>0</f>
        <v>0</v>
      </c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</row>
    <row r="250" spans="1:30" ht="15.75" x14ac:dyDescent="0.25">
      <c r="A250" s="13">
        <v>48519</v>
      </c>
      <c r="B250" s="90">
        <v>30</v>
      </c>
      <c r="C250" s="76">
        <f>122.58</f>
        <v>122.58</v>
      </c>
      <c r="D250" s="76">
        <f>297.941</f>
        <v>297.94099999999997</v>
      </c>
      <c r="E250" s="85">
        <f>89.177</f>
        <v>89.177000000000007</v>
      </c>
      <c r="F250" s="76">
        <f>240.302-40-60-100</f>
        <v>40.301999999999992</v>
      </c>
      <c r="G250" s="79">
        <v>40</v>
      </c>
      <c r="H250" s="76">
        <f>60+100</f>
        <v>160</v>
      </c>
      <c r="I250" s="76">
        <f t="shared" si="40"/>
        <v>0</v>
      </c>
      <c r="J250" s="79">
        <v>100</v>
      </c>
      <c r="K250" s="79">
        <v>300</v>
      </c>
      <c r="L250" s="76">
        <f t="shared" si="33"/>
        <v>1150</v>
      </c>
      <c r="M250" s="87">
        <v>600</v>
      </c>
      <c r="N250" s="76">
        <f>100</f>
        <v>100</v>
      </c>
      <c r="O250" s="79">
        <v>240</v>
      </c>
      <c r="P250" s="79">
        <v>40</v>
      </c>
      <c r="Q250" s="79">
        <f t="shared" si="34"/>
        <v>315</v>
      </c>
      <c r="R250" s="79">
        <f t="shared" si="35"/>
        <v>100</v>
      </c>
      <c r="S250" s="76">
        <f t="shared" si="36"/>
        <v>695</v>
      </c>
      <c r="T250" s="76">
        <f>50</f>
        <v>50</v>
      </c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</row>
    <row r="251" spans="1:30" ht="15.75" x14ac:dyDescent="0.25">
      <c r="A251" s="13">
        <v>48549</v>
      </c>
      <c r="B251" s="90">
        <v>31</v>
      </c>
      <c r="C251" s="76">
        <f>122.58</f>
        <v>122.58</v>
      </c>
      <c r="D251" s="76">
        <f>297.941</f>
        <v>297.94099999999997</v>
      </c>
      <c r="E251" s="85">
        <f>89.177</f>
        <v>89.177000000000007</v>
      </c>
      <c r="F251" s="76">
        <f>240.302-40-60-100</f>
        <v>40.301999999999992</v>
      </c>
      <c r="G251" s="79">
        <v>40</v>
      </c>
      <c r="H251" s="76">
        <f>60+100</f>
        <v>160</v>
      </c>
      <c r="I251" s="76">
        <f t="shared" si="40"/>
        <v>0</v>
      </c>
      <c r="J251" s="79">
        <v>100</v>
      </c>
      <c r="K251" s="79">
        <v>300</v>
      </c>
      <c r="L251" s="76">
        <f t="shared" si="33"/>
        <v>1150</v>
      </c>
      <c r="M251" s="87">
        <v>600</v>
      </c>
      <c r="N251" s="76">
        <f>100</f>
        <v>100</v>
      </c>
      <c r="O251" s="79">
        <v>240</v>
      </c>
      <c r="P251" s="79">
        <v>40</v>
      </c>
      <c r="Q251" s="79">
        <f t="shared" si="34"/>
        <v>315</v>
      </c>
      <c r="R251" s="79">
        <f t="shared" si="35"/>
        <v>100</v>
      </c>
      <c r="S251" s="76">
        <f t="shared" si="36"/>
        <v>695</v>
      </c>
      <c r="T251" s="76">
        <f>50</f>
        <v>50</v>
      </c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</row>
    <row r="252" spans="1:30" ht="15.75" x14ac:dyDescent="0.25">
      <c r="A252" s="13">
        <v>48580</v>
      </c>
      <c r="B252" s="90">
        <v>31</v>
      </c>
      <c r="C252" s="76">
        <f>122.58</f>
        <v>122.58</v>
      </c>
      <c r="D252" s="76">
        <f>297.941</f>
        <v>297.94099999999997</v>
      </c>
      <c r="E252" s="85">
        <f>89.177</f>
        <v>89.177000000000007</v>
      </c>
      <c r="F252" s="76">
        <f>240.302-40-60-100</f>
        <v>40.301999999999992</v>
      </c>
      <c r="G252" s="79">
        <v>40</v>
      </c>
      <c r="H252" s="76">
        <f>60+100</f>
        <v>160</v>
      </c>
      <c r="I252" s="76">
        <f t="shared" si="40"/>
        <v>0</v>
      </c>
      <c r="J252" s="79">
        <v>100</v>
      </c>
      <c r="K252" s="79">
        <v>300</v>
      </c>
      <c r="L252" s="76">
        <f t="shared" si="33"/>
        <v>1150</v>
      </c>
      <c r="M252" s="87">
        <v>600</v>
      </c>
      <c r="N252" s="76">
        <f>100</f>
        <v>100</v>
      </c>
      <c r="O252" s="79">
        <v>240</v>
      </c>
      <c r="P252" s="79">
        <v>40</v>
      </c>
      <c r="Q252" s="79">
        <f t="shared" si="34"/>
        <v>315</v>
      </c>
      <c r="R252" s="79">
        <f t="shared" si="35"/>
        <v>100</v>
      </c>
      <c r="S252" s="76">
        <f t="shared" si="36"/>
        <v>695</v>
      </c>
      <c r="T252" s="76">
        <f>50</f>
        <v>50</v>
      </c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</row>
    <row r="253" spans="1:30" ht="15.75" x14ac:dyDescent="0.25">
      <c r="A253" s="13">
        <v>48611</v>
      </c>
      <c r="B253" s="90">
        <v>28</v>
      </c>
      <c r="C253" s="76">
        <f>122.58</f>
        <v>122.58</v>
      </c>
      <c r="D253" s="76">
        <f>297.941</f>
        <v>297.94099999999997</v>
      </c>
      <c r="E253" s="85">
        <f>89.177</f>
        <v>89.177000000000007</v>
      </c>
      <c r="F253" s="76">
        <f>240.302-40-60-100</f>
        <v>40.301999999999992</v>
      </c>
      <c r="G253" s="79">
        <v>40</v>
      </c>
      <c r="H253" s="76">
        <f>60+100</f>
        <v>160</v>
      </c>
      <c r="I253" s="76">
        <f t="shared" si="40"/>
        <v>0</v>
      </c>
      <c r="J253" s="79">
        <v>100</v>
      </c>
      <c r="K253" s="79">
        <v>300</v>
      </c>
      <c r="L253" s="76">
        <f t="shared" si="33"/>
        <v>1150</v>
      </c>
      <c r="M253" s="87">
        <v>600</v>
      </c>
      <c r="N253" s="76">
        <f>100</f>
        <v>100</v>
      </c>
      <c r="O253" s="79">
        <v>240</v>
      </c>
      <c r="P253" s="79">
        <v>40</v>
      </c>
      <c r="Q253" s="79">
        <f t="shared" si="34"/>
        <v>315</v>
      </c>
      <c r="R253" s="79">
        <f t="shared" si="35"/>
        <v>100</v>
      </c>
      <c r="S253" s="76">
        <f t="shared" si="36"/>
        <v>695</v>
      </c>
      <c r="T253" s="76">
        <f>50</f>
        <v>50</v>
      </c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</row>
    <row r="254" spans="1:30" ht="15.75" x14ac:dyDescent="0.25">
      <c r="A254" s="13">
        <v>48639</v>
      </c>
      <c r="B254" s="90">
        <v>31</v>
      </c>
      <c r="C254" s="76">
        <f>122.58</f>
        <v>122.58</v>
      </c>
      <c r="D254" s="76">
        <f>297.941</f>
        <v>297.94099999999997</v>
      </c>
      <c r="E254" s="85">
        <f>89.177</f>
        <v>89.177000000000007</v>
      </c>
      <c r="F254" s="76">
        <f>240.302-40-60-100</f>
        <v>40.301999999999992</v>
      </c>
      <c r="G254" s="79">
        <v>40</v>
      </c>
      <c r="H254" s="76">
        <f>60+100</f>
        <v>160</v>
      </c>
      <c r="I254" s="76">
        <f t="shared" si="40"/>
        <v>0</v>
      </c>
      <c r="J254" s="79">
        <v>100</v>
      </c>
      <c r="K254" s="79">
        <v>300</v>
      </c>
      <c r="L254" s="76">
        <f t="shared" si="33"/>
        <v>1150</v>
      </c>
      <c r="M254" s="87">
        <v>600</v>
      </c>
      <c r="N254" s="76">
        <f>100</f>
        <v>100</v>
      </c>
      <c r="O254" s="79">
        <v>240</v>
      </c>
      <c r="P254" s="79">
        <v>40</v>
      </c>
      <c r="Q254" s="79">
        <f t="shared" si="34"/>
        <v>315</v>
      </c>
      <c r="R254" s="79">
        <f t="shared" si="35"/>
        <v>100</v>
      </c>
      <c r="S254" s="76">
        <f t="shared" si="36"/>
        <v>695</v>
      </c>
      <c r="T254" s="76">
        <f>50</f>
        <v>50</v>
      </c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</row>
    <row r="255" spans="1:30" ht="15.75" x14ac:dyDescent="0.25">
      <c r="A255" s="13">
        <v>48670</v>
      </c>
      <c r="B255" s="90">
        <v>30</v>
      </c>
      <c r="C255" s="76">
        <f>141.293</f>
        <v>141.29300000000001</v>
      </c>
      <c r="D255" s="76">
        <f>267.993</f>
        <v>267.99299999999999</v>
      </c>
      <c r="E255" s="85">
        <f>115.016</f>
        <v>115.01600000000001</v>
      </c>
      <c r="F255" s="76">
        <f>314.698-40-25-60-100</f>
        <v>89.697999999999979</v>
      </c>
      <c r="G255" s="79">
        <v>40</v>
      </c>
      <c r="H255" s="76">
        <f t="shared" ref="H255:H261" si="41">25+60+100</f>
        <v>185</v>
      </c>
      <c r="I255" s="76">
        <f t="shared" si="40"/>
        <v>0</v>
      </c>
      <c r="J255" s="79">
        <v>100</v>
      </c>
      <c r="K255" s="79">
        <v>300</v>
      </c>
      <c r="L255" s="76">
        <f t="shared" si="33"/>
        <v>1239</v>
      </c>
      <c r="M255" s="87">
        <v>600</v>
      </c>
      <c r="N255" s="76">
        <f>100</f>
        <v>100</v>
      </c>
      <c r="O255" s="79">
        <v>240</v>
      </c>
      <c r="P255" s="79">
        <v>160</v>
      </c>
      <c r="Q255" s="79">
        <f t="shared" si="34"/>
        <v>195</v>
      </c>
      <c r="R255" s="79">
        <f t="shared" si="35"/>
        <v>100</v>
      </c>
      <c r="S255" s="76">
        <f t="shared" si="36"/>
        <v>695</v>
      </c>
      <c r="T255" s="76">
        <f>50</f>
        <v>50</v>
      </c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</row>
    <row r="256" spans="1:30" ht="15.75" x14ac:dyDescent="0.25">
      <c r="A256" s="13">
        <v>48700</v>
      </c>
      <c r="B256" s="90">
        <v>31</v>
      </c>
      <c r="C256" s="76">
        <f>194.205</f>
        <v>194.20500000000001</v>
      </c>
      <c r="D256" s="76">
        <f>267.466</f>
        <v>267.46600000000001</v>
      </c>
      <c r="E256" s="85">
        <f>133.845</f>
        <v>133.845</v>
      </c>
      <c r="F256" s="76">
        <f>278.484-40-25-60-100</f>
        <v>53.48399999999998</v>
      </c>
      <c r="G256" s="79">
        <v>40</v>
      </c>
      <c r="H256" s="76">
        <f t="shared" si="41"/>
        <v>185</v>
      </c>
      <c r="I256" s="76">
        <f t="shared" si="40"/>
        <v>0</v>
      </c>
      <c r="J256" s="79">
        <v>100</v>
      </c>
      <c r="K256" s="79">
        <v>300</v>
      </c>
      <c r="L256" s="76">
        <f t="shared" si="33"/>
        <v>1274</v>
      </c>
      <c r="M256" s="87">
        <v>600</v>
      </c>
      <c r="N256" s="76">
        <f>75</f>
        <v>75</v>
      </c>
      <c r="O256" s="79">
        <v>240</v>
      </c>
      <c r="P256" s="79">
        <v>160</v>
      </c>
      <c r="Q256" s="79">
        <f t="shared" si="34"/>
        <v>195</v>
      </c>
      <c r="R256" s="79">
        <f t="shared" si="35"/>
        <v>100</v>
      </c>
      <c r="S256" s="76">
        <f t="shared" si="36"/>
        <v>695</v>
      </c>
      <c r="T256" s="76">
        <f>50</f>
        <v>50</v>
      </c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</row>
    <row r="257" spans="1:30" ht="15.75" x14ac:dyDescent="0.25">
      <c r="A257" s="13">
        <v>48731</v>
      </c>
      <c r="B257" s="90">
        <v>30</v>
      </c>
      <c r="C257" s="76">
        <f>194.205</f>
        <v>194.20500000000001</v>
      </c>
      <c r="D257" s="76">
        <f>267.466</f>
        <v>267.46600000000001</v>
      </c>
      <c r="E257" s="85">
        <f>133.845</f>
        <v>133.845</v>
      </c>
      <c r="F257" s="76">
        <f>278.484-40-25-60-100</f>
        <v>53.48399999999998</v>
      </c>
      <c r="G257" s="79">
        <v>40</v>
      </c>
      <c r="H257" s="76">
        <f t="shared" si="41"/>
        <v>185</v>
      </c>
      <c r="I257" s="76">
        <f t="shared" si="40"/>
        <v>0</v>
      </c>
      <c r="J257" s="79">
        <v>100</v>
      </c>
      <c r="K257" s="79">
        <v>300</v>
      </c>
      <c r="L257" s="76">
        <f t="shared" si="33"/>
        <v>1274</v>
      </c>
      <c r="M257" s="87">
        <v>600</v>
      </c>
      <c r="N257" s="76">
        <f>30</f>
        <v>30</v>
      </c>
      <c r="O257" s="79">
        <v>240</v>
      </c>
      <c r="P257" s="79">
        <v>160</v>
      </c>
      <c r="Q257" s="79">
        <f t="shared" si="34"/>
        <v>195</v>
      </c>
      <c r="R257" s="79">
        <f t="shared" si="35"/>
        <v>100</v>
      </c>
      <c r="S257" s="76">
        <f t="shared" si="36"/>
        <v>695</v>
      </c>
      <c r="T257" s="76">
        <f>50</f>
        <v>50</v>
      </c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</row>
    <row r="258" spans="1:30" ht="15.75" x14ac:dyDescent="0.25">
      <c r="A258" s="13">
        <v>48761</v>
      </c>
      <c r="B258" s="90">
        <v>31</v>
      </c>
      <c r="C258" s="76">
        <f>194.205</f>
        <v>194.20500000000001</v>
      </c>
      <c r="D258" s="76">
        <f>267.466</f>
        <v>267.46600000000001</v>
      </c>
      <c r="E258" s="85">
        <f>133.845</f>
        <v>133.845</v>
      </c>
      <c r="F258" s="76">
        <f>278.484-40-25-60-100</f>
        <v>53.48399999999998</v>
      </c>
      <c r="G258" s="79">
        <v>40</v>
      </c>
      <c r="H258" s="76">
        <f t="shared" si="41"/>
        <v>185</v>
      </c>
      <c r="I258" s="76">
        <f t="shared" si="40"/>
        <v>0</v>
      </c>
      <c r="J258" s="79">
        <v>100</v>
      </c>
      <c r="K258" s="79">
        <v>300</v>
      </c>
      <c r="L258" s="76">
        <f t="shared" si="33"/>
        <v>1274</v>
      </c>
      <c r="M258" s="87">
        <v>600</v>
      </c>
      <c r="N258" s="76">
        <f>30</f>
        <v>30</v>
      </c>
      <c r="O258" s="79">
        <v>240</v>
      </c>
      <c r="P258" s="79">
        <v>160</v>
      </c>
      <c r="Q258" s="79">
        <f t="shared" si="34"/>
        <v>195</v>
      </c>
      <c r="R258" s="79">
        <f t="shared" si="35"/>
        <v>100</v>
      </c>
      <c r="S258" s="76">
        <f t="shared" si="36"/>
        <v>695</v>
      </c>
      <c r="T258" s="76">
        <f>0</f>
        <v>0</v>
      </c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</row>
    <row r="259" spans="1:30" ht="15.75" x14ac:dyDescent="0.25">
      <c r="A259" s="13">
        <v>48792</v>
      </c>
      <c r="B259" s="90">
        <v>31</v>
      </c>
      <c r="C259" s="76">
        <f>194.205</f>
        <v>194.20500000000001</v>
      </c>
      <c r="D259" s="76">
        <f>267.466</f>
        <v>267.46600000000001</v>
      </c>
      <c r="E259" s="85">
        <f>133.845</f>
        <v>133.845</v>
      </c>
      <c r="F259" s="76">
        <f>278.484-40-25-60-100</f>
        <v>53.48399999999998</v>
      </c>
      <c r="G259" s="79">
        <v>40</v>
      </c>
      <c r="H259" s="76">
        <f t="shared" si="41"/>
        <v>185</v>
      </c>
      <c r="I259" s="76">
        <f t="shared" si="40"/>
        <v>0</v>
      </c>
      <c r="J259" s="79">
        <v>100</v>
      </c>
      <c r="K259" s="79">
        <v>300</v>
      </c>
      <c r="L259" s="76">
        <f t="shared" si="33"/>
        <v>1274</v>
      </c>
      <c r="M259" s="87">
        <v>600</v>
      </c>
      <c r="N259" s="76">
        <f>30</f>
        <v>30</v>
      </c>
      <c r="O259" s="79">
        <v>240</v>
      </c>
      <c r="P259" s="79">
        <v>160</v>
      </c>
      <c r="Q259" s="79">
        <f t="shared" si="34"/>
        <v>195</v>
      </c>
      <c r="R259" s="79">
        <f t="shared" si="35"/>
        <v>100</v>
      </c>
      <c r="S259" s="76">
        <f t="shared" si="36"/>
        <v>695</v>
      </c>
      <c r="T259" s="76">
        <f>0</f>
        <v>0</v>
      </c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</row>
    <row r="260" spans="1:30" ht="15.75" x14ac:dyDescent="0.25">
      <c r="A260" s="13">
        <v>48823</v>
      </c>
      <c r="B260" s="90">
        <v>30</v>
      </c>
      <c r="C260" s="76">
        <f>194.205</f>
        <v>194.20500000000001</v>
      </c>
      <c r="D260" s="76">
        <f>267.466</f>
        <v>267.46600000000001</v>
      </c>
      <c r="E260" s="85">
        <f>133.845</f>
        <v>133.845</v>
      </c>
      <c r="F260" s="76">
        <f>278.484-40-25-60-100</f>
        <v>53.48399999999998</v>
      </c>
      <c r="G260" s="79">
        <v>40</v>
      </c>
      <c r="H260" s="76">
        <f t="shared" si="41"/>
        <v>185</v>
      </c>
      <c r="I260" s="76">
        <f t="shared" si="40"/>
        <v>0</v>
      </c>
      <c r="J260" s="79">
        <v>100</v>
      </c>
      <c r="K260" s="79">
        <v>300</v>
      </c>
      <c r="L260" s="76">
        <f t="shared" si="33"/>
        <v>1274</v>
      </c>
      <c r="M260" s="87">
        <v>600</v>
      </c>
      <c r="N260" s="76">
        <f>30</f>
        <v>30</v>
      </c>
      <c r="O260" s="79">
        <v>240</v>
      </c>
      <c r="P260" s="79">
        <v>160</v>
      </c>
      <c r="Q260" s="79">
        <f t="shared" si="34"/>
        <v>195</v>
      </c>
      <c r="R260" s="79">
        <f t="shared" si="35"/>
        <v>100</v>
      </c>
      <c r="S260" s="76">
        <f t="shared" si="36"/>
        <v>695</v>
      </c>
      <c r="T260" s="76">
        <f>0</f>
        <v>0</v>
      </c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</row>
    <row r="261" spans="1:30" ht="15.75" x14ac:dyDescent="0.25">
      <c r="A261" s="13">
        <v>48853</v>
      </c>
      <c r="B261" s="90">
        <v>31</v>
      </c>
      <c r="C261" s="76">
        <f>131.881</f>
        <v>131.881</v>
      </c>
      <c r="D261" s="76">
        <f>277.167</f>
        <v>277.16699999999997</v>
      </c>
      <c r="E261" s="85">
        <f>79.08</f>
        <v>79.08</v>
      </c>
      <c r="F261" s="76">
        <f>350.872-40-25-60-100</f>
        <v>125.87200000000001</v>
      </c>
      <c r="G261" s="79">
        <v>40</v>
      </c>
      <c r="H261" s="76">
        <f t="shared" si="41"/>
        <v>185</v>
      </c>
      <c r="I261" s="76">
        <f t="shared" si="40"/>
        <v>0</v>
      </c>
      <c r="J261" s="79">
        <v>100</v>
      </c>
      <c r="K261" s="79">
        <v>300</v>
      </c>
      <c r="L261" s="76">
        <f t="shared" si="33"/>
        <v>1239</v>
      </c>
      <c r="M261" s="87">
        <v>600</v>
      </c>
      <c r="N261" s="76">
        <f>75</f>
        <v>75</v>
      </c>
      <c r="O261" s="79">
        <v>240</v>
      </c>
      <c r="P261" s="79">
        <v>160</v>
      </c>
      <c r="Q261" s="79">
        <f t="shared" si="34"/>
        <v>195</v>
      </c>
      <c r="R261" s="79">
        <f t="shared" si="35"/>
        <v>100</v>
      </c>
      <c r="S261" s="76">
        <f t="shared" si="36"/>
        <v>695</v>
      </c>
      <c r="T261" s="76">
        <f>0</f>
        <v>0</v>
      </c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</row>
    <row r="262" spans="1:30" ht="15.75" x14ac:dyDescent="0.25">
      <c r="A262" s="13">
        <v>48884</v>
      </c>
      <c r="B262" s="90">
        <v>30</v>
      </c>
      <c r="C262" s="76">
        <f>122.58</f>
        <v>122.58</v>
      </c>
      <c r="D262" s="76">
        <f>297.941</f>
        <v>297.94099999999997</v>
      </c>
      <c r="E262" s="85">
        <f>89.177</f>
        <v>89.177000000000007</v>
      </c>
      <c r="F262" s="76">
        <f>240.302-40-60-100</f>
        <v>40.301999999999992</v>
      </c>
      <c r="G262" s="79">
        <v>40</v>
      </c>
      <c r="H262" s="76">
        <f>60+100</f>
        <v>160</v>
      </c>
      <c r="I262" s="76">
        <f t="shared" si="40"/>
        <v>0</v>
      </c>
      <c r="J262" s="79">
        <v>100</v>
      </c>
      <c r="K262" s="79">
        <v>300</v>
      </c>
      <c r="L262" s="76">
        <f t="shared" si="33"/>
        <v>1150</v>
      </c>
      <c r="M262" s="87">
        <v>600</v>
      </c>
      <c r="N262" s="76">
        <f>100</f>
        <v>100</v>
      </c>
      <c r="O262" s="79">
        <v>240</v>
      </c>
      <c r="P262" s="79">
        <v>40</v>
      </c>
      <c r="Q262" s="79">
        <f t="shared" si="34"/>
        <v>315</v>
      </c>
      <c r="R262" s="79">
        <f t="shared" si="35"/>
        <v>100</v>
      </c>
      <c r="S262" s="76">
        <f t="shared" si="36"/>
        <v>695</v>
      </c>
      <c r="T262" s="76">
        <f>50</f>
        <v>50</v>
      </c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</row>
    <row r="263" spans="1:30" ht="15.75" x14ac:dyDescent="0.25">
      <c r="A263" s="13">
        <v>48914</v>
      </c>
      <c r="B263" s="90">
        <v>31</v>
      </c>
      <c r="C263" s="76">
        <f>122.58</f>
        <v>122.58</v>
      </c>
      <c r="D263" s="76">
        <f>297.941</f>
        <v>297.94099999999997</v>
      </c>
      <c r="E263" s="85">
        <f>89.177</f>
        <v>89.177000000000007</v>
      </c>
      <c r="F263" s="76">
        <f>240.302-40-60-100</f>
        <v>40.301999999999992</v>
      </c>
      <c r="G263" s="79">
        <v>40</v>
      </c>
      <c r="H263" s="76">
        <f>60+100</f>
        <v>160</v>
      </c>
      <c r="I263" s="76">
        <f t="shared" si="40"/>
        <v>0</v>
      </c>
      <c r="J263" s="79">
        <v>100</v>
      </c>
      <c r="K263" s="79">
        <v>300</v>
      </c>
      <c r="L263" s="76">
        <f t="shared" si="33"/>
        <v>1150</v>
      </c>
      <c r="M263" s="87">
        <v>600</v>
      </c>
      <c r="N263" s="76">
        <f>100</f>
        <v>100</v>
      </c>
      <c r="O263" s="79">
        <v>240</v>
      </c>
      <c r="P263" s="79">
        <v>40</v>
      </c>
      <c r="Q263" s="79">
        <f t="shared" si="34"/>
        <v>315</v>
      </c>
      <c r="R263" s="79">
        <f t="shared" si="35"/>
        <v>100</v>
      </c>
      <c r="S263" s="76">
        <f t="shared" si="36"/>
        <v>695</v>
      </c>
      <c r="T263" s="76">
        <f>50</f>
        <v>50</v>
      </c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</row>
    <row r="264" spans="1:30" ht="15.75" x14ac:dyDescent="0.25">
      <c r="A264" s="13">
        <v>48945</v>
      </c>
      <c r="B264" s="90">
        <v>31</v>
      </c>
      <c r="C264" s="76">
        <f>122.58</f>
        <v>122.58</v>
      </c>
      <c r="D264" s="76">
        <f>297.941</f>
        <v>297.94099999999997</v>
      </c>
      <c r="E264" s="85">
        <f>89.177</f>
        <v>89.177000000000007</v>
      </c>
      <c r="F264" s="76">
        <f>240.302-40-60-100</f>
        <v>40.301999999999992</v>
      </c>
      <c r="G264" s="79">
        <v>40</v>
      </c>
      <c r="H264" s="76">
        <f>60+100</f>
        <v>160</v>
      </c>
      <c r="I264" s="76">
        <f t="shared" si="40"/>
        <v>0</v>
      </c>
      <c r="J264" s="79">
        <v>100</v>
      </c>
      <c r="K264" s="79">
        <v>300</v>
      </c>
      <c r="L264" s="76">
        <f t="shared" si="33"/>
        <v>1150</v>
      </c>
      <c r="M264" s="87">
        <v>600</v>
      </c>
      <c r="N264" s="76">
        <f>100</f>
        <v>100</v>
      </c>
      <c r="O264" s="79">
        <v>240</v>
      </c>
      <c r="P264" s="79">
        <v>40</v>
      </c>
      <c r="Q264" s="79">
        <f t="shared" si="34"/>
        <v>315</v>
      </c>
      <c r="R264" s="79">
        <f t="shared" si="35"/>
        <v>100</v>
      </c>
      <c r="S264" s="76">
        <f t="shared" si="36"/>
        <v>695</v>
      </c>
      <c r="T264" s="76">
        <f>50</f>
        <v>50</v>
      </c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</row>
    <row r="265" spans="1:30" ht="15.75" x14ac:dyDescent="0.25">
      <c r="A265" s="13">
        <v>48976</v>
      </c>
      <c r="B265" s="90">
        <v>28</v>
      </c>
      <c r="C265" s="76">
        <f>122.58</f>
        <v>122.58</v>
      </c>
      <c r="D265" s="76">
        <f>297.941</f>
        <v>297.94099999999997</v>
      </c>
      <c r="E265" s="85">
        <f>89.177</f>
        <v>89.177000000000007</v>
      </c>
      <c r="F265" s="76">
        <f>240.302-40-60-100</f>
        <v>40.301999999999992</v>
      </c>
      <c r="G265" s="79">
        <v>40</v>
      </c>
      <c r="H265" s="76">
        <f>60+100</f>
        <v>160</v>
      </c>
      <c r="I265" s="76">
        <f t="shared" si="40"/>
        <v>0</v>
      </c>
      <c r="J265" s="79">
        <v>100</v>
      </c>
      <c r="K265" s="79">
        <v>300</v>
      </c>
      <c r="L265" s="76">
        <f t="shared" si="33"/>
        <v>1150</v>
      </c>
      <c r="M265" s="87">
        <v>600</v>
      </c>
      <c r="N265" s="76">
        <f>100</f>
        <v>100</v>
      </c>
      <c r="O265" s="79">
        <v>240</v>
      </c>
      <c r="P265" s="79">
        <v>40</v>
      </c>
      <c r="Q265" s="79">
        <f t="shared" si="34"/>
        <v>315</v>
      </c>
      <c r="R265" s="79">
        <f t="shared" si="35"/>
        <v>100</v>
      </c>
      <c r="S265" s="76">
        <f t="shared" si="36"/>
        <v>695</v>
      </c>
      <c r="T265" s="76">
        <f>50</f>
        <v>50</v>
      </c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</row>
    <row r="266" spans="1:30" ht="15.75" x14ac:dyDescent="0.25">
      <c r="A266" s="13">
        <v>49004</v>
      </c>
      <c r="B266" s="90">
        <v>31</v>
      </c>
      <c r="C266" s="76">
        <f>122.58</f>
        <v>122.58</v>
      </c>
      <c r="D266" s="76">
        <f>297.941</f>
        <v>297.94099999999997</v>
      </c>
      <c r="E266" s="85">
        <f>89.177</f>
        <v>89.177000000000007</v>
      </c>
      <c r="F266" s="76">
        <f>240.302-40-60-100</f>
        <v>40.301999999999992</v>
      </c>
      <c r="G266" s="79">
        <v>40</v>
      </c>
      <c r="H266" s="76">
        <f>60+100</f>
        <v>160</v>
      </c>
      <c r="I266" s="76">
        <f t="shared" si="40"/>
        <v>0</v>
      </c>
      <c r="J266" s="79">
        <v>100</v>
      </c>
      <c r="K266" s="79">
        <v>300</v>
      </c>
      <c r="L266" s="76">
        <f t="shared" si="33"/>
        <v>1150</v>
      </c>
      <c r="M266" s="87">
        <v>600</v>
      </c>
      <c r="N266" s="76">
        <f>100</f>
        <v>100</v>
      </c>
      <c r="O266" s="79">
        <v>240</v>
      </c>
      <c r="P266" s="79">
        <v>40</v>
      </c>
      <c r="Q266" s="79">
        <f t="shared" si="34"/>
        <v>315</v>
      </c>
      <c r="R266" s="79">
        <f t="shared" si="35"/>
        <v>100</v>
      </c>
      <c r="S266" s="76">
        <f t="shared" si="36"/>
        <v>695</v>
      </c>
      <c r="T266" s="76">
        <f>50</f>
        <v>50</v>
      </c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</row>
    <row r="267" spans="1:30" ht="15.75" x14ac:dyDescent="0.25">
      <c r="A267" s="13">
        <v>49035</v>
      </c>
      <c r="B267" s="90">
        <v>30</v>
      </c>
      <c r="C267" s="76">
        <f>141.293</f>
        <v>141.29300000000001</v>
      </c>
      <c r="D267" s="76">
        <f>267.993</f>
        <v>267.99299999999999</v>
      </c>
      <c r="E267" s="85">
        <f>115.016</f>
        <v>115.01600000000001</v>
      </c>
      <c r="F267" s="76">
        <f>314.698-40-25-60-100</f>
        <v>89.697999999999979</v>
      </c>
      <c r="G267" s="79">
        <v>40</v>
      </c>
      <c r="H267" s="76">
        <f t="shared" ref="H267:H273" si="42">25+60+100</f>
        <v>185</v>
      </c>
      <c r="I267" s="76">
        <f t="shared" si="40"/>
        <v>0</v>
      </c>
      <c r="J267" s="79">
        <v>100</v>
      </c>
      <c r="K267" s="79">
        <v>300</v>
      </c>
      <c r="L267" s="76">
        <f t="shared" si="33"/>
        <v>1239</v>
      </c>
      <c r="M267" s="87">
        <v>600</v>
      </c>
      <c r="N267" s="76">
        <f>100</f>
        <v>100</v>
      </c>
      <c r="O267" s="79">
        <v>240</v>
      </c>
      <c r="P267" s="79">
        <v>160</v>
      </c>
      <c r="Q267" s="79">
        <f t="shared" si="34"/>
        <v>195</v>
      </c>
      <c r="R267" s="79">
        <f t="shared" si="35"/>
        <v>100</v>
      </c>
      <c r="S267" s="76">
        <f t="shared" si="36"/>
        <v>695</v>
      </c>
      <c r="T267" s="76">
        <f>50</f>
        <v>50</v>
      </c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</row>
    <row r="268" spans="1:30" ht="15.75" x14ac:dyDescent="0.25">
      <c r="A268" s="13">
        <v>49065</v>
      </c>
      <c r="B268" s="90">
        <v>31</v>
      </c>
      <c r="C268" s="76">
        <f>194.205</f>
        <v>194.20500000000001</v>
      </c>
      <c r="D268" s="76">
        <f>267.466</f>
        <v>267.46600000000001</v>
      </c>
      <c r="E268" s="85">
        <f>133.845</f>
        <v>133.845</v>
      </c>
      <c r="F268" s="76">
        <f>278.484-40-25-60-100</f>
        <v>53.48399999999998</v>
      </c>
      <c r="G268" s="79">
        <v>40</v>
      </c>
      <c r="H268" s="76">
        <f t="shared" si="42"/>
        <v>185</v>
      </c>
      <c r="I268" s="76">
        <f t="shared" si="40"/>
        <v>0</v>
      </c>
      <c r="J268" s="79">
        <v>100</v>
      </c>
      <c r="K268" s="79">
        <v>300</v>
      </c>
      <c r="L268" s="76">
        <f t="shared" si="33"/>
        <v>1274</v>
      </c>
      <c r="M268" s="87">
        <v>600</v>
      </c>
      <c r="N268" s="76">
        <f>75</f>
        <v>75</v>
      </c>
      <c r="O268" s="79">
        <v>240</v>
      </c>
      <c r="P268" s="79">
        <v>160</v>
      </c>
      <c r="Q268" s="79">
        <f t="shared" si="34"/>
        <v>195</v>
      </c>
      <c r="R268" s="79">
        <f t="shared" si="35"/>
        <v>100</v>
      </c>
      <c r="S268" s="76">
        <f t="shared" si="36"/>
        <v>695</v>
      </c>
      <c r="T268" s="76">
        <f>50</f>
        <v>50</v>
      </c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</row>
    <row r="269" spans="1:30" ht="15.75" x14ac:dyDescent="0.25">
      <c r="A269" s="13">
        <v>49096</v>
      </c>
      <c r="B269" s="90">
        <v>30</v>
      </c>
      <c r="C269" s="76">
        <f>194.205</f>
        <v>194.20500000000001</v>
      </c>
      <c r="D269" s="76">
        <f>267.466</f>
        <v>267.46600000000001</v>
      </c>
      <c r="E269" s="85">
        <f>133.845</f>
        <v>133.845</v>
      </c>
      <c r="F269" s="76">
        <f>278.484-40-25-60-100</f>
        <v>53.48399999999998</v>
      </c>
      <c r="G269" s="79">
        <v>40</v>
      </c>
      <c r="H269" s="76">
        <f t="shared" si="42"/>
        <v>185</v>
      </c>
      <c r="I269" s="76">
        <f t="shared" si="40"/>
        <v>0</v>
      </c>
      <c r="J269" s="79">
        <v>100</v>
      </c>
      <c r="K269" s="79">
        <v>300</v>
      </c>
      <c r="L269" s="76">
        <f t="shared" si="33"/>
        <v>1274</v>
      </c>
      <c r="M269" s="87">
        <v>600</v>
      </c>
      <c r="N269" s="76">
        <f>30</f>
        <v>30</v>
      </c>
      <c r="O269" s="79">
        <v>240</v>
      </c>
      <c r="P269" s="79">
        <v>160</v>
      </c>
      <c r="Q269" s="79">
        <f t="shared" si="34"/>
        <v>195</v>
      </c>
      <c r="R269" s="79">
        <f t="shared" si="35"/>
        <v>100</v>
      </c>
      <c r="S269" s="76">
        <f t="shared" si="36"/>
        <v>695</v>
      </c>
      <c r="T269" s="76">
        <f>50</f>
        <v>50</v>
      </c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</row>
    <row r="270" spans="1:30" ht="15.75" x14ac:dyDescent="0.25">
      <c r="A270" s="13">
        <v>49126</v>
      </c>
      <c r="B270" s="90">
        <v>31</v>
      </c>
      <c r="C270" s="76">
        <f>194.205</f>
        <v>194.20500000000001</v>
      </c>
      <c r="D270" s="76">
        <f>267.466</f>
        <v>267.46600000000001</v>
      </c>
      <c r="E270" s="85">
        <f>133.845</f>
        <v>133.845</v>
      </c>
      <c r="F270" s="76">
        <f>278.484-40-25-60-100</f>
        <v>53.48399999999998</v>
      </c>
      <c r="G270" s="79">
        <v>40</v>
      </c>
      <c r="H270" s="76">
        <f t="shared" si="42"/>
        <v>185</v>
      </c>
      <c r="I270" s="76">
        <f t="shared" si="40"/>
        <v>0</v>
      </c>
      <c r="J270" s="79">
        <v>100</v>
      </c>
      <c r="K270" s="79">
        <v>300</v>
      </c>
      <c r="L270" s="76">
        <f t="shared" si="33"/>
        <v>1274</v>
      </c>
      <c r="M270" s="87">
        <v>600</v>
      </c>
      <c r="N270" s="76">
        <f>30</f>
        <v>30</v>
      </c>
      <c r="O270" s="79">
        <v>240</v>
      </c>
      <c r="P270" s="79">
        <v>160</v>
      </c>
      <c r="Q270" s="79">
        <f t="shared" si="34"/>
        <v>195</v>
      </c>
      <c r="R270" s="79">
        <f t="shared" si="35"/>
        <v>100</v>
      </c>
      <c r="S270" s="76">
        <f t="shared" si="36"/>
        <v>695</v>
      </c>
      <c r="T270" s="76">
        <f>0</f>
        <v>0</v>
      </c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</row>
    <row r="271" spans="1:30" ht="15.75" x14ac:dyDescent="0.25">
      <c r="A271" s="13">
        <v>49157</v>
      </c>
      <c r="B271" s="90">
        <v>31</v>
      </c>
      <c r="C271" s="76">
        <f>194.205</f>
        <v>194.20500000000001</v>
      </c>
      <c r="D271" s="76">
        <f>267.466</f>
        <v>267.46600000000001</v>
      </c>
      <c r="E271" s="85">
        <f>133.845</f>
        <v>133.845</v>
      </c>
      <c r="F271" s="76">
        <f>278.484-40-25-60-100</f>
        <v>53.48399999999998</v>
      </c>
      <c r="G271" s="79">
        <v>40</v>
      </c>
      <c r="H271" s="76">
        <f t="shared" si="42"/>
        <v>185</v>
      </c>
      <c r="I271" s="76">
        <f t="shared" si="40"/>
        <v>0</v>
      </c>
      <c r="J271" s="79">
        <v>100</v>
      </c>
      <c r="K271" s="79">
        <v>300</v>
      </c>
      <c r="L271" s="76">
        <f t="shared" si="33"/>
        <v>1274</v>
      </c>
      <c r="M271" s="87">
        <v>600</v>
      </c>
      <c r="N271" s="76">
        <f>30</f>
        <v>30</v>
      </c>
      <c r="O271" s="79">
        <v>240</v>
      </c>
      <c r="P271" s="79">
        <v>160</v>
      </c>
      <c r="Q271" s="79">
        <f t="shared" si="34"/>
        <v>195</v>
      </c>
      <c r="R271" s="79">
        <f t="shared" si="35"/>
        <v>100</v>
      </c>
      <c r="S271" s="76">
        <f t="shared" si="36"/>
        <v>695</v>
      </c>
      <c r="T271" s="76">
        <f>0</f>
        <v>0</v>
      </c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</row>
    <row r="272" spans="1:30" ht="15.75" x14ac:dyDescent="0.25">
      <c r="A272" s="13">
        <v>49188</v>
      </c>
      <c r="B272" s="90">
        <v>30</v>
      </c>
      <c r="C272" s="76">
        <f>194.205</f>
        <v>194.20500000000001</v>
      </c>
      <c r="D272" s="76">
        <f>267.466</f>
        <v>267.46600000000001</v>
      </c>
      <c r="E272" s="85">
        <f>133.845</f>
        <v>133.845</v>
      </c>
      <c r="F272" s="76">
        <f>278.484-40-25-60-100</f>
        <v>53.48399999999998</v>
      </c>
      <c r="G272" s="79">
        <v>40</v>
      </c>
      <c r="H272" s="76">
        <f t="shared" si="42"/>
        <v>185</v>
      </c>
      <c r="I272" s="76">
        <f t="shared" si="40"/>
        <v>0</v>
      </c>
      <c r="J272" s="79">
        <v>100</v>
      </c>
      <c r="K272" s="79">
        <v>300</v>
      </c>
      <c r="L272" s="76">
        <f t="shared" ref="L272:L335" si="43">SUM(C272:K272)</f>
        <v>1274</v>
      </c>
      <c r="M272" s="87">
        <v>600</v>
      </c>
      <c r="N272" s="76">
        <f>30</f>
        <v>30</v>
      </c>
      <c r="O272" s="79">
        <v>240</v>
      </c>
      <c r="P272" s="79">
        <v>160</v>
      </c>
      <c r="Q272" s="79">
        <f t="shared" ref="Q272:Q335" si="44">695-R272-O272-P272</f>
        <v>195</v>
      </c>
      <c r="R272" s="79">
        <f t="shared" ref="R272:R335" si="45">200-J272</f>
        <v>100</v>
      </c>
      <c r="S272" s="76">
        <f t="shared" ref="S272:S335" si="46">SUM(O272:R272)</f>
        <v>695</v>
      </c>
      <c r="T272" s="76">
        <f>0</f>
        <v>0</v>
      </c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</row>
    <row r="273" spans="1:30" ht="15.75" x14ac:dyDescent="0.25">
      <c r="A273" s="13">
        <v>49218</v>
      </c>
      <c r="B273" s="90">
        <v>31</v>
      </c>
      <c r="C273" s="76">
        <f>131.881</f>
        <v>131.881</v>
      </c>
      <c r="D273" s="76">
        <f>277.167</f>
        <v>277.16699999999997</v>
      </c>
      <c r="E273" s="85">
        <f>79.08</f>
        <v>79.08</v>
      </c>
      <c r="F273" s="76">
        <f>350.872-40-25-60-100</f>
        <v>125.87200000000001</v>
      </c>
      <c r="G273" s="79">
        <v>40</v>
      </c>
      <c r="H273" s="76">
        <f t="shared" si="42"/>
        <v>185</v>
      </c>
      <c r="I273" s="76">
        <f t="shared" si="40"/>
        <v>0</v>
      </c>
      <c r="J273" s="79">
        <v>100</v>
      </c>
      <c r="K273" s="79">
        <v>300</v>
      </c>
      <c r="L273" s="76">
        <f t="shared" si="43"/>
        <v>1239</v>
      </c>
      <c r="M273" s="87">
        <v>600</v>
      </c>
      <c r="N273" s="76">
        <f>75</f>
        <v>75</v>
      </c>
      <c r="O273" s="79">
        <v>240</v>
      </c>
      <c r="P273" s="79">
        <v>160</v>
      </c>
      <c r="Q273" s="79">
        <f t="shared" si="44"/>
        <v>195</v>
      </c>
      <c r="R273" s="79">
        <f t="shared" si="45"/>
        <v>100</v>
      </c>
      <c r="S273" s="76">
        <f t="shared" si="46"/>
        <v>695</v>
      </c>
      <c r="T273" s="76">
        <f>0</f>
        <v>0</v>
      </c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</row>
    <row r="274" spans="1:30" ht="15.75" x14ac:dyDescent="0.25">
      <c r="A274" s="13">
        <v>49249</v>
      </c>
      <c r="B274" s="90">
        <v>30</v>
      </c>
      <c r="C274" s="76">
        <f>122.58</f>
        <v>122.58</v>
      </c>
      <c r="D274" s="76">
        <f>297.941</f>
        <v>297.94099999999997</v>
      </c>
      <c r="E274" s="85">
        <f>89.177</f>
        <v>89.177000000000007</v>
      </c>
      <c r="F274" s="76">
        <f>240.302-40-60-100</f>
        <v>40.301999999999992</v>
      </c>
      <c r="G274" s="79">
        <v>40</v>
      </c>
      <c r="H274" s="76">
        <f>60+100</f>
        <v>160</v>
      </c>
      <c r="I274" s="76">
        <f t="shared" si="40"/>
        <v>0</v>
      </c>
      <c r="J274" s="79">
        <v>100</v>
      </c>
      <c r="K274" s="79">
        <v>300</v>
      </c>
      <c r="L274" s="76">
        <f t="shared" si="43"/>
        <v>1150</v>
      </c>
      <c r="M274" s="87">
        <v>600</v>
      </c>
      <c r="N274" s="76">
        <f>100</f>
        <v>100</v>
      </c>
      <c r="O274" s="79">
        <v>240</v>
      </c>
      <c r="P274" s="79">
        <v>40</v>
      </c>
      <c r="Q274" s="79">
        <f t="shared" si="44"/>
        <v>315</v>
      </c>
      <c r="R274" s="79">
        <f t="shared" si="45"/>
        <v>100</v>
      </c>
      <c r="S274" s="76">
        <f t="shared" si="46"/>
        <v>695</v>
      </c>
      <c r="T274" s="76">
        <f>50</f>
        <v>50</v>
      </c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</row>
    <row r="275" spans="1:30" ht="15.75" x14ac:dyDescent="0.25">
      <c r="A275" s="13">
        <v>49279</v>
      </c>
      <c r="B275" s="90">
        <v>31</v>
      </c>
      <c r="C275" s="76">
        <f>122.58</f>
        <v>122.58</v>
      </c>
      <c r="D275" s="76">
        <f>297.941</f>
        <v>297.94099999999997</v>
      </c>
      <c r="E275" s="85">
        <f>89.177</f>
        <v>89.177000000000007</v>
      </c>
      <c r="F275" s="76">
        <f>240.302-40-60-100</f>
        <v>40.301999999999992</v>
      </c>
      <c r="G275" s="79">
        <v>40</v>
      </c>
      <c r="H275" s="76">
        <f>60+100</f>
        <v>160</v>
      </c>
      <c r="I275" s="76">
        <f t="shared" si="40"/>
        <v>0</v>
      </c>
      <c r="J275" s="79">
        <v>100</v>
      </c>
      <c r="K275" s="79">
        <v>300</v>
      </c>
      <c r="L275" s="76">
        <f t="shared" si="43"/>
        <v>1150</v>
      </c>
      <c r="M275" s="87">
        <v>600</v>
      </c>
      <c r="N275" s="76">
        <f>100</f>
        <v>100</v>
      </c>
      <c r="O275" s="79">
        <v>240</v>
      </c>
      <c r="P275" s="79">
        <v>40</v>
      </c>
      <c r="Q275" s="79">
        <f t="shared" si="44"/>
        <v>315</v>
      </c>
      <c r="R275" s="79">
        <f t="shared" si="45"/>
        <v>100</v>
      </c>
      <c r="S275" s="76">
        <f t="shared" si="46"/>
        <v>695</v>
      </c>
      <c r="T275" s="76">
        <f>50</f>
        <v>50</v>
      </c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</row>
    <row r="276" spans="1:30" ht="15.75" x14ac:dyDescent="0.25">
      <c r="A276" s="13">
        <v>49310</v>
      </c>
      <c r="B276" s="90">
        <v>31</v>
      </c>
      <c r="C276" s="76">
        <f>122.58</f>
        <v>122.58</v>
      </c>
      <c r="D276" s="76">
        <f>297.941</f>
        <v>297.94099999999997</v>
      </c>
      <c r="E276" s="85">
        <f>89.177</f>
        <v>89.177000000000007</v>
      </c>
      <c r="F276" s="76">
        <f>240.302-40-60-100</f>
        <v>40.301999999999992</v>
      </c>
      <c r="G276" s="79">
        <v>40</v>
      </c>
      <c r="H276" s="76">
        <f>60+100</f>
        <v>160</v>
      </c>
      <c r="I276" s="76">
        <f t="shared" si="40"/>
        <v>0</v>
      </c>
      <c r="J276" s="79">
        <v>100</v>
      </c>
      <c r="K276" s="79">
        <v>300</v>
      </c>
      <c r="L276" s="76">
        <f t="shared" si="43"/>
        <v>1150</v>
      </c>
      <c r="M276" s="87">
        <v>600</v>
      </c>
      <c r="N276" s="76">
        <f>100</f>
        <v>100</v>
      </c>
      <c r="O276" s="79">
        <v>240</v>
      </c>
      <c r="P276" s="79">
        <v>40</v>
      </c>
      <c r="Q276" s="79">
        <f t="shared" si="44"/>
        <v>315</v>
      </c>
      <c r="R276" s="79">
        <f t="shared" si="45"/>
        <v>100</v>
      </c>
      <c r="S276" s="76">
        <f t="shared" si="46"/>
        <v>695</v>
      </c>
      <c r="T276" s="76">
        <f>50</f>
        <v>50</v>
      </c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</row>
    <row r="277" spans="1:30" ht="15.75" x14ac:dyDescent="0.25">
      <c r="A277" s="13">
        <v>49341</v>
      </c>
      <c r="B277" s="90">
        <v>28</v>
      </c>
      <c r="C277" s="76">
        <f>122.58</f>
        <v>122.58</v>
      </c>
      <c r="D277" s="76">
        <f>297.941</f>
        <v>297.94099999999997</v>
      </c>
      <c r="E277" s="85">
        <f>89.177</f>
        <v>89.177000000000007</v>
      </c>
      <c r="F277" s="76">
        <f>240.302-40-60-100</f>
        <v>40.301999999999992</v>
      </c>
      <c r="G277" s="79">
        <v>40</v>
      </c>
      <c r="H277" s="76">
        <f>60+100</f>
        <v>160</v>
      </c>
      <c r="I277" s="76">
        <f t="shared" si="40"/>
        <v>0</v>
      </c>
      <c r="J277" s="79">
        <v>100</v>
      </c>
      <c r="K277" s="79">
        <v>300</v>
      </c>
      <c r="L277" s="76">
        <f t="shared" si="43"/>
        <v>1150</v>
      </c>
      <c r="M277" s="87">
        <v>600</v>
      </c>
      <c r="N277" s="76">
        <f>100</f>
        <v>100</v>
      </c>
      <c r="O277" s="79">
        <v>240</v>
      </c>
      <c r="P277" s="79">
        <v>40</v>
      </c>
      <c r="Q277" s="79">
        <f t="shared" si="44"/>
        <v>315</v>
      </c>
      <c r="R277" s="79">
        <f t="shared" si="45"/>
        <v>100</v>
      </c>
      <c r="S277" s="76">
        <f t="shared" si="46"/>
        <v>695</v>
      </c>
      <c r="T277" s="76">
        <f>50</f>
        <v>50</v>
      </c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</row>
    <row r="278" spans="1:30" ht="15.75" x14ac:dyDescent="0.25">
      <c r="A278" s="13">
        <v>49369</v>
      </c>
      <c r="B278" s="90">
        <v>31</v>
      </c>
      <c r="C278" s="76">
        <f>122.58</f>
        <v>122.58</v>
      </c>
      <c r="D278" s="76">
        <f>297.941</f>
        <v>297.94099999999997</v>
      </c>
      <c r="E278" s="85">
        <f>89.177</f>
        <v>89.177000000000007</v>
      </c>
      <c r="F278" s="76">
        <f>240.302-40-60-100</f>
        <v>40.301999999999992</v>
      </c>
      <c r="G278" s="79">
        <v>40</v>
      </c>
      <c r="H278" s="76">
        <f>60+100</f>
        <v>160</v>
      </c>
      <c r="I278" s="76">
        <f t="shared" si="40"/>
        <v>0</v>
      </c>
      <c r="J278" s="79">
        <v>100</v>
      </c>
      <c r="K278" s="79">
        <v>300</v>
      </c>
      <c r="L278" s="76">
        <f t="shared" si="43"/>
        <v>1150</v>
      </c>
      <c r="M278" s="87">
        <v>600</v>
      </c>
      <c r="N278" s="76">
        <f>100</f>
        <v>100</v>
      </c>
      <c r="O278" s="79">
        <v>240</v>
      </c>
      <c r="P278" s="79">
        <v>40</v>
      </c>
      <c r="Q278" s="79">
        <f t="shared" si="44"/>
        <v>315</v>
      </c>
      <c r="R278" s="79">
        <f t="shared" si="45"/>
        <v>100</v>
      </c>
      <c r="S278" s="76">
        <f t="shared" si="46"/>
        <v>695</v>
      </c>
      <c r="T278" s="76">
        <f>50</f>
        <v>50</v>
      </c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</row>
    <row r="279" spans="1:30" ht="15.75" x14ac:dyDescent="0.25">
      <c r="A279" s="13">
        <v>49400</v>
      </c>
      <c r="B279" s="90">
        <v>30</v>
      </c>
      <c r="C279" s="76">
        <f>141.293</f>
        <v>141.29300000000001</v>
      </c>
      <c r="D279" s="76">
        <f>267.993</f>
        <v>267.99299999999999</v>
      </c>
      <c r="E279" s="85">
        <f>115.016</f>
        <v>115.01600000000001</v>
      </c>
      <c r="F279" s="76">
        <f>314.698-40-25-60-100</f>
        <v>89.697999999999979</v>
      </c>
      <c r="G279" s="79">
        <v>40</v>
      </c>
      <c r="H279" s="76">
        <f t="shared" ref="H279:H285" si="47">25+60+100</f>
        <v>185</v>
      </c>
      <c r="I279" s="76">
        <f t="shared" si="40"/>
        <v>0</v>
      </c>
      <c r="J279" s="79">
        <v>100</v>
      </c>
      <c r="K279" s="79">
        <v>300</v>
      </c>
      <c r="L279" s="76">
        <f t="shared" si="43"/>
        <v>1239</v>
      </c>
      <c r="M279" s="87">
        <v>600</v>
      </c>
      <c r="N279" s="76">
        <f>100</f>
        <v>100</v>
      </c>
      <c r="O279" s="79">
        <v>240</v>
      </c>
      <c r="P279" s="79">
        <v>160</v>
      </c>
      <c r="Q279" s="79">
        <f t="shared" si="44"/>
        <v>195</v>
      </c>
      <c r="R279" s="79">
        <f t="shared" si="45"/>
        <v>100</v>
      </c>
      <c r="S279" s="76">
        <f t="shared" si="46"/>
        <v>695</v>
      </c>
      <c r="T279" s="76">
        <f>50</f>
        <v>50</v>
      </c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</row>
    <row r="280" spans="1:30" ht="15.75" x14ac:dyDescent="0.25">
      <c r="A280" s="13">
        <v>49430</v>
      </c>
      <c r="B280" s="90">
        <v>31</v>
      </c>
      <c r="C280" s="76">
        <f>194.205</f>
        <v>194.20500000000001</v>
      </c>
      <c r="D280" s="76">
        <f>267.466</f>
        <v>267.46600000000001</v>
      </c>
      <c r="E280" s="85">
        <f>133.845</f>
        <v>133.845</v>
      </c>
      <c r="F280" s="76">
        <f>278.484-40-25-60-100</f>
        <v>53.48399999999998</v>
      </c>
      <c r="G280" s="79">
        <v>40</v>
      </c>
      <c r="H280" s="76">
        <f t="shared" si="47"/>
        <v>185</v>
      </c>
      <c r="I280" s="76">
        <f t="shared" si="40"/>
        <v>0</v>
      </c>
      <c r="J280" s="79">
        <v>100</v>
      </c>
      <c r="K280" s="79">
        <v>300</v>
      </c>
      <c r="L280" s="76">
        <f t="shared" si="43"/>
        <v>1274</v>
      </c>
      <c r="M280" s="87">
        <v>600</v>
      </c>
      <c r="N280" s="76">
        <f>75</f>
        <v>75</v>
      </c>
      <c r="O280" s="79">
        <v>240</v>
      </c>
      <c r="P280" s="79">
        <v>160</v>
      </c>
      <c r="Q280" s="79">
        <f t="shared" si="44"/>
        <v>195</v>
      </c>
      <c r="R280" s="79">
        <f t="shared" si="45"/>
        <v>100</v>
      </c>
      <c r="S280" s="76">
        <f t="shared" si="46"/>
        <v>695</v>
      </c>
      <c r="T280" s="76">
        <f>50</f>
        <v>50</v>
      </c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</row>
    <row r="281" spans="1:30" ht="15.75" x14ac:dyDescent="0.25">
      <c r="A281" s="34">
        <v>49461</v>
      </c>
      <c r="B281" s="90">
        <v>30</v>
      </c>
      <c r="C281" s="76">
        <f>194.205</f>
        <v>194.20500000000001</v>
      </c>
      <c r="D281" s="76">
        <f>267.466</f>
        <v>267.46600000000001</v>
      </c>
      <c r="E281" s="85">
        <f>133.845</f>
        <v>133.845</v>
      </c>
      <c r="F281" s="76">
        <f>278.484-40-25-60-100</f>
        <v>53.48399999999998</v>
      </c>
      <c r="G281" s="79">
        <v>40</v>
      </c>
      <c r="H281" s="76">
        <f t="shared" si="47"/>
        <v>185</v>
      </c>
      <c r="I281" s="76">
        <f t="shared" si="40"/>
        <v>0</v>
      </c>
      <c r="J281" s="79">
        <v>100</v>
      </c>
      <c r="K281" s="79">
        <v>300</v>
      </c>
      <c r="L281" s="76">
        <f t="shared" si="43"/>
        <v>1274</v>
      </c>
      <c r="M281" s="87">
        <v>600</v>
      </c>
      <c r="N281" s="76">
        <f>30</f>
        <v>30</v>
      </c>
      <c r="O281" s="79">
        <v>240</v>
      </c>
      <c r="P281" s="79">
        <v>160</v>
      </c>
      <c r="Q281" s="79">
        <f t="shared" si="44"/>
        <v>195</v>
      </c>
      <c r="R281" s="79">
        <f t="shared" si="45"/>
        <v>100</v>
      </c>
      <c r="S281" s="76">
        <f t="shared" si="46"/>
        <v>695</v>
      </c>
      <c r="T281" s="76">
        <f>50</f>
        <v>50</v>
      </c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</row>
    <row r="282" spans="1:30" ht="15.75" x14ac:dyDescent="0.25">
      <c r="A282" s="34">
        <v>49491</v>
      </c>
      <c r="B282" s="90">
        <v>31</v>
      </c>
      <c r="C282" s="76">
        <f>194.205</f>
        <v>194.20500000000001</v>
      </c>
      <c r="D282" s="76">
        <f>267.466</f>
        <v>267.46600000000001</v>
      </c>
      <c r="E282" s="85">
        <f>133.845</f>
        <v>133.845</v>
      </c>
      <c r="F282" s="76">
        <f>278.484-40-25-60-100</f>
        <v>53.48399999999998</v>
      </c>
      <c r="G282" s="79">
        <v>40</v>
      </c>
      <c r="H282" s="76">
        <f t="shared" si="47"/>
        <v>185</v>
      </c>
      <c r="I282" s="76">
        <f t="shared" si="40"/>
        <v>0</v>
      </c>
      <c r="J282" s="79">
        <v>100</v>
      </c>
      <c r="K282" s="79">
        <v>300</v>
      </c>
      <c r="L282" s="76">
        <f t="shared" si="43"/>
        <v>1274</v>
      </c>
      <c r="M282" s="87">
        <v>600</v>
      </c>
      <c r="N282" s="76">
        <f>30</f>
        <v>30</v>
      </c>
      <c r="O282" s="79">
        <v>240</v>
      </c>
      <c r="P282" s="79">
        <v>160</v>
      </c>
      <c r="Q282" s="79">
        <f t="shared" si="44"/>
        <v>195</v>
      </c>
      <c r="R282" s="79">
        <f t="shared" si="45"/>
        <v>100</v>
      </c>
      <c r="S282" s="76">
        <f t="shared" si="46"/>
        <v>695</v>
      </c>
      <c r="T282" s="76">
        <f>0</f>
        <v>0</v>
      </c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</row>
    <row r="283" spans="1:30" ht="15.75" x14ac:dyDescent="0.25">
      <c r="A283" s="34">
        <v>49522</v>
      </c>
      <c r="B283" s="90">
        <v>31</v>
      </c>
      <c r="C283" s="76">
        <f>194.205</f>
        <v>194.20500000000001</v>
      </c>
      <c r="D283" s="76">
        <f>267.466</f>
        <v>267.46600000000001</v>
      </c>
      <c r="E283" s="85">
        <f>133.845</f>
        <v>133.845</v>
      </c>
      <c r="F283" s="76">
        <f>278.484-40-25-60-100</f>
        <v>53.48399999999998</v>
      </c>
      <c r="G283" s="79">
        <v>40</v>
      </c>
      <c r="H283" s="76">
        <f t="shared" si="47"/>
        <v>185</v>
      </c>
      <c r="I283" s="76">
        <f t="shared" si="40"/>
        <v>0</v>
      </c>
      <c r="J283" s="79">
        <v>100</v>
      </c>
      <c r="K283" s="79">
        <v>300</v>
      </c>
      <c r="L283" s="76">
        <f t="shared" si="43"/>
        <v>1274</v>
      </c>
      <c r="M283" s="87">
        <v>600</v>
      </c>
      <c r="N283" s="76">
        <f>30</f>
        <v>30</v>
      </c>
      <c r="O283" s="79">
        <v>240</v>
      </c>
      <c r="P283" s="79">
        <v>160</v>
      </c>
      <c r="Q283" s="79">
        <f t="shared" si="44"/>
        <v>195</v>
      </c>
      <c r="R283" s="79">
        <f t="shared" si="45"/>
        <v>100</v>
      </c>
      <c r="S283" s="76">
        <f t="shared" si="46"/>
        <v>695</v>
      </c>
      <c r="T283" s="76">
        <f>0</f>
        <v>0</v>
      </c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</row>
    <row r="284" spans="1:30" ht="15.75" x14ac:dyDescent="0.25">
      <c r="A284" s="34">
        <v>49553</v>
      </c>
      <c r="B284" s="90">
        <v>30</v>
      </c>
      <c r="C284" s="76">
        <f>194.205</f>
        <v>194.20500000000001</v>
      </c>
      <c r="D284" s="76">
        <f>267.466</f>
        <v>267.46600000000001</v>
      </c>
      <c r="E284" s="85">
        <f>133.845</f>
        <v>133.845</v>
      </c>
      <c r="F284" s="76">
        <f>278.484-40-25-60-100</f>
        <v>53.48399999999998</v>
      </c>
      <c r="G284" s="79">
        <v>40</v>
      </c>
      <c r="H284" s="76">
        <f t="shared" si="47"/>
        <v>185</v>
      </c>
      <c r="I284" s="76">
        <f t="shared" si="40"/>
        <v>0</v>
      </c>
      <c r="J284" s="79">
        <v>100</v>
      </c>
      <c r="K284" s="79">
        <v>300</v>
      </c>
      <c r="L284" s="76">
        <f t="shared" si="43"/>
        <v>1274</v>
      </c>
      <c r="M284" s="87">
        <v>600</v>
      </c>
      <c r="N284" s="76">
        <f>30</f>
        <v>30</v>
      </c>
      <c r="O284" s="79">
        <v>240</v>
      </c>
      <c r="P284" s="79">
        <v>160</v>
      </c>
      <c r="Q284" s="79">
        <f t="shared" si="44"/>
        <v>195</v>
      </c>
      <c r="R284" s="79">
        <f t="shared" si="45"/>
        <v>100</v>
      </c>
      <c r="S284" s="76">
        <f t="shared" si="46"/>
        <v>695</v>
      </c>
      <c r="T284" s="76">
        <f>0</f>
        <v>0</v>
      </c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</row>
    <row r="285" spans="1:30" ht="15.75" x14ac:dyDescent="0.25">
      <c r="A285" s="34">
        <v>49583</v>
      </c>
      <c r="B285" s="90">
        <v>31</v>
      </c>
      <c r="C285" s="76">
        <f>131.881</f>
        <v>131.881</v>
      </c>
      <c r="D285" s="76">
        <f>277.167</f>
        <v>277.16699999999997</v>
      </c>
      <c r="E285" s="85">
        <f>79.08</f>
        <v>79.08</v>
      </c>
      <c r="F285" s="76">
        <f>350.872-40-25-60-100</f>
        <v>125.87200000000001</v>
      </c>
      <c r="G285" s="79">
        <v>40</v>
      </c>
      <c r="H285" s="76">
        <f t="shared" si="47"/>
        <v>185</v>
      </c>
      <c r="I285" s="76">
        <f t="shared" si="40"/>
        <v>0</v>
      </c>
      <c r="J285" s="79">
        <v>100</v>
      </c>
      <c r="K285" s="79">
        <v>300</v>
      </c>
      <c r="L285" s="76">
        <f t="shared" si="43"/>
        <v>1239</v>
      </c>
      <c r="M285" s="87">
        <v>600</v>
      </c>
      <c r="N285" s="76">
        <f>75</f>
        <v>75</v>
      </c>
      <c r="O285" s="79">
        <v>240</v>
      </c>
      <c r="P285" s="79">
        <v>160</v>
      </c>
      <c r="Q285" s="79">
        <f t="shared" si="44"/>
        <v>195</v>
      </c>
      <c r="R285" s="79">
        <f t="shared" si="45"/>
        <v>100</v>
      </c>
      <c r="S285" s="76">
        <f t="shared" si="46"/>
        <v>695</v>
      </c>
      <c r="T285" s="76">
        <f>0</f>
        <v>0</v>
      </c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</row>
    <row r="286" spans="1:30" ht="15.75" x14ac:dyDescent="0.25">
      <c r="A286" s="34">
        <v>49614</v>
      </c>
      <c r="B286" s="90">
        <v>30</v>
      </c>
      <c r="C286" s="76">
        <f>122.58</f>
        <v>122.58</v>
      </c>
      <c r="D286" s="76">
        <f>297.941</f>
        <v>297.94099999999997</v>
      </c>
      <c r="E286" s="85">
        <f>89.177</f>
        <v>89.177000000000007</v>
      </c>
      <c r="F286" s="76">
        <f>240.302-40-60-100</f>
        <v>40.301999999999992</v>
      </c>
      <c r="G286" s="79">
        <v>40</v>
      </c>
      <c r="H286" s="76">
        <f>60+100</f>
        <v>160</v>
      </c>
      <c r="I286" s="76">
        <f t="shared" si="40"/>
        <v>0</v>
      </c>
      <c r="J286" s="79">
        <v>100</v>
      </c>
      <c r="K286" s="79">
        <v>300</v>
      </c>
      <c r="L286" s="76">
        <f t="shared" si="43"/>
        <v>1150</v>
      </c>
      <c r="M286" s="87">
        <v>600</v>
      </c>
      <c r="N286" s="76">
        <f>100</f>
        <v>100</v>
      </c>
      <c r="O286" s="79">
        <v>240</v>
      </c>
      <c r="P286" s="79">
        <v>40</v>
      </c>
      <c r="Q286" s="79">
        <f t="shared" si="44"/>
        <v>315</v>
      </c>
      <c r="R286" s="79">
        <f t="shared" si="45"/>
        <v>100</v>
      </c>
      <c r="S286" s="76">
        <f t="shared" si="46"/>
        <v>695</v>
      </c>
      <c r="T286" s="76">
        <f>50</f>
        <v>50</v>
      </c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</row>
    <row r="287" spans="1:30" ht="15.75" x14ac:dyDescent="0.25">
      <c r="A287" s="34">
        <v>49644</v>
      </c>
      <c r="B287" s="90">
        <v>31</v>
      </c>
      <c r="C287" s="76">
        <f>122.58</f>
        <v>122.58</v>
      </c>
      <c r="D287" s="76">
        <f>297.941</f>
        <v>297.94099999999997</v>
      </c>
      <c r="E287" s="85">
        <f>89.177</f>
        <v>89.177000000000007</v>
      </c>
      <c r="F287" s="76">
        <f>240.302-40-60-100</f>
        <v>40.301999999999992</v>
      </c>
      <c r="G287" s="79">
        <v>40</v>
      </c>
      <c r="H287" s="76">
        <f>60+100</f>
        <v>160</v>
      </c>
      <c r="I287" s="76">
        <f t="shared" si="40"/>
        <v>0</v>
      </c>
      <c r="J287" s="79">
        <v>100</v>
      </c>
      <c r="K287" s="79">
        <v>300</v>
      </c>
      <c r="L287" s="76">
        <f t="shared" si="43"/>
        <v>1150</v>
      </c>
      <c r="M287" s="87">
        <v>600</v>
      </c>
      <c r="N287" s="76">
        <f>100</f>
        <v>100</v>
      </c>
      <c r="O287" s="79">
        <v>240</v>
      </c>
      <c r="P287" s="79">
        <v>40</v>
      </c>
      <c r="Q287" s="79">
        <f t="shared" si="44"/>
        <v>315</v>
      </c>
      <c r="R287" s="79">
        <f t="shared" si="45"/>
        <v>100</v>
      </c>
      <c r="S287" s="76">
        <f t="shared" si="46"/>
        <v>695</v>
      </c>
      <c r="T287" s="76">
        <f>50</f>
        <v>50</v>
      </c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</row>
    <row r="288" spans="1:30" ht="15.75" x14ac:dyDescent="0.25">
      <c r="A288" s="34">
        <v>49675</v>
      </c>
      <c r="B288" s="90">
        <v>31</v>
      </c>
      <c r="C288" s="76">
        <f>122.58</f>
        <v>122.58</v>
      </c>
      <c r="D288" s="76">
        <f>297.941</f>
        <v>297.94099999999997</v>
      </c>
      <c r="E288" s="85">
        <f>89.177</f>
        <v>89.177000000000007</v>
      </c>
      <c r="F288" s="76">
        <f>240.302-40-60-100</f>
        <v>40.301999999999992</v>
      </c>
      <c r="G288" s="79">
        <v>40</v>
      </c>
      <c r="H288" s="76">
        <f>60+100</f>
        <v>160</v>
      </c>
      <c r="I288" s="76">
        <f t="shared" si="40"/>
        <v>0</v>
      </c>
      <c r="J288" s="79">
        <v>100</v>
      </c>
      <c r="K288" s="79">
        <v>300</v>
      </c>
      <c r="L288" s="76">
        <f t="shared" si="43"/>
        <v>1150</v>
      </c>
      <c r="M288" s="87">
        <v>600</v>
      </c>
      <c r="N288" s="76">
        <f>100</f>
        <v>100</v>
      </c>
      <c r="O288" s="79">
        <v>240</v>
      </c>
      <c r="P288" s="79">
        <v>40</v>
      </c>
      <c r="Q288" s="79">
        <f t="shared" si="44"/>
        <v>315</v>
      </c>
      <c r="R288" s="79">
        <f t="shared" si="45"/>
        <v>100</v>
      </c>
      <c r="S288" s="76">
        <f t="shared" si="46"/>
        <v>695</v>
      </c>
      <c r="T288" s="76">
        <f>50</f>
        <v>50</v>
      </c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</row>
    <row r="289" spans="1:30" ht="15.75" x14ac:dyDescent="0.25">
      <c r="A289" s="34">
        <v>49706</v>
      </c>
      <c r="B289" s="90">
        <v>29</v>
      </c>
      <c r="C289" s="76">
        <f>122.58</f>
        <v>122.58</v>
      </c>
      <c r="D289" s="76">
        <f>297.941</f>
        <v>297.94099999999997</v>
      </c>
      <c r="E289" s="85">
        <f>89.177</f>
        <v>89.177000000000007</v>
      </c>
      <c r="F289" s="76">
        <f>240.302-40-60-100</f>
        <v>40.301999999999992</v>
      </c>
      <c r="G289" s="79">
        <v>40</v>
      </c>
      <c r="H289" s="76">
        <f>60+100</f>
        <v>160</v>
      </c>
      <c r="I289" s="76">
        <f t="shared" si="40"/>
        <v>0</v>
      </c>
      <c r="J289" s="79">
        <v>100</v>
      </c>
      <c r="K289" s="79">
        <v>300</v>
      </c>
      <c r="L289" s="76">
        <f t="shared" si="43"/>
        <v>1150</v>
      </c>
      <c r="M289" s="87">
        <v>600</v>
      </c>
      <c r="N289" s="76">
        <f>100</f>
        <v>100</v>
      </c>
      <c r="O289" s="79">
        <v>240</v>
      </c>
      <c r="P289" s="79">
        <v>40</v>
      </c>
      <c r="Q289" s="79">
        <f t="shared" si="44"/>
        <v>315</v>
      </c>
      <c r="R289" s="79">
        <f t="shared" si="45"/>
        <v>100</v>
      </c>
      <c r="S289" s="76">
        <f t="shared" si="46"/>
        <v>695</v>
      </c>
      <c r="T289" s="76">
        <f>50</f>
        <v>50</v>
      </c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</row>
    <row r="290" spans="1:30" ht="15.75" x14ac:dyDescent="0.25">
      <c r="A290" s="34">
        <v>49735</v>
      </c>
      <c r="B290" s="90">
        <v>31</v>
      </c>
      <c r="C290" s="76">
        <f>122.58</f>
        <v>122.58</v>
      </c>
      <c r="D290" s="76">
        <f>297.941</f>
        <v>297.94099999999997</v>
      </c>
      <c r="E290" s="85">
        <f>89.177</f>
        <v>89.177000000000007</v>
      </c>
      <c r="F290" s="76">
        <f>240.302-40-60-100</f>
        <v>40.301999999999992</v>
      </c>
      <c r="G290" s="79">
        <v>40</v>
      </c>
      <c r="H290" s="76">
        <f>60+100</f>
        <v>160</v>
      </c>
      <c r="I290" s="76">
        <f t="shared" si="40"/>
        <v>0</v>
      </c>
      <c r="J290" s="79">
        <v>100</v>
      </c>
      <c r="K290" s="79">
        <v>300</v>
      </c>
      <c r="L290" s="76">
        <f t="shared" si="43"/>
        <v>1150</v>
      </c>
      <c r="M290" s="87">
        <v>600</v>
      </c>
      <c r="N290" s="76">
        <f>100</f>
        <v>100</v>
      </c>
      <c r="O290" s="79">
        <v>240</v>
      </c>
      <c r="P290" s="79">
        <v>40</v>
      </c>
      <c r="Q290" s="79">
        <f t="shared" si="44"/>
        <v>315</v>
      </c>
      <c r="R290" s="79">
        <f t="shared" si="45"/>
        <v>100</v>
      </c>
      <c r="S290" s="76">
        <f t="shared" si="46"/>
        <v>695</v>
      </c>
      <c r="T290" s="76">
        <f>50</f>
        <v>50</v>
      </c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</row>
    <row r="291" spans="1:30" ht="15.75" x14ac:dyDescent="0.25">
      <c r="A291" s="34">
        <v>49766</v>
      </c>
      <c r="B291" s="90">
        <v>30</v>
      </c>
      <c r="C291" s="76">
        <f>141.293</f>
        <v>141.29300000000001</v>
      </c>
      <c r="D291" s="76">
        <f>267.993</f>
        <v>267.99299999999999</v>
      </c>
      <c r="E291" s="85">
        <f>115.016</f>
        <v>115.01600000000001</v>
      </c>
      <c r="F291" s="76">
        <f>314.698-40-25-60-100</f>
        <v>89.697999999999979</v>
      </c>
      <c r="G291" s="79">
        <v>40</v>
      </c>
      <c r="H291" s="76">
        <f t="shared" ref="H291:H297" si="48">25+60+100</f>
        <v>185</v>
      </c>
      <c r="I291" s="76">
        <f t="shared" si="40"/>
        <v>0</v>
      </c>
      <c r="J291" s="79">
        <v>100</v>
      </c>
      <c r="K291" s="79">
        <v>300</v>
      </c>
      <c r="L291" s="76">
        <f t="shared" si="43"/>
        <v>1239</v>
      </c>
      <c r="M291" s="87">
        <v>600</v>
      </c>
      <c r="N291" s="76">
        <f>100</f>
        <v>100</v>
      </c>
      <c r="O291" s="79">
        <v>240</v>
      </c>
      <c r="P291" s="79">
        <v>160</v>
      </c>
      <c r="Q291" s="79">
        <f t="shared" si="44"/>
        <v>195</v>
      </c>
      <c r="R291" s="79">
        <f t="shared" si="45"/>
        <v>100</v>
      </c>
      <c r="S291" s="76">
        <f t="shared" si="46"/>
        <v>695</v>
      </c>
      <c r="T291" s="76">
        <f>50</f>
        <v>50</v>
      </c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</row>
    <row r="292" spans="1:30" ht="15.75" x14ac:dyDescent="0.25">
      <c r="A292" s="34">
        <v>49796</v>
      </c>
      <c r="B292" s="90">
        <v>31</v>
      </c>
      <c r="C292" s="76">
        <f>194.205</f>
        <v>194.20500000000001</v>
      </c>
      <c r="D292" s="76">
        <f>267.466</f>
        <v>267.46600000000001</v>
      </c>
      <c r="E292" s="85">
        <f>133.845</f>
        <v>133.845</v>
      </c>
      <c r="F292" s="76">
        <f>278.484-40-25-60-100</f>
        <v>53.48399999999998</v>
      </c>
      <c r="G292" s="79">
        <v>40</v>
      </c>
      <c r="H292" s="76">
        <f t="shared" si="48"/>
        <v>185</v>
      </c>
      <c r="I292" s="76">
        <f t="shared" si="40"/>
        <v>0</v>
      </c>
      <c r="J292" s="79">
        <v>100</v>
      </c>
      <c r="K292" s="79">
        <v>300</v>
      </c>
      <c r="L292" s="76">
        <f t="shared" si="43"/>
        <v>1274</v>
      </c>
      <c r="M292" s="87">
        <v>600</v>
      </c>
      <c r="N292" s="76">
        <f>75</f>
        <v>75</v>
      </c>
      <c r="O292" s="79">
        <v>240</v>
      </c>
      <c r="P292" s="79">
        <v>160</v>
      </c>
      <c r="Q292" s="79">
        <f t="shared" si="44"/>
        <v>195</v>
      </c>
      <c r="R292" s="79">
        <f t="shared" si="45"/>
        <v>100</v>
      </c>
      <c r="S292" s="76">
        <f t="shared" si="46"/>
        <v>695</v>
      </c>
      <c r="T292" s="76">
        <f>50</f>
        <v>50</v>
      </c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</row>
    <row r="293" spans="1:30" ht="15.75" x14ac:dyDescent="0.25">
      <c r="A293" s="34">
        <v>49827</v>
      </c>
      <c r="B293" s="90">
        <v>30</v>
      </c>
      <c r="C293" s="76">
        <f>194.205</f>
        <v>194.20500000000001</v>
      </c>
      <c r="D293" s="76">
        <f>267.466</f>
        <v>267.46600000000001</v>
      </c>
      <c r="E293" s="85">
        <f>133.845</f>
        <v>133.845</v>
      </c>
      <c r="F293" s="76">
        <f>278.484-40-25-60-100</f>
        <v>53.48399999999998</v>
      </c>
      <c r="G293" s="79">
        <v>40</v>
      </c>
      <c r="H293" s="76">
        <f t="shared" si="48"/>
        <v>185</v>
      </c>
      <c r="I293" s="76">
        <f t="shared" si="40"/>
        <v>0</v>
      </c>
      <c r="J293" s="79">
        <v>100</v>
      </c>
      <c r="K293" s="79">
        <v>300</v>
      </c>
      <c r="L293" s="76">
        <f t="shared" si="43"/>
        <v>1274</v>
      </c>
      <c r="M293" s="87">
        <v>600</v>
      </c>
      <c r="N293" s="76">
        <f>30</f>
        <v>30</v>
      </c>
      <c r="O293" s="79">
        <v>240</v>
      </c>
      <c r="P293" s="79">
        <v>160</v>
      </c>
      <c r="Q293" s="79">
        <f t="shared" si="44"/>
        <v>195</v>
      </c>
      <c r="R293" s="79">
        <f t="shared" si="45"/>
        <v>100</v>
      </c>
      <c r="S293" s="76">
        <f t="shared" si="46"/>
        <v>695</v>
      </c>
      <c r="T293" s="76">
        <f>50</f>
        <v>50</v>
      </c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</row>
    <row r="294" spans="1:30" ht="15.75" x14ac:dyDescent="0.25">
      <c r="A294" s="34">
        <v>49857</v>
      </c>
      <c r="B294" s="90">
        <v>31</v>
      </c>
      <c r="C294" s="76">
        <f>194.205</f>
        <v>194.20500000000001</v>
      </c>
      <c r="D294" s="76">
        <f>267.466</f>
        <v>267.46600000000001</v>
      </c>
      <c r="E294" s="85">
        <f>133.845</f>
        <v>133.845</v>
      </c>
      <c r="F294" s="76">
        <f>278.484-40-25-60-100</f>
        <v>53.48399999999998</v>
      </c>
      <c r="G294" s="79">
        <v>40</v>
      </c>
      <c r="H294" s="76">
        <f t="shared" si="48"/>
        <v>185</v>
      </c>
      <c r="I294" s="76">
        <f t="shared" si="40"/>
        <v>0</v>
      </c>
      <c r="J294" s="79">
        <v>100</v>
      </c>
      <c r="K294" s="79">
        <v>300</v>
      </c>
      <c r="L294" s="76">
        <f t="shared" si="43"/>
        <v>1274</v>
      </c>
      <c r="M294" s="87">
        <v>600</v>
      </c>
      <c r="N294" s="76">
        <f>30</f>
        <v>30</v>
      </c>
      <c r="O294" s="79">
        <v>240</v>
      </c>
      <c r="P294" s="79">
        <v>160</v>
      </c>
      <c r="Q294" s="79">
        <f t="shared" si="44"/>
        <v>195</v>
      </c>
      <c r="R294" s="79">
        <f t="shared" si="45"/>
        <v>100</v>
      </c>
      <c r="S294" s="76">
        <f t="shared" si="46"/>
        <v>695</v>
      </c>
      <c r="T294" s="76">
        <f>0</f>
        <v>0</v>
      </c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</row>
    <row r="295" spans="1:30" ht="15.75" x14ac:dyDescent="0.25">
      <c r="A295" s="34">
        <v>49888</v>
      </c>
      <c r="B295" s="90">
        <v>31</v>
      </c>
      <c r="C295" s="76">
        <f>194.205</f>
        <v>194.20500000000001</v>
      </c>
      <c r="D295" s="76">
        <f>267.466</f>
        <v>267.46600000000001</v>
      </c>
      <c r="E295" s="85">
        <f>133.845</f>
        <v>133.845</v>
      </c>
      <c r="F295" s="76">
        <f>278.484-40-25-60-100</f>
        <v>53.48399999999998</v>
      </c>
      <c r="G295" s="79">
        <v>40</v>
      </c>
      <c r="H295" s="76">
        <f t="shared" si="48"/>
        <v>185</v>
      </c>
      <c r="I295" s="76">
        <f t="shared" si="40"/>
        <v>0</v>
      </c>
      <c r="J295" s="79">
        <v>100</v>
      </c>
      <c r="K295" s="79">
        <v>300</v>
      </c>
      <c r="L295" s="76">
        <f t="shared" si="43"/>
        <v>1274</v>
      </c>
      <c r="M295" s="87">
        <v>600</v>
      </c>
      <c r="N295" s="76">
        <f>30</f>
        <v>30</v>
      </c>
      <c r="O295" s="79">
        <v>240</v>
      </c>
      <c r="P295" s="79">
        <v>160</v>
      </c>
      <c r="Q295" s="79">
        <f t="shared" si="44"/>
        <v>195</v>
      </c>
      <c r="R295" s="79">
        <f t="shared" si="45"/>
        <v>100</v>
      </c>
      <c r="S295" s="76">
        <f t="shared" si="46"/>
        <v>695</v>
      </c>
      <c r="T295" s="76">
        <f>0</f>
        <v>0</v>
      </c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</row>
    <row r="296" spans="1:30" ht="15.75" x14ac:dyDescent="0.25">
      <c r="A296" s="34">
        <v>49919</v>
      </c>
      <c r="B296" s="90">
        <v>30</v>
      </c>
      <c r="C296" s="76">
        <f>194.205</f>
        <v>194.20500000000001</v>
      </c>
      <c r="D296" s="76">
        <f>267.466</f>
        <v>267.46600000000001</v>
      </c>
      <c r="E296" s="85">
        <f>133.845</f>
        <v>133.845</v>
      </c>
      <c r="F296" s="76">
        <f>278.484-40-25-60-100</f>
        <v>53.48399999999998</v>
      </c>
      <c r="G296" s="79">
        <v>40</v>
      </c>
      <c r="H296" s="76">
        <f t="shared" si="48"/>
        <v>185</v>
      </c>
      <c r="I296" s="76">
        <f t="shared" si="40"/>
        <v>0</v>
      </c>
      <c r="J296" s="79">
        <v>100</v>
      </c>
      <c r="K296" s="79">
        <v>300</v>
      </c>
      <c r="L296" s="76">
        <f t="shared" si="43"/>
        <v>1274</v>
      </c>
      <c r="M296" s="87">
        <v>600</v>
      </c>
      <c r="N296" s="76">
        <f>30</f>
        <v>30</v>
      </c>
      <c r="O296" s="79">
        <v>240</v>
      </c>
      <c r="P296" s="79">
        <v>160</v>
      </c>
      <c r="Q296" s="79">
        <f t="shared" si="44"/>
        <v>195</v>
      </c>
      <c r="R296" s="79">
        <f t="shared" si="45"/>
        <v>100</v>
      </c>
      <c r="S296" s="76">
        <f t="shared" si="46"/>
        <v>695</v>
      </c>
      <c r="T296" s="76">
        <f>0</f>
        <v>0</v>
      </c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</row>
    <row r="297" spans="1:30" ht="15.75" x14ac:dyDescent="0.25">
      <c r="A297" s="34">
        <v>49949</v>
      </c>
      <c r="B297" s="90">
        <v>31</v>
      </c>
      <c r="C297" s="76">
        <f>131.881</f>
        <v>131.881</v>
      </c>
      <c r="D297" s="76">
        <f>277.167</f>
        <v>277.16699999999997</v>
      </c>
      <c r="E297" s="85">
        <f>79.08</f>
        <v>79.08</v>
      </c>
      <c r="F297" s="76">
        <f>350.872-40-25-60-100</f>
        <v>125.87200000000001</v>
      </c>
      <c r="G297" s="79">
        <v>40</v>
      </c>
      <c r="H297" s="76">
        <f t="shared" si="48"/>
        <v>185</v>
      </c>
      <c r="I297" s="76">
        <f t="shared" si="40"/>
        <v>0</v>
      </c>
      <c r="J297" s="79">
        <v>100</v>
      </c>
      <c r="K297" s="79">
        <v>300</v>
      </c>
      <c r="L297" s="76">
        <f t="shared" si="43"/>
        <v>1239</v>
      </c>
      <c r="M297" s="87">
        <v>600</v>
      </c>
      <c r="N297" s="76">
        <f>75</f>
        <v>75</v>
      </c>
      <c r="O297" s="79">
        <v>240</v>
      </c>
      <c r="P297" s="79">
        <v>160</v>
      </c>
      <c r="Q297" s="79">
        <f t="shared" si="44"/>
        <v>195</v>
      </c>
      <c r="R297" s="79">
        <f t="shared" si="45"/>
        <v>100</v>
      </c>
      <c r="S297" s="76">
        <f t="shared" si="46"/>
        <v>695</v>
      </c>
      <c r="T297" s="76">
        <f>0</f>
        <v>0</v>
      </c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</row>
    <row r="298" spans="1:30" ht="15.75" x14ac:dyDescent="0.25">
      <c r="A298" s="34">
        <v>49980</v>
      </c>
      <c r="B298" s="90">
        <v>30</v>
      </c>
      <c r="C298" s="76">
        <f>122.58</f>
        <v>122.58</v>
      </c>
      <c r="D298" s="76">
        <f>297.941</f>
        <v>297.94099999999997</v>
      </c>
      <c r="E298" s="85">
        <f>89.177</f>
        <v>89.177000000000007</v>
      </c>
      <c r="F298" s="76">
        <f>240.302-40-60-100</f>
        <v>40.301999999999992</v>
      </c>
      <c r="G298" s="79">
        <v>40</v>
      </c>
      <c r="H298" s="76">
        <f>60+100</f>
        <v>160</v>
      </c>
      <c r="I298" s="76">
        <f t="shared" si="40"/>
        <v>0</v>
      </c>
      <c r="J298" s="79">
        <v>100</v>
      </c>
      <c r="K298" s="79">
        <v>300</v>
      </c>
      <c r="L298" s="76">
        <f t="shared" si="43"/>
        <v>1150</v>
      </c>
      <c r="M298" s="87">
        <v>600</v>
      </c>
      <c r="N298" s="76">
        <f>100</f>
        <v>100</v>
      </c>
      <c r="O298" s="79">
        <v>240</v>
      </c>
      <c r="P298" s="79">
        <v>40</v>
      </c>
      <c r="Q298" s="79">
        <f t="shared" si="44"/>
        <v>315</v>
      </c>
      <c r="R298" s="79">
        <f t="shared" si="45"/>
        <v>100</v>
      </c>
      <c r="S298" s="76">
        <f t="shared" si="46"/>
        <v>695</v>
      </c>
      <c r="T298" s="76">
        <f>50</f>
        <v>50</v>
      </c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</row>
    <row r="299" spans="1:30" ht="15.75" x14ac:dyDescent="0.25">
      <c r="A299" s="34">
        <v>50010</v>
      </c>
      <c r="B299" s="90">
        <v>31</v>
      </c>
      <c r="C299" s="76">
        <f>122.58</f>
        <v>122.58</v>
      </c>
      <c r="D299" s="76">
        <f>297.941</f>
        <v>297.94099999999997</v>
      </c>
      <c r="E299" s="85">
        <f>89.177</f>
        <v>89.177000000000007</v>
      </c>
      <c r="F299" s="76">
        <f>240.302-40-60-100</f>
        <v>40.301999999999992</v>
      </c>
      <c r="G299" s="79">
        <v>40</v>
      </c>
      <c r="H299" s="76">
        <f>60+100</f>
        <v>160</v>
      </c>
      <c r="I299" s="76">
        <f t="shared" si="40"/>
        <v>0</v>
      </c>
      <c r="J299" s="79">
        <v>100</v>
      </c>
      <c r="K299" s="79">
        <v>300</v>
      </c>
      <c r="L299" s="76">
        <f t="shared" si="43"/>
        <v>1150</v>
      </c>
      <c r="M299" s="87">
        <v>600</v>
      </c>
      <c r="N299" s="76">
        <f>100</f>
        <v>100</v>
      </c>
      <c r="O299" s="79">
        <v>240</v>
      </c>
      <c r="P299" s="79">
        <v>40</v>
      </c>
      <c r="Q299" s="79">
        <f t="shared" si="44"/>
        <v>315</v>
      </c>
      <c r="R299" s="79">
        <f t="shared" si="45"/>
        <v>100</v>
      </c>
      <c r="S299" s="76">
        <f t="shared" si="46"/>
        <v>695</v>
      </c>
      <c r="T299" s="76">
        <f>50</f>
        <v>50</v>
      </c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</row>
    <row r="300" spans="1:30" ht="15.75" x14ac:dyDescent="0.25">
      <c r="A300" s="34">
        <v>50041</v>
      </c>
      <c r="B300" s="90">
        <v>31</v>
      </c>
      <c r="C300" s="76">
        <f>122.58</f>
        <v>122.58</v>
      </c>
      <c r="D300" s="76">
        <f>297.941</f>
        <v>297.94099999999997</v>
      </c>
      <c r="E300" s="85">
        <f>89.177</f>
        <v>89.177000000000007</v>
      </c>
      <c r="F300" s="76">
        <f>240.302-40-60-100</f>
        <v>40.301999999999992</v>
      </c>
      <c r="G300" s="79">
        <v>40</v>
      </c>
      <c r="H300" s="76">
        <f>60+100</f>
        <v>160</v>
      </c>
      <c r="I300" s="76">
        <f t="shared" si="40"/>
        <v>0</v>
      </c>
      <c r="J300" s="79">
        <v>100</v>
      </c>
      <c r="K300" s="79">
        <v>300</v>
      </c>
      <c r="L300" s="76">
        <f t="shared" si="43"/>
        <v>1150</v>
      </c>
      <c r="M300" s="87">
        <v>600</v>
      </c>
      <c r="N300" s="76">
        <f>100</f>
        <v>100</v>
      </c>
      <c r="O300" s="79">
        <v>240</v>
      </c>
      <c r="P300" s="79">
        <v>40</v>
      </c>
      <c r="Q300" s="79">
        <f t="shared" si="44"/>
        <v>315</v>
      </c>
      <c r="R300" s="79">
        <f t="shared" si="45"/>
        <v>100</v>
      </c>
      <c r="S300" s="76">
        <f t="shared" si="46"/>
        <v>695</v>
      </c>
      <c r="T300" s="76">
        <f>50</f>
        <v>50</v>
      </c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</row>
    <row r="301" spans="1:30" ht="15.75" x14ac:dyDescent="0.25">
      <c r="A301" s="34">
        <v>50072</v>
      </c>
      <c r="B301" s="90">
        <v>28</v>
      </c>
      <c r="C301" s="76">
        <f>122.58</f>
        <v>122.58</v>
      </c>
      <c r="D301" s="76">
        <f>297.941</f>
        <v>297.94099999999997</v>
      </c>
      <c r="E301" s="85">
        <f>89.177</f>
        <v>89.177000000000007</v>
      </c>
      <c r="F301" s="76">
        <f>240.302-40-60-100</f>
        <v>40.301999999999992</v>
      </c>
      <c r="G301" s="79">
        <v>40</v>
      </c>
      <c r="H301" s="76">
        <f>60+100</f>
        <v>160</v>
      </c>
      <c r="I301" s="76">
        <f t="shared" si="40"/>
        <v>0</v>
      </c>
      <c r="J301" s="79">
        <v>100</v>
      </c>
      <c r="K301" s="79">
        <v>300</v>
      </c>
      <c r="L301" s="76">
        <f t="shared" si="43"/>
        <v>1150</v>
      </c>
      <c r="M301" s="87">
        <v>600</v>
      </c>
      <c r="N301" s="76">
        <f>100</f>
        <v>100</v>
      </c>
      <c r="O301" s="79">
        <v>240</v>
      </c>
      <c r="P301" s="79">
        <v>40</v>
      </c>
      <c r="Q301" s="79">
        <f t="shared" si="44"/>
        <v>315</v>
      </c>
      <c r="R301" s="79">
        <f t="shared" si="45"/>
        <v>100</v>
      </c>
      <c r="S301" s="76">
        <f t="shared" si="46"/>
        <v>695</v>
      </c>
      <c r="T301" s="76">
        <f>50</f>
        <v>50</v>
      </c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</row>
    <row r="302" spans="1:30" ht="15.75" x14ac:dyDescent="0.25">
      <c r="A302" s="34">
        <v>50100</v>
      </c>
      <c r="B302" s="90">
        <v>31</v>
      </c>
      <c r="C302" s="76">
        <f>122.58</f>
        <v>122.58</v>
      </c>
      <c r="D302" s="76">
        <f>297.941</f>
        <v>297.94099999999997</v>
      </c>
      <c r="E302" s="85">
        <f>89.177</f>
        <v>89.177000000000007</v>
      </c>
      <c r="F302" s="76">
        <f>240.302-40-60-100</f>
        <v>40.301999999999992</v>
      </c>
      <c r="G302" s="79">
        <v>40</v>
      </c>
      <c r="H302" s="76">
        <f>60+100</f>
        <v>160</v>
      </c>
      <c r="I302" s="76">
        <f t="shared" si="40"/>
        <v>0</v>
      </c>
      <c r="J302" s="79">
        <v>100</v>
      </c>
      <c r="K302" s="79">
        <v>300</v>
      </c>
      <c r="L302" s="76">
        <f t="shared" si="43"/>
        <v>1150</v>
      </c>
      <c r="M302" s="87">
        <v>600</v>
      </c>
      <c r="N302" s="76">
        <f>100</f>
        <v>100</v>
      </c>
      <c r="O302" s="79">
        <v>240</v>
      </c>
      <c r="P302" s="79">
        <v>40</v>
      </c>
      <c r="Q302" s="79">
        <f t="shared" si="44"/>
        <v>315</v>
      </c>
      <c r="R302" s="79">
        <f t="shared" si="45"/>
        <v>100</v>
      </c>
      <c r="S302" s="76">
        <f t="shared" si="46"/>
        <v>695</v>
      </c>
      <c r="T302" s="76">
        <f>50</f>
        <v>50</v>
      </c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</row>
    <row r="303" spans="1:30" ht="15.75" x14ac:dyDescent="0.25">
      <c r="A303" s="34">
        <v>50131</v>
      </c>
      <c r="B303" s="90">
        <v>30</v>
      </c>
      <c r="C303" s="76">
        <f>141.293</f>
        <v>141.29300000000001</v>
      </c>
      <c r="D303" s="76">
        <f>267.993</f>
        <v>267.99299999999999</v>
      </c>
      <c r="E303" s="85">
        <f>115.016</f>
        <v>115.01600000000001</v>
      </c>
      <c r="F303" s="76">
        <f>314.698-40-25-60-100</f>
        <v>89.697999999999979</v>
      </c>
      <c r="G303" s="79">
        <v>40</v>
      </c>
      <c r="H303" s="76">
        <f t="shared" ref="H303:H309" si="49">25+60+100</f>
        <v>185</v>
      </c>
      <c r="I303" s="76">
        <f t="shared" si="40"/>
        <v>0</v>
      </c>
      <c r="J303" s="79">
        <v>100</v>
      </c>
      <c r="K303" s="79">
        <v>300</v>
      </c>
      <c r="L303" s="76">
        <f t="shared" si="43"/>
        <v>1239</v>
      </c>
      <c r="M303" s="87">
        <v>600</v>
      </c>
      <c r="N303" s="76">
        <f>100</f>
        <v>100</v>
      </c>
      <c r="O303" s="79">
        <v>240</v>
      </c>
      <c r="P303" s="79">
        <v>160</v>
      </c>
      <c r="Q303" s="79">
        <f t="shared" si="44"/>
        <v>195</v>
      </c>
      <c r="R303" s="79">
        <f t="shared" si="45"/>
        <v>100</v>
      </c>
      <c r="S303" s="76">
        <f t="shared" si="46"/>
        <v>695</v>
      </c>
      <c r="T303" s="76">
        <f>50</f>
        <v>50</v>
      </c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</row>
    <row r="304" spans="1:30" ht="15.75" x14ac:dyDescent="0.25">
      <c r="A304" s="34">
        <v>50161</v>
      </c>
      <c r="B304" s="90">
        <v>31</v>
      </c>
      <c r="C304" s="76">
        <f>194.205</f>
        <v>194.20500000000001</v>
      </c>
      <c r="D304" s="76">
        <f>267.466</f>
        <v>267.46600000000001</v>
      </c>
      <c r="E304" s="85">
        <f>133.845</f>
        <v>133.845</v>
      </c>
      <c r="F304" s="76">
        <f>278.484-40-25-60-100</f>
        <v>53.48399999999998</v>
      </c>
      <c r="G304" s="79">
        <v>40</v>
      </c>
      <c r="H304" s="76">
        <f t="shared" si="49"/>
        <v>185</v>
      </c>
      <c r="I304" s="76">
        <f t="shared" si="40"/>
        <v>0</v>
      </c>
      <c r="J304" s="79">
        <v>100</v>
      </c>
      <c r="K304" s="79">
        <v>300</v>
      </c>
      <c r="L304" s="76">
        <f t="shared" si="43"/>
        <v>1274</v>
      </c>
      <c r="M304" s="87">
        <v>600</v>
      </c>
      <c r="N304" s="76">
        <f>75</f>
        <v>75</v>
      </c>
      <c r="O304" s="79">
        <v>240</v>
      </c>
      <c r="P304" s="79">
        <v>160</v>
      </c>
      <c r="Q304" s="79">
        <f t="shared" si="44"/>
        <v>195</v>
      </c>
      <c r="R304" s="79">
        <f t="shared" si="45"/>
        <v>100</v>
      </c>
      <c r="S304" s="76">
        <f t="shared" si="46"/>
        <v>695</v>
      </c>
      <c r="T304" s="76">
        <f>50</f>
        <v>50</v>
      </c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</row>
    <row r="305" spans="1:30" ht="15.75" x14ac:dyDescent="0.25">
      <c r="A305" s="34">
        <v>50192</v>
      </c>
      <c r="B305" s="90">
        <v>30</v>
      </c>
      <c r="C305" s="76">
        <f>194.205</f>
        <v>194.20500000000001</v>
      </c>
      <c r="D305" s="76">
        <f>267.466</f>
        <v>267.46600000000001</v>
      </c>
      <c r="E305" s="85">
        <f>133.845</f>
        <v>133.845</v>
      </c>
      <c r="F305" s="76">
        <f>278.484-40-25-60-100</f>
        <v>53.48399999999998</v>
      </c>
      <c r="G305" s="79">
        <v>40</v>
      </c>
      <c r="H305" s="76">
        <f t="shared" si="49"/>
        <v>185</v>
      </c>
      <c r="I305" s="76">
        <f t="shared" si="40"/>
        <v>0</v>
      </c>
      <c r="J305" s="79">
        <v>100</v>
      </c>
      <c r="K305" s="79">
        <v>300</v>
      </c>
      <c r="L305" s="76">
        <f t="shared" si="43"/>
        <v>1274</v>
      </c>
      <c r="M305" s="87">
        <v>600</v>
      </c>
      <c r="N305" s="76">
        <f>30</f>
        <v>30</v>
      </c>
      <c r="O305" s="79">
        <v>240</v>
      </c>
      <c r="P305" s="79">
        <v>160</v>
      </c>
      <c r="Q305" s="79">
        <f t="shared" si="44"/>
        <v>195</v>
      </c>
      <c r="R305" s="79">
        <f t="shared" si="45"/>
        <v>100</v>
      </c>
      <c r="S305" s="76">
        <f t="shared" si="46"/>
        <v>695</v>
      </c>
      <c r="T305" s="76">
        <f>50</f>
        <v>50</v>
      </c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</row>
    <row r="306" spans="1:30" ht="15.75" x14ac:dyDescent="0.25">
      <c r="A306" s="34">
        <v>50222</v>
      </c>
      <c r="B306" s="90">
        <v>31</v>
      </c>
      <c r="C306" s="76">
        <f>194.205</f>
        <v>194.20500000000001</v>
      </c>
      <c r="D306" s="76">
        <f>267.466</f>
        <v>267.46600000000001</v>
      </c>
      <c r="E306" s="85">
        <f>133.845</f>
        <v>133.845</v>
      </c>
      <c r="F306" s="76">
        <f>278.484-40-25-60-100</f>
        <v>53.48399999999998</v>
      </c>
      <c r="G306" s="79">
        <v>40</v>
      </c>
      <c r="H306" s="76">
        <f t="shared" si="49"/>
        <v>185</v>
      </c>
      <c r="I306" s="76">
        <f t="shared" si="40"/>
        <v>0</v>
      </c>
      <c r="J306" s="79">
        <v>100</v>
      </c>
      <c r="K306" s="79">
        <v>300</v>
      </c>
      <c r="L306" s="76">
        <f t="shared" si="43"/>
        <v>1274</v>
      </c>
      <c r="M306" s="87">
        <v>600</v>
      </c>
      <c r="N306" s="76">
        <f>30</f>
        <v>30</v>
      </c>
      <c r="O306" s="79">
        <v>240</v>
      </c>
      <c r="P306" s="79">
        <v>160</v>
      </c>
      <c r="Q306" s="79">
        <f t="shared" si="44"/>
        <v>195</v>
      </c>
      <c r="R306" s="79">
        <f t="shared" si="45"/>
        <v>100</v>
      </c>
      <c r="S306" s="76">
        <f t="shared" si="46"/>
        <v>695</v>
      </c>
      <c r="T306" s="76">
        <f>0</f>
        <v>0</v>
      </c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</row>
    <row r="307" spans="1:30" ht="15.75" x14ac:dyDescent="0.25">
      <c r="A307" s="34">
        <v>50253</v>
      </c>
      <c r="B307" s="90">
        <v>31</v>
      </c>
      <c r="C307" s="76">
        <f>194.205</f>
        <v>194.20500000000001</v>
      </c>
      <c r="D307" s="76">
        <f>267.466</f>
        <v>267.46600000000001</v>
      </c>
      <c r="E307" s="85">
        <f>133.845</f>
        <v>133.845</v>
      </c>
      <c r="F307" s="76">
        <f>278.484-40-25-60-100</f>
        <v>53.48399999999998</v>
      </c>
      <c r="G307" s="79">
        <v>40</v>
      </c>
      <c r="H307" s="76">
        <f t="shared" si="49"/>
        <v>185</v>
      </c>
      <c r="I307" s="76">
        <f t="shared" si="40"/>
        <v>0</v>
      </c>
      <c r="J307" s="79">
        <v>100</v>
      </c>
      <c r="K307" s="79">
        <v>300</v>
      </c>
      <c r="L307" s="76">
        <f t="shared" si="43"/>
        <v>1274</v>
      </c>
      <c r="M307" s="87">
        <v>600</v>
      </c>
      <c r="N307" s="76">
        <f>30</f>
        <v>30</v>
      </c>
      <c r="O307" s="79">
        <v>240</v>
      </c>
      <c r="P307" s="79">
        <v>160</v>
      </c>
      <c r="Q307" s="79">
        <f t="shared" si="44"/>
        <v>195</v>
      </c>
      <c r="R307" s="79">
        <f t="shared" si="45"/>
        <v>100</v>
      </c>
      <c r="S307" s="76">
        <f t="shared" si="46"/>
        <v>695</v>
      </c>
      <c r="T307" s="76">
        <f>0</f>
        <v>0</v>
      </c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</row>
    <row r="308" spans="1:30" ht="15.75" x14ac:dyDescent="0.25">
      <c r="A308" s="34">
        <v>50284</v>
      </c>
      <c r="B308" s="90">
        <v>30</v>
      </c>
      <c r="C308" s="76">
        <f>194.205</f>
        <v>194.20500000000001</v>
      </c>
      <c r="D308" s="76">
        <f>267.466</f>
        <v>267.46600000000001</v>
      </c>
      <c r="E308" s="85">
        <f>133.845</f>
        <v>133.845</v>
      </c>
      <c r="F308" s="76">
        <f>278.484-40-25-60-100</f>
        <v>53.48399999999998</v>
      </c>
      <c r="G308" s="79">
        <v>40</v>
      </c>
      <c r="H308" s="76">
        <f t="shared" si="49"/>
        <v>185</v>
      </c>
      <c r="I308" s="76">
        <f t="shared" ref="I308:I371" si="50">400-J308-K308</f>
        <v>0</v>
      </c>
      <c r="J308" s="79">
        <v>100</v>
      </c>
      <c r="K308" s="79">
        <v>300</v>
      </c>
      <c r="L308" s="76">
        <f t="shared" si="43"/>
        <v>1274</v>
      </c>
      <c r="M308" s="87">
        <v>600</v>
      </c>
      <c r="N308" s="76">
        <f>30</f>
        <v>30</v>
      </c>
      <c r="O308" s="79">
        <v>240</v>
      </c>
      <c r="P308" s="79">
        <v>160</v>
      </c>
      <c r="Q308" s="79">
        <f t="shared" si="44"/>
        <v>195</v>
      </c>
      <c r="R308" s="79">
        <f t="shared" si="45"/>
        <v>100</v>
      </c>
      <c r="S308" s="76">
        <f t="shared" si="46"/>
        <v>695</v>
      </c>
      <c r="T308" s="76">
        <f>0</f>
        <v>0</v>
      </c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</row>
    <row r="309" spans="1:30" ht="15.75" x14ac:dyDescent="0.25">
      <c r="A309" s="34">
        <v>50314</v>
      </c>
      <c r="B309" s="90">
        <v>31</v>
      </c>
      <c r="C309" s="76">
        <f>131.881</f>
        <v>131.881</v>
      </c>
      <c r="D309" s="76">
        <f>277.167</f>
        <v>277.16699999999997</v>
      </c>
      <c r="E309" s="85">
        <f>79.08</f>
        <v>79.08</v>
      </c>
      <c r="F309" s="76">
        <f>350.872-40-25-60-100</f>
        <v>125.87200000000001</v>
      </c>
      <c r="G309" s="79">
        <v>40</v>
      </c>
      <c r="H309" s="76">
        <f t="shared" si="49"/>
        <v>185</v>
      </c>
      <c r="I309" s="76">
        <f t="shared" si="50"/>
        <v>0</v>
      </c>
      <c r="J309" s="79">
        <v>100</v>
      </c>
      <c r="K309" s="79">
        <v>300</v>
      </c>
      <c r="L309" s="76">
        <f t="shared" si="43"/>
        <v>1239</v>
      </c>
      <c r="M309" s="87">
        <v>600</v>
      </c>
      <c r="N309" s="76">
        <f>75</f>
        <v>75</v>
      </c>
      <c r="O309" s="79">
        <v>240</v>
      </c>
      <c r="P309" s="79">
        <v>160</v>
      </c>
      <c r="Q309" s="79">
        <f t="shared" si="44"/>
        <v>195</v>
      </c>
      <c r="R309" s="79">
        <f t="shared" si="45"/>
        <v>100</v>
      </c>
      <c r="S309" s="76">
        <f t="shared" si="46"/>
        <v>695</v>
      </c>
      <c r="T309" s="76">
        <f>0</f>
        <v>0</v>
      </c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</row>
    <row r="310" spans="1:30" ht="15.75" x14ac:dyDescent="0.25">
      <c r="A310" s="34">
        <v>50345</v>
      </c>
      <c r="B310" s="90">
        <v>30</v>
      </c>
      <c r="C310" s="76">
        <f>122.58</f>
        <v>122.58</v>
      </c>
      <c r="D310" s="76">
        <f>297.941</f>
        <v>297.94099999999997</v>
      </c>
      <c r="E310" s="85">
        <f>89.177</f>
        <v>89.177000000000007</v>
      </c>
      <c r="F310" s="76">
        <f>240.302-40-60-100</f>
        <v>40.301999999999992</v>
      </c>
      <c r="G310" s="79">
        <v>40</v>
      </c>
      <c r="H310" s="76">
        <f>60+100</f>
        <v>160</v>
      </c>
      <c r="I310" s="76">
        <f t="shared" si="50"/>
        <v>0</v>
      </c>
      <c r="J310" s="79">
        <v>100</v>
      </c>
      <c r="K310" s="79">
        <v>300</v>
      </c>
      <c r="L310" s="76">
        <f t="shared" si="43"/>
        <v>1150</v>
      </c>
      <c r="M310" s="87">
        <v>600</v>
      </c>
      <c r="N310" s="76">
        <f>100</f>
        <v>100</v>
      </c>
      <c r="O310" s="79">
        <v>240</v>
      </c>
      <c r="P310" s="79">
        <v>40</v>
      </c>
      <c r="Q310" s="79">
        <f t="shared" si="44"/>
        <v>315</v>
      </c>
      <c r="R310" s="79">
        <f t="shared" si="45"/>
        <v>100</v>
      </c>
      <c r="S310" s="76">
        <f t="shared" si="46"/>
        <v>695</v>
      </c>
      <c r="T310" s="76">
        <f>50</f>
        <v>50</v>
      </c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</row>
    <row r="311" spans="1:30" ht="15.75" x14ac:dyDescent="0.25">
      <c r="A311" s="34">
        <v>50375</v>
      </c>
      <c r="B311" s="90">
        <v>31</v>
      </c>
      <c r="C311" s="76">
        <f>122.58</f>
        <v>122.58</v>
      </c>
      <c r="D311" s="76">
        <f>297.941</f>
        <v>297.94099999999997</v>
      </c>
      <c r="E311" s="85">
        <f>89.177</f>
        <v>89.177000000000007</v>
      </c>
      <c r="F311" s="76">
        <f>240.302-40-60-100</f>
        <v>40.301999999999992</v>
      </c>
      <c r="G311" s="79">
        <v>40</v>
      </c>
      <c r="H311" s="76">
        <f>60+100</f>
        <v>160</v>
      </c>
      <c r="I311" s="76">
        <f t="shared" si="50"/>
        <v>0</v>
      </c>
      <c r="J311" s="79">
        <v>100</v>
      </c>
      <c r="K311" s="79">
        <v>300</v>
      </c>
      <c r="L311" s="76">
        <f t="shared" si="43"/>
        <v>1150</v>
      </c>
      <c r="M311" s="87">
        <v>600</v>
      </c>
      <c r="N311" s="76">
        <f>100</f>
        <v>100</v>
      </c>
      <c r="O311" s="79">
        <v>240</v>
      </c>
      <c r="P311" s="79">
        <v>40</v>
      </c>
      <c r="Q311" s="79">
        <f t="shared" si="44"/>
        <v>315</v>
      </c>
      <c r="R311" s="79">
        <f t="shared" si="45"/>
        <v>100</v>
      </c>
      <c r="S311" s="76">
        <f t="shared" si="46"/>
        <v>695</v>
      </c>
      <c r="T311" s="76">
        <f>50</f>
        <v>50</v>
      </c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</row>
    <row r="312" spans="1:30" ht="15.75" x14ac:dyDescent="0.25">
      <c r="A312" s="33">
        <v>50436</v>
      </c>
      <c r="B312" s="89">
        <v>31</v>
      </c>
      <c r="C312" s="76">
        <f>122.58</f>
        <v>122.58</v>
      </c>
      <c r="D312" s="76">
        <f>297.941</f>
        <v>297.94099999999997</v>
      </c>
      <c r="E312" s="85">
        <f>89.177</f>
        <v>89.177000000000007</v>
      </c>
      <c r="F312" s="76">
        <f>240.302-40-60-100</f>
        <v>40.301999999999992</v>
      </c>
      <c r="G312" s="79">
        <v>40</v>
      </c>
      <c r="H312" s="76">
        <f>60+100</f>
        <v>160</v>
      </c>
      <c r="I312" s="76">
        <f t="shared" si="50"/>
        <v>0</v>
      </c>
      <c r="J312" s="79">
        <v>100</v>
      </c>
      <c r="K312" s="79">
        <v>300</v>
      </c>
      <c r="L312" s="76">
        <f t="shared" si="43"/>
        <v>1150</v>
      </c>
      <c r="M312" s="87">
        <v>600</v>
      </c>
      <c r="N312" s="76">
        <f>100</f>
        <v>100</v>
      </c>
      <c r="O312" s="79">
        <v>240</v>
      </c>
      <c r="P312" s="79">
        <v>40</v>
      </c>
      <c r="Q312" s="79">
        <f t="shared" si="44"/>
        <v>315</v>
      </c>
      <c r="R312" s="79">
        <f t="shared" si="45"/>
        <v>100</v>
      </c>
      <c r="S312" s="76">
        <f t="shared" si="46"/>
        <v>695</v>
      </c>
      <c r="T312" s="76">
        <f>50</f>
        <v>50</v>
      </c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</row>
    <row r="313" spans="1:30" ht="15.75" x14ac:dyDescent="0.25">
      <c r="A313" s="33">
        <v>50464</v>
      </c>
      <c r="B313" s="89">
        <v>28</v>
      </c>
      <c r="C313" s="76">
        <f>122.58</f>
        <v>122.58</v>
      </c>
      <c r="D313" s="76">
        <f>297.941</f>
        <v>297.94099999999997</v>
      </c>
      <c r="E313" s="85">
        <f>89.177</f>
        <v>89.177000000000007</v>
      </c>
      <c r="F313" s="76">
        <f>240.302-40-60-100</f>
        <v>40.301999999999992</v>
      </c>
      <c r="G313" s="79">
        <v>40</v>
      </c>
      <c r="H313" s="76">
        <f>60+100</f>
        <v>160</v>
      </c>
      <c r="I313" s="76">
        <f t="shared" si="50"/>
        <v>0</v>
      </c>
      <c r="J313" s="79">
        <v>100</v>
      </c>
      <c r="K313" s="79">
        <v>300</v>
      </c>
      <c r="L313" s="76">
        <f t="shared" si="43"/>
        <v>1150</v>
      </c>
      <c r="M313" s="87">
        <v>600</v>
      </c>
      <c r="N313" s="76">
        <f>100</f>
        <v>100</v>
      </c>
      <c r="O313" s="79">
        <v>240</v>
      </c>
      <c r="P313" s="79">
        <v>40</v>
      </c>
      <c r="Q313" s="79">
        <f t="shared" si="44"/>
        <v>315</v>
      </c>
      <c r="R313" s="79">
        <f t="shared" si="45"/>
        <v>100</v>
      </c>
      <c r="S313" s="76">
        <f t="shared" si="46"/>
        <v>695</v>
      </c>
      <c r="T313" s="76">
        <f>50</f>
        <v>50</v>
      </c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</row>
    <row r="314" spans="1:30" ht="15.75" x14ac:dyDescent="0.25">
      <c r="A314" s="33">
        <v>50495</v>
      </c>
      <c r="B314" s="89">
        <v>31</v>
      </c>
      <c r="C314" s="76">
        <f>122.58</f>
        <v>122.58</v>
      </c>
      <c r="D314" s="76">
        <f>297.941</f>
        <v>297.94099999999997</v>
      </c>
      <c r="E314" s="85">
        <f>89.177</f>
        <v>89.177000000000007</v>
      </c>
      <c r="F314" s="76">
        <f>240.302-40-60-100</f>
        <v>40.301999999999992</v>
      </c>
      <c r="G314" s="79">
        <v>40</v>
      </c>
      <c r="H314" s="76">
        <f>60+100</f>
        <v>160</v>
      </c>
      <c r="I314" s="76">
        <f t="shared" si="50"/>
        <v>0</v>
      </c>
      <c r="J314" s="79">
        <v>100</v>
      </c>
      <c r="K314" s="79">
        <v>300</v>
      </c>
      <c r="L314" s="76">
        <f t="shared" si="43"/>
        <v>1150</v>
      </c>
      <c r="M314" s="87">
        <v>600</v>
      </c>
      <c r="N314" s="76">
        <f>100</f>
        <v>100</v>
      </c>
      <c r="O314" s="79">
        <v>240</v>
      </c>
      <c r="P314" s="79">
        <v>40</v>
      </c>
      <c r="Q314" s="79">
        <f t="shared" si="44"/>
        <v>315</v>
      </c>
      <c r="R314" s="79">
        <f t="shared" si="45"/>
        <v>100</v>
      </c>
      <c r="S314" s="76">
        <f t="shared" si="46"/>
        <v>695</v>
      </c>
      <c r="T314" s="76">
        <f>50</f>
        <v>50</v>
      </c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</row>
    <row r="315" spans="1:30" ht="15.75" x14ac:dyDescent="0.25">
      <c r="A315" s="33">
        <v>50525</v>
      </c>
      <c r="B315" s="89">
        <v>30</v>
      </c>
      <c r="C315" s="76">
        <f>141.293</f>
        <v>141.29300000000001</v>
      </c>
      <c r="D315" s="76">
        <f>267.993</f>
        <v>267.99299999999999</v>
      </c>
      <c r="E315" s="85">
        <f>115.016</f>
        <v>115.01600000000001</v>
      </c>
      <c r="F315" s="76">
        <f>314.698-40-25-60-100</f>
        <v>89.697999999999979</v>
      </c>
      <c r="G315" s="79">
        <v>40</v>
      </c>
      <c r="H315" s="76">
        <f t="shared" ref="H315:H321" si="51">25+60+100</f>
        <v>185</v>
      </c>
      <c r="I315" s="76">
        <f t="shared" si="50"/>
        <v>0</v>
      </c>
      <c r="J315" s="79">
        <v>100</v>
      </c>
      <c r="K315" s="79">
        <v>300</v>
      </c>
      <c r="L315" s="76">
        <f t="shared" si="43"/>
        <v>1239</v>
      </c>
      <c r="M315" s="87">
        <v>600</v>
      </c>
      <c r="N315" s="76">
        <f>100</f>
        <v>100</v>
      </c>
      <c r="O315" s="79">
        <v>240</v>
      </c>
      <c r="P315" s="79">
        <v>160</v>
      </c>
      <c r="Q315" s="79">
        <f t="shared" si="44"/>
        <v>195</v>
      </c>
      <c r="R315" s="79">
        <f t="shared" si="45"/>
        <v>100</v>
      </c>
      <c r="S315" s="76">
        <f t="shared" si="46"/>
        <v>695</v>
      </c>
      <c r="T315" s="76">
        <f>50</f>
        <v>50</v>
      </c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</row>
    <row r="316" spans="1:30" ht="15.75" x14ac:dyDescent="0.25">
      <c r="A316" s="33">
        <v>50556</v>
      </c>
      <c r="B316" s="89">
        <v>31</v>
      </c>
      <c r="C316" s="76">
        <f>194.205</f>
        <v>194.20500000000001</v>
      </c>
      <c r="D316" s="76">
        <f>267.466</f>
        <v>267.46600000000001</v>
      </c>
      <c r="E316" s="85">
        <f>133.845</f>
        <v>133.845</v>
      </c>
      <c r="F316" s="76">
        <f>278.484-40-25-60-100</f>
        <v>53.48399999999998</v>
      </c>
      <c r="G316" s="79">
        <v>40</v>
      </c>
      <c r="H316" s="76">
        <f t="shared" si="51"/>
        <v>185</v>
      </c>
      <c r="I316" s="76">
        <f t="shared" si="50"/>
        <v>0</v>
      </c>
      <c r="J316" s="79">
        <v>100</v>
      </c>
      <c r="K316" s="79">
        <v>300</v>
      </c>
      <c r="L316" s="76">
        <f t="shared" si="43"/>
        <v>1274</v>
      </c>
      <c r="M316" s="87">
        <v>600</v>
      </c>
      <c r="N316" s="76">
        <f>75</f>
        <v>75</v>
      </c>
      <c r="O316" s="79">
        <v>240</v>
      </c>
      <c r="P316" s="79">
        <v>160</v>
      </c>
      <c r="Q316" s="79">
        <f t="shared" si="44"/>
        <v>195</v>
      </c>
      <c r="R316" s="79">
        <f t="shared" si="45"/>
        <v>100</v>
      </c>
      <c r="S316" s="76">
        <f t="shared" si="46"/>
        <v>695</v>
      </c>
      <c r="T316" s="76">
        <f>50</f>
        <v>50</v>
      </c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</row>
    <row r="317" spans="1:30" ht="15.75" x14ac:dyDescent="0.25">
      <c r="A317" s="33">
        <v>50586</v>
      </c>
      <c r="B317" s="89">
        <v>30</v>
      </c>
      <c r="C317" s="76">
        <f>194.205</f>
        <v>194.20500000000001</v>
      </c>
      <c r="D317" s="76">
        <f>267.466</f>
        <v>267.46600000000001</v>
      </c>
      <c r="E317" s="85">
        <f>133.845</f>
        <v>133.845</v>
      </c>
      <c r="F317" s="76">
        <f>278.484-40-25-60-100</f>
        <v>53.48399999999998</v>
      </c>
      <c r="G317" s="79">
        <v>40</v>
      </c>
      <c r="H317" s="76">
        <f t="shared" si="51"/>
        <v>185</v>
      </c>
      <c r="I317" s="76">
        <f t="shared" si="50"/>
        <v>0</v>
      </c>
      <c r="J317" s="79">
        <v>100</v>
      </c>
      <c r="K317" s="79">
        <v>300</v>
      </c>
      <c r="L317" s="76">
        <f t="shared" si="43"/>
        <v>1274</v>
      </c>
      <c r="M317" s="87">
        <v>600</v>
      </c>
      <c r="N317" s="76">
        <f>30</f>
        <v>30</v>
      </c>
      <c r="O317" s="79">
        <v>240</v>
      </c>
      <c r="P317" s="79">
        <v>160</v>
      </c>
      <c r="Q317" s="79">
        <f t="shared" si="44"/>
        <v>195</v>
      </c>
      <c r="R317" s="79">
        <f t="shared" si="45"/>
        <v>100</v>
      </c>
      <c r="S317" s="76">
        <f t="shared" si="46"/>
        <v>695</v>
      </c>
      <c r="T317" s="76">
        <f>50</f>
        <v>50</v>
      </c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</row>
    <row r="318" spans="1:30" ht="15.75" x14ac:dyDescent="0.25">
      <c r="A318" s="33">
        <v>50617</v>
      </c>
      <c r="B318" s="89">
        <v>31</v>
      </c>
      <c r="C318" s="76">
        <f>194.205</f>
        <v>194.20500000000001</v>
      </c>
      <c r="D318" s="76">
        <f>267.466</f>
        <v>267.46600000000001</v>
      </c>
      <c r="E318" s="85">
        <f>133.845</f>
        <v>133.845</v>
      </c>
      <c r="F318" s="76">
        <f>278.484-40-25-60-100</f>
        <v>53.48399999999998</v>
      </c>
      <c r="G318" s="79">
        <v>40</v>
      </c>
      <c r="H318" s="76">
        <f t="shared" si="51"/>
        <v>185</v>
      </c>
      <c r="I318" s="76">
        <f t="shared" si="50"/>
        <v>0</v>
      </c>
      <c r="J318" s="79">
        <v>100</v>
      </c>
      <c r="K318" s="79">
        <v>300</v>
      </c>
      <c r="L318" s="76">
        <f t="shared" si="43"/>
        <v>1274</v>
      </c>
      <c r="M318" s="87">
        <v>600</v>
      </c>
      <c r="N318" s="76">
        <f>30</f>
        <v>30</v>
      </c>
      <c r="O318" s="79">
        <v>240</v>
      </c>
      <c r="P318" s="79">
        <v>160</v>
      </c>
      <c r="Q318" s="79">
        <f t="shared" si="44"/>
        <v>195</v>
      </c>
      <c r="R318" s="79">
        <f t="shared" si="45"/>
        <v>100</v>
      </c>
      <c r="S318" s="76">
        <f t="shared" si="46"/>
        <v>695</v>
      </c>
      <c r="T318" s="76">
        <f>0</f>
        <v>0</v>
      </c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</row>
    <row r="319" spans="1:30" ht="15.75" x14ac:dyDescent="0.25">
      <c r="A319" s="33">
        <v>50648</v>
      </c>
      <c r="B319" s="89">
        <v>31</v>
      </c>
      <c r="C319" s="76">
        <f>194.205</f>
        <v>194.20500000000001</v>
      </c>
      <c r="D319" s="76">
        <f>267.466</f>
        <v>267.46600000000001</v>
      </c>
      <c r="E319" s="85">
        <f>133.845</f>
        <v>133.845</v>
      </c>
      <c r="F319" s="76">
        <f>278.484-40-25-60-100</f>
        <v>53.48399999999998</v>
      </c>
      <c r="G319" s="79">
        <v>40</v>
      </c>
      <c r="H319" s="76">
        <f t="shared" si="51"/>
        <v>185</v>
      </c>
      <c r="I319" s="76">
        <f t="shared" si="50"/>
        <v>0</v>
      </c>
      <c r="J319" s="79">
        <v>100</v>
      </c>
      <c r="K319" s="79">
        <v>300</v>
      </c>
      <c r="L319" s="76">
        <f t="shared" si="43"/>
        <v>1274</v>
      </c>
      <c r="M319" s="87">
        <v>600</v>
      </c>
      <c r="N319" s="76">
        <f>30</f>
        <v>30</v>
      </c>
      <c r="O319" s="79">
        <v>240</v>
      </c>
      <c r="P319" s="79">
        <v>160</v>
      </c>
      <c r="Q319" s="79">
        <f t="shared" si="44"/>
        <v>195</v>
      </c>
      <c r="R319" s="79">
        <f t="shared" si="45"/>
        <v>100</v>
      </c>
      <c r="S319" s="76">
        <f t="shared" si="46"/>
        <v>695</v>
      </c>
      <c r="T319" s="76">
        <f>0</f>
        <v>0</v>
      </c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</row>
    <row r="320" spans="1:30" ht="15.75" x14ac:dyDescent="0.25">
      <c r="A320" s="33">
        <v>50678</v>
      </c>
      <c r="B320" s="89">
        <v>30</v>
      </c>
      <c r="C320" s="76">
        <f>194.205</f>
        <v>194.20500000000001</v>
      </c>
      <c r="D320" s="76">
        <f>267.466</f>
        <v>267.46600000000001</v>
      </c>
      <c r="E320" s="85">
        <f>133.845</f>
        <v>133.845</v>
      </c>
      <c r="F320" s="76">
        <f>278.484-40-25-60-100</f>
        <v>53.48399999999998</v>
      </c>
      <c r="G320" s="79">
        <v>40</v>
      </c>
      <c r="H320" s="76">
        <f t="shared" si="51"/>
        <v>185</v>
      </c>
      <c r="I320" s="76">
        <f t="shared" si="50"/>
        <v>0</v>
      </c>
      <c r="J320" s="79">
        <v>100</v>
      </c>
      <c r="K320" s="79">
        <v>300</v>
      </c>
      <c r="L320" s="76">
        <f t="shared" si="43"/>
        <v>1274</v>
      </c>
      <c r="M320" s="87">
        <v>600</v>
      </c>
      <c r="N320" s="76">
        <f>30</f>
        <v>30</v>
      </c>
      <c r="O320" s="79">
        <v>240</v>
      </c>
      <c r="P320" s="79">
        <v>160</v>
      </c>
      <c r="Q320" s="79">
        <f t="shared" si="44"/>
        <v>195</v>
      </c>
      <c r="R320" s="79">
        <f t="shared" si="45"/>
        <v>100</v>
      </c>
      <c r="S320" s="76">
        <f t="shared" si="46"/>
        <v>695</v>
      </c>
      <c r="T320" s="76">
        <f>0</f>
        <v>0</v>
      </c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</row>
    <row r="321" spans="1:30" ht="15.75" x14ac:dyDescent="0.25">
      <c r="A321" s="33">
        <v>50709</v>
      </c>
      <c r="B321" s="89">
        <v>31</v>
      </c>
      <c r="C321" s="76">
        <f>131.881</f>
        <v>131.881</v>
      </c>
      <c r="D321" s="76">
        <f>277.167</f>
        <v>277.16699999999997</v>
      </c>
      <c r="E321" s="85">
        <f>79.08</f>
        <v>79.08</v>
      </c>
      <c r="F321" s="76">
        <f>350.872-40-25-60-100</f>
        <v>125.87200000000001</v>
      </c>
      <c r="G321" s="79">
        <v>40</v>
      </c>
      <c r="H321" s="76">
        <f t="shared" si="51"/>
        <v>185</v>
      </c>
      <c r="I321" s="76">
        <f t="shared" si="50"/>
        <v>0</v>
      </c>
      <c r="J321" s="79">
        <v>100</v>
      </c>
      <c r="K321" s="79">
        <v>300</v>
      </c>
      <c r="L321" s="76">
        <f t="shared" si="43"/>
        <v>1239</v>
      </c>
      <c r="M321" s="87">
        <v>600</v>
      </c>
      <c r="N321" s="76">
        <f>75</f>
        <v>75</v>
      </c>
      <c r="O321" s="79">
        <v>240</v>
      </c>
      <c r="P321" s="79">
        <v>160</v>
      </c>
      <c r="Q321" s="79">
        <f t="shared" si="44"/>
        <v>195</v>
      </c>
      <c r="R321" s="79">
        <f t="shared" si="45"/>
        <v>100</v>
      </c>
      <c r="S321" s="76">
        <f t="shared" si="46"/>
        <v>695</v>
      </c>
      <c r="T321" s="76">
        <f>0</f>
        <v>0</v>
      </c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</row>
    <row r="322" spans="1:30" ht="15.75" x14ac:dyDescent="0.25">
      <c r="A322" s="33">
        <v>50739</v>
      </c>
      <c r="B322" s="89">
        <v>30</v>
      </c>
      <c r="C322" s="76">
        <f>122.58</f>
        <v>122.58</v>
      </c>
      <c r="D322" s="76">
        <f>297.941</f>
        <v>297.94099999999997</v>
      </c>
      <c r="E322" s="85">
        <f>89.177</f>
        <v>89.177000000000007</v>
      </c>
      <c r="F322" s="76">
        <f>240.302-40-60-100</f>
        <v>40.301999999999992</v>
      </c>
      <c r="G322" s="79">
        <v>40</v>
      </c>
      <c r="H322" s="76">
        <f>60+100</f>
        <v>160</v>
      </c>
      <c r="I322" s="76">
        <f t="shared" si="50"/>
        <v>0</v>
      </c>
      <c r="J322" s="79">
        <v>100</v>
      </c>
      <c r="K322" s="79">
        <v>300</v>
      </c>
      <c r="L322" s="76">
        <f t="shared" si="43"/>
        <v>1150</v>
      </c>
      <c r="M322" s="87">
        <v>600</v>
      </c>
      <c r="N322" s="76">
        <f>100</f>
        <v>100</v>
      </c>
      <c r="O322" s="79">
        <v>240</v>
      </c>
      <c r="P322" s="79">
        <v>40</v>
      </c>
      <c r="Q322" s="79">
        <f t="shared" si="44"/>
        <v>315</v>
      </c>
      <c r="R322" s="79">
        <f t="shared" si="45"/>
        <v>100</v>
      </c>
      <c r="S322" s="76">
        <f t="shared" si="46"/>
        <v>695</v>
      </c>
      <c r="T322" s="76">
        <f>50</f>
        <v>50</v>
      </c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</row>
    <row r="323" spans="1:30" ht="15.75" x14ac:dyDescent="0.25">
      <c r="A323" s="33">
        <v>50770</v>
      </c>
      <c r="B323" s="89">
        <v>31</v>
      </c>
      <c r="C323" s="76">
        <f>122.58</f>
        <v>122.58</v>
      </c>
      <c r="D323" s="76">
        <f>297.941</f>
        <v>297.94099999999997</v>
      </c>
      <c r="E323" s="85">
        <f>89.177</f>
        <v>89.177000000000007</v>
      </c>
      <c r="F323" s="76">
        <f>240.302-40-60-100</f>
        <v>40.301999999999992</v>
      </c>
      <c r="G323" s="79">
        <v>40</v>
      </c>
      <c r="H323" s="76">
        <f>60+100</f>
        <v>160</v>
      </c>
      <c r="I323" s="76">
        <f t="shared" si="50"/>
        <v>0</v>
      </c>
      <c r="J323" s="79">
        <v>100</v>
      </c>
      <c r="K323" s="79">
        <v>300</v>
      </c>
      <c r="L323" s="76">
        <f t="shared" si="43"/>
        <v>1150</v>
      </c>
      <c r="M323" s="87">
        <v>600</v>
      </c>
      <c r="N323" s="76">
        <f>100</f>
        <v>100</v>
      </c>
      <c r="O323" s="79">
        <v>240</v>
      </c>
      <c r="P323" s="79">
        <v>40</v>
      </c>
      <c r="Q323" s="79">
        <f t="shared" si="44"/>
        <v>315</v>
      </c>
      <c r="R323" s="79">
        <f t="shared" si="45"/>
        <v>100</v>
      </c>
      <c r="S323" s="76">
        <f t="shared" si="46"/>
        <v>695</v>
      </c>
      <c r="T323" s="76">
        <f>50</f>
        <v>50</v>
      </c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</row>
    <row r="324" spans="1:30" ht="15.75" x14ac:dyDescent="0.25">
      <c r="A324" s="33">
        <v>50801</v>
      </c>
      <c r="B324" s="89">
        <v>31</v>
      </c>
      <c r="C324" s="76">
        <f>122.58</f>
        <v>122.58</v>
      </c>
      <c r="D324" s="76">
        <f>297.941</f>
        <v>297.94099999999997</v>
      </c>
      <c r="E324" s="85">
        <f>89.177</f>
        <v>89.177000000000007</v>
      </c>
      <c r="F324" s="76">
        <f>240.302-40-60-100</f>
        <v>40.301999999999992</v>
      </c>
      <c r="G324" s="79">
        <v>40</v>
      </c>
      <c r="H324" s="76">
        <f>60+100</f>
        <v>160</v>
      </c>
      <c r="I324" s="76">
        <f t="shared" si="50"/>
        <v>0</v>
      </c>
      <c r="J324" s="79">
        <v>100</v>
      </c>
      <c r="K324" s="79">
        <v>300</v>
      </c>
      <c r="L324" s="76">
        <f t="shared" si="43"/>
        <v>1150</v>
      </c>
      <c r="M324" s="87">
        <v>600</v>
      </c>
      <c r="N324" s="76">
        <f>100</f>
        <v>100</v>
      </c>
      <c r="O324" s="79">
        <v>240</v>
      </c>
      <c r="P324" s="79">
        <v>40</v>
      </c>
      <c r="Q324" s="79">
        <f t="shared" si="44"/>
        <v>315</v>
      </c>
      <c r="R324" s="79">
        <f t="shared" si="45"/>
        <v>100</v>
      </c>
      <c r="S324" s="76">
        <f t="shared" si="46"/>
        <v>695</v>
      </c>
      <c r="T324" s="76">
        <f>50</f>
        <v>50</v>
      </c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</row>
    <row r="325" spans="1:30" ht="15.75" x14ac:dyDescent="0.25">
      <c r="A325" s="33">
        <v>50829</v>
      </c>
      <c r="B325" s="89">
        <v>28</v>
      </c>
      <c r="C325" s="76">
        <f>122.58</f>
        <v>122.58</v>
      </c>
      <c r="D325" s="76">
        <f>297.941</f>
        <v>297.94099999999997</v>
      </c>
      <c r="E325" s="85">
        <f>89.177</f>
        <v>89.177000000000007</v>
      </c>
      <c r="F325" s="76">
        <f>240.302-40-60-100</f>
        <v>40.301999999999992</v>
      </c>
      <c r="G325" s="79">
        <v>40</v>
      </c>
      <c r="H325" s="76">
        <f>60+100</f>
        <v>160</v>
      </c>
      <c r="I325" s="76">
        <f t="shared" si="50"/>
        <v>0</v>
      </c>
      <c r="J325" s="79">
        <v>100</v>
      </c>
      <c r="K325" s="79">
        <v>300</v>
      </c>
      <c r="L325" s="76">
        <f t="shared" si="43"/>
        <v>1150</v>
      </c>
      <c r="M325" s="87">
        <v>600</v>
      </c>
      <c r="N325" s="76">
        <f>100</f>
        <v>100</v>
      </c>
      <c r="O325" s="79">
        <v>240</v>
      </c>
      <c r="P325" s="79">
        <v>40</v>
      </c>
      <c r="Q325" s="79">
        <f t="shared" si="44"/>
        <v>315</v>
      </c>
      <c r="R325" s="79">
        <f t="shared" si="45"/>
        <v>100</v>
      </c>
      <c r="S325" s="76">
        <f t="shared" si="46"/>
        <v>695</v>
      </c>
      <c r="T325" s="76">
        <f>50</f>
        <v>50</v>
      </c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</row>
    <row r="326" spans="1:30" ht="15.75" x14ac:dyDescent="0.25">
      <c r="A326" s="33">
        <v>50860</v>
      </c>
      <c r="B326" s="89">
        <v>31</v>
      </c>
      <c r="C326" s="76">
        <f>122.58</f>
        <v>122.58</v>
      </c>
      <c r="D326" s="76">
        <f>297.941</f>
        <v>297.94099999999997</v>
      </c>
      <c r="E326" s="85">
        <f>89.177</f>
        <v>89.177000000000007</v>
      </c>
      <c r="F326" s="76">
        <f>240.302-40-60-100</f>
        <v>40.301999999999992</v>
      </c>
      <c r="G326" s="79">
        <v>40</v>
      </c>
      <c r="H326" s="76">
        <f>60+100</f>
        <v>160</v>
      </c>
      <c r="I326" s="76">
        <f t="shared" si="50"/>
        <v>0</v>
      </c>
      <c r="J326" s="79">
        <v>100</v>
      </c>
      <c r="K326" s="79">
        <v>300</v>
      </c>
      <c r="L326" s="76">
        <f t="shared" si="43"/>
        <v>1150</v>
      </c>
      <c r="M326" s="87">
        <v>600</v>
      </c>
      <c r="N326" s="76">
        <f>100</f>
        <v>100</v>
      </c>
      <c r="O326" s="79">
        <v>240</v>
      </c>
      <c r="P326" s="79">
        <v>40</v>
      </c>
      <c r="Q326" s="79">
        <f t="shared" si="44"/>
        <v>315</v>
      </c>
      <c r="R326" s="79">
        <f t="shared" si="45"/>
        <v>100</v>
      </c>
      <c r="S326" s="76">
        <f t="shared" si="46"/>
        <v>695</v>
      </c>
      <c r="T326" s="76">
        <f>50</f>
        <v>50</v>
      </c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</row>
    <row r="327" spans="1:30" ht="15.75" x14ac:dyDescent="0.25">
      <c r="A327" s="33">
        <v>50890</v>
      </c>
      <c r="B327" s="89">
        <v>30</v>
      </c>
      <c r="C327" s="76">
        <f>141.293</f>
        <v>141.29300000000001</v>
      </c>
      <c r="D327" s="76">
        <f>267.993</f>
        <v>267.99299999999999</v>
      </c>
      <c r="E327" s="85">
        <f>115.016</f>
        <v>115.01600000000001</v>
      </c>
      <c r="F327" s="76">
        <f>314.698-40-25-60-100</f>
        <v>89.697999999999979</v>
      </c>
      <c r="G327" s="79">
        <v>40</v>
      </c>
      <c r="H327" s="76">
        <f t="shared" ref="H327:H333" si="52">25+60+100</f>
        <v>185</v>
      </c>
      <c r="I327" s="76">
        <f t="shared" si="50"/>
        <v>0</v>
      </c>
      <c r="J327" s="79">
        <v>100</v>
      </c>
      <c r="K327" s="79">
        <v>300</v>
      </c>
      <c r="L327" s="76">
        <f t="shared" si="43"/>
        <v>1239</v>
      </c>
      <c r="M327" s="87">
        <v>600</v>
      </c>
      <c r="N327" s="76">
        <f>100</f>
        <v>100</v>
      </c>
      <c r="O327" s="79">
        <v>240</v>
      </c>
      <c r="P327" s="79">
        <v>160</v>
      </c>
      <c r="Q327" s="79">
        <f t="shared" si="44"/>
        <v>195</v>
      </c>
      <c r="R327" s="79">
        <f t="shared" si="45"/>
        <v>100</v>
      </c>
      <c r="S327" s="76">
        <f t="shared" si="46"/>
        <v>695</v>
      </c>
      <c r="T327" s="76">
        <f>50</f>
        <v>50</v>
      </c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</row>
    <row r="328" spans="1:30" ht="15.75" x14ac:dyDescent="0.25">
      <c r="A328" s="33">
        <v>50921</v>
      </c>
      <c r="B328" s="89">
        <v>31</v>
      </c>
      <c r="C328" s="76">
        <f>194.205</f>
        <v>194.20500000000001</v>
      </c>
      <c r="D328" s="76">
        <f>267.466</f>
        <v>267.46600000000001</v>
      </c>
      <c r="E328" s="85">
        <f>133.845</f>
        <v>133.845</v>
      </c>
      <c r="F328" s="76">
        <f>278.484-40-25-60-100</f>
        <v>53.48399999999998</v>
      </c>
      <c r="G328" s="79">
        <v>40</v>
      </c>
      <c r="H328" s="76">
        <f t="shared" si="52"/>
        <v>185</v>
      </c>
      <c r="I328" s="76">
        <f t="shared" si="50"/>
        <v>0</v>
      </c>
      <c r="J328" s="79">
        <v>100</v>
      </c>
      <c r="K328" s="79">
        <v>300</v>
      </c>
      <c r="L328" s="76">
        <f t="shared" si="43"/>
        <v>1274</v>
      </c>
      <c r="M328" s="87">
        <v>600</v>
      </c>
      <c r="N328" s="76">
        <f>75</f>
        <v>75</v>
      </c>
      <c r="O328" s="79">
        <v>240</v>
      </c>
      <c r="P328" s="79">
        <v>160</v>
      </c>
      <c r="Q328" s="79">
        <f t="shared" si="44"/>
        <v>195</v>
      </c>
      <c r="R328" s="79">
        <f t="shared" si="45"/>
        <v>100</v>
      </c>
      <c r="S328" s="76">
        <f t="shared" si="46"/>
        <v>695</v>
      </c>
      <c r="T328" s="76">
        <f>50</f>
        <v>50</v>
      </c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</row>
    <row r="329" spans="1:30" ht="15.75" x14ac:dyDescent="0.25">
      <c r="A329" s="33">
        <v>50951</v>
      </c>
      <c r="B329" s="89">
        <v>30</v>
      </c>
      <c r="C329" s="76">
        <f>194.205</f>
        <v>194.20500000000001</v>
      </c>
      <c r="D329" s="76">
        <f>267.466</f>
        <v>267.46600000000001</v>
      </c>
      <c r="E329" s="85">
        <f>133.845</f>
        <v>133.845</v>
      </c>
      <c r="F329" s="76">
        <f>278.484-40-25-60-100</f>
        <v>53.48399999999998</v>
      </c>
      <c r="G329" s="79">
        <v>40</v>
      </c>
      <c r="H329" s="76">
        <f t="shared" si="52"/>
        <v>185</v>
      </c>
      <c r="I329" s="76">
        <f t="shared" si="50"/>
        <v>0</v>
      </c>
      <c r="J329" s="79">
        <v>100</v>
      </c>
      <c r="K329" s="79">
        <v>300</v>
      </c>
      <c r="L329" s="76">
        <f t="shared" si="43"/>
        <v>1274</v>
      </c>
      <c r="M329" s="87">
        <v>600</v>
      </c>
      <c r="N329" s="76">
        <f>30</f>
        <v>30</v>
      </c>
      <c r="O329" s="79">
        <v>240</v>
      </c>
      <c r="P329" s="79">
        <v>160</v>
      </c>
      <c r="Q329" s="79">
        <f t="shared" si="44"/>
        <v>195</v>
      </c>
      <c r="R329" s="79">
        <f t="shared" si="45"/>
        <v>100</v>
      </c>
      <c r="S329" s="76">
        <f t="shared" si="46"/>
        <v>695</v>
      </c>
      <c r="T329" s="76">
        <f>50</f>
        <v>50</v>
      </c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</row>
    <row r="330" spans="1:30" ht="15.75" x14ac:dyDescent="0.25">
      <c r="A330" s="33">
        <v>50982</v>
      </c>
      <c r="B330" s="89">
        <v>31</v>
      </c>
      <c r="C330" s="76">
        <f>194.205</f>
        <v>194.20500000000001</v>
      </c>
      <c r="D330" s="76">
        <f>267.466</f>
        <v>267.46600000000001</v>
      </c>
      <c r="E330" s="85">
        <f>133.845</f>
        <v>133.845</v>
      </c>
      <c r="F330" s="76">
        <f>278.484-40-25-60-100</f>
        <v>53.48399999999998</v>
      </c>
      <c r="G330" s="79">
        <v>40</v>
      </c>
      <c r="H330" s="76">
        <f t="shared" si="52"/>
        <v>185</v>
      </c>
      <c r="I330" s="76">
        <f t="shared" si="50"/>
        <v>0</v>
      </c>
      <c r="J330" s="79">
        <v>100</v>
      </c>
      <c r="K330" s="79">
        <v>300</v>
      </c>
      <c r="L330" s="76">
        <f t="shared" si="43"/>
        <v>1274</v>
      </c>
      <c r="M330" s="87">
        <v>600</v>
      </c>
      <c r="N330" s="76">
        <f>30</f>
        <v>30</v>
      </c>
      <c r="O330" s="79">
        <v>240</v>
      </c>
      <c r="P330" s="79">
        <v>160</v>
      </c>
      <c r="Q330" s="79">
        <f t="shared" si="44"/>
        <v>195</v>
      </c>
      <c r="R330" s="79">
        <f t="shared" si="45"/>
        <v>100</v>
      </c>
      <c r="S330" s="76">
        <f t="shared" si="46"/>
        <v>695</v>
      </c>
      <c r="T330" s="76">
        <f>0</f>
        <v>0</v>
      </c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</row>
    <row r="331" spans="1:30" ht="15.75" x14ac:dyDescent="0.25">
      <c r="A331" s="33">
        <v>51013</v>
      </c>
      <c r="B331" s="89">
        <v>31</v>
      </c>
      <c r="C331" s="76">
        <f>194.205</f>
        <v>194.20500000000001</v>
      </c>
      <c r="D331" s="76">
        <f>267.466</f>
        <v>267.46600000000001</v>
      </c>
      <c r="E331" s="85">
        <f>133.845</f>
        <v>133.845</v>
      </c>
      <c r="F331" s="76">
        <f>278.484-40-25-60-100</f>
        <v>53.48399999999998</v>
      </c>
      <c r="G331" s="79">
        <v>40</v>
      </c>
      <c r="H331" s="76">
        <f t="shared" si="52"/>
        <v>185</v>
      </c>
      <c r="I331" s="76">
        <f t="shared" si="50"/>
        <v>0</v>
      </c>
      <c r="J331" s="79">
        <v>100</v>
      </c>
      <c r="K331" s="79">
        <v>300</v>
      </c>
      <c r="L331" s="76">
        <f t="shared" si="43"/>
        <v>1274</v>
      </c>
      <c r="M331" s="87">
        <v>600</v>
      </c>
      <c r="N331" s="76">
        <f>30</f>
        <v>30</v>
      </c>
      <c r="O331" s="79">
        <v>240</v>
      </c>
      <c r="P331" s="79">
        <v>160</v>
      </c>
      <c r="Q331" s="79">
        <f t="shared" si="44"/>
        <v>195</v>
      </c>
      <c r="R331" s="79">
        <f t="shared" si="45"/>
        <v>100</v>
      </c>
      <c r="S331" s="76">
        <f t="shared" si="46"/>
        <v>695</v>
      </c>
      <c r="T331" s="76">
        <f>0</f>
        <v>0</v>
      </c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</row>
    <row r="332" spans="1:30" ht="15.75" x14ac:dyDescent="0.25">
      <c r="A332" s="33">
        <v>51043</v>
      </c>
      <c r="B332" s="89">
        <v>30</v>
      </c>
      <c r="C332" s="76">
        <f>194.205</f>
        <v>194.20500000000001</v>
      </c>
      <c r="D332" s="76">
        <f>267.466</f>
        <v>267.46600000000001</v>
      </c>
      <c r="E332" s="85">
        <f>133.845</f>
        <v>133.845</v>
      </c>
      <c r="F332" s="76">
        <f>278.484-40-25-60-100</f>
        <v>53.48399999999998</v>
      </c>
      <c r="G332" s="79">
        <v>40</v>
      </c>
      <c r="H332" s="76">
        <f t="shared" si="52"/>
        <v>185</v>
      </c>
      <c r="I332" s="76">
        <f t="shared" si="50"/>
        <v>0</v>
      </c>
      <c r="J332" s="79">
        <v>100</v>
      </c>
      <c r="K332" s="79">
        <v>300</v>
      </c>
      <c r="L332" s="76">
        <f t="shared" si="43"/>
        <v>1274</v>
      </c>
      <c r="M332" s="87">
        <v>600</v>
      </c>
      <c r="N332" s="76">
        <f>30</f>
        <v>30</v>
      </c>
      <c r="O332" s="79">
        <v>240</v>
      </c>
      <c r="P332" s="79">
        <v>160</v>
      </c>
      <c r="Q332" s="79">
        <f t="shared" si="44"/>
        <v>195</v>
      </c>
      <c r="R332" s="79">
        <f t="shared" si="45"/>
        <v>100</v>
      </c>
      <c r="S332" s="76">
        <f t="shared" si="46"/>
        <v>695</v>
      </c>
      <c r="T332" s="76">
        <f>0</f>
        <v>0</v>
      </c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</row>
    <row r="333" spans="1:30" ht="15.75" x14ac:dyDescent="0.25">
      <c r="A333" s="33">
        <v>51074</v>
      </c>
      <c r="B333" s="89">
        <v>31</v>
      </c>
      <c r="C333" s="76">
        <f>131.881</f>
        <v>131.881</v>
      </c>
      <c r="D333" s="76">
        <f>277.167</f>
        <v>277.16699999999997</v>
      </c>
      <c r="E333" s="85">
        <f>79.08</f>
        <v>79.08</v>
      </c>
      <c r="F333" s="76">
        <f>350.872-40-25-60-100</f>
        <v>125.87200000000001</v>
      </c>
      <c r="G333" s="79">
        <v>40</v>
      </c>
      <c r="H333" s="76">
        <f t="shared" si="52"/>
        <v>185</v>
      </c>
      <c r="I333" s="76">
        <f t="shared" si="50"/>
        <v>0</v>
      </c>
      <c r="J333" s="79">
        <v>100</v>
      </c>
      <c r="K333" s="79">
        <v>300</v>
      </c>
      <c r="L333" s="76">
        <f t="shared" si="43"/>
        <v>1239</v>
      </c>
      <c r="M333" s="87">
        <v>600</v>
      </c>
      <c r="N333" s="76">
        <f>75</f>
        <v>75</v>
      </c>
      <c r="O333" s="79">
        <v>240</v>
      </c>
      <c r="P333" s="79">
        <v>160</v>
      </c>
      <c r="Q333" s="79">
        <f t="shared" si="44"/>
        <v>195</v>
      </c>
      <c r="R333" s="79">
        <f t="shared" si="45"/>
        <v>100</v>
      </c>
      <c r="S333" s="76">
        <f t="shared" si="46"/>
        <v>695</v>
      </c>
      <c r="T333" s="76">
        <f>0</f>
        <v>0</v>
      </c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</row>
    <row r="334" spans="1:30" ht="15.75" x14ac:dyDescent="0.25">
      <c r="A334" s="33">
        <v>51104</v>
      </c>
      <c r="B334" s="89">
        <v>30</v>
      </c>
      <c r="C334" s="76">
        <f>122.58</f>
        <v>122.58</v>
      </c>
      <c r="D334" s="76">
        <f>297.941</f>
        <v>297.94099999999997</v>
      </c>
      <c r="E334" s="85">
        <f>89.177</f>
        <v>89.177000000000007</v>
      </c>
      <c r="F334" s="76">
        <f>240.302-40-60-100</f>
        <v>40.301999999999992</v>
      </c>
      <c r="G334" s="79">
        <v>40</v>
      </c>
      <c r="H334" s="76">
        <f>60+100</f>
        <v>160</v>
      </c>
      <c r="I334" s="76">
        <f t="shared" si="50"/>
        <v>0</v>
      </c>
      <c r="J334" s="79">
        <v>100</v>
      </c>
      <c r="K334" s="79">
        <v>300</v>
      </c>
      <c r="L334" s="76">
        <f t="shared" si="43"/>
        <v>1150</v>
      </c>
      <c r="M334" s="87">
        <v>600</v>
      </c>
      <c r="N334" s="76">
        <f>100</f>
        <v>100</v>
      </c>
      <c r="O334" s="79">
        <v>240</v>
      </c>
      <c r="P334" s="79">
        <v>40</v>
      </c>
      <c r="Q334" s="79">
        <f t="shared" si="44"/>
        <v>315</v>
      </c>
      <c r="R334" s="79">
        <f t="shared" si="45"/>
        <v>100</v>
      </c>
      <c r="S334" s="76">
        <f t="shared" si="46"/>
        <v>695</v>
      </c>
      <c r="T334" s="76">
        <f>50</f>
        <v>50</v>
      </c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</row>
    <row r="335" spans="1:30" ht="15.75" x14ac:dyDescent="0.25">
      <c r="A335" s="33">
        <v>51135</v>
      </c>
      <c r="B335" s="89">
        <v>31</v>
      </c>
      <c r="C335" s="76">
        <f>122.58</f>
        <v>122.58</v>
      </c>
      <c r="D335" s="76">
        <f>297.941</f>
        <v>297.94099999999997</v>
      </c>
      <c r="E335" s="85">
        <f>89.177</f>
        <v>89.177000000000007</v>
      </c>
      <c r="F335" s="76">
        <f>240.302-40-60-100</f>
        <v>40.301999999999992</v>
      </c>
      <c r="G335" s="79">
        <v>40</v>
      </c>
      <c r="H335" s="76">
        <f>60+100</f>
        <v>160</v>
      </c>
      <c r="I335" s="76">
        <f t="shared" si="50"/>
        <v>0</v>
      </c>
      <c r="J335" s="79">
        <v>100</v>
      </c>
      <c r="K335" s="79">
        <v>300</v>
      </c>
      <c r="L335" s="76">
        <f t="shared" si="43"/>
        <v>1150</v>
      </c>
      <c r="M335" s="87">
        <v>600</v>
      </c>
      <c r="N335" s="76">
        <f>100</f>
        <v>100</v>
      </c>
      <c r="O335" s="79">
        <v>240</v>
      </c>
      <c r="P335" s="79">
        <v>40</v>
      </c>
      <c r="Q335" s="79">
        <f t="shared" si="44"/>
        <v>315</v>
      </c>
      <c r="R335" s="79">
        <f t="shared" si="45"/>
        <v>100</v>
      </c>
      <c r="S335" s="76">
        <f t="shared" si="46"/>
        <v>695</v>
      </c>
      <c r="T335" s="76">
        <f>50</f>
        <v>50</v>
      </c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</row>
    <row r="336" spans="1:30" ht="15.75" x14ac:dyDescent="0.25">
      <c r="A336" s="33">
        <v>51166</v>
      </c>
      <c r="B336" s="89">
        <v>31</v>
      </c>
      <c r="C336" s="76">
        <f>122.58</f>
        <v>122.58</v>
      </c>
      <c r="D336" s="76">
        <f>297.941</f>
        <v>297.94099999999997</v>
      </c>
      <c r="E336" s="85">
        <f>89.177</f>
        <v>89.177000000000007</v>
      </c>
      <c r="F336" s="76">
        <f>240.302-40-60-100</f>
        <v>40.301999999999992</v>
      </c>
      <c r="G336" s="79">
        <v>40</v>
      </c>
      <c r="H336" s="76">
        <f>60+100</f>
        <v>160</v>
      </c>
      <c r="I336" s="76">
        <f t="shared" si="50"/>
        <v>0</v>
      </c>
      <c r="J336" s="79">
        <v>100</v>
      </c>
      <c r="K336" s="79">
        <v>300</v>
      </c>
      <c r="L336" s="76">
        <f t="shared" ref="L336:L399" si="53">SUM(C336:K336)</f>
        <v>1150</v>
      </c>
      <c r="M336" s="87">
        <v>600</v>
      </c>
      <c r="N336" s="76">
        <f>100</f>
        <v>100</v>
      </c>
      <c r="O336" s="79">
        <v>240</v>
      </c>
      <c r="P336" s="79">
        <v>40</v>
      </c>
      <c r="Q336" s="79">
        <f t="shared" ref="Q336:Q399" si="54">695-R336-O336-P336</f>
        <v>315</v>
      </c>
      <c r="R336" s="79">
        <f t="shared" ref="R336:R399" si="55">200-J336</f>
        <v>100</v>
      </c>
      <c r="S336" s="76">
        <f t="shared" ref="S336:S399" si="56">SUM(O336:R336)</f>
        <v>695</v>
      </c>
      <c r="T336" s="76">
        <f>50</f>
        <v>50</v>
      </c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</row>
    <row r="337" spans="1:30" ht="15.75" x14ac:dyDescent="0.25">
      <c r="A337" s="33">
        <v>51194</v>
      </c>
      <c r="B337" s="89">
        <v>29</v>
      </c>
      <c r="C337" s="76">
        <f>122.58</f>
        <v>122.58</v>
      </c>
      <c r="D337" s="76">
        <f>297.941</f>
        <v>297.94099999999997</v>
      </c>
      <c r="E337" s="85">
        <f>89.177</f>
        <v>89.177000000000007</v>
      </c>
      <c r="F337" s="76">
        <f>240.302-40-60-100</f>
        <v>40.301999999999992</v>
      </c>
      <c r="G337" s="79">
        <v>40</v>
      </c>
      <c r="H337" s="76">
        <f>60+100</f>
        <v>160</v>
      </c>
      <c r="I337" s="76">
        <f t="shared" si="50"/>
        <v>0</v>
      </c>
      <c r="J337" s="79">
        <v>100</v>
      </c>
      <c r="K337" s="79">
        <v>300</v>
      </c>
      <c r="L337" s="76">
        <f t="shared" si="53"/>
        <v>1150</v>
      </c>
      <c r="M337" s="87">
        <v>600</v>
      </c>
      <c r="N337" s="76">
        <f>100</f>
        <v>100</v>
      </c>
      <c r="O337" s="79">
        <v>240</v>
      </c>
      <c r="P337" s="79">
        <v>40</v>
      </c>
      <c r="Q337" s="79">
        <f t="shared" si="54"/>
        <v>315</v>
      </c>
      <c r="R337" s="79">
        <f t="shared" si="55"/>
        <v>100</v>
      </c>
      <c r="S337" s="76">
        <f t="shared" si="56"/>
        <v>695</v>
      </c>
      <c r="T337" s="76">
        <f>50</f>
        <v>50</v>
      </c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</row>
    <row r="338" spans="1:30" ht="15.75" x14ac:dyDescent="0.25">
      <c r="A338" s="33">
        <v>51226</v>
      </c>
      <c r="B338" s="89">
        <v>31</v>
      </c>
      <c r="C338" s="76">
        <f>122.58</f>
        <v>122.58</v>
      </c>
      <c r="D338" s="76">
        <f>297.941</f>
        <v>297.94099999999997</v>
      </c>
      <c r="E338" s="85">
        <f>89.177</f>
        <v>89.177000000000007</v>
      </c>
      <c r="F338" s="76">
        <f>240.302-40-60-100</f>
        <v>40.301999999999992</v>
      </c>
      <c r="G338" s="79">
        <v>40</v>
      </c>
      <c r="H338" s="76">
        <f>60+100</f>
        <v>160</v>
      </c>
      <c r="I338" s="76">
        <f t="shared" si="50"/>
        <v>0</v>
      </c>
      <c r="J338" s="79">
        <v>100</v>
      </c>
      <c r="K338" s="79">
        <v>300</v>
      </c>
      <c r="L338" s="76">
        <f t="shared" si="53"/>
        <v>1150</v>
      </c>
      <c r="M338" s="87">
        <v>600</v>
      </c>
      <c r="N338" s="76">
        <f>100</f>
        <v>100</v>
      </c>
      <c r="O338" s="79">
        <v>240</v>
      </c>
      <c r="P338" s="79">
        <v>40</v>
      </c>
      <c r="Q338" s="79">
        <f t="shared" si="54"/>
        <v>315</v>
      </c>
      <c r="R338" s="79">
        <f t="shared" si="55"/>
        <v>100</v>
      </c>
      <c r="S338" s="76">
        <f t="shared" si="56"/>
        <v>695</v>
      </c>
      <c r="T338" s="76">
        <f>50</f>
        <v>50</v>
      </c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</row>
    <row r="339" spans="1:30" ht="15.75" x14ac:dyDescent="0.25">
      <c r="A339" s="33">
        <v>51256</v>
      </c>
      <c r="B339" s="89">
        <v>30</v>
      </c>
      <c r="C339" s="76">
        <f>141.293</f>
        <v>141.29300000000001</v>
      </c>
      <c r="D339" s="76">
        <f>267.993</f>
        <v>267.99299999999999</v>
      </c>
      <c r="E339" s="85">
        <f>115.016</f>
        <v>115.01600000000001</v>
      </c>
      <c r="F339" s="76">
        <f>314.698-40-25-60-100</f>
        <v>89.697999999999979</v>
      </c>
      <c r="G339" s="79">
        <v>40</v>
      </c>
      <c r="H339" s="76">
        <f t="shared" ref="H339:H345" si="57">25+60+100</f>
        <v>185</v>
      </c>
      <c r="I339" s="76">
        <f t="shared" si="50"/>
        <v>0</v>
      </c>
      <c r="J339" s="79">
        <v>100</v>
      </c>
      <c r="K339" s="79">
        <v>300</v>
      </c>
      <c r="L339" s="76">
        <f t="shared" si="53"/>
        <v>1239</v>
      </c>
      <c r="M339" s="87">
        <v>600</v>
      </c>
      <c r="N339" s="76">
        <f>100</f>
        <v>100</v>
      </c>
      <c r="O339" s="79">
        <v>240</v>
      </c>
      <c r="P339" s="79">
        <v>160</v>
      </c>
      <c r="Q339" s="79">
        <f t="shared" si="54"/>
        <v>195</v>
      </c>
      <c r="R339" s="79">
        <f t="shared" si="55"/>
        <v>100</v>
      </c>
      <c r="S339" s="76">
        <f t="shared" si="56"/>
        <v>695</v>
      </c>
      <c r="T339" s="76">
        <f>50</f>
        <v>50</v>
      </c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</row>
    <row r="340" spans="1:30" ht="15.75" x14ac:dyDescent="0.25">
      <c r="A340" s="33">
        <v>51287</v>
      </c>
      <c r="B340" s="89">
        <v>31</v>
      </c>
      <c r="C340" s="76">
        <f>194.205</f>
        <v>194.20500000000001</v>
      </c>
      <c r="D340" s="76">
        <f>267.466</f>
        <v>267.46600000000001</v>
      </c>
      <c r="E340" s="85">
        <f>133.845</f>
        <v>133.845</v>
      </c>
      <c r="F340" s="76">
        <f>278.484-40-25-60-100</f>
        <v>53.48399999999998</v>
      </c>
      <c r="G340" s="79">
        <v>40</v>
      </c>
      <c r="H340" s="76">
        <f t="shared" si="57"/>
        <v>185</v>
      </c>
      <c r="I340" s="76">
        <f t="shared" si="50"/>
        <v>0</v>
      </c>
      <c r="J340" s="79">
        <v>100</v>
      </c>
      <c r="K340" s="79">
        <v>300</v>
      </c>
      <c r="L340" s="76">
        <f t="shared" si="53"/>
        <v>1274</v>
      </c>
      <c r="M340" s="87">
        <v>600</v>
      </c>
      <c r="N340" s="76">
        <f>75</f>
        <v>75</v>
      </c>
      <c r="O340" s="79">
        <v>240</v>
      </c>
      <c r="P340" s="79">
        <v>160</v>
      </c>
      <c r="Q340" s="79">
        <f t="shared" si="54"/>
        <v>195</v>
      </c>
      <c r="R340" s="79">
        <f t="shared" si="55"/>
        <v>100</v>
      </c>
      <c r="S340" s="76">
        <f t="shared" si="56"/>
        <v>695</v>
      </c>
      <c r="T340" s="76">
        <f>50</f>
        <v>50</v>
      </c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</row>
    <row r="341" spans="1:30" ht="15.75" x14ac:dyDescent="0.25">
      <c r="A341" s="33">
        <v>51317</v>
      </c>
      <c r="B341" s="89">
        <v>30</v>
      </c>
      <c r="C341" s="76">
        <f>194.205</f>
        <v>194.20500000000001</v>
      </c>
      <c r="D341" s="76">
        <f>267.466</f>
        <v>267.46600000000001</v>
      </c>
      <c r="E341" s="85">
        <f>133.845</f>
        <v>133.845</v>
      </c>
      <c r="F341" s="76">
        <f>278.484-40-25-60-100</f>
        <v>53.48399999999998</v>
      </c>
      <c r="G341" s="79">
        <v>40</v>
      </c>
      <c r="H341" s="76">
        <f t="shared" si="57"/>
        <v>185</v>
      </c>
      <c r="I341" s="76">
        <f t="shared" si="50"/>
        <v>0</v>
      </c>
      <c r="J341" s="79">
        <v>100</v>
      </c>
      <c r="K341" s="79">
        <v>300</v>
      </c>
      <c r="L341" s="76">
        <f t="shared" si="53"/>
        <v>1274</v>
      </c>
      <c r="M341" s="87">
        <v>600</v>
      </c>
      <c r="N341" s="76">
        <f>30</f>
        <v>30</v>
      </c>
      <c r="O341" s="79">
        <v>240</v>
      </c>
      <c r="P341" s="79">
        <v>160</v>
      </c>
      <c r="Q341" s="79">
        <f t="shared" si="54"/>
        <v>195</v>
      </c>
      <c r="R341" s="79">
        <f t="shared" si="55"/>
        <v>100</v>
      </c>
      <c r="S341" s="76">
        <f t="shared" si="56"/>
        <v>695</v>
      </c>
      <c r="T341" s="76">
        <f>50</f>
        <v>50</v>
      </c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</row>
    <row r="342" spans="1:30" ht="15.75" x14ac:dyDescent="0.25">
      <c r="A342" s="33">
        <v>51348</v>
      </c>
      <c r="B342" s="89">
        <v>31</v>
      </c>
      <c r="C342" s="76">
        <f>194.205</f>
        <v>194.20500000000001</v>
      </c>
      <c r="D342" s="76">
        <f>267.466</f>
        <v>267.46600000000001</v>
      </c>
      <c r="E342" s="85">
        <f>133.845</f>
        <v>133.845</v>
      </c>
      <c r="F342" s="76">
        <f>278.484-40-25-60-100</f>
        <v>53.48399999999998</v>
      </c>
      <c r="G342" s="79">
        <v>40</v>
      </c>
      <c r="H342" s="76">
        <f t="shared" si="57"/>
        <v>185</v>
      </c>
      <c r="I342" s="76">
        <f t="shared" si="50"/>
        <v>0</v>
      </c>
      <c r="J342" s="79">
        <v>100</v>
      </c>
      <c r="K342" s="79">
        <v>300</v>
      </c>
      <c r="L342" s="76">
        <f t="shared" si="53"/>
        <v>1274</v>
      </c>
      <c r="M342" s="87">
        <v>600</v>
      </c>
      <c r="N342" s="76">
        <f>30</f>
        <v>30</v>
      </c>
      <c r="O342" s="79">
        <v>240</v>
      </c>
      <c r="P342" s="79">
        <v>160</v>
      </c>
      <c r="Q342" s="79">
        <f t="shared" si="54"/>
        <v>195</v>
      </c>
      <c r="R342" s="79">
        <f t="shared" si="55"/>
        <v>100</v>
      </c>
      <c r="S342" s="76">
        <f t="shared" si="56"/>
        <v>695</v>
      </c>
      <c r="T342" s="76">
        <f>0</f>
        <v>0</v>
      </c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</row>
    <row r="343" spans="1:30" ht="15.75" x14ac:dyDescent="0.25">
      <c r="A343" s="33">
        <v>51379</v>
      </c>
      <c r="B343" s="89">
        <v>31</v>
      </c>
      <c r="C343" s="76">
        <f>194.205</f>
        <v>194.20500000000001</v>
      </c>
      <c r="D343" s="76">
        <f>267.466</f>
        <v>267.46600000000001</v>
      </c>
      <c r="E343" s="85">
        <f>133.845</f>
        <v>133.845</v>
      </c>
      <c r="F343" s="76">
        <f>278.484-40-25-60-100</f>
        <v>53.48399999999998</v>
      </c>
      <c r="G343" s="79">
        <v>40</v>
      </c>
      <c r="H343" s="76">
        <f t="shared" si="57"/>
        <v>185</v>
      </c>
      <c r="I343" s="76">
        <f t="shared" si="50"/>
        <v>0</v>
      </c>
      <c r="J343" s="79">
        <v>100</v>
      </c>
      <c r="K343" s="79">
        <v>300</v>
      </c>
      <c r="L343" s="76">
        <f t="shared" si="53"/>
        <v>1274</v>
      </c>
      <c r="M343" s="87">
        <v>600</v>
      </c>
      <c r="N343" s="76">
        <f>30</f>
        <v>30</v>
      </c>
      <c r="O343" s="79">
        <v>240</v>
      </c>
      <c r="P343" s="79">
        <v>160</v>
      </c>
      <c r="Q343" s="79">
        <f t="shared" si="54"/>
        <v>195</v>
      </c>
      <c r="R343" s="79">
        <f t="shared" si="55"/>
        <v>100</v>
      </c>
      <c r="S343" s="76">
        <f t="shared" si="56"/>
        <v>695</v>
      </c>
      <c r="T343" s="76">
        <f>0</f>
        <v>0</v>
      </c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</row>
    <row r="344" spans="1:30" ht="15.75" x14ac:dyDescent="0.25">
      <c r="A344" s="33">
        <v>51409</v>
      </c>
      <c r="B344" s="89">
        <v>30</v>
      </c>
      <c r="C344" s="76">
        <f>194.205</f>
        <v>194.20500000000001</v>
      </c>
      <c r="D344" s="76">
        <f>267.466</f>
        <v>267.46600000000001</v>
      </c>
      <c r="E344" s="85">
        <f>133.845</f>
        <v>133.845</v>
      </c>
      <c r="F344" s="76">
        <f>278.484-40-25-60-100</f>
        <v>53.48399999999998</v>
      </c>
      <c r="G344" s="79">
        <v>40</v>
      </c>
      <c r="H344" s="76">
        <f t="shared" si="57"/>
        <v>185</v>
      </c>
      <c r="I344" s="76">
        <f t="shared" si="50"/>
        <v>0</v>
      </c>
      <c r="J344" s="79">
        <v>100</v>
      </c>
      <c r="K344" s="79">
        <v>300</v>
      </c>
      <c r="L344" s="76">
        <f t="shared" si="53"/>
        <v>1274</v>
      </c>
      <c r="M344" s="87">
        <v>600</v>
      </c>
      <c r="N344" s="76">
        <f>30</f>
        <v>30</v>
      </c>
      <c r="O344" s="79">
        <v>240</v>
      </c>
      <c r="P344" s="79">
        <v>160</v>
      </c>
      <c r="Q344" s="79">
        <f t="shared" si="54"/>
        <v>195</v>
      </c>
      <c r="R344" s="79">
        <f t="shared" si="55"/>
        <v>100</v>
      </c>
      <c r="S344" s="76">
        <f t="shared" si="56"/>
        <v>695</v>
      </c>
      <c r="T344" s="76">
        <f>0</f>
        <v>0</v>
      </c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</row>
    <row r="345" spans="1:30" ht="15.75" x14ac:dyDescent="0.25">
      <c r="A345" s="33">
        <v>51440</v>
      </c>
      <c r="B345" s="89">
        <v>31</v>
      </c>
      <c r="C345" s="76">
        <f>131.881</f>
        <v>131.881</v>
      </c>
      <c r="D345" s="76">
        <f>277.167</f>
        <v>277.16699999999997</v>
      </c>
      <c r="E345" s="85">
        <f>79.08</f>
        <v>79.08</v>
      </c>
      <c r="F345" s="76">
        <f>350.872-40-25-60-100</f>
        <v>125.87200000000001</v>
      </c>
      <c r="G345" s="79">
        <v>40</v>
      </c>
      <c r="H345" s="76">
        <f t="shared" si="57"/>
        <v>185</v>
      </c>
      <c r="I345" s="76">
        <f t="shared" si="50"/>
        <v>0</v>
      </c>
      <c r="J345" s="79">
        <v>100</v>
      </c>
      <c r="K345" s="79">
        <v>300</v>
      </c>
      <c r="L345" s="76">
        <f t="shared" si="53"/>
        <v>1239</v>
      </c>
      <c r="M345" s="87">
        <v>600</v>
      </c>
      <c r="N345" s="76">
        <f>75</f>
        <v>75</v>
      </c>
      <c r="O345" s="79">
        <v>240</v>
      </c>
      <c r="P345" s="79">
        <v>160</v>
      </c>
      <c r="Q345" s="79">
        <f t="shared" si="54"/>
        <v>195</v>
      </c>
      <c r="R345" s="79">
        <f t="shared" si="55"/>
        <v>100</v>
      </c>
      <c r="S345" s="76">
        <f t="shared" si="56"/>
        <v>695</v>
      </c>
      <c r="T345" s="76">
        <f>0</f>
        <v>0</v>
      </c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</row>
    <row r="346" spans="1:30" ht="15.75" x14ac:dyDescent="0.25">
      <c r="A346" s="33">
        <v>51470</v>
      </c>
      <c r="B346" s="89">
        <v>30</v>
      </c>
      <c r="C346" s="76">
        <f>122.58</f>
        <v>122.58</v>
      </c>
      <c r="D346" s="76">
        <f>297.941</f>
        <v>297.94099999999997</v>
      </c>
      <c r="E346" s="85">
        <f>89.177</f>
        <v>89.177000000000007</v>
      </c>
      <c r="F346" s="76">
        <f>240.302-40-60-100</f>
        <v>40.301999999999992</v>
      </c>
      <c r="G346" s="79">
        <v>40</v>
      </c>
      <c r="H346" s="76">
        <f>60+100</f>
        <v>160</v>
      </c>
      <c r="I346" s="76">
        <f t="shared" si="50"/>
        <v>0</v>
      </c>
      <c r="J346" s="79">
        <v>100</v>
      </c>
      <c r="K346" s="79">
        <v>300</v>
      </c>
      <c r="L346" s="76">
        <f t="shared" si="53"/>
        <v>1150</v>
      </c>
      <c r="M346" s="87">
        <v>600</v>
      </c>
      <c r="N346" s="76">
        <f>100</f>
        <v>100</v>
      </c>
      <c r="O346" s="79">
        <v>240</v>
      </c>
      <c r="P346" s="79">
        <v>40</v>
      </c>
      <c r="Q346" s="79">
        <f t="shared" si="54"/>
        <v>315</v>
      </c>
      <c r="R346" s="79">
        <f t="shared" si="55"/>
        <v>100</v>
      </c>
      <c r="S346" s="76">
        <f t="shared" si="56"/>
        <v>695</v>
      </c>
      <c r="T346" s="76">
        <f>50</f>
        <v>50</v>
      </c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</row>
    <row r="347" spans="1:30" ht="15.75" x14ac:dyDescent="0.25">
      <c r="A347" s="33">
        <v>51501</v>
      </c>
      <c r="B347" s="89">
        <v>31</v>
      </c>
      <c r="C347" s="76">
        <f>122.58</f>
        <v>122.58</v>
      </c>
      <c r="D347" s="76">
        <f>297.941</f>
        <v>297.94099999999997</v>
      </c>
      <c r="E347" s="85">
        <f>89.177</f>
        <v>89.177000000000007</v>
      </c>
      <c r="F347" s="76">
        <f>240.302-40-60-100</f>
        <v>40.301999999999992</v>
      </c>
      <c r="G347" s="79">
        <v>40</v>
      </c>
      <c r="H347" s="76">
        <f>60+100</f>
        <v>160</v>
      </c>
      <c r="I347" s="76">
        <f t="shared" si="50"/>
        <v>0</v>
      </c>
      <c r="J347" s="79">
        <v>100</v>
      </c>
      <c r="K347" s="79">
        <v>300</v>
      </c>
      <c r="L347" s="76">
        <f t="shared" si="53"/>
        <v>1150</v>
      </c>
      <c r="M347" s="87">
        <v>600</v>
      </c>
      <c r="N347" s="76">
        <f>100</f>
        <v>100</v>
      </c>
      <c r="O347" s="79">
        <v>240</v>
      </c>
      <c r="P347" s="79">
        <v>40</v>
      </c>
      <c r="Q347" s="79">
        <f t="shared" si="54"/>
        <v>315</v>
      </c>
      <c r="R347" s="79">
        <f t="shared" si="55"/>
        <v>100</v>
      </c>
      <c r="S347" s="76">
        <f t="shared" si="56"/>
        <v>695</v>
      </c>
      <c r="T347" s="76">
        <f>50</f>
        <v>50</v>
      </c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</row>
    <row r="348" spans="1:30" ht="15.75" x14ac:dyDescent="0.25">
      <c r="A348" s="33">
        <v>51532</v>
      </c>
      <c r="B348" s="89">
        <v>31</v>
      </c>
      <c r="C348" s="76">
        <f>122.58</f>
        <v>122.58</v>
      </c>
      <c r="D348" s="76">
        <f>297.941</f>
        <v>297.94099999999997</v>
      </c>
      <c r="E348" s="85">
        <f>89.177</f>
        <v>89.177000000000007</v>
      </c>
      <c r="F348" s="76">
        <f>240.302-40-60-100</f>
        <v>40.301999999999992</v>
      </c>
      <c r="G348" s="79">
        <v>40</v>
      </c>
      <c r="H348" s="76">
        <f>60+100</f>
        <v>160</v>
      </c>
      <c r="I348" s="76">
        <f t="shared" si="50"/>
        <v>0</v>
      </c>
      <c r="J348" s="79">
        <v>100</v>
      </c>
      <c r="K348" s="79">
        <v>300</v>
      </c>
      <c r="L348" s="76">
        <f t="shared" si="53"/>
        <v>1150</v>
      </c>
      <c r="M348" s="87">
        <v>600</v>
      </c>
      <c r="N348" s="76">
        <f>100</f>
        <v>100</v>
      </c>
      <c r="O348" s="79">
        <v>240</v>
      </c>
      <c r="P348" s="79">
        <v>40</v>
      </c>
      <c r="Q348" s="79">
        <f t="shared" si="54"/>
        <v>315</v>
      </c>
      <c r="R348" s="79">
        <f t="shared" si="55"/>
        <v>100</v>
      </c>
      <c r="S348" s="76">
        <f t="shared" si="56"/>
        <v>695</v>
      </c>
      <c r="T348" s="76">
        <f>50</f>
        <v>50</v>
      </c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</row>
    <row r="349" spans="1:30" ht="15.75" x14ac:dyDescent="0.25">
      <c r="A349" s="33">
        <v>51560</v>
      </c>
      <c r="B349" s="89">
        <v>28</v>
      </c>
      <c r="C349" s="76">
        <f>122.58</f>
        <v>122.58</v>
      </c>
      <c r="D349" s="76">
        <f>297.941</f>
        <v>297.94099999999997</v>
      </c>
      <c r="E349" s="85">
        <f>89.177</f>
        <v>89.177000000000007</v>
      </c>
      <c r="F349" s="76">
        <f>240.302-40-60-100</f>
        <v>40.301999999999992</v>
      </c>
      <c r="G349" s="79">
        <v>40</v>
      </c>
      <c r="H349" s="76">
        <f>60+100</f>
        <v>160</v>
      </c>
      <c r="I349" s="76">
        <f t="shared" si="50"/>
        <v>0</v>
      </c>
      <c r="J349" s="79">
        <v>100</v>
      </c>
      <c r="K349" s="79">
        <v>300</v>
      </c>
      <c r="L349" s="76">
        <f t="shared" si="53"/>
        <v>1150</v>
      </c>
      <c r="M349" s="87">
        <v>600</v>
      </c>
      <c r="N349" s="76">
        <f>100</f>
        <v>100</v>
      </c>
      <c r="O349" s="79">
        <v>240</v>
      </c>
      <c r="P349" s="79">
        <v>40</v>
      </c>
      <c r="Q349" s="79">
        <f t="shared" si="54"/>
        <v>315</v>
      </c>
      <c r="R349" s="79">
        <f t="shared" si="55"/>
        <v>100</v>
      </c>
      <c r="S349" s="76">
        <f t="shared" si="56"/>
        <v>695</v>
      </c>
      <c r="T349" s="76">
        <f>50</f>
        <v>50</v>
      </c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</row>
    <row r="350" spans="1:30" ht="15.75" x14ac:dyDescent="0.25">
      <c r="A350" s="33">
        <v>51591</v>
      </c>
      <c r="B350" s="89">
        <v>31</v>
      </c>
      <c r="C350" s="76">
        <f>122.58</f>
        <v>122.58</v>
      </c>
      <c r="D350" s="76">
        <f>297.941</f>
        <v>297.94099999999997</v>
      </c>
      <c r="E350" s="85">
        <f>89.177</f>
        <v>89.177000000000007</v>
      </c>
      <c r="F350" s="76">
        <f>240.302-40-60-100</f>
        <v>40.301999999999992</v>
      </c>
      <c r="G350" s="79">
        <v>40</v>
      </c>
      <c r="H350" s="76">
        <f>60+100</f>
        <v>160</v>
      </c>
      <c r="I350" s="76">
        <f t="shared" si="50"/>
        <v>0</v>
      </c>
      <c r="J350" s="79">
        <v>100</v>
      </c>
      <c r="K350" s="79">
        <v>300</v>
      </c>
      <c r="L350" s="76">
        <f t="shared" si="53"/>
        <v>1150</v>
      </c>
      <c r="M350" s="87">
        <v>600</v>
      </c>
      <c r="N350" s="76">
        <f>100</f>
        <v>100</v>
      </c>
      <c r="O350" s="79">
        <v>240</v>
      </c>
      <c r="P350" s="79">
        <v>40</v>
      </c>
      <c r="Q350" s="79">
        <f t="shared" si="54"/>
        <v>315</v>
      </c>
      <c r="R350" s="79">
        <f t="shared" si="55"/>
        <v>100</v>
      </c>
      <c r="S350" s="76">
        <f t="shared" si="56"/>
        <v>695</v>
      </c>
      <c r="T350" s="76">
        <f>50</f>
        <v>50</v>
      </c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</row>
    <row r="351" spans="1:30" ht="15.75" x14ac:dyDescent="0.25">
      <c r="A351" s="33">
        <v>51621</v>
      </c>
      <c r="B351" s="89">
        <v>30</v>
      </c>
      <c r="C351" s="76">
        <f>141.293</f>
        <v>141.29300000000001</v>
      </c>
      <c r="D351" s="76">
        <f>267.993</f>
        <v>267.99299999999999</v>
      </c>
      <c r="E351" s="85">
        <f>115.016</f>
        <v>115.01600000000001</v>
      </c>
      <c r="F351" s="76">
        <f>314.698-40-25-60-100</f>
        <v>89.697999999999979</v>
      </c>
      <c r="G351" s="79">
        <v>40</v>
      </c>
      <c r="H351" s="76">
        <f t="shared" ref="H351:H357" si="58">25+60+100</f>
        <v>185</v>
      </c>
      <c r="I351" s="76">
        <f t="shared" si="50"/>
        <v>0</v>
      </c>
      <c r="J351" s="79">
        <v>100</v>
      </c>
      <c r="K351" s="79">
        <v>300</v>
      </c>
      <c r="L351" s="76">
        <f t="shared" si="53"/>
        <v>1239</v>
      </c>
      <c r="M351" s="87">
        <v>600</v>
      </c>
      <c r="N351" s="76">
        <f>100</f>
        <v>100</v>
      </c>
      <c r="O351" s="79">
        <v>240</v>
      </c>
      <c r="P351" s="79">
        <v>160</v>
      </c>
      <c r="Q351" s="79">
        <f t="shared" si="54"/>
        <v>195</v>
      </c>
      <c r="R351" s="79">
        <f t="shared" si="55"/>
        <v>100</v>
      </c>
      <c r="S351" s="76">
        <f t="shared" si="56"/>
        <v>695</v>
      </c>
      <c r="T351" s="76">
        <f>50</f>
        <v>50</v>
      </c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</row>
    <row r="352" spans="1:30" ht="15.75" x14ac:dyDescent="0.25">
      <c r="A352" s="33">
        <v>51652</v>
      </c>
      <c r="B352" s="89">
        <v>31</v>
      </c>
      <c r="C352" s="76">
        <f>194.205</f>
        <v>194.20500000000001</v>
      </c>
      <c r="D352" s="76">
        <f>267.466</f>
        <v>267.46600000000001</v>
      </c>
      <c r="E352" s="85">
        <f>133.845</f>
        <v>133.845</v>
      </c>
      <c r="F352" s="76">
        <f>278.484-40-25-60-100</f>
        <v>53.48399999999998</v>
      </c>
      <c r="G352" s="79">
        <v>40</v>
      </c>
      <c r="H352" s="76">
        <f t="shared" si="58"/>
        <v>185</v>
      </c>
      <c r="I352" s="76">
        <f t="shared" si="50"/>
        <v>0</v>
      </c>
      <c r="J352" s="79">
        <v>100</v>
      </c>
      <c r="K352" s="79">
        <v>300</v>
      </c>
      <c r="L352" s="76">
        <f t="shared" si="53"/>
        <v>1274</v>
      </c>
      <c r="M352" s="87">
        <v>600</v>
      </c>
      <c r="N352" s="76">
        <f>75</f>
        <v>75</v>
      </c>
      <c r="O352" s="79">
        <v>240</v>
      </c>
      <c r="P352" s="79">
        <v>160</v>
      </c>
      <c r="Q352" s="79">
        <f t="shared" si="54"/>
        <v>195</v>
      </c>
      <c r="R352" s="79">
        <f t="shared" si="55"/>
        <v>100</v>
      </c>
      <c r="S352" s="76">
        <f t="shared" si="56"/>
        <v>695</v>
      </c>
      <c r="T352" s="76">
        <f>50</f>
        <v>50</v>
      </c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</row>
    <row r="353" spans="1:30" ht="15.75" x14ac:dyDescent="0.25">
      <c r="A353" s="33">
        <v>51682</v>
      </c>
      <c r="B353" s="89">
        <v>30</v>
      </c>
      <c r="C353" s="76">
        <f>194.205</f>
        <v>194.20500000000001</v>
      </c>
      <c r="D353" s="76">
        <f>267.466</f>
        <v>267.46600000000001</v>
      </c>
      <c r="E353" s="85">
        <f>133.845</f>
        <v>133.845</v>
      </c>
      <c r="F353" s="76">
        <f>278.484-40-25-60-100</f>
        <v>53.48399999999998</v>
      </c>
      <c r="G353" s="79">
        <v>40</v>
      </c>
      <c r="H353" s="76">
        <f t="shared" si="58"/>
        <v>185</v>
      </c>
      <c r="I353" s="76">
        <f t="shared" si="50"/>
        <v>0</v>
      </c>
      <c r="J353" s="79">
        <v>100</v>
      </c>
      <c r="K353" s="79">
        <v>300</v>
      </c>
      <c r="L353" s="76">
        <f t="shared" si="53"/>
        <v>1274</v>
      </c>
      <c r="M353" s="87">
        <v>600</v>
      </c>
      <c r="N353" s="76">
        <f>30</f>
        <v>30</v>
      </c>
      <c r="O353" s="79">
        <v>240</v>
      </c>
      <c r="P353" s="79">
        <v>160</v>
      </c>
      <c r="Q353" s="79">
        <f t="shared" si="54"/>
        <v>195</v>
      </c>
      <c r="R353" s="79">
        <f t="shared" si="55"/>
        <v>100</v>
      </c>
      <c r="S353" s="76">
        <f t="shared" si="56"/>
        <v>695</v>
      </c>
      <c r="T353" s="76">
        <f>50</f>
        <v>50</v>
      </c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</row>
    <row r="354" spans="1:30" ht="15.75" x14ac:dyDescent="0.25">
      <c r="A354" s="33">
        <v>51713</v>
      </c>
      <c r="B354" s="89">
        <v>31</v>
      </c>
      <c r="C354" s="76">
        <f>194.205</f>
        <v>194.20500000000001</v>
      </c>
      <c r="D354" s="76">
        <f>267.466</f>
        <v>267.46600000000001</v>
      </c>
      <c r="E354" s="85">
        <f>133.845</f>
        <v>133.845</v>
      </c>
      <c r="F354" s="76">
        <f>278.484-40-25-60-100</f>
        <v>53.48399999999998</v>
      </c>
      <c r="G354" s="79">
        <v>40</v>
      </c>
      <c r="H354" s="76">
        <f t="shared" si="58"/>
        <v>185</v>
      </c>
      <c r="I354" s="76">
        <f t="shared" si="50"/>
        <v>0</v>
      </c>
      <c r="J354" s="79">
        <v>100</v>
      </c>
      <c r="K354" s="79">
        <v>300</v>
      </c>
      <c r="L354" s="76">
        <f t="shared" si="53"/>
        <v>1274</v>
      </c>
      <c r="M354" s="87">
        <v>600</v>
      </c>
      <c r="N354" s="76">
        <f>30</f>
        <v>30</v>
      </c>
      <c r="O354" s="79">
        <v>240</v>
      </c>
      <c r="P354" s="79">
        <v>160</v>
      </c>
      <c r="Q354" s="79">
        <f t="shared" si="54"/>
        <v>195</v>
      </c>
      <c r="R354" s="79">
        <f t="shared" si="55"/>
        <v>100</v>
      </c>
      <c r="S354" s="76">
        <f t="shared" si="56"/>
        <v>695</v>
      </c>
      <c r="T354" s="76">
        <f>0</f>
        <v>0</v>
      </c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</row>
    <row r="355" spans="1:30" ht="15.75" x14ac:dyDescent="0.25">
      <c r="A355" s="33">
        <v>51744</v>
      </c>
      <c r="B355" s="89">
        <v>31</v>
      </c>
      <c r="C355" s="76">
        <f>194.205</f>
        <v>194.20500000000001</v>
      </c>
      <c r="D355" s="76">
        <f>267.466</f>
        <v>267.46600000000001</v>
      </c>
      <c r="E355" s="85">
        <f>133.845</f>
        <v>133.845</v>
      </c>
      <c r="F355" s="76">
        <f>278.484-40-25-60-100</f>
        <v>53.48399999999998</v>
      </c>
      <c r="G355" s="79">
        <v>40</v>
      </c>
      <c r="H355" s="76">
        <f t="shared" si="58"/>
        <v>185</v>
      </c>
      <c r="I355" s="76">
        <f t="shared" si="50"/>
        <v>0</v>
      </c>
      <c r="J355" s="79">
        <v>100</v>
      </c>
      <c r="K355" s="79">
        <v>300</v>
      </c>
      <c r="L355" s="76">
        <f t="shared" si="53"/>
        <v>1274</v>
      </c>
      <c r="M355" s="87">
        <v>600</v>
      </c>
      <c r="N355" s="76">
        <f>30</f>
        <v>30</v>
      </c>
      <c r="O355" s="79">
        <v>240</v>
      </c>
      <c r="P355" s="79">
        <v>160</v>
      </c>
      <c r="Q355" s="79">
        <f t="shared" si="54"/>
        <v>195</v>
      </c>
      <c r="R355" s="79">
        <f t="shared" si="55"/>
        <v>100</v>
      </c>
      <c r="S355" s="76">
        <f t="shared" si="56"/>
        <v>695</v>
      </c>
      <c r="T355" s="76">
        <f>0</f>
        <v>0</v>
      </c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</row>
    <row r="356" spans="1:30" ht="15.75" x14ac:dyDescent="0.25">
      <c r="A356" s="33">
        <v>51774</v>
      </c>
      <c r="B356" s="89">
        <v>30</v>
      </c>
      <c r="C356" s="76">
        <f>194.205</f>
        <v>194.20500000000001</v>
      </c>
      <c r="D356" s="76">
        <f>267.466</f>
        <v>267.46600000000001</v>
      </c>
      <c r="E356" s="85">
        <f>133.845</f>
        <v>133.845</v>
      </c>
      <c r="F356" s="76">
        <f>278.484-40-25-60-100</f>
        <v>53.48399999999998</v>
      </c>
      <c r="G356" s="79">
        <v>40</v>
      </c>
      <c r="H356" s="76">
        <f t="shared" si="58"/>
        <v>185</v>
      </c>
      <c r="I356" s="76">
        <f t="shared" si="50"/>
        <v>0</v>
      </c>
      <c r="J356" s="79">
        <v>100</v>
      </c>
      <c r="K356" s="79">
        <v>300</v>
      </c>
      <c r="L356" s="76">
        <f t="shared" si="53"/>
        <v>1274</v>
      </c>
      <c r="M356" s="87">
        <v>600</v>
      </c>
      <c r="N356" s="76">
        <f>30</f>
        <v>30</v>
      </c>
      <c r="O356" s="79">
        <v>240</v>
      </c>
      <c r="P356" s="79">
        <v>160</v>
      </c>
      <c r="Q356" s="79">
        <f t="shared" si="54"/>
        <v>195</v>
      </c>
      <c r="R356" s="79">
        <f t="shared" si="55"/>
        <v>100</v>
      </c>
      <c r="S356" s="76">
        <f t="shared" si="56"/>
        <v>695</v>
      </c>
      <c r="T356" s="76">
        <f>0</f>
        <v>0</v>
      </c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</row>
    <row r="357" spans="1:30" ht="15.75" x14ac:dyDescent="0.25">
      <c r="A357" s="33">
        <v>51805</v>
      </c>
      <c r="B357" s="89">
        <v>31</v>
      </c>
      <c r="C357" s="76">
        <f>131.881</f>
        <v>131.881</v>
      </c>
      <c r="D357" s="76">
        <f>277.167</f>
        <v>277.16699999999997</v>
      </c>
      <c r="E357" s="85">
        <f>79.08</f>
        <v>79.08</v>
      </c>
      <c r="F357" s="76">
        <f>350.872-40-25-60-100</f>
        <v>125.87200000000001</v>
      </c>
      <c r="G357" s="79">
        <v>40</v>
      </c>
      <c r="H357" s="76">
        <f t="shared" si="58"/>
        <v>185</v>
      </c>
      <c r="I357" s="76">
        <f t="shared" si="50"/>
        <v>0</v>
      </c>
      <c r="J357" s="79">
        <v>100</v>
      </c>
      <c r="K357" s="79">
        <v>300</v>
      </c>
      <c r="L357" s="76">
        <f t="shared" si="53"/>
        <v>1239</v>
      </c>
      <c r="M357" s="87">
        <v>600</v>
      </c>
      <c r="N357" s="76">
        <f>75</f>
        <v>75</v>
      </c>
      <c r="O357" s="79">
        <v>240</v>
      </c>
      <c r="P357" s="79">
        <v>160</v>
      </c>
      <c r="Q357" s="79">
        <f t="shared" si="54"/>
        <v>195</v>
      </c>
      <c r="R357" s="79">
        <f t="shared" si="55"/>
        <v>100</v>
      </c>
      <c r="S357" s="76">
        <f t="shared" si="56"/>
        <v>695</v>
      </c>
      <c r="T357" s="76">
        <f>0</f>
        <v>0</v>
      </c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</row>
    <row r="358" spans="1:30" ht="15.75" x14ac:dyDescent="0.25">
      <c r="A358" s="33">
        <v>51835</v>
      </c>
      <c r="B358" s="89">
        <v>30</v>
      </c>
      <c r="C358" s="76">
        <f>122.58</f>
        <v>122.58</v>
      </c>
      <c r="D358" s="76">
        <f>297.941</f>
        <v>297.94099999999997</v>
      </c>
      <c r="E358" s="85">
        <f>89.177</f>
        <v>89.177000000000007</v>
      </c>
      <c r="F358" s="76">
        <f>240.302-40-60-100</f>
        <v>40.301999999999992</v>
      </c>
      <c r="G358" s="79">
        <v>40</v>
      </c>
      <c r="H358" s="76">
        <f>60+100</f>
        <v>160</v>
      </c>
      <c r="I358" s="76">
        <f t="shared" si="50"/>
        <v>0</v>
      </c>
      <c r="J358" s="79">
        <v>100</v>
      </c>
      <c r="K358" s="79">
        <v>300</v>
      </c>
      <c r="L358" s="76">
        <f t="shared" si="53"/>
        <v>1150</v>
      </c>
      <c r="M358" s="87">
        <v>600</v>
      </c>
      <c r="N358" s="76">
        <f>100</f>
        <v>100</v>
      </c>
      <c r="O358" s="79">
        <v>240</v>
      </c>
      <c r="P358" s="79">
        <v>40</v>
      </c>
      <c r="Q358" s="79">
        <f t="shared" si="54"/>
        <v>315</v>
      </c>
      <c r="R358" s="79">
        <f t="shared" si="55"/>
        <v>100</v>
      </c>
      <c r="S358" s="76">
        <f t="shared" si="56"/>
        <v>695</v>
      </c>
      <c r="T358" s="76">
        <f>50</f>
        <v>50</v>
      </c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</row>
    <row r="359" spans="1:30" ht="15.75" x14ac:dyDescent="0.25">
      <c r="A359" s="33">
        <v>51866</v>
      </c>
      <c r="B359" s="89">
        <v>31</v>
      </c>
      <c r="C359" s="76">
        <f>122.58</f>
        <v>122.58</v>
      </c>
      <c r="D359" s="76">
        <f>297.941</f>
        <v>297.94099999999997</v>
      </c>
      <c r="E359" s="85">
        <f>89.177</f>
        <v>89.177000000000007</v>
      </c>
      <c r="F359" s="76">
        <f>240.302-40-60-100</f>
        <v>40.301999999999992</v>
      </c>
      <c r="G359" s="79">
        <v>40</v>
      </c>
      <c r="H359" s="76">
        <f>60+100</f>
        <v>160</v>
      </c>
      <c r="I359" s="76">
        <f t="shared" si="50"/>
        <v>0</v>
      </c>
      <c r="J359" s="79">
        <v>100</v>
      </c>
      <c r="K359" s="79">
        <v>300</v>
      </c>
      <c r="L359" s="76">
        <f t="shared" si="53"/>
        <v>1150</v>
      </c>
      <c r="M359" s="87">
        <v>600</v>
      </c>
      <c r="N359" s="76">
        <f>100</f>
        <v>100</v>
      </c>
      <c r="O359" s="79">
        <v>240</v>
      </c>
      <c r="P359" s="79">
        <v>40</v>
      </c>
      <c r="Q359" s="79">
        <f t="shared" si="54"/>
        <v>315</v>
      </c>
      <c r="R359" s="79">
        <f t="shared" si="55"/>
        <v>100</v>
      </c>
      <c r="S359" s="76">
        <f t="shared" si="56"/>
        <v>695</v>
      </c>
      <c r="T359" s="76">
        <f>50</f>
        <v>50</v>
      </c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</row>
    <row r="360" spans="1:30" ht="15.75" x14ac:dyDescent="0.25">
      <c r="A360" s="33">
        <v>51897</v>
      </c>
      <c r="B360" s="89">
        <v>31</v>
      </c>
      <c r="C360" s="76">
        <f>122.58</f>
        <v>122.58</v>
      </c>
      <c r="D360" s="76">
        <f>297.941</f>
        <v>297.94099999999997</v>
      </c>
      <c r="E360" s="85">
        <f>89.177</f>
        <v>89.177000000000007</v>
      </c>
      <c r="F360" s="76">
        <f>240.302-40-60-100</f>
        <v>40.301999999999992</v>
      </c>
      <c r="G360" s="79">
        <v>40</v>
      </c>
      <c r="H360" s="76">
        <f>60+100</f>
        <v>160</v>
      </c>
      <c r="I360" s="76">
        <f t="shared" si="50"/>
        <v>0</v>
      </c>
      <c r="J360" s="79">
        <v>100</v>
      </c>
      <c r="K360" s="79">
        <v>300</v>
      </c>
      <c r="L360" s="76">
        <f t="shared" si="53"/>
        <v>1150</v>
      </c>
      <c r="M360" s="87">
        <v>600</v>
      </c>
      <c r="N360" s="76">
        <f>100</f>
        <v>100</v>
      </c>
      <c r="O360" s="79">
        <v>240</v>
      </c>
      <c r="P360" s="79">
        <v>40</v>
      </c>
      <c r="Q360" s="79">
        <f t="shared" si="54"/>
        <v>315</v>
      </c>
      <c r="R360" s="79">
        <f t="shared" si="55"/>
        <v>100</v>
      </c>
      <c r="S360" s="76">
        <f t="shared" si="56"/>
        <v>695</v>
      </c>
      <c r="T360" s="76">
        <f>50</f>
        <v>50</v>
      </c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</row>
    <row r="361" spans="1:30" ht="15.75" x14ac:dyDescent="0.25">
      <c r="A361" s="33">
        <v>51925</v>
      </c>
      <c r="B361" s="89">
        <v>28</v>
      </c>
      <c r="C361" s="76">
        <f>122.58</f>
        <v>122.58</v>
      </c>
      <c r="D361" s="76">
        <f>297.941</f>
        <v>297.94099999999997</v>
      </c>
      <c r="E361" s="85">
        <f>89.177</f>
        <v>89.177000000000007</v>
      </c>
      <c r="F361" s="76">
        <f>240.302-40-60-100</f>
        <v>40.301999999999992</v>
      </c>
      <c r="G361" s="79">
        <v>40</v>
      </c>
      <c r="H361" s="76">
        <f>60+100</f>
        <v>160</v>
      </c>
      <c r="I361" s="76">
        <f t="shared" si="50"/>
        <v>0</v>
      </c>
      <c r="J361" s="79">
        <v>100</v>
      </c>
      <c r="K361" s="79">
        <v>300</v>
      </c>
      <c r="L361" s="76">
        <f t="shared" si="53"/>
        <v>1150</v>
      </c>
      <c r="M361" s="87">
        <v>600</v>
      </c>
      <c r="N361" s="76">
        <f>100</f>
        <v>100</v>
      </c>
      <c r="O361" s="79">
        <v>240</v>
      </c>
      <c r="P361" s="79">
        <v>40</v>
      </c>
      <c r="Q361" s="79">
        <f t="shared" si="54"/>
        <v>315</v>
      </c>
      <c r="R361" s="79">
        <f t="shared" si="55"/>
        <v>100</v>
      </c>
      <c r="S361" s="76">
        <f t="shared" si="56"/>
        <v>695</v>
      </c>
      <c r="T361" s="76">
        <f>50</f>
        <v>50</v>
      </c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</row>
    <row r="362" spans="1:30" ht="15.75" x14ac:dyDescent="0.25">
      <c r="A362" s="33">
        <v>51956</v>
      </c>
      <c r="B362" s="89">
        <v>31</v>
      </c>
      <c r="C362" s="76">
        <f>122.58</f>
        <v>122.58</v>
      </c>
      <c r="D362" s="76">
        <f>297.941</f>
        <v>297.94099999999997</v>
      </c>
      <c r="E362" s="85">
        <f>89.177</f>
        <v>89.177000000000007</v>
      </c>
      <c r="F362" s="76">
        <f>240.302-40-60-100</f>
        <v>40.301999999999992</v>
      </c>
      <c r="G362" s="79">
        <v>40</v>
      </c>
      <c r="H362" s="76">
        <f>60+100</f>
        <v>160</v>
      </c>
      <c r="I362" s="76">
        <f t="shared" si="50"/>
        <v>0</v>
      </c>
      <c r="J362" s="79">
        <v>100</v>
      </c>
      <c r="K362" s="79">
        <v>300</v>
      </c>
      <c r="L362" s="76">
        <f t="shared" si="53"/>
        <v>1150</v>
      </c>
      <c r="M362" s="87">
        <v>600</v>
      </c>
      <c r="N362" s="76">
        <f>100</f>
        <v>100</v>
      </c>
      <c r="O362" s="79">
        <v>240</v>
      </c>
      <c r="P362" s="79">
        <v>40</v>
      </c>
      <c r="Q362" s="79">
        <f t="shared" si="54"/>
        <v>315</v>
      </c>
      <c r="R362" s="79">
        <f t="shared" si="55"/>
        <v>100</v>
      </c>
      <c r="S362" s="76">
        <f t="shared" si="56"/>
        <v>695</v>
      </c>
      <c r="T362" s="76">
        <f>50</f>
        <v>50</v>
      </c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</row>
    <row r="363" spans="1:30" ht="15.75" x14ac:dyDescent="0.25">
      <c r="A363" s="33">
        <v>51986</v>
      </c>
      <c r="B363" s="89">
        <v>30</v>
      </c>
      <c r="C363" s="76">
        <f>141.293</f>
        <v>141.29300000000001</v>
      </c>
      <c r="D363" s="76">
        <f>267.993</f>
        <v>267.99299999999999</v>
      </c>
      <c r="E363" s="85">
        <f>115.016</f>
        <v>115.01600000000001</v>
      </c>
      <c r="F363" s="76">
        <f>314.698-40-25-60-100</f>
        <v>89.697999999999979</v>
      </c>
      <c r="G363" s="79">
        <v>40</v>
      </c>
      <c r="H363" s="76">
        <f t="shared" ref="H363:H369" si="59">25+60+100</f>
        <v>185</v>
      </c>
      <c r="I363" s="76">
        <f t="shared" si="50"/>
        <v>0</v>
      </c>
      <c r="J363" s="79">
        <v>100</v>
      </c>
      <c r="K363" s="79">
        <v>300</v>
      </c>
      <c r="L363" s="76">
        <f t="shared" si="53"/>
        <v>1239</v>
      </c>
      <c r="M363" s="87">
        <v>600</v>
      </c>
      <c r="N363" s="76">
        <f>100</f>
        <v>100</v>
      </c>
      <c r="O363" s="79">
        <v>240</v>
      </c>
      <c r="P363" s="79">
        <v>160</v>
      </c>
      <c r="Q363" s="79">
        <f t="shared" si="54"/>
        <v>195</v>
      </c>
      <c r="R363" s="79">
        <f t="shared" si="55"/>
        <v>100</v>
      </c>
      <c r="S363" s="76">
        <f t="shared" si="56"/>
        <v>695</v>
      </c>
      <c r="T363" s="76">
        <f>50</f>
        <v>50</v>
      </c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</row>
    <row r="364" spans="1:30" ht="15.75" x14ac:dyDescent="0.25">
      <c r="A364" s="33">
        <v>52017</v>
      </c>
      <c r="B364" s="89">
        <v>31</v>
      </c>
      <c r="C364" s="76">
        <f>194.205</f>
        <v>194.20500000000001</v>
      </c>
      <c r="D364" s="76">
        <f>267.466</f>
        <v>267.46600000000001</v>
      </c>
      <c r="E364" s="85">
        <f>133.845</f>
        <v>133.845</v>
      </c>
      <c r="F364" s="76">
        <f>278.484-40-25-60-100</f>
        <v>53.48399999999998</v>
      </c>
      <c r="G364" s="79">
        <v>40</v>
      </c>
      <c r="H364" s="76">
        <f t="shared" si="59"/>
        <v>185</v>
      </c>
      <c r="I364" s="76">
        <f t="shared" si="50"/>
        <v>0</v>
      </c>
      <c r="J364" s="79">
        <v>100</v>
      </c>
      <c r="K364" s="79">
        <v>300</v>
      </c>
      <c r="L364" s="76">
        <f t="shared" si="53"/>
        <v>1274</v>
      </c>
      <c r="M364" s="87">
        <v>600</v>
      </c>
      <c r="N364" s="76">
        <f>75</f>
        <v>75</v>
      </c>
      <c r="O364" s="79">
        <v>240</v>
      </c>
      <c r="P364" s="79">
        <v>160</v>
      </c>
      <c r="Q364" s="79">
        <f t="shared" si="54"/>
        <v>195</v>
      </c>
      <c r="R364" s="79">
        <f t="shared" si="55"/>
        <v>100</v>
      </c>
      <c r="S364" s="76">
        <f t="shared" si="56"/>
        <v>695</v>
      </c>
      <c r="T364" s="76">
        <f>50</f>
        <v>50</v>
      </c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</row>
    <row r="365" spans="1:30" ht="15.75" x14ac:dyDescent="0.25">
      <c r="A365" s="33">
        <v>52047</v>
      </c>
      <c r="B365" s="89">
        <v>30</v>
      </c>
      <c r="C365" s="76">
        <f>194.205</f>
        <v>194.20500000000001</v>
      </c>
      <c r="D365" s="76">
        <f>267.466</f>
        <v>267.46600000000001</v>
      </c>
      <c r="E365" s="85">
        <f>133.845</f>
        <v>133.845</v>
      </c>
      <c r="F365" s="76">
        <f>278.484-40-25-60-100</f>
        <v>53.48399999999998</v>
      </c>
      <c r="G365" s="79">
        <v>40</v>
      </c>
      <c r="H365" s="76">
        <f t="shared" si="59"/>
        <v>185</v>
      </c>
      <c r="I365" s="76">
        <f t="shared" si="50"/>
        <v>0</v>
      </c>
      <c r="J365" s="79">
        <v>100</v>
      </c>
      <c r="K365" s="79">
        <v>300</v>
      </c>
      <c r="L365" s="76">
        <f t="shared" si="53"/>
        <v>1274</v>
      </c>
      <c r="M365" s="87">
        <v>600</v>
      </c>
      <c r="N365" s="76">
        <f>30</f>
        <v>30</v>
      </c>
      <c r="O365" s="79">
        <v>240</v>
      </c>
      <c r="P365" s="79">
        <v>160</v>
      </c>
      <c r="Q365" s="79">
        <f t="shared" si="54"/>
        <v>195</v>
      </c>
      <c r="R365" s="79">
        <f t="shared" si="55"/>
        <v>100</v>
      </c>
      <c r="S365" s="76">
        <f t="shared" si="56"/>
        <v>695</v>
      </c>
      <c r="T365" s="76">
        <f>50</f>
        <v>50</v>
      </c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</row>
    <row r="366" spans="1:30" ht="15.75" x14ac:dyDescent="0.25">
      <c r="A366" s="33">
        <v>52078</v>
      </c>
      <c r="B366" s="89">
        <v>31</v>
      </c>
      <c r="C366" s="76">
        <f>194.205</f>
        <v>194.20500000000001</v>
      </c>
      <c r="D366" s="76">
        <f>267.466</f>
        <v>267.46600000000001</v>
      </c>
      <c r="E366" s="85">
        <f>133.845</f>
        <v>133.845</v>
      </c>
      <c r="F366" s="76">
        <f>278.484-40-25-60-100</f>
        <v>53.48399999999998</v>
      </c>
      <c r="G366" s="79">
        <v>40</v>
      </c>
      <c r="H366" s="76">
        <f t="shared" si="59"/>
        <v>185</v>
      </c>
      <c r="I366" s="76">
        <f t="shared" si="50"/>
        <v>0</v>
      </c>
      <c r="J366" s="79">
        <v>100</v>
      </c>
      <c r="K366" s="79">
        <v>300</v>
      </c>
      <c r="L366" s="76">
        <f t="shared" si="53"/>
        <v>1274</v>
      </c>
      <c r="M366" s="87">
        <v>600</v>
      </c>
      <c r="N366" s="76">
        <f>30</f>
        <v>30</v>
      </c>
      <c r="O366" s="79">
        <v>240</v>
      </c>
      <c r="P366" s="79">
        <v>160</v>
      </c>
      <c r="Q366" s="79">
        <f t="shared" si="54"/>
        <v>195</v>
      </c>
      <c r="R366" s="79">
        <f t="shared" si="55"/>
        <v>100</v>
      </c>
      <c r="S366" s="76">
        <f t="shared" si="56"/>
        <v>695</v>
      </c>
      <c r="T366" s="76">
        <f>0</f>
        <v>0</v>
      </c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</row>
    <row r="367" spans="1:30" ht="15.75" x14ac:dyDescent="0.25">
      <c r="A367" s="33">
        <v>52109</v>
      </c>
      <c r="B367" s="89">
        <v>31</v>
      </c>
      <c r="C367" s="76">
        <f>194.205</f>
        <v>194.20500000000001</v>
      </c>
      <c r="D367" s="76">
        <f>267.466</f>
        <v>267.46600000000001</v>
      </c>
      <c r="E367" s="85">
        <f>133.845</f>
        <v>133.845</v>
      </c>
      <c r="F367" s="76">
        <f>278.484-40-25-60-100</f>
        <v>53.48399999999998</v>
      </c>
      <c r="G367" s="79">
        <v>40</v>
      </c>
      <c r="H367" s="76">
        <f t="shared" si="59"/>
        <v>185</v>
      </c>
      <c r="I367" s="76">
        <f t="shared" si="50"/>
        <v>0</v>
      </c>
      <c r="J367" s="79">
        <v>100</v>
      </c>
      <c r="K367" s="79">
        <v>300</v>
      </c>
      <c r="L367" s="76">
        <f t="shared" si="53"/>
        <v>1274</v>
      </c>
      <c r="M367" s="87">
        <v>600</v>
      </c>
      <c r="N367" s="76">
        <f>30</f>
        <v>30</v>
      </c>
      <c r="O367" s="79">
        <v>240</v>
      </c>
      <c r="P367" s="79">
        <v>160</v>
      </c>
      <c r="Q367" s="79">
        <f t="shared" si="54"/>
        <v>195</v>
      </c>
      <c r="R367" s="79">
        <f t="shared" si="55"/>
        <v>100</v>
      </c>
      <c r="S367" s="76">
        <f t="shared" si="56"/>
        <v>695</v>
      </c>
      <c r="T367" s="76">
        <f>0</f>
        <v>0</v>
      </c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</row>
    <row r="368" spans="1:30" ht="15.75" x14ac:dyDescent="0.25">
      <c r="A368" s="33">
        <v>52139</v>
      </c>
      <c r="B368" s="89">
        <v>30</v>
      </c>
      <c r="C368" s="76">
        <f>194.205</f>
        <v>194.20500000000001</v>
      </c>
      <c r="D368" s="76">
        <f>267.466</f>
        <v>267.46600000000001</v>
      </c>
      <c r="E368" s="85">
        <f>133.845</f>
        <v>133.845</v>
      </c>
      <c r="F368" s="76">
        <f>278.484-40-25-60-100</f>
        <v>53.48399999999998</v>
      </c>
      <c r="G368" s="79">
        <v>40</v>
      </c>
      <c r="H368" s="76">
        <f t="shared" si="59"/>
        <v>185</v>
      </c>
      <c r="I368" s="76">
        <f t="shared" si="50"/>
        <v>0</v>
      </c>
      <c r="J368" s="79">
        <v>100</v>
      </c>
      <c r="K368" s="79">
        <v>300</v>
      </c>
      <c r="L368" s="76">
        <f t="shared" si="53"/>
        <v>1274</v>
      </c>
      <c r="M368" s="87">
        <v>600</v>
      </c>
      <c r="N368" s="76">
        <f>30</f>
        <v>30</v>
      </c>
      <c r="O368" s="79">
        <v>240</v>
      </c>
      <c r="P368" s="79">
        <v>160</v>
      </c>
      <c r="Q368" s="79">
        <f t="shared" si="54"/>
        <v>195</v>
      </c>
      <c r="R368" s="79">
        <f t="shared" si="55"/>
        <v>100</v>
      </c>
      <c r="S368" s="76">
        <f t="shared" si="56"/>
        <v>695</v>
      </c>
      <c r="T368" s="76">
        <f>0</f>
        <v>0</v>
      </c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</row>
    <row r="369" spans="1:30" ht="15.75" x14ac:dyDescent="0.25">
      <c r="A369" s="33">
        <v>52170</v>
      </c>
      <c r="B369" s="89">
        <v>31</v>
      </c>
      <c r="C369" s="76">
        <f>131.881</f>
        <v>131.881</v>
      </c>
      <c r="D369" s="76">
        <f>277.167</f>
        <v>277.16699999999997</v>
      </c>
      <c r="E369" s="85">
        <f>79.08</f>
        <v>79.08</v>
      </c>
      <c r="F369" s="76">
        <f>350.872-40-25-60-100</f>
        <v>125.87200000000001</v>
      </c>
      <c r="G369" s="79">
        <v>40</v>
      </c>
      <c r="H369" s="76">
        <f t="shared" si="59"/>
        <v>185</v>
      </c>
      <c r="I369" s="76">
        <f t="shared" si="50"/>
        <v>0</v>
      </c>
      <c r="J369" s="79">
        <v>100</v>
      </c>
      <c r="K369" s="79">
        <v>300</v>
      </c>
      <c r="L369" s="76">
        <f t="shared" si="53"/>
        <v>1239</v>
      </c>
      <c r="M369" s="87">
        <v>600</v>
      </c>
      <c r="N369" s="76">
        <f>75</f>
        <v>75</v>
      </c>
      <c r="O369" s="79">
        <v>240</v>
      </c>
      <c r="P369" s="79">
        <v>160</v>
      </c>
      <c r="Q369" s="79">
        <f t="shared" si="54"/>
        <v>195</v>
      </c>
      <c r="R369" s="79">
        <f t="shared" si="55"/>
        <v>100</v>
      </c>
      <c r="S369" s="76">
        <f t="shared" si="56"/>
        <v>695</v>
      </c>
      <c r="T369" s="76">
        <f>0</f>
        <v>0</v>
      </c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</row>
    <row r="370" spans="1:30" ht="15.75" x14ac:dyDescent="0.25">
      <c r="A370" s="33">
        <v>52200</v>
      </c>
      <c r="B370" s="89">
        <v>30</v>
      </c>
      <c r="C370" s="76">
        <f>122.58</f>
        <v>122.58</v>
      </c>
      <c r="D370" s="76">
        <f>297.941</f>
        <v>297.94099999999997</v>
      </c>
      <c r="E370" s="85">
        <f>89.177</f>
        <v>89.177000000000007</v>
      </c>
      <c r="F370" s="76">
        <f>240.302-40-60-100</f>
        <v>40.301999999999992</v>
      </c>
      <c r="G370" s="79">
        <v>40</v>
      </c>
      <c r="H370" s="76">
        <f>60+100</f>
        <v>160</v>
      </c>
      <c r="I370" s="76">
        <f t="shared" si="50"/>
        <v>0</v>
      </c>
      <c r="J370" s="79">
        <v>100</v>
      </c>
      <c r="K370" s="79">
        <v>300</v>
      </c>
      <c r="L370" s="76">
        <f t="shared" si="53"/>
        <v>1150</v>
      </c>
      <c r="M370" s="87">
        <v>600</v>
      </c>
      <c r="N370" s="76">
        <f>100</f>
        <v>100</v>
      </c>
      <c r="O370" s="79">
        <v>240</v>
      </c>
      <c r="P370" s="79">
        <v>40</v>
      </c>
      <c r="Q370" s="79">
        <f t="shared" si="54"/>
        <v>315</v>
      </c>
      <c r="R370" s="79">
        <f t="shared" si="55"/>
        <v>100</v>
      </c>
      <c r="S370" s="76">
        <f t="shared" si="56"/>
        <v>695</v>
      </c>
      <c r="T370" s="76">
        <f>50</f>
        <v>50</v>
      </c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</row>
    <row r="371" spans="1:30" ht="15.75" x14ac:dyDescent="0.25">
      <c r="A371" s="33">
        <v>52231</v>
      </c>
      <c r="B371" s="89">
        <v>31</v>
      </c>
      <c r="C371" s="76">
        <f>122.58</f>
        <v>122.58</v>
      </c>
      <c r="D371" s="76">
        <f>297.941</f>
        <v>297.94099999999997</v>
      </c>
      <c r="E371" s="85">
        <f>89.177</f>
        <v>89.177000000000007</v>
      </c>
      <c r="F371" s="76">
        <f>240.302-40-60-100</f>
        <v>40.301999999999992</v>
      </c>
      <c r="G371" s="79">
        <v>40</v>
      </c>
      <c r="H371" s="76">
        <f>60+100</f>
        <v>160</v>
      </c>
      <c r="I371" s="76">
        <f t="shared" si="50"/>
        <v>0</v>
      </c>
      <c r="J371" s="79">
        <v>100</v>
      </c>
      <c r="K371" s="79">
        <v>300</v>
      </c>
      <c r="L371" s="76">
        <f t="shared" si="53"/>
        <v>1150</v>
      </c>
      <c r="M371" s="87">
        <v>600</v>
      </c>
      <c r="N371" s="76">
        <f>100</f>
        <v>100</v>
      </c>
      <c r="O371" s="79">
        <v>240</v>
      </c>
      <c r="P371" s="79">
        <v>40</v>
      </c>
      <c r="Q371" s="79">
        <f t="shared" si="54"/>
        <v>315</v>
      </c>
      <c r="R371" s="79">
        <f t="shared" si="55"/>
        <v>100</v>
      </c>
      <c r="S371" s="76">
        <f t="shared" si="56"/>
        <v>695</v>
      </c>
      <c r="T371" s="76">
        <f>50</f>
        <v>50</v>
      </c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</row>
    <row r="372" spans="1:30" ht="15.75" x14ac:dyDescent="0.25">
      <c r="A372" s="33">
        <v>52262</v>
      </c>
      <c r="B372" s="89">
        <v>31</v>
      </c>
      <c r="C372" s="76">
        <f>122.58</f>
        <v>122.58</v>
      </c>
      <c r="D372" s="76">
        <f>297.941</f>
        <v>297.94099999999997</v>
      </c>
      <c r="E372" s="85">
        <f>89.177</f>
        <v>89.177000000000007</v>
      </c>
      <c r="F372" s="76">
        <f>240.302-40-60-100</f>
        <v>40.301999999999992</v>
      </c>
      <c r="G372" s="79">
        <v>40</v>
      </c>
      <c r="H372" s="76">
        <f>60+100</f>
        <v>160</v>
      </c>
      <c r="I372" s="76">
        <f t="shared" ref="I372:I435" si="60">400-J372-K372</f>
        <v>0</v>
      </c>
      <c r="J372" s="79">
        <v>100</v>
      </c>
      <c r="K372" s="79">
        <v>300</v>
      </c>
      <c r="L372" s="76">
        <f t="shared" si="53"/>
        <v>1150</v>
      </c>
      <c r="M372" s="87">
        <v>600</v>
      </c>
      <c r="N372" s="76">
        <f>100</f>
        <v>100</v>
      </c>
      <c r="O372" s="79">
        <v>240</v>
      </c>
      <c r="P372" s="79">
        <v>40</v>
      </c>
      <c r="Q372" s="79">
        <f t="shared" si="54"/>
        <v>315</v>
      </c>
      <c r="R372" s="79">
        <f t="shared" si="55"/>
        <v>100</v>
      </c>
      <c r="S372" s="76">
        <f t="shared" si="56"/>
        <v>695</v>
      </c>
      <c r="T372" s="76">
        <f>50</f>
        <v>50</v>
      </c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</row>
    <row r="373" spans="1:30" ht="15.75" x14ac:dyDescent="0.25">
      <c r="A373" s="33">
        <v>52290</v>
      </c>
      <c r="B373" s="89">
        <v>28</v>
      </c>
      <c r="C373" s="76">
        <f>122.58</f>
        <v>122.58</v>
      </c>
      <c r="D373" s="76">
        <f>297.941</f>
        <v>297.94099999999997</v>
      </c>
      <c r="E373" s="85">
        <f>89.177</f>
        <v>89.177000000000007</v>
      </c>
      <c r="F373" s="76">
        <f>240.302-40-60-100</f>
        <v>40.301999999999992</v>
      </c>
      <c r="G373" s="79">
        <v>40</v>
      </c>
      <c r="H373" s="76">
        <f>60+100</f>
        <v>160</v>
      </c>
      <c r="I373" s="76">
        <f t="shared" si="60"/>
        <v>0</v>
      </c>
      <c r="J373" s="79">
        <v>100</v>
      </c>
      <c r="K373" s="79">
        <v>300</v>
      </c>
      <c r="L373" s="76">
        <f t="shared" si="53"/>
        <v>1150</v>
      </c>
      <c r="M373" s="87">
        <v>600</v>
      </c>
      <c r="N373" s="76">
        <f>100</f>
        <v>100</v>
      </c>
      <c r="O373" s="79">
        <v>240</v>
      </c>
      <c r="P373" s="79">
        <v>40</v>
      </c>
      <c r="Q373" s="79">
        <f t="shared" si="54"/>
        <v>315</v>
      </c>
      <c r="R373" s="79">
        <f t="shared" si="55"/>
        <v>100</v>
      </c>
      <c r="S373" s="76">
        <f t="shared" si="56"/>
        <v>695</v>
      </c>
      <c r="T373" s="76">
        <f>50</f>
        <v>50</v>
      </c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</row>
    <row r="374" spans="1:30" ht="15.75" x14ac:dyDescent="0.25">
      <c r="A374" s="33">
        <v>52321</v>
      </c>
      <c r="B374" s="89">
        <v>31</v>
      </c>
      <c r="C374" s="76">
        <f>122.58</f>
        <v>122.58</v>
      </c>
      <c r="D374" s="76">
        <f>297.941</f>
        <v>297.94099999999997</v>
      </c>
      <c r="E374" s="85">
        <f>89.177</f>
        <v>89.177000000000007</v>
      </c>
      <c r="F374" s="76">
        <f>240.302-40-60-100</f>
        <v>40.301999999999992</v>
      </c>
      <c r="G374" s="79">
        <v>40</v>
      </c>
      <c r="H374" s="76">
        <f>60+100</f>
        <v>160</v>
      </c>
      <c r="I374" s="76">
        <f t="shared" si="60"/>
        <v>0</v>
      </c>
      <c r="J374" s="79">
        <v>100</v>
      </c>
      <c r="K374" s="79">
        <v>300</v>
      </c>
      <c r="L374" s="76">
        <f t="shared" si="53"/>
        <v>1150</v>
      </c>
      <c r="M374" s="87">
        <v>600</v>
      </c>
      <c r="N374" s="76">
        <f>100</f>
        <v>100</v>
      </c>
      <c r="O374" s="79">
        <v>240</v>
      </c>
      <c r="P374" s="79">
        <v>40</v>
      </c>
      <c r="Q374" s="79">
        <f t="shared" si="54"/>
        <v>315</v>
      </c>
      <c r="R374" s="79">
        <f t="shared" si="55"/>
        <v>100</v>
      </c>
      <c r="S374" s="76">
        <f t="shared" si="56"/>
        <v>695</v>
      </c>
      <c r="T374" s="76">
        <f>50</f>
        <v>50</v>
      </c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</row>
    <row r="375" spans="1:30" ht="15.75" x14ac:dyDescent="0.25">
      <c r="A375" s="33">
        <v>52351</v>
      </c>
      <c r="B375" s="89">
        <v>30</v>
      </c>
      <c r="C375" s="76">
        <f>141.293</f>
        <v>141.29300000000001</v>
      </c>
      <c r="D375" s="76">
        <f>267.993</f>
        <v>267.99299999999999</v>
      </c>
      <c r="E375" s="85">
        <f>115.016</f>
        <v>115.01600000000001</v>
      </c>
      <c r="F375" s="76">
        <f>314.698-40-25-60-100</f>
        <v>89.697999999999979</v>
      </c>
      <c r="G375" s="79">
        <v>40</v>
      </c>
      <c r="H375" s="76">
        <f t="shared" ref="H375:H381" si="61">25+60+100</f>
        <v>185</v>
      </c>
      <c r="I375" s="76">
        <f t="shared" si="60"/>
        <v>0</v>
      </c>
      <c r="J375" s="79">
        <v>100</v>
      </c>
      <c r="K375" s="79">
        <v>300</v>
      </c>
      <c r="L375" s="76">
        <f t="shared" si="53"/>
        <v>1239</v>
      </c>
      <c r="M375" s="87">
        <v>600</v>
      </c>
      <c r="N375" s="76">
        <f>100</f>
        <v>100</v>
      </c>
      <c r="O375" s="79">
        <v>240</v>
      </c>
      <c r="P375" s="79">
        <v>160</v>
      </c>
      <c r="Q375" s="79">
        <f t="shared" si="54"/>
        <v>195</v>
      </c>
      <c r="R375" s="79">
        <f t="shared" si="55"/>
        <v>100</v>
      </c>
      <c r="S375" s="76">
        <f t="shared" si="56"/>
        <v>695</v>
      </c>
      <c r="T375" s="76">
        <f>50</f>
        <v>50</v>
      </c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</row>
    <row r="376" spans="1:30" ht="15.75" x14ac:dyDescent="0.25">
      <c r="A376" s="33">
        <v>52382</v>
      </c>
      <c r="B376" s="89">
        <v>31</v>
      </c>
      <c r="C376" s="76">
        <f>194.205</f>
        <v>194.20500000000001</v>
      </c>
      <c r="D376" s="76">
        <f>267.466</f>
        <v>267.46600000000001</v>
      </c>
      <c r="E376" s="85">
        <f>133.845</f>
        <v>133.845</v>
      </c>
      <c r="F376" s="76">
        <f>278.484-40-25-60-100</f>
        <v>53.48399999999998</v>
      </c>
      <c r="G376" s="79">
        <v>40</v>
      </c>
      <c r="H376" s="76">
        <f t="shared" si="61"/>
        <v>185</v>
      </c>
      <c r="I376" s="76">
        <f t="shared" si="60"/>
        <v>0</v>
      </c>
      <c r="J376" s="79">
        <v>100</v>
      </c>
      <c r="K376" s="79">
        <v>300</v>
      </c>
      <c r="L376" s="76">
        <f t="shared" si="53"/>
        <v>1274</v>
      </c>
      <c r="M376" s="87">
        <v>600</v>
      </c>
      <c r="N376" s="76">
        <f>75</f>
        <v>75</v>
      </c>
      <c r="O376" s="79">
        <v>240</v>
      </c>
      <c r="P376" s="79">
        <v>160</v>
      </c>
      <c r="Q376" s="79">
        <f t="shared" si="54"/>
        <v>195</v>
      </c>
      <c r="R376" s="79">
        <f t="shared" si="55"/>
        <v>100</v>
      </c>
      <c r="S376" s="76">
        <f t="shared" si="56"/>
        <v>695</v>
      </c>
      <c r="T376" s="76">
        <f>50</f>
        <v>50</v>
      </c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</row>
    <row r="377" spans="1:30" ht="15.75" x14ac:dyDescent="0.25">
      <c r="A377" s="33">
        <v>52412</v>
      </c>
      <c r="B377" s="89">
        <v>30</v>
      </c>
      <c r="C377" s="76">
        <f>194.205</f>
        <v>194.20500000000001</v>
      </c>
      <c r="D377" s="76">
        <f>267.466</f>
        <v>267.46600000000001</v>
      </c>
      <c r="E377" s="85">
        <f>133.845</f>
        <v>133.845</v>
      </c>
      <c r="F377" s="76">
        <f>278.484-40-25-60-100</f>
        <v>53.48399999999998</v>
      </c>
      <c r="G377" s="79">
        <v>40</v>
      </c>
      <c r="H377" s="76">
        <f t="shared" si="61"/>
        <v>185</v>
      </c>
      <c r="I377" s="76">
        <f t="shared" si="60"/>
        <v>0</v>
      </c>
      <c r="J377" s="79">
        <v>100</v>
      </c>
      <c r="K377" s="79">
        <v>300</v>
      </c>
      <c r="L377" s="76">
        <f t="shared" si="53"/>
        <v>1274</v>
      </c>
      <c r="M377" s="87">
        <v>600</v>
      </c>
      <c r="N377" s="76">
        <f>30</f>
        <v>30</v>
      </c>
      <c r="O377" s="79">
        <v>240</v>
      </c>
      <c r="P377" s="79">
        <v>160</v>
      </c>
      <c r="Q377" s="79">
        <f t="shared" si="54"/>
        <v>195</v>
      </c>
      <c r="R377" s="79">
        <f t="shared" si="55"/>
        <v>100</v>
      </c>
      <c r="S377" s="76">
        <f t="shared" si="56"/>
        <v>695</v>
      </c>
      <c r="T377" s="76">
        <f>50</f>
        <v>50</v>
      </c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</row>
    <row r="378" spans="1:30" ht="15.75" x14ac:dyDescent="0.25">
      <c r="A378" s="33">
        <v>52443</v>
      </c>
      <c r="B378" s="89">
        <v>31</v>
      </c>
      <c r="C378" s="76">
        <f>194.205</f>
        <v>194.20500000000001</v>
      </c>
      <c r="D378" s="76">
        <f>267.466</f>
        <v>267.46600000000001</v>
      </c>
      <c r="E378" s="85">
        <f>133.845</f>
        <v>133.845</v>
      </c>
      <c r="F378" s="76">
        <f>278.484-40-25-60-100</f>
        <v>53.48399999999998</v>
      </c>
      <c r="G378" s="79">
        <v>40</v>
      </c>
      <c r="H378" s="76">
        <f t="shared" si="61"/>
        <v>185</v>
      </c>
      <c r="I378" s="76">
        <f t="shared" si="60"/>
        <v>0</v>
      </c>
      <c r="J378" s="79">
        <v>100</v>
      </c>
      <c r="K378" s="79">
        <v>300</v>
      </c>
      <c r="L378" s="76">
        <f t="shared" si="53"/>
        <v>1274</v>
      </c>
      <c r="M378" s="87">
        <v>600</v>
      </c>
      <c r="N378" s="76">
        <f>30</f>
        <v>30</v>
      </c>
      <c r="O378" s="79">
        <v>240</v>
      </c>
      <c r="P378" s="79">
        <v>160</v>
      </c>
      <c r="Q378" s="79">
        <f t="shared" si="54"/>
        <v>195</v>
      </c>
      <c r="R378" s="79">
        <f t="shared" si="55"/>
        <v>100</v>
      </c>
      <c r="S378" s="76">
        <f t="shared" si="56"/>
        <v>695</v>
      </c>
      <c r="T378" s="76">
        <f>0</f>
        <v>0</v>
      </c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</row>
    <row r="379" spans="1:30" ht="15.75" x14ac:dyDescent="0.25">
      <c r="A379" s="33">
        <v>52474</v>
      </c>
      <c r="B379" s="89">
        <v>31</v>
      </c>
      <c r="C379" s="76">
        <f>194.205</f>
        <v>194.20500000000001</v>
      </c>
      <c r="D379" s="76">
        <f>267.466</f>
        <v>267.46600000000001</v>
      </c>
      <c r="E379" s="85">
        <f>133.845</f>
        <v>133.845</v>
      </c>
      <c r="F379" s="76">
        <f>278.484-40-25-60-100</f>
        <v>53.48399999999998</v>
      </c>
      <c r="G379" s="79">
        <v>40</v>
      </c>
      <c r="H379" s="76">
        <f t="shared" si="61"/>
        <v>185</v>
      </c>
      <c r="I379" s="76">
        <f t="shared" si="60"/>
        <v>0</v>
      </c>
      <c r="J379" s="79">
        <v>100</v>
      </c>
      <c r="K379" s="79">
        <v>300</v>
      </c>
      <c r="L379" s="76">
        <f t="shared" si="53"/>
        <v>1274</v>
      </c>
      <c r="M379" s="87">
        <v>600</v>
      </c>
      <c r="N379" s="76">
        <f>30</f>
        <v>30</v>
      </c>
      <c r="O379" s="79">
        <v>240</v>
      </c>
      <c r="P379" s="79">
        <v>160</v>
      </c>
      <c r="Q379" s="79">
        <f t="shared" si="54"/>
        <v>195</v>
      </c>
      <c r="R379" s="79">
        <f t="shared" si="55"/>
        <v>100</v>
      </c>
      <c r="S379" s="76">
        <f t="shared" si="56"/>
        <v>695</v>
      </c>
      <c r="T379" s="76">
        <f>0</f>
        <v>0</v>
      </c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</row>
    <row r="380" spans="1:30" ht="15.75" x14ac:dyDescent="0.25">
      <c r="A380" s="33">
        <v>52504</v>
      </c>
      <c r="B380" s="89">
        <v>30</v>
      </c>
      <c r="C380" s="76">
        <f>194.205</f>
        <v>194.20500000000001</v>
      </c>
      <c r="D380" s="76">
        <f>267.466</f>
        <v>267.46600000000001</v>
      </c>
      <c r="E380" s="85">
        <f>133.845</f>
        <v>133.845</v>
      </c>
      <c r="F380" s="76">
        <f>278.484-40-25-60-100</f>
        <v>53.48399999999998</v>
      </c>
      <c r="G380" s="79">
        <v>40</v>
      </c>
      <c r="H380" s="76">
        <f t="shared" si="61"/>
        <v>185</v>
      </c>
      <c r="I380" s="76">
        <f t="shared" si="60"/>
        <v>0</v>
      </c>
      <c r="J380" s="79">
        <v>100</v>
      </c>
      <c r="K380" s="79">
        <v>300</v>
      </c>
      <c r="L380" s="76">
        <f t="shared" si="53"/>
        <v>1274</v>
      </c>
      <c r="M380" s="87">
        <v>600</v>
      </c>
      <c r="N380" s="76">
        <f>30</f>
        <v>30</v>
      </c>
      <c r="O380" s="79">
        <v>240</v>
      </c>
      <c r="P380" s="79">
        <v>160</v>
      </c>
      <c r="Q380" s="79">
        <f t="shared" si="54"/>
        <v>195</v>
      </c>
      <c r="R380" s="79">
        <f t="shared" si="55"/>
        <v>100</v>
      </c>
      <c r="S380" s="76">
        <f t="shared" si="56"/>
        <v>695</v>
      </c>
      <c r="T380" s="76">
        <f>0</f>
        <v>0</v>
      </c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</row>
    <row r="381" spans="1:30" ht="15.75" x14ac:dyDescent="0.25">
      <c r="A381" s="33">
        <v>52535</v>
      </c>
      <c r="B381" s="89">
        <v>31</v>
      </c>
      <c r="C381" s="76">
        <f>131.881</f>
        <v>131.881</v>
      </c>
      <c r="D381" s="76">
        <f>277.167</f>
        <v>277.16699999999997</v>
      </c>
      <c r="E381" s="85">
        <f>79.08</f>
        <v>79.08</v>
      </c>
      <c r="F381" s="76">
        <f>350.872-40-25-60-100</f>
        <v>125.87200000000001</v>
      </c>
      <c r="G381" s="79">
        <v>40</v>
      </c>
      <c r="H381" s="76">
        <f t="shared" si="61"/>
        <v>185</v>
      </c>
      <c r="I381" s="76">
        <f t="shared" si="60"/>
        <v>0</v>
      </c>
      <c r="J381" s="79">
        <v>100</v>
      </c>
      <c r="K381" s="79">
        <v>300</v>
      </c>
      <c r="L381" s="76">
        <f t="shared" si="53"/>
        <v>1239</v>
      </c>
      <c r="M381" s="87">
        <v>600</v>
      </c>
      <c r="N381" s="76">
        <f>75</f>
        <v>75</v>
      </c>
      <c r="O381" s="79">
        <v>240</v>
      </c>
      <c r="P381" s="79">
        <v>160</v>
      </c>
      <c r="Q381" s="79">
        <f t="shared" si="54"/>
        <v>195</v>
      </c>
      <c r="R381" s="79">
        <f t="shared" si="55"/>
        <v>100</v>
      </c>
      <c r="S381" s="76">
        <f t="shared" si="56"/>
        <v>695</v>
      </c>
      <c r="T381" s="76">
        <f>0</f>
        <v>0</v>
      </c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</row>
    <row r="382" spans="1:30" ht="15.75" x14ac:dyDescent="0.25">
      <c r="A382" s="33">
        <v>52565</v>
      </c>
      <c r="B382" s="89">
        <v>30</v>
      </c>
      <c r="C382" s="76">
        <f>122.58</f>
        <v>122.58</v>
      </c>
      <c r="D382" s="76">
        <f>297.941</f>
        <v>297.94099999999997</v>
      </c>
      <c r="E382" s="85">
        <f>89.177</f>
        <v>89.177000000000007</v>
      </c>
      <c r="F382" s="76">
        <f>240.302-40-60-100</f>
        <v>40.301999999999992</v>
      </c>
      <c r="G382" s="79">
        <v>40</v>
      </c>
      <c r="H382" s="76">
        <f>60+100</f>
        <v>160</v>
      </c>
      <c r="I382" s="76">
        <f t="shared" si="60"/>
        <v>0</v>
      </c>
      <c r="J382" s="79">
        <v>100</v>
      </c>
      <c r="K382" s="79">
        <v>300</v>
      </c>
      <c r="L382" s="76">
        <f t="shared" si="53"/>
        <v>1150</v>
      </c>
      <c r="M382" s="87">
        <v>600</v>
      </c>
      <c r="N382" s="76">
        <f>100</f>
        <v>100</v>
      </c>
      <c r="O382" s="79">
        <v>240</v>
      </c>
      <c r="P382" s="79">
        <v>40</v>
      </c>
      <c r="Q382" s="79">
        <f t="shared" si="54"/>
        <v>315</v>
      </c>
      <c r="R382" s="79">
        <f t="shared" si="55"/>
        <v>100</v>
      </c>
      <c r="S382" s="76">
        <f t="shared" si="56"/>
        <v>695</v>
      </c>
      <c r="T382" s="76">
        <f>50</f>
        <v>50</v>
      </c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</row>
    <row r="383" spans="1:30" ht="15.75" x14ac:dyDescent="0.25">
      <c r="A383" s="33">
        <v>52596</v>
      </c>
      <c r="B383" s="89">
        <v>31</v>
      </c>
      <c r="C383" s="76">
        <f>122.58</f>
        <v>122.58</v>
      </c>
      <c r="D383" s="76">
        <f>297.941</f>
        <v>297.94099999999997</v>
      </c>
      <c r="E383" s="85">
        <f>89.177</f>
        <v>89.177000000000007</v>
      </c>
      <c r="F383" s="76">
        <f>240.302-40-60-100</f>
        <v>40.301999999999992</v>
      </c>
      <c r="G383" s="79">
        <v>40</v>
      </c>
      <c r="H383" s="76">
        <f>60+100</f>
        <v>160</v>
      </c>
      <c r="I383" s="76">
        <f t="shared" si="60"/>
        <v>0</v>
      </c>
      <c r="J383" s="79">
        <v>100</v>
      </c>
      <c r="K383" s="79">
        <v>300</v>
      </c>
      <c r="L383" s="76">
        <f t="shared" si="53"/>
        <v>1150</v>
      </c>
      <c r="M383" s="87">
        <v>600</v>
      </c>
      <c r="N383" s="76">
        <f>100</f>
        <v>100</v>
      </c>
      <c r="O383" s="79">
        <v>240</v>
      </c>
      <c r="P383" s="79">
        <v>40</v>
      </c>
      <c r="Q383" s="79">
        <f t="shared" si="54"/>
        <v>315</v>
      </c>
      <c r="R383" s="79">
        <f t="shared" si="55"/>
        <v>100</v>
      </c>
      <c r="S383" s="76">
        <f t="shared" si="56"/>
        <v>695</v>
      </c>
      <c r="T383" s="76">
        <f>50</f>
        <v>50</v>
      </c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</row>
    <row r="384" spans="1:30" ht="15.75" x14ac:dyDescent="0.25">
      <c r="A384" s="33">
        <v>52627</v>
      </c>
      <c r="B384" s="89">
        <v>31</v>
      </c>
      <c r="C384" s="76">
        <f>122.58</f>
        <v>122.58</v>
      </c>
      <c r="D384" s="76">
        <f>297.941</f>
        <v>297.94099999999997</v>
      </c>
      <c r="E384" s="85">
        <f>89.177</f>
        <v>89.177000000000007</v>
      </c>
      <c r="F384" s="76">
        <f>240.302-40-60-100</f>
        <v>40.301999999999992</v>
      </c>
      <c r="G384" s="79">
        <v>40</v>
      </c>
      <c r="H384" s="76">
        <f>60+100</f>
        <v>160</v>
      </c>
      <c r="I384" s="76">
        <f t="shared" si="60"/>
        <v>0</v>
      </c>
      <c r="J384" s="79">
        <v>100</v>
      </c>
      <c r="K384" s="79">
        <v>300</v>
      </c>
      <c r="L384" s="76">
        <f t="shared" si="53"/>
        <v>1150</v>
      </c>
      <c r="M384" s="87">
        <v>600</v>
      </c>
      <c r="N384" s="76">
        <f>100</f>
        <v>100</v>
      </c>
      <c r="O384" s="79">
        <v>240</v>
      </c>
      <c r="P384" s="79">
        <v>40</v>
      </c>
      <c r="Q384" s="79">
        <f t="shared" si="54"/>
        <v>315</v>
      </c>
      <c r="R384" s="79">
        <f t="shared" si="55"/>
        <v>100</v>
      </c>
      <c r="S384" s="76">
        <f t="shared" si="56"/>
        <v>695</v>
      </c>
      <c r="T384" s="76">
        <f>50</f>
        <v>50</v>
      </c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</row>
    <row r="385" spans="1:30" ht="15.75" x14ac:dyDescent="0.25">
      <c r="A385" s="33">
        <v>52655</v>
      </c>
      <c r="B385" s="89">
        <v>29</v>
      </c>
      <c r="C385" s="76">
        <f>122.58</f>
        <v>122.58</v>
      </c>
      <c r="D385" s="76">
        <f>297.941</f>
        <v>297.94099999999997</v>
      </c>
      <c r="E385" s="85">
        <f>89.177</f>
        <v>89.177000000000007</v>
      </c>
      <c r="F385" s="76">
        <f>240.302-40-60-100</f>
        <v>40.301999999999992</v>
      </c>
      <c r="G385" s="79">
        <v>40</v>
      </c>
      <c r="H385" s="76">
        <f>60+100</f>
        <v>160</v>
      </c>
      <c r="I385" s="76">
        <f t="shared" si="60"/>
        <v>0</v>
      </c>
      <c r="J385" s="79">
        <v>100</v>
      </c>
      <c r="K385" s="79">
        <v>300</v>
      </c>
      <c r="L385" s="76">
        <f t="shared" si="53"/>
        <v>1150</v>
      </c>
      <c r="M385" s="87">
        <v>600</v>
      </c>
      <c r="N385" s="76">
        <f>100</f>
        <v>100</v>
      </c>
      <c r="O385" s="79">
        <v>240</v>
      </c>
      <c r="P385" s="79">
        <v>40</v>
      </c>
      <c r="Q385" s="79">
        <f t="shared" si="54"/>
        <v>315</v>
      </c>
      <c r="R385" s="79">
        <f t="shared" si="55"/>
        <v>100</v>
      </c>
      <c r="S385" s="76">
        <f t="shared" si="56"/>
        <v>695</v>
      </c>
      <c r="T385" s="76">
        <f>50</f>
        <v>50</v>
      </c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</row>
    <row r="386" spans="1:30" ht="15.75" x14ac:dyDescent="0.25">
      <c r="A386" s="33">
        <v>52687</v>
      </c>
      <c r="B386" s="89">
        <v>31</v>
      </c>
      <c r="C386" s="76">
        <f>122.58</f>
        <v>122.58</v>
      </c>
      <c r="D386" s="76">
        <f>297.941</f>
        <v>297.94099999999997</v>
      </c>
      <c r="E386" s="85">
        <f>89.177</f>
        <v>89.177000000000007</v>
      </c>
      <c r="F386" s="76">
        <f>240.302-40-60-100</f>
        <v>40.301999999999992</v>
      </c>
      <c r="G386" s="79">
        <v>40</v>
      </c>
      <c r="H386" s="76">
        <f>60+100</f>
        <v>160</v>
      </c>
      <c r="I386" s="76">
        <f t="shared" si="60"/>
        <v>0</v>
      </c>
      <c r="J386" s="79">
        <v>100</v>
      </c>
      <c r="K386" s="79">
        <v>300</v>
      </c>
      <c r="L386" s="76">
        <f t="shared" si="53"/>
        <v>1150</v>
      </c>
      <c r="M386" s="87">
        <v>600</v>
      </c>
      <c r="N386" s="76">
        <f>100</f>
        <v>100</v>
      </c>
      <c r="O386" s="79">
        <v>240</v>
      </c>
      <c r="P386" s="79">
        <v>40</v>
      </c>
      <c r="Q386" s="79">
        <f t="shared" si="54"/>
        <v>315</v>
      </c>
      <c r="R386" s="79">
        <f t="shared" si="55"/>
        <v>100</v>
      </c>
      <c r="S386" s="76">
        <f t="shared" si="56"/>
        <v>695</v>
      </c>
      <c r="T386" s="76">
        <f>50</f>
        <v>50</v>
      </c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</row>
    <row r="387" spans="1:30" ht="15.75" x14ac:dyDescent="0.25">
      <c r="A387" s="33">
        <v>52717</v>
      </c>
      <c r="B387" s="89">
        <v>30</v>
      </c>
      <c r="C387" s="76">
        <f>141.293</f>
        <v>141.29300000000001</v>
      </c>
      <c r="D387" s="76">
        <f>267.993</f>
        <v>267.99299999999999</v>
      </c>
      <c r="E387" s="85">
        <f>115.016</f>
        <v>115.01600000000001</v>
      </c>
      <c r="F387" s="76">
        <f>314.698-40-25-60-100</f>
        <v>89.697999999999979</v>
      </c>
      <c r="G387" s="79">
        <v>40</v>
      </c>
      <c r="H387" s="76">
        <f t="shared" ref="H387:H393" si="62">25+60+100</f>
        <v>185</v>
      </c>
      <c r="I387" s="76">
        <f t="shared" si="60"/>
        <v>0</v>
      </c>
      <c r="J387" s="79">
        <v>100</v>
      </c>
      <c r="K387" s="79">
        <v>300</v>
      </c>
      <c r="L387" s="76">
        <f t="shared" si="53"/>
        <v>1239</v>
      </c>
      <c r="M387" s="87">
        <v>600</v>
      </c>
      <c r="N387" s="76">
        <f>100</f>
        <v>100</v>
      </c>
      <c r="O387" s="79">
        <v>240</v>
      </c>
      <c r="P387" s="79">
        <v>160</v>
      </c>
      <c r="Q387" s="79">
        <f t="shared" si="54"/>
        <v>195</v>
      </c>
      <c r="R387" s="79">
        <f t="shared" si="55"/>
        <v>100</v>
      </c>
      <c r="S387" s="76">
        <f t="shared" si="56"/>
        <v>695</v>
      </c>
      <c r="T387" s="76">
        <f>50</f>
        <v>50</v>
      </c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</row>
    <row r="388" spans="1:30" ht="15.75" x14ac:dyDescent="0.25">
      <c r="A388" s="33">
        <v>52748</v>
      </c>
      <c r="B388" s="89">
        <v>31</v>
      </c>
      <c r="C388" s="76">
        <f>194.205</f>
        <v>194.20500000000001</v>
      </c>
      <c r="D388" s="76">
        <f>267.466</f>
        <v>267.46600000000001</v>
      </c>
      <c r="E388" s="85">
        <f>133.845</f>
        <v>133.845</v>
      </c>
      <c r="F388" s="76">
        <f>278.484-40-25-60-100</f>
        <v>53.48399999999998</v>
      </c>
      <c r="G388" s="79">
        <v>40</v>
      </c>
      <c r="H388" s="76">
        <f t="shared" si="62"/>
        <v>185</v>
      </c>
      <c r="I388" s="76">
        <f t="shared" si="60"/>
        <v>0</v>
      </c>
      <c r="J388" s="79">
        <v>100</v>
      </c>
      <c r="K388" s="79">
        <v>300</v>
      </c>
      <c r="L388" s="76">
        <f t="shared" si="53"/>
        <v>1274</v>
      </c>
      <c r="M388" s="87">
        <v>600</v>
      </c>
      <c r="N388" s="76">
        <f>75</f>
        <v>75</v>
      </c>
      <c r="O388" s="79">
        <v>240</v>
      </c>
      <c r="P388" s="79">
        <v>160</v>
      </c>
      <c r="Q388" s="79">
        <f t="shared" si="54"/>
        <v>195</v>
      </c>
      <c r="R388" s="79">
        <f t="shared" si="55"/>
        <v>100</v>
      </c>
      <c r="S388" s="76">
        <f t="shared" si="56"/>
        <v>695</v>
      </c>
      <c r="T388" s="76">
        <f>50</f>
        <v>50</v>
      </c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</row>
    <row r="389" spans="1:30" ht="15.75" x14ac:dyDescent="0.25">
      <c r="A389" s="33">
        <v>52778</v>
      </c>
      <c r="B389" s="89">
        <v>30</v>
      </c>
      <c r="C389" s="76">
        <f>194.205</f>
        <v>194.20500000000001</v>
      </c>
      <c r="D389" s="76">
        <f>267.466</f>
        <v>267.46600000000001</v>
      </c>
      <c r="E389" s="85">
        <f>133.845</f>
        <v>133.845</v>
      </c>
      <c r="F389" s="76">
        <f>278.484-40-25-60-100</f>
        <v>53.48399999999998</v>
      </c>
      <c r="G389" s="79">
        <v>40</v>
      </c>
      <c r="H389" s="76">
        <f t="shared" si="62"/>
        <v>185</v>
      </c>
      <c r="I389" s="76">
        <f t="shared" si="60"/>
        <v>0</v>
      </c>
      <c r="J389" s="79">
        <v>100</v>
      </c>
      <c r="K389" s="79">
        <v>300</v>
      </c>
      <c r="L389" s="76">
        <f t="shared" si="53"/>
        <v>1274</v>
      </c>
      <c r="M389" s="87">
        <v>600</v>
      </c>
      <c r="N389" s="76">
        <f>30</f>
        <v>30</v>
      </c>
      <c r="O389" s="79">
        <v>240</v>
      </c>
      <c r="P389" s="79">
        <v>160</v>
      </c>
      <c r="Q389" s="79">
        <f t="shared" si="54"/>
        <v>195</v>
      </c>
      <c r="R389" s="79">
        <f t="shared" si="55"/>
        <v>100</v>
      </c>
      <c r="S389" s="76">
        <f t="shared" si="56"/>
        <v>695</v>
      </c>
      <c r="T389" s="76">
        <f>50</f>
        <v>50</v>
      </c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</row>
    <row r="390" spans="1:30" ht="15.75" x14ac:dyDescent="0.25">
      <c r="A390" s="33">
        <v>52809</v>
      </c>
      <c r="B390" s="89">
        <v>31</v>
      </c>
      <c r="C390" s="76">
        <f>194.205</f>
        <v>194.20500000000001</v>
      </c>
      <c r="D390" s="76">
        <f>267.466</f>
        <v>267.46600000000001</v>
      </c>
      <c r="E390" s="85">
        <f>133.845</f>
        <v>133.845</v>
      </c>
      <c r="F390" s="76">
        <f>278.484-40-25-60-100</f>
        <v>53.48399999999998</v>
      </c>
      <c r="G390" s="79">
        <v>40</v>
      </c>
      <c r="H390" s="76">
        <f t="shared" si="62"/>
        <v>185</v>
      </c>
      <c r="I390" s="76">
        <f t="shared" si="60"/>
        <v>0</v>
      </c>
      <c r="J390" s="79">
        <v>100</v>
      </c>
      <c r="K390" s="79">
        <v>300</v>
      </c>
      <c r="L390" s="76">
        <f t="shared" si="53"/>
        <v>1274</v>
      </c>
      <c r="M390" s="87">
        <v>600</v>
      </c>
      <c r="N390" s="76">
        <f>30</f>
        <v>30</v>
      </c>
      <c r="O390" s="79">
        <v>240</v>
      </c>
      <c r="P390" s="79">
        <v>160</v>
      </c>
      <c r="Q390" s="79">
        <f t="shared" si="54"/>
        <v>195</v>
      </c>
      <c r="R390" s="79">
        <f t="shared" si="55"/>
        <v>100</v>
      </c>
      <c r="S390" s="76">
        <f t="shared" si="56"/>
        <v>695</v>
      </c>
      <c r="T390" s="76">
        <f>0</f>
        <v>0</v>
      </c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</row>
    <row r="391" spans="1:30" ht="15.75" x14ac:dyDescent="0.25">
      <c r="A391" s="33">
        <v>52840</v>
      </c>
      <c r="B391" s="89">
        <v>31</v>
      </c>
      <c r="C391" s="76">
        <f>194.205</f>
        <v>194.20500000000001</v>
      </c>
      <c r="D391" s="76">
        <f>267.466</f>
        <v>267.46600000000001</v>
      </c>
      <c r="E391" s="85">
        <f>133.845</f>
        <v>133.845</v>
      </c>
      <c r="F391" s="76">
        <f>278.484-40-25-60-100</f>
        <v>53.48399999999998</v>
      </c>
      <c r="G391" s="79">
        <v>40</v>
      </c>
      <c r="H391" s="76">
        <f t="shared" si="62"/>
        <v>185</v>
      </c>
      <c r="I391" s="76">
        <f t="shared" si="60"/>
        <v>0</v>
      </c>
      <c r="J391" s="79">
        <v>100</v>
      </c>
      <c r="K391" s="79">
        <v>300</v>
      </c>
      <c r="L391" s="76">
        <f t="shared" si="53"/>
        <v>1274</v>
      </c>
      <c r="M391" s="87">
        <v>600</v>
      </c>
      <c r="N391" s="76">
        <f>30</f>
        <v>30</v>
      </c>
      <c r="O391" s="79">
        <v>240</v>
      </c>
      <c r="P391" s="79">
        <v>160</v>
      </c>
      <c r="Q391" s="79">
        <f t="shared" si="54"/>
        <v>195</v>
      </c>
      <c r="R391" s="79">
        <f t="shared" si="55"/>
        <v>100</v>
      </c>
      <c r="S391" s="76">
        <f t="shared" si="56"/>
        <v>695</v>
      </c>
      <c r="T391" s="76">
        <f>0</f>
        <v>0</v>
      </c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</row>
    <row r="392" spans="1:30" ht="15.75" x14ac:dyDescent="0.25">
      <c r="A392" s="33">
        <v>52870</v>
      </c>
      <c r="B392" s="89">
        <v>30</v>
      </c>
      <c r="C392" s="76">
        <f>194.205</f>
        <v>194.20500000000001</v>
      </c>
      <c r="D392" s="76">
        <f>267.466</f>
        <v>267.46600000000001</v>
      </c>
      <c r="E392" s="85">
        <f>133.845</f>
        <v>133.845</v>
      </c>
      <c r="F392" s="76">
        <f>278.484-40-25-60-100</f>
        <v>53.48399999999998</v>
      </c>
      <c r="G392" s="79">
        <v>40</v>
      </c>
      <c r="H392" s="76">
        <f t="shared" si="62"/>
        <v>185</v>
      </c>
      <c r="I392" s="76">
        <f t="shared" si="60"/>
        <v>0</v>
      </c>
      <c r="J392" s="79">
        <v>100</v>
      </c>
      <c r="K392" s="79">
        <v>300</v>
      </c>
      <c r="L392" s="76">
        <f t="shared" si="53"/>
        <v>1274</v>
      </c>
      <c r="M392" s="87">
        <v>600</v>
      </c>
      <c r="N392" s="76">
        <f>30</f>
        <v>30</v>
      </c>
      <c r="O392" s="79">
        <v>240</v>
      </c>
      <c r="P392" s="79">
        <v>160</v>
      </c>
      <c r="Q392" s="79">
        <f t="shared" si="54"/>
        <v>195</v>
      </c>
      <c r="R392" s="79">
        <f t="shared" si="55"/>
        <v>100</v>
      </c>
      <c r="S392" s="76">
        <f t="shared" si="56"/>
        <v>695</v>
      </c>
      <c r="T392" s="76">
        <f>0</f>
        <v>0</v>
      </c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</row>
    <row r="393" spans="1:30" ht="15.75" x14ac:dyDescent="0.25">
      <c r="A393" s="33">
        <v>52901</v>
      </c>
      <c r="B393" s="89">
        <v>31</v>
      </c>
      <c r="C393" s="76">
        <f>131.881</f>
        <v>131.881</v>
      </c>
      <c r="D393" s="76">
        <f>277.167</f>
        <v>277.16699999999997</v>
      </c>
      <c r="E393" s="85">
        <f>79.08</f>
        <v>79.08</v>
      </c>
      <c r="F393" s="76">
        <f>350.872-40-25-60-100</f>
        <v>125.87200000000001</v>
      </c>
      <c r="G393" s="79">
        <v>40</v>
      </c>
      <c r="H393" s="76">
        <f t="shared" si="62"/>
        <v>185</v>
      </c>
      <c r="I393" s="76">
        <f t="shared" si="60"/>
        <v>0</v>
      </c>
      <c r="J393" s="79">
        <v>100</v>
      </c>
      <c r="K393" s="79">
        <v>300</v>
      </c>
      <c r="L393" s="76">
        <f t="shared" si="53"/>
        <v>1239</v>
      </c>
      <c r="M393" s="87">
        <v>600</v>
      </c>
      <c r="N393" s="76">
        <f>75</f>
        <v>75</v>
      </c>
      <c r="O393" s="79">
        <v>240</v>
      </c>
      <c r="P393" s="79">
        <v>160</v>
      </c>
      <c r="Q393" s="79">
        <f t="shared" si="54"/>
        <v>195</v>
      </c>
      <c r="R393" s="79">
        <f t="shared" si="55"/>
        <v>100</v>
      </c>
      <c r="S393" s="76">
        <f t="shared" si="56"/>
        <v>695</v>
      </c>
      <c r="T393" s="76">
        <f>0</f>
        <v>0</v>
      </c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</row>
    <row r="394" spans="1:30" ht="15.75" x14ac:dyDescent="0.25">
      <c r="A394" s="33">
        <v>52931</v>
      </c>
      <c r="B394" s="89">
        <v>30</v>
      </c>
      <c r="C394" s="76">
        <f>122.58</f>
        <v>122.58</v>
      </c>
      <c r="D394" s="76">
        <f>297.941</f>
        <v>297.94099999999997</v>
      </c>
      <c r="E394" s="85">
        <f>89.177</f>
        <v>89.177000000000007</v>
      </c>
      <c r="F394" s="76">
        <f>240.302-40-60-100</f>
        <v>40.301999999999992</v>
      </c>
      <c r="G394" s="79">
        <v>40</v>
      </c>
      <c r="H394" s="76">
        <f>60+100</f>
        <v>160</v>
      </c>
      <c r="I394" s="76">
        <f t="shared" si="60"/>
        <v>0</v>
      </c>
      <c r="J394" s="79">
        <v>100</v>
      </c>
      <c r="K394" s="79">
        <v>300</v>
      </c>
      <c r="L394" s="76">
        <f t="shared" si="53"/>
        <v>1150</v>
      </c>
      <c r="M394" s="87">
        <v>600</v>
      </c>
      <c r="N394" s="76">
        <f>100</f>
        <v>100</v>
      </c>
      <c r="O394" s="79">
        <v>240</v>
      </c>
      <c r="P394" s="79">
        <v>40</v>
      </c>
      <c r="Q394" s="79">
        <f t="shared" si="54"/>
        <v>315</v>
      </c>
      <c r="R394" s="79">
        <f t="shared" si="55"/>
        <v>100</v>
      </c>
      <c r="S394" s="76">
        <f t="shared" si="56"/>
        <v>695</v>
      </c>
      <c r="T394" s="76">
        <f>50</f>
        <v>50</v>
      </c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</row>
    <row r="395" spans="1:30" ht="15.75" x14ac:dyDescent="0.25">
      <c r="A395" s="33">
        <v>52962</v>
      </c>
      <c r="B395" s="89">
        <v>31</v>
      </c>
      <c r="C395" s="76">
        <f>122.58</f>
        <v>122.58</v>
      </c>
      <c r="D395" s="76">
        <f>297.941</f>
        <v>297.94099999999997</v>
      </c>
      <c r="E395" s="85">
        <f>89.177</f>
        <v>89.177000000000007</v>
      </c>
      <c r="F395" s="76">
        <f>240.302-40-60-100</f>
        <v>40.301999999999992</v>
      </c>
      <c r="G395" s="79">
        <v>40</v>
      </c>
      <c r="H395" s="76">
        <f>60+100</f>
        <v>160</v>
      </c>
      <c r="I395" s="76">
        <f t="shared" si="60"/>
        <v>0</v>
      </c>
      <c r="J395" s="79">
        <v>100</v>
      </c>
      <c r="K395" s="79">
        <v>300</v>
      </c>
      <c r="L395" s="76">
        <f t="shared" si="53"/>
        <v>1150</v>
      </c>
      <c r="M395" s="87">
        <v>600</v>
      </c>
      <c r="N395" s="76">
        <f>100</f>
        <v>100</v>
      </c>
      <c r="O395" s="79">
        <v>240</v>
      </c>
      <c r="P395" s="79">
        <v>40</v>
      </c>
      <c r="Q395" s="79">
        <f t="shared" si="54"/>
        <v>315</v>
      </c>
      <c r="R395" s="79">
        <f t="shared" si="55"/>
        <v>100</v>
      </c>
      <c r="S395" s="76">
        <f t="shared" si="56"/>
        <v>695</v>
      </c>
      <c r="T395" s="76">
        <f>50</f>
        <v>50</v>
      </c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</row>
    <row r="396" spans="1:30" ht="15.75" x14ac:dyDescent="0.25">
      <c r="A396" s="33">
        <v>52993</v>
      </c>
      <c r="B396" s="89">
        <v>31</v>
      </c>
      <c r="C396" s="76">
        <f>122.58</f>
        <v>122.58</v>
      </c>
      <c r="D396" s="76">
        <f>297.941</f>
        <v>297.94099999999997</v>
      </c>
      <c r="E396" s="85">
        <f>89.177</f>
        <v>89.177000000000007</v>
      </c>
      <c r="F396" s="76">
        <f>240.302-40-60-100</f>
        <v>40.301999999999992</v>
      </c>
      <c r="G396" s="79">
        <v>40</v>
      </c>
      <c r="H396" s="76">
        <f>60+100</f>
        <v>160</v>
      </c>
      <c r="I396" s="76">
        <f t="shared" si="60"/>
        <v>0</v>
      </c>
      <c r="J396" s="79">
        <v>100</v>
      </c>
      <c r="K396" s="79">
        <v>300</v>
      </c>
      <c r="L396" s="76">
        <f t="shared" si="53"/>
        <v>1150</v>
      </c>
      <c r="M396" s="87">
        <v>600</v>
      </c>
      <c r="N396" s="76">
        <f>100</f>
        <v>100</v>
      </c>
      <c r="O396" s="79">
        <v>240</v>
      </c>
      <c r="P396" s="79">
        <v>40</v>
      </c>
      <c r="Q396" s="79">
        <f t="shared" si="54"/>
        <v>315</v>
      </c>
      <c r="R396" s="79">
        <f t="shared" si="55"/>
        <v>100</v>
      </c>
      <c r="S396" s="76">
        <f t="shared" si="56"/>
        <v>695</v>
      </c>
      <c r="T396" s="76">
        <f>50</f>
        <v>50</v>
      </c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</row>
    <row r="397" spans="1:30" ht="15.75" x14ac:dyDescent="0.25">
      <c r="A397" s="33">
        <v>53021</v>
      </c>
      <c r="B397" s="89">
        <v>28</v>
      </c>
      <c r="C397" s="76">
        <f>122.58</f>
        <v>122.58</v>
      </c>
      <c r="D397" s="76">
        <f>297.941</f>
        <v>297.94099999999997</v>
      </c>
      <c r="E397" s="85">
        <f>89.177</f>
        <v>89.177000000000007</v>
      </c>
      <c r="F397" s="76">
        <f>240.302-40-60-100</f>
        <v>40.301999999999992</v>
      </c>
      <c r="G397" s="79">
        <v>40</v>
      </c>
      <c r="H397" s="76">
        <f>60+100</f>
        <v>160</v>
      </c>
      <c r="I397" s="76">
        <f t="shared" si="60"/>
        <v>0</v>
      </c>
      <c r="J397" s="79">
        <v>100</v>
      </c>
      <c r="K397" s="79">
        <v>300</v>
      </c>
      <c r="L397" s="76">
        <f t="shared" si="53"/>
        <v>1150</v>
      </c>
      <c r="M397" s="87">
        <v>600</v>
      </c>
      <c r="N397" s="76">
        <f>100</f>
        <v>100</v>
      </c>
      <c r="O397" s="79">
        <v>240</v>
      </c>
      <c r="P397" s="79">
        <v>40</v>
      </c>
      <c r="Q397" s="79">
        <f t="shared" si="54"/>
        <v>315</v>
      </c>
      <c r="R397" s="79">
        <f t="shared" si="55"/>
        <v>100</v>
      </c>
      <c r="S397" s="76">
        <f t="shared" si="56"/>
        <v>695</v>
      </c>
      <c r="T397" s="76">
        <f>50</f>
        <v>50</v>
      </c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</row>
    <row r="398" spans="1:30" ht="15.75" x14ac:dyDescent="0.25">
      <c r="A398" s="33">
        <v>53052</v>
      </c>
      <c r="B398" s="89">
        <v>31</v>
      </c>
      <c r="C398" s="76">
        <f>122.58</f>
        <v>122.58</v>
      </c>
      <c r="D398" s="76">
        <f>297.941</f>
        <v>297.94099999999997</v>
      </c>
      <c r="E398" s="85">
        <f>89.177</f>
        <v>89.177000000000007</v>
      </c>
      <c r="F398" s="76">
        <f>240.302-40-60-100</f>
        <v>40.301999999999992</v>
      </c>
      <c r="G398" s="79">
        <v>40</v>
      </c>
      <c r="H398" s="76">
        <f>60+100</f>
        <v>160</v>
      </c>
      <c r="I398" s="76">
        <f t="shared" si="60"/>
        <v>0</v>
      </c>
      <c r="J398" s="79">
        <v>100</v>
      </c>
      <c r="K398" s="79">
        <v>300</v>
      </c>
      <c r="L398" s="76">
        <f t="shared" si="53"/>
        <v>1150</v>
      </c>
      <c r="M398" s="87">
        <v>600</v>
      </c>
      <c r="N398" s="76">
        <f>100</f>
        <v>100</v>
      </c>
      <c r="O398" s="79">
        <v>240</v>
      </c>
      <c r="P398" s="79">
        <v>40</v>
      </c>
      <c r="Q398" s="79">
        <f t="shared" si="54"/>
        <v>315</v>
      </c>
      <c r="R398" s="79">
        <f t="shared" si="55"/>
        <v>100</v>
      </c>
      <c r="S398" s="76">
        <f t="shared" si="56"/>
        <v>695</v>
      </c>
      <c r="T398" s="76">
        <f>50</f>
        <v>50</v>
      </c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</row>
    <row r="399" spans="1:30" ht="15.75" x14ac:dyDescent="0.25">
      <c r="A399" s="33">
        <v>53082</v>
      </c>
      <c r="B399" s="89">
        <v>30</v>
      </c>
      <c r="C399" s="76">
        <f>141.293</f>
        <v>141.29300000000001</v>
      </c>
      <c r="D399" s="76">
        <f>267.993</f>
        <v>267.99299999999999</v>
      </c>
      <c r="E399" s="85">
        <f>115.016</f>
        <v>115.01600000000001</v>
      </c>
      <c r="F399" s="76">
        <f>314.698-40-25-60-100</f>
        <v>89.697999999999979</v>
      </c>
      <c r="G399" s="79">
        <v>40</v>
      </c>
      <c r="H399" s="76">
        <f t="shared" ref="H399:H405" si="63">25+60+100</f>
        <v>185</v>
      </c>
      <c r="I399" s="76">
        <f t="shared" si="60"/>
        <v>0</v>
      </c>
      <c r="J399" s="79">
        <v>100</v>
      </c>
      <c r="K399" s="79">
        <v>300</v>
      </c>
      <c r="L399" s="76">
        <f t="shared" si="53"/>
        <v>1239</v>
      </c>
      <c r="M399" s="87">
        <v>600</v>
      </c>
      <c r="N399" s="76">
        <f>100</f>
        <v>100</v>
      </c>
      <c r="O399" s="79">
        <v>240</v>
      </c>
      <c r="P399" s="79">
        <v>160</v>
      </c>
      <c r="Q399" s="79">
        <f t="shared" si="54"/>
        <v>195</v>
      </c>
      <c r="R399" s="79">
        <f t="shared" si="55"/>
        <v>100</v>
      </c>
      <c r="S399" s="76">
        <f t="shared" si="56"/>
        <v>695</v>
      </c>
      <c r="T399" s="76">
        <f>50</f>
        <v>50</v>
      </c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</row>
    <row r="400" spans="1:30" ht="15.75" x14ac:dyDescent="0.25">
      <c r="A400" s="33">
        <v>53113</v>
      </c>
      <c r="B400" s="89">
        <v>31</v>
      </c>
      <c r="C400" s="76">
        <f>194.205</f>
        <v>194.20500000000001</v>
      </c>
      <c r="D400" s="76">
        <f>267.466</f>
        <v>267.46600000000001</v>
      </c>
      <c r="E400" s="85">
        <f>133.845</f>
        <v>133.845</v>
      </c>
      <c r="F400" s="76">
        <f>278.484-40-25-60-100</f>
        <v>53.48399999999998</v>
      </c>
      <c r="G400" s="79">
        <v>40</v>
      </c>
      <c r="H400" s="76">
        <f t="shared" si="63"/>
        <v>185</v>
      </c>
      <c r="I400" s="76">
        <f t="shared" si="60"/>
        <v>0</v>
      </c>
      <c r="J400" s="79">
        <v>100</v>
      </c>
      <c r="K400" s="79">
        <v>300</v>
      </c>
      <c r="L400" s="76">
        <f t="shared" ref="L400:L463" si="64">SUM(C400:K400)</f>
        <v>1274</v>
      </c>
      <c r="M400" s="87">
        <v>600</v>
      </c>
      <c r="N400" s="76">
        <f>75</f>
        <v>75</v>
      </c>
      <c r="O400" s="79">
        <v>240</v>
      </c>
      <c r="P400" s="79">
        <v>160</v>
      </c>
      <c r="Q400" s="79">
        <f t="shared" ref="Q400:Q463" si="65">695-R400-O400-P400</f>
        <v>195</v>
      </c>
      <c r="R400" s="79">
        <f t="shared" ref="R400:R463" si="66">200-J400</f>
        <v>100</v>
      </c>
      <c r="S400" s="76">
        <f t="shared" ref="S400:S463" si="67">SUM(O400:R400)</f>
        <v>695</v>
      </c>
      <c r="T400" s="76">
        <f>50</f>
        <v>50</v>
      </c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</row>
    <row r="401" spans="1:30" ht="15.75" x14ac:dyDescent="0.25">
      <c r="A401" s="33">
        <v>53143</v>
      </c>
      <c r="B401" s="89">
        <v>30</v>
      </c>
      <c r="C401" s="76">
        <f>194.205</f>
        <v>194.20500000000001</v>
      </c>
      <c r="D401" s="76">
        <f>267.466</f>
        <v>267.46600000000001</v>
      </c>
      <c r="E401" s="85">
        <f>133.845</f>
        <v>133.845</v>
      </c>
      <c r="F401" s="76">
        <f>278.484-40-25-60-100</f>
        <v>53.48399999999998</v>
      </c>
      <c r="G401" s="79">
        <v>40</v>
      </c>
      <c r="H401" s="76">
        <f t="shared" si="63"/>
        <v>185</v>
      </c>
      <c r="I401" s="76">
        <f t="shared" si="60"/>
        <v>0</v>
      </c>
      <c r="J401" s="79">
        <v>100</v>
      </c>
      <c r="K401" s="79">
        <v>300</v>
      </c>
      <c r="L401" s="76">
        <f t="shared" si="64"/>
        <v>1274</v>
      </c>
      <c r="M401" s="87">
        <v>600</v>
      </c>
      <c r="N401" s="76">
        <f>30</f>
        <v>30</v>
      </c>
      <c r="O401" s="79">
        <v>240</v>
      </c>
      <c r="P401" s="79">
        <v>160</v>
      </c>
      <c r="Q401" s="79">
        <f t="shared" si="65"/>
        <v>195</v>
      </c>
      <c r="R401" s="79">
        <f t="shared" si="66"/>
        <v>100</v>
      </c>
      <c r="S401" s="76">
        <f t="shared" si="67"/>
        <v>695</v>
      </c>
      <c r="T401" s="76">
        <f>50</f>
        <v>50</v>
      </c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</row>
    <row r="402" spans="1:30" ht="15.75" x14ac:dyDescent="0.25">
      <c r="A402" s="33">
        <v>53174</v>
      </c>
      <c r="B402" s="89">
        <v>31</v>
      </c>
      <c r="C402" s="76">
        <f>194.205</f>
        <v>194.20500000000001</v>
      </c>
      <c r="D402" s="76">
        <f>267.466</f>
        <v>267.46600000000001</v>
      </c>
      <c r="E402" s="85">
        <f>133.845</f>
        <v>133.845</v>
      </c>
      <c r="F402" s="76">
        <f>278.484-40-25-60-100</f>
        <v>53.48399999999998</v>
      </c>
      <c r="G402" s="79">
        <v>40</v>
      </c>
      <c r="H402" s="76">
        <f t="shared" si="63"/>
        <v>185</v>
      </c>
      <c r="I402" s="76">
        <f t="shared" si="60"/>
        <v>0</v>
      </c>
      <c r="J402" s="79">
        <v>100</v>
      </c>
      <c r="K402" s="79">
        <v>300</v>
      </c>
      <c r="L402" s="76">
        <f t="shared" si="64"/>
        <v>1274</v>
      </c>
      <c r="M402" s="87">
        <v>600</v>
      </c>
      <c r="N402" s="76">
        <f>30</f>
        <v>30</v>
      </c>
      <c r="O402" s="79">
        <v>240</v>
      </c>
      <c r="P402" s="79">
        <v>160</v>
      </c>
      <c r="Q402" s="79">
        <f t="shared" si="65"/>
        <v>195</v>
      </c>
      <c r="R402" s="79">
        <f t="shared" si="66"/>
        <v>100</v>
      </c>
      <c r="S402" s="76">
        <f t="shared" si="67"/>
        <v>695</v>
      </c>
      <c r="T402" s="76">
        <f>0</f>
        <v>0</v>
      </c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</row>
    <row r="403" spans="1:30" ht="15.75" x14ac:dyDescent="0.25">
      <c r="A403" s="33">
        <v>53205</v>
      </c>
      <c r="B403" s="89">
        <v>31</v>
      </c>
      <c r="C403" s="76">
        <f>194.205</f>
        <v>194.20500000000001</v>
      </c>
      <c r="D403" s="76">
        <f>267.466</f>
        <v>267.46600000000001</v>
      </c>
      <c r="E403" s="85">
        <f>133.845</f>
        <v>133.845</v>
      </c>
      <c r="F403" s="76">
        <f>278.484-40-25-60-100</f>
        <v>53.48399999999998</v>
      </c>
      <c r="G403" s="79">
        <v>40</v>
      </c>
      <c r="H403" s="76">
        <f t="shared" si="63"/>
        <v>185</v>
      </c>
      <c r="I403" s="76">
        <f t="shared" si="60"/>
        <v>0</v>
      </c>
      <c r="J403" s="79">
        <v>100</v>
      </c>
      <c r="K403" s="79">
        <v>300</v>
      </c>
      <c r="L403" s="76">
        <f t="shared" si="64"/>
        <v>1274</v>
      </c>
      <c r="M403" s="87">
        <v>600</v>
      </c>
      <c r="N403" s="76">
        <f>30</f>
        <v>30</v>
      </c>
      <c r="O403" s="79">
        <v>240</v>
      </c>
      <c r="P403" s="79">
        <v>160</v>
      </c>
      <c r="Q403" s="79">
        <f t="shared" si="65"/>
        <v>195</v>
      </c>
      <c r="R403" s="79">
        <f t="shared" si="66"/>
        <v>100</v>
      </c>
      <c r="S403" s="76">
        <f t="shared" si="67"/>
        <v>695</v>
      </c>
      <c r="T403" s="76">
        <f>0</f>
        <v>0</v>
      </c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</row>
    <row r="404" spans="1:30" ht="15.75" x14ac:dyDescent="0.25">
      <c r="A404" s="33">
        <v>53235</v>
      </c>
      <c r="B404" s="89">
        <v>30</v>
      </c>
      <c r="C404" s="76">
        <f>194.205</f>
        <v>194.20500000000001</v>
      </c>
      <c r="D404" s="76">
        <f>267.466</f>
        <v>267.46600000000001</v>
      </c>
      <c r="E404" s="85">
        <f>133.845</f>
        <v>133.845</v>
      </c>
      <c r="F404" s="76">
        <f>278.484-40-25-60-100</f>
        <v>53.48399999999998</v>
      </c>
      <c r="G404" s="79">
        <v>40</v>
      </c>
      <c r="H404" s="76">
        <f t="shared" si="63"/>
        <v>185</v>
      </c>
      <c r="I404" s="76">
        <f t="shared" si="60"/>
        <v>0</v>
      </c>
      <c r="J404" s="79">
        <v>100</v>
      </c>
      <c r="K404" s="79">
        <v>300</v>
      </c>
      <c r="L404" s="76">
        <f t="shared" si="64"/>
        <v>1274</v>
      </c>
      <c r="M404" s="87">
        <v>600</v>
      </c>
      <c r="N404" s="76">
        <f>30</f>
        <v>30</v>
      </c>
      <c r="O404" s="79">
        <v>240</v>
      </c>
      <c r="P404" s="79">
        <v>160</v>
      </c>
      <c r="Q404" s="79">
        <f t="shared" si="65"/>
        <v>195</v>
      </c>
      <c r="R404" s="79">
        <f t="shared" si="66"/>
        <v>100</v>
      </c>
      <c r="S404" s="76">
        <f t="shared" si="67"/>
        <v>695</v>
      </c>
      <c r="T404" s="76">
        <f>0</f>
        <v>0</v>
      </c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</row>
    <row r="405" spans="1:30" ht="15.75" x14ac:dyDescent="0.25">
      <c r="A405" s="33">
        <v>53266</v>
      </c>
      <c r="B405" s="89">
        <v>31</v>
      </c>
      <c r="C405" s="76">
        <f>131.881</f>
        <v>131.881</v>
      </c>
      <c r="D405" s="76">
        <f>277.167</f>
        <v>277.16699999999997</v>
      </c>
      <c r="E405" s="85">
        <f>79.08</f>
        <v>79.08</v>
      </c>
      <c r="F405" s="76">
        <f>350.872-40-25-60-100</f>
        <v>125.87200000000001</v>
      </c>
      <c r="G405" s="79">
        <v>40</v>
      </c>
      <c r="H405" s="76">
        <f t="shared" si="63"/>
        <v>185</v>
      </c>
      <c r="I405" s="76">
        <f t="shared" si="60"/>
        <v>0</v>
      </c>
      <c r="J405" s="79">
        <v>100</v>
      </c>
      <c r="K405" s="79">
        <v>300</v>
      </c>
      <c r="L405" s="76">
        <f t="shared" si="64"/>
        <v>1239</v>
      </c>
      <c r="M405" s="87">
        <v>600</v>
      </c>
      <c r="N405" s="76">
        <f>75</f>
        <v>75</v>
      </c>
      <c r="O405" s="79">
        <v>240</v>
      </c>
      <c r="P405" s="79">
        <v>160</v>
      </c>
      <c r="Q405" s="79">
        <f t="shared" si="65"/>
        <v>195</v>
      </c>
      <c r="R405" s="79">
        <f t="shared" si="66"/>
        <v>100</v>
      </c>
      <c r="S405" s="76">
        <f t="shared" si="67"/>
        <v>695</v>
      </c>
      <c r="T405" s="76">
        <f>0</f>
        <v>0</v>
      </c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</row>
    <row r="406" spans="1:30" ht="15.75" x14ac:dyDescent="0.25">
      <c r="A406" s="33">
        <v>53296</v>
      </c>
      <c r="B406" s="89">
        <v>30</v>
      </c>
      <c r="C406" s="76">
        <f>122.58</f>
        <v>122.58</v>
      </c>
      <c r="D406" s="76">
        <f>297.941</f>
        <v>297.94099999999997</v>
      </c>
      <c r="E406" s="85">
        <f>89.177</f>
        <v>89.177000000000007</v>
      </c>
      <c r="F406" s="76">
        <f>240.302-40-60-100</f>
        <v>40.301999999999992</v>
      </c>
      <c r="G406" s="79">
        <v>40</v>
      </c>
      <c r="H406" s="76">
        <f>60+100</f>
        <v>160</v>
      </c>
      <c r="I406" s="76">
        <f t="shared" si="60"/>
        <v>0</v>
      </c>
      <c r="J406" s="79">
        <v>100</v>
      </c>
      <c r="K406" s="79">
        <v>300</v>
      </c>
      <c r="L406" s="76">
        <f t="shared" si="64"/>
        <v>1150</v>
      </c>
      <c r="M406" s="87">
        <v>600</v>
      </c>
      <c r="N406" s="76">
        <f>100</f>
        <v>100</v>
      </c>
      <c r="O406" s="79">
        <v>240</v>
      </c>
      <c r="P406" s="79">
        <v>40</v>
      </c>
      <c r="Q406" s="79">
        <f t="shared" si="65"/>
        <v>315</v>
      </c>
      <c r="R406" s="79">
        <f t="shared" si="66"/>
        <v>100</v>
      </c>
      <c r="S406" s="76">
        <f t="shared" si="67"/>
        <v>695</v>
      </c>
      <c r="T406" s="76">
        <f>50</f>
        <v>50</v>
      </c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</row>
    <row r="407" spans="1:30" ht="15.75" x14ac:dyDescent="0.25">
      <c r="A407" s="33">
        <v>53327</v>
      </c>
      <c r="B407" s="89">
        <v>31</v>
      </c>
      <c r="C407" s="76">
        <f>122.58</f>
        <v>122.58</v>
      </c>
      <c r="D407" s="76">
        <f>297.941</f>
        <v>297.94099999999997</v>
      </c>
      <c r="E407" s="85">
        <f>89.177</f>
        <v>89.177000000000007</v>
      </c>
      <c r="F407" s="76">
        <f>240.302-40-60-100</f>
        <v>40.301999999999992</v>
      </c>
      <c r="G407" s="79">
        <v>40</v>
      </c>
      <c r="H407" s="76">
        <f>60+100</f>
        <v>160</v>
      </c>
      <c r="I407" s="76">
        <f t="shared" si="60"/>
        <v>0</v>
      </c>
      <c r="J407" s="79">
        <v>100</v>
      </c>
      <c r="K407" s="79">
        <v>300</v>
      </c>
      <c r="L407" s="76">
        <f t="shared" si="64"/>
        <v>1150</v>
      </c>
      <c r="M407" s="87">
        <v>600</v>
      </c>
      <c r="N407" s="76">
        <f>100</f>
        <v>100</v>
      </c>
      <c r="O407" s="79">
        <v>240</v>
      </c>
      <c r="P407" s="79">
        <v>40</v>
      </c>
      <c r="Q407" s="79">
        <f t="shared" si="65"/>
        <v>315</v>
      </c>
      <c r="R407" s="79">
        <f t="shared" si="66"/>
        <v>100</v>
      </c>
      <c r="S407" s="76">
        <f t="shared" si="67"/>
        <v>695</v>
      </c>
      <c r="T407" s="76">
        <f>50</f>
        <v>50</v>
      </c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</row>
    <row r="408" spans="1:30" ht="15.75" x14ac:dyDescent="0.25">
      <c r="A408" s="33">
        <v>53358</v>
      </c>
      <c r="B408" s="89">
        <v>31</v>
      </c>
      <c r="C408" s="76">
        <f>122.58</f>
        <v>122.58</v>
      </c>
      <c r="D408" s="76">
        <f>297.941</f>
        <v>297.94099999999997</v>
      </c>
      <c r="E408" s="85">
        <f>89.177</f>
        <v>89.177000000000007</v>
      </c>
      <c r="F408" s="76">
        <f>240.302-40-60-100</f>
        <v>40.301999999999992</v>
      </c>
      <c r="G408" s="79">
        <v>40</v>
      </c>
      <c r="H408" s="76">
        <f>60+100</f>
        <v>160</v>
      </c>
      <c r="I408" s="76">
        <f t="shared" si="60"/>
        <v>0</v>
      </c>
      <c r="J408" s="79">
        <v>100</v>
      </c>
      <c r="K408" s="79">
        <v>300</v>
      </c>
      <c r="L408" s="76">
        <f t="shared" si="64"/>
        <v>1150</v>
      </c>
      <c r="M408" s="87">
        <v>600</v>
      </c>
      <c r="N408" s="76">
        <f>100</f>
        <v>100</v>
      </c>
      <c r="O408" s="79">
        <v>240</v>
      </c>
      <c r="P408" s="79">
        <v>40</v>
      </c>
      <c r="Q408" s="79">
        <f t="shared" si="65"/>
        <v>315</v>
      </c>
      <c r="R408" s="79">
        <f t="shared" si="66"/>
        <v>100</v>
      </c>
      <c r="S408" s="76">
        <f t="shared" si="67"/>
        <v>695</v>
      </c>
      <c r="T408" s="76">
        <f>50</f>
        <v>50</v>
      </c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</row>
    <row r="409" spans="1:30" ht="15.75" x14ac:dyDescent="0.25">
      <c r="A409" s="33">
        <v>53386</v>
      </c>
      <c r="B409" s="89">
        <v>28</v>
      </c>
      <c r="C409" s="76">
        <f>122.58</f>
        <v>122.58</v>
      </c>
      <c r="D409" s="76">
        <f>297.941</f>
        <v>297.94099999999997</v>
      </c>
      <c r="E409" s="85">
        <f>89.177</f>
        <v>89.177000000000007</v>
      </c>
      <c r="F409" s="76">
        <f>240.302-40-60-100</f>
        <v>40.301999999999992</v>
      </c>
      <c r="G409" s="79">
        <v>40</v>
      </c>
      <c r="H409" s="76">
        <f>60+100</f>
        <v>160</v>
      </c>
      <c r="I409" s="76">
        <f t="shared" si="60"/>
        <v>0</v>
      </c>
      <c r="J409" s="79">
        <v>100</v>
      </c>
      <c r="K409" s="79">
        <v>300</v>
      </c>
      <c r="L409" s="76">
        <f t="shared" si="64"/>
        <v>1150</v>
      </c>
      <c r="M409" s="87">
        <v>600</v>
      </c>
      <c r="N409" s="76">
        <f>100</f>
        <v>100</v>
      </c>
      <c r="O409" s="79">
        <v>240</v>
      </c>
      <c r="P409" s="79">
        <v>40</v>
      </c>
      <c r="Q409" s="79">
        <f t="shared" si="65"/>
        <v>315</v>
      </c>
      <c r="R409" s="79">
        <f t="shared" si="66"/>
        <v>100</v>
      </c>
      <c r="S409" s="76">
        <f t="shared" si="67"/>
        <v>695</v>
      </c>
      <c r="T409" s="76">
        <f>50</f>
        <v>50</v>
      </c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</row>
    <row r="410" spans="1:30" ht="15.75" x14ac:dyDescent="0.25">
      <c r="A410" s="33">
        <v>53417</v>
      </c>
      <c r="B410" s="89">
        <v>31</v>
      </c>
      <c r="C410" s="76">
        <f>122.58</f>
        <v>122.58</v>
      </c>
      <c r="D410" s="76">
        <f>297.941</f>
        <v>297.94099999999997</v>
      </c>
      <c r="E410" s="85">
        <f>89.177</f>
        <v>89.177000000000007</v>
      </c>
      <c r="F410" s="76">
        <f>240.302-40-60-100</f>
        <v>40.301999999999992</v>
      </c>
      <c r="G410" s="79">
        <v>40</v>
      </c>
      <c r="H410" s="76">
        <f>60+100</f>
        <v>160</v>
      </c>
      <c r="I410" s="76">
        <f t="shared" si="60"/>
        <v>0</v>
      </c>
      <c r="J410" s="79">
        <v>100</v>
      </c>
      <c r="K410" s="79">
        <v>300</v>
      </c>
      <c r="L410" s="76">
        <f t="shared" si="64"/>
        <v>1150</v>
      </c>
      <c r="M410" s="87">
        <v>600</v>
      </c>
      <c r="N410" s="76">
        <f>100</f>
        <v>100</v>
      </c>
      <c r="O410" s="79">
        <v>240</v>
      </c>
      <c r="P410" s="79">
        <v>40</v>
      </c>
      <c r="Q410" s="79">
        <f t="shared" si="65"/>
        <v>315</v>
      </c>
      <c r="R410" s="79">
        <f t="shared" si="66"/>
        <v>100</v>
      </c>
      <c r="S410" s="76">
        <f t="shared" si="67"/>
        <v>695</v>
      </c>
      <c r="T410" s="76">
        <f>50</f>
        <v>50</v>
      </c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</row>
    <row r="411" spans="1:30" ht="15.75" x14ac:dyDescent="0.25">
      <c r="A411" s="33">
        <v>53447</v>
      </c>
      <c r="B411" s="89">
        <v>30</v>
      </c>
      <c r="C411" s="76">
        <f>141.293</f>
        <v>141.29300000000001</v>
      </c>
      <c r="D411" s="76">
        <f>267.993</f>
        <v>267.99299999999999</v>
      </c>
      <c r="E411" s="85">
        <f>115.016</f>
        <v>115.01600000000001</v>
      </c>
      <c r="F411" s="76">
        <f>314.698-40-25-60-100</f>
        <v>89.697999999999979</v>
      </c>
      <c r="G411" s="79">
        <v>40</v>
      </c>
      <c r="H411" s="76">
        <f t="shared" ref="H411:H417" si="68">25+60+100</f>
        <v>185</v>
      </c>
      <c r="I411" s="76">
        <f t="shared" si="60"/>
        <v>0</v>
      </c>
      <c r="J411" s="79">
        <v>100</v>
      </c>
      <c r="K411" s="79">
        <v>300</v>
      </c>
      <c r="L411" s="76">
        <f t="shared" si="64"/>
        <v>1239</v>
      </c>
      <c r="M411" s="87">
        <v>600</v>
      </c>
      <c r="N411" s="76">
        <f>100</f>
        <v>100</v>
      </c>
      <c r="O411" s="79">
        <v>240</v>
      </c>
      <c r="P411" s="79">
        <v>160</v>
      </c>
      <c r="Q411" s="79">
        <f t="shared" si="65"/>
        <v>195</v>
      </c>
      <c r="R411" s="79">
        <f t="shared" si="66"/>
        <v>100</v>
      </c>
      <c r="S411" s="76">
        <f t="shared" si="67"/>
        <v>695</v>
      </c>
      <c r="T411" s="76">
        <f>50</f>
        <v>50</v>
      </c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</row>
    <row r="412" spans="1:30" ht="15.75" x14ac:dyDescent="0.25">
      <c r="A412" s="33">
        <v>53478</v>
      </c>
      <c r="B412" s="89">
        <v>31</v>
      </c>
      <c r="C412" s="76">
        <f>194.205</f>
        <v>194.20500000000001</v>
      </c>
      <c r="D412" s="76">
        <f>267.466</f>
        <v>267.46600000000001</v>
      </c>
      <c r="E412" s="85">
        <f>133.845</f>
        <v>133.845</v>
      </c>
      <c r="F412" s="76">
        <f>278.484-40-25-60-100</f>
        <v>53.48399999999998</v>
      </c>
      <c r="G412" s="79">
        <v>40</v>
      </c>
      <c r="H412" s="76">
        <f t="shared" si="68"/>
        <v>185</v>
      </c>
      <c r="I412" s="76">
        <f t="shared" si="60"/>
        <v>0</v>
      </c>
      <c r="J412" s="79">
        <v>100</v>
      </c>
      <c r="K412" s="79">
        <v>300</v>
      </c>
      <c r="L412" s="76">
        <f t="shared" si="64"/>
        <v>1274</v>
      </c>
      <c r="M412" s="87">
        <v>600</v>
      </c>
      <c r="N412" s="76">
        <f>75</f>
        <v>75</v>
      </c>
      <c r="O412" s="79">
        <v>240</v>
      </c>
      <c r="P412" s="79">
        <v>160</v>
      </c>
      <c r="Q412" s="79">
        <f t="shared" si="65"/>
        <v>195</v>
      </c>
      <c r="R412" s="79">
        <f t="shared" si="66"/>
        <v>100</v>
      </c>
      <c r="S412" s="76">
        <f t="shared" si="67"/>
        <v>695</v>
      </c>
      <c r="T412" s="76">
        <f>50</f>
        <v>50</v>
      </c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</row>
    <row r="413" spans="1:30" ht="15.75" x14ac:dyDescent="0.25">
      <c r="A413" s="33">
        <v>53508</v>
      </c>
      <c r="B413" s="89">
        <v>30</v>
      </c>
      <c r="C413" s="76">
        <f>194.205</f>
        <v>194.20500000000001</v>
      </c>
      <c r="D413" s="76">
        <f>267.466</f>
        <v>267.46600000000001</v>
      </c>
      <c r="E413" s="85">
        <f>133.845</f>
        <v>133.845</v>
      </c>
      <c r="F413" s="76">
        <f>278.484-40-25-60-100</f>
        <v>53.48399999999998</v>
      </c>
      <c r="G413" s="79">
        <v>40</v>
      </c>
      <c r="H413" s="76">
        <f t="shared" si="68"/>
        <v>185</v>
      </c>
      <c r="I413" s="76">
        <f t="shared" si="60"/>
        <v>0</v>
      </c>
      <c r="J413" s="79">
        <v>100</v>
      </c>
      <c r="K413" s="79">
        <v>300</v>
      </c>
      <c r="L413" s="76">
        <f t="shared" si="64"/>
        <v>1274</v>
      </c>
      <c r="M413" s="87">
        <v>600</v>
      </c>
      <c r="N413" s="76">
        <f>30</f>
        <v>30</v>
      </c>
      <c r="O413" s="79">
        <v>240</v>
      </c>
      <c r="P413" s="79">
        <v>160</v>
      </c>
      <c r="Q413" s="79">
        <f t="shared" si="65"/>
        <v>195</v>
      </c>
      <c r="R413" s="79">
        <f t="shared" si="66"/>
        <v>100</v>
      </c>
      <c r="S413" s="76">
        <f t="shared" si="67"/>
        <v>695</v>
      </c>
      <c r="T413" s="76">
        <f>50</f>
        <v>50</v>
      </c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</row>
    <row r="414" spans="1:30" ht="15.75" x14ac:dyDescent="0.25">
      <c r="A414" s="33">
        <v>53539</v>
      </c>
      <c r="B414" s="89">
        <v>31</v>
      </c>
      <c r="C414" s="76">
        <f>194.205</f>
        <v>194.20500000000001</v>
      </c>
      <c r="D414" s="76">
        <f>267.466</f>
        <v>267.46600000000001</v>
      </c>
      <c r="E414" s="85">
        <f>133.845</f>
        <v>133.845</v>
      </c>
      <c r="F414" s="76">
        <f>278.484-40-25-60-100</f>
        <v>53.48399999999998</v>
      </c>
      <c r="G414" s="79">
        <v>40</v>
      </c>
      <c r="H414" s="76">
        <f t="shared" si="68"/>
        <v>185</v>
      </c>
      <c r="I414" s="76">
        <f t="shared" si="60"/>
        <v>0</v>
      </c>
      <c r="J414" s="79">
        <v>100</v>
      </c>
      <c r="K414" s="79">
        <v>300</v>
      </c>
      <c r="L414" s="76">
        <f t="shared" si="64"/>
        <v>1274</v>
      </c>
      <c r="M414" s="87">
        <v>600</v>
      </c>
      <c r="N414" s="76">
        <f>30</f>
        <v>30</v>
      </c>
      <c r="O414" s="79">
        <v>240</v>
      </c>
      <c r="P414" s="79">
        <v>160</v>
      </c>
      <c r="Q414" s="79">
        <f t="shared" si="65"/>
        <v>195</v>
      </c>
      <c r="R414" s="79">
        <f t="shared" si="66"/>
        <v>100</v>
      </c>
      <c r="S414" s="76">
        <f t="shared" si="67"/>
        <v>695</v>
      </c>
      <c r="T414" s="76">
        <f>0</f>
        <v>0</v>
      </c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</row>
    <row r="415" spans="1:30" ht="15.75" x14ac:dyDescent="0.25">
      <c r="A415" s="33">
        <v>53570</v>
      </c>
      <c r="B415" s="89">
        <v>31</v>
      </c>
      <c r="C415" s="76">
        <f>194.205</f>
        <v>194.20500000000001</v>
      </c>
      <c r="D415" s="76">
        <f>267.466</f>
        <v>267.46600000000001</v>
      </c>
      <c r="E415" s="85">
        <f>133.845</f>
        <v>133.845</v>
      </c>
      <c r="F415" s="76">
        <f>278.484-40-25-60-100</f>
        <v>53.48399999999998</v>
      </c>
      <c r="G415" s="79">
        <v>40</v>
      </c>
      <c r="H415" s="76">
        <f t="shared" si="68"/>
        <v>185</v>
      </c>
      <c r="I415" s="76">
        <f t="shared" si="60"/>
        <v>0</v>
      </c>
      <c r="J415" s="79">
        <v>100</v>
      </c>
      <c r="K415" s="79">
        <v>300</v>
      </c>
      <c r="L415" s="76">
        <f t="shared" si="64"/>
        <v>1274</v>
      </c>
      <c r="M415" s="87">
        <v>600</v>
      </c>
      <c r="N415" s="76">
        <f>30</f>
        <v>30</v>
      </c>
      <c r="O415" s="79">
        <v>240</v>
      </c>
      <c r="P415" s="79">
        <v>160</v>
      </c>
      <c r="Q415" s="79">
        <f t="shared" si="65"/>
        <v>195</v>
      </c>
      <c r="R415" s="79">
        <f t="shared" si="66"/>
        <v>100</v>
      </c>
      <c r="S415" s="76">
        <f t="shared" si="67"/>
        <v>695</v>
      </c>
      <c r="T415" s="76">
        <f>0</f>
        <v>0</v>
      </c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</row>
    <row r="416" spans="1:30" ht="15.75" x14ac:dyDescent="0.25">
      <c r="A416" s="33">
        <v>53600</v>
      </c>
      <c r="B416" s="89">
        <v>30</v>
      </c>
      <c r="C416" s="76">
        <f>194.205</f>
        <v>194.20500000000001</v>
      </c>
      <c r="D416" s="76">
        <f>267.466</f>
        <v>267.46600000000001</v>
      </c>
      <c r="E416" s="85">
        <f>133.845</f>
        <v>133.845</v>
      </c>
      <c r="F416" s="76">
        <f>278.484-40-25-60-100</f>
        <v>53.48399999999998</v>
      </c>
      <c r="G416" s="79">
        <v>40</v>
      </c>
      <c r="H416" s="76">
        <f t="shared" si="68"/>
        <v>185</v>
      </c>
      <c r="I416" s="76">
        <f t="shared" si="60"/>
        <v>0</v>
      </c>
      <c r="J416" s="79">
        <v>100</v>
      </c>
      <c r="K416" s="79">
        <v>300</v>
      </c>
      <c r="L416" s="76">
        <f t="shared" si="64"/>
        <v>1274</v>
      </c>
      <c r="M416" s="87">
        <v>600</v>
      </c>
      <c r="N416" s="76">
        <f>30</f>
        <v>30</v>
      </c>
      <c r="O416" s="79">
        <v>240</v>
      </c>
      <c r="P416" s="79">
        <v>160</v>
      </c>
      <c r="Q416" s="79">
        <f t="shared" si="65"/>
        <v>195</v>
      </c>
      <c r="R416" s="79">
        <f t="shared" si="66"/>
        <v>100</v>
      </c>
      <c r="S416" s="76">
        <f t="shared" si="67"/>
        <v>695</v>
      </c>
      <c r="T416" s="76">
        <f>0</f>
        <v>0</v>
      </c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</row>
    <row r="417" spans="1:30" ht="15.75" x14ac:dyDescent="0.25">
      <c r="A417" s="33">
        <v>53631</v>
      </c>
      <c r="B417" s="89">
        <v>31</v>
      </c>
      <c r="C417" s="76">
        <f>131.881</f>
        <v>131.881</v>
      </c>
      <c r="D417" s="76">
        <f>277.167</f>
        <v>277.16699999999997</v>
      </c>
      <c r="E417" s="85">
        <f>79.08</f>
        <v>79.08</v>
      </c>
      <c r="F417" s="76">
        <f>350.872-40-25-60-100</f>
        <v>125.87200000000001</v>
      </c>
      <c r="G417" s="79">
        <v>40</v>
      </c>
      <c r="H417" s="76">
        <f t="shared" si="68"/>
        <v>185</v>
      </c>
      <c r="I417" s="76">
        <f t="shared" si="60"/>
        <v>0</v>
      </c>
      <c r="J417" s="79">
        <v>100</v>
      </c>
      <c r="K417" s="79">
        <v>300</v>
      </c>
      <c r="L417" s="76">
        <f t="shared" si="64"/>
        <v>1239</v>
      </c>
      <c r="M417" s="87">
        <v>600</v>
      </c>
      <c r="N417" s="76">
        <f>75</f>
        <v>75</v>
      </c>
      <c r="O417" s="79">
        <v>240</v>
      </c>
      <c r="P417" s="79">
        <v>160</v>
      </c>
      <c r="Q417" s="79">
        <f t="shared" si="65"/>
        <v>195</v>
      </c>
      <c r="R417" s="79">
        <f t="shared" si="66"/>
        <v>100</v>
      </c>
      <c r="S417" s="76">
        <f t="shared" si="67"/>
        <v>695</v>
      </c>
      <c r="T417" s="76">
        <f>0</f>
        <v>0</v>
      </c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</row>
    <row r="418" spans="1:30" ht="15.75" x14ac:dyDescent="0.25">
      <c r="A418" s="33">
        <v>53661</v>
      </c>
      <c r="B418" s="89">
        <v>30</v>
      </c>
      <c r="C418" s="76">
        <f>122.58</f>
        <v>122.58</v>
      </c>
      <c r="D418" s="76">
        <f>297.941</f>
        <v>297.94099999999997</v>
      </c>
      <c r="E418" s="85">
        <f>89.177</f>
        <v>89.177000000000007</v>
      </c>
      <c r="F418" s="76">
        <f>240.302-40-60-100</f>
        <v>40.301999999999992</v>
      </c>
      <c r="G418" s="79">
        <v>40</v>
      </c>
      <c r="H418" s="76">
        <f>60+100</f>
        <v>160</v>
      </c>
      <c r="I418" s="76">
        <f t="shared" si="60"/>
        <v>0</v>
      </c>
      <c r="J418" s="79">
        <v>100</v>
      </c>
      <c r="K418" s="79">
        <v>300</v>
      </c>
      <c r="L418" s="76">
        <f t="shared" si="64"/>
        <v>1150</v>
      </c>
      <c r="M418" s="87">
        <v>600</v>
      </c>
      <c r="N418" s="76">
        <f>100</f>
        <v>100</v>
      </c>
      <c r="O418" s="79">
        <v>240</v>
      </c>
      <c r="P418" s="79">
        <v>40</v>
      </c>
      <c r="Q418" s="79">
        <f t="shared" si="65"/>
        <v>315</v>
      </c>
      <c r="R418" s="79">
        <f t="shared" si="66"/>
        <v>100</v>
      </c>
      <c r="S418" s="76">
        <f t="shared" si="67"/>
        <v>695</v>
      </c>
      <c r="T418" s="76">
        <f>50</f>
        <v>50</v>
      </c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</row>
    <row r="419" spans="1:30" ht="15.75" x14ac:dyDescent="0.25">
      <c r="A419" s="33">
        <v>53692</v>
      </c>
      <c r="B419" s="89">
        <v>31</v>
      </c>
      <c r="C419" s="76">
        <f>122.58</f>
        <v>122.58</v>
      </c>
      <c r="D419" s="76">
        <f>297.941</f>
        <v>297.94099999999997</v>
      </c>
      <c r="E419" s="85">
        <f>89.177</f>
        <v>89.177000000000007</v>
      </c>
      <c r="F419" s="76">
        <f>240.302-40-60-100</f>
        <v>40.301999999999992</v>
      </c>
      <c r="G419" s="79">
        <v>40</v>
      </c>
      <c r="H419" s="76">
        <f>60+100</f>
        <v>160</v>
      </c>
      <c r="I419" s="76">
        <f t="shared" si="60"/>
        <v>0</v>
      </c>
      <c r="J419" s="79">
        <v>100</v>
      </c>
      <c r="K419" s="79">
        <v>300</v>
      </c>
      <c r="L419" s="76">
        <f t="shared" si="64"/>
        <v>1150</v>
      </c>
      <c r="M419" s="87">
        <v>600</v>
      </c>
      <c r="N419" s="76">
        <f>100</f>
        <v>100</v>
      </c>
      <c r="O419" s="79">
        <v>240</v>
      </c>
      <c r="P419" s="79">
        <v>40</v>
      </c>
      <c r="Q419" s="79">
        <f t="shared" si="65"/>
        <v>315</v>
      </c>
      <c r="R419" s="79">
        <f t="shared" si="66"/>
        <v>100</v>
      </c>
      <c r="S419" s="76">
        <f t="shared" si="67"/>
        <v>695</v>
      </c>
      <c r="T419" s="76">
        <f>50</f>
        <v>50</v>
      </c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</row>
    <row r="420" spans="1:30" ht="15.75" x14ac:dyDescent="0.25">
      <c r="A420" s="33">
        <v>53723</v>
      </c>
      <c r="B420" s="89">
        <v>31</v>
      </c>
      <c r="C420" s="76">
        <f>122.58</f>
        <v>122.58</v>
      </c>
      <c r="D420" s="76">
        <f>297.941</f>
        <v>297.94099999999997</v>
      </c>
      <c r="E420" s="85">
        <f>89.177</f>
        <v>89.177000000000007</v>
      </c>
      <c r="F420" s="76">
        <f>240.302-40-60-100</f>
        <v>40.301999999999992</v>
      </c>
      <c r="G420" s="79">
        <v>40</v>
      </c>
      <c r="H420" s="76">
        <f>60+100</f>
        <v>160</v>
      </c>
      <c r="I420" s="76">
        <f t="shared" si="60"/>
        <v>0</v>
      </c>
      <c r="J420" s="79">
        <v>100</v>
      </c>
      <c r="K420" s="79">
        <v>300</v>
      </c>
      <c r="L420" s="76">
        <f t="shared" si="64"/>
        <v>1150</v>
      </c>
      <c r="M420" s="87">
        <v>600</v>
      </c>
      <c r="N420" s="76">
        <f>100</f>
        <v>100</v>
      </c>
      <c r="O420" s="79">
        <v>240</v>
      </c>
      <c r="P420" s="79">
        <v>40</v>
      </c>
      <c r="Q420" s="79">
        <f t="shared" si="65"/>
        <v>315</v>
      </c>
      <c r="R420" s="79">
        <f t="shared" si="66"/>
        <v>100</v>
      </c>
      <c r="S420" s="76">
        <f t="shared" si="67"/>
        <v>695</v>
      </c>
      <c r="T420" s="76">
        <f>50</f>
        <v>50</v>
      </c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</row>
    <row r="421" spans="1:30" ht="15.75" x14ac:dyDescent="0.25">
      <c r="A421" s="33">
        <v>53751</v>
      </c>
      <c r="B421" s="89">
        <v>28</v>
      </c>
      <c r="C421" s="76">
        <f>122.58</f>
        <v>122.58</v>
      </c>
      <c r="D421" s="76">
        <f>297.941</f>
        <v>297.94099999999997</v>
      </c>
      <c r="E421" s="85">
        <f>89.177</f>
        <v>89.177000000000007</v>
      </c>
      <c r="F421" s="76">
        <f>240.302-40-60-100</f>
        <v>40.301999999999992</v>
      </c>
      <c r="G421" s="79">
        <v>40</v>
      </c>
      <c r="H421" s="76">
        <f>60+100</f>
        <v>160</v>
      </c>
      <c r="I421" s="76">
        <f t="shared" si="60"/>
        <v>0</v>
      </c>
      <c r="J421" s="79">
        <v>100</v>
      </c>
      <c r="K421" s="79">
        <v>300</v>
      </c>
      <c r="L421" s="76">
        <f t="shared" si="64"/>
        <v>1150</v>
      </c>
      <c r="M421" s="87">
        <v>600</v>
      </c>
      <c r="N421" s="76">
        <f>100</f>
        <v>100</v>
      </c>
      <c r="O421" s="79">
        <v>240</v>
      </c>
      <c r="P421" s="79">
        <v>40</v>
      </c>
      <c r="Q421" s="79">
        <f t="shared" si="65"/>
        <v>315</v>
      </c>
      <c r="R421" s="79">
        <f t="shared" si="66"/>
        <v>100</v>
      </c>
      <c r="S421" s="76">
        <f t="shared" si="67"/>
        <v>695</v>
      </c>
      <c r="T421" s="76">
        <f>50</f>
        <v>50</v>
      </c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</row>
    <row r="422" spans="1:30" ht="15.75" x14ac:dyDescent="0.25">
      <c r="A422" s="33">
        <v>53782</v>
      </c>
      <c r="B422" s="89">
        <v>31</v>
      </c>
      <c r="C422" s="76">
        <f>122.58</f>
        <v>122.58</v>
      </c>
      <c r="D422" s="76">
        <f>297.941</f>
        <v>297.94099999999997</v>
      </c>
      <c r="E422" s="85">
        <f>89.177</f>
        <v>89.177000000000007</v>
      </c>
      <c r="F422" s="76">
        <f>240.302-40-60-100</f>
        <v>40.301999999999992</v>
      </c>
      <c r="G422" s="79">
        <v>40</v>
      </c>
      <c r="H422" s="76">
        <f>60+100</f>
        <v>160</v>
      </c>
      <c r="I422" s="76">
        <f t="shared" si="60"/>
        <v>0</v>
      </c>
      <c r="J422" s="79">
        <v>100</v>
      </c>
      <c r="K422" s="79">
        <v>300</v>
      </c>
      <c r="L422" s="76">
        <f t="shared" si="64"/>
        <v>1150</v>
      </c>
      <c r="M422" s="87">
        <v>600</v>
      </c>
      <c r="N422" s="76">
        <f>100</f>
        <v>100</v>
      </c>
      <c r="O422" s="79">
        <v>240</v>
      </c>
      <c r="P422" s="79">
        <v>40</v>
      </c>
      <c r="Q422" s="79">
        <f t="shared" si="65"/>
        <v>315</v>
      </c>
      <c r="R422" s="79">
        <f t="shared" si="66"/>
        <v>100</v>
      </c>
      <c r="S422" s="76">
        <f t="shared" si="67"/>
        <v>695</v>
      </c>
      <c r="T422" s="76">
        <f>50</f>
        <v>50</v>
      </c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</row>
    <row r="423" spans="1:30" ht="15.75" x14ac:dyDescent="0.25">
      <c r="A423" s="33">
        <v>53812</v>
      </c>
      <c r="B423" s="89">
        <v>30</v>
      </c>
      <c r="C423" s="76">
        <f>141.293</f>
        <v>141.29300000000001</v>
      </c>
      <c r="D423" s="76">
        <f>267.993</f>
        <v>267.99299999999999</v>
      </c>
      <c r="E423" s="85">
        <f>115.016</f>
        <v>115.01600000000001</v>
      </c>
      <c r="F423" s="76">
        <f>314.698-40-25-60-100</f>
        <v>89.697999999999979</v>
      </c>
      <c r="G423" s="79">
        <v>40</v>
      </c>
      <c r="H423" s="76">
        <f t="shared" ref="H423:H429" si="69">25+60+100</f>
        <v>185</v>
      </c>
      <c r="I423" s="76">
        <f t="shared" si="60"/>
        <v>0</v>
      </c>
      <c r="J423" s="79">
        <v>100</v>
      </c>
      <c r="K423" s="79">
        <v>300</v>
      </c>
      <c r="L423" s="76">
        <f t="shared" si="64"/>
        <v>1239</v>
      </c>
      <c r="M423" s="87">
        <v>600</v>
      </c>
      <c r="N423" s="76">
        <f>100</f>
        <v>100</v>
      </c>
      <c r="O423" s="79">
        <v>240</v>
      </c>
      <c r="P423" s="79">
        <v>160</v>
      </c>
      <c r="Q423" s="79">
        <f t="shared" si="65"/>
        <v>195</v>
      </c>
      <c r="R423" s="79">
        <f t="shared" si="66"/>
        <v>100</v>
      </c>
      <c r="S423" s="76">
        <f t="shared" si="67"/>
        <v>695</v>
      </c>
      <c r="T423" s="76">
        <f>50</f>
        <v>50</v>
      </c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</row>
    <row r="424" spans="1:30" ht="15.75" x14ac:dyDescent="0.25">
      <c r="A424" s="33">
        <v>53843</v>
      </c>
      <c r="B424" s="89">
        <v>31</v>
      </c>
      <c r="C424" s="76">
        <f>194.205</f>
        <v>194.20500000000001</v>
      </c>
      <c r="D424" s="76">
        <f>267.466</f>
        <v>267.46600000000001</v>
      </c>
      <c r="E424" s="85">
        <f>133.845</f>
        <v>133.845</v>
      </c>
      <c r="F424" s="76">
        <f>278.484-40-25-60-100</f>
        <v>53.48399999999998</v>
      </c>
      <c r="G424" s="79">
        <v>40</v>
      </c>
      <c r="H424" s="76">
        <f t="shared" si="69"/>
        <v>185</v>
      </c>
      <c r="I424" s="76">
        <f t="shared" si="60"/>
        <v>0</v>
      </c>
      <c r="J424" s="79">
        <v>100</v>
      </c>
      <c r="K424" s="79">
        <v>300</v>
      </c>
      <c r="L424" s="76">
        <f t="shared" si="64"/>
        <v>1274</v>
      </c>
      <c r="M424" s="87">
        <v>600</v>
      </c>
      <c r="N424" s="76">
        <f>75</f>
        <v>75</v>
      </c>
      <c r="O424" s="79">
        <v>240</v>
      </c>
      <c r="P424" s="79">
        <v>160</v>
      </c>
      <c r="Q424" s="79">
        <f t="shared" si="65"/>
        <v>195</v>
      </c>
      <c r="R424" s="79">
        <f t="shared" si="66"/>
        <v>100</v>
      </c>
      <c r="S424" s="76">
        <f t="shared" si="67"/>
        <v>695</v>
      </c>
      <c r="T424" s="76">
        <f>50</f>
        <v>50</v>
      </c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</row>
    <row r="425" spans="1:30" ht="15.75" x14ac:dyDescent="0.25">
      <c r="A425" s="33">
        <v>53873</v>
      </c>
      <c r="B425" s="89">
        <v>30</v>
      </c>
      <c r="C425" s="76">
        <f>194.205</f>
        <v>194.20500000000001</v>
      </c>
      <c r="D425" s="76">
        <f>267.466</f>
        <v>267.46600000000001</v>
      </c>
      <c r="E425" s="85">
        <f>133.845</f>
        <v>133.845</v>
      </c>
      <c r="F425" s="76">
        <f>278.484-40-25-60-100</f>
        <v>53.48399999999998</v>
      </c>
      <c r="G425" s="79">
        <v>40</v>
      </c>
      <c r="H425" s="76">
        <f t="shared" si="69"/>
        <v>185</v>
      </c>
      <c r="I425" s="76">
        <f t="shared" si="60"/>
        <v>0</v>
      </c>
      <c r="J425" s="79">
        <v>100</v>
      </c>
      <c r="K425" s="79">
        <v>300</v>
      </c>
      <c r="L425" s="76">
        <f t="shared" si="64"/>
        <v>1274</v>
      </c>
      <c r="M425" s="87">
        <v>600</v>
      </c>
      <c r="N425" s="76">
        <f>30</f>
        <v>30</v>
      </c>
      <c r="O425" s="79">
        <v>240</v>
      </c>
      <c r="P425" s="79">
        <v>160</v>
      </c>
      <c r="Q425" s="79">
        <f t="shared" si="65"/>
        <v>195</v>
      </c>
      <c r="R425" s="79">
        <f t="shared" si="66"/>
        <v>100</v>
      </c>
      <c r="S425" s="76">
        <f t="shared" si="67"/>
        <v>695</v>
      </c>
      <c r="T425" s="76">
        <f>50</f>
        <v>50</v>
      </c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</row>
    <row r="426" spans="1:30" ht="15.75" x14ac:dyDescent="0.25">
      <c r="A426" s="33">
        <v>53904</v>
      </c>
      <c r="B426" s="89">
        <v>31</v>
      </c>
      <c r="C426" s="76">
        <f>194.205</f>
        <v>194.20500000000001</v>
      </c>
      <c r="D426" s="76">
        <f>267.466</f>
        <v>267.46600000000001</v>
      </c>
      <c r="E426" s="85">
        <f>133.845</f>
        <v>133.845</v>
      </c>
      <c r="F426" s="76">
        <f>278.484-40-25-60-100</f>
        <v>53.48399999999998</v>
      </c>
      <c r="G426" s="79">
        <v>40</v>
      </c>
      <c r="H426" s="76">
        <f t="shared" si="69"/>
        <v>185</v>
      </c>
      <c r="I426" s="76">
        <f t="shared" si="60"/>
        <v>0</v>
      </c>
      <c r="J426" s="79">
        <v>100</v>
      </c>
      <c r="K426" s="79">
        <v>300</v>
      </c>
      <c r="L426" s="76">
        <f t="shared" si="64"/>
        <v>1274</v>
      </c>
      <c r="M426" s="87">
        <v>600</v>
      </c>
      <c r="N426" s="76">
        <f>30</f>
        <v>30</v>
      </c>
      <c r="O426" s="79">
        <v>240</v>
      </c>
      <c r="P426" s="79">
        <v>160</v>
      </c>
      <c r="Q426" s="79">
        <f t="shared" si="65"/>
        <v>195</v>
      </c>
      <c r="R426" s="79">
        <f t="shared" si="66"/>
        <v>100</v>
      </c>
      <c r="S426" s="76">
        <f t="shared" si="67"/>
        <v>695</v>
      </c>
      <c r="T426" s="76">
        <f>0</f>
        <v>0</v>
      </c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</row>
    <row r="427" spans="1:30" ht="15.75" x14ac:dyDescent="0.25">
      <c r="A427" s="33">
        <v>53935</v>
      </c>
      <c r="B427" s="89">
        <v>31</v>
      </c>
      <c r="C427" s="76">
        <f>194.205</f>
        <v>194.20500000000001</v>
      </c>
      <c r="D427" s="76">
        <f>267.466</f>
        <v>267.46600000000001</v>
      </c>
      <c r="E427" s="85">
        <f>133.845</f>
        <v>133.845</v>
      </c>
      <c r="F427" s="76">
        <f>278.484-40-25-60-100</f>
        <v>53.48399999999998</v>
      </c>
      <c r="G427" s="79">
        <v>40</v>
      </c>
      <c r="H427" s="76">
        <f t="shared" si="69"/>
        <v>185</v>
      </c>
      <c r="I427" s="76">
        <f t="shared" si="60"/>
        <v>0</v>
      </c>
      <c r="J427" s="79">
        <v>100</v>
      </c>
      <c r="K427" s="79">
        <v>300</v>
      </c>
      <c r="L427" s="76">
        <f t="shared" si="64"/>
        <v>1274</v>
      </c>
      <c r="M427" s="87">
        <v>600</v>
      </c>
      <c r="N427" s="76">
        <f>30</f>
        <v>30</v>
      </c>
      <c r="O427" s="79">
        <v>240</v>
      </c>
      <c r="P427" s="79">
        <v>160</v>
      </c>
      <c r="Q427" s="79">
        <f t="shared" si="65"/>
        <v>195</v>
      </c>
      <c r="R427" s="79">
        <f t="shared" si="66"/>
        <v>100</v>
      </c>
      <c r="S427" s="76">
        <f t="shared" si="67"/>
        <v>695</v>
      </c>
      <c r="T427" s="76">
        <f>0</f>
        <v>0</v>
      </c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</row>
    <row r="428" spans="1:30" ht="15.75" x14ac:dyDescent="0.25">
      <c r="A428" s="33">
        <v>53965</v>
      </c>
      <c r="B428" s="89">
        <v>30</v>
      </c>
      <c r="C428" s="76">
        <f>194.205</f>
        <v>194.20500000000001</v>
      </c>
      <c r="D428" s="76">
        <f>267.466</f>
        <v>267.46600000000001</v>
      </c>
      <c r="E428" s="85">
        <f>133.845</f>
        <v>133.845</v>
      </c>
      <c r="F428" s="76">
        <f>278.484-40-25-60-100</f>
        <v>53.48399999999998</v>
      </c>
      <c r="G428" s="79">
        <v>40</v>
      </c>
      <c r="H428" s="76">
        <f t="shared" si="69"/>
        <v>185</v>
      </c>
      <c r="I428" s="76">
        <f t="shared" si="60"/>
        <v>0</v>
      </c>
      <c r="J428" s="79">
        <v>100</v>
      </c>
      <c r="K428" s="79">
        <v>300</v>
      </c>
      <c r="L428" s="76">
        <f t="shared" si="64"/>
        <v>1274</v>
      </c>
      <c r="M428" s="87">
        <v>600</v>
      </c>
      <c r="N428" s="76">
        <f>30</f>
        <v>30</v>
      </c>
      <c r="O428" s="79">
        <v>240</v>
      </c>
      <c r="P428" s="79">
        <v>160</v>
      </c>
      <c r="Q428" s="79">
        <f t="shared" si="65"/>
        <v>195</v>
      </c>
      <c r="R428" s="79">
        <f t="shared" si="66"/>
        <v>100</v>
      </c>
      <c r="S428" s="76">
        <f t="shared" si="67"/>
        <v>695</v>
      </c>
      <c r="T428" s="76">
        <f>0</f>
        <v>0</v>
      </c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</row>
    <row r="429" spans="1:30" ht="15.75" x14ac:dyDescent="0.25">
      <c r="A429" s="33">
        <v>53996</v>
      </c>
      <c r="B429" s="89">
        <v>31</v>
      </c>
      <c r="C429" s="76">
        <f>131.881</f>
        <v>131.881</v>
      </c>
      <c r="D429" s="76">
        <f>277.167</f>
        <v>277.16699999999997</v>
      </c>
      <c r="E429" s="85">
        <f>79.08</f>
        <v>79.08</v>
      </c>
      <c r="F429" s="76">
        <f>350.872-40-25-60-100</f>
        <v>125.87200000000001</v>
      </c>
      <c r="G429" s="79">
        <v>40</v>
      </c>
      <c r="H429" s="76">
        <f t="shared" si="69"/>
        <v>185</v>
      </c>
      <c r="I429" s="76">
        <f t="shared" si="60"/>
        <v>0</v>
      </c>
      <c r="J429" s="79">
        <v>100</v>
      </c>
      <c r="K429" s="79">
        <v>300</v>
      </c>
      <c r="L429" s="76">
        <f t="shared" si="64"/>
        <v>1239</v>
      </c>
      <c r="M429" s="87">
        <v>600</v>
      </c>
      <c r="N429" s="76">
        <f>75</f>
        <v>75</v>
      </c>
      <c r="O429" s="79">
        <v>240</v>
      </c>
      <c r="P429" s="79">
        <v>160</v>
      </c>
      <c r="Q429" s="79">
        <f t="shared" si="65"/>
        <v>195</v>
      </c>
      <c r="R429" s="79">
        <f t="shared" si="66"/>
        <v>100</v>
      </c>
      <c r="S429" s="76">
        <f t="shared" si="67"/>
        <v>695</v>
      </c>
      <c r="T429" s="76">
        <f>0</f>
        <v>0</v>
      </c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</row>
    <row r="430" spans="1:30" ht="15.75" x14ac:dyDescent="0.25">
      <c r="A430" s="33">
        <v>54026</v>
      </c>
      <c r="B430" s="89">
        <v>30</v>
      </c>
      <c r="C430" s="76">
        <f>122.58</f>
        <v>122.58</v>
      </c>
      <c r="D430" s="76">
        <f>297.941</f>
        <v>297.94099999999997</v>
      </c>
      <c r="E430" s="85">
        <f>89.177</f>
        <v>89.177000000000007</v>
      </c>
      <c r="F430" s="76">
        <f>240.302-40-60-100</f>
        <v>40.301999999999992</v>
      </c>
      <c r="G430" s="79">
        <v>40</v>
      </c>
      <c r="H430" s="76">
        <f>60+100</f>
        <v>160</v>
      </c>
      <c r="I430" s="76">
        <f t="shared" si="60"/>
        <v>0</v>
      </c>
      <c r="J430" s="79">
        <v>100</v>
      </c>
      <c r="K430" s="79">
        <v>300</v>
      </c>
      <c r="L430" s="76">
        <f t="shared" si="64"/>
        <v>1150</v>
      </c>
      <c r="M430" s="87">
        <v>600</v>
      </c>
      <c r="N430" s="76">
        <f>100</f>
        <v>100</v>
      </c>
      <c r="O430" s="79">
        <v>240</v>
      </c>
      <c r="P430" s="79">
        <v>40</v>
      </c>
      <c r="Q430" s="79">
        <f t="shared" si="65"/>
        <v>315</v>
      </c>
      <c r="R430" s="79">
        <f t="shared" si="66"/>
        <v>100</v>
      </c>
      <c r="S430" s="76">
        <f t="shared" si="67"/>
        <v>695</v>
      </c>
      <c r="T430" s="76">
        <f>50</f>
        <v>50</v>
      </c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</row>
    <row r="431" spans="1:30" ht="15.75" x14ac:dyDescent="0.25">
      <c r="A431" s="33">
        <v>54057</v>
      </c>
      <c r="B431" s="89">
        <v>31</v>
      </c>
      <c r="C431" s="76">
        <f>122.58</f>
        <v>122.58</v>
      </c>
      <c r="D431" s="76">
        <f>297.941</f>
        <v>297.94099999999997</v>
      </c>
      <c r="E431" s="85">
        <f>89.177</f>
        <v>89.177000000000007</v>
      </c>
      <c r="F431" s="76">
        <f>240.302-40-60-100</f>
        <v>40.301999999999992</v>
      </c>
      <c r="G431" s="79">
        <v>40</v>
      </c>
      <c r="H431" s="76">
        <f>60+100</f>
        <v>160</v>
      </c>
      <c r="I431" s="76">
        <f t="shared" si="60"/>
        <v>0</v>
      </c>
      <c r="J431" s="79">
        <v>100</v>
      </c>
      <c r="K431" s="79">
        <v>300</v>
      </c>
      <c r="L431" s="76">
        <f t="shared" si="64"/>
        <v>1150</v>
      </c>
      <c r="M431" s="87">
        <v>600</v>
      </c>
      <c r="N431" s="76">
        <f>100</f>
        <v>100</v>
      </c>
      <c r="O431" s="79">
        <v>240</v>
      </c>
      <c r="P431" s="79">
        <v>40</v>
      </c>
      <c r="Q431" s="79">
        <f t="shared" si="65"/>
        <v>315</v>
      </c>
      <c r="R431" s="79">
        <f t="shared" si="66"/>
        <v>100</v>
      </c>
      <c r="S431" s="76">
        <f t="shared" si="67"/>
        <v>695</v>
      </c>
      <c r="T431" s="76">
        <f>50</f>
        <v>50</v>
      </c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</row>
    <row r="432" spans="1:30" ht="15.75" x14ac:dyDescent="0.25">
      <c r="A432" s="33">
        <v>54088</v>
      </c>
      <c r="B432" s="89">
        <v>31</v>
      </c>
      <c r="C432" s="76">
        <f>122.58</f>
        <v>122.58</v>
      </c>
      <c r="D432" s="76">
        <f>297.941</f>
        <v>297.94099999999997</v>
      </c>
      <c r="E432" s="85">
        <f>89.177</f>
        <v>89.177000000000007</v>
      </c>
      <c r="F432" s="76">
        <f>240.302-40-60-100</f>
        <v>40.301999999999992</v>
      </c>
      <c r="G432" s="79">
        <v>40</v>
      </c>
      <c r="H432" s="76">
        <f>60+100</f>
        <v>160</v>
      </c>
      <c r="I432" s="76">
        <f t="shared" si="60"/>
        <v>0</v>
      </c>
      <c r="J432" s="79">
        <v>100</v>
      </c>
      <c r="K432" s="79">
        <v>300</v>
      </c>
      <c r="L432" s="76">
        <f t="shared" si="64"/>
        <v>1150</v>
      </c>
      <c r="M432" s="87">
        <v>600</v>
      </c>
      <c r="N432" s="76">
        <f>100</f>
        <v>100</v>
      </c>
      <c r="O432" s="79">
        <v>240</v>
      </c>
      <c r="P432" s="79">
        <v>40</v>
      </c>
      <c r="Q432" s="79">
        <f t="shared" si="65"/>
        <v>315</v>
      </c>
      <c r="R432" s="79">
        <f t="shared" si="66"/>
        <v>100</v>
      </c>
      <c r="S432" s="76">
        <f t="shared" si="67"/>
        <v>695</v>
      </c>
      <c r="T432" s="76">
        <f>50</f>
        <v>50</v>
      </c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</row>
    <row r="433" spans="1:30" ht="15.75" x14ac:dyDescent="0.25">
      <c r="A433" s="33">
        <v>54116</v>
      </c>
      <c r="B433" s="89">
        <v>29</v>
      </c>
      <c r="C433" s="76">
        <f>122.58</f>
        <v>122.58</v>
      </c>
      <c r="D433" s="76">
        <f>297.941</f>
        <v>297.94099999999997</v>
      </c>
      <c r="E433" s="85">
        <f>89.177</f>
        <v>89.177000000000007</v>
      </c>
      <c r="F433" s="76">
        <f>240.302-40-60-100</f>
        <v>40.301999999999992</v>
      </c>
      <c r="G433" s="79">
        <v>40</v>
      </c>
      <c r="H433" s="76">
        <f>60+100</f>
        <v>160</v>
      </c>
      <c r="I433" s="76">
        <f t="shared" si="60"/>
        <v>0</v>
      </c>
      <c r="J433" s="79">
        <v>100</v>
      </c>
      <c r="K433" s="79">
        <v>300</v>
      </c>
      <c r="L433" s="76">
        <f t="shared" si="64"/>
        <v>1150</v>
      </c>
      <c r="M433" s="87">
        <v>600</v>
      </c>
      <c r="N433" s="76">
        <f>100</f>
        <v>100</v>
      </c>
      <c r="O433" s="79">
        <v>240</v>
      </c>
      <c r="P433" s="79">
        <v>40</v>
      </c>
      <c r="Q433" s="79">
        <f t="shared" si="65"/>
        <v>315</v>
      </c>
      <c r="R433" s="79">
        <f t="shared" si="66"/>
        <v>100</v>
      </c>
      <c r="S433" s="76">
        <f t="shared" si="67"/>
        <v>695</v>
      </c>
      <c r="T433" s="76">
        <f>50</f>
        <v>50</v>
      </c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</row>
    <row r="434" spans="1:30" ht="15.75" x14ac:dyDescent="0.25">
      <c r="A434" s="33">
        <v>54148</v>
      </c>
      <c r="B434" s="89">
        <v>31</v>
      </c>
      <c r="C434" s="76">
        <f>122.58</f>
        <v>122.58</v>
      </c>
      <c r="D434" s="76">
        <f>297.941</f>
        <v>297.94099999999997</v>
      </c>
      <c r="E434" s="85">
        <f>89.177</f>
        <v>89.177000000000007</v>
      </c>
      <c r="F434" s="76">
        <f>240.302-40-60-100</f>
        <v>40.301999999999992</v>
      </c>
      <c r="G434" s="79">
        <v>40</v>
      </c>
      <c r="H434" s="76">
        <f>60+100</f>
        <v>160</v>
      </c>
      <c r="I434" s="76">
        <f t="shared" si="60"/>
        <v>0</v>
      </c>
      <c r="J434" s="79">
        <v>100</v>
      </c>
      <c r="K434" s="79">
        <v>300</v>
      </c>
      <c r="L434" s="76">
        <f t="shared" si="64"/>
        <v>1150</v>
      </c>
      <c r="M434" s="87">
        <v>600</v>
      </c>
      <c r="N434" s="76">
        <f>100</f>
        <v>100</v>
      </c>
      <c r="O434" s="79">
        <v>240</v>
      </c>
      <c r="P434" s="79">
        <v>40</v>
      </c>
      <c r="Q434" s="79">
        <f t="shared" si="65"/>
        <v>315</v>
      </c>
      <c r="R434" s="79">
        <f t="shared" si="66"/>
        <v>100</v>
      </c>
      <c r="S434" s="76">
        <f t="shared" si="67"/>
        <v>695</v>
      </c>
      <c r="T434" s="76">
        <f>50</f>
        <v>50</v>
      </c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</row>
    <row r="435" spans="1:30" ht="15.75" x14ac:dyDescent="0.25">
      <c r="A435" s="33">
        <v>54178</v>
      </c>
      <c r="B435" s="89">
        <v>30</v>
      </c>
      <c r="C435" s="76">
        <f>141.293</f>
        <v>141.29300000000001</v>
      </c>
      <c r="D435" s="76">
        <f>267.993</f>
        <v>267.99299999999999</v>
      </c>
      <c r="E435" s="85">
        <f>115.016</f>
        <v>115.01600000000001</v>
      </c>
      <c r="F435" s="76">
        <f>314.698-40-25-60-100</f>
        <v>89.697999999999979</v>
      </c>
      <c r="G435" s="79">
        <v>40</v>
      </c>
      <c r="H435" s="76">
        <f t="shared" ref="H435:H441" si="70">25+60+100</f>
        <v>185</v>
      </c>
      <c r="I435" s="76">
        <f t="shared" si="60"/>
        <v>0</v>
      </c>
      <c r="J435" s="79">
        <v>100</v>
      </c>
      <c r="K435" s="79">
        <v>300</v>
      </c>
      <c r="L435" s="76">
        <f t="shared" si="64"/>
        <v>1239</v>
      </c>
      <c r="M435" s="87">
        <v>600</v>
      </c>
      <c r="N435" s="76">
        <f>100</f>
        <v>100</v>
      </c>
      <c r="O435" s="79">
        <v>240</v>
      </c>
      <c r="P435" s="79">
        <v>160</v>
      </c>
      <c r="Q435" s="79">
        <f t="shared" si="65"/>
        <v>195</v>
      </c>
      <c r="R435" s="79">
        <f t="shared" si="66"/>
        <v>100</v>
      </c>
      <c r="S435" s="76">
        <f t="shared" si="67"/>
        <v>695</v>
      </c>
      <c r="T435" s="76">
        <f>50</f>
        <v>50</v>
      </c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</row>
    <row r="436" spans="1:30" ht="15.75" x14ac:dyDescent="0.25">
      <c r="A436" s="33">
        <v>54209</v>
      </c>
      <c r="B436" s="89">
        <v>31</v>
      </c>
      <c r="C436" s="76">
        <f>194.205</f>
        <v>194.20500000000001</v>
      </c>
      <c r="D436" s="76">
        <f>267.466</f>
        <v>267.46600000000001</v>
      </c>
      <c r="E436" s="85">
        <f>133.845</f>
        <v>133.845</v>
      </c>
      <c r="F436" s="76">
        <f>278.484-40-25-60-100</f>
        <v>53.48399999999998</v>
      </c>
      <c r="G436" s="79">
        <v>40</v>
      </c>
      <c r="H436" s="76">
        <f t="shared" si="70"/>
        <v>185</v>
      </c>
      <c r="I436" s="76">
        <f t="shared" ref="I436:I499" si="71">400-J436-K436</f>
        <v>0</v>
      </c>
      <c r="J436" s="79">
        <v>100</v>
      </c>
      <c r="K436" s="79">
        <v>300</v>
      </c>
      <c r="L436" s="76">
        <f t="shared" si="64"/>
        <v>1274</v>
      </c>
      <c r="M436" s="87">
        <v>600</v>
      </c>
      <c r="N436" s="76">
        <f>75</f>
        <v>75</v>
      </c>
      <c r="O436" s="79">
        <v>240</v>
      </c>
      <c r="P436" s="79">
        <v>160</v>
      </c>
      <c r="Q436" s="79">
        <f t="shared" si="65"/>
        <v>195</v>
      </c>
      <c r="R436" s="79">
        <f t="shared" si="66"/>
        <v>100</v>
      </c>
      <c r="S436" s="76">
        <f t="shared" si="67"/>
        <v>695</v>
      </c>
      <c r="T436" s="76">
        <f>50</f>
        <v>50</v>
      </c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</row>
    <row r="437" spans="1:30" ht="15.75" x14ac:dyDescent="0.25">
      <c r="A437" s="33">
        <v>54239</v>
      </c>
      <c r="B437" s="89">
        <v>30</v>
      </c>
      <c r="C437" s="76">
        <f>194.205</f>
        <v>194.20500000000001</v>
      </c>
      <c r="D437" s="76">
        <f>267.466</f>
        <v>267.46600000000001</v>
      </c>
      <c r="E437" s="85">
        <f>133.845</f>
        <v>133.845</v>
      </c>
      <c r="F437" s="76">
        <f>278.484-40-25-60-100</f>
        <v>53.48399999999998</v>
      </c>
      <c r="G437" s="79">
        <v>40</v>
      </c>
      <c r="H437" s="76">
        <f t="shared" si="70"/>
        <v>185</v>
      </c>
      <c r="I437" s="76">
        <f t="shared" si="71"/>
        <v>0</v>
      </c>
      <c r="J437" s="79">
        <v>100</v>
      </c>
      <c r="K437" s="79">
        <v>300</v>
      </c>
      <c r="L437" s="76">
        <f t="shared" si="64"/>
        <v>1274</v>
      </c>
      <c r="M437" s="87">
        <v>600</v>
      </c>
      <c r="N437" s="76">
        <f>30</f>
        <v>30</v>
      </c>
      <c r="O437" s="79">
        <v>240</v>
      </c>
      <c r="P437" s="79">
        <v>160</v>
      </c>
      <c r="Q437" s="79">
        <f t="shared" si="65"/>
        <v>195</v>
      </c>
      <c r="R437" s="79">
        <f t="shared" si="66"/>
        <v>100</v>
      </c>
      <c r="S437" s="76">
        <f t="shared" si="67"/>
        <v>695</v>
      </c>
      <c r="T437" s="76">
        <f>50</f>
        <v>50</v>
      </c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</row>
    <row r="438" spans="1:30" ht="15.75" x14ac:dyDescent="0.25">
      <c r="A438" s="33">
        <v>54270</v>
      </c>
      <c r="B438" s="89">
        <v>31</v>
      </c>
      <c r="C438" s="76">
        <f>194.205</f>
        <v>194.20500000000001</v>
      </c>
      <c r="D438" s="76">
        <f>267.466</f>
        <v>267.46600000000001</v>
      </c>
      <c r="E438" s="85">
        <f>133.845</f>
        <v>133.845</v>
      </c>
      <c r="F438" s="76">
        <f>278.484-40-25-60-100</f>
        <v>53.48399999999998</v>
      </c>
      <c r="G438" s="79">
        <v>40</v>
      </c>
      <c r="H438" s="76">
        <f t="shared" si="70"/>
        <v>185</v>
      </c>
      <c r="I438" s="76">
        <f t="shared" si="71"/>
        <v>0</v>
      </c>
      <c r="J438" s="79">
        <v>100</v>
      </c>
      <c r="K438" s="79">
        <v>300</v>
      </c>
      <c r="L438" s="76">
        <f t="shared" si="64"/>
        <v>1274</v>
      </c>
      <c r="M438" s="87">
        <v>600</v>
      </c>
      <c r="N438" s="76">
        <f>30</f>
        <v>30</v>
      </c>
      <c r="O438" s="79">
        <v>240</v>
      </c>
      <c r="P438" s="79">
        <v>160</v>
      </c>
      <c r="Q438" s="79">
        <f t="shared" si="65"/>
        <v>195</v>
      </c>
      <c r="R438" s="79">
        <f t="shared" si="66"/>
        <v>100</v>
      </c>
      <c r="S438" s="76">
        <f t="shared" si="67"/>
        <v>695</v>
      </c>
      <c r="T438" s="76">
        <f>0</f>
        <v>0</v>
      </c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</row>
    <row r="439" spans="1:30" ht="15.75" x14ac:dyDescent="0.25">
      <c r="A439" s="33">
        <v>54301</v>
      </c>
      <c r="B439" s="89">
        <v>31</v>
      </c>
      <c r="C439" s="76">
        <f>194.205</f>
        <v>194.20500000000001</v>
      </c>
      <c r="D439" s="76">
        <f>267.466</f>
        <v>267.46600000000001</v>
      </c>
      <c r="E439" s="85">
        <f>133.845</f>
        <v>133.845</v>
      </c>
      <c r="F439" s="76">
        <f>278.484-40-25-60-100</f>
        <v>53.48399999999998</v>
      </c>
      <c r="G439" s="79">
        <v>40</v>
      </c>
      <c r="H439" s="76">
        <f t="shared" si="70"/>
        <v>185</v>
      </c>
      <c r="I439" s="76">
        <f t="shared" si="71"/>
        <v>0</v>
      </c>
      <c r="J439" s="79">
        <v>100</v>
      </c>
      <c r="K439" s="79">
        <v>300</v>
      </c>
      <c r="L439" s="76">
        <f t="shared" si="64"/>
        <v>1274</v>
      </c>
      <c r="M439" s="87">
        <v>600</v>
      </c>
      <c r="N439" s="76">
        <f>30</f>
        <v>30</v>
      </c>
      <c r="O439" s="79">
        <v>240</v>
      </c>
      <c r="P439" s="79">
        <v>160</v>
      </c>
      <c r="Q439" s="79">
        <f t="shared" si="65"/>
        <v>195</v>
      </c>
      <c r="R439" s="79">
        <f t="shared" si="66"/>
        <v>100</v>
      </c>
      <c r="S439" s="76">
        <f t="shared" si="67"/>
        <v>695</v>
      </c>
      <c r="T439" s="76">
        <f>0</f>
        <v>0</v>
      </c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</row>
    <row r="440" spans="1:30" ht="15.75" x14ac:dyDescent="0.25">
      <c r="A440" s="33">
        <v>54331</v>
      </c>
      <c r="B440" s="89">
        <v>30</v>
      </c>
      <c r="C440" s="76">
        <f>194.205</f>
        <v>194.20500000000001</v>
      </c>
      <c r="D440" s="76">
        <f>267.466</f>
        <v>267.46600000000001</v>
      </c>
      <c r="E440" s="85">
        <f>133.845</f>
        <v>133.845</v>
      </c>
      <c r="F440" s="76">
        <f>278.484-40-25-60-100</f>
        <v>53.48399999999998</v>
      </c>
      <c r="G440" s="79">
        <v>40</v>
      </c>
      <c r="H440" s="76">
        <f t="shared" si="70"/>
        <v>185</v>
      </c>
      <c r="I440" s="76">
        <f t="shared" si="71"/>
        <v>0</v>
      </c>
      <c r="J440" s="79">
        <v>100</v>
      </c>
      <c r="K440" s="79">
        <v>300</v>
      </c>
      <c r="L440" s="76">
        <f t="shared" si="64"/>
        <v>1274</v>
      </c>
      <c r="M440" s="87">
        <v>600</v>
      </c>
      <c r="N440" s="76">
        <f>30</f>
        <v>30</v>
      </c>
      <c r="O440" s="79">
        <v>240</v>
      </c>
      <c r="P440" s="79">
        <v>160</v>
      </c>
      <c r="Q440" s="79">
        <f t="shared" si="65"/>
        <v>195</v>
      </c>
      <c r="R440" s="79">
        <f t="shared" si="66"/>
        <v>100</v>
      </c>
      <c r="S440" s="76">
        <f t="shared" si="67"/>
        <v>695</v>
      </c>
      <c r="T440" s="76">
        <f>0</f>
        <v>0</v>
      </c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</row>
    <row r="441" spans="1:30" ht="15.75" x14ac:dyDescent="0.25">
      <c r="A441" s="33">
        <v>54362</v>
      </c>
      <c r="B441" s="89">
        <v>31</v>
      </c>
      <c r="C441" s="76">
        <f>131.881</f>
        <v>131.881</v>
      </c>
      <c r="D441" s="76">
        <f>277.167</f>
        <v>277.16699999999997</v>
      </c>
      <c r="E441" s="85">
        <f>79.08</f>
        <v>79.08</v>
      </c>
      <c r="F441" s="76">
        <f>350.872-40-25-60-100</f>
        <v>125.87200000000001</v>
      </c>
      <c r="G441" s="79">
        <v>40</v>
      </c>
      <c r="H441" s="76">
        <f t="shared" si="70"/>
        <v>185</v>
      </c>
      <c r="I441" s="76">
        <f t="shared" si="71"/>
        <v>0</v>
      </c>
      <c r="J441" s="79">
        <v>100</v>
      </c>
      <c r="K441" s="79">
        <v>300</v>
      </c>
      <c r="L441" s="76">
        <f t="shared" si="64"/>
        <v>1239</v>
      </c>
      <c r="M441" s="87">
        <v>600</v>
      </c>
      <c r="N441" s="76">
        <f>75</f>
        <v>75</v>
      </c>
      <c r="O441" s="79">
        <v>240</v>
      </c>
      <c r="P441" s="79">
        <v>160</v>
      </c>
      <c r="Q441" s="79">
        <f t="shared" si="65"/>
        <v>195</v>
      </c>
      <c r="R441" s="79">
        <f t="shared" si="66"/>
        <v>100</v>
      </c>
      <c r="S441" s="76">
        <f t="shared" si="67"/>
        <v>695</v>
      </c>
      <c r="T441" s="76">
        <f>0</f>
        <v>0</v>
      </c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</row>
    <row r="442" spans="1:30" ht="15.75" x14ac:dyDescent="0.25">
      <c r="A442" s="33">
        <v>54392</v>
      </c>
      <c r="B442" s="89">
        <v>30</v>
      </c>
      <c r="C442" s="76">
        <f>122.58</f>
        <v>122.58</v>
      </c>
      <c r="D442" s="76">
        <f>297.941</f>
        <v>297.94099999999997</v>
      </c>
      <c r="E442" s="85">
        <f>89.177</f>
        <v>89.177000000000007</v>
      </c>
      <c r="F442" s="76">
        <f>240.302-40-60-100</f>
        <v>40.301999999999992</v>
      </c>
      <c r="G442" s="79">
        <v>40</v>
      </c>
      <c r="H442" s="76">
        <f>60+100</f>
        <v>160</v>
      </c>
      <c r="I442" s="76">
        <f t="shared" si="71"/>
        <v>0</v>
      </c>
      <c r="J442" s="79">
        <v>100</v>
      </c>
      <c r="K442" s="79">
        <v>300</v>
      </c>
      <c r="L442" s="76">
        <f t="shared" si="64"/>
        <v>1150</v>
      </c>
      <c r="M442" s="87">
        <v>600</v>
      </c>
      <c r="N442" s="76">
        <f>100</f>
        <v>100</v>
      </c>
      <c r="O442" s="79">
        <v>240</v>
      </c>
      <c r="P442" s="79">
        <v>40</v>
      </c>
      <c r="Q442" s="79">
        <f t="shared" si="65"/>
        <v>315</v>
      </c>
      <c r="R442" s="79">
        <f t="shared" si="66"/>
        <v>100</v>
      </c>
      <c r="S442" s="76">
        <f t="shared" si="67"/>
        <v>695</v>
      </c>
      <c r="T442" s="76">
        <f>50</f>
        <v>50</v>
      </c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</row>
    <row r="443" spans="1:30" ht="15.75" x14ac:dyDescent="0.25">
      <c r="A443" s="33">
        <v>54423</v>
      </c>
      <c r="B443" s="89">
        <v>31</v>
      </c>
      <c r="C443" s="76">
        <f>122.58</f>
        <v>122.58</v>
      </c>
      <c r="D443" s="76">
        <f>297.941</f>
        <v>297.94099999999997</v>
      </c>
      <c r="E443" s="85">
        <f>89.177</f>
        <v>89.177000000000007</v>
      </c>
      <c r="F443" s="76">
        <f>240.302-40-60-100</f>
        <v>40.301999999999992</v>
      </c>
      <c r="G443" s="79">
        <v>40</v>
      </c>
      <c r="H443" s="76">
        <f>60+100</f>
        <v>160</v>
      </c>
      <c r="I443" s="76">
        <f t="shared" si="71"/>
        <v>0</v>
      </c>
      <c r="J443" s="79">
        <v>100</v>
      </c>
      <c r="K443" s="79">
        <v>300</v>
      </c>
      <c r="L443" s="76">
        <f t="shared" si="64"/>
        <v>1150</v>
      </c>
      <c r="M443" s="87">
        <v>600</v>
      </c>
      <c r="N443" s="76">
        <f>100</f>
        <v>100</v>
      </c>
      <c r="O443" s="79">
        <v>240</v>
      </c>
      <c r="P443" s="79">
        <v>40</v>
      </c>
      <c r="Q443" s="79">
        <f t="shared" si="65"/>
        <v>315</v>
      </c>
      <c r="R443" s="79">
        <f t="shared" si="66"/>
        <v>100</v>
      </c>
      <c r="S443" s="76">
        <f t="shared" si="67"/>
        <v>695</v>
      </c>
      <c r="T443" s="76">
        <f>50</f>
        <v>50</v>
      </c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</row>
    <row r="444" spans="1:30" ht="15.75" x14ac:dyDescent="0.25">
      <c r="A444" s="33">
        <v>54454</v>
      </c>
      <c r="B444" s="89">
        <v>31</v>
      </c>
      <c r="C444" s="76">
        <f>122.58</f>
        <v>122.58</v>
      </c>
      <c r="D444" s="76">
        <f>297.941</f>
        <v>297.94099999999997</v>
      </c>
      <c r="E444" s="85">
        <f>89.177</f>
        <v>89.177000000000007</v>
      </c>
      <c r="F444" s="76">
        <f>240.302-40-60-100</f>
        <v>40.301999999999992</v>
      </c>
      <c r="G444" s="79">
        <v>40</v>
      </c>
      <c r="H444" s="76">
        <f>60+100</f>
        <v>160</v>
      </c>
      <c r="I444" s="76">
        <f t="shared" si="71"/>
        <v>0</v>
      </c>
      <c r="J444" s="79">
        <v>100</v>
      </c>
      <c r="K444" s="79">
        <v>300</v>
      </c>
      <c r="L444" s="76">
        <f t="shared" si="64"/>
        <v>1150</v>
      </c>
      <c r="M444" s="87">
        <v>600</v>
      </c>
      <c r="N444" s="76">
        <f>100</f>
        <v>100</v>
      </c>
      <c r="O444" s="79">
        <v>240</v>
      </c>
      <c r="P444" s="79">
        <v>40</v>
      </c>
      <c r="Q444" s="79">
        <f t="shared" si="65"/>
        <v>315</v>
      </c>
      <c r="R444" s="79">
        <f t="shared" si="66"/>
        <v>100</v>
      </c>
      <c r="S444" s="76">
        <f t="shared" si="67"/>
        <v>695</v>
      </c>
      <c r="T444" s="76">
        <f>50</f>
        <v>50</v>
      </c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</row>
    <row r="445" spans="1:30" ht="15.75" x14ac:dyDescent="0.25">
      <c r="A445" s="33">
        <v>54482</v>
      </c>
      <c r="B445" s="89">
        <v>28</v>
      </c>
      <c r="C445" s="76">
        <f>122.58</f>
        <v>122.58</v>
      </c>
      <c r="D445" s="76">
        <f>297.941</f>
        <v>297.94099999999997</v>
      </c>
      <c r="E445" s="85">
        <f>89.177</f>
        <v>89.177000000000007</v>
      </c>
      <c r="F445" s="76">
        <f>240.302-40-60-100</f>
        <v>40.301999999999992</v>
      </c>
      <c r="G445" s="79">
        <v>40</v>
      </c>
      <c r="H445" s="76">
        <f>60+100</f>
        <v>160</v>
      </c>
      <c r="I445" s="76">
        <f t="shared" si="71"/>
        <v>0</v>
      </c>
      <c r="J445" s="79">
        <v>100</v>
      </c>
      <c r="K445" s="79">
        <v>300</v>
      </c>
      <c r="L445" s="76">
        <f t="shared" si="64"/>
        <v>1150</v>
      </c>
      <c r="M445" s="87">
        <v>600</v>
      </c>
      <c r="N445" s="76">
        <f>100</f>
        <v>100</v>
      </c>
      <c r="O445" s="79">
        <v>240</v>
      </c>
      <c r="P445" s="79">
        <v>40</v>
      </c>
      <c r="Q445" s="79">
        <f t="shared" si="65"/>
        <v>315</v>
      </c>
      <c r="R445" s="79">
        <f t="shared" si="66"/>
        <v>100</v>
      </c>
      <c r="S445" s="76">
        <f t="shared" si="67"/>
        <v>695</v>
      </c>
      <c r="T445" s="76">
        <f>50</f>
        <v>50</v>
      </c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</row>
    <row r="446" spans="1:30" ht="15.75" x14ac:dyDescent="0.25">
      <c r="A446" s="33">
        <v>54513</v>
      </c>
      <c r="B446" s="89">
        <v>31</v>
      </c>
      <c r="C446" s="76">
        <f>122.58</f>
        <v>122.58</v>
      </c>
      <c r="D446" s="76">
        <f>297.941</f>
        <v>297.94099999999997</v>
      </c>
      <c r="E446" s="85">
        <f>89.177</f>
        <v>89.177000000000007</v>
      </c>
      <c r="F446" s="76">
        <f>240.302-40-60-100</f>
        <v>40.301999999999992</v>
      </c>
      <c r="G446" s="79">
        <v>40</v>
      </c>
      <c r="H446" s="76">
        <f>60+100</f>
        <v>160</v>
      </c>
      <c r="I446" s="76">
        <f t="shared" si="71"/>
        <v>0</v>
      </c>
      <c r="J446" s="79">
        <v>100</v>
      </c>
      <c r="K446" s="79">
        <v>300</v>
      </c>
      <c r="L446" s="76">
        <f t="shared" si="64"/>
        <v>1150</v>
      </c>
      <c r="M446" s="87">
        <v>600</v>
      </c>
      <c r="N446" s="76">
        <f>100</f>
        <v>100</v>
      </c>
      <c r="O446" s="79">
        <v>240</v>
      </c>
      <c r="P446" s="79">
        <v>40</v>
      </c>
      <c r="Q446" s="79">
        <f t="shared" si="65"/>
        <v>315</v>
      </c>
      <c r="R446" s="79">
        <f t="shared" si="66"/>
        <v>100</v>
      </c>
      <c r="S446" s="76">
        <f t="shared" si="67"/>
        <v>695</v>
      </c>
      <c r="T446" s="76">
        <f>50</f>
        <v>50</v>
      </c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</row>
    <row r="447" spans="1:30" ht="15.75" x14ac:dyDescent="0.25">
      <c r="A447" s="33">
        <v>54543</v>
      </c>
      <c r="B447" s="89">
        <v>30</v>
      </c>
      <c r="C447" s="76">
        <f>141.293</f>
        <v>141.29300000000001</v>
      </c>
      <c r="D447" s="76">
        <f>267.993</f>
        <v>267.99299999999999</v>
      </c>
      <c r="E447" s="85">
        <f>115.016</f>
        <v>115.01600000000001</v>
      </c>
      <c r="F447" s="76">
        <f>314.698-40-25-60-100</f>
        <v>89.697999999999979</v>
      </c>
      <c r="G447" s="79">
        <v>40</v>
      </c>
      <c r="H447" s="76">
        <f t="shared" ref="H447:H453" si="72">25+60+100</f>
        <v>185</v>
      </c>
      <c r="I447" s="76">
        <f t="shared" si="71"/>
        <v>0</v>
      </c>
      <c r="J447" s="79">
        <v>100</v>
      </c>
      <c r="K447" s="79">
        <v>300</v>
      </c>
      <c r="L447" s="76">
        <f t="shared" si="64"/>
        <v>1239</v>
      </c>
      <c r="M447" s="87">
        <v>600</v>
      </c>
      <c r="N447" s="76">
        <f>100</f>
        <v>100</v>
      </c>
      <c r="O447" s="79">
        <v>240</v>
      </c>
      <c r="P447" s="79">
        <v>160</v>
      </c>
      <c r="Q447" s="79">
        <f t="shared" si="65"/>
        <v>195</v>
      </c>
      <c r="R447" s="79">
        <f t="shared" si="66"/>
        <v>100</v>
      </c>
      <c r="S447" s="76">
        <f t="shared" si="67"/>
        <v>695</v>
      </c>
      <c r="T447" s="76">
        <f>50</f>
        <v>50</v>
      </c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</row>
    <row r="448" spans="1:30" ht="15.75" x14ac:dyDescent="0.25">
      <c r="A448" s="33">
        <v>54574</v>
      </c>
      <c r="B448" s="89">
        <v>31</v>
      </c>
      <c r="C448" s="76">
        <f>194.205</f>
        <v>194.20500000000001</v>
      </c>
      <c r="D448" s="76">
        <f>267.466</f>
        <v>267.46600000000001</v>
      </c>
      <c r="E448" s="85">
        <f>133.845</f>
        <v>133.845</v>
      </c>
      <c r="F448" s="76">
        <f>278.484-40-25-60-100</f>
        <v>53.48399999999998</v>
      </c>
      <c r="G448" s="79">
        <v>40</v>
      </c>
      <c r="H448" s="76">
        <f t="shared" si="72"/>
        <v>185</v>
      </c>
      <c r="I448" s="76">
        <f t="shared" si="71"/>
        <v>0</v>
      </c>
      <c r="J448" s="79">
        <v>100</v>
      </c>
      <c r="K448" s="79">
        <v>300</v>
      </c>
      <c r="L448" s="76">
        <f t="shared" si="64"/>
        <v>1274</v>
      </c>
      <c r="M448" s="87">
        <v>600</v>
      </c>
      <c r="N448" s="76">
        <f>75</f>
        <v>75</v>
      </c>
      <c r="O448" s="79">
        <v>240</v>
      </c>
      <c r="P448" s="79">
        <v>160</v>
      </c>
      <c r="Q448" s="79">
        <f t="shared" si="65"/>
        <v>195</v>
      </c>
      <c r="R448" s="79">
        <f t="shared" si="66"/>
        <v>100</v>
      </c>
      <c r="S448" s="76">
        <f t="shared" si="67"/>
        <v>695</v>
      </c>
      <c r="T448" s="76">
        <f>50</f>
        <v>50</v>
      </c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</row>
    <row r="449" spans="1:30" ht="15.75" x14ac:dyDescent="0.25">
      <c r="A449" s="33">
        <v>54604</v>
      </c>
      <c r="B449" s="89">
        <v>30</v>
      </c>
      <c r="C449" s="76">
        <f>194.205</f>
        <v>194.20500000000001</v>
      </c>
      <c r="D449" s="76">
        <f>267.466</f>
        <v>267.46600000000001</v>
      </c>
      <c r="E449" s="85">
        <f>133.845</f>
        <v>133.845</v>
      </c>
      <c r="F449" s="76">
        <f>278.484-40-25-60-100</f>
        <v>53.48399999999998</v>
      </c>
      <c r="G449" s="79">
        <v>40</v>
      </c>
      <c r="H449" s="76">
        <f t="shared" si="72"/>
        <v>185</v>
      </c>
      <c r="I449" s="76">
        <f t="shared" si="71"/>
        <v>0</v>
      </c>
      <c r="J449" s="79">
        <v>100</v>
      </c>
      <c r="K449" s="79">
        <v>300</v>
      </c>
      <c r="L449" s="76">
        <f t="shared" si="64"/>
        <v>1274</v>
      </c>
      <c r="M449" s="87">
        <v>600</v>
      </c>
      <c r="N449" s="76">
        <f>30</f>
        <v>30</v>
      </c>
      <c r="O449" s="79">
        <v>240</v>
      </c>
      <c r="P449" s="79">
        <v>160</v>
      </c>
      <c r="Q449" s="79">
        <f t="shared" si="65"/>
        <v>195</v>
      </c>
      <c r="R449" s="79">
        <f t="shared" si="66"/>
        <v>100</v>
      </c>
      <c r="S449" s="76">
        <f t="shared" si="67"/>
        <v>695</v>
      </c>
      <c r="T449" s="76">
        <f>50</f>
        <v>50</v>
      </c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</row>
    <row r="450" spans="1:30" ht="15.75" x14ac:dyDescent="0.25">
      <c r="A450" s="33">
        <v>54635</v>
      </c>
      <c r="B450" s="89">
        <v>31</v>
      </c>
      <c r="C450" s="76">
        <f>194.205</f>
        <v>194.20500000000001</v>
      </c>
      <c r="D450" s="76">
        <f>267.466</f>
        <v>267.46600000000001</v>
      </c>
      <c r="E450" s="85">
        <f>133.845</f>
        <v>133.845</v>
      </c>
      <c r="F450" s="76">
        <f>278.484-40-25-60-100</f>
        <v>53.48399999999998</v>
      </c>
      <c r="G450" s="79">
        <v>40</v>
      </c>
      <c r="H450" s="76">
        <f t="shared" si="72"/>
        <v>185</v>
      </c>
      <c r="I450" s="76">
        <f t="shared" si="71"/>
        <v>0</v>
      </c>
      <c r="J450" s="79">
        <v>100</v>
      </c>
      <c r="K450" s="79">
        <v>300</v>
      </c>
      <c r="L450" s="76">
        <f t="shared" si="64"/>
        <v>1274</v>
      </c>
      <c r="M450" s="87">
        <v>600</v>
      </c>
      <c r="N450" s="76">
        <f>30</f>
        <v>30</v>
      </c>
      <c r="O450" s="79">
        <v>240</v>
      </c>
      <c r="P450" s="79">
        <v>160</v>
      </c>
      <c r="Q450" s="79">
        <f t="shared" si="65"/>
        <v>195</v>
      </c>
      <c r="R450" s="79">
        <f t="shared" si="66"/>
        <v>100</v>
      </c>
      <c r="S450" s="76">
        <f t="shared" si="67"/>
        <v>695</v>
      </c>
      <c r="T450" s="76">
        <f>0</f>
        <v>0</v>
      </c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</row>
    <row r="451" spans="1:30" ht="15.75" x14ac:dyDescent="0.25">
      <c r="A451" s="33">
        <v>54666</v>
      </c>
      <c r="B451" s="89">
        <v>31</v>
      </c>
      <c r="C451" s="76">
        <f>194.205</f>
        <v>194.20500000000001</v>
      </c>
      <c r="D451" s="76">
        <f>267.466</f>
        <v>267.46600000000001</v>
      </c>
      <c r="E451" s="85">
        <f>133.845</f>
        <v>133.845</v>
      </c>
      <c r="F451" s="76">
        <f>278.484-40-25-60-100</f>
        <v>53.48399999999998</v>
      </c>
      <c r="G451" s="79">
        <v>40</v>
      </c>
      <c r="H451" s="76">
        <f t="shared" si="72"/>
        <v>185</v>
      </c>
      <c r="I451" s="76">
        <f t="shared" si="71"/>
        <v>0</v>
      </c>
      <c r="J451" s="79">
        <v>100</v>
      </c>
      <c r="K451" s="79">
        <v>300</v>
      </c>
      <c r="L451" s="76">
        <f t="shared" si="64"/>
        <v>1274</v>
      </c>
      <c r="M451" s="87">
        <v>600</v>
      </c>
      <c r="N451" s="76">
        <f>30</f>
        <v>30</v>
      </c>
      <c r="O451" s="79">
        <v>240</v>
      </c>
      <c r="P451" s="79">
        <v>160</v>
      </c>
      <c r="Q451" s="79">
        <f t="shared" si="65"/>
        <v>195</v>
      </c>
      <c r="R451" s="79">
        <f t="shared" si="66"/>
        <v>100</v>
      </c>
      <c r="S451" s="76">
        <f t="shared" si="67"/>
        <v>695</v>
      </c>
      <c r="T451" s="76">
        <f>0</f>
        <v>0</v>
      </c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</row>
    <row r="452" spans="1:30" ht="15.75" x14ac:dyDescent="0.25">
      <c r="A452" s="33">
        <v>54696</v>
      </c>
      <c r="B452" s="89">
        <v>30</v>
      </c>
      <c r="C452" s="76">
        <f>194.205</f>
        <v>194.20500000000001</v>
      </c>
      <c r="D452" s="76">
        <f>267.466</f>
        <v>267.46600000000001</v>
      </c>
      <c r="E452" s="85">
        <f>133.845</f>
        <v>133.845</v>
      </c>
      <c r="F452" s="76">
        <f>278.484-40-25-60-100</f>
        <v>53.48399999999998</v>
      </c>
      <c r="G452" s="79">
        <v>40</v>
      </c>
      <c r="H452" s="76">
        <f t="shared" si="72"/>
        <v>185</v>
      </c>
      <c r="I452" s="76">
        <f t="shared" si="71"/>
        <v>0</v>
      </c>
      <c r="J452" s="79">
        <v>100</v>
      </c>
      <c r="K452" s="79">
        <v>300</v>
      </c>
      <c r="L452" s="76">
        <f t="shared" si="64"/>
        <v>1274</v>
      </c>
      <c r="M452" s="87">
        <v>600</v>
      </c>
      <c r="N452" s="76">
        <f>30</f>
        <v>30</v>
      </c>
      <c r="O452" s="79">
        <v>240</v>
      </c>
      <c r="P452" s="79">
        <v>160</v>
      </c>
      <c r="Q452" s="79">
        <f t="shared" si="65"/>
        <v>195</v>
      </c>
      <c r="R452" s="79">
        <f t="shared" si="66"/>
        <v>100</v>
      </c>
      <c r="S452" s="76">
        <f t="shared" si="67"/>
        <v>695</v>
      </c>
      <c r="T452" s="76">
        <f>0</f>
        <v>0</v>
      </c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</row>
    <row r="453" spans="1:30" ht="15.75" x14ac:dyDescent="0.25">
      <c r="A453" s="33">
        <v>54727</v>
      </c>
      <c r="B453" s="89">
        <v>31</v>
      </c>
      <c r="C453" s="76">
        <f>131.881</f>
        <v>131.881</v>
      </c>
      <c r="D453" s="76">
        <f>277.167</f>
        <v>277.16699999999997</v>
      </c>
      <c r="E453" s="85">
        <f>79.08</f>
        <v>79.08</v>
      </c>
      <c r="F453" s="76">
        <f>350.872-40-25-60-100</f>
        <v>125.87200000000001</v>
      </c>
      <c r="G453" s="79">
        <v>40</v>
      </c>
      <c r="H453" s="76">
        <f t="shared" si="72"/>
        <v>185</v>
      </c>
      <c r="I453" s="76">
        <f t="shared" si="71"/>
        <v>0</v>
      </c>
      <c r="J453" s="79">
        <v>100</v>
      </c>
      <c r="K453" s="79">
        <v>300</v>
      </c>
      <c r="L453" s="76">
        <f t="shared" si="64"/>
        <v>1239</v>
      </c>
      <c r="M453" s="87">
        <v>600</v>
      </c>
      <c r="N453" s="76">
        <f>75</f>
        <v>75</v>
      </c>
      <c r="O453" s="79">
        <v>240</v>
      </c>
      <c r="P453" s="79">
        <v>160</v>
      </c>
      <c r="Q453" s="79">
        <f t="shared" si="65"/>
        <v>195</v>
      </c>
      <c r="R453" s="79">
        <f t="shared" si="66"/>
        <v>100</v>
      </c>
      <c r="S453" s="76">
        <f t="shared" si="67"/>
        <v>695</v>
      </c>
      <c r="T453" s="76">
        <f>0</f>
        <v>0</v>
      </c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</row>
    <row r="454" spans="1:30" ht="15.75" x14ac:dyDescent="0.25">
      <c r="A454" s="33">
        <v>54757</v>
      </c>
      <c r="B454" s="89">
        <v>30</v>
      </c>
      <c r="C454" s="76">
        <f>122.58</f>
        <v>122.58</v>
      </c>
      <c r="D454" s="76">
        <f>297.941</f>
        <v>297.94099999999997</v>
      </c>
      <c r="E454" s="85">
        <f>89.177</f>
        <v>89.177000000000007</v>
      </c>
      <c r="F454" s="76">
        <f>240.302-40-60-100</f>
        <v>40.301999999999992</v>
      </c>
      <c r="G454" s="79">
        <v>40</v>
      </c>
      <c r="H454" s="76">
        <f>60+100</f>
        <v>160</v>
      </c>
      <c r="I454" s="76">
        <f t="shared" si="71"/>
        <v>0</v>
      </c>
      <c r="J454" s="79">
        <v>100</v>
      </c>
      <c r="K454" s="79">
        <v>300</v>
      </c>
      <c r="L454" s="76">
        <f t="shared" si="64"/>
        <v>1150</v>
      </c>
      <c r="M454" s="87">
        <v>600</v>
      </c>
      <c r="N454" s="76">
        <f>100</f>
        <v>100</v>
      </c>
      <c r="O454" s="79">
        <v>240</v>
      </c>
      <c r="P454" s="79">
        <v>40</v>
      </c>
      <c r="Q454" s="79">
        <f t="shared" si="65"/>
        <v>315</v>
      </c>
      <c r="R454" s="79">
        <f t="shared" si="66"/>
        <v>100</v>
      </c>
      <c r="S454" s="76">
        <f t="shared" si="67"/>
        <v>695</v>
      </c>
      <c r="T454" s="76">
        <f>50</f>
        <v>50</v>
      </c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</row>
    <row r="455" spans="1:30" ht="15.75" x14ac:dyDescent="0.25">
      <c r="A455" s="33">
        <v>54788</v>
      </c>
      <c r="B455" s="89">
        <v>31</v>
      </c>
      <c r="C455" s="76">
        <f>122.58</f>
        <v>122.58</v>
      </c>
      <c r="D455" s="76">
        <f>297.941</f>
        <v>297.94099999999997</v>
      </c>
      <c r="E455" s="85">
        <f>89.177</f>
        <v>89.177000000000007</v>
      </c>
      <c r="F455" s="76">
        <f>240.302-40-60-100</f>
        <v>40.301999999999992</v>
      </c>
      <c r="G455" s="79">
        <v>40</v>
      </c>
      <c r="H455" s="76">
        <f>60+100</f>
        <v>160</v>
      </c>
      <c r="I455" s="76">
        <f t="shared" si="71"/>
        <v>0</v>
      </c>
      <c r="J455" s="79">
        <v>100</v>
      </c>
      <c r="K455" s="79">
        <v>300</v>
      </c>
      <c r="L455" s="76">
        <f t="shared" si="64"/>
        <v>1150</v>
      </c>
      <c r="M455" s="87">
        <v>600</v>
      </c>
      <c r="N455" s="76">
        <f>100</f>
        <v>100</v>
      </c>
      <c r="O455" s="79">
        <v>240</v>
      </c>
      <c r="P455" s="79">
        <v>40</v>
      </c>
      <c r="Q455" s="79">
        <f t="shared" si="65"/>
        <v>315</v>
      </c>
      <c r="R455" s="79">
        <f t="shared" si="66"/>
        <v>100</v>
      </c>
      <c r="S455" s="76">
        <f t="shared" si="67"/>
        <v>695</v>
      </c>
      <c r="T455" s="76">
        <f>50</f>
        <v>50</v>
      </c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</row>
    <row r="456" spans="1:30" ht="15.75" x14ac:dyDescent="0.25">
      <c r="A456" s="33">
        <v>54819</v>
      </c>
      <c r="B456" s="89">
        <v>31</v>
      </c>
      <c r="C456" s="76">
        <f>122.58</f>
        <v>122.58</v>
      </c>
      <c r="D456" s="76">
        <f>297.941</f>
        <v>297.94099999999997</v>
      </c>
      <c r="E456" s="85">
        <f>89.177</f>
        <v>89.177000000000007</v>
      </c>
      <c r="F456" s="76">
        <f>240.302-40-60-100</f>
        <v>40.301999999999992</v>
      </c>
      <c r="G456" s="79">
        <v>40</v>
      </c>
      <c r="H456" s="76">
        <f>60+100</f>
        <v>160</v>
      </c>
      <c r="I456" s="76">
        <f t="shared" si="71"/>
        <v>0</v>
      </c>
      <c r="J456" s="79">
        <v>100</v>
      </c>
      <c r="K456" s="79">
        <v>300</v>
      </c>
      <c r="L456" s="76">
        <f t="shared" si="64"/>
        <v>1150</v>
      </c>
      <c r="M456" s="87">
        <v>600</v>
      </c>
      <c r="N456" s="76">
        <f>100</f>
        <v>100</v>
      </c>
      <c r="O456" s="79">
        <v>240</v>
      </c>
      <c r="P456" s="79">
        <v>40</v>
      </c>
      <c r="Q456" s="79">
        <f t="shared" si="65"/>
        <v>315</v>
      </c>
      <c r="R456" s="79">
        <f t="shared" si="66"/>
        <v>100</v>
      </c>
      <c r="S456" s="76">
        <f t="shared" si="67"/>
        <v>695</v>
      </c>
      <c r="T456" s="76">
        <f>50</f>
        <v>50</v>
      </c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</row>
    <row r="457" spans="1:30" ht="15.75" x14ac:dyDescent="0.25">
      <c r="A457" s="33">
        <v>54847</v>
      </c>
      <c r="B457" s="89">
        <v>28</v>
      </c>
      <c r="C457" s="76">
        <f>122.58</f>
        <v>122.58</v>
      </c>
      <c r="D457" s="76">
        <f>297.941</f>
        <v>297.94099999999997</v>
      </c>
      <c r="E457" s="85">
        <f>89.177</f>
        <v>89.177000000000007</v>
      </c>
      <c r="F457" s="76">
        <f>240.302-40-60-100</f>
        <v>40.301999999999992</v>
      </c>
      <c r="G457" s="79">
        <v>40</v>
      </c>
      <c r="H457" s="76">
        <f>60+100</f>
        <v>160</v>
      </c>
      <c r="I457" s="76">
        <f t="shared" si="71"/>
        <v>0</v>
      </c>
      <c r="J457" s="79">
        <v>100</v>
      </c>
      <c r="K457" s="79">
        <v>300</v>
      </c>
      <c r="L457" s="76">
        <f t="shared" si="64"/>
        <v>1150</v>
      </c>
      <c r="M457" s="87">
        <v>600</v>
      </c>
      <c r="N457" s="76">
        <f>100</f>
        <v>100</v>
      </c>
      <c r="O457" s="79">
        <v>240</v>
      </c>
      <c r="P457" s="79">
        <v>40</v>
      </c>
      <c r="Q457" s="79">
        <f t="shared" si="65"/>
        <v>315</v>
      </c>
      <c r="R457" s="79">
        <f t="shared" si="66"/>
        <v>100</v>
      </c>
      <c r="S457" s="76">
        <f t="shared" si="67"/>
        <v>695</v>
      </c>
      <c r="T457" s="76">
        <f>50</f>
        <v>50</v>
      </c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</row>
    <row r="458" spans="1:30" ht="15.75" x14ac:dyDescent="0.25">
      <c r="A458" s="33">
        <v>54878</v>
      </c>
      <c r="B458" s="89">
        <v>31</v>
      </c>
      <c r="C458" s="76">
        <f>122.58</f>
        <v>122.58</v>
      </c>
      <c r="D458" s="76">
        <f>297.941</f>
        <v>297.94099999999997</v>
      </c>
      <c r="E458" s="85">
        <f>89.177</f>
        <v>89.177000000000007</v>
      </c>
      <c r="F458" s="76">
        <f>240.302-40-60-100</f>
        <v>40.301999999999992</v>
      </c>
      <c r="G458" s="79">
        <v>40</v>
      </c>
      <c r="H458" s="76">
        <f>60+100</f>
        <v>160</v>
      </c>
      <c r="I458" s="76">
        <f t="shared" si="71"/>
        <v>0</v>
      </c>
      <c r="J458" s="79">
        <v>100</v>
      </c>
      <c r="K458" s="79">
        <v>300</v>
      </c>
      <c r="L458" s="76">
        <f t="shared" si="64"/>
        <v>1150</v>
      </c>
      <c r="M458" s="87">
        <v>600</v>
      </c>
      <c r="N458" s="76">
        <f>100</f>
        <v>100</v>
      </c>
      <c r="O458" s="79">
        <v>240</v>
      </c>
      <c r="P458" s="79">
        <v>40</v>
      </c>
      <c r="Q458" s="79">
        <f t="shared" si="65"/>
        <v>315</v>
      </c>
      <c r="R458" s="79">
        <f t="shared" si="66"/>
        <v>100</v>
      </c>
      <c r="S458" s="76">
        <f t="shared" si="67"/>
        <v>695</v>
      </c>
      <c r="T458" s="76">
        <f>50</f>
        <v>50</v>
      </c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</row>
    <row r="459" spans="1:30" ht="15.75" x14ac:dyDescent="0.25">
      <c r="A459" s="33">
        <v>54908</v>
      </c>
      <c r="B459" s="89">
        <v>30</v>
      </c>
      <c r="C459" s="76">
        <f>141.293</f>
        <v>141.29300000000001</v>
      </c>
      <c r="D459" s="76">
        <f>267.993</f>
        <v>267.99299999999999</v>
      </c>
      <c r="E459" s="85">
        <f>115.016</f>
        <v>115.01600000000001</v>
      </c>
      <c r="F459" s="76">
        <f>314.698-40-25-60-100</f>
        <v>89.697999999999979</v>
      </c>
      <c r="G459" s="79">
        <v>40</v>
      </c>
      <c r="H459" s="76">
        <f t="shared" ref="H459:H465" si="73">25+60+100</f>
        <v>185</v>
      </c>
      <c r="I459" s="76">
        <f t="shared" si="71"/>
        <v>0</v>
      </c>
      <c r="J459" s="79">
        <v>100</v>
      </c>
      <c r="K459" s="79">
        <v>300</v>
      </c>
      <c r="L459" s="76">
        <f t="shared" si="64"/>
        <v>1239</v>
      </c>
      <c r="M459" s="87">
        <v>600</v>
      </c>
      <c r="N459" s="76">
        <f>100</f>
        <v>100</v>
      </c>
      <c r="O459" s="79">
        <v>240</v>
      </c>
      <c r="P459" s="79">
        <v>160</v>
      </c>
      <c r="Q459" s="79">
        <f t="shared" si="65"/>
        <v>195</v>
      </c>
      <c r="R459" s="79">
        <f t="shared" si="66"/>
        <v>100</v>
      </c>
      <c r="S459" s="76">
        <f t="shared" si="67"/>
        <v>695</v>
      </c>
      <c r="T459" s="76">
        <f>50</f>
        <v>50</v>
      </c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</row>
    <row r="460" spans="1:30" ht="15.75" x14ac:dyDescent="0.25">
      <c r="A460" s="33">
        <v>54939</v>
      </c>
      <c r="B460" s="89">
        <v>31</v>
      </c>
      <c r="C460" s="76">
        <f>194.205</f>
        <v>194.20500000000001</v>
      </c>
      <c r="D460" s="76">
        <f>267.466</f>
        <v>267.46600000000001</v>
      </c>
      <c r="E460" s="85">
        <f>133.845</f>
        <v>133.845</v>
      </c>
      <c r="F460" s="76">
        <f>278.484-40-25-60-100</f>
        <v>53.48399999999998</v>
      </c>
      <c r="G460" s="79">
        <v>40</v>
      </c>
      <c r="H460" s="76">
        <f t="shared" si="73"/>
        <v>185</v>
      </c>
      <c r="I460" s="76">
        <f t="shared" si="71"/>
        <v>0</v>
      </c>
      <c r="J460" s="79">
        <v>100</v>
      </c>
      <c r="K460" s="79">
        <v>300</v>
      </c>
      <c r="L460" s="76">
        <f t="shared" si="64"/>
        <v>1274</v>
      </c>
      <c r="M460" s="87">
        <v>600</v>
      </c>
      <c r="N460" s="76">
        <f>75</f>
        <v>75</v>
      </c>
      <c r="O460" s="79">
        <v>240</v>
      </c>
      <c r="P460" s="79">
        <v>160</v>
      </c>
      <c r="Q460" s="79">
        <f t="shared" si="65"/>
        <v>195</v>
      </c>
      <c r="R460" s="79">
        <f t="shared" si="66"/>
        <v>100</v>
      </c>
      <c r="S460" s="76">
        <f t="shared" si="67"/>
        <v>695</v>
      </c>
      <c r="T460" s="76">
        <f>50</f>
        <v>50</v>
      </c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</row>
    <row r="461" spans="1:30" ht="15.75" x14ac:dyDescent="0.25">
      <c r="A461" s="33">
        <v>54969</v>
      </c>
      <c r="B461" s="89">
        <v>30</v>
      </c>
      <c r="C461" s="76">
        <f>194.205</f>
        <v>194.20500000000001</v>
      </c>
      <c r="D461" s="76">
        <f>267.466</f>
        <v>267.46600000000001</v>
      </c>
      <c r="E461" s="85">
        <f>133.845</f>
        <v>133.845</v>
      </c>
      <c r="F461" s="76">
        <f>278.484-40-25-60-100</f>
        <v>53.48399999999998</v>
      </c>
      <c r="G461" s="79">
        <v>40</v>
      </c>
      <c r="H461" s="76">
        <f t="shared" si="73"/>
        <v>185</v>
      </c>
      <c r="I461" s="76">
        <f t="shared" si="71"/>
        <v>0</v>
      </c>
      <c r="J461" s="79">
        <v>100</v>
      </c>
      <c r="K461" s="79">
        <v>300</v>
      </c>
      <c r="L461" s="76">
        <f t="shared" si="64"/>
        <v>1274</v>
      </c>
      <c r="M461" s="87">
        <v>600</v>
      </c>
      <c r="N461" s="76">
        <f>30</f>
        <v>30</v>
      </c>
      <c r="O461" s="79">
        <v>240</v>
      </c>
      <c r="P461" s="79">
        <v>160</v>
      </c>
      <c r="Q461" s="79">
        <f t="shared" si="65"/>
        <v>195</v>
      </c>
      <c r="R461" s="79">
        <f t="shared" si="66"/>
        <v>100</v>
      </c>
      <c r="S461" s="76">
        <f t="shared" si="67"/>
        <v>695</v>
      </c>
      <c r="T461" s="76">
        <f>50</f>
        <v>50</v>
      </c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</row>
    <row r="462" spans="1:30" ht="15.75" x14ac:dyDescent="0.25">
      <c r="A462" s="33">
        <v>55000</v>
      </c>
      <c r="B462" s="89">
        <v>31</v>
      </c>
      <c r="C462" s="76">
        <f>194.205</f>
        <v>194.20500000000001</v>
      </c>
      <c r="D462" s="76">
        <f>267.466</f>
        <v>267.46600000000001</v>
      </c>
      <c r="E462" s="85">
        <f>133.845</f>
        <v>133.845</v>
      </c>
      <c r="F462" s="76">
        <f>278.484-40-25-60-100</f>
        <v>53.48399999999998</v>
      </c>
      <c r="G462" s="79">
        <v>40</v>
      </c>
      <c r="H462" s="76">
        <f t="shared" si="73"/>
        <v>185</v>
      </c>
      <c r="I462" s="76">
        <f t="shared" si="71"/>
        <v>0</v>
      </c>
      <c r="J462" s="79">
        <v>100</v>
      </c>
      <c r="K462" s="79">
        <v>300</v>
      </c>
      <c r="L462" s="76">
        <f t="shared" si="64"/>
        <v>1274</v>
      </c>
      <c r="M462" s="87">
        <v>600</v>
      </c>
      <c r="N462" s="76">
        <f>30</f>
        <v>30</v>
      </c>
      <c r="O462" s="79">
        <v>240</v>
      </c>
      <c r="P462" s="79">
        <v>160</v>
      </c>
      <c r="Q462" s="79">
        <f t="shared" si="65"/>
        <v>195</v>
      </c>
      <c r="R462" s="79">
        <f t="shared" si="66"/>
        <v>100</v>
      </c>
      <c r="S462" s="76">
        <f t="shared" si="67"/>
        <v>695</v>
      </c>
      <c r="T462" s="76">
        <f>0</f>
        <v>0</v>
      </c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</row>
    <row r="463" spans="1:30" ht="15.75" x14ac:dyDescent="0.25">
      <c r="A463" s="33">
        <v>55031</v>
      </c>
      <c r="B463" s="89">
        <v>31</v>
      </c>
      <c r="C463" s="76">
        <f>194.205</f>
        <v>194.20500000000001</v>
      </c>
      <c r="D463" s="76">
        <f>267.466</f>
        <v>267.46600000000001</v>
      </c>
      <c r="E463" s="85">
        <f>133.845</f>
        <v>133.845</v>
      </c>
      <c r="F463" s="76">
        <f>278.484-40-25-60-100</f>
        <v>53.48399999999998</v>
      </c>
      <c r="G463" s="79">
        <v>40</v>
      </c>
      <c r="H463" s="76">
        <f t="shared" si="73"/>
        <v>185</v>
      </c>
      <c r="I463" s="76">
        <f t="shared" si="71"/>
        <v>0</v>
      </c>
      <c r="J463" s="79">
        <v>100</v>
      </c>
      <c r="K463" s="79">
        <v>300</v>
      </c>
      <c r="L463" s="76">
        <f t="shared" si="64"/>
        <v>1274</v>
      </c>
      <c r="M463" s="87">
        <v>600</v>
      </c>
      <c r="N463" s="76">
        <f>30</f>
        <v>30</v>
      </c>
      <c r="O463" s="79">
        <v>240</v>
      </c>
      <c r="P463" s="79">
        <v>160</v>
      </c>
      <c r="Q463" s="79">
        <f t="shared" si="65"/>
        <v>195</v>
      </c>
      <c r="R463" s="79">
        <f t="shared" si="66"/>
        <v>100</v>
      </c>
      <c r="S463" s="76">
        <f t="shared" si="67"/>
        <v>695</v>
      </c>
      <c r="T463" s="76">
        <f>0</f>
        <v>0</v>
      </c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</row>
    <row r="464" spans="1:30" ht="15.75" x14ac:dyDescent="0.25">
      <c r="A464" s="33">
        <v>55061</v>
      </c>
      <c r="B464" s="89">
        <v>30</v>
      </c>
      <c r="C464" s="76">
        <f>194.205</f>
        <v>194.20500000000001</v>
      </c>
      <c r="D464" s="76">
        <f>267.466</f>
        <v>267.46600000000001</v>
      </c>
      <c r="E464" s="85">
        <f>133.845</f>
        <v>133.845</v>
      </c>
      <c r="F464" s="76">
        <f>278.484-40-25-60-100</f>
        <v>53.48399999999998</v>
      </c>
      <c r="G464" s="79">
        <v>40</v>
      </c>
      <c r="H464" s="76">
        <f t="shared" si="73"/>
        <v>185</v>
      </c>
      <c r="I464" s="76">
        <f t="shared" si="71"/>
        <v>0</v>
      </c>
      <c r="J464" s="79">
        <v>100</v>
      </c>
      <c r="K464" s="79">
        <v>300</v>
      </c>
      <c r="L464" s="76">
        <f t="shared" ref="L464:L527" si="74">SUM(C464:K464)</f>
        <v>1274</v>
      </c>
      <c r="M464" s="87">
        <v>600</v>
      </c>
      <c r="N464" s="76">
        <f>30</f>
        <v>30</v>
      </c>
      <c r="O464" s="79">
        <v>240</v>
      </c>
      <c r="P464" s="79">
        <v>160</v>
      </c>
      <c r="Q464" s="79">
        <f t="shared" ref="Q464:Q527" si="75">695-R464-O464-P464</f>
        <v>195</v>
      </c>
      <c r="R464" s="79">
        <f t="shared" ref="R464:R527" si="76">200-J464</f>
        <v>100</v>
      </c>
      <c r="S464" s="76">
        <f t="shared" ref="S464:S527" si="77">SUM(O464:R464)</f>
        <v>695</v>
      </c>
      <c r="T464" s="76">
        <f>0</f>
        <v>0</v>
      </c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</row>
    <row r="465" spans="1:30" ht="15.75" x14ac:dyDescent="0.25">
      <c r="A465" s="33">
        <v>55092</v>
      </c>
      <c r="B465" s="89">
        <v>31</v>
      </c>
      <c r="C465" s="76">
        <f>131.881</f>
        <v>131.881</v>
      </c>
      <c r="D465" s="76">
        <f>277.167</f>
        <v>277.16699999999997</v>
      </c>
      <c r="E465" s="85">
        <f>79.08</f>
        <v>79.08</v>
      </c>
      <c r="F465" s="76">
        <f>350.872-40-25-60-100</f>
        <v>125.87200000000001</v>
      </c>
      <c r="G465" s="79">
        <v>40</v>
      </c>
      <c r="H465" s="76">
        <f t="shared" si="73"/>
        <v>185</v>
      </c>
      <c r="I465" s="76">
        <f t="shared" si="71"/>
        <v>0</v>
      </c>
      <c r="J465" s="79">
        <v>100</v>
      </c>
      <c r="K465" s="79">
        <v>300</v>
      </c>
      <c r="L465" s="76">
        <f t="shared" si="74"/>
        <v>1239</v>
      </c>
      <c r="M465" s="87">
        <v>600</v>
      </c>
      <c r="N465" s="76">
        <f>75</f>
        <v>75</v>
      </c>
      <c r="O465" s="79">
        <v>240</v>
      </c>
      <c r="P465" s="79">
        <v>160</v>
      </c>
      <c r="Q465" s="79">
        <f t="shared" si="75"/>
        <v>195</v>
      </c>
      <c r="R465" s="79">
        <f t="shared" si="76"/>
        <v>100</v>
      </c>
      <c r="S465" s="76">
        <f t="shared" si="77"/>
        <v>695</v>
      </c>
      <c r="T465" s="76">
        <f>0</f>
        <v>0</v>
      </c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</row>
    <row r="466" spans="1:30" ht="15.75" x14ac:dyDescent="0.25">
      <c r="A466" s="33">
        <v>55122</v>
      </c>
      <c r="B466" s="89">
        <v>30</v>
      </c>
      <c r="C466" s="76">
        <f>122.58</f>
        <v>122.58</v>
      </c>
      <c r="D466" s="76">
        <f>297.941</f>
        <v>297.94099999999997</v>
      </c>
      <c r="E466" s="85">
        <f>89.177</f>
        <v>89.177000000000007</v>
      </c>
      <c r="F466" s="76">
        <f>240.302-40-60-100</f>
        <v>40.301999999999992</v>
      </c>
      <c r="G466" s="79">
        <v>40</v>
      </c>
      <c r="H466" s="76">
        <f>60+100</f>
        <v>160</v>
      </c>
      <c r="I466" s="76">
        <f t="shared" si="71"/>
        <v>0</v>
      </c>
      <c r="J466" s="79">
        <v>100</v>
      </c>
      <c r="K466" s="79">
        <v>300</v>
      </c>
      <c r="L466" s="76">
        <f t="shared" si="74"/>
        <v>1150</v>
      </c>
      <c r="M466" s="87">
        <v>600</v>
      </c>
      <c r="N466" s="76">
        <f>100</f>
        <v>100</v>
      </c>
      <c r="O466" s="79">
        <v>240</v>
      </c>
      <c r="P466" s="79">
        <v>40</v>
      </c>
      <c r="Q466" s="79">
        <f t="shared" si="75"/>
        <v>315</v>
      </c>
      <c r="R466" s="79">
        <f t="shared" si="76"/>
        <v>100</v>
      </c>
      <c r="S466" s="76">
        <f t="shared" si="77"/>
        <v>695</v>
      </c>
      <c r="T466" s="76">
        <f>50</f>
        <v>50</v>
      </c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</row>
    <row r="467" spans="1:30" ht="15.75" x14ac:dyDescent="0.25">
      <c r="A467" s="33">
        <v>55153</v>
      </c>
      <c r="B467" s="89">
        <v>31</v>
      </c>
      <c r="C467" s="76">
        <f>122.58</f>
        <v>122.58</v>
      </c>
      <c r="D467" s="76">
        <f>297.941</f>
        <v>297.94099999999997</v>
      </c>
      <c r="E467" s="85">
        <f>89.177</f>
        <v>89.177000000000007</v>
      </c>
      <c r="F467" s="76">
        <f>240.302-40-60-100</f>
        <v>40.301999999999992</v>
      </c>
      <c r="G467" s="79">
        <v>40</v>
      </c>
      <c r="H467" s="76">
        <f>60+100</f>
        <v>160</v>
      </c>
      <c r="I467" s="76">
        <f t="shared" si="71"/>
        <v>0</v>
      </c>
      <c r="J467" s="79">
        <v>100</v>
      </c>
      <c r="K467" s="79">
        <v>300</v>
      </c>
      <c r="L467" s="76">
        <f t="shared" si="74"/>
        <v>1150</v>
      </c>
      <c r="M467" s="87">
        <v>600</v>
      </c>
      <c r="N467" s="76">
        <f>100</f>
        <v>100</v>
      </c>
      <c r="O467" s="79">
        <v>240</v>
      </c>
      <c r="P467" s="79">
        <v>40</v>
      </c>
      <c r="Q467" s="79">
        <f t="shared" si="75"/>
        <v>315</v>
      </c>
      <c r="R467" s="79">
        <f t="shared" si="76"/>
        <v>100</v>
      </c>
      <c r="S467" s="76">
        <f t="shared" si="77"/>
        <v>695</v>
      </c>
      <c r="T467" s="76">
        <f>50</f>
        <v>50</v>
      </c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</row>
    <row r="468" spans="1:30" ht="15.75" x14ac:dyDescent="0.25">
      <c r="A468" s="33">
        <v>55184</v>
      </c>
      <c r="B468" s="89">
        <v>31</v>
      </c>
      <c r="C468" s="76">
        <f>122.58</f>
        <v>122.58</v>
      </c>
      <c r="D468" s="76">
        <f>297.941</f>
        <v>297.94099999999997</v>
      </c>
      <c r="E468" s="85">
        <f>89.177</f>
        <v>89.177000000000007</v>
      </c>
      <c r="F468" s="76">
        <f>240.302-40-60-100</f>
        <v>40.301999999999992</v>
      </c>
      <c r="G468" s="79">
        <v>40</v>
      </c>
      <c r="H468" s="76">
        <f>60+100</f>
        <v>160</v>
      </c>
      <c r="I468" s="76">
        <f t="shared" si="71"/>
        <v>0</v>
      </c>
      <c r="J468" s="79">
        <v>100</v>
      </c>
      <c r="K468" s="79">
        <v>300</v>
      </c>
      <c r="L468" s="76">
        <f t="shared" si="74"/>
        <v>1150</v>
      </c>
      <c r="M468" s="87">
        <v>600</v>
      </c>
      <c r="N468" s="76">
        <f>100</f>
        <v>100</v>
      </c>
      <c r="O468" s="79">
        <v>240</v>
      </c>
      <c r="P468" s="79">
        <v>40</v>
      </c>
      <c r="Q468" s="79">
        <f t="shared" si="75"/>
        <v>315</v>
      </c>
      <c r="R468" s="79">
        <f t="shared" si="76"/>
        <v>100</v>
      </c>
      <c r="S468" s="76">
        <f t="shared" si="77"/>
        <v>695</v>
      </c>
      <c r="T468" s="76">
        <f>50</f>
        <v>50</v>
      </c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</row>
    <row r="469" spans="1:30" ht="15.75" x14ac:dyDescent="0.25">
      <c r="A469" s="33">
        <v>55212</v>
      </c>
      <c r="B469" s="89">
        <v>28</v>
      </c>
      <c r="C469" s="76">
        <f>122.58</f>
        <v>122.58</v>
      </c>
      <c r="D469" s="76">
        <f>297.941</f>
        <v>297.94099999999997</v>
      </c>
      <c r="E469" s="85">
        <f>89.177</f>
        <v>89.177000000000007</v>
      </c>
      <c r="F469" s="76">
        <f>240.302-40-60-100</f>
        <v>40.301999999999992</v>
      </c>
      <c r="G469" s="79">
        <v>40</v>
      </c>
      <c r="H469" s="76">
        <f>60+100</f>
        <v>160</v>
      </c>
      <c r="I469" s="76">
        <f t="shared" si="71"/>
        <v>0</v>
      </c>
      <c r="J469" s="79">
        <v>100</v>
      </c>
      <c r="K469" s="79">
        <v>300</v>
      </c>
      <c r="L469" s="76">
        <f t="shared" si="74"/>
        <v>1150</v>
      </c>
      <c r="M469" s="87">
        <v>600</v>
      </c>
      <c r="N469" s="76">
        <f>100</f>
        <v>100</v>
      </c>
      <c r="O469" s="79">
        <v>240</v>
      </c>
      <c r="P469" s="79">
        <v>40</v>
      </c>
      <c r="Q469" s="79">
        <f t="shared" si="75"/>
        <v>315</v>
      </c>
      <c r="R469" s="79">
        <f t="shared" si="76"/>
        <v>100</v>
      </c>
      <c r="S469" s="76">
        <f t="shared" si="77"/>
        <v>695</v>
      </c>
      <c r="T469" s="76">
        <f>50</f>
        <v>50</v>
      </c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</row>
    <row r="470" spans="1:30" ht="15.75" x14ac:dyDescent="0.25">
      <c r="A470" s="33">
        <v>55243</v>
      </c>
      <c r="B470" s="89">
        <v>31</v>
      </c>
      <c r="C470" s="76">
        <f>122.58</f>
        <v>122.58</v>
      </c>
      <c r="D470" s="76">
        <f>297.941</f>
        <v>297.94099999999997</v>
      </c>
      <c r="E470" s="85">
        <f>89.177</f>
        <v>89.177000000000007</v>
      </c>
      <c r="F470" s="76">
        <f>240.302-40-60-100</f>
        <v>40.301999999999992</v>
      </c>
      <c r="G470" s="79">
        <v>40</v>
      </c>
      <c r="H470" s="76">
        <f>60+100</f>
        <v>160</v>
      </c>
      <c r="I470" s="76">
        <f t="shared" si="71"/>
        <v>0</v>
      </c>
      <c r="J470" s="79">
        <v>100</v>
      </c>
      <c r="K470" s="79">
        <v>300</v>
      </c>
      <c r="L470" s="76">
        <f t="shared" si="74"/>
        <v>1150</v>
      </c>
      <c r="M470" s="87">
        <v>600</v>
      </c>
      <c r="N470" s="76">
        <f>100</f>
        <v>100</v>
      </c>
      <c r="O470" s="79">
        <v>240</v>
      </c>
      <c r="P470" s="79">
        <v>40</v>
      </c>
      <c r="Q470" s="79">
        <f t="shared" si="75"/>
        <v>315</v>
      </c>
      <c r="R470" s="79">
        <f t="shared" si="76"/>
        <v>100</v>
      </c>
      <c r="S470" s="76">
        <f t="shared" si="77"/>
        <v>695</v>
      </c>
      <c r="T470" s="76">
        <f>50</f>
        <v>50</v>
      </c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</row>
    <row r="471" spans="1:30" ht="15.75" x14ac:dyDescent="0.25">
      <c r="A471" s="33">
        <v>55273</v>
      </c>
      <c r="B471" s="89">
        <v>30</v>
      </c>
      <c r="C471" s="76">
        <f>141.293</f>
        <v>141.29300000000001</v>
      </c>
      <c r="D471" s="76">
        <f>267.993</f>
        <v>267.99299999999999</v>
      </c>
      <c r="E471" s="85">
        <f>115.016</f>
        <v>115.01600000000001</v>
      </c>
      <c r="F471" s="76">
        <f>314.698-40-25-60-100</f>
        <v>89.697999999999979</v>
      </c>
      <c r="G471" s="79">
        <v>40</v>
      </c>
      <c r="H471" s="76">
        <f t="shared" ref="H471:H477" si="78">25+60+100</f>
        <v>185</v>
      </c>
      <c r="I471" s="76">
        <f t="shared" si="71"/>
        <v>0</v>
      </c>
      <c r="J471" s="79">
        <v>100</v>
      </c>
      <c r="K471" s="79">
        <v>300</v>
      </c>
      <c r="L471" s="76">
        <f t="shared" si="74"/>
        <v>1239</v>
      </c>
      <c r="M471" s="87">
        <v>600</v>
      </c>
      <c r="N471" s="76">
        <f>100</f>
        <v>100</v>
      </c>
      <c r="O471" s="79">
        <v>240</v>
      </c>
      <c r="P471" s="79">
        <v>160</v>
      </c>
      <c r="Q471" s="79">
        <f t="shared" si="75"/>
        <v>195</v>
      </c>
      <c r="R471" s="79">
        <f t="shared" si="76"/>
        <v>100</v>
      </c>
      <c r="S471" s="76">
        <f t="shared" si="77"/>
        <v>695</v>
      </c>
      <c r="T471" s="76">
        <f>50</f>
        <v>50</v>
      </c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</row>
    <row r="472" spans="1:30" ht="15.75" x14ac:dyDescent="0.25">
      <c r="A472" s="33">
        <v>55304</v>
      </c>
      <c r="B472" s="89">
        <v>31</v>
      </c>
      <c r="C472" s="76">
        <f>194.205</f>
        <v>194.20500000000001</v>
      </c>
      <c r="D472" s="76">
        <f>267.466</f>
        <v>267.46600000000001</v>
      </c>
      <c r="E472" s="85">
        <f>133.845</f>
        <v>133.845</v>
      </c>
      <c r="F472" s="76">
        <f>278.484-40-25-60-100</f>
        <v>53.48399999999998</v>
      </c>
      <c r="G472" s="79">
        <v>40</v>
      </c>
      <c r="H472" s="76">
        <f t="shared" si="78"/>
        <v>185</v>
      </c>
      <c r="I472" s="76">
        <f t="shared" si="71"/>
        <v>0</v>
      </c>
      <c r="J472" s="79">
        <v>100</v>
      </c>
      <c r="K472" s="79">
        <v>300</v>
      </c>
      <c r="L472" s="76">
        <f t="shared" si="74"/>
        <v>1274</v>
      </c>
      <c r="M472" s="87">
        <v>600</v>
      </c>
      <c r="N472" s="76">
        <f>75</f>
        <v>75</v>
      </c>
      <c r="O472" s="79">
        <v>240</v>
      </c>
      <c r="P472" s="79">
        <v>160</v>
      </c>
      <c r="Q472" s="79">
        <f t="shared" si="75"/>
        <v>195</v>
      </c>
      <c r="R472" s="79">
        <f t="shared" si="76"/>
        <v>100</v>
      </c>
      <c r="S472" s="76">
        <f t="shared" si="77"/>
        <v>695</v>
      </c>
      <c r="T472" s="76">
        <f>50</f>
        <v>50</v>
      </c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</row>
    <row r="473" spans="1:30" ht="15.75" x14ac:dyDescent="0.25">
      <c r="A473" s="33">
        <v>55334</v>
      </c>
      <c r="B473" s="89">
        <v>30</v>
      </c>
      <c r="C473" s="76">
        <f>194.205</f>
        <v>194.20500000000001</v>
      </c>
      <c r="D473" s="76">
        <f>267.466</f>
        <v>267.46600000000001</v>
      </c>
      <c r="E473" s="85">
        <f>133.845</f>
        <v>133.845</v>
      </c>
      <c r="F473" s="76">
        <f>278.484-40-25-60-100</f>
        <v>53.48399999999998</v>
      </c>
      <c r="G473" s="79">
        <v>40</v>
      </c>
      <c r="H473" s="76">
        <f t="shared" si="78"/>
        <v>185</v>
      </c>
      <c r="I473" s="76">
        <f t="shared" si="71"/>
        <v>0</v>
      </c>
      <c r="J473" s="79">
        <v>100</v>
      </c>
      <c r="K473" s="79">
        <v>300</v>
      </c>
      <c r="L473" s="76">
        <f t="shared" si="74"/>
        <v>1274</v>
      </c>
      <c r="M473" s="87">
        <v>600</v>
      </c>
      <c r="N473" s="76">
        <f>30</f>
        <v>30</v>
      </c>
      <c r="O473" s="79">
        <v>240</v>
      </c>
      <c r="P473" s="79">
        <v>160</v>
      </c>
      <c r="Q473" s="79">
        <f t="shared" si="75"/>
        <v>195</v>
      </c>
      <c r="R473" s="79">
        <f t="shared" si="76"/>
        <v>100</v>
      </c>
      <c r="S473" s="76">
        <f t="shared" si="77"/>
        <v>695</v>
      </c>
      <c r="T473" s="76">
        <f>50</f>
        <v>50</v>
      </c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</row>
    <row r="474" spans="1:30" ht="15.75" x14ac:dyDescent="0.25">
      <c r="A474" s="33">
        <v>55365</v>
      </c>
      <c r="B474" s="89">
        <v>31</v>
      </c>
      <c r="C474" s="76">
        <f>194.205</f>
        <v>194.20500000000001</v>
      </c>
      <c r="D474" s="76">
        <f>267.466</f>
        <v>267.46600000000001</v>
      </c>
      <c r="E474" s="85">
        <f>133.845</f>
        <v>133.845</v>
      </c>
      <c r="F474" s="76">
        <f>278.484-40-25-60-100</f>
        <v>53.48399999999998</v>
      </c>
      <c r="G474" s="79">
        <v>40</v>
      </c>
      <c r="H474" s="76">
        <f t="shared" si="78"/>
        <v>185</v>
      </c>
      <c r="I474" s="76">
        <f t="shared" si="71"/>
        <v>0</v>
      </c>
      <c r="J474" s="79">
        <v>100</v>
      </c>
      <c r="K474" s="79">
        <v>300</v>
      </c>
      <c r="L474" s="76">
        <f t="shared" si="74"/>
        <v>1274</v>
      </c>
      <c r="M474" s="87">
        <v>600</v>
      </c>
      <c r="N474" s="76">
        <f>30</f>
        <v>30</v>
      </c>
      <c r="O474" s="79">
        <v>240</v>
      </c>
      <c r="P474" s="79">
        <v>160</v>
      </c>
      <c r="Q474" s="79">
        <f t="shared" si="75"/>
        <v>195</v>
      </c>
      <c r="R474" s="79">
        <f t="shared" si="76"/>
        <v>100</v>
      </c>
      <c r="S474" s="76">
        <f t="shared" si="77"/>
        <v>695</v>
      </c>
      <c r="T474" s="76">
        <f>0</f>
        <v>0</v>
      </c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</row>
    <row r="475" spans="1:30" ht="15.75" x14ac:dyDescent="0.25">
      <c r="A475" s="33">
        <v>55396</v>
      </c>
      <c r="B475" s="89">
        <v>31</v>
      </c>
      <c r="C475" s="76">
        <f>194.205</f>
        <v>194.20500000000001</v>
      </c>
      <c r="D475" s="76">
        <f>267.466</f>
        <v>267.46600000000001</v>
      </c>
      <c r="E475" s="85">
        <f>133.845</f>
        <v>133.845</v>
      </c>
      <c r="F475" s="76">
        <f>278.484-40-25-60-100</f>
        <v>53.48399999999998</v>
      </c>
      <c r="G475" s="79">
        <v>40</v>
      </c>
      <c r="H475" s="76">
        <f t="shared" si="78"/>
        <v>185</v>
      </c>
      <c r="I475" s="76">
        <f t="shared" si="71"/>
        <v>0</v>
      </c>
      <c r="J475" s="79">
        <v>100</v>
      </c>
      <c r="K475" s="79">
        <v>300</v>
      </c>
      <c r="L475" s="76">
        <f t="shared" si="74"/>
        <v>1274</v>
      </c>
      <c r="M475" s="87">
        <v>600</v>
      </c>
      <c r="N475" s="76">
        <f>30</f>
        <v>30</v>
      </c>
      <c r="O475" s="79">
        <v>240</v>
      </c>
      <c r="P475" s="79">
        <v>160</v>
      </c>
      <c r="Q475" s="79">
        <f t="shared" si="75"/>
        <v>195</v>
      </c>
      <c r="R475" s="79">
        <f t="shared" si="76"/>
        <v>100</v>
      </c>
      <c r="S475" s="76">
        <f t="shared" si="77"/>
        <v>695</v>
      </c>
      <c r="T475" s="76">
        <f>0</f>
        <v>0</v>
      </c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</row>
    <row r="476" spans="1:30" ht="15.75" x14ac:dyDescent="0.25">
      <c r="A476" s="33">
        <v>55426</v>
      </c>
      <c r="B476" s="89">
        <v>30</v>
      </c>
      <c r="C476" s="76">
        <f>194.205</f>
        <v>194.20500000000001</v>
      </c>
      <c r="D476" s="76">
        <f>267.466</f>
        <v>267.46600000000001</v>
      </c>
      <c r="E476" s="85">
        <f>133.845</f>
        <v>133.845</v>
      </c>
      <c r="F476" s="76">
        <f>278.484-40-25-60-100</f>
        <v>53.48399999999998</v>
      </c>
      <c r="G476" s="79">
        <v>40</v>
      </c>
      <c r="H476" s="76">
        <f t="shared" si="78"/>
        <v>185</v>
      </c>
      <c r="I476" s="76">
        <f t="shared" si="71"/>
        <v>0</v>
      </c>
      <c r="J476" s="79">
        <v>100</v>
      </c>
      <c r="K476" s="79">
        <v>300</v>
      </c>
      <c r="L476" s="76">
        <f t="shared" si="74"/>
        <v>1274</v>
      </c>
      <c r="M476" s="87">
        <v>600</v>
      </c>
      <c r="N476" s="76">
        <f>30</f>
        <v>30</v>
      </c>
      <c r="O476" s="79">
        <v>240</v>
      </c>
      <c r="P476" s="79">
        <v>160</v>
      </c>
      <c r="Q476" s="79">
        <f t="shared" si="75"/>
        <v>195</v>
      </c>
      <c r="R476" s="79">
        <f t="shared" si="76"/>
        <v>100</v>
      </c>
      <c r="S476" s="76">
        <f t="shared" si="77"/>
        <v>695</v>
      </c>
      <c r="T476" s="76">
        <f>0</f>
        <v>0</v>
      </c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</row>
    <row r="477" spans="1:30" ht="15.75" x14ac:dyDescent="0.25">
      <c r="A477" s="33">
        <v>55457</v>
      </c>
      <c r="B477" s="89">
        <v>31</v>
      </c>
      <c r="C477" s="76">
        <f>131.881</f>
        <v>131.881</v>
      </c>
      <c r="D477" s="76">
        <f>277.167</f>
        <v>277.16699999999997</v>
      </c>
      <c r="E477" s="85">
        <f>79.08</f>
        <v>79.08</v>
      </c>
      <c r="F477" s="76">
        <f>350.872-40-25-60-100</f>
        <v>125.87200000000001</v>
      </c>
      <c r="G477" s="79">
        <v>40</v>
      </c>
      <c r="H477" s="76">
        <f t="shared" si="78"/>
        <v>185</v>
      </c>
      <c r="I477" s="76">
        <f t="shared" si="71"/>
        <v>0</v>
      </c>
      <c r="J477" s="79">
        <v>100</v>
      </c>
      <c r="K477" s="79">
        <v>300</v>
      </c>
      <c r="L477" s="76">
        <f t="shared" si="74"/>
        <v>1239</v>
      </c>
      <c r="M477" s="87">
        <v>600</v>
      </c>
      <c r="N477" s="76">
        <f>75</f>
        <v>75</v>
      </c>
      <c r="O477" s="79">
        <v>240</v>
      </c>
      <c r="P477" s="79">
        <v>160</v>
      </c>
      <c r="Q477" s="79">
        <f t="shared" si="75"/>
        <v>195</v>
      </c>
      <c r="R477" s="79">
        <f t="shared" si="76"/>
        <v>100</v>
      </c>
      <c r="S477" s="76">
        <f t="shared" si="77"/>
        <v>695</v>
      </c>
      <c r="T477" s="76">
        <f>0</f>
        <v>0</v>
      </c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</row>
    <row r="478" spans="1:30" ht="15.75" x14ac:dyDescent="0.25">
      <c r="A478" s="33">
        <v>55487</v>
      </c>
      <c r="B478" s="89">
        <v>30</v>
      </c>
      <c r="C478" s="76">
        <f>122.58</f>
        <v>122.58</v>
      </c>
      <c r="D478" s="76">
        <f>297.941</f>
        <v>297.94099999999997</v>
      </c>
      <c r="E478" s="85">
        <f>89.177</f>
        <v>89.177000000000007</v>
      </c>
      <c r="F478" s="76">
        <f>240.302-40-60-100</f>
        <v>40.301999999999992</v>
      </c>
      <c r="G478" s="79">
        <v>40</v>
      </c>
      <c r="H478" s="76">
        <f>60+100</f>
        <v>160</v>
      </c>
      <c r="I478" s="76">
        <f t="shared" si="71"/>
        <v>0</v>
      </c>
      <c r="J478" s="79">
        <v>100</v>
      </c>
      <c r="K478" s="79">
        <v>300</v>
      </c>
      <c r="L478" s="76">
        <f t="shared" si="74"/>
        <v>1150</v>
      </c>
      <c r="M478" s="87">
        <v>600</v>
      </c>
      <c r="N478" s="76">
        <f>100</f>
        <v>100</v>
      </c>
      <c r="O478" s="79">
        <v>240</v>
      </c>
      <c r="P478" s="79">
        <v>40</v>
      </c>
      <c r="Q478" s="79">
        <f t="shared" si="75"/>
        <v>315</v>
      </c>
      <c r="R478" s="79">
        <f t="shared" si="76"/>
        <v>100</v>
      </c>
      <c r="S478" s="76">
        <f t="shared" si="77"/>
        <v>695</v>
      </c>
      <c r="T478" s="76">
        <f>50</f>
        <v>50</v>
      </c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</row>
    <row r="479" spans="1:30" ht="15.75" x14ac:dyDescent="0.25">
      <c r="A479" s="33">
        <v>55518</v>
      </c>
      <c r="B479" s="89">
        <v>31</v>
      </c>
      <c r="C479" s="76">
        <f>122.58</f>
        <v>122.58</v>
      </c>
      <c r="D479" s="76">
        <f>297.941</f>
        <v>297.94099999999997</v>
      </c>
      <c r="E479" s="85">
        <f>89.177</f>
        <v>89.177000000000007</v>
      </c>
      <c r="F479" s="76">
        <f>240.302-40-60-100</f>
        <v>40.301999999999992</v>
      </c>
      <c r="G479" s="79">
        <v>40</v>
      </c>
      <c r="H479" s="76">
        <f>60+100</f>
        <v>160</v>
      </c>
      <c r="I479" s="76">
        <f t="shared" si="71"/>
        <v>0</v>
      </c>
      <c r="J479" s="79">
        <v>100</v>
      </c>
      <c r="K479" s="79">
        <v>300</v>
      </c>
      <c r="L479" s="76">
        <f t="shared" si="74"/>
        <v>1150</v>
      </c>
      <c r="M479" s="87">
        <v>600</v>
      </c>
      <c r="N479" s="76">
        <f>100</f>
        <v>100</v>
      </c>
      <c r="O479" s="79">
        <v>240</v>
      </c>
      <c r="P479" s="79">
        <v>40</v>
      </c>
      <c r="Q479" s="79">
        <f t="shared" si="75"/>
        <v>315</v>
      </c>
      <c r="R479" s="79">
        <f t="shared" si="76"/>
        <v>100</v>
      </c>
      <c r="S479" s="76">
        <f t="shared" si="77"/>
        <v>695</v>
      </c>
      <c r="T479" s="76">
        <f>50</f>
        <v>50</v>
      </c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</row>
    <row r="480" spans="1:30" ht="15.75" x14ac:dyDescent="0.25">
      <c r="A480" s="33">
        <v>55549</v>
      </c>
      <c r="B480" s="89">
        <v>31</v>
      </c>
      <c r="C480" s="76">
        <f>122.58</f>
        <v>122.58</v>
      </c>
      <c r="D480" s="76">
        <f>297.941</f>
        <v>297.94099999999997</v>
      </c>
      <c r="E480" s="85">
        <f>89.177</f>
        <v>89.177000000000007</v>
      </c>
      <c r="F480" s="76">
        <f>240.302-40-60-100</f>
        <v>40.301999999999992</v>
      </c>
      <c r="G480" s="79">
        <v>40</v>
      </c>
      <c r="H480" s="76">
        <f>60+100</f>
        <v>160</v>
      </c>
      <c r="I480" s="76">
        <f t="shared" si="71"/>
        <v>0</v>
      </c>
      <c r="J480" s="79">
        <v>100</v>
      </c>
      <c r="K480" s="79">
        <v>300</v>
      </c>
      <c r="L480" s="76">
        <f t="shared" si="74"/>
        <v>1150</v>
      </c>
      <c r="M480" s="87">
        <v>600</v>
      </c>
      <c r="N480" s="76">
        <f>100</f>
        <v>100</v>
      </c>
      <c r="O480" s="79">
        <v>240</v>
      </c>
      <c r="P480" s="79">
        <v>40</v>
      </c>
      <c r="Q480" s="79">
        <f t="shared" si="75"/>
        <v>315</v>
      </c>
      <c r="R480" s="79">
        <f t="shared" si="76"/>
        <v>100</v>
      </c>
      <c r="S480" s="76">
        <f t="shared" si="77"/>
        <v>695</v>
      </c>
      <c r="T480" s="76">
        <f>50</f>
        <v>50</v>
      </c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</row>
    <row r="481" spans="1:30" ht="15.75" x14ac:dyDescent="0.25">
      <c r="A481" s="33">
        <v>55577</v>
      </c>
      <c r="B481" s="89">
        <v>29</v>
      </c>
      <c r="C481" s="76">
        <f>122.58</f>
        <v>122.58</v>
      </c>
      <c r="D481" s="76">
        <f>297.941</f>
        <v>297.94099999999997</v>
      </c>
      <c r="E481" s="85">
        <f>89.177</f>
        <v>89.177000000000007</v>
      </c>
      <c r="F481" s="76">
        <f>240.302-40-60-100</f>
        <v>40.301999999999992</v>
      </c>
      <c r="G481" s="79">
        <v>40</v>
      </c>
      <c r="H481" s="76">
        <f>60+100</f>
        <v>160</v>
      </c>
      <c r="I481" s="76">
        <f t="shared" si="71"/>
        <v>0</v>
      </c>
      <c r="J481" s="79">
        <v>100</v>
      </c>
      <c r="K481" s="79">
        <v>300</v>
      </c>
      <c r="L481" s="76">
        <f t="shared" si="74"/>
        <v>1150</v>
      </c>
      <c r="M481" s="87">
        <v>600</v>
      </c>
      <c r="N481" s="76">
        <f>100</f>
        <v>100</v>
      </c>
      <c r="O481" s="79">
        <v>240</v>
      </c>
      <c r="P481" s="79">
        <v>40</v>
      </c>
      <c r="Q481" s="79">
        <f t="shared" si="75"/>
        <v>315</v>
      </c>
      <c r="R481" s="79">
        <f t="shared" si="76"/>
        <v>100</v>
      </c>
      <c r="S481" s="76">
        <f t="shared" si="77"/>
        <v>695</v>
      </c>
      <c r="T481" s="76">
        <f>50</f>
        <v>50</v>
      </c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</row>
    <row r="482" spans="1:30" ht="15.75" x14ac:dyDescent="0.25">
      <c r="A482" s="33">
        <v>55609</v>
      </c>
      <c r="B482" s="89">
        <v>31</v>
      </c>
      <c r="C482" s="76">
        <f>122.58</f>
        <v>122.58</v>
      </c>
      <c r="D482" s="76">
        <f>297.941</f>
        <v>297.94099999999997</v>
      </c>
      <c r="E482" s="85">
        <f>89.177</f>
        <v>89.177000000000007</v>
      </c>
      <c r="F482" s="76">
        <f>240.302-40-60-100</f>
        <v>40.301999999999992</v>
      </c>
      <c r="G482" s="79">
        <v>40</v>
      </c>
      <c r="H482" s="76">
        <f>60+100</f>
        <v>160</v>
      </c>
      <c r="I482" s="76">
        <f t="shared" si="71"/>
        <v>0</v>
      </c>
      <c r="J482" s="79">
        <v>100</v>
      </c>
      <c r="K482" s="79">
        <v>300</v>
      </c>
      <c r="L482" s="76">
        <f t="shared" si="74"/>
        <v>1150</v>
      </c>
      <c r="M482" s="87">
        <v>600</v>
      </c>
      <c r="N482" s="76">
        <f>100</f>
        <v>100</v>
      </c>
      <c r="O482" s="79">
        <v>240</v>
      </c>
      <c r="P482" s="79">
        <v>40</v>
      </c>
      <c r="Q482" s="79">
        <f t="shared" si="75"/>
        <v>315</v>
      </c>
      <c r="R482" s="79">
        <f t="shared" si="76"/>
        <v>100</v>
      </c>
      <c r="S482" s="76">
        <f t="shared" si="77"/>
        <v>695</v>
      </c>
      <c r="T482" s="76">
        <f>50</f>
        <v>50</v>
      </c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</row>
    <row r="483" spans="1:30" ht="15.75" x14ac:dyDescent="0.25">
      <c r="A483" s="33">
        <v>55639</v>
      </c>
      <c r="B483" s="89">
        <v>30</v>
      </c>
      <c r="C483" s="76">
        <f>141.293</f>
        <v>141.29300000000001</v>
      </c>
      <c r="D483" s="76">
        <f>267.993</f>
        <v>267.99299999999999</v>
      </c>
      <c r="E483" s="85">
        <f>115.016</f>
        <v>115.01600000000001</v>
      </c>
      <c r="F483" s="76">
        <f>314.698-40-25-60-100</f>
        <v>89.697999999999979</v>
      </c>
      <c r="G483" s="79">
        <v>40</v>
      </c>
      <c r="H483" s="76">
        <f t="shared" ref="H483:H489" si="79">25+60+100</f>
        <v>185</v>
      </c>
      <c r="I483" s="76">
        <f t="shared" si="71"/>
        <v>0</v>
      </c>
      <c r="J483" s="79">
        <v>100</v>
      </c>
      <c r="K483" s="79">
        <v>300</v>
      </c>
      <c r="L483" s="76">
        <f t="shared" si="74"/>
        <v>1239</v>
      </c>
      <c r="M483" s="87">
        <v>600</v>
      </c>
      <c r="N483" s="76">
        <f>100</f>
        <v>100</v>
      </c>
      <c r="O483" s="79">
        <v>240</v>
      </c>
      <c r="P483" s="79">
        <v>160</v>
      </c>
      <c r="Q483" s="79">
        <f t="shared" si="75"/>
        <v>195</v>
      </c>
      <c r="R483" s="79">
        <f t="shared" si="76"/>
        <v>100</v>
      </c>
      <c r="S483" s="76">
        <f t="shared" si="77"/>
        <v>695</v>
      </c>
      <c r="T483" s="76">
        <f>50</f>
        <v>50</v>
      </c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</row>
    <row r="484" spans="1:30" ht="15.75" x14ac:dyDescent="0.25">
      <c r="A484" s="33">
        <v>55670</v>
      </c>
      <c r="B484" s="89">
        <v>31</v>
      </c>
      <c r="C484" s="76">
        <f>194.205</f>
        <v>194.20500000000001</v>
      </c>
      <c r="D484" s="76">
        <f>267.466</f>
        <v>267.46600000000001</v>
      </c>
      <c r="E484" s="85">
        <f>133.845</f>
        <v>133.845</v>
      </c>
      <c r="F484" s="76">
        <f>278.484-40-25-60-100</f>
        <v>53.48399999999998</v>
      </c>
      <c r="G484" s="79">
        <v>40</v>
      </c>
      <c r="H484" s="76">
        <f t="shared" si="79"/>
        <v>185</v>
      </c>
      <c r="I484" s="76">
        <f t="shared" si="71"/>
        <v>0</v>
      </c>
      <c r="J484" s="79">
        <v>100</v>
      </c>
      <c r="K484" s="79">
        <v>300</v>
      </c>
      <c r="L484" s="76">
        <f t="shared" si="74"/>
        <v>1274</v>
      </c>
      <c r="M484" s="87">
        <v>600</v>
      </c>
      <c r="N484" s="76">
        <f>75</f>
        <v>75</v>
      </c>
      <c r="O484" s="79">
        <v>240</v>
      </c>
      <c r="P484" s="79">
        <v>160</v>
      </c>
      <c r="Q484" s="79">
        <f t="shared" si="75"/>
        <v>195</v>
      </c>
      <c r="R484" s="79">
        <f t="shared" si="76"/>
        <v>100</v>
      </c>
      <c r="S484" s="76">
        <f t="shared" si="77"/>
        <v>695</v>
      </c>
      <c r="T484" s="76">
        <f>50</f>
        <v>50</v>
      </c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</row>
    <row r="485" spans="1:30" ht="15.75" x14ac:dyDescent="0.25">
      <c r="A485" s="33">
        <v>55700</v>
      </c>
      <c r="B485" s="89">
        <v>30</v>
      </c>
      <c r="C485" s="76">
        <f>194.205</f>
        <v>194.20500000000001</v>
      </c>
      <c r="D485" s="76">
        <f>267.466</f>
        <v>267.46600000000001</v>
      </c>
      <c r="E485" s="85">
        <f>133.845</f>
        <v>133.845</v>
      </c>
      <c r="F485" s="76">
        <f>278.484-40-25-60-100</f>
        <v>53.48399999999998</v>
      </c>
      <c r="G485" s="79">
        <v>40</v>
      </c>
      <c r="H485" s="76">
        <f t="shared" si="79"/>
        <v>185</v>
      </c>
      <c r="I485" s="76">
        <f t="shared" si="71"/>
        <v>0</v>
      </c>
      <c r="J485" s="79">
        <v>100</v>
      </c>
      <c r="K485" s="79">
        <v>300</v>
      </c>
      <c r="L485" s="76">
        <f t="shared" si="74"/>
        <v>1274</v>
      </c>
      <c r="M485" s="87">
        <v>600</v>
      </c>
      <c r="N485" s="76">
        <f>30</f>
        <v>30</v>
      </c>
      <c r="O485" s="79">
        <v>240</v>
      </c>
      <c r="P485" s="79">
        <v>160</v>
      </c>
      <c r="Q485" s="79">
        <f t="shared" si="75"/>
        <v>195</v>
      </c>
      <c r="R485" s="79">
        <f t="shared" si="76"/>
        <v>100</v>
      </c>
      <c r="S485" s="76">
        <f t="shared" si="77"/>
        <v>695</v>
      </c>
      <c r="T485" s="76">
        <f>50</f>
        <v>50</v>
      </c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</row>
    <row r="486" spans="1:30" ht="15.75" x14ac:dyDescent="0.25">
      <c r="A486" s="33">
        <v>55731</v>
      </c>
      <c r="B486" s="89">
        <v>31</v>
      </c>
      <c r="C486" s="76">
        <f>194.205</f>
        <v>194.20500000000001</v>
      </c>
      <c r="D486" s="76">
        <f>267.466</f>
        <v>267.46600000000001</v>
      </c>
      <c r="E486" s="85">
        <f>133.845</f>
        <v>133.845</v>
      </c>
      <c r="F486" s="76">
        <f>278.484-40-25-60-100</f>
        <v>53.48399999999998</v>
      </c>
      <c r="G486" s="79">
        <v>40</v>
      </c>
      <c r="H486" s="76">
        <f t="shared" si="79"/>
        <v>185</v>
      </c>
      <c r="I486" s="76">
        <f t="shared" si="71"/>
        <v>0</v>
      </c>
      <c r="J486" s="79">
        <v>100</v>
      </c>
      <c r="K486" s="79">
        <v>300</v>
      </c>
      <c r="L486" s="76">
        <f t="shared" si="74"/>
        <v>1274</v>
      </c>
      <c r="M486" s="87">
        <v>600</v>
      </c>
      <c r="N486" s="76">
        <f>30</f>
        <v>30</v>
      </c>
      <c r="O486" s="79">
        <v>240</v>
      </c>
      <c r="P486" s="79">
        <v>160</v>
      </c>
      <c r="Q486" s="79">
        <f t="shared" si="75"/>
        <v>195</v>
      </c>
      <c r="R486" s="79">
        <f t="shared" si="76"/>
        <v>100</v>
      </c>
      <c r="S486" s="76">
        <f t="shared" si="77"/>
        <v>695</v>
      </c>
      <c r="T486" s="76">
        <f>0</f>
        <v>0</v>
      </c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</row>
    <row r="487" spans="1:30" ht="15.75" x14ac:dyDescent="0.25">
      <c r="A487" s="33">
        <v>55762</v>
      </c>
      <c r="B487" s="89">
        <v>31</v>
      </c>
      <c r="C487" s="76">
        <f>194.205</f>
        <v>194.20500000000001</v>
      </c>
      <c r="D487" s="76">
        <f>267.466</f>
        <v>267.46600000000001</v>
      </c>
      <c r="E487" s="85">
        <f>133.845</f>
        <v>133.845</v>
      </c>
      <c r="F487" s="76">
        <f>278.484-40-25-60-100</f>
        <v>53.48399999999998</v>
      </c>
      <c r="G487" s="79">
        <v>40</v>
      </c>
      <c r="H487" s="76">
        <f t="shared" si="79"/>
        <v>185</v>
      </c>
      <c r="I487" s="76">
        <f t="shared" si="71"/>
        <v>0</v>
      </c>
      <c r="J487" s="79">
        <v>100</v>
      </c>
      <c r="K487" s="79">
        <v>300</v>
      </c>
      <c r="L487" s="76">
        <f t="shared" si="74"/>
        <v>1274</v>
      </c>
      <c r="M487" s="87">
        <v>600</v>
      </c>
      <c r="N487" s="76">
        <f>30</f>
        <v>30</v>
      </c>
      <c r="O487" s="79">
        <v>240</v>
      </c>
      <c r="P487" s="79">
        <v>160</v>
      </c>
      <c r="Q487" s="79">
        <f t="shared" si="75"/>
        <v>195</v>
      </c>
      <c r="R487" s="79">
        <f t="shared" si="76"/>
        <v>100</v>
      </c>
      <c r="S487" s="76">
        <f t="shared" si="77"/>
        <v>695</v>
      </c>
      <c r="T487" s="76">
        <f>0</f>
        <v>0</v>
      </c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</row>
    <row r="488" spans="1:30" ht="15.75" x14ac:dyDescent="0.25">
      <c r="A488" s="33">
        <v>55792</v>
      </c>
      <c r="B488" s="89">
        <v>30</v>
      </c>
      <c r="C488" s="76">
        <f>194.205</f>
        <v>194.20500000000001</v>
      </c>
      <c r="D488" s="76">
        <f>267.466</f>
        <v>267.46600000000001</v>
      </c>
      <c r="E488" s="85">
        <f>133.845</f>
        <v>133.845</v>
      </c>
      <c r="F488" s="76">
        <f>278.484-40-25-60-100</f>
        <v>53.48399999999998</v>
      </c>
      <c r="G488" s="79">
        <v>40</v>
      </c>
      <c r="H488" s="76">
        <f t="shared" si="79"/>
        <v>185</v>
      </c>
      <c r="I488" s="76">
        <f t="shared" si="71"/>
        <v>0</v>
      </c>
      <c r="J488" s="79">
        <v>100</v>
      </c>
      <c r="K488" s="79">
        <v>300</v>
      </c>
      <c r="L488" s="76">
        <f t="shared" si="74"/>
        <v>1274</v>
      </c>
      <c r="M488" s="87">
        <v>600</v>
      </c>
      <c r="N488" s="76">
        <f>30</f>
        <v>30</v>
      </c>
      <c r="O488" s="79">
        <v>240</v>
      </c>
      <c r="P488" s="79">
        <v>160</v>
      </c>
      <c r="Q488" s="79">
        <f t="shared" si="75"/>
        <v>195</v>
      </c>
      <c r="R488" s="79">
        <f t="shared" si="76"/>
        <v>100</v>
      </c>
      <c r="S488" s="76">
        <f t="shared" si="77"/>
        <v>695</v>
      </c>
      <c r="T488" s="76">
        <f>0</f>
        <v>0</v>
      </c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</row>
    <row r="489" spans="1:30" ht="15.75" x14ac:dyDescent="0.25">
      <c r="A489" s="33">
        <v>55823</v>
      </c>
      <c r="B489" s="89">
        <v>31</v>
      </c>
      <c r="C489" s="76">
        <f>131.881</f>
        <v>131.881</v>
      </c>
      <c r="D489" s="76">
        <f>277.167</f>
        <v>277.16699999999997</v>
      </c>
      <c r="E489" s="85">
        <f>79.08</f>
        <v>79.08</v>
      </c>
      <c r="F489" s="76">
        <f>350.872-40-25-60-100</f>
        <v>125.87200000000001</v>
      </c>
      <c r="G489" s="79">
        <v>40</v>
      </c>
      <c r="H489" s="76">
        <f t="shared" si="79"/>
        <v>185</v>
      </c>
      <c r="I489" s="76">
        <f t="shared" si="71"/>
        <v>0</v>
      </c>
      <c r="J489" s="79">
        <v>100</v>
      </c>
      <c r="K489" s="79">
        <v>300</v>
      </c>
      <c r="L489" s="76">
        <f t="shared" si="74"/>
        <v>1239</v>
      </c>
      <c r="M489" s="87">
        <v>600</v>
      </c>
      <c r="N489" s="76">
        <f>75</f>
        <v>75</v>
      </c>
      <c r="O489" s="79">
        <v>240</v>
      </c>
      <c r="P489" s="79">
        <v>160</v>
      </c>
      <c r="Q489" s="79">
        <f t="shared" si="75"/>
        <v>195</v>
      </c>
      <c r="R489" s="79">
        <f t="shared" si="76"/>
        <v>100</v>
      </c>
      <c r="S489" s="76">
        <f t="shared" si="77"/>
        <v>695</v>
      </c>
      <c r="T489" s="76">
        <f>0</f>
        <v>0</v>
      </c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</row>
    <row r="490" spans="1:30" ht="15.75" x14ac:dyDescent="0.25">
      <c r="A490" s="33">
        <v>55853</v>
      </c>
      <c r="B490" s="89">
        <v>30</v>
      </c>
      <c r="C490" s="76">
        <f>122.58</f>
        <v>122.58</v>
      </c>
      <c r="D490" s="76">
        <f>297.941</f>
        <v>297.94099999999997</v>
      </c>
      <c r="E490" s="85">
        <f>89.177</f>
        <v>89.177000000000007</v>
      </c>
      <c r="F490" s="76">
        <f>240.302-40-60-100</f>
        <v>40.301999999999992</v>
      </c>
      <c r="G490" s="79">
        <v>40</v>
      </c>
      <c r="H490" s="76">
        <f>60+100</f>
        <v>160</v>
      </c>
      <c r="I490" s="76">
        <f t="shared" si="71"/>
        <v>0</v>
      </c>
      <c r="J490" s="79">
        <v>100</v>
      </c>
      <c r="K490" s="79">
        <v>300</v>
      </c>
      <c r="L490" s="76">
        <f t="shared" si="74"/>
        <v>1150</v>
      </c>
      <c r="M490" s="87">
        <v>600</v>
      </c>
      <c r="N490" s="76">
        <f>100</f>
        <v>100</v>
      </c>
      <c r="O490" s="79">
        <v>240</v>
      </c>
      <c r="P490" s="79">
        <v>40</v>
      </c>
      <c r="Q490" s="79">
        <f t="shared" si="75"/>
        <v>315</v>
      </c>
      <c r="R490" s="79">
        <f t="shared" si="76"/>
        <v>100</v>
      </c>
      <c r="S490" s="76">
        <f t="shared" si="77"/>
        <v>695</v>
      </c>
      <c r="T490" s="76">
        <f>50</f>
        <v>50</v>
      </c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</row>
    <row r="491" spans="1:30" ht="15.75" x14ac:dyDescent="0.25">
      <c r="A491" s="33">
        <v>55884</v>
      </c>
      <c r="B491" s="89">
        <v>31</v>
      </c>
      <c r="C491" s="76">
        <f>122.58</f>
        <v>122.58</v>
      </c>
      <c r="D491" s="76">
        <f>297.941</f>
        <v>297.94099999999997</v>
      </c>
      <c r="E491" s="85">
        <f>89.177</f>
        <v>89.177000000000007</v>
      </c>
      <c r="F491" s="76">
        <f>240.302-40-60-100</f>
        <v>40.301999999999992</v>
      </c>
      <c r="G491" s="79">
        <v>40</v>
      </c>
      <c r="H491" s="76">
        <f>60+100</f>
        <v>160</v>
      </c>
      <c r="I491" s="76">
        <f t="shared" si="71"/>
        <v>0</v>
      </c>
      <c r="J491" s="79">
        <v>100</v>
      </c>
      <c r="K491" s="79">
        <v>300</v>
      </c>
      <c r="L491" s="76">
        <f t="shared" si="74"/>
        <v>1150</v>
      </c>
      <c r="M491" s="87">
        <v>600</v>
      </c>
      <c r="N491" s="76">
        <f>100</f>
        <v>100</v>
      </c>
      <c r="O491" s="79">
        <v>240</v>
      </c>
      <c r="P491" s="79">
        <v>40</v>
      </c>
      <c r="Q491" s="79">
        <f t="shared" si="75"/>
        <v>315</v>
      </c>
      <c r="R491" s="79">
        <f t="shared" si="76"/>
        <v>100</v>
      </c>
      <c r="S491" s="76">
        <f t="shared" si="77"/>
        <v>695</v>
      </c>
      <c r="T491" s="76">
        <f>50</f>
        <v>50</v>
      </c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</row>
    <row r="492" spans="1:30" ht="15.75" x14ac:dyDescent="0.25">
      <c r="A492" s="33">
        <v>55915</v>
      </c>
      <c r="B492" s="89">
        <v>31</v>
      </c>
      <c r="C492" s="76">
        <f>122.58</f>
        <v>122.58</v>
      </c>
      <c r="D492" s="76">
        <f>297.941</f>
        <v>297.94099999999997</v>
      </c>
      <c r="E492" s="85">
        <f>89.177</f>
        <v>89.177000000000007</v>
      </c>
      <c r="F492" s="76">
        <f>240.302-40-60-100</f>
        <v>40.301999999999992</v>
      </c>
      <c r="G492" s="79">
        <v>40</v>
      </c>
      <c r="H492" s="76">
        <f>60+100</f>
        <v>160</v>
      </c>
      <c r="I492" s="76">
        <f t="shared" si="71"/>
        <v>0</v>
      </c>
      <c r="J492" s="79">
        <v>100</v>
      </c>
      <c r="K492" s="79">
        <v>300</v>
      </c>
      <c r="L492" s="76">
        <f t="shared" si="74"/>
        <v>1150</v>
      </c>
      <c r="M492" s="87">
        <v>600</v>
      </c>
      <c r="N492" s="76">
        <f>100</f>
        <v>100</v>
      </c>
      <c r="O492" s="79">
        <v>240</v>
      </c>
      <c r="P492" s="79">
        <v>40</v>
      </c>
      <c r="Q492" s="79">
        <f t="shared" si="75"/>
        <v>315</v>
      </c>
      <c r="R492" s="79">
        <f t="shared" si="76"/>
        <v>100</v>
      </c>
      <c r="S492" s="76">
        <f t="shared" si="77"/>
        <v>695</v>
      </c>
      <c r="T492" s="76">
        <f>50</f>
        <v>50</v>
      </c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</row>
    <row r="493" spans="1:30" ht="15.75" x14ac:dyDescent="0.25">
      <c r="A493" s="33">
        <v>55943</v>
      </c>
      <c r="B493" s="89">
        <v>28</v>
      </c>
      <c r="C493" s="76">
        <f>122.58</f>
        <v>122.58</v>
      </c>
      <c r="D493" s="76">
        <f>297.941</f>
        <v>297.94099999999997</v>
      </c>
      <c r="E493" s="85">
        <f>89.177</f>
        <v>89.177000000000007</v>
      </c>
      <c r="F493" s="76">
        <f>240.302-40-60-100</f>
        <v>40.301999999999992</v>
      </c>
      <c r="G493" s="79">
        <v>40</v>
      </c>
      <c r="H493" s="76">
        <f>60+100</f>
        <v>160</v>
      </c>
      <c r="I493" s="76">
        <f t="shared" si="71"/>
        <v>0</v>
      </c>
      <c r="J493" s="79">
        <v>100</v>
      </c>
      <c r="K493" s="79">
        <v>300</v>
      </c>
      <c r="L493" s="76">
        <f t="shared" si="74"/>
        <v>1150</v>
      </c>
      <c r="M493" s="87">
        <v>600</v>
      </c>
      <c r="N493" s="76">
        <f>100</f>
        <v>100</v>
      </c>
      <c r="O493" s="79">
        <v>240</v>
      </c>
      <c r="P493" s="79">
        <v>40</v>
      </c>
      <c r="Q493" s="79">
        <f t="shared" si="75"/>
        <v>315</v>
      </c>
      <c r="R493" s="79">
        <f t="shared" si="76"/>
        <v>100</v>
      </c>
      <c r="S493" s="76">
        <f t="shared" si="77"/>
        <v>695</v>
      </c>
      <c r="T493" s="76">
        <f>50</f>
        <v>50</v>
      </c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</row>
    <row r="494" spans="1:30" ht="15.75" x14ac:dyDescent="0.25">
      <c r="A494" s="33">
        <v>55974</v>
      </c>
      <c r="B494" s="89">
        <v>31</v>
      </c>
      <c r="C494" s="76">
        <f>122.58</f>
        <v>122.58</v>
      </c>
      <c r="D494" s="76">
        <f>297.941</f>
        <v>297.94099999999997</v>
      </c>
      <c r="E494" s="85">
        <f>89.177</f>
        <v>89.177000000000007</v>
      </c>
      <c r="F494" s="76">
        <f>240.302-40-60-100</f>
        <v>40.301999999999992</v>
      </c>
      <c r="G494" s="79">
        <v>40</v>
      </c>
      <c r="H494" s="76">
        <f>60+100</f>
        <v>160</v>
      </c>
      <c r="I494" s="76">
        <f t="shared" si="71"/>
        <v>0</v>
      </c>
      <c r="J494" s="79">
        <v>100</v>
      </c>
      <c r="K494" s="79">
        <v>300</v>
      </c>
      <c r="L494" s="76">
        <f t="shared" si="74"/>
        <v>1150</v>
      </c>
      <c r="M494" s="87">
        <v>600</v>
      </c>
      <c r="N494" s="76">
        <f>100</f>
        <v>100</v>
      </c>
      <c r="O494" s="79">
        <v>240</v>
      </c>
      <c r="P494" s="79">
        <v>40</v>
      </c>
      <c r="Q494" s="79">
        <f t="shared" si="75"/>
        <v>315</v>
      </c>
      <c r="R494" s="79">
        <f t="shared" si="76"/>
        <v>100</v>
      </c>
      <c r="S494" s="76">
        <f t="shared" si="77"/>
        <v>695</v>
      </c>
      <c r="T494" s="76">
        <f>50</f>
        <v>50</v>
      </c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</row>
    <row r="495" spans="1:30" ht="15.75" x14ac:dyDescent="0.25">
      <c r="A495" s="33">
        <v>56004</v>
      </c>
      <c r="B495" s="89">
        <v>30</v>
      </c>
      <c r="C495" s="76">
        <f>141.293</f>
        <v>141.29300000000001</v>
      </c>
      <c r="D495" s="76">
        <f>267.993</f>
        <v>267.99299999999999</v>
      </c>
      <c r="E495" s="85">
        <f>115.016</f>
        <v>115.01600000000001</v>
      </c>
      <c r="F495" s="76">
        <f>314.698-40-25-60-100</f>
        <v>89.697999999999979</v>
      </c>
      <c r="G495" s="79">
        <v>40</v>
      </c>
      <c r="H495" s="76">
        <f t="shared" ref="H495:H501" si="80">25+60+100</f>
        <v>185</v>
      </c>
      <c r="I495" s="76">
        <f t="shared" si="71"/>
        <v>0</v>
      </c>
      <c r="J495" s="79">
        <v>100</v>
      </c>
      <c r="K495" s="79">
        <v>300</v>
      </c>
      <c r="L495" s="76">
        <f t="shared" si="74"/>
        <v>1239</v>
      </c>
      <c r="M495" s="87">
        <v>600</v>
      </c>
      <c r="N495" s="76">
        <f>100</f>
        <v>100</v>
      </c>
      <c r="O495" s="79">
        <v>240</v>
      </c>
      <c r="P495" s="79">
        <v>160</v>
      </c>
      <c r="Q495" s="79">
        <f t="shared" si="75"/>
        <v>195</v>
      </c>
      <c r="R495" s="79">
        <f t="shared" si="76"/>
        <v>100</v>
      </c>
      <c r="S495" s="76">
        <f t="shared" si="77"/>
        <v>695</v>
      </c>
      <c r="T495" s="76">
        <f>50</f>
        <v>50</v>
      </c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</row>
    <row r="496" spans="1:30" ht="15.75" x14ac:dyDescent="0.25">
      <c r="A496" s="33">
        <v>56035</v>
      </c>
      <c r="B496" s="89">
        <v>31</v>
      </c>
      <c r="C496" s="76">
        <f>194.205</f>
        <v>194.20500000000001</v>
      </c>
      <c r="D496" s="76">
        <f>267.466</f>
        <v>267.46600000000001</v>
      </c>
      <c r="E496" s="85">
        <f>133.845</f>
        <v>133.845</v>
      </c>
      <c r="F496" s="76">
        <f>278.484-40-25-60-100</f>
        <v>53.48399999999998</v>
      </c>
      <c r="G496" s="79">
        <v>40</v>
      </c>
      <c r="H496" s="76">
        <f t="shared" si="80"/>
        <v>185</v>
      </c>
      <c r="I496" s="76">
        <f t="shared" si="71"/>
        <v>0</v>
      </c>
      <c r="J496" s="79">
        <v>100</v>
      </c>
      <c r="K496" s="79">
        <v>300</v>
      </c>
      <c r="L496" s="76">
        <f t="shared" si="74"/>
        <v>1274</v>
      </c>
      <c r="M496" s="87">
        <v>600</v>
      </c>
      <c r="N496" s="76">
        <f>75</f>
        <v>75</v>
      </c>
      <c r="O496" s="79">
        <v>240</v>
      </c>
      <c r="P496" s="79">
        <v>160</v>
      </c>
      <c r="Q496" s="79">
        <f t="shared" si="75"/>
        <v>195</v>
      </c>
      <c r="R496" s="79">
        <f t="shared" si="76"/>
        <v>100</v>
      </c>
      <c r="S496" s="76">
        <f t="shared" si="77"/>
        <v>695</v>
      </c>
      <c r="T496" s="76">
        <f>50</f>
        <v>50</v>
      </c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</row>
    <row r="497" spans="1:30" ht="15.75" x14ac:dyDescent="0.25">
      <c r="A497" s="33">
        <v>56065</v>
      </c>
      <c r="B497" s="89">
        <v>30</v>
      </c>
      <c r="C497" s="76">
        <f>194.205</f>
        <v>194.20500000000001</v>
      </c>
      <c r="D497" s="76">
        <f>267.466</f>
        <v>267.46600000000001</v>
      </c>
      <c r="E497" s="85">
        <f>133.845</f>
        <v>133.845</v>
      </c>
      <c r="F497" s="76">
        <f>278.484-40-25-60-100</f>
        <v>53.48399999999998</v>
      </c>
      <c r="G497" s="79">
        <v>40</v>
      </c>
      <c r="H497" s="76">
        <f t="shared" si="80"/>
        <v>185</v>
      </c>
      <c r="I497" s="76">
        <f t="shared" si="71"/>
        <v>0</v>
      </c>
      <c r="J497" s="79">
        <v>100</v>
      </c>
      <c r="K497" s="79">
        <v>300</v>
      </c>
      <c r="L497" s="76">
        <f t="shared" si="74"/>
        <v>1274</v>
      </c>
      <c r="M497" s="87">
        <v>600</v>
      </c>
      <c r="N497" s="76">
        <f>30</f>
        <v>30</v>
      </c>
      <c r="O497" s="79">
        <v>240</v>
      </c>
      <c r="P497" s="79">
        <v>160</v>
      </c>
      <c r="Q497" s="79">
        <f t="shared" si="75"/>
        <v>195</v>
      </c>
      <c r="R497" s="79">
        <f t="shared" si="76"/>
        <v>100</v>
      </c>
      <c r="S497" s="76">
        <f t="shared" si="77"/>
        <v>695</v>
      </c>
      <c r="T497" s="76">
        <f>50</f>
        <v>50</v>
      </c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</row>
    <row r="498" spans="1:30" ht="15.75" x14ac:dyDescent="0.25">
      <c r="A498" s="33">
        <v>56096</v>
      </c>
      <c r="B498" s="89">
        <v>31</v>
      </c>
      <c r="C498" s="76">
        <f>194.205</f>
        <v>194.20500000000001</v>
      </c>
      <c r="D498" s="76">
        <f>267.466</f>
        <v>267.46600000000001</v>
      </c>
      <c r="E498" s="85">
        <f>133.845</f>
        <v>133.845</v>
      </c>
      <c r="F498" s="76">
        <f>278.484-40-25-60-100</f>
        <v>53.48399999999998</v>
      </c>
      <c r="G498" s="79">
        <v>40</v>
      </c>
      <c r="H498" s="76">
        <f t="shared" si="80"/>
        <v>185</v>
      </c>
      <c r="I498" s="76">
        <f t="shared" si="71"/>
        <v>0</v>
      </c>
      <c r="J498" s="79">
        <v>100</v>
      </c>
      <c r="K498" s="79">
        <v>300</v>
      </c>
      <c r="L498" s="76">
        <f t="shared" si="74"/>
        <v>1274</v>
      </c>
      <c r="M498" s="87">
        <v>600</v>
      </c>
      <c r="N498" s="76">
        <f>30</f>
        <v>30</v>
      </c>
      <c r="O498" s="79">
        <v>240</v>
      </c>
      <c r="P498" s="79">
        <v>160</v>
      </c>
      <c r="Q498" s="79">
        <f t="shared" si="75"/>
        <v>195</v>
      </c>
      <c r="R498" s="79">
        <f t="shared" si="76"/>
        <v>100</v>
      </c>
      <c r="S498" s="76">
        <f t="shared" si="77"/>
        <v>695</v>
      </c>
      <c r="T498" s="76">
        <f>0</f>
        <v>0</v>
      </c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</row>
    <row r="499" spans="1:30" ht="15.75" x14ac:dyDescent="0.25">
      <c r="A499" s="33">
        <v>56127</v>
      </c>
      <c r="B499" s="89">
        <v>31</v>
      </c>
      <c r="C499" s="76">
        <f>194.205</f>
        <v>194.20500000000001</v>
      </c>
      <c r="D499" s="76">
        <f>267.466</f>
        <v>267.46600000000001</v>
      </c>
      <c r="E499" s="85">
        <f>133.845</f>
        <v>133.845</v>
      </c>
      <c r="F499" s="76">
        <f>278.484-40-25-60-100</f>
        <v>53.48399999999998</v>
      </c>
      <c r="G499" s="79">
        <v>40</v>
      </c>
      <c r="H499" s="76">
        <f t="shared" si="80"/>
        <v>185</v>
      </c>
      <c r="I499" s="76">
        <f t="shared" si="71"/>
        <v>0</v>
      </c>
      <c r="J499" s="79">
        <v>100</v>
      </c>
      <c r="K499" s="79">
        <v>300</v>
      </c>
      <c r="L499" s="76">
        <f t="shared" si="74"/>
        <v>1274</v>
      </c>
      <c r="M499" s="87">
        <v>600</v>
      </c>
      <c r="N499" s="76">
        <f>30</f>
        <v>30</v>
      </c>
      <c r="O499" s="79">
        <v>240</v>
      </c>
      <c r="P499" s="79">
        <v>160</v>
      </c>
      <c r="Q499" s="79">
        <f t="shared" si="75"/>
        <v>195</v>
      </c>
      <c r="R499" s="79">
        <f t="shared" si="76"/>
        <v>100</v>
      </c>
      <c r="S499" s="76">
        <f t="shared" si="77"/>
        <v>695</v>
      </c>
      <c r="T499" s="76">
        <f>0</f>
        <v>0</v>
      </c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</row>
    <row r="500" spans="1:30" ht="15.75" x14ac:dyDescent="0.25">
      <c r="A500" s="33">
        <v>56157</v>
      </c>
      <c r="B500" s="89">
        <v>30</v>
      </c>
      <c r="C500" s="76">
        <f>194.205</f>
        <v>194.20500000000001</v>
      </c>
      <c r="D500" s="76">
        <f>267.466</f>
        <v>267.46600000000001</v>
      </c>
      <c r="E500" s="85">
        <f>133.845</f>
        <v>133.845</v>
      </c>
      <c r="F500" s="76">
        <f>278.484-40-25-60-100</f>
        <v>53.48399999999998</v>
      </c>
      <c r="G500" s="79">
        <v>40</v>
      </c>
      <c r="H500" s="76">
        <f t="shared" si="80"/>
        <v>185</v>
      </c>
      <c r="I500" s="76">
        <f t="shared" ref="I500:I563" si="81">400-J500-K500</f>
        <v>0</v>
      </c>
      <c r="J500" s="79">
        <v>100</v>
      </c>
      <c r="K500" s="79">
        <v>300</v>
      </c>
      <c r="L500" s="76">
        <f t="shared" si="74"/>
        <v>1274</v>
      </c>
      <c r="M500" s="87">
        <v>600</v>
      </c>
      <c r="N500" s="76">
        <f>30</f>
        <v>30</v>
      </c>
      <c r="O500" s="79">
        <v>240</v>
      </c>
      <c r="P500" s="79">
        <v>160</v>
      </c>
      <c r="Q500" s="79">
        <f t="shared" si="75"/>
        <v>195</v>
      </c>
      <c r="R500" s="79">
        <f t="shared" si="76"/>
        <v>100</v>
      </c>
      <c r="S500" s="76">
        <f t="shared" si="77"/>
        <v>695</v>
      </c>
      <c r="T500" s="76">
        <f>0</f>
        <v>0</v>
      </c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</row>
    <row r="501" spans="1:30" ht="15.75" x14ac:dyDescent="0.25">
      <c r="A501" s="33">
        <v>56188</v>
      </c>
      <c r="B501" s="89">
        <v>31</v>
      </c>
      <c r="C501" s="76">
        <f>131.881</f>
        <v>131.881</v>
      </c>
      <c r="D501" s="76">
        <f>277.167</f>
        <v>277.16699999999997</v>
      </c>
      <c r="E501" s="85">
        <f>79.08</f>
        <v>79.08</v>
      </c>
      <c r="F501" s="76">
        <f>350.872-40-25-60-100</f>
        <v>125.87200000000001</v>
      </c>
      <c r="G501" s="79">
        <v>40</v>
      </c>
      <c r="H501" s="76">
        <f t="shared" si="80"/>
        <v>185</v>
      </c>
      <c r="I501" s="76">
        <f t="shared" si="81"/>
        <v>0</v>
      </c>
      <c r="J501" s="79">
        <v>100</v>
      </c>
      <c r="K501" s="79">
        <v>300</v>
      </c>
      <c r="L501" s="76">
        <f t="shared" si="74"/>
        <v>1239</v>
      </c>
      <c r="M501" s="87">
        <v>600</v>
      </c>
      <c r="N501" s="76">
        <f>75</f>
        <v>75</v>
      </c>
      <c r="O501" s="79">
        <v>240</v>
      </c>
      <c r="P501" s="79">
        <v>160</v>
      </c>
      <c r="Q501" s="79">
        <f t="shared" si="75"/>
        <v>195</v>
      </c>
      <c r="R501" s="79">
        <f t="shared" si="76"/>
        <v>100</v>
      </c>
      <c r="S501" s="76">
        <f t="shared" si="77"/>
        <v>695</v>
      </c>
      <c r="T501" s="76">
        <f>0</f>
        <v>0</v>
      </c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</row>
    <row r="502" spans="1:30" ht="15.75" x14ac:dyDescent="0.25">
      <c r="A502" s="33">
        <v>56218</v>
      </c>
      <c r="B502" s="89">
        <v>30</v>
      </c>
      <c r="C502" s="76">
        <f>122.58</f>
        <v>122.58</v>
      </c>
      <c r="D502" s="76">
        <f>297.941</f>
        <v>297.94099999999997</v>
      </c>
      <c r="E502" s="85">
        <f>89.177</f>
        <v>89.177000000000007</v>
      </c>
      <c r="F502" s="76">
        <f>240.302-40-60-100</f>
        <v>40.301999999999992</v>
      </c>
      <c r="G502" s="79">
        <v>40</v>
      </c>
      <c r="H502" s="76">
        <f>60+100</f>
        <v>160</v>
      </c>
      <c r="I502" s="76">
        <f t="shared" si="81"/>
        <v>0</v>
      </c>
      <c r="J502" s="79">
        <v>100</v>
      </c>
      <c r="K502" s="79">
        <v>300</v>
      </c>
      <c r="L502" s="76">
        <f t="shared" si="74"/>
        <v>1150</v>
      </c>
      <c r="M502" s="87">
        <v>600</v>
      </c>
      <c r="N502" s="76">
        <f>100</f>
        <v>100</v>
      </c>
      <c r="O502" s="79">
        <v>240</v>
      </c>
      <c r="P502" s="79">
        <v>40</v>
      </c>
      <c r="Q502" s="79">
        <f t="shared" si="75"/>
        <v>315</v>
      </c>
      <c r="R502" s="79">
        <f t="shared" si="76"/>
        <v>100</v>
      </c>
      <c r="S502" s="76">
        <f t="shared" si="77"/>
        <v>695</v>
      </c>
      <c r="T502" s="76">
        <f>50</f>
        <v>50</v>
      </c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</row>
    <row r="503" spans="1:30" ht="15.75" x14ac:dyDescent="0.25">
      <c r="A503" s="33">
        <v>56249</v>
      </c>
      <c r="B503" s="89">
        <v>31</v>
      </c>
      <c r="C503" s="76">
        <f>122.58</f>
        <v>122.58</v>
      </c>
      <c r="D503" s="76">
        <f>297.941</f>
        <v>297.94099999999997</v>
      </c>
      <c r="E503" s="85">
        <f>89.177</f>
        <v>89.177000000000007</v>
      </c>
      <c r="F503" s="76">
        <f>240.302-40-60-100</f>
        <v>40.301999999999992</v>
      </c>
      <c r="G503" s="79">
        <v>40</v>
      </c>
      <c r="H503" s="76">
        <f>60+100</f>
        <v>160</v>
      </c>
      <c r="I503" s="76">
        <f t="shared" si="81"/>
        <v>0</v>
      </c>
      <c r="J503" s="79">
        <v>100</v>
      </c>
      <c r="K503" s="79">
        <v>300</v>
      </c>
      <c r="L503" s="76">
        <f t="shared" si="74"/>
        <v>1150</v>
      </c>
      <c r="M503" s="87">
        <v>600</v>
      </c>
      <c r="N503" s="76">
        <f>100</f>
        <v>100</v>
      </c>
      <c r="O503" s="79">
        <v>240</v>
      </c>
      <c r="P503" s="79">
        <v>40</v>
      </c>
      <c r="Q503" s="79">
        <f t="shared" si="75"/>
        <v>315</v>
      </c>
      <c r="R503" s="79">
        <f t="shared" si="76"/>
        <v>100</v>
      </c>
      <c r="S503" s="76">
        <f t="shared" si="77"/>
        <v>695</v>
      </c>
      <c r="T503" s="76">
        <f>50</f>
        <v>50</v>
      </c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</row>
    <row r="504" spans="1:30" ht="15.75" x14ac:dyDescent="0.25">
      <c r="A504" s="33">
        <v>56280</v>
      </c>
      <c r="B504" s="89">
        <v>31</v>
      </c>
      <c r="C504" s="76">
        <f>122.58</f>
        <v>122.58</v>
      </c>
      <c r="D504" s="76">
        <f>297.941</f>
        <v>297.94099999999997</v>
      </c>
      <c r="E504" s="85">
        <f>89.177</f>
        <v>89.177000000000007</v>
      </c>
      <c r="F504" s="76">
        <f>240.302-40-60-100</f>
        <v>40.301999999999992</v>
      </c>
      <c r="G504" s="79">
        <v>40</v>
      </c>
      <c r="H504" s="76">
        <f>60+100</f>
        <v>160</v>
      </c>
      <c r="I504" s="76">
        <f t="shared" si="81"/>
        <v>0</v>
      </c>
      <c r="J504" s="79">
        <v>100</v>
      </c>
      <c r="K504" s="79">
        <v>300</v>
      </c>
      <c r="L504" s="76">
        <f t="shared" si="74"/>
        <v>1150</v>
      </c>
      <c r="M504" s="87">
        <v>600</v>
      </c>
      <c r="N504" s="76">
        <f>100</f>
        <v>100</v>
      </c>
      <c r="O504" s="79">
        <v>240</v>
      </c>
      <c r="P504" s="79">
        <v>40</v>
      </c>
      <c r="Q504" s="79">
        <f t="shared" si="75"/>
        <v>315</v>
      </c>
      <c r="R504" s="79">
        <f t="shared" si="76"/>
        <v>100</v>
      </c>
      <c r="S504" s="76">
        <f t="shared" si="77"/>
        <v>695</v>
      </c>
      <c r="T504" s="76">
        <f>50</f>
        <v>50</v>
      </c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</row>
    <row r="505" spans="1:30" ht="15.75" x14ac:dyDescent="0.25">
      <c r="A505" s="33">
        <v>56308</v>
      </c>
      <c r="B505" s="89">
        <v>28</v>
      </c>
      <c r="C505" s="76">
        <f>122.58</f>
        <v>122.58</v>
      </c>
      <c r="D505" s="76">
        <f>297.941</f>
        <v>297.94099999999997</v>
      </c>
      <c r="E505" s="85">
        <f>89.177</f>
        <v>89.177000000000007</v>
      </c>
      <c r="F505" s="76">
        <f>240.302-40-60-100</f>
        <v>40.301999999999992</v>
      </c>
      <c r="G505" s="79">
        <v>40</v>
      </c>
      <c r="H505" s="76">
        <f>60+100</f>
        <v>160</v>
      </c>
      <c r="I505" s="76">
        <f t="shared" si="81"/>
        <v>0</v>
      </c>
      <c r="J505" s="79">
        <v>100</v>
      </c>
      <c r="K505" s="79">
        <v>300</v>
      </c>
      <c r="L505" s="76">
        <f t="shared" si="74"/>
        <v>1150</v>
      </c>
      <c r="M505" s="87">
        <v>600</v>
      </c>
      <c r="N505" s="76">
        <f>100</f>
        <v>100</v>
      </c>
      <c r="O505" s="79">
        <v>240</v>
      </c>
      <c r="P505" s="79">
        <v>40</v>
      </c>
      <c r="Q505" s="79">
        <f t="shared" si="75"/>
        <v>315</v>
      </c>
      <c r="R505" s="79">
        <f t="shared" si="76"/>
        <v>100</v>
      </c>
      <c r="S505" s="76">
        <f t="shared" si="77"/>
        <v>695</v>
      </c>
      <c r="T505" s="76">
        <f>50</f>
        <v>50</v>
      </c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</row>
    <row r="506" spans="1:30" ht="15.75" x14ac:dyDescent="0.25">
      <c r="A506" s="33">
        <v>56339</v>
      </c>
      <c r="B506" s="89">
        <v>31</v>
      </c>
      <c r="C506" s="76">
        <f>122.58</f>
        <v>122.58</v>
      </c>
      <c r="D506" s="76">
        <f>297.941</f>
        <v>297.94099999999997</v>
      </c>
      <c r="E506" s="85">
        <f>89.177</f>
        <v>89.177000000000007</v>
      </c>
      <c r="F506" s="76">
        <f>240.302-40-60-100</f>
        <v>40.301999999999992</v>
      </c>
      <c r="G506" s="79">
        <v>40</v>
      </c>
      <c r="H506" s="76">
        <f>60+100</f>
        <v>160</v>
      </c>
      <c r="I506" s="76">
        <f t="shared" si="81"/>
        <v>0</v>
      </c>
      <c r="J506" s="79">
        <v>100</v>
      </c>
      <c r="K506" s="79">
        <v>300</v>
      </c>
      <c r="L506" s="76">
        <f t="shared" si="74"/>
        <v>1150</v>
      </c>
      <c r="M506" s="87">
        <v>600</v>
      </c>
      <c r="N506" s="76">
        <f>100</f>
        <v>100</v>
      </c>
      <c r="O506" s="79">
        <v>240</v>
      </c>
      <c r="P506" s="79">
        <v>40</v>
      </c>
      <c r="Q506" s="79">
        <f t="shared" si="75"/>
        <v>315</v>
      </c>
      <c r="R506" s="79">
        <f t="shared" si="76"/>
        <v>100</v>
      </c>
      <c r="S506" s="76">
        <f t="shared" si="77"/>
        <v>695</v>
      </c>
      <c r="T506" s="76">
        <f>50</f>
        <v>50</v>
      </c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</row>
    <row r="507" spans="1:30" ht="15.75" x14ac:dyDescent="0.25">
      <c r="A507" s="33">
        <v>56369</v>
      </c>
      <c r="B507" s="89">
        <v>30</v>
      </c>
      <c r="C507" s="76">
        <f>141.293</f>
        <v>141.29300000000001</v>
      </c>
      <c r="D507" s="76">
        <f>267.993</f>
        <v>267.99299999999999</v>
      </c>
      <c r="E507" s="85">
        <f>115.016</f>
        <v>115.01600000000001</v>
      </c>
      <c r="F507" s="76">
        <f>314.698-40-25-60-100</f>
        <v>89.697999999999979</v>
      </c>
      <c r="G507" s="79">
        <v>40</v>
      </c>
      <c r="H507" s="76">
        <f t="shared" ref="H507:H513" si="82">25+60+100</f>
        <v>185</v>
      </c>
      <c r="I507" s="76">
        <f t="shared" si="81"/>
        <v>0</v>
      </c>
      <c r="J507" s="79">
        <v>100</v>
      </c>
      <c r="K507" s="79">
        <v>300</v>
      </c>
      <c r="L507" s="76">
        <f t="shared" si="74"/>
        <v>1239</v>
      </c>
      <c r="M507" s="87">
        <v>600</v>
      </c>
      <c r="N507" s="76">
        <f>100</f>
        <v>100</v>
      </c>
      <c r="O507" s="79">
        <v>240</v>
      </c>
      <c r="P507" s="79">
        <v>160</v>
      </c>
      <c r="Q507" s="79">
        <f t="shared" si="75"/>
        <v>195</v>
      </c>
      <c r="R507" s="79">
        <f t="shared" si="76"/>
        <v>100</v>
      </c>
      <c r="S507" s="76">
        <f t="shared" si="77"/>
        <v>695</v>
      </c>
      <c r="T507" s="76">
        <f>50</f>
        <v>50</v>
      </c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</row>
    <row r="508" spans="1:30" ht="15.75" x14ac:dyDescent="0.25">
      <c r="A508" s="33">
        <v>56400</v>
      </c>
      <c r="B508" s="89">
        <v>31</v>
      </c>
      <c r="C508" s="76">
        <f>194.205</f>
        <v>194.20500000000001</v>
      </c>
      <c r="D508" s="76">
        <f>267.466</f>
        <v>267.46600000000001</v>
      </c>
      <c r="E508" s="85">
        <f>133.845</f>
        <v>133.845</v>
      </c>
      <c r="F508" s="76">
        <f>278.484-40-25-60-100</f>
        <v>53.48399999999998</v>
      </c>
      <c r="G508" s="79">
        <v>40</v>
      </c>
      <c r="H508" s="76">
        <f t="shared" si="82"/>
        <v>185</v>
      </c>
      <c r="I508" s="76">
        <f t="shared" si="81"/>
        <v>0</v>
      </c>
      <c r="J508" s="79">
        <v>100</v>
      </c>
      <c r="K508" s="79">
        <v>300</v>
      </c>
      <c r="L508" s="76">
        <f t="shared" si="74"/>
        <v>1274</v>
      </c>
      <c r="M508" s="87">
        <v>600</v>
      </c>
      <c r="N508" s="76">
        <f>75</f>
        <v>75</v>
      </c>
      <c r="O508" s="79">
        <v>240</v>
      </c>
      <c r="P508" s="79">
        <v>160</v>
      </c>
      <c r="Q508" s="79">
        <f t="shared" si="75"/>
        <v>195</v>
      </c>
      <c r="R508" s="79">
        <f t="shared" si="76"/>
        <v>100</v>
      </c>
      <c r="S508" s="76">
        <f t="shared" si="77"/>
        <v>695</v>
      </c>
      <c r="T508" s="76">
        <f>50</f>
        <v>50</v>
      </c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</row>
    <row r="509" spans="1:30" ht="15.75" x14ac:dyDescent="0.25">
      <c r="A509" s="33">
        <v>56430</v>
      </c>
      <c r="B509" s="89">
        <v>30</v>
      </c>
      <c r="C509" s="76">
        <f>194.205</f>
        <v>194.20500000000001</v>
      </c>
      <c r="D509" s="76">
        <f>267.466</f>
        <v>267.46600000000001</v>
      </c>
      <c r="E509" s="85">
        <f>133.845</f>
        <v>133.845</v>
      </c>
      <c r="F509" s="76">
        <f>278.484-40-25-60-100</f>
        <v>53.48399999999998</v>
      </c>
      <c r="G509" s="79">
        <v>40</v>
      </c>
      <c r="H509" s="76">
        <f t="shared" si="82"/>
        <v>185</v>
      </c>
      <c r="I509" s="76">
        <f t="shared" si="81"/>
        <v>0</v>
      </c>
      <c r="J509" s="79">
        <v>100</v>
      </c>
      <c r="K509" s="79">
        <v>300</v>
      </c>
      <c r="L509" s="76">
        <f t="shared" si="74"/>
        <v>1274</v>
      </c>
      <c r="M509" s="87">
        <v>600</v>
      </c>
      <c r="N509" s="76">
        <f>30</f>
        <v>30</v>
      </c>
      <c r="O509" s="79">
        <v>240</v>
      </c>
      <c r="P509" s="79">
        <v>160</v>
      </c>
      <c r="Q509" s="79">
        <f t="shared" si="75"/>
        <v>195</v>
      </c>
      <c r="R509" s="79">
        <f t="shared" si="76"/>
        <v>100</v>
      </c>
      <c r="S509" s="76">
        <f t="shared" si="77"/>
        <v>695</v>
      </c>
      <c r="T509" s="76">
        <f>50</f>
        <v>50</v>
      </c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</row>
    <row r="510" spans="1:30" ht="15.75" x14ac:dyDescent="0.25">
      <c r="A510" s="33">
        <v>56461</v>
      </c>
      <c r="B510" s="89">
        <v>31</v>
      </c>
      <c r="C510" s="76">
        <f>194.205</f>
        <v>194.20500000000001</v>
      </c>
      <c r="D510" s="76">
        <f>267.466</f>
        <v>267.46600000000001</v>
      </c>
      <c r="E510" s="85">
        <f>133.845</f>
        <v>133.845</v>
      </c>
      <c r="F510" s="76">
        <f>278.484-40-25-60-100</f>
        <v>53.48399999999998</v>
      </c>
      <c r="G510" s="79">
        <v>40</v>
      </c>
      <c r="H510" s="76">
        <f t="shared" si="82"/>
        <v>185</v>
      </c>
      <c r="I510" s="76">
        <f t="shared" si="81"/>
        <v>0</v>
      </c>
      <c r="J510" s="79">
        <v>100</v>
      </c>
      <c r="K510" s="79">
        <v>300</v>
      </c>
      <c r="L510" s="76">
        <f t="shared" si="74"/>
        <v>1274</v>
      </c>
      <c r="M510" s="87">
        <v>600</v>
      </c>
      <c r="N510" s="76">
        <f>30</f>
        <v>30</v>
      </c>
      <c r="O510" s="79">
        <v>240</v>
      </c>
      <c r="P510" s="79">
        <v>160</v>
      </c>
      <c r="Q510" s="79">
        <f t="shared" si="75"/>
        <v>195</v>
      </c>
      <c r="R510" s="79">
        <f t="shared" si="76"/>
        <v>100</v>
      </c>
      <c r="S510" s="76">
        <f t="shared" si="77"/>
        <v>695</v>
      </c>
      <c r="T510" s="76">
        <f>0</f>
        <v>0</v>
      </c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</row>
    <row r="511" spans="1:30" ht="15.75" x14ac:dyDescent="0.25">
      <c r="A511" s="33">
        <v>56492</v>
      </c>
      <c r="B511" s="89">
        <v>31</v>
      </c>
      <c r="C511" s="76">
        <f>194.205</f>
        <v>194.20500000000001</v>
      </c>
      <c r="D511" s="76">
        <f>267.466</f>
        <v>267.46600000000001</v>
      </c>
      <c r="E511" s="85">
        <f>133.845</f>
        <v>133.845</v>
      </c>
      <c r="F511" s="76">
        <f>278.484-40-25-60-100</f>
        <v>53.48399999999998</v>
      </c>
      <c r="G511" s="79">
        <v>40</v>
      </c>
      <c r="H511" s="76">
        <f t="shared" si="82"/>
        <v>185</v>
      </c>
      <c r="I511" s="76">
        <f t="shared" si="81"/>
        <v>0</v>
      </c>
      <c r="J511" s="79">
        <v>100</v>
      </c>
      <c r="K511" s="79">
        <v>300</v>
      </c>
      <c r="L511" s="76">
        <f t="shared" si="74"/>
        <v>1274</v>
      </c>
      <c r="M511" s="87">
        <v>600</v>
      </c>
      <c r="N511" s="76">
        <f>30</f>
        <v>30</v>
      </c>
      <c r="O511" s="79">
        <v>240</v>
      </c>
      <c r="P511" s="79">
        <v>160</v>
      </c>
      <c r="Q511" s="79">
        <f t="shared" si="75"/>
        <v>195</v>
      </c>
      <c r="R511" s="79">
        <f t="shared" si="76"/>
        <v>100</v>
      </c>
      <c r="S511" s="76">
        <f t="shared" si="77"/>
        <v>695</v>
      </c>
      <c r="T511" s="76">
        <f>0</f>
        <v>0</v>
      </c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</row>
    <row r="512" spans="1:30" ht="15.75" x14ac:dyDescent="0.25">
      <c r="A512" s="33">
        <v>56522</v>
      </c>
      <c r="B512" s="89">
        <v>30</v>
      </c>
      <c r="C512" s="76">
        <f>194.205</f>
        <v>194.20500000000001</v>
      </c>
      <c r="D512" s="76">
        <f>267.466</f>
        <v>267.46600000000001</v>
      </c>
      <c r="E512" s="85">
        <f>133.845</f>
        <v>133.845</v>
      </c>
      <c r="F512" s="76">
        <f>278.484-40-25-60-100</f>
        <v>53.48399999999998</v>
      </c>
      <c r="G512" s="79">
        <v>40</v>
      </c>
      <c r="H512" s="76">
        <f t="shared" si="82"/>
        <v>185</v>
      </c>
      <c r="I512" s="76">
        <f t="shared" si="81"/>
        <v>0</v>
      </c>
      <c r="J512" s="79">
        <v>100</v>
      </c>
      <c r="K512" s="79">
        <v>300</v>
      </c>
      <c r="L512" s="76">
        <f t="shared" si="74"/>
        <v>1274</v>
      </c>
      <c r="M512" s="87">
        <v>600</v>
      </c>
      <c r="N512" s="76">
        <f>30</f>
        <v>30</v>
      </c>
      <c r="O512" s="79">
        <v>240</v>
      </c>
      <c r="P512" s="79">
        <v>160</v>
      </c>
      <c r="Q512" s="79">
        <f t="shared" si="75"/>
        <v>195</v>
      </c>
      <c r="R512" s="79">
        <f t="shared" si="76"/>
        <v>100</v>
      </c>
      <c r="S512" s="76">
        <f t="shared" si="77"/>
        <v>695</v>
      </c>
      <c r="T512" s="76">
        <f>0</f>
        <v>0</v>
      </c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</row>
    <row r="513" spans="1:30" ht="15.75" x14ac:dyDescent="0.25">
      <c r="A513" s="33">
        <v>56553</v>
      </c>
      <c r="B513" s="89">
        <v>31</v>
      </c>
      <c r="C513" s="76">
        <f>131.881</f>
        <v>131.881</v>
      </c>
      <c r="D513" s="76">
        <f>277.167</f>
        <v>277.16699999999997</v>
      </c>
      <c r="E513" s="85">
        <f>79.08</f>
        <v>79.08</v>
      </c>
      <c r="F513" s="76">
        <f>350.872-40-25-60-100</f>
        <v>125.87200000000001</v>
      </c>
      <c r="G513" s="79">
        <v>40</v>
      </c>
      <c r="H513" s="76">
        <f t="shared" si="82"/>
        <v>185</v>
      </c>
      <c r="I513" s="76">
        <f t="shared" si="81"/>
        <v>0</v>
      </c>
      <c r="J513" s="79">
        <v>100</v>
      </c>
      <c r="K513" s="79">
        <v>300</v>
      </c>
      <c r="L513" s="76">
        <f t="shared" si="74"/>
        <v>1239</v>
      </c>
      <c r="M513" s="87">
        <v>600</v>
      </c>
      <c r="N513" s="76">
        <f>75</f>
        <v>75</v>
      </c>
      <c r="O513" s="79">
        <v>240</v>
      </c>
      <c r="P513" s="79">
        <v>160</v>
      </c>
      <c r="Q513" s="79">
        <f t="shared" si="75"/>
        <v>195</v>
      </c>
      <c r="R513" s="79">
        <f t="shared" si="76"/>
        <v>100</v>
      </c>
      <c r="S513" s="76">
        <f t="shared" si="77"/>
        <v>695</v>
      </c>
      <c r="T513" s="76">
        <f>0</f>
        <v>0</v>
      </c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</row>
    <row r="514" spans="1:30" ht="15.75" x14ac:dyDescent="0.25">
      <c r="A514" s="33">
        <v>56583</v>
      </c>
      <c r="B514" s="89">
        <v>30</v>
      </c>
      <c r="C514" s="76">
        <f>122.58</f>
        <v>122.58</v>
      </c>
      <c r="D514" s="76">
        <f>297.941</f>
        <v>297.94099999999997</v>
      </c>
      <c r="E514" s="85">
        <f>89.177</f>
        <v>89.177000000000007</v>
      </c>
      <c r="F514" s="76">
        <f>240.302-40-60-100</f>
        <v>40.301999999999992</v>
      </c>
      <c r="G514" s="79">
        <v>40</v>
      </c>
      <c r="H514" s="76">
        <f>60+100</f>
        <v>160</v>
      </c>
      <c r="I514" s="76">
        <f t="shared" si="81"/>
        <v>0</v>
      </c>
      <c r="J514" s="79">
        <v>100</v>
      </c>
      <c r="K514" s="79">
        <v>300</v>
      </c>
      <c r="L514" s="76">
        <f t="shared" si="74"/>
        <v>1150</v>
      </c>
      <c r="M514" s="87">
        <v>600</v>
      </c>
      <c r="N514" s="76">
        <f>100</f>
        <v>100</v>
      </c>
      <c r="O514" s="79">
        <v>240</v>
      </c>
      <c r="P514" s="79">
        <v>40</v>
      </c>
      <c r="Q514" s="79">
        <f t="shared" si="75"/>
        <v>315</v>
      </c>
      <c r="R514" s="79">
        <f t="shared" si="76"/>
        <v>100</v>
      </c>
      <c r="S514" s="76">
        <f t="shared" si="77"/>
        <v>695</v>
      </c>
      <c r="T514" s="76">
        <f>50</f>
        <v>50</v>
      </c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</row>
    <row r="515" spans="1:30" ht="15.75" x14ac:dyDescent="0.25">
      <c r="A515" s="33">
        <v>56614</v>
      </c>
      <c r="B515" s="89">
        <v>31</v>
      </c>
      <c r="C515" s="76">
        <f>122.58</f>
        <v>122.58</v>
      </c>
      <c r="D515" s="76">
        <f>297.941</f>
        <v>297.94099999999997</v>
      </c>
      <c r="E515" s="85">
        <f>89.177</f>
        <v>89.177000000000007</v>
      </c>
      <c r="F515" s="76">
        <f>240.302-40-60-100</f>
        <v>40.301999999999992</v>
      </c>
      <c r="G515" s="79">
        <v>40</v>
      </c>
      <c r="H515" s="76">
        <f>60+100</f>
        <v>160</v>
      </c>
      <c r="I515" s="76">
        <f t="shared" si="81"/>
        <v>0</v>
      </c>
      <c r="J515" s="79">
        <v>100</v>
      </c>
      <c r="K515" s="79">
        <v>300</v>
      </c>
      <c r="L515" s="76">
        <f t="shared" si="74"/>
        <v>1150</v>
      </c>
      <c r="M515" s="87">
        <v>600</v>
      </c>
      <c r="N515" s="76">
        <f>100</f>
        <v>100</v>
      </c>
      <c r="O515" s="79">
        <v>240</v>
      </c>
      <c r="P515" s="79">
        <v>40</v>
      </c>
      <c r="Q515" s="79">
        <f t="shared" si="75"/>
        <v>315</v>
      </c>
      <c r="R515" s="79">
        <f t="shared" si="76"/>
        <v>100</v>
      </c>
      <c r="S515" s="76">
        <f t="shared" si="77"/>
        <v>695</v>
      </c>
      <c r="T515" s="76">
        <f>50</f>
        <v>50</v>
      </c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</row>
    <row r="516" spans="1:30" ht="15.75" x14ac:dyDescent="0.25">
      <c r="A516" s="32">
        <v>56645</v>
      </c>
      <c r="B516" s="88">
        <v>31</v>
      </c>
      <c r="C516" s="76">
        <f>122.58</f>
        <v>122.58</v>
      </c>
      <c r="D516" s="76">
        <f>297.941</f>
        <v>297.94099999999997</v>
      </c>
      <c r="E516" s="85">
        <f>89.177</f>
        <v>89.177000000000007</v>
      </c>
      <c r="F516" s="76">
        <f>240.302-40-60-100</f>
        <v>40.301999999999992</v>
      </c>
      <c r="G516" s="79">
        <v>40</v>
      </c>
      <c r="H516" s="76">
        <f>60+100</f>
        <v>160</v>
      </c>
      <c r="I516" s="76">
        <f t="shared" si="81"/>
        <v>0</v>
      </c>
      <c r="J516" s="79">
        <v>100</v>
      </c>
      <c r="K516" s="79">
        <v>300</v>
      </c>
      <c r="L516" s="76">
        <f t="shared" si="74"/>
        <v>1150</v>
      </c>
      <c r="M516" s="87">
        <v>600</v>
      </c>
      <c r="N516" s="76">
        <f>100</f>
        <v>100</v>
      </c>
      <c r="O516" s="79">
        <v>240</v>
      </c>
      <c r="P516" s="79">
        <v>40</v>
      </c>
      <c r="Q516" s="79">
        <f t="shared" si="75"/>
        <v>315</v>
      </c>
      <c r="R516" s="79">
        <f t="shared" si="76"/>
        <v>100</v>
      </c>
      <c r="S516" s="76">
        <f t="shared" si="77"/>
        <v>695</v>
      </c>
      <c r="T516" s="76">
        <f>50</f>
        <v>50</v>
      </c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</row>
    <row r="517" spans="1:30" ht="15.75" x14ac:dyDescent="0.25">
      <c r="A517" s="32">
        <v>56673</v>
      </c>
      <c r="B517" s="88">
        <v>28</v>
      </c>
      <c r="C517" s="76">
        <f>122.58</f>
        <v>122.58</v>
      </c>
      <c r="D517" s="76">
        <f>297.941</f>
        <v>297.94099999999997</v>
      </c>
      <c r="E517" s="85">
        <f>89.177</f>
        <v>89.177000000000007</v>
      </c>
      <c r="F517" s="76">
        <f>240.302-40-60-100</f>
        <v>40.301999999999992</v>
      </c>
      <c r="G517" s="79">
        <v>40</v>
      </c>
      <c r="H517" s="76">
        <f>60+100</f>
        <v>160</v>
      </c>
      <c r="I517" s="76">
        <f t="shared" si="81"/>
        <v>0</v>
      </c>
      <c r="J517" s="79">
        <v>100</v>
      </c>
      <c r="K517" s="79">
        <v>300</v>
      </c>
      <c r="L517" s="76">
        <f t="shared" si="74"/>
        <v>1150</v>
      </c>
      <c r="M517" s="87">
        <v>600</v>
      </c>
      <c r="N517" s="76">
        <f>100</f>
        <v>100</v>
      </c>
      <c r="O517" s="79">
        <v>240</v>
      </c>
      <c r="P517" s="79">
        <v>40</v>
      </c>
      <c r="Q517" s="79">
        <f t="shared" si="75"/>
        <v>315</v>
      </c>
      <c r="R517" s="79">
        <f t="shared" si="76"/>
        <v>100</v>
      </c>
      <c r="S517" s="76">
        <f t="shared" si="77"/>
        <v>695</v>
      </c>
      <c r="T517" s="76">
        <f>50</f>
        <v>50</v>
      </c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</row>
    <row r="518" spans="1:30" ht="15.75" x14ac:dyDescent="0.25">
      <c r="A518" s="32">
        <v>56704</v>
      </c>
      <c r="B518" s="88">
        <v>31</v>
      </c>
      <c r="C518" s="76">
        <f>122.58</f>
        <v>122.58</v>
      </c>
      <c r="D518" s="76">
        <f>297.941</f>
        <v>297.94099999999997</v>
      </c>
      <c r="E518" s="85">
        <f>89.177</f>
        <v>89.177000000000007</v>
      </c>
      <c r="F518" s="76">
        <f>240.302-40-60-100</f>
        <v>40.301999999999992</v>
      </c>
      <c r="G518" s="79">
        <v>40</v>
      </c>
      <c r="H518" s="76">
        <f>60+100</f>
        <v>160</v>
      </c>
      <c r="I518" s="76">
        <f t="shared" si="81"/>
        <v>0</v>
      </c>
      <c r="J518" s="79">
        <v>100</v>
      </c>
      <c r="K518" s="79">
        <v>300</v>
      </c>
      <c r="L518" s="76">
        <f t="shared" si="74"/>
        <v>1150</v>
      </c>
      <c r="M518" s="87">
        <v>600</v>
      </c>
      <c r="N518" s="76">
        <f>100</f>
        <v>100</v>
      </c>
      <c r="O518" s="79">
        <v>240</v>
      </c>
      <c r="P518" s="79">
        <v>40</v>
      </c>
      <c r="Q518" s="79">
        <f t="shared" si="75"/>
        <v>315</v>
      </c>
      <c r="R518" s="79">
        <f t="shared" si="76"/>
        <v>100</v>
      </c>
      <c r="S518" s="76">
        <f t="shared" si="77"/>
        <v>695</v>
      </c>
      <c r="T518" s="76">
        <f>50</f>
        <v>50</v>
      </c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</row>
    <row r="519" spans="1:30" ht="15.75" x14ac:dyDescent="0.25">
      <c r="A519" s="32">
        <v>56734</v>
      </c>
      <c r="B519" s="88">
        <v>30</v>
      </c>
      <c r="C519" s="76">
        <f>141.293</f>
        <v>141.29300000000001</v>
      </c>
      <c r="D519" s="76">
        <f>267.993</f>
        <v>267.99299999999999</v>
      </c>
      <c r="E519" s="85">
        <f>115.016</f>
        <v>115.01600000000001</v>
      </c>
      <c r="F519" s="76">
        <f>314.698-40-25-60-100</f>
        <v>89.697999999999979</v>
      </c>
      <c r="G519" s="79">
        <v>40</v>
      </c>
      <c r="H519" s="76">
        <f t="shared" ref="H519:H525" si="83">25+60+100</f>
        <v>185</v>
      </c>
      <c r="I519" s="76">
        <f t="shared" si="81"/>
        <v>0</v>
      </c>
      <c r="J519" s="79">
        <v>100</v>
      </c>
      <c r="K519" s="79">
        <v>300</v>
      </c>
      <c r="L519" s="76">
        <f t="shared" si="74"/>
        <v>1239</v>
      </c>
      <c r="M519" s="87">
        <v>600</v>
      </c>
      <c r="N519" s="76">
        <f>100</f>
        <v>100</v>
      </c>
      <c r="O519" s="79">
        <v>240</v>
      </c>
      <c r="P519" s="79">
        <v>160</v>
      </c>
      <c r="Q519" s="79">
        <f t="shared" si="75"/>
        <v>195</v>
      </c>
      <c r="R519" s="79">
        <f t="shared" si="76"/>
        <v>100</v>
      </c>
      <c r="S519" s="76">
        <f t="shared" si="77"/>
        <v>695</v>
      </c>
      <c r="T519" s="76">
        <f>50</f>
        <v>50</v>
      </c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</row>
    <row r="520" spans="1:30" ht="15.75" x14ac:dyDescent="0.25">
      <c r="A520" s="32">
        <v>56765</v>
      </c>
      <c r="B520" s="88">
        <v>31</v>
      </c>
      <c r="C520" s="76">
        <f>194.205</f>
        <v>194.20500000000001</v>
      </c>
      <c r="D520" s="76">
        <f>267.466</f>
        <v>267.46600000000001</v>
      </c>
      <c r="E520" s="85">
        <f>133.845</f>
        <v>133.845</v>
      </c>
      <c r="F520" s="76">
        <f>278.484-40-25-60-100</f>
        <v>53.48399999999998</v>
      </c>
      <c r="G520" s="79">
        <v>40</v>
      </c>
      <c r="H520" s="76">
        <f t="shared" si="83"/>
        <v>185</v>
      </c>
      <c r="I520" s="76">
        <f t="shared" si="81"/>
        <v>0</v>
      </c>
      <c r="J520" s="79">
        <v>100</v>
      </c>
      <c r="K520" s="79">
        <v>300</v>
      </c>
      <c r="L520" s="76">
        <f t="shared" si="74"/>
        <v>1274</v>
      </c>
      <c r="M520" s="87">
        <v>600</v>
      </c>
      <c r="N520" s="76">
        <f>75</f>
        <v>75</v>
      </c>
      <c r="O520" s="79">
        <v>240</v>
      </c>
      <c r="P520" s="79">
        <v>160</v>
      </c>
      <c r="Q520" s="79">
        <f t="shared" si="75"/>
        <v>195</v>
      </c>
      <c r="R520" s="79">
        <f t="shared" si="76"/>
        <v>100</v>
      </c>
      <c r="S520" s="76">
        <f t="shared" si="77"/>
        <v>695</v>
      </c>
      <c r="T520" s="76">
        <f>50</f>
        <v>50</v>
      </c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</row>
    <row r="521" spans="1:30" ht="15.75" x14ac:dyDescent="0.25">
      <c r="A521" s="32">
        <v>56795</v>
      </c>
      <c r="B521" s="88">
        <v>30</v>
      </c>
      <c r="C521" s="76">
        <f>194.205</f>
        <v>194.20500000000001</v>
      </c>
      <c r="D521" s="76">
        <f>267.466</f>
        <v>267.46600000000001</v>
      </c>
      <c r="E521" s="85">
        <f>133.845</f>
        <v>133.845</v>
      </c>
      <c r="F521" s="76">
        <f>278.484-40-25-60-100</f>
        <v>53.48399999999998</v>
      </c>
      <c r="G521" s="79">
        <v>40</v>
      </c>
      <c r="H521" s="76">
        <f t="shared" si="83"/>
        <v>185</v>
      </c>
      <c r="I521" s="76">
        <f t="shared" si="81"/>
        <v>0</v>
      </c>
      <c r="J521" s="79">
        <v>100</v>
      </c>
      <c r="K521" s="79">
        <v>300</v>
      </c>
      <c r="L521" s="76">
        <f t="shared" si="74"/>
        <v>1274</v>
      </c>
      <c r="M521" s="87">
        <v>600</v>
      </c>
      <c r="N521" s="76">
        <f>30</f>
        <v>30</v>
      </c>
      <c r="O521" s="79">
        <v>240</v>
      </c>
      <c r="P521" s="79">
        <v>160</v>
      </c>
      <c r="Q521" s="79">
        <f t="shared" si="75"/>
        <v>195</v>
      </c>
      <c r="R521" s="79">
        <f t="shared" si="76"/>
        <v>100</v>
      </c>
      <c r="S521" s="76">
        <f t="shared" si="77"/>
        <v>695</v>
      </c>
      <c r="T521" s="76">
        <f>50</f>
        <v>50</v>
      </c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</row>
    <row r="522" spans="1:30" ht="15.75" x14ac:dyDescent="0.25">
      <c r="A522" s="32">
        <v>56826</v>
      </c>
      <c r="B522" s="88">
        <v>31</v>
      </c>
      <c r="C522" s="76">
        <f>194.205</f>
        <v>194.20500000000001</v>
      </c>
      <c r="D522" s="76">
        <f>267.466</f>
        <v>267.46600000000001</v>
      </c>
      <c r="E522" s="85">
        <f>133.845</f>
        <v>133.845</v>
      </c>
      <c r="F522" s="76">
        <f>278.484-40-25-60-100</f>
        <v>53.48399999999998</v>
      </c>
      <c r="G522" s="79">
        <v>40</v>
      </c>
      <c r="H522" s="76">
        <f t="shared" si="83"/>
        <v>185</v>
      </c>
      <c r="I522" s="76">
        <f t="shared" si="81"/>
        <v>0</v>
      </c>
      <c r="J522" s="79">
        <v>100</v>
      </c>
      <c r="K522" s="79">
        <v>300</v>
      </c>
      <c r="L522" s="76">
        <f t="shared" si="74"/>
        <v>1274</v>
      </c>
      <c r="M522" s="87">
        <v>600</v>
      </c>
      <c r="N522" s="76">
        <f>30</f>
        <v>30</v>
      </c>
      <c r="O522" s="79">
        <v>240</v>
      </c>
      <c r="P522" s="79">
        <v>160</v>
      </c>
      <c r="Q522" s="79">
        <f t="shared" si="75"/>
        <v>195</v>
      </c>
      <c r="R522" s="79">
        <f t="shared" si="76"/>
        <v>100</v>
      </c>
      <c r="S522" s="76">
        <f t="shared" si="77"/>
        <v>695</v>
      </c>
      <c r="T522" s="76">
        <f>0</f>
        <v>0</v>
      </c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</row>
    <row r="523" spans="1:30" ht="15.75" x14ac:dyDescent="0.25">
      <c r="A523" s="32">
        <v>56857</v>
      </c>
      <c r="B523" s="88">
        <v>31</v>
      </c>
      <c r="C523" s="76">
        <f>194.205</f>
        <v>194.20500000000001</v>
      </c>
      <c r="D523" s="76">
        <f>267.466</f>
        <v>267.46600000000001</v>
      </c>
      <c r="E523" s="85">
        <f>133.845</f>
        <v>133.845</v>
      </c>
      <c r="F523" s="76">
        <f>278.484-40-25-60-100</f>
        <v>53.48399999999998</v>
      </c>
      <c r="G523" s="79">
        <v>40</v>
      </c>
      <c r="H523" s="76">
        <f t="shared" si="83"/>
        <v>185</v>
      </c>
      <c r="I523" s="76">
        <f t="shared" si="81"/>
        <v>0</v>
      </c>
      <c r="J523" s="79">
        <v>100</v>
      </c>
      <c r="K523" s="79">
        <v>300</v>
      </c>
      <c r="L523" s="76">
        <f t="shared" si="74"/>
        <v>1274</v>
      </c>
      <c r="M523" s="87">
        <v>600</v>
      </c>
      <c r="N523" s="76">
        <f>30</f>
        <v>30</v>
      </c>
      <c r="O523" s="79">
        <v>240</v>
      </c>
      <c r="P523" s="79">
        <v>160</v>
      </c>
      <c r="Q523" s="79">
        <f t="shared" si="75"/>
        <v>195</v>
      </c>
      <c r="R523" s="79">
        <f t="shared" si="76"/>
        <v>100</v>
      </c>
      <c r="S523" s="76">
        <f t="shared" si="77"/>
        <v>695</v>
      </c>
      <c r="T523" s="76">
        <f>0</f>
        <v>0</v>
      </c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</row>
    <row r="524" spans="1:30" ht="15.75" x14ac:dyDescent="0.25">
      <c r="A524" s="32">
        <v>56887</v>
      </c>
      <c r="B524" s="88">
        <v>30</v>
      </c>
      <c r="C524" s="76">
        <f>194.205</f>
        <v>194.20500000000001</v>
      </c>
      <c r="D524" s="76">
        <f>267.466</f>
        <v>267.46600000000001</v>
      </c>
      <c r="E524" s="85">
        <f>133.845</f>
        <v>133.845</v>
      </c>
      <c r="F524" s="76">
        <f>278.484-40-25-60-100</f>
        <v>53.48399999999998</v>
      </c>
      <c r="G524" s="79">
        <v>40</v>
      </c>
      <c r="H524" s="76">
        <f t="shared" si="83"/>
        <v>185</v>
      </c>
      <c r="I524" s="76">
        <f t="shared" si="81"/>
        <v>0</v>
      </c>
      <c r="J524" s="79">
        <v>100</v>
      </c>
      <c r="K524" s="79">
        <v>300</v>
      </c>
      <c r="L524" s="76">
        <f t="shared" si="74"/>
        <v>1274</v>
      </c>
      <c r="M524" s="87">
        <v>600</v>
      </c>
      <c r="N524" s="76">
        <f>30</f>
        <v>30</v>
      </c>
      <c r="O524" s="79">
        <v>240</v>
      </c>
      <c r="P524" s="79">
        <v>160</v>
      </c>
      <c r="Q524" s="79">
        <f t="shared" si="75"/>
        <v>195</v>
      </c>
      <c r="R524" s="79">
        <f t="shared" si="76"/>
        <v>100</v>
      </c>
      <c r="S524" s="76">
        <f t="shared" si="77"/>
        <v>695</v>
      </c>
      <c r="T524" s="76">
        <f>0</f>
        <v>0</v>
      </c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</row>
    <row r="525" spans="1:30" ht="15.75" x14ac:dyDescent="0.25">
      <c r="A525" s="32">
        <v>56918</v>
      </c>
      <c r="B525" s="88">
        <v>31</v>
      </c>
      <c r="C525" s="76">
        <f>131.881</f>
        <v>131.881</v>
      </c>
      <c r="D525" s="76">
        <f>277.167</f>
        <v>277.16699999999997</v>
      </c>
      <c r="E525" s="85">
        <f>79.08</f>
        <v>79.08</v>
      </c>
      <c r="F525" s="76">
        <f>350.872-40-25-60-100</f>
        <v>125.87200000000001</v>
      </c>
      <c r="G525" s="79">
        <v>40</v>
      </c>
      <c r="H525" s="76">
        <f t="shared" si="83"/>
        <v>185</v>
      </c>
      <c r="I525" s="76">
        <f t="shared" si="81"/>
        <v>0</v>
      </c>
      <c r="J525" s="79">
        <v>100</v>
      </c>
      <c r="K525" s="79">
        <v>300</v>
      </c>
      <c r="L525" s="76">
        <f t="shared" si="74"/>
        <v>1239</v>
      </c>
      <c r="M525" s="87">
        <v>600</v>
      </c>
      <c r="N525" s="76">
        <f>75</f>
        <v>75</v>
      </c>
      <c r="O525" s="79">
        <v>240</v>
      </c>
      <c r="P525" s="79">
        <v>160</v>
      </c>
      <c r="Q525" s="79">
        <f t="shared" si="75"/>
        <v>195</v>
      </c>
      <c r="R525" s="79">
        <f t="shared" si="76"/>
        <v>100</v>
      </c>
      <c r="S525" s="76">
        <f t="shared" si="77"/>
        <v>695</v>
      </c>
      <c r="T525" s="76">
        <f>0</f>
        <v>0</v>
      </c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</row>
    <row r="526" spans="1:30" ht="15.75" x14ac:dyDescent="0.25">
      <c r="A526" s="32">
        <v>56948</v>
      </c>
      <c r="B526" s="88">
        <v>30</v>
      </c>
      <c r="C526" s="76">
        <f>122.58</f>
        <v>122.58</v>
      </c>
      <c r="D526" s="76">
        <f>297.941</f>
        <v>297.94099999999997</v>
      </c>
      <c r="E526" s="85">
        <f>89.177</f>
        <v>89.177000000000007</v>
      </c>
      <c r="F526" s="76">
        <f>240.302-40-60-100</f>
        <v>40.301999999999992</v>
      </c>
      <c r="G526" s="79">
        <v>40</v>
      </c>
      <c r="H526" s="76">
        <f>60+100</f>
        <v>160</v>
      </c>
      <c r="I526" s="76">
        <f t="shared" si="81"/>
        <v>0</v>
      </c>
      <c r="J526" s="79">
        <v>100</v>
      </c>
      <c r="K526" s="79">
        <v>300</v>
      </c>
      <c r="L526" s="76">
        <f t="shared" si="74"/>
        <v>1150</v>
      </c>
      <c r="M526" s="87">
        <v>600</v>
      </c>
      <c r="N526" s="76">
        <f>100</f>
        <v>100</v>
      </c>
      <c r="O526" s="79">
        <v>240</v>
      </c>
      <c r="P526" s="79">
        <v>40</v>
      </c>
      <c r="Q526" s="79">
        <f t="shared" si="75"/>
        <v>315</v>
      </c>
      <c r="R526" s="79">
        <f t="shared" si="76"/>
        <v>100</v>
      </c>
      <c r="S526" s="76">
        <f t="shared" si="77"/>
        <v>695</v>
      </c>
      <c r="T526" s="76">
        <f>50</f>
        <v>50</v>
      </c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</row>
    <row r="527" spans="1:30" ht="15.75" x14ac:dyDescent="0.25">
      <c r="A527" s="32">
        <v>56979</v>
      </c>
      <c r="B527" s="88">
        <v>31</v>
      </c>
      <c r="C527" s="76">
        <f>122.58</f>
        <v>122.58</v>
      </c>
      <c r="D527" s="76">
        <f>297.941</f>
        <v>297.94099999999997</v>
      </c>
      <c r="E527" s="85">
        <f>89.177</f>
        <v>89.177000000000007</v>
      </c>
      <c r="F527" s="76">
        <f>240.302-40-60-100</f>
        <v>40.301999999999992</v>
      </c>
      <c r="G527" s="79">
        <v>40</v>
      </c>
      <c r="H527" s="76">
        <f>60+100</f>
        <v>160</v>
      </c>
      <c r="I527" s="76">
        <f t="shared" si="81"/>
        <v>0</v>
      </c>
      <c r="J527" s="79">
        <v>100</v>
      </c>
      <c r="K527" s="79">
        <v>300</v>
      </c>
      <c r="L527" s="76">
        <f t="shared" si="74"/>
        <v>1150</v>
      </c>
      <c r="M527" s="87">
        <v>600</v>
      </c>
      <c r="N527" s="76">
        <f>100</f>
        <v>100</v>
      </c>
      <c r="O527" s="79">
        <v>240</v>
      </c>
      <c r="P527" s="79">
        <v>40</v>
      </c>
      <c r="Q527" s="79">
        <f t="shared" si="75"/>
        <v>315</v>
      </c>
      <c r="R527" s="79">
        <f t="shared" si="76"/>
        <v>100</v>
      </c>
      <c r="S527" s="76">
        <f t="shared" si="77"/>
        <v>695</v>
      </c>
      <c r="T527" s="76">
        <f>50</f>
        <v>50</v>
      </c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</row>
    <row r="528" spans="1:30" ht="15.75" x14ac:dyDescent="0.25">
      <c r="A528" s="32">
        <v>57010</v>
      </c>
      <c r="B528" s="88">
        <v>31</v>
      </c>
      <c r="C528" s="76">
        <f>122.58</f>
        <v>122.58</v>
      </c>
      <c r="D528" s="76">
        <f>297.941</f>
        <v>297.94099999999997</v>
      </c>
      <c r="E528" s="85">
        <f>89.177</f>
        <v>89.177000000000007</v>
      </c>
      <c r="F528" s="76">
        <f>240.302-40-60-100</f>
        <v>40.301999999999992</v>
      </c>
      <c r="G528" s="79">
        <v>40</v>
      </c>
      <c r="H528" s="76">
        <f>60+100</f>
        <v>160</v>
      </c>
      <c r="I528" s="76">
        <f t="shared" si="81"/>
        <v>0</v>
      </c>
      <c r="J528" s="79">
        <v>100</v>
      </c>
      <c r="K528" s="79">
        <v>300</v>
      </c>
      <c r="L528" s="76">
        <f t="shared" ref="L528:L591" si="84">SUM(C528:K528)</f>
        <v>1150</v>
      </c>
      <c r="M528" s="87">
        <v>600</v>
      </c>
      <c r="N528" s="76">
        <f>100</f>
        <v>100</v>
      </c>
      <c r="O528" s="79">
        <v>240</v>
      </c>
      <c r="P528" s="79">
        <v>40</v>
      </c>
      <c r="Q528" s="79">
        <f t="shared" ref="Q528:Q591" si="85">695-R528-O528-P528</f>
        <v>315</v>
      </c>
      <c r="R528" s="79">
        <f t="shared" ref="R528:R591" si="86">200-J528</f>
        <v>100</v>
      </c>
      <c r="S528" s="76">
        <f t="shared" ref="S528:S591" si="87">SUM(O528:R528)</f>
        <v>695</v>
      </c>
      <c r="T528" s="76">
        <f>50</f>
        <v>50</v>
      </c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</row>
    <row r="529" spans="1:30" ht="15.75" x14ac:dyDescent="0.25">
      <c r="A529" s="32">
        <v>57038</v>
      </c>
      <c r="B529" s="88">
        <v>29</v>
      </c>
      <c r="C529" s="76">
        <f>122.58</f>
        <v>122.58</v>
      </c>
      <c r="D529" s="76">
        <f>297.941</f>
        <v>297.94099999999997</v>
      </c>
      <c r="E529" s="85">
        <f>89.177</f>
        <v>89.177000000000007</v>
      </c>
      <c r="F529" s="76">
        <f>240.302-40-60-100</f>
        <v>40.301999999999992</v>
      </c>
      <c r="G529" s="79">
        <v>40</v>
      </c>
      <c r="H529" s="76">
        <f>60+100</f>
        <v>160</v>
      </c>
      <c r="I529" s="76">
        <f t="shared" si="81"/>
        <v>0</v>
      </c>
      <c r="J529" s="79">
        <v>100</v>
      </c>
      <c r="K529" s="79">
        <v>300</v>
      </c>
      <c r="L529" s="76">
        <f t="shared" si="84"/>
        <v>1150</v>
      </c>
      <c r="M529" s="87">
        <v>600</v>
      </c>
      <c r="N529" s="76">
        <f>100</f>
        <v>100</v>
      </c>
      <c r="O529" s="79">
        <v>240</v>
      </c>
      <c r="P529" s="79">
        <v>40</v>
      </c>
      <c r="Q529" s="79">
        <f t="shared" si="85"/>
        <v>315</v>
      </c>
      <c r="R529" s="79">
        <f t="shared" si="86"/>
        <v>100</v>
      </c>
      <c r="S529" s="76">
        <f t="shared" si="87"/>
        <v>695</v>
      </c>
      <c r="T529" s="76">
        <f>50</f>
        <v>50</v>
      </c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</row>
    <row r="530" spans="1:30" ht="15.75" x14ac:dyDescent="0.25">
      <c r="A530" s="32">
        <v>57070</v>
      </c>
      <c r="B530" s="88">
        <v>31</v>
      </c>
      <c r="C530" s="76">
        <f>122.58</f>
        <v>122.58</v>
      </c>
      <c r="D530" s="76">
        <f>297.941</f>
        <v>297.94099999999997</v>
      </c>
      <c r="E530" s="85">
        <f>89.177</f>
        <v>89.177000000000007</v>
      </c>
      <c r="F530" s="76">
        <f>240.302-40-60-100</f>
        <v>40.301999999999992</v>
      </c>
      <c r="G530" s="79">
        <v>40</v>
      </c>
      <c r="H530" s="76">
        <f>60+100</f>
        <v>160</v>
      </c>
      <c r="I530" s="76">
        <f t="shared" si="81"/>
        <v>0</v>
      </c>
      <c r="J530" s="79">
        <v>100</v>
      </c>
      <c r="K530" s="79">
        <v>300</v>
      </c>
      <c r="L530" s="76">
        <f t="shared" si="84"/>
        <v>1150</v>
      </c>
      <c r="M530" s="87">
        <v>600</v>
      </c>
      <c r="N530" s="76">
        <f>100</f>
        <v>100</v>
      </c>
      <c r="O530" s="79">
        <v>240</v>
      </c>
      <c r="P530" s="79">
        <v>40</v>
      </c>
      <c r="Q530" s="79">
        <f t="shared" si="85"/>
        <v>315</v>
      </c>
      <c r="R530" s="79">
        <f t="shared" si="86"/>
        <v>100</v>
      </c>
      <c r="S530" s="76">
        <f t="shared" si="87"/>
        <v>695</v>
      </c>
      <c r="T530" s="76">
        <f>50</f>
        <v>50</v>
      </c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</row>
    <row r="531" spans="1:30" ht="15.75" x14ac:dyDescent="0.25">
      <c r="A531" s="32">
        <v>57100</v>
      </c>
      <c r="B531" s="88">
        <v>30</v>
      </c>
      <c r="C531" s="76">
        <f>141.293</f>
        <v>141.29300000000001</v>
      </c>
      <c r="D531" s="76">
        <f>267.993</f>
        <v>267.99299999999999</v>
      </c>
      <c r="E531" s="85">
        <f>115.016</f>
        <v>115.01600000000001</v>
      </c>
      <c r="F531" s="76">
        <f>314.698-40-25-60-100</f>
        <v>89.697999999999979</v>
      </c>
      <c r="G531" s="79">
        <v>40</v>
      </c>
      <c r="H531" s="76">
        <f t="shared" ref="H531:H537" si="88">25+60+100</f>
        <v>185</v>
      </c>
      <c r="I531" s="76">
        <f t="shared" si="81"/>
        <v>0</v>
      </c>
      <c r="J531" s="79">
        <v>100</v>
      </c>
      <c r="K531" s="79">
        <v>300</v>
      </c>
      <c r="L531" s="76">
        <f t="shared" si="84"/>
        <v>1239</v>
      </c>
      <c r="M531" s="87">
        <v>600</v>
      </c>
      <c r="N531" s="76">
        <f>100</f>
        <v>100</v>
      </c>
      <c r="O531" s="79">
        <v>240</v>
      </c>
      <c r="P531" s="79">
        <v>160</v>
      </c>
      <c r="Q531" s="79">
        <f t="shared" si="85"/>
        <v>195</v>
      </c>
      <c r="R531" s="79">
        <f t="shared" si="86"/>
        <v>100</v>
      </c>
      <c r="S531" s="76">
        <f t="shared" si="87"/>
        <v>695</v>
      </c>
      <c r="T531" s="76">
        <f>50</f>
        <v>50</v>
      </c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</row>
    <row r="532" spans="1:30" ht="15.75" x14ac:dyDescent="0.25">
      <c r="A532" s="32">
        <v>57131</v>
      </c>
      <c r="B532" s="88">
        <v>31</v>
      </c>
      <c r="C532" s="76">
        <f>194.205</f>
        <v>194.20500000000001</v>
      </c>
      <c r="D532" s="76">
        <f>267.466</f>
        <v>267.46600000000001</v>
      </c>
      <c r="E532" s="85">
        <f>133.845</f>
        <v>133.845</v>
      </c>
      <c r="F532" s="76">
        <f>278.484-40-25-60-100</f>
        <v>53.48399999999998</v>
      </c>
      <c r="G532" s="79">
        <v>40</v>
      </c>
      <c r="H532" s="76">
        <f t="shared" si="88"/>
        <v>185</v>
      </c>
      <c r="I532" s="76">
        <f t="shared" si="81"/>
        <v>0</v>
      </c>
      <c r="J532" s="79">
        <v>100</v>
      </c>
      <c r="K532" s="79">
        <v>300</v>
      </c>
      <c r="L532" s="76">
        <f t="shared" si="84"/>
        <v>1274</v>
      </c>
      <c r="M532" s="87">
        <v>600</v>
      </c>
      <c r="N532" s="76">
        <f>75</f>
        <v>75</v>
      </c>
      <c r="O532" s="79">
        <v>240</v>
      </c>
      <c r="P532" s="79">
        <v>160</v>
      </c>
      <c r="Q532" s="79">
        <f t="shared" si="85"/>
        <v>195</v>
      </c>
      <c r="R532" s="79">
        <f t="shared" si="86"/>
        <v>100</v>
      </c>
      <c r="S532" s="76">
        <f t="shared" si="87"/>
        <v>695</v>
      </c>
      <c r="T532" s="76">
        <f>50</f>
        <v>50</v>
      </c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</row>
    <row r="533" spans="1:30" ht="15.75" x14ac:dyDescent="0.25">
      <c r="A533" s="32">
        <v>57161</v>
      </c>
      <c r="B533" s="88">
        <v>30</v>
      </c>
      <c r="C533" s="76">
        <f>194.205</f>
        <v>194.20500000000001</v>
      </c>
      <c r="D533" s="76">
        <f>267.466</f>
        <v>267.46600000000001</v>
      </c>
      <c r="E533" s="85">
        <f>133.845</f>
        <v>133.845</v>
      </c>
      <c r="F533" s="76">
        <f>278.484-40-25-60-100</f>
        <v>53.48399999999998</v>
      </c>
      <c r="G533" s="79">
        <v>40</v>
      </c>
      <c r="H533" s="76">
        <f t="shared" si="88"/>
        <v>185</v>
      </c>
      <c r="I533" s="76">
        <f t="shared" si="81"/>
        <v>0</v>
      </c>
      <c r="J533" s="79">
        <v>100</v>
      </c>
      <c r="K533" s="79">
        <v>300</v>
      </c>
      <c r="L533" s="76">
        <f t="shared" si="84"/>
        <v>1274</v>
      </c>
      <c r="M533" s="87">
        <v>600</v>
      </c>
      <c r="N533" s="76">
        <f>30</f>
        <v>30</v>
      </c>
      <c r="O533" s="79">
        <v>240</v>
      </c>
      <c r="P533" s="79">
        <v>160</v>
      </c>
      <c r="Q533" s="79">
        <f t="shared" si="85"/>
        <v>195</v>
      </c>
      <c r="R533" s="79">
        <f t="shared" si="86"/>
        <v>100</v>
      </c>
      <c r="S533" s="76">
        <f t="shared" si="87"/>
        <v>695</v>
      </c>
      <c r="T533" s="76">
        <f>50</f>
        <v>50</v>
      </c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</row>
    <row r="534" spans="1:30" ht="15.75" x14ac:dyDescent="0.25">
      <c r="A534" s="32">
        <v>57192</v>
      </c>
      <c r="B534" s="88">
        <v>31</v>
      </c>
      <c r="C534" s="76">
        <f>194.205</f>
        <v>194.20500000000001</v>
      </c>
      <c r="D534" s="76">
        <f>267.466</f>
        <v>267.46600000000001</v>
      </c>
      <c r="E534" s="85">
        <f>133.845</f>
        <v>133.845</v>
      </c>
      <c r="F534" s="76">
        <f>278.484-40-25-60-100</f>
        <v>53.48399999999998</v>
      </c>
      <c r="G534" s="79">
        <v>40</v>
      </c>
      <c r="H534" s="76">
        <f t="shared" si="88"/>
        <v>185</v>
      </c>
      <c r="I534" s="76">
        <f t="shared" si="81"/>
        <v>0</v>
      </c>
      <c r="J534" s="79">
        <v>100</v>
      </c>
      <c r="K534" s="79">
        <v>300</v>
      </c>
      <c r="L534" s="76">
        <f t="shared" si="84"/>
        <v>1274</v>
      </c>
      <c r="M534" s="87">
        <v>600</v>
      </c>
      <c r="N534" s="76">
        <f>30</f>
        <v>30</v>
      </c>
      <c r="O534" s="79">
        <v>240</v>
      </c>
      <c r="P534" s="79">
        <v>160</v>
      </c>
      <c r="Q534" s="79">
        <f t="shared" si="85"/>
        <v>195</v>
      </c>
      <c r="R534" s="79">
        <f t="shared" si="86"/>
        <v>100</v>
      </c>
      <c r="S534" s="76">
        <f t="shared" si="87"/>
        <v>695</v>
      </c>
      <c r="T534" s="76">
        <f>0</f>
        <v>0</v>
      </c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</row>
    <row r="535" spans="1:30" ht="15.75" x14ac:dyDescent="0.25">
      <c r="A535" s="32">
        <v>57223</v>
      </c>
      <c r="B535" s="88">
        <v>31</v>
      </c>
      <c r="C535" s="76">
        <f>194.205</f>
        <v>194.20500000000001</v>
      </c>
      <c r="D535" s="76">
        <f>267.466</f>
        <v>267.46600000000001</v>
      </c>
      <c r="E535" s="85">
        <f>133.845</f>
        <v>133.845</v>
      </c>
      <c r="F535" s="76">
        <f>278.484-40-25-60-100</f>
        <v>53.48399999999998</v>
      </c>
      <c r="G535" s="79">
        <v>40</v>
      </c>
      <c r="H535" s="76">
        <f t="shared" si="88"/>
        <v>185</v>
      </c>
      <c r="I535" s="76">
        <f t="shared" si="81"/>
        <v>0</v>
      </c>
      <c r="J535" s="79">
        <v>100</v>
      </c>
      <c r="K535" s="79">
        <v>300</v>
      </c>
      <c r="L535" s="76">
        <f t="shared" si="84"/>
        <v>1274</v>
      </c>
      <c r="M535" s="87">
        <v>600</v>
      </c>
      <c r="N535" s="76">
        <f>30</f>
        <v>30</v>
      </c>
      <c r="O535" s="79">
        <v>240</v>
      </c>
      <c r="P535" s="79">
        <v>160</v>
      </c>
      <c r="Q535" s="79">
        <f t="shared" si="85"/>
        <v>195</v>
      </c>
      <c r="R535" s="79">
        <f t="shared" si="86"/>
        <v>100</v>
      </c>
      <c r="S535" s="76">
        <f t="shared" si="87"/>
        <v>695</v>
      </c>
      <c r="T535" s="76">
        <f>0</f>
        <v>0</v>
      </c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</row>
    <row r="536" spans="1:30" ht="15.75" x14ac:dyDescent="0.25">
      <c r="A536" s="32">
        <v>57253</v>
      </c>
      <c r="B536" s="88">
        <v>30</v>
      </c>
      <c r="C536" s="76">
        <f>194.205</f>
        <v>194.20500000000001</v>
      </c>
      <c r="D536" s="76">
        <f>267.466</f>
        <v>267.46600000000001</v>
      </c>
      <c r="E536" s="85">
        <f>133.845</f>
        <v>133.845</v>
      </c>
      <c r="F536" s="76">
        <f>278.484-40-25-60-100</f>
        <v>53.48399999999998</v>
      </c>
      <c r="G536" s="79">
        <v>40</v>
      </c>
      <c r="H536" s="76">
        <f t="shared" si="88"/>
        <v>185</v>
      </c>
      <c r="I536" s="76">
        <f t="shared" si="81"/>
        <v>0</v>
      </c>
      <c r="J536" s="79">
        <v>100</v>
      </c>
      <c r="K536" s="79">
        <v>300</v>
      </c>
      <c r="L536" s="76">
        <f t="shared" si="84"/>
        <v>1274</v>
      </c>
      <c r="M536" s="87">
        <v>600</v>
      </c>
      <c r="N536" s="76">
        <f>30</f>
        <v>30</v>
      </c>
      <c r="O536" s="79">
        <v>240</v>
      </c>
      <c r="P536" s="79">
        <v>160</v>
      </c>
      <c r="Q536" s="79">
        <f t="shared" si="85"/>
        <v>195</v>
      </c>
      <c r="R536" s="79">
        <f t="shared" si="86"/>
        <v>100</v>
      </c>
      <c r="S536" s="76">
        <f t="shared" si="87"/>
        <v>695</v>
      </c>
      <c r="T536" s="76">
        <f>0</f>
        <v>0</v>
      </c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</row>
    <row r="537" spans="1:30" ht="15.75" x14ac:dyDescent="0.25">
      <c r="A537" s="32">
        <v>57284</v>
      </c>
      <c r="B537" s="88">
        <v>31</v>
      </c>
      <c r="C537" s="76">
        <f>131.881</f>
        <v>131.881</v>
      </c>
      <c r="D537" s="76">
        <f>277.167</f>
        <v>277.16699999999997</v>
      </c>
      <c r="E537" s="85">
        <f>79.08</f>
        <v>79.08</v>
      </c>
      <c r="F537" s="76">
        <f>350.872-40-25-60-100</f>
        <v>125.87200000000001</v>
      </c>
      <c r="G537" s="79">
        <v>40</v>
      </c>
      <c r="H537" s="76">
        <f t="shared" si="88"/>
        <v>185</v>
      </c>
      <c r="I537" s="76">
        <f t="shared" si="81"/>
        <v>0</v>
      </c>
      <c r="J537" s="79">
        <v>100</v>
      </c>
      <c r="K537" s="79">
        <v>300</v>
      </c>
      <c r="L537" s="76">
        <f t="shared" si="84"/>
        <v>1239</v>
      </c>
      <c r="M537" s="87">
        <v>600</v>
      </c>
      <c r="N537" s="76">
        <f>75</f>
        <v>75</v>
      </c>
      <c r="O537" s="79">
        <v>240</v>
      </c>
      <c r="P537" s="79">
        <v>160</v>
      </c>
      <c r="Q537" s="79">
        <f t="shared" si="85"/>
        <v>195</v>
      </c>
      <c r="R537" s="79">
        <f t="shared" si="86"/>
        <v>100</v>
      </c>
      <c r="S537" s="76">
        <f t="shared" si="87"/>
        <v>695</v>
      </c>
      <c r="T537" s="76">
        <f>0</f>
        <v>0</v>
      </c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</row>
    <row r="538" spans="1:30" ht="15.75" x14ac:dyDescent="0.25">
      <c r="A538" s="32">
        <v>57314</v>
      </c>
      <c r="B538" s="88">
        <v>30</v>
      </c>
      <c r="C538" s="76">
        <f>122.58</f>
        <v>122.58</v>
      </c>
      <c r="D538" s="76">
        <f>297.941</f>
        <v>297.94099999999997</v>
      </c>
      <c r="E538" s="85">
        <f>89.177</f>
        <v>89.177000000000007</v>
      </c>
      <c r="F538" s="76">
        <f>240.302-40-60-100</f>
        <v>40.301999999999992</v>
      </c>
      <c r="G538" s="79">
        <v>40</v>
      </c>
      <c r="H538" s="76">
        <f>60+100</f>
        <v>160</v>
      </c>
      <c r="I538" s="76">
        <f t="shared" si="81"/>
        <v>0</v>
      </c>
      <c r="J538" s="79">
        <v>100</v>
      </c>
      <c r="K538" s="79">
        <v>300</v>
      </c>
      <c r="L538" s="76">
        <f t="shared" si="84"/>
        <v>1150</v>
      </c>
      <c r="M538" s="87">
        <v>600</v>
      </c>
      <c r="N538" s="76">
        <f>100</f>
        <v>100</v>
      </c>
      <c r="O538" s="79">
        <v>240</v>
      </c>
      <c r="P538" s="79">
        <v>40</v>
      </c>
      <c r="Q538" s="79">
        <f t="shared" si="85"/>
        <v>315</v>
      </c>
      <c r="R538" s="79">
        <f t="shared" si="86"/>
        <v>100</v>
      </c>
      <c r="S538" s="76">
        <f t="shared" si="87"/>
        <v>695</v>
      </c>
      <c r="T538" s="76">
        <f>50</f>
        <v>50</v>
      </c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</row>
    <row r="539" spans="1:30" ht="15.75" x14ac:dyDescent="0.25">
      <c r="A539" s="32">
        <v>57345</v>
      </c>
      <c r="B539" s="88">
        <v>31</v>
      </c>
      <c r="C539" s="76">
        <f>122.58</f>
        <v>122.58</v>
      </c>
      <c r="D539" s="76">
        <f>297.941</f>
        <v>297.94099999999997</v>
      </c>
      <c r="E539" s="85">
        <f>89.177</f>
        <v>89.177000000000007</v>
      </c>
      <c r="F539" s="76">
        <f>240.302-40-60-100</f>
        <v>40.301999999999992</v>
      </c>
      <c r="G539" s="79">
        <v>40</v>
      </c>
      <c r="H539" s="76">
        <f>60+100</f>
        <v>160</v>
      </c>
      <c r="I539" s="76">
        <f t="shared" si="81"/>
        <v>0</v>
      </c>
      <c r="J539" s="79">
        <v>100</v>
      </c>
      <c r="K539" s="79">
        <v>300</v>
      </c>
      <c r="L539" s="76">
        <f t="shared" si="84"/>
        <v>1150</v>
      </c>
      <c r="M539" s="87">
        <v>600</v>
      </c>
      <c r="N539" s="76">
        <f>100</f>
        <v>100</v>
      </c>
      <c r="O539" s="79">
        <v>240</v>
      </c>
      <c r="P539" s="79">
        <v>40</v>
      </c>
      <c r="Q539" s="79">
        <f t="shared" si="85"/>
        <v>315</v>
      </c>
      <c r="R539" s="79">
        <f t="shared" si="86"/>
        <v>100</v>
      </c>
      <c r="S539" s="76">
        <f t="shared" si="87"/>
        <v>695</v>
      </c>
      <c r="T539" s="76">
        <f>50</f>
        <v>50</v>
      </c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</row>
    <row r="540" spans="1:30" ht="15.75" x14ac:dyDescent="0.25">
      <c r="A540" s="32">
        <v>57376</v>
      </c>
      <c r="B540" s="88">
        <v>31</v>
      </c>
      <c r="C540" s="76">
        <f>122.58</f>
        <v>122.58</v>
      </c>
      <c r="D540" s="76">
        <f>297.941</f>
        <v>297.94099999999997</v>
      </c>
      <c r="E540" s="85">
        <f>89.177</f>
        <v>89.177000000000007</v>
      </c>
      <c r="F540" s="76">
        <f>240.302-40-60-100</f>
        <v>40.301999999999992</v>
      </c>
      <c r="G540" s="79">
        <v>40</v>
      </c>
      <c r="H540" s="76">
        <f>60+100</f>
        <v>160</v>
      </c>
      <c r="I540" s="76">
        <f t="shared" si="81"/>
        <v>0</v>
      </c>
      <c r="J540" s="79">
        <v>100</v>
      </c>
      <c r="K540" s="79">
        <v>300</v>
      </c>
      <c r="L540" s="76">
        <f t="shared" si="84"/>
        <v>1150</v>
      </c>
      <c r="M540" s="87">
        <v>600</v>
      </c>
      <c r="N540" s="76">
        <f>100</f>
        <v>100</v>
      </c>
      <c r="O540" s="79">
        <v>240</v>
      </c>
      <c r="P540" s="79">
        <v>40</v>
      </c>
      <c r="Q540" s="79">
        <f t="shared" si="85"/>
        <v>315</v>
      </c>
      <c r="R540" s="79">
        <f t="shared" si="86"/>
        <v>100</v>
      </c>
      <c r="S540" s="76">
        <f t="shared" si="87"/>
        <v>695</v>
      </c>
      <c r="T540" s="76">
        <f>50</f>
        <v>50</v>
      </c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</row>
    <row r="541" spans="1:30" ht="15.75" x14ac:dyDescent="0.25">
      <c r="A541" s="32">
        <v>57404</v>
      </c>
      <c r="B541" s="88">
        <v>28</v>
      </c>
      <c r="C541" s="76">
        <f>122.58</f>
        <v>122.58</v>
      </c>
      <c r="D541" s="76">
        <f>297.941</f>
        <v>297.94099999999997</v>
      </c>
      <c r="E541" s="85">
        <f>89.177</f>
        <v>89.177000000000007</v>
      </c>
      <c r="F541" s="76">
        <f>240.302-40-60-100</f>
        <v>40.301999999999992</v>
      </c>
      <c r="G541" s="79">
        <v>40</v>
      </c>
      <c r="H541" s="76">
        <f>60+100</f>
        <v>160</v>
      </c>
      <c r="I541" s="76">
        <f t="shared" si="81"/>
        <v>0</v>
      </c>
      <c r="J541" s="79">
        <v>100</v>
      </c>
      <c r="K541" s="79">
        <v>300</v>
      </c>
      <c r="L541" s="76">
        <f t="shared" si="84"/>
        <v>1150</v>
      </c>
      <c r="M541" s="87">
        <v>600</v>
      </c>
      <c r="N541" s="76">
        <f>100</f>
        <v>100</v>
      </c>
      <c r="O541" s="79">
        <v>240</v>
      </c>
      <c r="P541" s="79">
        <v>40</v>
      </c>
      <c r="Q541" s="79">
        <f t="shared" si="85"/>
        <v>315</v>
      </c>
      <c r="R541" s="79">
        <f t="shared" si="86"/>
        <v>100</v>
      </c>
      <c r="S541" s="76">
        <f t="shared" si="87"/>
        <v>695</v>
      </c>
      <c r="T541" s="76">
        <f>50</f>
        <v>50</v>
      </c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</row>
    <row r="542" spans="1:30" ht="15.75" x14ac:dyDescent="0.25">
      <c r="A542" s="32">
        <v>57435</v>
      </c>
      <c r="B542" s="88">
        <v>31</v>
      </c>
      <c r="C542" s="76">
        <f>122.58</f>
        <v>122.58</v>
      </c>
      <c r="D542" s="76">
        <f>297.941</f>
        <v>297.94099999999997</v>
      </c>
      <c r="E542" s="85">
        <f>89.177</f>
        <v>89.177000000000007</v>
      </c>
      <c r="F542" s="76">
        <f>240.302-40-60-100</f>
        <v>40.301999999999992</v>
      </c>
      <c r="G542" s="79">
        <v>40</v>
      </c>
      <c r="H542" s="76">
        <f>60+100</f>
        <v>160</v>
      </c>
      <c r="I542" s="76">
        <f t="shared" si="81"/>
        <v>0</v>
      </c>
      <c r="J542" s="79">
        <v>100</v>
      </c>
      <c r="K542" s="79">
        <v>300</v>
      </c>
      <c r="L542" s="76">
        <f t="shared" si="84"/>
        <v>1150</v>
      </c>
      <c r="M542" s="87">
        <v>600</v>
      </c>
      <c r="N542" s="76">
        <f>100</f>
        <v>100</v>
      </c>
      <c r="O542" s="79">
        <v>240</v>
      </c>
      <c r="P542" s="79">
        <v>40</v>
      </c>
      <c r="Q542" s="79">
        <f t="shared" si="85"/>
        <v>315</v>
      </c>
      <c r="R542" s="79">
        <f t="shared" si="86"/>
        <v>100</v>
      </c>
      <c r="S542" s="76">
        <f t="shared" si="87"/>
        <v>695</v>
      </c>
      <c r="T542" s="76">
        <f>50</f>
        <v>50</v>
      </c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</row>
    <row r="543" spans="1:30" ht="15.75" x14ac:dyDescent="0.25">
      <c r="A543" s="32">
        <v>57465</v>
      </c>
      <c r="B543" s="88">
        <v>30</v>
      </c>
      <c r="C543" s="76">
        <f>141.293</f>
        <v>141.29300000000001</v>
      </c>
      <c r="D543" s="76">
        <f>267.993</f>
        <v>267.99299999999999</v>
      </c>
      <c r="E543" s="85">
        <f>115.016</f>
        <v>115.01600000000001</v>
      </c>
      <c r="F543" s="76">
        <f>314.698-40-25-60-100</f>
        <v>89.697999999999979</v>
      </c>
      <c r="G543" s="79">
        <v>40</v>
      </c>
      <c r="H543" s="76">
        <f t="shared" ref="H543:H549" si="89">25+60+100</f>
        <v>185</v>
      </c>
      <c r="I543" s="76">
        <f t="shared" si="81"/>
        <v>0</v>
      </c>
      <c r="J543" s="79">
        <v>100</v>
      </c>
      <c r="K543" s="79">
        <v>300</v>
      </c>
      <c r="L543" s="76">
        <f t="shared" si="84"/>
        <v>1239</v>
      </c>
      <c r="M543" s="87">
        <v>600</v>
      </c>
      <c r="N543" s="76">
        <f>100</f>
        <v>100</v>
      </c>
      <c r="O543" s="79">
        <v>240</v>
      </c>
      <c r="P543" s="79">
        <v>160</v>
      </c>
      <c r="Q543" s="79">
        <f t="shared" si="85"/>
        <v>195</v>
      </c>
      <c r="R543" s="79">
        <f t="shared" si="86"/>
        <v>100</v>
      </c>
      <c r="S543" s="76">
        <f t="shared" si="87"/>
        <v>695</v>
      </c>
      <c r="T543" s="76">
        <f>50</f>
        <v>50</v>
      </c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</row>
    <row r="544" spans="1:30" ht="15.75" x14ac:dyDescent="0.25">
      <c r="A544" s="32">
        <v>57496</v>
      </c>
      <c r="B544" s="88">
        <v>31</v>
      </c>
      <c r="C544" s="76">
        <f>194.205</f>
        <v>194.20500000000001</v>
      </c>
      <c r="D544" s="76">
        <f>267.466</f>
        <v>267.46600000000001</v>
      </c>
      <c r="E544" s="85">
        <f>133.845</f>
        <v>133.845</v>
      </c>
      <c r="F544" s="76">
        <f>278.484-40-25-60-100</f>
        <v>53.48399999999998</v>
      </c>
      <c r="G544" s="79">
        <v>40</v>
      </c>
      <c r="H544" s="76">
        <f t="shared" si="89"/>
        <v>185</v>
      </c>
      <c r="I544" s="76">
        <f t="shared" si="81"/>
        <v>0</v>
      </c>
      <c r="J544" s="79">
        <v>100</v>
      </c>
      <c r="K544" s="79">
        <v>300</v>
      </c>
      <c r="L544" s="76">
        <f t="shared" si="84"/>
        <v>1274</v>
      </c>
      <c r="M544" s="87">
        <v>600</v>
      </c>
      <c r="N544" s="76">
        <f>75</f>
        <v>75</v>
      </c>
      <c r="O544" s="79">
        <v>240</v>
      </c>
      <c r="P544" s="79">
        <v>160</v>
      </c>
      <c r="Q544" s="79">
        <f t="shared" si="85"/>
        <v>195</v>
      </c>
      <c r="R544" s="79">
        <f t="shared" si="86"/>
        <v>100</v>
      </c>
      <c r="S544" s="76">
        <f t="shared" si="87"/>
        <v>695</v>
      </c>
      <c r="T544" s="76">
        <f>50</f>
        <v>50</v>
      </c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</row>
    <row r="545" spans="1:30" ht="15.75" x14ac:dyDescent="0.25">
      <c r="A545" s="32">
        <v>57526</v>
      </c>
      <c r="B545" s="88">
        <v>30</v>
      </c>
      <c r="C545" s="76">
        <f>194.205</f>
        <v>194.20500000000001</v>
      </c>
      <c r="D545" s="76">
        <f>267.466</f>
        <v>267.46600000000001</v>
      </c>
      <c r="E545" s="85">
        <f>133.845</f>
        <v>133.845</v>
      </c>
      <c r="F545" s="76">
        <f>278.484-40-25-60-100</f>
        <v>53.48399999999998</v>
      </c>
      <c r="G545" s="79">
        <v>40</v>
      </c>
      <c r="H545" s="76">
        <f t="shared" si="89"/>
        <v>185</v>
      </c>
      <c r="I545" s="76">
        <f t="shared" si="81"/>
        <v>0</v>
      </c>
      <c r="J545" s="79">
        <v>100</v>
      </c>
      <c r="K545" s="79">
        <v>300</v>
      </c>
      <c r="L545" s="76">
        <f t="shared" si="84"/>
        <v>1274</v>
      </c>
      <c r="M545" s="87">
        <v>600</v>
      </c>
      <c r="N545" s="76">
        <f>30</f>
        <v>30</v>
      </c>
      <c r="O545" s="79">
        <v>240</v>
      </c>
      <c r="P545" s="79">
        <v>160</v>
      </c>
      <c r="Q545" s="79">
        <f t="shared" si="85"/>
        <v>195</v>
      </c>
      <c r="R545" s="79">
        <f t="shared" si="86"/>
        <v>100</v>
      </c>
      <c r="S545" s="76">
        <f t="shared" si="87"/>
        <v>695</v>
      </c>
      <c r="T545" s="76">
        <f>50</f>
        <v>50</v>
      </c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</row>
    <row r="546" spans="1:30" ht="15.75" x14ac:dyDescent="0.25">
      <c r="A546" s="32">
        <v>57557</v>
      </c>
      <c r="B546" s="88">
        <v>31</v>
      </c>
      <c r="C546" s="76">
        <f>194.205</f>
        <v>194.20500000000001</v>
      </c>
      <c r="D546" s="76">
        <f>267.466</f>
        <v>267.46600000000001</v>
      </c>
      <c r="E546" s="85">
        <f>133.845</f>
        <v>133.845</v>
      </c>
      <c r="F546" s="76">
        <f>278.484-40-25-60-100</f>
        <v>53.48399999999998</v>
      </c>
      <c r="G546" s="79">
        <v>40</v>
      </c>
      <c r="H546" s="76">
        <f t="shared" si="89"/>
        <v>185</v>
      </c>
      <c r="I546" s="76">
        <f t="shared" si="81"/>
        <v>0</v>
      </c>
      <c r="J546" s="79">
        <v>100</v>
      </c>
      <c r="K546" s="79">
        <v>300</v>
      </c>
      <c r="L546" s="76">
        <f t="shared" si="84"/>
        <v>1274</v>
      </c>
      <c r="M546" s="87">
        <v>600</v>
      </c>
      <c r="N546" s="76">
        <f>30</f>
        <v>30</v>
      </c>
      <c r="O546" s="79">
        <v>240</v>
      </c>
      <c r="P546" s="79">
        <v>160</v>
      </c>
      <c r="Q546" s="79">
        <f t="shared" si="85"/>
        <v>195</v>
      </c>
      <c r="R546" s="79">
        <f t="shared" si="86"/>
        <v>100</v>
      </c>
      <c r="S546" s="76">
        <f t="shared" si="87"/>
        <v>695</v>
      </c>
      <c r="T546" s="76">
        <f>0</f>
        <v>0</v>
      </c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</row>
    <row r="547" spans="1:30" ht="15.75" x14ac:dyDescent="0.25">
      <c r="A547" s="32">
        <v>57588</v>
      </c>
      <c r="B547" s="88">
        <v>31</v>
      </c>
      <c r="C547" s="76">
        <f>194.205</f>
        <v>194.20500000000001</v>
      </c>
      <c r="D547" s="76">
        <f>267.466</f>
        <v>267.46600000000001</v>
      </c>
      <c r="E547" s="85">
        <f>133.845</f>
        <v>133.845</v>
      </c>
      <c r="F547" s="76">
        <f>278.484-40-25-60-100</f>
        <v>53.48399999999998</v>
      </c>
      <c r="G547" s="79">
        <v>40</v>
      </c>
      <c r="H547" s="76">
        <f t="shared" si="89"/>
        <v>185</v>
      </c>
      <c r="I547" s="76">
        <f t="shared" si="81"/>
        <v>0</v>
      </c>
      <c r="J547" s="79">
        <v>100</v>
      </c>
      <c r="K547" s="79">
        <v>300</v>
      </c>
      <c r="L547" s="76">
        <f t="shared" si="84"/>
        <v>1274</v>
      </c>
      <c r="M547" s="87">
        <v>600</v>
      </c>
      <c r="N547" s="76">
        <f>30</f>
        <v>30</v>
      </c>
      <c r="O547" s="79">
        <v>240</v>
      </c>
      <c r="P547" s="79">
        <v>160</v>
      </c>
      <c r="Q547" s="79">
        <f t="shared" si="85"/>
        <v>195</v>
      </c>
      <c r="R547" s="79">
        <f t="shared" si="86"/>
        <v>100</v>
      </c>
      <c r="S547" s="76">
        <f t="shared" si="87"/>
        <v>695</v>
      </c>
      <c r="T547" s="76">
        <f>0</f>
        <v>0</v>
      </c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</row>
    <row r="548" spans="1:30" ht="15.75" x14ac:dyDescent="0.25">
      <c r="A548" s="32">
        <v>57618</v>
      </c>
      <c r="B548" s="88">
        <v>30</v>
      </c>
      <c r="C548" s="76">
        <f>194.205</f>
        <v>194.20500000000001</v>
      </c>
      <c r="D548" s="76">
        <f>267.466</f>
        <v>267.46600000000001</v>
      </c>
      <c r="E548" s="85">
        <f>133.845</f>
        <v>133.845</v>
      </c>
      <c r="F548" s="76">
        <f>278.484-40-25-60-100</f>
        <v>53.48399999999998</v>
      </c>
      <c r="G548" s="79">
        <v>40</v>
      </c>
      <c r="H548" s="76">
        <f t="shared" si="89"/>
        <v>185</v>
      </c>
      <c r="I548" s="76">
        <f t="shared" si="81"/>
        <v>0</v>
      </c>
      <c r="J548" s="79">
        <v>100</v>
      </c>
      <c r="K548" s="79">
        <v>300</v>
      </c>
      <c r="L548" s="76">
        <f t="shared" si="84"/>
        <v>1274</v>
      </c>
      <c r="M548" s="87">
        <v>600</v>
      </c>
      <c r="N548" s="76">
        <f>30</f>
        <v>30</v>
      </c>
      <c r="O548" s="79">
        <v>240</v>
      </c>
      <c r="P548" s="79">
        <v>160</v>
      </c>
      <c r="Q548" s="79">
        <f t="shared" si="85"/>
        <v>195</v>
      </c>
      <c r="R548" s="79">
        <f t="shared" si="86"/>
        <v>100</v>
      </c>
      <c r="S548" s="76">
        <f t="shared" si="87"/>
        <v>695</v>
      </c>
      <c r="T548" s="76">
        <f>0</f>
        <v>0</v>
      </c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</row>
    <row r="549" spans="1:30" ht="15.75" x14ac:dyDescent="0.25">
      <c r="A549" s="32">
        <v>57649</v>
      </c>
      <c r="B549" s="88">
        <v>31</v>
      </c>
      <c r="C549" s="76">
        <f>131.881</f>
        <v>131.881</v>
      </c>
      <c r="D549" s="76">
        <f>277.167</f>
        <v>277.16699999999997</v>
      </c>
      <c r="E549" s="85">
        <f>79.08</f>
        <v>79.08</v>
      </c>
      <c r="F549" s="76">
        <f>350.872-40-25-60-100</f>
        <v>125.87200000000001</v>
      </c>
      <c r="G549" s="79">
        <v>40</v>
      </c>
      <c r="H549" s="76">
        <f t="shared" si="89"/>
        <v>185</v>
      </c>
      <c r="I549" s="76">
        <f t="shared" si="81"/>
        <v>0</v>
      </c>
      <c r="J549" s="79">
        <v>100</v>
      </c>
      <c r="K549" s="79">
        <v>300</v>
      </c>
      <c r="L549" s="76">
        <f t="shared" si="84"/>
        <v>1239</v>
      </c>
      <c r="M549" s="87">
        <v>600</v>
      </c>
      <c r="N549" s="76">
        <f>75</f>
        <v>75</v>
      </c>
      <c r="O549" s="79">
        <v>240</v>
      </c>
      <c r="P549" s="79">
        <v>160</v>
      </c>
      <c r="Q549" s="79">
        <f t="shared" si="85"/>
        <v>195</v>
      </c>
      <c r="R549" s="79">
        <f t="shared" si="86"/>
        <v>100</v>
      </c>
      <c r="S549" s="76">
        <f t="shared" si="87"/>
        <v>695</v>
      </c>
      <c r="T549" s="76">
        <f>0</f>
        <v>0</v>
      </c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</row>
    <row r="550" spans="1:30" ht="15.75" x14ac:dyDescent="0.25">
      <c r="A550" s="32">
        <v>57679</v>
      </c>
      <c r="B550" s="88">
        <v>30</v>
      </c>
      <c r="C550" s="76">
        <f>122.58</f>
        <v>122.58</v>
      </c>
      <c r="D550" s="76">
        <f>297.941</f>
        <v>297.94099999999997</v>
      </c>
      <c r="E550" s="85">
        <f>89.177</f>
        <v>89.177000000000007</v>
      </c>
      <c r="F550" s="76">
        <f>240.302-40-60-100</f>
        <v>40.301999999999992</v>
      </c>
      <c r="G550" s="79">
        <v>40</v>
      </c>
      <c r="H550" s="76">
        <f>60+100</f>
        <v>160</v>
      </c>
      <c r="I550" s="76">
        <f t="shared" si="81"/>
        <v>0</v>
      </c>
      <c r="J550" s="79">
        <v>100</v>
      </c>
      <c r="K550" s="79">
        <v>300</v>
      </c>
      <c r="L550" s="76">
        <f t="shared" si="84"/>
        <v>1150</v>
      </c>
      <c r="M550" s="87">
        <v>600</v>
      </c>
      <c r="N550" s="76">
        <f>100</f>
        <v>100</v>
      </c>
      <c r="O550" s="79">
        <v>240</v>
      </c>
      <c r="P550" s="79">
        <v>40</v>
      </c>
      <c r="Q550" s="79">
        <f t="shared" si="85"/>
        <v>315</v>
      </c>
      <c r="R550" s="79">
        <f t="shared" si="86"/>
        <v>100</v>
      </c>
      <c r="S550" s="76">
        <f t="shared" si="87"/>
        <v>695</v>
      </c>
      <c r="T550" s="76">
        <f>50</f>
        <v>50</v>
      </c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</row>
    <row r="551" spans="1:30" ht="15.75" x14ac:dyDescent="0.25">
      <c r="A551" s="32">
        <v>57710</v>
      </c>
      <c r="B551" s="88">
        <v>31</v>
      </c>
      <c r="C551" s="76">
        <f>122.58</f>
        <v>122.58</v>
      </c>
      <c r="D551" s="76">
        <f>297.941</f>
        <v>297.94099999999997</v>
      </c>
      <c r="E551" s="85">
        <f>89.177</f>
        <v>89.177000000000007</v>
      </c>
      <c r="F551" s="76">
        <f>240.302-40-60-100</f>
        <v>40.301999999999992</v>
      </c>
      <c r="G551" s="79">
        <v>40</v>
      </c>
      <c r="H551" s="76">
        <f>60+100</f>
        <v>160</v>
      </c>
      <c r="I551" s="76">
        <f t="shared" si="81"/>
        <v>0</v>
      </c>
      <c r="J551" s="79">
        <v>100</v>
      </c>
      <c r="K551" s="79">
        <v>300</v>
      </c>
      <c r="L551" s="76">
        <f t="shared" si="84"/>
        <v>1150</v>
      </c>
      <c r="M551" s="87">
        <v>600</v>
      </c>
      <c r="N551" s="76">
        <f>100</f>
        <v>100</v>
      </c>
      <c r="O551" s="79">
        <v>240</v>
      </c>
      <c r="P551" s="79">
        <v>40</v>
      </c>
      <c r="Q551" s="79">
        <f t="shared" si="85"/>
        <v>315</v>
      </c>
      <c r="R551" s="79">
        <f t="shared" si="86"/>
        <v>100</v>
      </c>
      <c r="S551" s="76">
        <f t="shared" si="87"/>
        <v>695</v>
      </c>
      <c r="T551" s="76">
        <f>50</f>
        <v>50</v>
      </c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</row>
    <row r="552" spans="1:30" ht="15.75" x14ac:dyDescent="0.25">
      <c r="A552" s="32">
        <v>57741</v>
      </c>
      <c r="B552" s="88">
        <v>31</v>
      </c>
      <c r="C552" s="76">
        <f>122.58</f>
        <v>122.58</v>
      </c>
      <c r="D552" s="76">
        <f>297.941</f>
        <v>297.94099999999997</v>
      </c>
      <c r="E552" s="85">
        <f>89.177</f>
        <v>89.177000000000007</v>
      </c>
      <c r="F552" s="76">
        <f>240.302-40-60-100</f>
        <v>40.301999999999992</v>
      </c>
      <c r="G552" s="79">
        <v>40</v>
      </c>
      <c r="H552" s="76">
        <f>60+100</f>
        <v>160</v>
      </c>
      <c r="I552" s="76">
        <f t="shared" si="81"/>
        <v>0</v>
      </c>
      <c r="J552" s="79">
        <v>100</v>
      </c>
      <c r="K552" s="79">
        <v>300</v>
      </c>
      <c r="L552" s="76">
        <f t="shared" si="84"/>
        <v>1150</v>
      </c>
      <c r="M552" s="87">
        <v>600</v>
      </c>
      <c r="N552" s="76">
        <f>100</f>
        <v>100</v>
      </c>
      <c r="O552" s="79">
        <v>240</v>
      </c>
      <c r="P552" s="79">
        <v>40</v>
      </c>
      <c r="Q552" s="79">
        <f t="shared" si="85"/>
        <v>315</v>
      </c>
      <c r="R552" s="79">
        <f t="shared" si="86"/>
        <v>100</v>
      </c>
      <c r="S552" s="76">
        <f t="shared" si="87"/>
        <v>695</v>
      </c>
      <c r="T552" s="76">
        <f>50</f>
        <v>50</v>
      </c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</row>
    <row r="553" spans="1:30" ht="15.75" x14ac:dyDescent="0.25">
      <c r="A553" s="32">
        <v>57769</v>
      </c>
      <c r="B553" s="88">
        <v>28</v>
      </c>
      <c r="C553" s="76">
        <f>122.58</f>
        <v>122.58</v>
      </c>
      <c r="D553" s="76">
        <f>297.941</f>
        <v>297.94099999999997</v>
      </c>
      <c r="E553" s="85">
        <f>89.177</f>
        <v>89.177000000000007</v>
      </c>
      <c r="F553" s="76">
        <f>240.302-40-60-100</f>
        <v>40.301999999999992</v>
      </c>
      <c r="G553" s="79">
        <v>40</v>
      </c>
      <c r="H553" s="76">
        <f>60+100</f>
        <v>160</v>
      </c>
      <c r="I553" s="76">
        <f t="shared" si="81"/>
        <v>0</v>
      </c>
      <c r="J553" s="79">
        <v>100</v>
      </c>
      <c r="K553" s="79">
        <v>300</v>
      </c>
      <c r="L553" s="76">
        <f t="shared" si="84"/>
        <v>1150</v>
      </c>
      <c r="M553" s="87">
        <v>600</v>
      </c>
      <c r="N553" s="76">
        <f>100</f>
        <v>100</v>
      </c>
      <c r="O553" s="79">
        <v>240</v>
      </c>
      <c r="P553" s="79">
        <v>40</v>
      </c>
      <c r="Q553" s="79">
        <f t="shared" si="85"/>
        <v>315</v>
      </c>
      <c r="R553" s="79">
        <f t="shared" si="86"/>
        <v>100</v>
      </c>
      <c r="S553" s="76">
        <f t="shared" si="87"/>
        <v>695</v>
      </c>
      <c r="T553" s="76">
        <f>50</f>
        <v>50</v>
      </c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</row>
    <row r="554" spans="1:30" ht="15.75" x14ac:dyDescent="0.25">
      <c r="A554" s="32">
        <v>57800</v>
      </c>
      <c r="B554" s="88">
        <v>31</v>
      </c>
      <c r="C554" s="76">
        <f>122.58</f>
        <v>122.58</v>
      </c>
      <c r="D554" s="76">
        <f>297.941</f>
        <v>297.94099999999997</v>
      </c>
      <c r="E554" s="85">
        <f>89.177</f>
        <v>89.177000000000007</v>
      </c>
      <c r="F554" s="76">
        <f>240.302-40-60-100</f>
        <v>40.301999999999992</v>
      </c>
      <c r="G554" s="79">
        <v>40</v>
      </c>
      <c r="H554" s="76">
        <f>60+100</f>
        <v>160</v>
      </c>
      <c r="I554" s="76">
        <f t="shared" si="81"/>
        <v>0</v>
      </c>
      <c r="J554" s="79">
        <v>100</v>
      </c>
      <c r="K554" s="79">
        <v>300</v>
      </c>
      <c r="L554" s="76">
        <f t="shared" si="84"/>
        <v>1150</v>
      </c>
      <c r="M554" s="87">
        <v>600</v>
      </c>
      <c r="N554" s="76">
        <f>100</f>
        <v>100</v>
      </c>
      <c r="O554" s="79">
        <v>240</v>
      </c>
      <c r="P554" s="79">
        <v>40</v>
      </c>
      <c r="Q554" s="79">
        <f t="shared" si="85"/>
        <v>315</v>
      </c>
      <c r="R554" s="79">
        <f t="shared" si="86"/>
        <v>100</v>
      </c>
      <c r="S554" s="76">
        <f t="shared" si="87"/>
        <v>695</v>
      </c>
      <c r="T554" s="76">
        <f>50</f>
        <v>50</v>
      </c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</row>
    <row r="555" spans="1:30" ht="15.75" x14ac:dyDescent="0.25">
      <c r="A555" s="32">
        <v>57830</v>
      </c>
      <c r="B555" s="88">
        <v>30</v>
      </c>
      <c r="C555" s="76">
        <f>141.293</f>
        <v>141.29300000000001</v>
      </c>
      <c r="D555" s="76">
        <f>267.993</f>
        <v>267.99299999999999</v>
      </c>
      <c r="E555" s="85">
        <f>115.016</f>
        <v>115.01600000000001</v>
      </c>
      <c r="F555" s="76">
        <f>314.698-40-25-60-100</f>
        <v>89.697999999999979</v>
      </c>
      <c r="G555" s="79">
        <v>40</v>
      </c>
      <c r="H555" s="76">
        <f t="shared" ref="H555:H561" si="90">25+60+100</f>
        <v>185</v>
      </c>
      <c r="I555" s="76">
        <f t="shared" si="81"/>
        <v>0</v>
      </c>
      <c r="J555" s="79">
        <v>100</v>
      </c>
      <c r="K555" s="79">
        <v>300</v>
      </c>
      <c r="L555" s="76">
        <f t="shared" si="84"/>
        <v>1239</v>
      </c>
      <c r="M555" s="87">
        <v>600</v>
      </c>
      <c r="N555" s="76">
        <f>100</f>
        <v>100</v>
      </c>
      <c r="O555" s="79">
        <v>240</v>
      </c>
      <c r="P555" s="79">
        <v>160</v>
      </c>
      <c r="Q555" s="79">
        <f t="shared" si="85"/>
        <v>195</v>
      </c>
      <c r="R555" s="79">
        <f t="shared" si="86"/>
        <v>100</v>
      </c>
      <c r="S555" s="76">
        <f t="shared" si="87"/>
        <v>695</v>
      </c>
      <c r="T555" s="76">
        <f>50</f>
        <v>50</v>
      </c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</row>
    <row r="556" spans="1:30" ht="15.75" x14ac:dyDescent="0.25">
      <c r="A556" s="32">
        <v>57861</v>
      </c>
      <c r="B556" s="88">
        <v>31</v>
      </c>
      <c r="C556" s="76">
        <f>194.205</f>
        <v>194.20500000000001</v>
      </c>
      <c r="D556" s="76">
        <f>267.466</f>
        <v>267.46600000000001</v>
      </c>
      <c r="E556" s="85">
        <f>133.845</f>
        <v>133.845</v>
      </c>
      <c r="F556" s="76">
        <f>278.484-40-25-60-100</f>
        <v>53.48399999999998</v>
      </c>
      <c r="G556" s="79">
        <v>40</v>
      </c>
      <c r="H556" s="76">
        <f t="shared" si="90"/>
        <v>185</v>
      </c>
      <c r="I556" s="76">
        <f t="shared" si="81"/>
        <v>0</v>
      </c>
      <c r="J556" s="79">
        <v>100</v>
      </c>
      <c r="K556" s="79">
        <v>300</v>
      </c>
      <c r="L556" s="76">
        <f t="shared" si="84"/>
        <v>1274</v>
      </c>
      <c r="M556" s="87">
        <v>600</v>
      </c>
      <c r="N556" s="76">
        <f>75</f>
        <v>75</v>
      </c>
      <c r="O556" s="79">
        <v>240</v>
      </c>
      <c r="P556" s="79">
        <v>160</v>
      </c>
      <c r="Q556" s="79">
        <f t="shared" si="85"/>
        <v>195</v>
      </c>
      <c r="R556" s="79">
        <f t="shared" si="86"/>
        <v>100</v>
      </c>
      <c r="S556" s="76">
        <f t="shared" si="87"/>
        <v>695</v>
      </c>
      <c r="T556" s="76">
        <f>50</f>
        <v>50</v>
      </c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</row>
    <row r="557" spans="1:30" ht="15.75" x14ac:dyDescent="0.25">
      <c r="A557" s="32">
        <v>57891</v>
      </c>
      <c r="B557" s="88">
        <v>30</v>
      </c>
      <c r="C557" s="76">
        <f>194.205</f>
        <v>194.20500000000001</v>
      </c>
      <c r="D557" s="76">
        <f>267.466</f>
        <v>267.46600000000001</v>
      </c>
      <c r="E557" s="85">
        <f>133.845</f>
        <v>133.845</v>
      </c>
      <c r="F557" s="76">
        <f>278.484-40-25-60-100</f>
        <v>53.48399999999998</v>
      </c>
      <c r="G557" s="79">
        <v>40</v>
      </c>
      <c r="H557" s="76">
        <f t="shared" si="90"/>
        <v>185</v>
      </c>
      <c r="I557" s="76">
        <f t="shared" si="81"/>
        <v>0</v>
      </c>
      <c r="J557" s="79">
        <v>100</v>
      </c>
      <c r="K557" s="79">
        <v>300</v>
      </c>
      <c r="L557" s="76">
        <f t="shared" si="84"/>
        <v>1274</v>
      </c>
      <c r="M557" s="87">
        <v>600</v>
      </c>
      <c r="N557" s="76">
        <f>30</f>
        <v>30</v>
      </c>
      <c r="O557" s="79">
        <v>240</v>
      </c>
      <c r="P557" s="79">
        <v>160</v>
      </c>
      <c r="Q557" s="79">
        <f t="shared" si="85"/>
        <v>195</v>
      </c>
      <c r="R557" s="79">
        <f t="shared" si="86"/>
        <v>100</v>
      </c>
      <c r="S557" s="76">
        <f t="shared" si="87"/>
        <v>695</v>
      </c>
      <c r="T557" s="76">
        <f>50</f>
        <v>50</v>
      </c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</row>
    <row r="558" spans="1:30" ht="15.75" x14ac:dyDescent="0.25">
      <c r="A558" s="32">
        <v>57922</v>
      </c>
      <c r="B558" s="88">
        <v>31</v>
      </c>
      <c r="C558" s="76">
        <f>194.205</f>
        <v>194.20500000000001</v>
      </c>
      <c r="D558" s="76">
        <f>267.466</f>
        <v>267.46600000000001</v>
      </c>
      <c r="E558" s="85">
        <f>133.845</f>
        <v>133.845</v>
      </c>
      <c r="F558" s="76">
        <f>278.484-40-25-60-100</f>
        <v>53.48399999999998</v>
      </c>
      <c r="G558" s="79">
        <v>40</v>
      </c>
      <c r="H558" s="76">
        <f t="shared" si="90"/>
        <v>185</v>
      </c>
      <c r="I558" s="76">
        <f t="shared" si="81"/>
        <v>0</v>
      </c>
      <c r="J558" s="79">
        <v>100</v>
      </c>
      <c r="K558" s="79">
        <v>300</v>
      </c>
      <c r="L558" s="76">
        <f t="shared" si="84"/>
        <v>1274</v>
      </c>
      <c r="M558" s="87">
        <v>600</v>
      </c>
      <c r="N558" s="76">
        <f>30</f>
        <v>30</v>
      </c>
      <c r="O558" s="79">
        <v>240</v>
      </c>
      <c r="P558" s="79">
        <v>160</v>
      </c>
      <c r="Q558" s="79">
        <f t="shared" si="85"/>
        <v>195</v>
      </c>
      <c r="R558" s="79">
        <f t="shared" si="86"/>
        <v>100</v>
      </c>
      <c r="S558" s="76">
        <f t="shared" si="87"/>
        <v>695</v>
      </c>
      <c r="T558" s="76">
        <f>0</f>
        <v>0</v>
      </c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</row>
    <row r="559" spans="1:30" ht="15.75" x14ac:dyDescent="0.25">
      <c r="A559" s="32">
        <v>57953</v>
      </c>
      <c r="B559" s="88">
        <v>31</v>
      </c>
      <c r="C559" s="76">
        <f>194.205</f>
        <v>194.20500000000001</v>
      </c>
      <c r="D559" s="76">
        <f>267.466</f>
        <v>267.46600000000001</v>
      </c>
      <c r="E559" s="85">
        <f>133.845</f>
        <v>133.845</v>
      </c>
      <c r="F559" s="76">
        <f>278.484-40-25-60-100</f>
        <v>53.48399999999998</v>
      </c>
      <c r="G559" s="79">
        <v>40</v>
      </c>
      <c r="H559" s="76">
        <f t="shared" si="90"/>
        <v>185</v>
      </c>
      <c r="I559" s="76">
        <f t="shared" si="81"/>
        <v>0</v>
      </c>
      <c r="J559" s="79">
        <v>100</v>
      </c>
      <c r="K559" s="79">
        <v>300</v>
      </c>
      <c r="L559" s="76">
        <f t="shared" si="84"/>
        <v>1274</v>
      </c>
      <c r="M559" s="87">
        <v>600</v>
      </c>
      <c r="N559" s="76">
        <f>30</f>
        <v>30</v>
      </c>
      <c r="O559" s="79">
        <v>240</v>
      </c>
      <c r="P559" s="79">
        <v>160</v>
      </c>
      <c r="Q559" s="79">
        <f t="shared" si="85"/>
        <v>195</v>
      </c>
      <c r="R559" s="79">
        <f t="shared" si="86"/>
        <v>100</v>
      </c>
      <c r="S559" s="76">
        <f t="shared" si="87"/>
        <v>695</v>
      </c>
      <c r="T559" s="76">
        <f>0</f>
        <v>0</v>
      </c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</row>
    <row r="560" spans="1:30" ht="15.75" x14ac:dyDescent="0.25">
      <c r="A560" s="32">
        <v>57983</v>
      </c>
      <c r="B560" s="88">
        <v>30</v>
      </c>
      <c r="C560" s="76">
        <f>194.205</f>
        <v>194.20500000000001</v>
      </c>
      <c r="D560" s="76">
        <f>267.466</f>
        <v>267.46600000000001</v>
      </c>
      <c r="E560" s="85">
        <f>133.845</f>
        <v>133.845</v>
      </c>
      <c r="F560" s="76">
        <f>278.484-40-25-60-100</f>
        <v>53.48399999999998</v>
      </c>
      <c r="G560" s="79">
        <v>40</v>
      </c>
      <c r="H560" s="76">
        <f t="shared" si="90"/>
        <v>185</v>
      </c>
      <c r="I560" s="76">
        <f t="shared" si="81"/>
        <v>0</v>
      </c>
      <c r="J560" s="79">
        <v>100</v>
      </c>
      <c r="K560" s="79">
        <v>300</v>
      </c>
      <c r="L560" s="76">
        <f t="shared" si="84"/>
        <v>1274</v>
      </c>
      <c r="M560" s="87">
        <v>600</v>
      </c>
      <c r="N560" s="76">
        <f>30</f>
        <v>30</v>
      </c>
      <c r="O560" s="79">
        <v>240</v>
      </c>
      <c r="P560" s="79">
        <v>160</v>
      </c>
      <c r="Q560" s="79">
        <f t="shared" si="85"/>
        <v>195</v>
      </c>
      <c r="R560" s="79">
        <f t="shared" si="86"/>
        <v>100</v>
      </c>
      <c r="S560" s="76">
        <f t="shared" si="87"/>
        <v>695</v>
      </c>
      <c r="T560" s="76">
        <f>0</f>
        <v>0</v>
      </c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</row>
    <row r="561" spans="1:30" ht="15.75" x14ac:dyDescent="0.25">
      <c r="A561" s="32">
        <v>58014</v>
      </c>
      <c r="B561" s="88">
        <v>31</v>
      </c>
      <c r="C561" s="76">
        <f>131.881</f>
        <v>131.881</v>
      </c>
      <c r="D561" s="76">
        <f>277.167</f>
        <v>277.16699999999997</v>
      </c>
      <c r="E561" s="85">
        <f>79.08</f>
        <v>79.08</v>
      </c>
      <c r="F561" s="76">
        <f>350.872-40-25-60-100</f>
        <v>125.87200000000001</v>
      </c>
      <c r="G561" s="79">
        <v>40</v>
      </c>
      <c r="H561" s="76">
        <f t="shared" si="90"/>
        <v>185</v>
      </c>
      <c r="I561" s="76">
        <f t="shared" si="81"/>
        <v>0</v>
      </c>
      <c r="J561" s="79">
        <v>100</v>
      </c>
      <c r="K561" s="79">
        <v>300</v>
      </c>
      <c r="L561" s="76">
        <f t="shared" si="84"/>
        <v>1239</v>
      </c>
      <c r="M561" s="87">
        <v>600</v>
      </c>
      <c r="N561" s="76">
        <f>75</f>
        <v>75</v>
      </c>
      <c r="O561" s="79">
        <v>240</v>
      </c>
      <c r="P561" s="79">
        <v>160</v>
      </c>
      <c r="Q561" s="79">
        <f t="shared" si="85"/>
        <v>195</v>
      </c>
      <c r="R561" s="79">
        <f t="shared" si="86"/>
        <v>100</v>
      </c>
      <c r="S561" s="76">
        <f t="shared" si="87"/>
        <v>695</v>
      </c>
      <c r="T561" s="76">
        <f>0</f>
        <v>0</v>
      </c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</row>
    <row r="562" spans="1:30" ht="15.75" x14ac:dyDescent="0.25">
      <c r="A562" s="32">
        <v>58044</v>
      </c>
      <c r="B562" s="88">
        <v>30</v>
      </c>
      <c r="C562" s="76">
        <f>122.58</f>
        <v>122.58</v>
      </c>
      <c r="D562" s="76">
        <f>297.941</f>
        <v>297.94099999999997</v>
      </c>
      <c r="E562" s="85">
        <f>89.177</f>
        <v>89.177000000000007</v>
      </c>
      <c r="F562" s="76">
        <f>240.302-40-60-100</f>
        <v>40.301999999999992</v>
      </c>
      <c r="G562" s="79">
        <v>40</v>
      </c>
      <c r="H562" s="76">
        <f>60+100</f>
        <v>160</v>
      </c>
      <c r="I562" s="76">
        <f t="shared" si="81"/>
        <v>0</v>
      </c>
      <c r="J562" s="79">
        <v>100</v>
      </c>
      <c r="K562" s="79">
        <v>300</v>
      </c>
      <c r="L562" s="76">
        <f t="shared" si="84"/>
        <v>1150</v>
      </c>
      <c r="M562" s="87">
        <v>600</v>
      </c>
      <c r="N562" s="76">
        <f>100</f>
        <v>100</v>
      </c>
      <c r="O562" s="79">
        <v>240</v>
      </c>
      <c r="P562" s="79">
        <v>40</v>
      </c>
      <c r="Q562" s="79">
        <f t="shared" si="85"/>
        <v>315</v>
      </c>
      <c r="R562" s="79">
        <f t="shared" si="86"/>
        <v>100</v>
      </c>
      <c r="S562" s="76">
        <f t="shared" si="87"/>
        <v>695</v>
      </c>
      <c r="T562" s="76">
        <f>50</f>
        <v>50</v>
      </c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</row>
    <row r="563" spans="1:30" ht="15.75" x14ac:dyDescent="0.25">
      <c r="A563" s="32">
        <v>58075</v>
      </c>
      <c r="B563" s="88">
        <v>31</v>
      </c>
      <c r="C563" s="76">
        <f>122.58</f>
        <v>122.58</v>
      </c>
      <c r="D563" s="76">
        <f>297.941</f>
        <v>297.94099999999997</v>
      </c>
      <c r="E563" s="85">
        <f>89.177</f>
        <v>89.177000000000007</v>
      </c>
      <c r="F563" s="76">
        <f>240.302-40-60-100</f>
        <v>40.301999999999992</v>
      </c>
      <c r="G563" s="79">
        <v>40</v>
      </c>
      <c r="H563" s="76">
        <f>60+100</f>
        <v>160</v>
      </c>
      <c r="I563" s="76">
        <f t="shared" si="81"/>
        <v>0</v>
      </c>
      <c r="J563" s="79">
        <v>100</v>
      </c>
      <c r="K563" s="79">
        <v>300</v>
      </c>
      <c r="L563" s="76">
        <f t="shared" si="84"/>
        <v>1150</v>
      </c>
      <c r="M563" s="87">
        <v>600</v>
      </c>
      <c r="N563" s="76">
        <f>100</f>
        <v>100</v>
      </c>
      <c r="O563" s="79">
        <v>240</v>
      </c>
      <c r="P563" s="79">
        <v>40</v>
      </c>
      <c r="Q563" s="79">
        <f t="shared" si="85"/>
        <v>315</v>
      </c>
      <c r="R563" s="79">
        <f t="shared" si="86"/>
        <v>100</v>
      </c>
      <c r="S563" s="76">
        <f t="shared" si="87"/>
        <v>695</v>
      </c>
      <c r="T563" s="76">
        <f>50</f>
        <v>50</v>
      </c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</row>
    <row r="564" spans="1:30" ht="15.75" x14ac:dyDescent="0.25">
      <c r="A564" s="32">
        <v>58106</v>
      </c>
      <c r="B564" s="88">
        <v>31</v>
      </c>
      <c r="C564" s="76">
        <f>122.58</f>
        <v>122.58</v>
      </c>
      <c r="D564" s="76">
        <f>297.941</f>
        <v>297.94099999999997</v>
      </c>
      <c r="E564" s="85">
        <f>89.177</f>
        <v>89.177000000000007</v>
      </c>
      <c r="F564" s="76">
        <f>240.302-40-60-100</f>
        <v>40.301999999999992</v>
      </c>
      <c r="G564" s="79">
        <v>40</v>
      </c>
      <c r="H564" s="76">
        <f>60+100</f>
        <v>160</v>
      </c>
      <c r="I564" s="76">
        <f t="shared" ref="I564:I627" si="91">400-J564-K564</f>
        <v>0</v>
      </c>
      <c r="J564" s="79">
        <v>100</v>
      </c>
      <c r="K564" s="79">
        <v>300</v>
      </c>
      <c r="L564" s="76">
        <f t="shared" si="84"/>
        <v>1150</v>
      </c>
      <c r="M564" s="87">
        <v>600</v>
      </c>
      <c r="N564" s="76">
        <f>100</f>
        <v>100</v>
      </c>
      <c r="O564" s="79">
        <v>240</v>
      </c>
      <c r="P564" s="79">
        <v>40</v>
      </c>
      <c r="Q564" s="79">
        <f t="shared" si="85"/>
        <v>315</v>
      </c>
      <c r="R564" s="79">
        <f t="shared" si="86"/>
        <v>100</v>
      </c>
      <c r="S564" s="76">
        <f t="shared" si="87"/>
        <v>695</v>
      </c>
      <c r="T564" s="76">
        <f>50</f>
        <v>50</v>
      </c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</row>
    <row r="565" spans="1:30" ht="15.75" x14ac:dyDescent="0.25">
      <c r="A565" s="32">
        <v>58134</v>
      </c>
      <c r="B565" s="88">
        <v>28</v>
      </c>
      <c r="C565" s="76">
        <f>122.58</f>
        <v>122.58</v>
      </c>
      <c r="D565" s="76">
        <f>297.941</f>
        <v>297.94099999999997</v>
      </c>
      <c r="E565" s="85">
        <f>89.177</f>
        <v>89.177000000000007</v>
      </c>
      <c r="F565" s="76">
        <f>240.302-40-60-100</f>
        <v>40.301999999999992</v>
      </c>
      <c r="G565" s="79">
        <v>40</v>
      </c>
      <c r="H565" s="76">
        <f>60+100</f>
        <v>160</v>
      </c>
      <c r="I565" s="76">
        <f t="shared" si="91"/>
        <v>0</v>
      </c>
      <c r="J565" s="79">
        <v>100</v>
      </c>
      <c r="K565" s="79">
        <v>300</v>
      </c>
      <c r="L565" s="76">
        <f t="shared" si="84"/>
        <v>1150</v>
      </c>
      <c r="M565" s="87">
        <v>600</v>
      </c>
      <c r="N565" s="76">
        <f>100</f>
        <v>100</v>
      </c>
      <c r="O565" s="79">
        <v>240</v>
      </c>
      <c r="P565" s="79">
        <v>40</v>
      </c>
      <c r="Q565" s="79">
        <f t="shared" si="85"/>
        <v>315</v>
      </c>
      <c r="R565" s="79">
        <f t="shared" si="86"/>
        <v>100</v>
      </c>
      <c r="S565" s="76">
        <f t="shared" si="87"/>
        <v>695</v>
      </c>
      <c r="T565" s="76">
        <f>50</f>
        <v>50</v>
      </c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</row>
    <row r="566" spans="1:30" ht="15.75" x14ac:dyDescent="0.25">
      <c r="A566" s="32">
        <v>58165</v>
      </c>
      <c r="B566" s="88">
        <v>31</v>
      </c>
      <c r="C566" s="76">
        <f>122.58</f>
        <v>122.58</v>
      </c>
      <c r="D566" s="76">
        <f>297.941</f>
        <v>297.94099999999997</v>
      </c>
      <c r="E566" s="85">
        <f>89.177</f>
        <v>89.177000000000007</v>
      </c>
      <c r="F566" s="76">
        <f>240.302-40-60-100</f>
        <v>40.301999999999992</v>
      </c>
      <c r="G566" s="79">
        <v>40</v>
      </c>
      <c r="H566" s="76">
        <f>60+100</f>
        <v>160</v>
      </c>
      <c r="I566" s="76">
        <f t="shared" si="91"/>
        <v>0</v>
      </c>
      <c r="J566" s="79">
        <v>100</v>
      </c>
      <c r="K566" s="79">
        <v>300</v>
      </c>
      <c r="L566" s="76">
        <f t="shared" si="84"/>
        <v>1150</v>
      </c>
      <c r="M566" s="87">
        <v>600</v>
      </c>
      <c r="N566" s="76">
        <f>100</f>
        <v>100</v>
      </c>
      <c r="O566" s="79">
        <v>240</v>
      </c>
      <c r="P566" s="79">
        <v>40</v>
      </c>
      <c r="Q566" s="79">
        <f t="shared" si="85"/>
        <v>315</v>
      </c>
      <c r="R566" s="79">
        <f t="shared" si="86"/>
        <v>100</v>
      </c>
      <c r="S566" s="76">
        <f t="shared" si="87"/>
        <v>695</v>
      </c>
      <c r="T566" s="76">
        <f>50</f>
        <v>50</v>
      </c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</row>
    <row r="567" spans="1:30" ht="15.75" x14ac:dyDescent="0.25">
      <c r="A567" s="32">
        <v>58195</v>
      </c>
      <c r="B567" s="88">
        <v>30</v>
      </c>
      <c r="C567" s="76">
        <f>141.293</f>
        <v>141.29300000000001</v>
      </c>
      <c r="D567" s="76">
        <f>267.993</f>
        <v>267.99299999999999</v>
      </c>
      <c r="E567" s="85">
        <f>115.016</f>
        <v>115.01600000000001</v>
      </c>
      <c r="F567" s="76">
        <f>314.698-40-25-60-100</f>
        <v>89.697999999999979</v>
      </c>
      <c r="G567" s="79">
        <v>40</v>
      </c>
      <c r="H567" s="76">
        <f t="shared" ref="H567:H573" si="92">25+60+100</f>
        <v>185</v>
      </c>
      <c r="I567" s="76">
        <f t="shared" si="91"/>
        <v>0</v>
      </c>
      <c r="J567" s="79">
        <v>100</v>
      </c>
      <c r="K567" s="79">
        <v>300</v>
      </c>
      <c r="L567" s="76">
        <f t="shared" si="84"/>
        <v>1239</v>
      </c>
      <c r="M567" s="87">
        <v>600</v>
      </c>
      <c r="N567" s="76">
        <f>100</f>
        <v>100</v>
      </c>
      <c r="O567" s="79">
        <v>240</v>
      </c>
      <c r="P567" s="79">
        <v>160</v>
      </c>
      <c r="Q567" s="79">
        <f t="shared" si="85"/>
        <v>195</v>
      </c>
      <c r="R567" s="79">
        <f t="shared" si="86"/>
        <v>100</v>
      </c>
      <c r="S567" s="76">
        <f t="shared" si="87"/>
        <v>695</v>
      </c>
      <c r="T567" s="76">
        <f>50</f>
        <v>50</v>
      </c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</row>
    <row r="568" spans="1:30" ht="15.75" x14ac:dyDescent="0.25">
      <c r="A568" s="32">
        <v>58226</v>
      </c>
      <c r="B568" s="88">
        <v>31</v>
      </c>
      <c r="C568" s="76">
        <f>194.205</f>
        <v>194.20500000000001</v>
      </c>
      <c r="D568" s="76">
        <f>267.466</f>
        <v>267.46600000000001</v>
      </c>
      <c r="E568" s="85">
        <f>133.845</f>
        <v>133.845</v>
      </c>
      <c r="F568" s="76">
        <f>278.484-40-25-60-100</f>
        <v>53.48399999999998</v>
      </c>
      <c r="G568" s="79">
        <v>40</v>
      </c>
      <c r="H568" s="76">
        <f t="shared" si="92"/>
        <v>185</v>
      </c>
      <c r="I568" s="76">
        <f t="shared" si="91"/>
        <v>0</v>
      </c>
      <c r="J568" s="79">
        <v>100</v>
      </c>
      <c r="K568" s="79">
        <v>300</v>
      </c>
      <c r="L568" s="76">
        <f t="shared" si="84"/>
        <v>1274</v>
      </c>
      <c r="M568" s="87">
        <v>600</v>
      </c>
      <c r="N568" s="76">
        <f>75</f>
        <v>75</v>
      </c>
      <c r="O568" s="79">
        <v>240</v>
      </c>
      <c r="P568" s="79">
        <v>160</v>
      </c>
      <c r="Q568" s="79">
        <f t="shared" si="85"/>
        <v>195</v>
      </c>
      <c r="R568" s="79">
        <f t="shared" si="86"/>
        <v>100</v>
      </c>
      <c r="S568" s="76">
        <f t="shared" si="87"/>
        <v>695</v>
      </c>
      <c r="T568" s="76">
        <f>50</f>
        <v>50</v>
      </c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</row>
    <row r="569" spans="1:30" ht="15.75" x14ac:dyDescent="0.25">
      <c r="A569" s="32">
        <v>58256</v>
      </c>
      <c r="B569" s="88">
        <v>30</v>
      </c>
      <c r="C569" s="76">
        <f>194.205</f>
        <v>194.20500000000001</v>
      </c>
      <c r="D569" s="76">
        <f>267.466</f>
        <v>267.46600000000001</v>
      </c>
      <c r="E569" s="85">
        <f>133.845</f>
        <v>133.845</v>
      </c>
      <c r="F569" s="76">
        <f>278.484-40-25-60-100</f>
        <v>53.48399999999998</v>
      </c>
      <c r="G569" s="79">
        <v>40</v>
      </c>
      <c r="H569" s="76">
        <f t="shared" si="92"/>
        <v>185</v>
      </c>
      <c r="I569" s="76">
        <f t="shared" si="91"/>
        <v>0</v>
      </c>
      <c r="J569" s="79">
        <v>100</v>
      </c>
      <c r="K569" s="79">
        <v>300</v>
      </c>
      <c r="L569" s="76">
        <f t="shared" si="84"/>
        <v>1274</v>
      </c>
      <c r="M569" s="87">
        <v>600</v>
      </c>
      <c r="N569" s="76">
        <f>30</f>
        <v>30</v>
      </c>
      <c r="O569" s="79">
        <v>240</v>
      </c>
      <c r="P569" s="79">
        <v>160</v>
      </c>
      <c r="Q569" s="79">
        <f t="shared" si="85"/>
        <v>195</v>
      </c>
      <c r="R569" s="79">
        <f t="shared" si="86"/>
        <v>100</v>
      </c>
      <c r="S569" s="76">
        <f t="shared" si="87"/>
        <v>695</v>
      </c>
      <c r="T569" s="76">
        <f>50</f>
        <v>50</v>
      </c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</row>
    <row r="570" spans="1:30" ht="15.75" x14ac:dyDescent="0.25">
      <c r="A570" s="32">
        <v>58287</v>
      </c>
      <c r="B570" s="88">
        <v>31</v>
      </c>
      <c r="C570" s="76">
        <f>194.205</f>
        <v>194.20500000000001</v>
      </c>
      <c r="D570" s="76">
        <f>267.466</f>
        <v>267.46600000000001</v>
      </c>
      <c r="E570" s="85">
        <f>133.845</f>
        <v>133.845</v>
      </c>
      <c r="F570" s="76">
        <f>278.484-40-25-60-100</f>
        <v>53.48399999999998</v>
      </c>
      <c r="G570" s="79">
        <v>40</v>
      </c>
      <c r="H570" s="76">
        <f t="shared" si="92"/>
        <v>185</v>
      </c>
      <c r="I570" s="76">
        <f t="shared" si="91"/>
        <v>0</v>
      </c>
      <c r="J570" s="79">
        <v>100</v>
      </c>
      <c r="K570" s="79">
        <v>300</v>
      </c>
      <c r="L570" s="76">
        <f t="shared" si="84"/>
        <v>1274</v>
      </c>
      <c r="M570" s="87">
        <v>600</v>
      </c>
      <c r="N570" s="76">
        <f>30</f>
        <v>30</v>
      </c>
      <c r="O570" s="79">
        <v>240</v>
      </c>
      <c r="P570" s="79">
        <v>160</v>
      </c>
      <c r="Q570" s="79">
        <f t="shared" si="85"/>
        <v>195</v>
      </c>
      <c r="R570" s="79">
        <f t="shared" si="86"/>
        <v>100</v>
      </c>
      <c r="S570" s="76">
        <f t="shared" si="87"/>
        <v>695</v>
      </c>
      <c r="T570" s="76">
        <f>0</f>
        <v>0</v>
      </c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</row>
    <row r="571" spans="1:30" ht="15.75" x14ac:dyDescent="0.25">
      <c r="A571" s="32">
        <v>58318</v>
      </c>
      <c r="B571" s="88">
        <v>31</v>
      </c>
      <c r="C571" s="76">
        <f>194.205</f>
        <v>194.20500000000001</v>
      </c>
      <c r="D571" s="76">
        <f>267.466</f>
        <v>267.46600000000001</v>
      </c>
      <c r="E571" s="85">
        <f>133.845</f>
        <v>133.845</v>
      </c>
      <c r="F571" s="76">
        <f>278.484-40-25-60-100</f>
        <v>53.48399999999998</v>
      </c>
      <c r="G571" s="79">
        <v>40</v>
      </c>
      <c r="H571" s="76">
        <f t="shared" si="92"/>
        <v>185</v>
      </c>
      <c r="I571" s="76">
        <f t="shared" si="91"/>
        <v>0</v>
      </c>
      <c r="J571" s="79">
        <v>100</v>
      </c>
      <c r="K571" s="79">
        <v>300</v>
      </c>
      <c r="L571" s="76">
        <f t="shared" si="84"/>
        <v>1274</v>
      </c>
      <c r="M571" s="87">
        <v>600</v>
      </c>
      <c r="N571" s="76">
        <f>30</f>
        <v>30</v>
      </c>
      <c r="O571" s="79">
        <v>240</v>
      </c>
      <c r="P571" s="79">
        <v>160</v>
      </c>
      <c r="Q571" s="79">
        <f t="shared" si="85"/>
        <v>195</v>
      </c>
      <c r="R571" s="79">
        <f t="shared" si="86"/>
        <v>100</v>
      </c>
      <c r="S571" s="76">
        <f t="shared" si="87"/>
        <v>695</v>
      </c>
      <c r="T571" s="76">
        <f>0</f>
        <v>0</v>
      </c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</row>
    <row r="572" spans="1:30" ht="15.75" x14ac:dyDescent="0.25">
      <c r="A572" s="32">
        <v>58348</v>
      </c>
      <c r="B572" s="88">
        <v>30</v>
      </c>
      <c r="C572" s="76">
        <f>194.205</f>
        <v>194.20500000000001</v>
      </c>
      <c r="D572" s="76">
        <f>267.466</f>
        <v>267.46600000000001</v>
      </c>
      <c r="E572" s="85">
        <f>133.845</f>
        <v>133.845</v>
      </c>
      <c r="F572" s="76">
        <f>278.484-40-25-60-100</f>
        <v>53.48399999999998</v>
      </c>
      <c r="G572" s="79">
        <v>40</v>
      </c>
      <c r="H572" s="76">
        <f t="shared" si="92"/>
        <v>185</v>
      </c>
      <c r="I572" s="76">
        <f t="shared" si="91"/>
        <v>0</v>
      </c>
      <c r="J572" s="79">
        <v>100</v>
      </c>
      <c r="K572" s="79">
        <v>300</v>
      </c>
      <c r="L572" s="76">
        <f t="shared" si="84"/>
        <v>1274</v>
      </c>
      <c r="M572" s="87">
        <v>600</v>
      </c>
      <c r="N572" s="76">
        <f>30</f>
        <v>30</v>
      </c>
      <c r="O572" s="79">
        <v>240</v>
      </c>
      <c r="P572" s="79">
        <v>160</v>
      </c>
      <c r="Q572" s="79">
        <f t="shared" si="85"/>
        <v>195</v>
      </c>
      <c r="R572" s="79">
        <f t="shared" si="86"/>
        <v>100</v>
      </c>
      <c r="S572" s="76">
        <f t="shared" si="87"/>
        <v>695</v>
      </c>
      <c r="T572" s="76">
        <f>0</f>
        <v>0</v>
      </c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</row>
    <row r="573" spans="1:30" ht="15.75" x14ac:dyDescent="0.25">
      <c r="A573" s="32">
        <v>58379</v>
      </c>
      <c r="B573" s="88">
        <v>31</v>
      </c>
      <c r="C573" s="76">
        <f>131.881</f>
        <v>131.881</v>
      </c>
      <c r="D573" s="76">
        <f>277.167</f>
        <v>277.16699999999997</v>
      </c>
      <c r="E573" s="85">
        <f>79.08</f>
        <v>79.08</v>
      </c>
      <c r="F573" s="76">
        <f>350.872-40-25-60-100</f>
        <v>125.87200000000001</v>
      </c>
      <c r="G573" s="79">
        <v>40</v>
      </c>
      <c r="H573" s="76">
        <f t="shared" si="92"/>
        <v>185</v>
      </c>
      <c r="I573" s="76">
        <f t="shared" si="91"/>
        <v>0</v>
      </c>
      <c r="J573" s="79">
        <v>100</v>
      </c>
      <c r="K573" s="79">
        <v>300</v>
      </c>
      <c r="L573" s="76">
        <f t="shared" si="84"/>
        <v>1239</v>
      </c>
      <c r="M573" s="87">
        <v>600</v>
      </c>
      <c r="N573" s="76">
        <f>75</f>
        <v>75</v>
      </c>
      <c r="O573" s="79">
        <v>240</v>
      </c>
      <c r="P573" s="79">
        <v>160</v>
      </c>
      <c r="Q573" s="79">
        <f t="shared" si="85"/>
        <v>195</v>
      </c>
      <c r="R573" s="79">
        <f t="shared" si="86"/>
        <v>100</v>
      </c>
      <c r="S573" s="76">
        <f t="shared" si="87"/>
        <v>695</v>
      </c>
      <c r="T573" s="76">
        <f>0</f>
        <v>0</v>
      </c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</row>
    <row r="574" spans="1:30" ht="15.75" x14ac:dyDescent="0.25">
      <c r="A574" s="32">
        <v>58409</v>
      </c>
      <c r="B574" s="88">
        <v>30</v>
      </c>
      <c r="C574" s="76">
        <f>122.58</f>
        <v>122.58</v>
      </c>
      <c r="D574" s="76">
        <f>297.941</f>
        <v>297.94099999999997</v>
      </c>
      <c r="E574" s="85">
        <f>89.177</f>
        <v>89.177000000000007</v>
      </c>
      <c r="F574" s="76">
        <f>240.302-40-60-100</f>
        <v>40.301999999999992</v>
      </c>
      <c r="G574" s="79">
        <v>40</v>
      </c>
      <c r="H574" s="76">
        <f>60+100</f>
        <v>160</v>
      </c>
      <c r="I574" s="76">
        <f t="shared" si="91"/>
        <v>0</v>
      </c>
      <c r="J574" s="79">
        <v>100</v>
      </c>
      <c r="K574" s="79">
        <v>300</v>
      </c>
      <c r="L574" s="76">
        <f t="shared" si="84"/>
        <v>1150</v>
      </c>
      <c r="M574" s="87">
        <v>600</v>
      </c>
      <c r="N574" s="76">
        <f>100</f>
        <v>100</v>
      </c>
      <c r="O574" s="79">
        <v>240</v>
      </c>
      <c r="P574" s="79">
        <v>40</v>
      </c>
      <c r="Q574" s="79">
        <f t="shared" si="85"/>
        <v>315</v>
      </c>
      <c r="R574" s="79">
        <f t="shared" si="86"/>
        <v>100</v>
      </c>
      <c r="S574" s="76">
        <f t="shared" si="87"/>
        <v>695</v>
      </c>
      <c r="T574" s="76">
        <f>50</f>
        <v>50</v>
      </c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</row>
    <row r="575" spans="1:30" ht="15.75" x14ac:dyDescent="0.25">
      <c r="A575" s="32">
        <v>58440</v>
      </c>
      <c r="B575" s="88">
        <v>31</v>
      </c>
      <c r="C575" s="76">
        <f>122.58</f>
        <v>122.58</v>
      </c>
      <c r="D575" s="76">
        <f>297.941</f>
        <v>297.94099999999997</v>
      </c>
      <c r="E575" s="85">
        <f>89.177</f>
        <v>89.177000000000007</v>
      </c>
      <c r="F575" s="76">
        <f>240.302-40-60-100</f>
        <v>40.301999999999992</v>
      </c>
      <c r="G575" s="79">
        <v>40</v>
      </c>
      <c r="H575" s="76">
        <f>60+100</f>
        <v>160</v>
      </c>
      <c r="I575" s="76">
        <f t="shared" si="91"/>
        <v>0</v>
      </c>
      <c r="J575" s="79">
        <v>100</v>
      </c>
      <c r="K575" s="79">
        <v>300</v>
      </c>
      <c r="L575" s="76">
        <f t="shared" si="84"/>
        <v>1150</v>
      </c>
      <c r="M575" s="87">
        <v>600</v>
      </c>
      <c r="N575" s="76">
        <f>100</f>
        <v>100</v>
      </c>
      <c r="O575" s="79">
        <v>240</v>
      </c>
      <c r="P575" s="79">
        <v>40</v>
      </c>
      <c r="Q575" s="79">
        <f t="shared" si="85"/>
        <v>315</v>
      </c>
      <c r="R575" s="79">
        <f t="shared" si="86"/>
        <v>100</v>
      </c>
      <c r="S575" s="76">
        <f t="shared" si="87"/>
        <v>695</v>
      </c>
      <c r="T575" s="76">
        <f>50</f>
        <v>50</v>
      </c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</row>
    <row r="576" spans="1:30" ht="15.75" x14ac:dyDescent="0.25">
      <c r="A576" s="32">
        <v>58471</v>
      </c>
      <c r="B576" s="88">
        <v>31</v>
      </c>
      <c r="C576" s="76">
        <f>122.58</f>
        <v>122.58</v>
      </c>
      <c r="D576" s="76">
        <f>297.941</f>
        <v>297.94099999999997</v>
      </c>
      <c r="E576" s="85">
        <f>89.177</f>
        <v>89.177000000000007</v>
      </c>
      <c r="F576" s="76">
        <f>240.302-40-60-100</f>
        <v>40.301999999999992</v>
      </c>
      <c r="G576" s="79">
        <v>40</v>
      </c>
      <c r="H576" s="76">
        <f>60+100</f>
        <v>160</v>
      </c>
      <c r="I576" s="76">
        <f t="shared" si="91"/>
        <v>0</v>
      </c>
      <c r="J576" s="79">
        <v>100</v>
      </c>
      <c r="K576" s="79">
        <v>300</v>
      </c>
      <c r="L576" s="76">
        <f t="shared" si="84"/>
        <v>1150</v>
      </c>
      <c r="M576" s="87">
        <v>600</v>
      </c>
      <c r="N576" s="76">
        <f>100</f>
        <v>100</v>
      </c>
      <c r="O576" s="79">
        <v>240</v>
      </c>
      <c r="P576" s="79">
        <v>40</v>
      </c>
      <c r="Q576" s="79">
        <f t="shared" si="85"/>
        <v>315</v>
      </c>
      <c r="R576" s="79">
        <f t="shared" si="86"/>
        <v>100</v>
      </c>
      <c r="S576" s="76">
        <f t="shared" si="87"/>
        <v>695</v>
      </c>
      <c r="T576" s="76">
        <f>50</f>
        <v>50</v>
      </c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</row>
    <row r="577" spans="1:30" ht="15.75" x14ac:dyDescent="0.25">
      <c r="A577" s="32">
        <v>58499</v>
      </c>
      <c r="B577" s="88">
        <v>29</v>
      </c>
      <c r="C577" s="76">
        <f>122.58</f>
        <v>122.58</v>
      </c>
      <c r="D577" s="76">
        <f>297.941</f>
        <v>297.94099999999997</v>
      </c>
      <c r="E577" s="85">
        <f>89.177</f>
        <v>89.177000000000007</v>
      </c>
      <c r="F577" s="76">
        <f>240.302-40-60-100</f>
        <v>40.301999999999992</v>
      </c>
      <c r="G577" s="79">
        <v>40</v>
      </c>
      <c r="H577" s="76">
        <f>60+100</f>
        <v>160</v>
      </c>
      <c r="I577" s="76">
        <f t="shared" si="91"/>
        <v>0</v>
      </c>
      <c r="J577" s="79">
        <v>100</v>
      </c>
      <c r="K577" s="79">
        <v>300</v>
      </c>
      <c r="L577" s="76">
        <f t="shared" si="84"/>
        <v>1150</v>
      </c>
      <c r="M577" s="87">
        <v>600</v>
      </c>
      <c r="N577" s="76">
        <f>100</f>
        <v>100</v>
      </c>
      <c r="O577" s="79">
        <v>240</v>
      </c>
      <c r="P577" s="79">
        <v>40</v>
      </c>
      <c r="Q577" s="79">
        <f t="shared" si="85"/>
        <v>315</v>
      </c>
      <c r="R577" s="79">
        <f t="shared" si="86"/>
        <v>100</v>
      </c>
      <c r="S577" s="76">
        <f t="shared" si="87"/>
        <v>695</v>
      </c>
      <c r="T577" s="76">
        <f>50</f>
        <v>50</v>
      </c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</row>
    <row r="578" spans="1:30" ht="15.75" x14ac:dyDescent="0.25">
      <c r="A578" s="32">
        <v>58531</v>
      </c>
      <c r="B578" s="88">
        <v>31</v>
      </c>
      <c r="C578" s="76">
        <f>122.58</f>
        <v>122.58</v>
      </c>
      <c r="D578" s="76">
        <f>297.941</f>
        <v>297.94099999999997</v>
      </c>
      <c r="E578" s="85">
        <f>89.177</f>
        <v>89.177000000000007</v>
      </c>
      <c r="F578" s="76">
        <f>240.302-40-60-100</f>
        <v>40.301999999999992</v>
      </c>
      <c r="G578" s="79">
        <v>40</v>
      </c>
      <c r="H578" s="76">
        <f>60+100</f>
        <v>160</v>
      </c>
      <c r="I578" s="76">
        <f t="shared" si="91"/>
        <v>0</v>
      </c>
      <c r="J578" s="79">
        <v>100</v>
      </c>
      <c r="K578" s="79">
        <v>300</v>
      </c>
      <c r="L578" s="76">
        <f t="shared" si="84"/>
        <v>1150</v>
      </c>
      <c r="M578" s="87">
        <v>600</v>
      </c>
      <c r="N578" s="76">
        <f>100</f>
        <v>100</v>
      </c>
      <c r="O578" s="79">
        <v>240</v>
      </c>
      <c r="P578" s="79">
        <v>40</v>
      </c>
      <c r="Q578" s="79">
        <f t="shared" si="85"/>
        <v>315</v>
      </c>
      <c r="R578" s="79">
        <f t="shared" si="86"/>
        <v>100</v>
      </c>
      <c r="S578" s="76">
        <f t="shared" si="87"/>
        <v>695</v>
      </c>
      <c r="T578" s="76">
        <f>50</f>
        <v>50</v>
      </c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</row>
    <row r="579" spans="1:30" ht="15.75" x14ac:dyDescent="0.25">
      <c r="A579" s="32">
        <v>58561</v>
      </c>
      <c r="B579" s="88">
        <v>30</v>
      </c>
      <c r="C579" s="76">
        <f>141.293</f>
        <v>141.29300000000001</v>
      </c>
      <c r="D579" s="76">
        <f>267.993</f>
        <v>267.99299999999999</v>
      </c>
      <c r="E579" s="85">
        <f>115.016</f>
        <v>115.01600000000001</v>
      </c>
      <c r="F579" s="76">
        <f>314.698-40-25-60-100</f>
        <v>89.697999999999979</v>
      </c>
      <c r="G579" s="79">
        <v>40</v>
      </c>
      <c r="H579" s="76">
        <f t="shared" ref="H579:H585" si="93">25+60+100</f>
        <v>185</v>
      </c>
      <c r="I579" s="76">
        <f t="shared" si="91"/>
        <v>0</v>
      </c>
      <c r="J579" s="79">
        <v>100</v>
      </c>
      <c r="K579" s="79">
        <v>300</v>
      </c>
      <c r="L579" s="76">
        <f t="shared" si="84"/>
        <v>1239</v>
      </c>
      <c r="M579" s="87">
        <v>600</v>
      </c>
      <c r="N579" s="76">
        <f>100</f>
        <v>100</v>
      </c>
      <c r="O579" s="79">
        <v>240</v>
      </c>
      <c r="P579" s="79">
        <v>160</v>
      </c>
      <c r="Q579" s="79">
        <f t="shared" si="85"/>
        <v>195</v>
      </c>
      <c r="R579" s="79">
        <f t="shared" si="86"/>
        <v>100</v>
      </c>
      <c r="S579" s="76">
        <f t="shared" si="87"/>
        <v>695</v>
      </c>
      <c r="T579" s="76">
        <f>50</f>
        <v>50</v>
      </c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</row>
    <row r="580" spans="1:30" ht="15.75" x14ac:dyDescent="0.25">
      <c r="A580" s="32">
        <v>58592</v>
      </c>
      <c r="B580" s="88">
        <v>31</v>
      </c>
      <c r="C580" s="76">
        <f>194.205</f>
        <v>194.20500000000001</v>
      </c>
      <c r="D580" s="76">
        <f>267.466</f>
        <v>267.46600000000001</v>
      </c>
      <c r="E580" s="85">
        <f>133.845</f>
        <v>133.845</v>
      </c>
      <c r="F580" s="76">
        <f>278.484-40-25-60-100</f>
        <v>53.48399999999998</v>
      </c>
      <c r="G580" s="79">
        <v>40</v>
      </c>
      <c r="H580" s="76">
        <f t="shared" si="93"/>
        <v>185</v>
      </c>
      <c r="I580" s="76">
        <f t="shared" si="91"/>
        <v>0</v>
      </c>
      <c r="J580" s="79">
        <v>100</v>
      </c>
      <c r="K580" s="79">
        <v>300</v>
      </c>
      <c r="L580" s="76">
        <f t="shared" si="84"/>
        <v>1274</v>
      </c>
      <c r="M580" s="87">
        <v>600</v>
      </c>
      <c r="N580" s="76">
        <f>75</f>
        <v>75</v>
      </c>
      <c r="O580" s="79">
        <v>240</v>
      </c>
      <c r="P580" s="79">
        <v>160</v>
      </c>
      <c r="Q580" s="79">
        <f t="shared" si="85"/>
        <v>195</v>
      </c>
      <c r="R580" s="79">
        <f t="shared" si="86"/>
        <v>100</v>
      </c>
      <c r="S580" s="76">
        <f t="shared" si="87"/>
        <v>695</v>
      </c>
      <c r="T580" s="76">
        <f>50</f>
        <v>50</v>
      </c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</row>
    <row r="581" spans="1:30" ht="15.75" x14ac:dyDescent="0.25">
      <c r="A581" s="32">
        <v>58622</v>
      </c>
      <c r="B581" s="88">
        <v>30</v>
      </c>
      <c r="C581" s="76">
        <f>194.205</f>
        <v>194.20500000000001</v>
      </c>
      <c r="D581" s="76">
        <f>267.466</f>
        <v>267.46600000000001</v>
      </c>
      <c r="E581" s="85">
        <f>133.845</f>
        <v>133.845</v>
      </c>
      <c r="F581" s="76">
        <f>278.484-40-25-60-100</f>
        <v>53.48399999999998</v>
      </c>
      <c r="G581" s="79">
        <v>40</v>
      </c>
      <c r="H581" s="76">
        <f t="shared" si="93"/>
        <v>185</v>
      </c>
      <c r="I581" s="76">
        <f t="shared" si="91"/>
        <v>0</v>
      </c>
      <c r="J581" s="79">
        <v>100</v>
      </c>
      <c r="K581" s="79">
        <v>300</v>
      </c>
      <c r="L581" s="76">
        <f t="shared" si="84"/>
        <v>1274</v>
      </c>
      <c r="M581" s="87">
        <v>600</v>
      </c>
      <c r="N581" s="76">
        <f>30</f>
        <v>30</v>
      </c>
      <c r="O581" s="79">
        <v>240</v>
      </c>
      <c r="P581" s="79">
        <v>160</v>
      </c>
      <c r="Q581" s="79">
        <f t="shared" si="85"/>
        <v>195</v>
      </c>
      <c r="R581" s="79">
        <f t="shared" si="86"/>
        <v>100</v>
      </c>
      <c r="S581" s="76">
        <f t="shared" si="87"/>
        <v>695</v>
      </c>
      <c r="T581" s="76">
        <f>50</f>
        <v>50</v>
      </c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</row>
    <row r="582" spans="1:30" ht="15.75" x14ac:dyDescent="0.25">
      <c r="A582" s="32">
        <v>58653</v>
      </c>
      <c r="B582" s="88">
        <v>31</v>
      </c>
      <c r="C582" s="76">
        <f>194.205</f>
        <v>194.20500000000001</v>
      </c>
      <c r="D582" s="76">
        <f>267.466</f>
        <v>267.46600000000001</v>
      </c>
      <c r="E582" s="85">
        <f>133.845</f>
        <v>133.845</v>
      </c>
      <c r="F582" s="76">
        <f>278.484-40-25-60-100</f>
        <v>53.48399999999998</v>
      </c>
      <c r="G582" s="79">
        <v>40</v>
      </c>
      <c r="H582" s="76">
        <f t="shared" si="93"/>
        <v>185</v>
      </c>
      <c r="I582" s="76">
        <f t="shared" si="91"/>
        <v>0</v>
      </c>
      <c r="J582" s="79">
        <v>100</v>
      </c>
      <c r="K582" s="79">
        <v>300</v>
      </c>
      <c r="L582" s="76">
        <f t="shared" si="84"/>
        <v>1274</v>
      </c>
      <c r="M582" s="87">
        <v>600</v>
      </c>
      <c r="N582" s="76">
        <f>30</f>
        <v>30</v>
      </c>
      <c r="O582" s="79">
        <v>240</v>
      </c>
      <c r="P582" s="79">
        <v>160</v>
      </c>
      <c r="Q582" s="79">
        <f t="shared" si="85"/>
        <v>195</v>
      </c>
      <c r="R582" s="79">
        <f t="shared" si="86"/>
        <v>100</v>
      </c>
      <c r="S582" s="76">
        <f t="shared" si="87"/>
        <v>695</v>
      </c>
      <c r="T582" s="76">
        <f>0</f>
        <v>0</v>
      </c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</row>
    <row r="583" spans="1:30" ht="15.75" x14ac:dyDescent="0.25">
      <c r="A583" s="32">
        <v>58684</v>
      </c>
      <c r="B583" s="88">
        <v>31</v>
      </c>
      <c r="C583" s="76">
        <f>194.205</f>
        <v>194.20500000000001</v>
      </c>
      <c r="D583" s="76">
        <f>267.466</f>
        <v>267.46600000000001</v>
      </c>
      <c r="E583" s="85">
        <f>133.845</f>
        <v>133.845</v>
      </c>
      <c r="F583" s="76">
        <f>278.484-40-25-60-100</f>
        <v>53.48399999999998</v>
      </c>
      <c r="G583" s="79">
        <v>40</v>
      </c>
      <c r="H583" s="76">
        <f t="shared" si="93"/>
        <v>185</v>
      </c>
      <c r="I583" s="76">
        <f t="shared" si="91"/>
        <v>0</v>
      </c>
      <c r="J583" s="79">
        <v>100</v>
      </c>
      <c r="K583" s="79">
        <v>300</v>
      </c>
      <c r="L583" s="76">
        <f t="shared" si="84"/>
        <v>1274</v>
      </c>
      <c r="M583" s="87">
        <v>600</v>
      </c>
      <c r="N583" s="76">
        <f>30</f>
        <v>30</v>
      </c>
      <c r="O583" s="79">
        <v>240</v>
      </c>
      <c r="P583" s="79">
        <v>160</v>
      </c>
      <c r="Q583" s="79">
        <f t="shared" si="85"/>
        <v>195</v>
      </c>
      <c r="R583" s="79">
        <f t="shared" si="86"/>
        <v>100</v>
      </c>
      <c r="S583" s="76">
        <f t="shared" si="87"/>
        <v>695</v>
      </c>
      <c r="T583" s="76">
        <f>0</f>
        <v>0</v>
      </c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</row>
    <row r="584" spans="1:30" ht="15.75" x14ac:dyDescent="0.25">
      <c r="A584" s="32">
        <v>58714</v>
      </c>
      <c r="B584" s="88">
        <v>30</v>
      </c>
      <c r="C584" s="76">
        <f>194.205</f>
        <v>194.20500000000001</v>
      </c>
      <c r="D584" s="76">
        <f>267.466</f>
        <v>267.46600000000001</v>
      </c>
      <c r="E584" s="85">
        <f>133.845</f>
        <v>133.845</v>
      </c>
      <c r="F584" s="76">
        <f>278.484-40-25-60-100</f>
        <v>53.48399999999998</v>
      </c>
      <c r="G584" s="79">
        <v>40</v>
      </c>
      <c r="H584" s="76">
        <f t="shared" si="93"/>
        <v>185</v>
      </c>
      <c r="I584" s="76">
        <f t="shared" si="91"/>
        <v>0</v>
      </c>
      <c r="J584" s="79">
        <v>100</v>
      </c>
      <c r="K584" s="79">
        <v>300</v>
      </c>
      <c r="L584" s="76">
        <f t="shared" si="84"/>
        <v>1274</v>
      </c>
      <c r="M584" s="87">
        <v>600</v>
      </c>
      <c r="N584" s="76">
        <f>30</f>
        <v>30</v>
      </c>
      <c r="O584" s="79">
        <v>240</v>
      </c>
      <c r="P584" s="79">
        <v>160</v>
      </c>
      <c r="Q584" s="79">
        <f t="shared" si="85"/>
        <v>195</v>
      </c>
      <c r="R584" s="79">
        <f t="shared" si="86"/>
        <v>100</v>
      </c>
      <c r="S584" s="76">
        <f t="shared" si="87"/>
        <v>695</v>
      </c>
      <c r="T584" s="76">
        <f>0</f>
        <v>0</v>
      </c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</row>
    <row r="585" spans="1:30" ht="15.75" x14ac:dyDescent="0.25">
      <c r="A585" s="32">
        <v>58745</v>
      </c>
      <c r="B585" s="88">
        <v>31</v>
      </c>
      <c r="C585" s="76">
        <f>131.881</f>
        <v>131.881</v>
      </c>
      <c r="D585" s="76">
        <f>277.167</f>
        <v>277.16699999999997</v>
      </c>
      <c r="E585" s="85">
        <f>79.08</f>
        <v>79.08</v>
      </c>
      <c r="F585" s="76">
        <f>350.872-40-25-60-100</f>
        <v>125.87200000000001</v>
      </c>
      <c r="G585" s="79">
        <v>40</v>
      </c>
      <c r="H585" s="76">
        <f t="shared" si="93"/>
        <v>185</v>
      </c>
      <c r="I585" s="76">
        <f t="shared" si="91"/>
        <v>0</v>
      </c>
      <c r="J585" s="79">
        <v>100</v>
      </c>
      <c r="K585" s="79">
        <v>300</v>
      </c>
      <c r="L585" s="76">
        <f t="shared" si="84"/>
        <v>1239</v>
      </c>
      <c r="M585" s="87">
        <v>600</v>
      </c>
      <c r="N585" s="76">
        <f>75</f>
        <v>75</v>
      </c>
      <c r="O585" s="79">
        <v>240</v>
      </c>
      <c r="P585" s="79">
        <v>160</v>
      </c>
      <c r="Q585" s="79">
        <f t="shared" si="85"/>
        <v>195</v>
      </c>
      <c r="R585" s="79">
        <f t="shared" si="86"/>
        <v>100</v>
      </c>
      <c r="S585" s="76">
        <f t="shared" si="87"/>
        <v>695</v>
      </c>
      <c r="T585" s="76">
        <f>0</f>
        <v>0</v>
      </c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</row>
    <row r="586" spans="1:30" ht="15.75" x14ac:dyDescent="0.25">
      <c r="A586" s="32">
        <v>58775</v>
      </c>
      <c r="B586" s="88">
        <v>30</v>
      </c>
      <c r="C586" s="76">
        <f>122.58</f>
        <v>122.58</v>
      </c>
      <c r="D586" s="76">
        <f>297.941</f>
        <v>297.94099999999997</v>
      </c>
      <c r="E586" s="85">
        <f>89.177</f>
        <v>89.177000000000007</v>
      </c>
      <c r="F586" s="76">
        <f>240.302-40-60-100</f>
        <v>40.301999999999992</v>
      </c>
      <c r="G586" s="79">
        <v>40</v>
      </c>
      <c r="H586" s="76">
        <f>60+100</f>
        <v>160</v>
      </c>
      <c r="I586" s="76">
        <f t="shared" si="91"/>
        <v>0</v>
      </c>
      <c r="J586" s="79">
        <v>100</v>
      </c>
      <c r="K586" s="79">
        <v>300</v>
      </c>
      <c r="L586" s="76">
        <f t="shared" si="84"/>
        <v>1150</v>
      </c>
      <c r="M586" s="87">
        <v>600</v>
      </c>
      <c r="N586" s="76">
        <f>100</f>
        <v>100</v>
      </c>
      <c r="O586" s="79">
        <v>240</v>
      </c>
      <c r="P586" s="79">
        <v>40</v>
      </c>
      <c r="Q586" s="79">
        <f t="shared" si="85"/>
        <v>315</v>
      </c>
      <c r="R586" s="79">
        <f t="shared" si="86"/>
        <v>100</v>
      </c>
      <c r="S586" s="76">
        <f t="shared" si="87"/>
        <v>695</v>
      </c>
      <c r="T586" s="76">
        <f>50</f>
        <v>50</v>
      </c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</row>
    <row r="587" spans="1:30" ht="15.75" x14ac:dyDescent="0.25">
      <c r="A587" s="32">
        <v>58806</v>
      </c>
      <c r="B587" s="88">
        <v>31</v>
      </c>
      <c r="C587" s="76">
        <f>122.58</f>
        <v>122.58</v>
      </c>
      <c r="D587" s="76">
        <f>297.941</f>
        <v>297.94099999999997</v>
      </c>
      <c r="E587" s="85">
        <f>89.177</f>
        <v>89.177000000000007</v>
      </c>
      <c r="F587" s="76">
        <f>240.302-40-60-100</f>
        <v>40.301999999999992</v>
      </c>
      <c r="G587" s="79">
        <v>40</v>
      </c>
      <c r="H587" s="76">
        <f>60+100</f>
        <v>160</v>
      </c>
      <c r="I587" s="76">
        <f t="shared" si="91"/>
        <v>0</v>
      </c>
      <c r="J587" s="79">
        <v>100</v>
      </c>
      <c r="K587" s="79">
        <v>300</v>
      </c>
      <c r="L587" s="76">
        <f t="shared" si="84"/>
        <v>1150</v>
      </c>
      <c r="M587" s="87">
        <v>600</v>
      </c>
      <c r="N587" s="76">
        <f>100</f>
        <v>100</v>
      </c>
      <c r="O587" s="79">
        <v>240</v>
      </c>
      <c r="P587" s="79">
        <v>40</v>
      </c>
      <c r="Q587" s="79">
        <f t="shared" si="85"/>
        <v>315</v>
      </c>
      <c r="R587" s="79">
        <f t="shared" si="86"/>
        <v>100</v>
      </c>
      <c r="S587" s="76">
        <f t="shared" si="87"/>
        <v>695</v>
      </c>
      <c r="T587" s="76">
        <f>50</f>
        <v>50</v>
      </c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</row>
    <row r="588" spans="1:30" ht="15.75" x14ac:dyDescent="0.25">
      <c r="A588" s="32">
        <v>58837</v>
      </c>
      <c r="B588" s="88">
        <v>31</v>
      </c>
      <c r="C588" s="76">
        <f>122.58</f>
        <v>122.58</v>
      </c>
      <c r="D588" s="76">
        <f>297.941</f>
        <v>297.94099999999997</v>
      </c>
      <c r="E588" s="85">
        <f>89.177</f>
        <v>89.177000000000007</v>
      </c>
      <c r="F588" s="76">
        <f>240.302-40-60-100</f>
        <v>40.301999999999992</v>
      </c>
      <c r="G588" s="79">
        <v>40</v>
      </c>
      <c r="H588" s="76">
        <f>60+100</f>
        <v>160</v>
      </c>
      <c r="I588" s="76">
        <f t="shared" si="91"/>
        <v>0</v>
      </c>
      <c r="J588" s="79">
        <v>100</v>
      </c>
      <c r="K588" s="79">
        <v>300</v>
      </c>
      <c r="L588" s="76">
        <f t="shared" si="84"/>
        <v>1150</v>
      </c>
      <c r="M588" s="87">
        <v>600</v>
      </c>
      <c r="N588" s="76">
        <f>100</f>
        <v>100</v>
      </c>
      <c r="O588" s="79">
        <v>240</v>
      </c>
      <c r="P588" s="79">
        <v>40</v>
      </c>
      <c r="Q588" s="79">
        <f t="shared" si="85"/>
        <v>315</v>
      </c>
      <c r="R588" s="79">
        <f t="shared" si="86"/>
        <v>100</v>
      </c>
      <c r="S588" s="76">
        <f t="shared" si="87"/>
        <v>695</v>
      </c>
      <c r="T588" s="76">
        <f>50</f>
        <v>50</v>
      </c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</row>
    <row r="589" spans="1:30" ht="15.75" x14ac:dyDescent="0.25">
      <c r="A589" s="32">
        <v>58865</v>
      </c>
      <c r="B589" s="88">
        <v>28</v>
      </c>
      <c r="C589" s="76">
        <f>122.58</f>
        <v>122.58</v>
      </c>
      <c r="D589" s="76">
        <f>297.941</f>
        <v>297.94099999999997</v>
      </c>
      <c r="E589" s="85">
        <f>89.177</f>
        <v>89.177000000000007</v>
      </c>
      <c r="F589" s="76">
        <f>240.302-40-60-100</f>
        <v>40.301999999999992</v>
      </c>
      <c r="G589" s="79">
        <v>40</v>
      </c>
      <c r="H589" s="76">
        <f>60+100</f>
        <v>160</v>
      </c>
      <c r="I589" s="76">
        <f t="shared" si="91"/>
        <v>0</v>
      </c>
      <c r="J589" s="79">
        <v>100</v>
      </c>
      <c r="K589" s="79">
        <v>300</v>
      </c>
      <c r="L589" s="76">
        <f t="shared" si="84"/>
        <v>1150</v>
      </c>
      <c r="M589" s="87">
        <v>600</v>
      </c>
      <c r="N589" s="76">
        <f>100</f>
        <v>100</v>
      </c>
      <c r="O589" s="79">
        <v>240</v>
      </c>
      <c r="P589" s="79">
        <v>40</v>
      </c>
      <c r="Q589" s="79">
        <f t="shared" si="85"/>
        <v>315</v>
      </c>
      <c r="R589" s="79">
        <f t="shared" si="86"/>
        <v>100</v>
      </c>
      <c r="S589" s="76">
        <f t="shared" si="87"/>
        <v>695</v>
      </c>
      <c r="T589" s="76">
        <f>50</f>
        <v>50</v>
      </c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</row>
    <row r="590" spans="1:30" ht="15.75" x14ac:dyDescent="0.25">
      <c r="A590" s="32">
        <v>58893</v>
      </c>
      <c r="B590" s="88">
        <v>31</v>
      </c>
      <c r="C590" s="76">
        <f>122.58</f>
        <v>122.58</v>
      </c>
      <c r="D590" s="76">
        <f>297.941</f>
        <v>297.94099999999997</v>
      </c>
      <c r="E590" s="85">
        <f>89.177</f>
        <v>89.177000000000007</v>
      </c>
      <c r="F590" s="76">
        <f>240.302-40-60-100</f>
        <v>40.301999999999992</v>
      </c>
      <c r="G590" s="79">
        <v>40</v>
      </c>
      <c r="H590" s="76">
        <f>60+100</f>
        <v>160</v>
      </c>
      <c r="I590" s="76">
        <f t="shared" si="91"/>
        <v>0</v>
      </c>
      <c r="J590" s="79">
        <v>100</v>
      </c>
      <c r="K590" s="79">
        <v>300</v>
      </c>
      <c r="L590" s="76">
        <f t="shared" si="84"/>
        <v>1150</v>
      </c>
      <c r="M590" s="87">
        <v>600</v>
      </c>
      <c r="N590" s="76">
        <f>100</f>
        <v>100</v>
      </c>
      <c r="O590" s="79">
        <v>240</v>
      </c>
      <c r="P590" s="79">
        <v>40</v>
      </c>
      <c r="Q590" s="79">
        <f t="shared" si="85"/>
        <v>315</v>
      </c>
      <c r="R590" s="79">
        <f t="shared" si="86"/>
        <v>100</v>
      </c>
      <c r="S590" s="76">
        <f t="shared" si="87"/>
        <v>695</v>
      </c>
      <c r="T590" s="76">
        <f>50</f>
        <v>50</v>
      </c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</row>
    <row r="591" spans="1:30" ht="15.75" x14ac:dyDescent="0.25">
      <c r="A591" s="32">
        <v>58926</v>
      </c>
      <c r="B591" s="88">
        <v>30</v>
      </c>
      <c r="C591" s="76">
        <f>141.293</f>
        <v>141.29300000000001</v>
      </c>
      <c r="D591" s="76">
        <f>267.993</f>
        <v>267.99299999999999</v>
      </c>
      <c r="E591" s="85">
        <f>115.016</f>
        <v>115.01600000000001</v>
      </c>
      <c r="F591" s="76">
        <f>314.698-40-25-60-100</f>
        <v>89.697999999999979</v>
      </c>
      <c r="G591" s="79">
        <v>40</v>
      </c>
      <c r="H591" s="76">
        <f t="shared" ref="H591:H597" si="94">25+60+100</f>
        <v>185</v>
      </c>
      <c r="I591" s="76">
        <f t="shared" si="91"/>
        <v>0</v>
      </c>
      <c r="J591" s="79">
        <v>100</v>
      </c>
      <c r="K591" s="79">
        <v>300</v>
      </c>
      <c r="L591" s="76">
        <f t="shared" si="84"/>
        <v>1239</v>
      </c>
      <c r="M591" s="87">
        <v>600</v>
      </c>
      <c r="N591" s="76">
        <f>100</f>
        <v>100</v>
      </c>
      <c r="O591" s="79">
        <v>240</v>
      </c>
      <c r="P591" s="79">
        <v>160</v>
      </c>
      <c r="Q591" s="79">
        <f t="shared" si="85"/>
        <v>195</v>
      </c>
      <c r="R591" s="79">
        <f t="shared" si="86"/>
        <v>100</v>
      </c>
      <c r="S591" s="76">
        <f t="shared" si="87"/>
        <v>695</v>
      </c>
      <c r="T591" s="76">
        <f>50</f>
        <v>50</v>
      </c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</row>
    <row r="592" spans="1:30" ht="15.75" x14ac:dyDescent="0.25">
      <c r="A592" s="32">
        <v>58957</v>
      </c>
      <c r="B592" s="88">
        <v>31</v>
      </c>
      <c r="C592" s="76">
        <f>194.205</f>
        <v>194.20500000000001</v>
      </c>
      <c r="D592" s="76">
        <f>267.466</f>
        <v>267.46600000000001</v>
      </c>
      <c r="E592" s="85">
        <f>133.845</f>
        <v>133.845</v>
      </c>
      <c r="F592" s="76">
        <f>278.484-40-25-60-100</f>
        <v>53.48399999999998</v>
      </c>
      <c r="G592" s="79">
        <v>40</v>
      </c>
      <c r="H592" s="76">
        <f t="shared" si="94"/>
        <v>185</v>
      </c>
      <c r="I592" s="76">
        <f t="shared" si="91"/>
        <v>0</v>
      </c>
      <c r="J592" s="79">
        <v>100</v>
      </c>
      <c r="K592" s="79">
        <v>300</v>
      </c>
      <c r="L592" s="76">
        <f t="shared" ref="L592:L655" si="95">SUM(C592:K592)</f>
        <v>1274</v>
      </c>
      <c r="M592" s="87">
        <v>600</v>
      </c>
      <c r="N592" s="76">
        <f>75</f>
        <v>75</v>
      </c>
      <c r="O592" s="79">
        <v>240</v>
      </c>
      <c r="P592" s="79">
        <v>160</v>
      </c>
      <c r="Q592" s="79">
        <f t="shared" ref="Q592:Q655" si="96">695-R592-O592-P592</f>
        <v>195</v>
      </c>
      <c r="R592" s="79">
        <f t="shared" ref="R592:R655" si="97">200-J592</f>
        <v>100</v>
      </c>
      <c r="S592" s="76">
        <f t="shared" ref="S592:S655" si="98">SUM(O592:R592)</f>
        <v>695</v>
      </c>
      <c r="T592" s="76">
        <f>50</f>
        <v>50</v>
      </c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</row>
    <row r="593" spans="1:30" ht="15.75" x14ac:dyDescent="0.25">
      <c r="A593" s="32">
        <v>58987</v>
      </c>
      <c r="B593" s="88">
        <v>30</v>
      </c>
      <c r="C593" s="76">
        <f>194.205</f>
        <v>194.20500000000001</v>
      </c>
      <c r="D593" s="76">
        <f>267.466</f>
        <v>267.46600000000001</v>
      </c>
      <c r="E593" s="85">
        <f>133.845</f>
        <v>133.845</v>
      </c>
      <c r="F593" s="76">
        <f>278.484-40-25-60-100</f>
        <v>53.48399999999998</v>
      </c>
      <c r="G593" s="79">
        <v>40</v>
      </c>
      <c r="H593" s="76">
        <f t="shared" si="94"/>
        <v>185</v>
      </c>
      <c r="I593" s="76">
        <f t="shared" si="91"/>
        <v>0</v>
      </c>
      <c r="J593" s="79">
        <v>100</v>
      </c>
      <c r="K593" s="79">
        <v>300</v>
      </c>
      <c r="L593" s="76">
        <f t="shared" si="95"/>
        <v>1274</v>
      </c>
      <c r="M593" s="87">
        <v>600</v>
      </c>
      <c r="N593" s="76">
        <f>30</f>
        <v>30</v>
      </c>
      <c r="O593" s="79">
        <v>240</v>
      </c>
      <c r="P593" s="79">
        <v>160</v>
      </c>
      <c r="Q593" s="79">
        <f t="shared" si="96"/>
        <v>195</v>
      </c>
      <c r="R593" s="79">
        <f t="shared" si="97"/>
        <v>100</v>
      </c>
      <c r="S593" s="76">
        <f t="shared" si="98"/>
        <v>695</v>
      </c>
      <c r="T593" s="76">
        <f>50</f>
        <v>50</v>
      </c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</row>
    <row r="594" spans="1:30" ht="15.75" x14ac:dyDescent="0.25">
      <c r="A594" s="32">
        <v>59018</v>
      </c>
      <c r="B594" s="88">
        <v>31</v>
      </c>
      <c r="C594" s="76">
        <f>194.205</f>
        <v>194.20500000000001</v>
      </c>
      <c r="D594" s="76">
        <f>267.466</f>
        <v>267.46600000000001</v>
      </c>
      <c r="E594" s="85">
        <f>133.845</f>
        <v>133.845</v>
      </c>
      <c r="F594" s="76">
        <f>278.484-40-25-60-100</f>
        <v>53.48399999999998</v>
      </c>
      <c r="G594" s="79">
        <v>40</v>
      </c>
      <c r="H594" s="76">
        <f t="shared" si="94"/>
        <v>185</v>
      </c>
      <c r="I594" s="76">
        <f t="shared" si="91"/>
        <v>0</v>
      </c>
      <c r="J594" s="79">
        <v>100</v>
      </c>
      <c r="K594" s="79">
        <v>300</v>
      </c>
      <c r="L594" s="76">
        <f t="shared" si="95"/>
        <v>1274</v>
      </c>
      <c r="M594" s="87">
        <v>600</v>
      </c>
      <c r="N594" s="76">
        <f>30</f>
        <v>30</v>
      </c>
      <c r="O594" s="79">
        <v>240</v>
      </c>
      <c r="P594" s="79">
        <v>160</v>
      </c>
      <c r="Q594" s="79">
        <f t="shared" si="96"/>
        <v>195</v>
      </c>
      <c r="R594" s="79">
        <f t="shared" si="97"/>
        <v>100</v>
      </c>
      <c r="S594" s="76">
        <f t="shared" si="98"/>
        <v>695</v>
      </c>
      <c r="T594" s="76">
        <f>0</f>
        <v>0</v>
      </c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</row>
    <row r="595" spans="1:30" ht="15.75" x14ac:dyDescent="0.25">
      <c r="A595" s="32">
        <v>59049</v>
      </c>
      <c r="B595" s="88">
        <v>31</v>
      </c>
      <c r="C595" s="76">
        <f>194.205</f>
        <v>194.20500000000001</v>
      </c>
      <c r="D595" s="76">
        <f>267.466</f>
        <v>267.46600000000001</v>
      </c>
      <c r="E595" s="85">
        <f>133.845</f>
        <v>133.845</v>
      </c>
      <c r="F595" s="76">
        <f>278.484-40-25-60-100</f>
        <v>53.48399999999998</v>
      </c>
      <c r="G595" s="79">
        <v>40</v>
      </c>
      <c r="H595" s="76">
        <f t="shared" si="94"/>
        <v>185</v>
      </c>
      <c r="I595" s="76">
        <f t="shared" si="91"/>
        <v>0</v>
      </c>
      <c r="J595" s="79">
        <v>100</v>
      </c>
      <c r="K595" s="79">
        <v>300</v>
      </c>
      <c r="L595" s="76">
        <f t="shared" si="95"/>
        <v>1274</v>
      </c>
      <c r="M595" s="87">
        <v>600</v>
      </c>
      <c r="N595" s="76">
        <f>30</f>
        <v>30</v>
      </c>
      <c r="O595" s="79">
        <v>240</v>
      </c>
      <c r="P595" s="79">
        <v>160</v>
      </c>
      <c r="Q595" s="79">
        <f t="shared" si="96"/>
        <v>195</v>
      </c>
      <c r="R595" s="79">
        <f t="shared" si="97"/>
        <v>100</v>
      </c>
      <c r="S595" s="76">
        <f t="shared" si="98"/>
        <v>695</v>
      </c>
      <c r="T595" s="76">
        <f>0</f>
        <v>0</v>
      </c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</row>
    <row r="596" spans="1:30" ht="15.75" x14ac:dyDescent="0.25">
      <c r="A596" s="32">
        <v>59079</v>
      </c>
      <c r="B596" s="88">
        <v>30</v>
      </c>
      <c r="C596" s="76">
        <f>194.205</f>
        <v>194.20500000000001</v>
      </c>
      <c r="D596" s="76">
        <f>267.466</f>
        <v>267.46600000000001</v>
      </c>
      <c r="E596" s="85">
        <f>133.845</f>
        <v>133.845</v>
      </c>
      <c r="F596" s="76">
        <f>278.484-40-25-60-100</f>
        <v>53.48399999999998</v>
      </c>
      <c r="G596" s="79">
        <v>40</v>
      </c>
      <c r="H596" s="76">
        <f t="shared" si="94"/>
        <v>185</v>
      </c>
      <c r="I596" s="76">
        <f t="shared" si="91"/>
        <v>0</v>
      </c>
      <c r="J596" s="79">
        <v>100</v>
      </c>
      <c r="K596" s="79">
        <v>300</v>
      </c>
      <c r="L596" s="76">
        <f t="shared" si="95"/>
        <v>1274</v>
      </c>
      <c r="M596" s="87">
        <v>600</v>
      </c>
      <c r="N596" s="76">
        <f>30</f>
        <v>30</v>
      </c>
      <c r="O596" s="79">
        <v>240</v>
      </c>
      <c r="P596" s="79">
        <v>160</v>
      </c>
      <c r="Q596" s="79">
        <f t="shared" si="96"/>
        <v>195</v>
      </c>
      <c r="R596" s="79">
        <f t="shared" si="97"/>
        <v>100</v>
      </c>
      <c r="S596" s="76">
        <f t="shared" si="98"/>
        <v>695</v>
      </c>
      <c r="T596" s="76">
        <f>0</f>
        <v>0</v>
      </c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</row>
    <row r="597" spans="1:30" ht="15.75" x14ac:dyDescent="0.25">
      <c r="A597" s="32">
        <v>59110</v>
      </c>
      <c r="B597" s="88">
        <v>31</v>
      </c>
      <c r="C597" s="76">
        <f>131.881</f>
        <v>131.881</v>
      </c>
      <c r="D597" s="76">
        <f>277.167</f>
        <v>277.16699999999997</v>
      </c>
      <c r="E597" s="85">
        <f>79.08</f>
        <v>79.08</v>
      </c>
      <c r="F597" s="76">
        <f>350.872-40-25-60-100</f>
        <v>125.87200000000001</v>
      </c>
      <c r="G597" s="79">
        <v>40</v>
      </c>
      <c r="H597" s="76">
        <f t="shared" si="94"/>
        <v>185</v>
      </c>
      <c r="I597" s="76">
        <f t="shared" si="91"/>
        <v>0</v>
      </c>
      <c r="J597" s="79">
        <v>100</v>
      </c>
      <c r="K597" s="79">
        <v>300</v>
      </c>
      <c r="L597" s="76">
        <f t="shared" si="95"/>
        <v>1239</v>
      </c>
      <c r="M597" s="87">
        <v>600</v>
      </c>
      <c r="N597" s="76">
        <f>75</f>
        <v>75</v>
      </c>
      <c r="O597" s="79">
        <v>240</v>
      </c>
      <c r="P597" s="79">
        <v>160</v>
      </c>
      <c r="Q597" s="79">
        <f t="shared" si="96"/>
        <v>195</v>
      </c>
      <c r="R597" s="79">
        <f t="shared" si="97"/>
        <v>100</v>
      </c>
      <c r="S597" s="76">
        <f t="shared" si="98"/>
        <v>695</v>
      </c>
      <c r="T597" s="76">
        <f>0</f>
        <v>0</v>
      </c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</row>
    <row r="598" spans="1:30" ht="15.75" x14ac:dyDescent="0.25">
      <c r="A598" s="32">
        <v>59140</v>
      </c>
      <c r="B598" s="88">
        <v>30</v>
      </c>
      <c r="C598" s="76">
        <f>122.58</f>
        <v>122.58</v>
      </c>
      <c r="D598" s="76">
        <f>297.941</f>
        <v>297.94099999999997</v>
      </c>
      <c r="E598" s="85">
        <f>89.177</f>
        <v>89.177000000000007</v>
      </c>
      <c r="F598" s="76">
        <f>240.302-40-60-100</f>
        <v>40.301999999999992</v>
      </c>
      <c r="G598" s="79">
        <v>40</v>
      </c>
      <c r="H598" s="76">
        <f>60+100</f>
        <v>160</v>
      </c>
      <c r="I598" s="76">
        <f t="shared" si="91"/>
        <v>0</v>
      </c>
      <c r="J598" s="79">
        <v>100</v>
      </c>
      <c r="K598" s="79">
        <v>300</v>
      </c>
      <c r="L598" s="76">
        <f t="shared" si="95"/>
        <v>1150</v>
      </c>
      <c r="M598" s="87">
        <v>600</v>
      </c>
      <c r="N598" s="76">
        <f>100</f>
        <v>100</v>
      </c>
      <c r="O598" s="79">
        <v>240</v>
      </c>
      <c r="P598" s="79">
        <v>40</v>
      </c>
      <c r="Q598" s="79">
        <f t="shared" si="96"/>
        <v>315</v>
      </c>
      <c r="R598" s="79">
        <f t="shared" si="97"/>
        <v>100</v>
      </c>
      <c r="S598" s="76">
        <f t="shared" si="98"/>
        <v>695</v>
      </c>
      <c r="T598" s="76">
        <f>50</f>
        <v>50</v>
      </c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</row>
    <row r="599" spans="1:30" ht="15.75" x14ac:dyDescent="0.25">
      <c r="A599" s="32">
        <v>59171</v>
      </c>
      <c r="B599" s="88">
        <v>31</v>
      </c>
      <c r="C599" s="76">
        <f>122.58</f>
        <v>122.58</v>
      </c>
      <c r="D599" s="76">
        <f>297.941</f>
        <v>297.94099999999997</v>
      </c>
      <c r="E599" s="85">
        <f>89.177</f>
        <v>89.177000000000007</v>
      </c>
      <c r="F599" s="76">
        <f>240.302-40-60-100</f>
        <v>40.301999999999992</v>
      </c>
      <c r="G599" s="79">
        <v>40</v>
      </c>
      <c r="H599" s="76">
        <f>60+100</f>
        <v>160</v>
      </c>
      <c r="I599" s="76">
        <f t="shared" si="91"/>
        <v>0</v>
      </c>
      <c r="J599" s="79">
        <v>100</v>
      </c>
      <c r="K599" s="79">
        <v>300</v>
      </c>
      <c r="L599" s="76">
        <f t="shared" si="95"/>
        <v>1150</v>
      </c>
      <c r="M599" s="87">
        <v>600</v>
      </c>
      <c r="N599" s="76">
        <f>100</f>
        <v>100</v>
      </c>
      <c r="O599" s="79">
        <v>240</v>
      </c>
      <c r="P599" s="79">
        <v>40</v>
      </c>
      <c r="Q599" s="79">
        <f t="shared" si="96"/>
        <v>315</v>
      </c>
      <c r="R599" s="79">
        <f t="shared" si="97"/>
        <v>100</v>
      </c>
      <c r="S599" s="76">
        <f t="shared" si="98"/>
        <v>695</v>
      </c>
      <c r="T599" s="76">
        <f>50</f>
        <v>50</v>
      </c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</row>
    <row r="600" spans="1:30" ht="15.75" x14ac:dyDescent="0.25">
      <c r="A600" s="32">
        <v>59202</v>
      </c>
      <c r="B600" s="88">
        <f t="shared" ref="B600:B663" si="99">EOMONTH(A600,0)-EOMONTH(A600,-1)</f>
        <v>31</v>
      </c>
      <c r="C600" s="76">
        <f>122.58</f>
        <v>122.58</v>
      </c>
      <c r="D600" s="76">
        <f>297.941</f>
        <v>297.94099999999997</v>
      </c>
      <c r="E600" s="85">
        <f>89.177</f>
        <v>89.177000000000007</v>
      </c>
      <c r="F600" s="76">
        <f>240.302-40-60-100</f>
        <v>40.301999999999992</v>
      </c>
      <c r="G600" s="79">
        <v>40</v>
      </c>
      <c r="H600" s="76">
        <f>60+100</f>
        <v>160</v>
      </c>
      <c r="I600" s="76">
        <f t="shared" si="91"/>
        <v>0</v>
      </c>
      <c r="J600" s="79">
        <v>100</v>
      </c>
      <c r="K600" s="79">
        <v>300</v>
      </c>
      <c r="L600" s="76">
        <f t="shared" si="95"/>
        <v>1150</v>
      </c>
      <c r="M600" s="87">
        <v>600</v>
      </c>
      <c r="N600" s="76">
        <f>100</f>
        <v>100</v>
      </c>
      <c r="O600" s="79">
        <v>240</v>
      </c>
      <c r="P600" s="79">
        <v>40</v>
      </c>
      <c r="Q600" s="79">
        <f t="shared" si="96"/>
        <v>315</v>
      </c>
      <c r="R600" s="79">
        <f t="shared" si="97"/>
        <v>100</v>
      </c>
      <c r="S600" s="76">
        <f t="shared" si="98"/>
        <v>695</v>
      </c>
      <c r="T600" s="76">
        <f>50</f>
        <v>50</v>
      </c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</row>
    <row r="601" spans="1:30" ht="15.75" x14ac:dyDescent="0.25">
      <c r="A601" s="32">
        <v>59230</v>
      </c>
      <c r="B601" s="88">
        <f t="shared" si="99"/>
        <v>28</v>
      </c>
      <c r="C601" s="76">
        <f>122.58</f>
        <v>122.58</v>
      </c>
      <c r="D601" s="76">
        <f>297.941</f>
        <v>297.94099999999997</v>
      </c>
      <c r="E601" s="85">
        <f>89.177</f>
        <v>89.177000000000007</v>
      </c>
      <c r="F601" s="76">
        <f>240.302-40-60-100</f>
        <v>40.301999999999992</v>
      </c>
      <c r="G601" s="79">
        <v>40</v>
      </c>
      <c r="H601" s="76">
        <f>60+100</f>
        <v>160</v>
      </c>
      <c r="I601" s="76">
        <f t="shared" si="91"/>
        <v>0</v>
      </c>
      <c r="J601" s="79">
        <v>100</v>
      </c>
      <c r="K601" s="79">
        <v>300</v>
      </c>
      <c r="L601" s="76">
        <f t="shared" si="95"/>
        <v>1150</v>
      </c>
      <c r="M601" s="87">
        <v>600</v>
      </c>
      <c r="N601" s="76">
        <f>100</f>
        <v>100</v>
      </c>
      <c r="O601" s="79">
        <v>240</v>
      </c>
      <c r="P601" s="79">
        <v>40</v>
      </c>
      <c r="Q601" s="79">
        <f t="shared" si="96"/>
        <v>315</v>
      </c>
      <c r="R601" s="79">
        <f t="shared" si="97"/>
        <v>100</v>
      </c>
      <c r="S601" s="76">
        <f t="shared" si="98"/>
        <v>695</v>
      </c>
      <c r="T601" s="76">
        <f>50</f>
        <v>50</v>
      </c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</row>
    <row r="602" spans="1:30" ht="15.75" x14ac:dyDescent="0.25">
      <c r="A602" s="32">
        <v>59261</v>
      </c>
      <c r="B602" s="88">
        <f t="shared" si="99"/>
        <v>31</v>
      </c>
      <c r="C602" s="76">
        <f>122.58</f>
        <v>122.58</v>
      </c>
      <c r="D602" s="76">
        <f>297.941</f>
        <v>297.94099999999997</v>
      </c>
      <c r="E602" s="85">
        <f>89.177</f>
        <v>89.177000000000007</v>
      </c>
      <c r="F602" s="76">
        <f>240.302-40-60-100</f>
        <v>40.301999999999992</v>
      </c>
      <c r="G602" s="79">
        <v>40</v>
      </c>
      <c r="H602" s="76">
        <f>60+100</f>
        <v>160</v>
      </c>
      <c r="I602" s="76">
        <f t="shared" si="91"/>
        <v>0</v>
      </c>
      <c r="J602" s="79">
        <v>100</v>
      </c>
      <c r="K602" s="79">
        <v>300</v>
      </c>
      <c r="L602" s="76">
        <f t="shared" si="95"/>
        <v>1150</v>
      </c>
      <c r="M602" s="87">
        <v>600</v>
      </c>
      <c r="N602" s="76">
        <f>100</f>
        <v>100</v>
      </c>
      <c r="O602" s="79">
        <v>240</v>
      </c>
      <c r="P602" s="79">
        <v>40</v>
      </c>
      <c r="Q602" s="79">
        <f t="shared" si="96"/>
        <v>315</v>
      </c>
      <c r="R602" s="79">
        <f t="shared" si="97"/>
        <v>100</v>
      </c>
      <c r="S602" s="76">
        <f t="shared" si="98"/>
        <v>695</v>
      </c>
      <c r="T602" s="76">
        <f>50</f>
        <v>50</v>
      </c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</row>
    <row r="603" spans="1:30" ht="15.75" x14ac:dyDescent="0.25">
      <c r="A603" s="32">
        <v>59291</v>
      </c>
      <c r="B603" s="88">
        <f t="shared" si="99"/>
        <v>30</v>
      </c>
      <c r="C603" s="76">
        <f>141.293</f>
        <v>141.29300000000001</v>
      </c>
      <c r="D603" s="76">
        <f>267.993</f>
        <v>267.99299999999999</v>
      </c>
      <c r="E603" s="85">
        <f>115.016</f>
        <v>115.01600000000001</v>
      </c>
      <c r="F603" s="76">
        <f>314.698-40-25-60-100</f>
        <v>89.697999999999979</v>
      </c>
      <c r="G603" s="79">
        <v>40</v>
      </c>
      <c r="H603" s="76">
        <f t="shared" ref="H603:H609" si="100">25+60+100</f>
        <v>185</v>
      </c>
      <c r="I603" s="76">
        <f t="shared" si="91"/>
        <v>0</v>
      </c>
      <c r="J603" s="79">
        <v>100</v>
      </c>
      <c r="K603" s="79">
        <v>300</v>
      </c>
      <c r="L603" s="76">
        <f t="shared" si="95"/>
        <v>1239</v>
      </c>
      <c r="M603" s="87">
        <v>600</v>
      </c>
      <c r="N603" s="76">
        <f>100</f>
        <v>100</v>
      </c>
      <c r="O603" s="79">
        <v>240</v>
      </c>
      <c r="P603" s="79">
        <v>40</v>
      </c>
      <c r="Q603" s="79">
        <f t="shared" si="96"/>
        <v>315</v>
      </c>
      <c r="R603" s="79">
        <f t="shared" si="97"/>
        <v>100</v>
      </c>
      <c r="S603" s="76">
        <f t="shared" si="98"/>
        <v>695</v>
      </c>
      <c r="T603" s="76">
        <f>50</f>
        <v>50</v>
      </c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</row>
    <row r="604" spans="1:30" ht="15.75" x14ac:dyDescent="0.25">
      <c r="A604" s="32">
        <v>59322</v>
      </c>
      <c r="B604" s="88">
        <f t="shared" si="99"/>
        <v>31</v>
      </c>
      <c r="C604" s="76">
        <f>194.205</f>
        <v>194.20500000000001</v>
      </c>
      <c r="D604" s="76">
        <f>267.466</f>
        <v>267.46600000000001</v>
      </c>
      <c r="E604" s="85">
        <f>133.845</f>
        <v>133.845</v>
      </c>
      <c r="F604" s="76">
        <f>278.484-40-25-60-100</f>
        <v>53.48399999999998</v>
      </c>
      <c r="G604" s="79">
        <v>40</v>
      </c>
      <c r="H604" s="76">
        <f t="shared" si="100"/>
        <v>185</v>
      </c>
      <c r="I604" s="76">
        <f t="shared" si="91"/>
        <v>0</v>
      </c>
      <c r="J604" s="79">
        <v>100</v>
      </c>
      <c r="K604" s="79">
        <v>300</v>
      </c>
      <c r="L604" s="76">
        <f t="shared" si="95"/>
        <v>1274</v>
      </c>
      <c r="M604" s="87">
        <v>600</v>
      </c>
      <c r="N604" s="76">
        <f>75</f>
        <v>75</v>
      </c>
      <c r="O604" s="79">
        <v>240</v>
      </c>
      <c r="P604" s="79">
        <v>40</v>
      </c>
      <c r="Q604" s="79">
        <f t="shared" si="96"/>
        <v>315</v>
      </c>
      <c r="R604" s="79">
        <f t="shared" si="97"/>
        <v>100</v>
      </c>
      <c r="S604" s="76">
        <f t="shared" si="98"/>
        <v>695</v>
      </c>
      <c r="T604" s="76">
        <f>50</f>
        <v>50</v>
      </c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</row>
    <row r="605" spans="1:30" ht="15.75" x14ac:dyDescent="0.25">
      <c r="A605" s="32">
        <v>59352</v>
      </c>
      <c r="B605" s="88">
        <f t="shared" si="99"/>
        <v>30</v>
      </c>
      <c r="C605" s="76">
        <f>194.205</f>
        <v>194.20500000000001</v>
      </c>
      <c r="D605" s="76">
        <f>267.466</f>
        <v>267.46600000000001</v>
      </c>
      <c r="E605" s="85">
        <f>133.845</f>
        <v>133.845</v>
      </c>
      <c r="F605" s="76">
        <f>278.484-40-25-60-100</f>
        <v>53.48399999999998</v>
      </c>
      <c r="G605" s="79">
        <v>40</v>
      </c>
      <c r="H605" s="76">
        <f t="shared" si="100"/>
        <v>185</v>
      </c>
      <c r="I605" s="76">
        <f t="shared" si="91"/>
        <v>0</v>
      </c>
      <c r="J605" s="79">
        <v>100</v>
      </c>
      <c r="K605" s="79">
        <v>300</v>
      </c>
      <c r="L605" s="76">
        <f t="shared" si="95"/>
        <v>1274</v>
      </c>
      <c r="M605" s="87">
        <v>600</v>
      </c>
      <c r="N605" s="76">
        <f>30</f>
        <v>30</v>
      </c>
      <c r="O605" s="79">
        <v>240</v>
      </c>
      <c r="P605" s="79">
        <v>40</v>
      </c>
      <c r="Q605" s="79">
        <f t="shared" si="96"/>
        <v>315</v>
      </c>
      <c r="R605" s="79">
        <f t="shared" si="97"/>
        <v>100</v>
      </c>
      <c r="S605" s="76">
        <f t="shared" si="98"/>
        <v>695</v>
      </c>
      <c r="T605" s="76">
        <f>50</f>
        <v>50</v>
      </c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</row>
    <row r="606" spans="1:30" ht="15.75" x14ac:dyDescent="0.25">
      <c r="A606" s="32">
        <v>59383</v>
      </c>
      <c r="B606" s="88">
        <f t="shared" si="99"/>
        <v>31</v>
      </c>
      <c r="C606" s="76">
        <f>194.205</f>
        <v>194.20500000000001</v>
      </c>
      <c r="D606" s="76">
        <f>267.466</f>
        <v>267.46600000000001</v>
      </c>
      <c r="E606" s="85">
        <f>133.845</f>
        <v>133.845</v>
      </c>
      <c r="F606" s="76">
        <f>278.484-40-25-60-100</f>
        <v>53.48399999999998</v>
      </c>
      <c r="G606" s="79">
        <v>40</v>
      </c>
      <c r="H606" s="76">
        <f t="shared" si="100"/>
        <v>185</v>
      </c>
      <c r="I606" s="76">
        <f t="shared" si="91"/>
        <v>0</v>
      </c>
      <c r="J606" s="79">
        <v>100</v>
      </c>
      <c r="K606" s="79">
        <v>300</v>
      </c>
      <c r="L606" s="76">
        <f t="shared" si="95"/>
        <v>1274</v>
      </c>
      <c r="M606" s="87">
        <v>600</v>
      </c>
      <c r="N606" s="76">
        <f>30</f>
        <v>30</v>
      </c>
      <c r="O606" s="79">
        <v>240</v>
      </c>
      <c r="P606" s="79">
        <v>40</v>
      </c>
      <c r="Q606" s="79">
        <f t="shared" si="96"/>
        <v>315</v>
      </c>
      <c r="R606" s="79">
        <f t="shared" si="97"/>
        <v>100</v>
      </c>
      <c r="S606" s="76">
        <f t="shared" si="98"/>
        <v>695</v>
      </c>
      <c r="T606" s="76">
        <f>0</f>
        <v>0</v>
      </c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</row>
    <row r="607" spans="1:30" ht="15.75" x14ac:dyDescent="0.25">
      <c r="A607" s="32">
        <v>59414</v>
      </c>
      <c r="B607" s="88">
        <f t="shared" si="99"/>
        <v>31</v>
      </c>
      <c r="C607" s="76">
        <f>194.205</f>
        <v>194.20500000000001</v>
      </c>
      <c r="D607" s="76">
        <f>267.466</f>
        <v>267.46600000000001</v>
      </c>
      <c r="E607" s="85">
        <f>133.845</f>
        <v>133.845</v>
      </c>
      <c r="F607" s="76">
        <f>278.484-40-25-60-100</f>
        <v>53.48399999999998</v>
      </c>
      <c r="G607" s="79">
        <v>40</v>
      </c>
      <c r="H607" s="76">
        <f t="shared" si="100"/>
        <v>185</v>
      </c>
      <c r="I607" s="76">
        <f t="shared" si="91"/>
        <v>0</v>
      </c>
      <c r="J607" s="79">
        <v>100</v>
      </c>
      <c r="K607" s="79">
        <v>300</v>
      </c>
      <c r="L607" s="76">
        <f t="shared" si="95"/>
        <v>1274</v>
      </c>
      <c r="M607" s="87">
        <v>600</v>
      </c>
      <c r="N607" s="76">
        <f>30</f>
        <v>30</v>
      </c>
      <c r="O607" s="79">
        <v>240</v>
      </c>
      <c r="P607" s="79">
        <v>40</v>
      </c>
      <c r="Q607" s="79">
        <f t="shared" si="96"/>
        <v>315</v>
      </c>
      <c r="R607" s="79">
        <f t="shared" si="97"/>
        <v>100</v>
      </c>
      <c r="S607" s="76">
        <f t="shared" si="98"/>
        <v>695</v>
      </c>
      <c r="T607" s="76">
        <f>0</f>
        <v>0</v>
      </c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</row>
    <row r="608" spans="1:30" ht="15.75" x14ac:dyDescent="0.25">
      <c r="A608" s="32">
        <v>59444</v>
      </c>
      <c r="B608" s="88">
        <f t="shared" si="99"/>
        <v>30</v>
      </c>
      <c r="C608" s="76">
        <f>194.205</f>
        <v>194.20500000000001</v>
      </c>
      <c r="D608" s="76">
        <f>267.466</f>
        <v>267.46600000000001</v>
      </c>
      <c r="E608" s="85">
        <f>133.845</f>
        <v>133.845</v>
      </c>
      <c r="F608" s="76">
        <f>278.484-40-25-60-100</f>
        <v>53.48399999999998</v>
      </c>
      <c r="G608" s="79">
        <v>40</v>
      </c>
      <c r="H608" s="76">
        <f t="shared" si="100"/>
        <v>185</v>
      </c>
      <c r="I608" s="76">
        <f t="shared" si="91"/>
        <v>0</v>
      </c>
      <c r="J608" s="79">
        <v>100</v>
      </c>
      <c r="K608" s="79">
        <v>300</v>
      </c>
      <c r="L608" s="76">
        <f t="shared" si="95"/>
        <v>1274</v>
      </c>
      <c r="M608" s="87">
        <v>600</v>
      </c>
      <c r="N608" s="76">
        <f>30</f>
        <v>30</v>
      </c>
      <c r="O608" s="79">
        <v>240</v>
      </c>
      <c r="P608" s="79">
        <v>40</v>
      </c>
      <c r="Q608" s="79">
        <f t="shared" si="96"/>
        <v>315</v>
      </c>
      <c r="R608" s="79">
        <f t="shared" si="97"/>
        <v>100</v>
      </c>
      <c r="S608" s="76">
        <f t="shared" si="98"/>
        <v>695</v>
      </c>
      <c r="T608" s="76">
        <f>0</f>
        <v>0</v>
      </c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</row>
    <row r="609" spans="1:30" ht="15.75" x14ac:dyDescent="0.25">
      <c r="A609" s="32">
        <v>59475</v>
      </c>
      <c r="B609" s="88">
        <f t="shared" si="99"/>
        <v>31</v>
      </c>
      <c r="C609" s="76">
        <f>131.881</f>
        <v>131.881</v>
      </c>
      <c r="D609" s="76">
        <f>277.167</f>
        <v>277.16699999999997</v>
      </c>
      <c r="E609" s="85">
        <f>79.08</f>
        <v>79.08</v>
      </c>
      <c r="F609" s="76">
        <f>350.872-40-25-60-100</f>
        <v>125.87200000000001</v>
      </c>
      <c r="G609" s="79">
        <v>40</v>
      </c>
      <c r="H609" s="76">
        <f t="shared" si="100"/>
        <v>185</v>
      </c>
      <c r="I609" s="76">
        <f t="shared" si="91"/>
        <v>0</v>
      </c>
      <c r="J609" s="79">
        <v>100</v>
      </c>
      <c r="K609" s="79">
        <v>300</v>
      </c>
      <c r="L609" s="76">
        <f t="shared" si="95"/>
        <v>1239</v>
      </c>
      <c r="M609" s="87">
        <v>600</v>
      </c>
      <c r="N609" s="76">
        <f>75</f>
        <v>75</v>
      </c>
      <c r="O609" s="79">
        <v>240</v>
      </c>
      <c r="P609" s="79">
        <v>40</v>
      </c>
      <c r="Q609" s="79">
        <f t="shared" si="96"/>
        <v>315</v>
      </c>
      <c r="R609" s="79">
        <f t="shared" si="97"/>
        <v>100</v>
      </c>
      <c r="S609" s="76">
        <f t="shared" si="98"/>
        <v>695</v>
      </c>
      <c r="T609" s="76">
        <f>0</f>
        <v>0</v>
      </c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</row>
    <row r="610" spans="1:30" ht="15.75" x14ac:dyDescent="0.25">
      <c r="A610" s="32">
        <v>59505</v>
      </c>
      <c r="B610" s="88">
        <f t="shared" si="99"/>
        <v>30</v>
      </c>
      <c r="C610" s="76">
        <f>122.58</f>
        <v>122.58</v>
      </c>
      <c r="D610" s="76">
        <f>297.941</f>
        <v>297.94099999999997</v>
      </c>
      <c r="E610" s="85">
        <f>89.177</f>
        <v>89.177000000000007</v>
      </c>
      <c r="F610" s="76">
        <f>240.302-40-60-100</f>
        <v>40.301999999999992</v>
      </c>
      <c r="G610" s="79">
        <v>40</v>
      </c>
      <c r="H610" s="76">
        <f>60+100</f>
        <v>160</v>
      </c>
      <c r="I610" s="76">
        <f t="shared" si="91"/>
        <v>0</v>
      </c>
      <c r="J610" s="79">
        <v>100</v>
      </c>
      <c r="K610" s="79">
        <v>300</v>
      </c>
      <c r="L610" s="76">
        <f t="shared" si="95"/>
        <v>1150</v>
      </c>
      <c r="M610" s="87">
        <v>600</v>
      </c>
      <c r="N610" s="76">
        <f>100</f>
        <v>100</v>
      </c>
      <c r="O610" s="79">
        <v>240</v>
      </c>
      <c r="P610" s="79">
        <v>40</v>
      </c>
      <c r="Q610" s="79">
        <f t="shared" si="96"/>
        <v>315</v>
      </c>
      <c r="R610" s="79">
        <f t="shared" si="97"/>
        <v>100</v>
      </c>
      <c r="S610" s="76">
        <f t="shared" si="98"/>
        <v>695</v>
      </c>
      <c r="T610" s="76">
        <f>50</f>
        <v>50</v>
      </c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</row>
    <row r="611" spans="1:30" ht="15.75" x14ac:dyDescent="0.25">
      <c r="A611" s="32">
        <v>59536</v>
      </c>
      <c r="B611" s="88">
        <f t="shared" si="99"/>
        <v>31</v>
      </c>
      <c r="C611" s="76">
        <f>122.58</f>
        <v>122.58</v>
      </c>
      <c r="D611" s="76">
        <f>297.941</f>
        <v>297.94099999999997</v>
      </c>
      <c r="E611" s="85">
        <f>89.177</f>
        <v>89.177000000000007</v>
      </c>
      <c r="F611" s="76">
        <f>240.302-40-60-100</f>
        <v>40.301999999999992</v>
      </c>
      <c r="G611" s="79">
        <v>40</v>
      </c>
      <c r="H611" s="76">
        <f>60+100</f>
        <v>160</v>
      </c>
      <c r="I611" s="76">
        <f t="shared" si="91"/>
        <v>0</v>
      </c>
      <c r="J611" s="79">
        <v>100</v>
      </c>
      <c r="K611" s="79">
        <v>300</v>
      </c>
      <c r="L611" s="76">
        <f t="shared" si="95"/>
        <v>1150</v>
      </c>
      <c r="M611" s="87">
        <v>600</v>
      </c>
      <c r="N611" s="76">
        <f>100</f>
        <v>100</v>
      </c>
      <c r="O611" s="79">
        <v>240</v>
      </c>
      <c r="P611" s="79">
        <v>40</v>
      </c>
      <c r="Q611" s="79">
        <f t="shared" si="96"/>
        <v>315</v>
      </c>
      <c r="R611" s="79">
        <f t="shared" si="97"/>
        <v>100</v>
      </c>
      <c r="S611" s="76">
        <f t="shared" si="98"/>
        <v>695</v>
      </c>
      <c r="T611" s="76">
        <f>50</f>
        <v>50</v>
      </c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</row>
    <row r="612" spans="1:30" ht="15.75" x14ac:dyDescent="0.25">
      <c r="A612" s="32">
        <v>59567</v>
      </c>
      <c r="B612" s="88">
        <f t="shared" si="99"/>
        <v>31</v>
      </c>
      <c r="C612" s="76">
        <f>122.58</f>
        <v>122.58</v>
      </c>
      <c r="D612" s="76">
        <f>297.941</f>
        <v>297.94099999999997</v>
      </c>
      <c r="E612" s="85">
        <f>89.177</f>
        <v>89.177000000000007</v>
      </c>
      <c r="F612" s="76">
        <f>240.302-40-60-100</f>
        <v>40.301999999999992</v>
      </c>
      <c r="G612" s="79">
        <v>40</v>
      </c>
      <c r="H612" s="76">
        <f>60+100</f>
        <v>160</v>
      </c>
      <c r="I612" s="76">
        <f t="shared" si="91"/>
        <v>0</v>
      </c>
      <c r="J612" s="79">
        <v>100</v>
      </c>
      <c r="K612" s="79">
        <v>300</v>
      </c>
      <c r="L612" s="76">
        <f t="shared" si="95"/>
        <v>1150</v>
      </c>
      <c r="M612" s="87">
        <v>600</v>
      </c>
      <c r="N612" s="76">
        <f>100</f>
        <v>100</v>
      </c>
      <c r="O612" s="79">
        <v>240</v>
      </c>
      <c r="P612" s="79">
        <v>40</v>
      </c>
      <c r="Q612" s="79">
        <f t="shared" si="96"/>
        <v>315</v>
      </c>
      <c r="R612" s="79">
        <f t="shared" si="97"/>
        <v>100</v>
      </c>
      <c r="S612" s="76">
        <f t="shared" si="98"/>
        <v>695</v>
      </c>
      <c r="T612" s="76">
        <f>50</f>
        <v>50</v>
      </c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</row>
    <row r="613" spans="1:30" ht="15.75" x14ac:dyDescent="0.25">
      <c r="A613" s="32">
        <v>59595</v>
      </c>
      <c r="B613" s="88">
        <f t="shared" si="99"/>
        <v>28</v>
      </c>
      <c r="C613" s="76">
        <f>122.58</f>
        <v>122.58</v>
      </c>
      <c r="D613" s="76">
        <f>297.941</f>
        <v>297.94099999999997</v>
      </c>
      <c r="E613" s="85">
        <f>89.177</f>
        <v>89.177000000000007</v>
      </c>
      <c r="F613" s="76">
        <f>240.302-40-60-100</f>
        <v>40.301999999999992</v>
      </c>
      <c r="G613" s="79">
        <v>40</v>
      </c>
      <c r="H613" s="76">
        <f>60+100</f>
        <v>160</v>
      </c>
      <c r="I613" s="76">
        <f t="shared" si="91"/>
        <v>0</v>
      </c>
      <c r="J613" s="79">
        <v>100</v>
      </c>
      <c r="K613" s="79">
        <v>300</v>
      </c>
      <c r="L613" s="76">
        <f t="shared" si="95"/>
        <v>1150</v>
      </c>
      <c r="M613" s="87">
        <v>600</v>
      </c>
      <c r="N613" s="76">
        <f>100</f>
        <v>100</v>
      </c>
      <c r="O613" s="79">
        <v>240</v>
      </c>
      <c r="P613" s="79">
        <v>40</v>
      </c>
      <c r="Q613" s="79">
        <f t="shared" si="96"/>
        <v>315</v>
      </c>
      <c r="R613" s="79">
        <f t="shared" si="97"/>
        <v>100</v>
      </c>
      <c r="S613" s="76">
        <f t="shared" si="98"/>
        <v>695</v>
      </c>
      <c r="T613" s="76">
        <f>50</f>
        <v>50</v>
      </c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</row>
    <row r="614" spans="1:30" ht="15.75" x14ac:dyDescent="0.25">
      <c r="A614" s="32">
        <v>59626</v>
      </c>
      <c r="B614" s="88">
        <f t="shared" si="99"/>
        <v>31</v>
      </c>
      <c r="C614" s="76">
        <f>122.58</f>
        <v>122.58</v>
      </c>
      <c r="D614" s="76">
        <f>297.941</f>
        <v>297.94099999999997</v>
      </c>
      <c r="E614" s="85">
        <f>89.177</f>
        <v>89.177000000000007</v>
      </c>
      <c r="F614" s="76">
        <f>240.302-40-60-100</f>
        <v>40.301999999999992</v>
      </c>
      <c r="G614" s="79">
        <v>40</v>
      </c>
      <c r="H614" s="76">
        <f>60+100</f>
        <v>160</v>
      </c>
      <c r="I614" s="76">
        <f t="shared" si="91"/>
        <v>0</v>
      </c>
      <c r="J614" s="79">
        <v>100</v>
      </c>
      <c r="K614" s="79">
        <v>300</v>
      </c>
      <c r="L614" s="76">
        <f t="shared" si="95"/>
        <v>1150</v>
      </c>
      <c r="M614" s="87">
        <v>600</v>
      </c>
      <c r="N614" s="76">
        <f>100</f>
        <v>100</v>
      </c>
      <c r="O614" s="79">
        <v>240</v>
      </c>
      <c r="P614" s="79">
        <v>40</v>
      </c>
      <c r="Q614" s="79">
        <f t="shared" si="96"/>
        <v>315</v>
      </c>
      <c r="R614" s="79">
        <f t="shared" si="97"/>
        <v>100</v>
      </c>
      <c r="S614" s="76">
        <f t="shared" si="98"/>
        <v>695</v>
      </c>
      <c r="T614" s="76">
        <f>50</f>
        <v>50</v>
      </c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</row>
    <row r="615" spans="1:30" ht="15.75" x14ac:dyDescent="0.25">
      <c r="A615" s="32">
        <v>59656</v>
      </c>
      <c r="B615" s="88">
        <f t="shared" si="99"/>
        <v>30</v>
      </c>
      <c r="C615" s="76">
        <f>141.293</f>
        <v>141.29300000000001</v>
      </c>
      <c r="D615" s="76">
        <f>267.993</f>
        <v>267.99299999999999</v>
      </c>
      <c r="E615" s="85">
        <f>115.016</f>
        <v>115.01600000000001</v>
      </c>
      <c r="F615" s="76">
        <f>314.698-40-25-60-100</f>
        <v>89.697999999999979</v>
      </c>
      <c r="G615" s="79">
        <v>40</v>
      </c>
      <c r="H615" s="76">
        <f t="shared" ref="H615:H621" si="101">25+60+100</f>
        <v>185</v>
      </c>
      <c r="I615" s="76">
        <f t="shared" si="91"/>
        <v>0</v>
      </c>
      <c r="J615" s="79">
        <v>100</v>
      </c>
      <c r="K615" s="79">
        <v>300</v>
      </c>
      <c r="L615" s="76">
        <f t="shared" si="95"/>
        <v>1239</v>
      </c>
      <c r="M615" s="87">
        <v>600</v>
      </c>
      <c r="N615" s="76">
        <f>100</f>
        <v>100</v>
      </c>
      <c r="O615" s="79">
        <v>240</v>
      </c>
      <c r="P615" s="79">
        <v>40</v>
      </c>
      <c r="Q615" s="79">
        <f t="shared" si="96"/>
        <v>315</v>
      </c>
      <c r="R615" s="79">
        <f t="shared" si="97"/>
        <v>100</v>
      </c>
      <c r="S615" s="76">
        <f t="shared" si="98"/>
        <v>695</v>
      </c>
      <c r="T615" s="76">
        <f>50</f>
        <v>50</v>
      </c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</row>
    <row r="616" spans="1:30" ht="15.75" x14ac:dyDescent="0.25">
      <c r="A616" s="32">
        <v>59687</v>
      </c>
      <c r="B616" s="88">
        <f t="shared" si="99"/>
        <v>31</v>
      </c>
      <c r="C616" s="76">
        <f>194.205</f>
        <v>194.20500000000001</v>
      </c>
      <c r="D616" s="76">
        <f>267.466</f>
        <v>267.46600000000001</v>
      </c>
      <c r="E616" s="85">
        <f>133.845</f>
        <v>133.845</v>
      </c>
      <c r="F616" s="76">
        <f>278.484-40-25-60-100</f>
        <v>53.48399999999998</v>
      </c>
      <c r="G616" s="79">
        <v>40</v>
      </c>
      <c r="H616" s="76">
        <f t="shared" si="101"/>
        <v>185</v>
      </c>
      <c r="I616" s="76">
        <f t="shared" si="91"/>
        <v>0</v>
      </c>
      <c r="J616" s="79">
        <v>100</v>
      </c>
      <c r="K616" s="79">
        <v>300</v>
      </c>
      <c r="L616" s="76">
        <f t="shared" si="95"/>
        <v>1274</v>
      </c>
      <c r="M616" s="87">
        <v>600</v>
      </c>
      <c r="N616" s="76">
        <f>75</f>
        <v>75</v>
      </c>
      <c r="O616" s="79">
        <v>240</v>
      </c>
      <c r="P616" s="79">
        <v>40</v>
      </c>
      <c r="Q616" s="79">
        <f t="shared" si="96"/>
        <v>315</v>
      </c>
      <c r="R616" s="79">
        <f t="shared" si="97"/>
        <v>100</v>
      </c>
      <c r="S616" s="76">
        <f t="shared" si="98"/>
        <v>695</v>
      </c>
      <c r="T616" s="76">
        <f>50</f>
        <v>50</v>
      </c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</row>
    <row r="617" spans="1:30" ht="15.75" x14ac:dyDescent="0.25">
      <c r="A617" s="32">
        <v>59717</v>
      </c>
      <c r="B617" s="88">
        <f t="shared" si="99"/>
        <v>30</v>
      </c>
      <c r="C617" s="76">
        <f>194.205</f>
        <v>194.20500000000001</v>
      </c>
      <c r="D617" s="76">
        <f>267.466</f>
        <v>267.46600000000001</v>
      </c>
      <c r="E617" s="85">
        <f>133.845</f>
        <v>133.845</v>
      </c>
      <c r="F617" s="76">
        <f>278.484-40-25-60-100</f>
        <v>53.48399999999998</v>
      </c>
      <c r="G617" s="79">
        <v>40</v>
      </c>
      <c r="H617" s="76">
        <f t="shared" si="101"/>
        <v>185</v>
      </c>
      <c r="I617" s="76">
        <f t="shared" si="91"/>
        <v>0</v>
      </c>
      <c r="J617" s="79">
        <v>100</v>
      </c>
      <c r="K617" s="79">
        <v>300</v>
      </c>
      <c r="L617" s="76">
        <f t="shared" si="95"/>
        <v>1274</v>
      </c>
      <c r="M617" s="87">
        <v>600</v>
      </c>
      <c r="N617" s="76">
        <f>30</f>
        <v>30</v>
      </c>
      <c r="O617" s="79">
        <v>240</v>
      </c>
      <c r="P617" s="79">
        <v>40</v>
      </c>
      <c r="Q617" s="79">
        <f t="shared" si="96"/>
        <v>315</v>
      </c>
      <c r="R617" s="79">
        <f t="shared" si="97"/>
        <v>100</v>
      </c>
      <c r="S617" s="76">
        <f t="shared" si="98"/>
        <v>695</v>
      </c>
      <c r="T617" s="76">
        <f>50</f>
        <v>50</v>
      </c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</row>
    <row r="618" spans="1:30" ht="15.75" x14ac:dyDescent="0.25">
      <c r="A618" s="32">
        <v>59748</v>
      </c>
      <c r="B618" s="88">
        <f t="shared" si="99"/>
        <v>31</v>
      </c>
      <c r="C618" s="76">
        <f>194.205</f>
        <v>194.20500000000001</v>
      </c>
      <c r="D618" s="76">
        <f>267.466</f>
        <v>267.46600000000001</v>
      </c>
      <c r="E618" s="85">
        <f>133.845</f>
        <v>133.845</v>
      </c>
      <c r="F618" s="76">
        <f>278.484-40-25-60-100</f>
        <v>53.48399999999998</v>
      </c>
      <c r="G618" s="79">
        <v>40</v>
      </c>
      <c r="H618" s="76">
        <f t="shared" si="101"/>
        <v>185</v>
      </c>
      <c r="I618" s="76">
        <f t="shared" si="91"/>
        <v>0</v>
      </c>
      <c r="J618" s="79">
        <v>100</v>
      </c>
      <c r="K618" s="79">
        <v>300</v>
      </c>
      <c r="L618" s="76">
        <f t="shared" si="95"/>
        <v>1274</v>
      </c>
      <c r="M618" s="87">
        <v>600</v>
      </c>
      <c r="N618" s="76">
        <f>30</f>
        <v>30</v>
      </c>
      <c r="O618" s="79">
        <v>240</v>
      </c>
      <c r="P618" s="79">
        <v>40</v>
      </c>
      <c r="Q618" s="79">
        <f t="shared" si="96"/>
        <v>315</v>
      </c>
      <c r="R618" s="79">
        <f t="shared" si="97"/>
        <v>100</v>
      </c>
      <c r="S618" s="76">
        <f t="shared" si="98"/>
        <v>695</v>
      </c>
      <c r="T618" s="76">
        <f>0</f>
        <v>0</v>
      </c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</row>
    <row r="619" spans="1:30" ht="15.75" x14ac:dyDescent="0.25">
      <c r="A619" s="32">
        <v>59779</v>
      </c>
      <c r="B619" s="88">
        <f t="shared" si="99"/>
        <v>31</v>
      </c>
      <c r="C619" s="76">
        <f>194.205</f>
        <v>194.20500000000001</v>
      </c>
      <c r="D619" s="76">
        <f>267.466</f>
        <v>267.46600000000001</v>
      </c>
      <c r="E619" s="85">
        <f>133.845</f>
        <v>133.845</v>
      </c>
      <c r="F619" s="76">
        <f>278.484-40-25-60-100</f>
        <v>53.48399999999998</v>
      </c>
      <c r="G619" s="79">
        <v>40</v>
      </c>
      <c r="H619" s="76">
        <f t="shared" si="101"/>
        <v>185</v>
      </c>
      <c r="I619" s="76">
        <f t="shared" si="91"/>
        <v>0</v>
      </c>
      <c r="J619" s="79">
        <v>100</v>
      </c>
      <c r="K619" s="79">
        <v>300</v>
      </c>
      <c r="L619" s="76">
        <f t="shared" si="95"/>
        <v>1274</v>
      </c>
      <c r="M619" s="87">
        <v>600</v>
      </c>
      <c r="N619" s="76">
        <f>30</f>
        <v>30</v>
      </c>
      <c r="O619" s="79">
        <v>240</v>
      </c>
      <c r="P619" s="79">
        <v>40</v>
      </c>
      <c r="Q619" s="79">
        <f t="shared" si="96"/>
        <v>315</v>
      </c>
      <c r="R619" s="79">
        <f t="shared" si="97"/>
        <v>100</v>
      </c>
      <c r="S619" s="76">
        <f t="shared" si="98"/>
        <v>695</v>
      </c>
      <c r="T619" s="76">
        <f>0</f>
        <v>0</v>
      </c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</row>
    <row r="620" spans="1:30" ht="15.75" x14ac:dyDescent="0.25">
      <c r="A620" s="32">
        <v>59809</v>
      </c>
      <c r="B620" s="88">
        <f t="shared" si="99"/>
        <v>30</v>
      </c>
      <c r="C620" s="76">
        <f>194.205</f>
        <v>194.20500000000001</v>
      </c>
      <c r="D620" s="76">
        <f>267.466</f>
        <v>267.46600000000001</v>
      </c>
      <c r="E620" s="85">
        <f>133.845</f>
        <v>133.845</v>
      </c>
      <c r="F620" s="76">
        <f>278.484-40-25-60-100</f>
        <v>53.48399999999998</v>
      </c>
      <c r="G620" s="79">
        <v>40</v>
      </c>
      <c r="H620" s="76">
        <f t="shared" si="101"/>
        <v>185</v>
      </c>
      <c r="I620" s="76">
        <f t="shared" si="91"/>
        <v>0</v>
      </c>
      <c r="J620" s="79">
        <v>100</v>
      </c>
      <c r="K620" s="79">
        <v>300</v>
      </c>
      <c r="L620" s="76">
        <f t="shared" si="95"/>
        <v>1274</v>
      </c>
      <c r="M620" s="87">
        <v>600</v>
      </c>
      <c r="N620" s="76">
        <f>30</f>
        <v>30</v>
      </c>
      <c r="O620" s="79">
        <v>240</v>
      </c>
      <c r="P620" s="79">
        <v>40</v>
      </c>
      <c r="Q620" s="79">
        <f t="shared" si="96"/>
        <v>315</v>
      </c>
      <c r="R620" s="79">
        <f t="shared" si="97"/>
        <v>100</v>
      </c>
      <c r="S620" s="76">
        <f t="shared" si="98"/>
        <v>695</v>
      </c>
      <c r="T620" s="76">
        <f>0</f>
        <v>0</v>
      </c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</row>
    <row r="621" spans="1:30" ht="15.75" x14ac:dyDescent="0.25">
      <c r="A621" s="32">
        <v>59840</v>
      </c>
      <c r="B621" s="88">
        <f t="shared" si="99"/>
        <v>31</v>
      </c>
      <c r="C621" s="76">
        <f>131.881</f>
        <v>131.881</v>
      </c>
      <c r="D621" s="76">
        <f>277.167</f>
        <v>277.16699999999997</v>
      </c>
      <c r="E621" s="85">
        <f>79.08</f>
        <v>79.08</v>
      </c>
      <c r="F621" s="76">
        <f>350.872-40-25-60-100</f>
        <v>125.87200000000001</v>
      </c>
      <c r="G621" s="79">
        <v>40</v>
      </c>
      <c r="H621" s="76">
        <f t="shared" si="101"/>
        <v>185</v>
      </c>
      <c r="I621" s="76">
        <f t="shared" si="91"/>
        <v>0</v>
      </c>
      <c r="J621" s="79">
        <v>100</v>
      </c>
      <c r="K621" s="79">
        <v>300</v>
      </c>
      <c r="L621" s="76">
        <f t="shared" si="95"/>
        <v>1239</v>
      </c>
      <c r="M621" s="87">
        <v>600</v>
      </c>
      <c r="N621" s="76">
        <f>75</f>
        <v>75</v>
      </c>
      <c r="O621" s="79">
        <v>240</v>
      </c>
      <c r="P621" s="79">
        <v>40</v>
      </c>
      <c r="Q621" s="79">
        <f t="shared" si="96"/>
        <v>315</v>
      </c>
      <c r="R621" s="79">
        <f t="shared" si="97"/>
        <v>100</v>
      </c>
      <c r="S621" s="76">
        <f t="shared" si="98"/>
        <v>695</v>
      </c>
      <c r="T621" s="76">
        <f>0</f>
        <v>0</v>
      </c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</row>
    <row r="622" spans="1:30" ht="15.75" x14ac:dyDescent="0.25">
      <c r="A622" s="32">
        <v>59870</v>
      </c>
      <c r="B622" s="88">
        <f t="shared" si="99"/>
        <v>30</v>
      </c>
      <c r="C622" s="76">
        <f>122.58</f>
        <v>122.58</v>
      </c>
      <c r="D622" s="76">
        <f>297.941</f>
        <v>297.94099999999997</v>
      </c>
      <c r="E622" s="85">
        <f>89.177</f>
        <v>89.177000000000007</v>
      </c>
      <c r="F622" s="76">
        <f>240.302-40-60-100</f>
        <v>40.301999999999992</v>
      </c>
      <c r="G622" s="79">
        <v>40</v>
      </c>
      <c r="H622" s="76">
        <f>60+100</f>
        <v>160</v>
      </c>
      <c r="I622" s="76">
        <f t="shared" si="91"/>
        <v>0</v>
      </c>
      <c r="J622" s="79">
        <v>100</v>
      </c>
      <c r="K622" s="79">
        <v>300</v>
      </c>
      <c r="L622" s="76">
        <f t="shared" si="95"/>
        <v>1150</v>
      </c>
      <c r="M622" s="87">
        <v>600</v>
      </c>
      <c r="N622" s="76">
        <f>100</f>
        <v>100</v>
      </c>
      <c r="O622" s="79">
        <v>240</v>
      </c>
      <c r="P622" s="79">
        <v>40</v>
      </c>
      <c r="Q622" s="79">
        <f t="shared" si="96"/>
        <v>315</v>
      </c>
      <c r="R622" s="79">
        <f t="shared" si="97"/>
        <v>100</v>
      </c>
      <c r="S622" s="76">
        <f t="shared" si="98"/>
        <v>695</v>
      </c>
      <c r="T622" s="76">
        <f>50</f>
        <v>50</v>
      </c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</row>
    <row r="623" spans="1:30" ht="15.75" x14ac:dyDescent="0.25">
      <c r="A623" s="32">
        <v>59901</v>
      </c>
      <c r="B623" s="88">
        <f t="shared" si="99"/>
        <v>31</v>
      </c>
      <c r="C623" s="76">
        <f>122.58</f>
        <v>122.58</v>
      </c>
      <c r="D623" s="76">
        <f>297.941</f>
        <v>297.94099999999997</v>
      </c>
      <c r="E623" s="85">
        <f>89.177</f>
        <v>89.177000000000007</v>
      </c>
      <c r="F623" s="76">
        <f>240.302-40-60-100</f>
        <v>40.301999999999992</v>
      </c>
      <c r="G623" s="79">
        <v>40</v>
      </c>
      <c r="H623" s="76">
        <f>60+100</f>
        <v>160</v>
      </c>
      <c r="I623" s="76">
        <f t="shared" si="91"/>
        <v>0</v>
      </c>
      <c r="J623" s="79">
        <v>100</v>
      </c>
      <c r="K623" s="79">
        <v>300</v>
      </c>
      <c r="L623" s="76">
        <f t="shared" si="95"/>
        <v>1150</v>
      </c>
      <c r="M623" s="87">
        <v>600</v>
      </c>
      <c r="N623" s="76">
        <f>100</f>
        <v>100</v>
      </c>
      <c r="O623" s="79">
        <v>240</v>
      </c>
      <c r="P623" s="79">
        <v>40</v>
      </c>
      <c r="Q623" s="79">
        <f t="shared" si="96"/>
        <v>315</v>
      </c>
      <c r="R623" s="79">
        <f t="shared" si="97"/>
        <v>100</v>
      </c>
      <c r="S623" s="76">
        <f t="shared" si="98"/>
        <v>695</v>
      </c>
      <c r="T623" s="76">
        <f>50</f>
        <v>50</v>
      </c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</row>
    <row r="624" spans="1:30" ht="15.75" x14ac:dyDescent="0.25">
      <c r="A624" s="32">
        <v>59932</v>
      </c>
      <c r="B624" s="88">
        <f t="shared" si="99"/>
        <v>31</v>
      </c>
      <c r="C624" s="76">
        <f>122.58</f>
        <v>122.58</v>
      </c>
      <c r="D624" s="76">
        <f>297.941</f>
        <v>297.94099999999997</v>
      </c>
      <c r="E624" s="85">
        <f>89.177</f>
        <v>89.177000000000007</v>
      </c>
      <c r="F624" s="76">
        <f>240.302-40-60-100</f>
        <v>40.301999999999992</v>
      </c>
      <c r="G624" s="79">
        <v>40</v>
      </c>
      <c r="H624" s="76">
        <f>60+100</f>
        <v>160</v>
      </c>
      <c r="I624" s="76">
        <f t="shared" si="91"/>
        <v>0</v>
      </c>
      <c r="J624" s="79">
        <v>100</v>
      </c>
      <c r="K624" s="79">
        <v>300</v>
      </c>
      <c r="L624" s="76">
        <f t="shared" si="95"/>
        <v>1150</v>
      </c>
      <c r="M624" s="87">
        <v>600</v>
      </c>
      <c r="N624" s="76">
        <f>100</f>
        <v>100</v>
      </c>
      <c r="O624" s="79">
        <v>240</v>
      </c>
      <c r="P624" s="79">
        <v>40</v>
      </c>
      <c r="Q624" s="79">
        <f t="shared" si="96"/>
        <v>315</v>
      </c>
      <c r="R624" s="79">
        <f t="shared" si="97"/>
        <v>100</v>
      </c>
      <c r="S624" s="76">
        <f t="shared" si="98"/>
        <v>695</v>
      </c>
      <c r="T624" s="76">
        <f>50</f>
        <v>50</v>
      </c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</row>
    <row r="625" spans="1:30" ht="15.75" x14ac:dyDescent="0.25">
      <c r="A625" s="32">
        <v>59961</v>
      </c>
      <c r="B625" s="88">
        <f t="shared" si="99"/>
        <v>29</v>
      </c>
      <c r="C625" s="76">
        <f>122.58</f>
        <v>122.58</v>
      </c>
      <c r="D625" s="76">
        <f>297.941</f>
        <v>297.94099999999997</v>
      </c>
      <c r="E625" s="85">
        <f>89.177</f>
        <v>89.177000000000007</v>
      </c>
      <c r="F625" s="76">
        <f>240.302-40-60-100</f>
        <v>40.301999999999992</v>
      </c>
      <c r="G625" s="79">
        <v>40</v>
      </c>
      <c r="H625" s="76">
        <f>60+100</f>
        <v>160</v>
      </c>
      <c r="I625" s="76">
        <f t="shared" si="91"/>
        <v>0</v>
      </c>
      <c r="J625" s="79">
        <v>100</v>
      </c>
      <c r="K625" s="79">
        <v>300</v>
      </c>
      <c r="L625" s="76">
        <f t="shared" si="95"/>
        <v>1150</v>
      </c>
      <c r="M625" s="87">
        <v>600</v>
      </c>
      <c r="N625" s="76">
        <f>100</f>
        <v>100</v>
      </c>
      <c r="O625" s="79">
        <v>240</v>
      </c>
      <c r="P625" s="79">
        <v>40</v>
      </c>
      <c r="Q625" s="79">
        <f t="shared" si="96"/>
        <v>315</v>
      </c>
      <c r="R625" s="79">
        <f t="shared" si="97"/>
        <v>100</v>
      </c>
      <c r="S625" s="76">
        <f t="shared" si="98"/>
        <v>695</v>
      </c>
      <c r="T625" s="76">
        <f>50</f>
        <v>50</v>
      </c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</row>
    <row r="626" spans="1:30" ht="15.75" x14ac:dyDescent="0.25">
      <c r="A626" s="32">
        <v>59992</v>
      </c>
      <c r="B626" s="88">
        <f t="shared" si="99"/>
        <v>31</v>
      </c>
      <c r="C626" s="76">
        <f>122.58</f>
        <v>122.58</v>
      </c>
      <c r="D626" s="76">
        <f>297.941</f>
        <v>297.94099999999997</v>
      </c>
      <c r="E626" s="85">
        <f>89.177</f>
        <v>89.177000000000007</v>
      </c>
      <c r="F626" s="76">
        <f>240.302-40-60-100</f>
        <v>40.301999999999992</v>
      </c>
      <c r="G626" s="79">
        <v>40</v>
      </c>
      <c r="H626" s="76">
        <f>60+100</f>
        <v>160</v>
      </c>
      <c r="I626" s="76">
        <f t="shared" si="91"/>
        <v>0</v>
      </c>
      <c r="J626" s="79">
        <v>100</v>
      </c>
      <c r="K626" s="79">
        <v>300</v>
      </c>
      <c r="L626" s="76">
        <f t="shared" si="95"/>
        <v>1150</v>
      </c>
      <c r="M626" s="87">
        <v>600</v>
      </c>
      <c r="N626" s="76">
        <f>100</f>
        <v>100</v>
      </c>
      <c r="O626" s="79">
        <v>240</v>
      </c>
      <c r="P626" s="79">
        <v>40</v>
      </c>
      <c r="Q626" s="79">
        <f t="shared" si="96"/>
        <v>315</v>
      </c>
      <c r="R626" s="79">
        <f t="shared" si="97"/>
        <v>100</v>
      </c>
      <c r="S626" s="76">
        <f t="shared" si="98"/>
        <v>695</v>
      </c>
      <c r="T626" s="76">
        <f>50</f>
        <v>50</v>
      </c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</row>
    <row r="627" spans="1:30" ht="15.75" x14ac:dyDescent="0.25">
      <c r="A627" s="32">
        <v>60022</v>
      </c>
      <c r="B627" s="88">
        <f t="shared" si="99"/>
        <v>30</v>
      </c>
      <c r="C627" s="76">
        <f>141.293</f>
        <v>141.29300000000001</v>
      </c>
      <c r="D627" s="76">
        <f>267.993</f>
        <v>267.99299999999999</v>
      </c>
      <c r="E627" s="85">
        <f>115.016</f>
        <v>115.01600000000001</v>
      </c>
      <c r="F627" s="76">
        <f>314.698-40-25-60-100</f>
        <v>89.697999999999979</v>
      </c>
      <c r="G627" s="79">
        <v>40</v>
      </c>
      <c r="H627" s="76">
        <f t="shared" ref="H627:H633" si="102">25+60+100</f>
        <v>185</v>
      </c>
      <c r="I627" s="76">
        <f t="shared" si="91"/>
        <v>0</v>
      </c>
      <c r="J627" s="79">
        <v>100</v>
      </c>
      <c r="K627" s="79">
        <v>300</v>
      </c>
      <c r="L627" s="76">
        <f t="shared" si="95"/>
        <v>1239</v>
      </c>
      <c r="M627" s="87">
        <v>600</v>
      </c>
      <c r="N627" s="76">
        <f>100</f>
        <v>100</v>
      </c>
      <c r="O627" s="79">
        <v>240</v>
      </c>
      <c r="P627" s="79">
        <v>40</v>
      </c>
      <c r="Q627" s="79">
        <f t="shared" si="96"/>
        <v>315</v>
      </c>
      <c r="R627" s="79">
        <f t="shared" si="97"/>
        <v>100</v>
      </c>
      <c r="S627" s="76">
        <f t="shared" si="98"/>
        <v>695</v>
      </c>
      <c r="T627" s="76">
        <f>50</f>
        <v>50</v>
      </c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</row>
    <row r="628" spans="1:30" ht="15.75" x14ac:dyDescent="0.25">
      <c r="A628" s="32">
        <v>60053</v>
      </c>
      <c r="B628" s="88">
        <f t="shared" si="99"/>
        <v>31</v>
      </c>
      <c r="C628" s="76">
        <f>194.205</f>
        <v>194.20500000000001</v>
      </c>
      <c r="D628" s="76">
        <f>267.466</f>
        <v>267.46600000000001</v>
      </c>
      <c r="E628" s="85">
        <f>133.845</f>
        <v>133.845</v>
      </c>
      <c r="F628" s="76">
        <f>278.484-40-25-60-100</f>
        <v>53.48399999999998</v>
      </c>
      <c r="G628" s="79">
        <v>40</v>
      </c>
      <c r="H628" s="76">
        <f t="shared" si="102"/>
        <v>185</v>
      </c>
      <c r="I628" s="76">
        <f t="shared" ref="I628:I691" si="103">400-J628-K628</f>
        <v>0</v>
      </c>
      <c r="J628" s="79">
        <v>100</v>
      </c>
      <c r="K628" s="79">
        <v>300</v>
      </c>
      <c r="L628" s="76">
        <f t="shared" si="95"/>
        <v>1274</v>
      </c>
      <c r="M628" s="87">
        <v>600</v>
      </c>
      <c r="N628" s="76">
        <f>75</f>
        <v>75</v>
      </c>
      <c r="O628" s="79">
        <v>240</v>
      </c>
      <c r="P628" s="79">
        <v>40</v>
      </c>
      <c r="Q628" s="79">
        <f t="shared" si="96"/>
        <v>315</v>
      </c>
      <c r="R628" s="79">
        <f t="shared" si="97"/>
        <v>100</v>
      </c>
      <c r="S628" s="76">
        <f t="shared" si="98"/>
        <v>695</v>
      </c>
      <c r="T628" s="76">
        <f>50</f>
        <v>50</v>
      </c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</row>
    <row r="629" spans="1:30" ht="15.75" x14ac:dyDescent="0.25">
      <c r="A629" s="32">
        <v>60083</v>
      </c>
      <c r="B629" s="88">
        <f t="shared" si="99"/>
        <v>30</v>
      </c>
      <c r="C629" s="76">
        <f>194.205</f>
        <v>194.20500000000001</v>
      </c>
      <c r="D629" s="76">
        <f>267.466</f>
        <v>267.46600000000001</v>
      </c>
      <c r="E629" s="85">
        <f>133.845</f>
        <v>133.845</v>
      </c>
      <c r="F629" s="76">
        <f>278.484-40-25-60-100</f>
        <v>53.48399999999998</v>
      </c>
      <c r="G629" s="79">
        <v>40</v>
      </c>
      <c r="H629" s="76">
        <f t="shared" si="102"/>
        <v>185</v>
      </c>
      <c r="I629" s="76">
        <f t="shared" si="103"/>
        <v>0</v>
      </c>
      <c r="J629" s="79">
        <v>100</v>
      </c>
      <c r="K629" s="79">
        <v>300</v>
      </c>
      <c r="L629" s="76">
        <f t="shared" si="95"/>
        <v>1274</v>
      </c>
      <c r="M629" s="87">
        <v>600</v>
      </c>
      <c r="N629" s="76">
        <f>30</f>
        <v>30</v>
      </c>
      <c r="O629" s="79">
        <v>240</v>
      </c>
      <c r="P629" s="79">
        <v>40</v>
      </c>
      <c r="Q629" s="79">
        <f t="shared" si="96"/>
        <v>315</v>
      </c>
      <c r="R629" s="79">
        <f t="shared" si="97"/>
        <v>100</v>
      </c>
      <c r="S629" s="76">
        <f t="shared" si="98"/>
        <v>695</v>
      </c>
      <c r="T629" s="76">
        <f>50</f>
        <v>50</v>
      </c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</row>
    <row r="630" spans="1:30" ht="15.75" x14ac:dyDescent="0.25">
      <c r="A630" s="32">
        <v>60114</v>
      </c>
      <c r="B630" s="88">
        <f t="shared" si="99"/>
        <v>31</v>
      </c>
      <c r="C630" s="76">
        <f>194.205</f>
        <v>194.20500000000001</v>
      </c>
      <c r="D630" s="76">
        <f>267.466</f>
        <v>267.46600000000001</v>
      </c>
      <c r="E630" s="85">
        <f>133.845</f>
        <v>133.845</v>
      </c>
      <c r="F630" s="76">
        <f>278.484-40-25-60-100</f>
        <v>53.48399999999998</v>
      </c>
      <c r="G630" s="79">
        <v>40</v>
      </c>
      <c r="H630" s="76">
        <f t="shared" si="102"/>
        <v>185</v>
      </c>
      <c r="I630" s="76">
        <f t="shared" si="103"/>
        <v>0</v>
      </c>
      <c r="J630" s="79">
        <v>100</v>
      </c>
      <c r="K630" s="79">
        <v>300</v>
      </c>
      <c r="L630" s="76">
        <f t="shared" si="95"/>
        <v>1274</v>
      </c>
      <c r="M630" s="87">
        <v>600</v>
      </c>
      <c r="N630" s="76">
        <f>30</f>
        <v>30</v>
      </c>
      <c r="O630" s="79">
        <v>240</v>
      </c>
      <c r="P630" s="79">
        <v>40</v>
      </c>
      <c r="Q630" s="79">
        <f t="shared" si="96"/>
        <v>315</v>
      </c>
      <c r="R630" s="79">
        <f t="shared" si="97"/>
        <v>100</v>
      </c>
      <c r="S630" s="76">
        <f t="shared" si="98"/>
        <v>695</v>
      </c>
      <c r="T630" s="76">
        <f>0</f>
        <v>0</v>
      </c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</row>
    <row r="631" spans="1:30" ht="15.75" x14ac:dyDescent="0.25">
      <c r="A631" s="32">
        <v>60145</v>
      </c>
      <c r="B631" s="88">
        <f t="shared" si="99"/>
        <v>31</v>
      </c>
      <c r="C631" s="76">
        <f>194.205</f>
        <v>194.20500000000001</v>
      </c>
      <c r="D631" s="76">
        <f>267.466</f>
        <v>267.46600000000001</v>
      </c>
      <c r="E631" s="85">
        <f>133.845</f>
        <v>133.845</v>
      </c>
      <c r="F631" s="76">
        <f>278.484-40-25-60-100</f>
        <v>53.48399999999998</v>
      </c>
      <c r="G631" s="79">
        <v>40</v>
      </c>
      <c r="H631" s="76">
        <f t="shared" si="102"/>
        <v>185</v>
      </c>
      <c r="I631" s="76">
        <f t="shared" si="103"/>
        <v>0</v>
      </c>
      <c r="J631" s="79">
        <v>100</v>
      </c>
      <c r="K631" s="79">
        <v>300</v>
      </c>
      <c r="L631" s="76">
        <f t="shared" si="95"/>
        <v>1274</v>
      </c>
      <c r="M631" s="87">
        <v>600</v>
      </c>
      <c r="N631" s="76">
        <f>30</f>
        <v>30</v>
      </c>
      <c r="O631" s="79">
        <v>240</v>
      </c>
      <c r="P631" s="79">
        <v>40</v>
      </c>
      <c r="Q631" s="79">
        <f t="shared" si="96"/>
        <v>315</v>
      </c>
      <c r="R631" s="79">
        <f t="shared" si="97"/>
        <v>100</v>
      </c>
      <c r="S631" s="76">
        <f t="shared" si="98"/>
        <v>695</v>
      </c>
      <c r="T631" s="76">
        <f>0</f>
        <v>0</v>
      </c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</row>
    <row r="632" spans="1:30" ht="15.75" x14ac:dyDescent="0.25">
      <c r="A632" s="32">
        <v>60175</v>
      </c>
      <c r="B632" s="88">
        <f t="shared" si="99"/>
        <v>30</v>
      </c>
      <c r="C632" s="76">
        <f>194.205</f>
        <v>194.20500000000001</v>
      </c>
      <c r="D632" s="76">
        <f>267.466</f>
        <v>267.46600000000001</v>
      </c>
      <c r="E632" s="85">
        <f>133.845</f>
        <v>133.845</v>
      </c>
      <c r="F632" s="76">
        <f>278.484-40-25-60-100</f>
        <v>53.48399999999998</v>
      </c>
      <c r="G632" s="79">
        <v>40</v>
      </c>
      <c r="H632" s="76">
        <f t="shared" si="102"/>
        <v>185</v>
      </c>
      <c r="I632" s="76">
        <f t="shared" si="103"/>
        <v>0</v>
      </c>
      <c r="J632" s="79">
        <v>100</v>
      </c>
      <c r="K632" s="79">
        <v>300</v>
      </c>
      <c r="L632" s="76">
        <f t="shared" si="95"/>
        <v>1274</v>
      </c>
      <c r="M632" s="87">
        <v>600</v>
      </c>
      <c r="N632" s="76">
        <f>30</f>
        <v>30</v>
      </c>
      <c r="O632" s="79">
        <v>240</v>
      </c>
      <c r="P632" s="79">
        <v>40</v>
      </c>
      <c r="Q632" s="79">
        <f t="shared" si="96"/>
        <v>315</v>
      </c>
      <c r="R632" s="79">
        <f t="shared" si="97"/>
        <v>100</v>
      </c>
      <c r="S632" s="76">
        <f t="shared" si="98"/>
        <v>695</v>
      </c>
      <c r="T632" s="76">
        <f>0</f>
        <v>0</v>
      </c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</row>
    <row r="633" spans="1:30" ht="15.75" x14ac:dyDescent="0.25">
      <c r="A633" s="32">
        <v>60206</v>
      </c>
      <c r="B633" s="88">
        <f t="shared" si="99"/>
        <v>31</v>
      </c>
      <c r="C633" s="76">
        <f>131.881</f>
        <v>131.881</v>
      </c>
      <c r="D633" s="76">
        <f>277.167</f>
        <v>277.16699999999997</v>
      </c>
      <c r="E633" s="85">
        <f>79.08</f>
        <v>79.08</v>
      </c>
      <c r="F633" s="76">
        <f>350.872-40-25-60-100</f>
        <v>125.87200000000001</v>
      </c>
      <c r="G633" s="79">
        <v>40</v>
      </c>
      <c r="H633" s="76">
        <f t="shared" si="102"/>
        <v>185</v>
      </c>
      <c r="I633" s="76">
        <f t="shared" si="103"/>
        <v>0</v>
      </c>
      <c r="J633" s="79">
        <v>100</v>
      </c>
      <c r="K633" s="79">
        <v>300</v>
      </c>
      <c r="L633" s="76">
        <f t="shared" si="95"/>
        <v>1239</v>
      </c>
      <c r="M633" s="87">
        <v>600</v>
      </c>
      <c r="N633" s="76">
        <f>75</f>
        <v>75</v>
      </c>
      <c r="O633" s="79">
        <v>240</v>
      </c>
      <c r="P633" s="79">
        <v>40</v>
      </c>
      <c r="Q633" s="79">
        <f t="shared" si="96"/>
        <v>315</v>
      </c>
      <c r="R633" s="79">
        <f t="shared" si="97"/>
        <v>100</v>
      </c>
      <c r="S633" s="76">
        <f t="shared" si="98"/>
        <v>695</v>
      </c>
      <c r="T633" s="76">
        <f>0</f>
        <v>0</v>
      </c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</row>
    <row r="634" spans="1:30" ht="15.75" x14ac:dyDescent="0.25">
      <c r="A634" s="32">
        <v>60236</v>
      </c>
      <c r="B634" s="88">
        <f t="shared" si="99"/>
        <v>30</v>
      </c>
      <c r="C634" s="76">
        <f>122.58</f>
        <v>122.58</v>
      </c>
      <c r="D634" s="76">
        <f>297.941</f>
        <v>297.94099999999997</v>
      </c>
      <c r="E634" s="85">
        <f>89.177</f>
        <v>89.177000000000007</v>
      </c>
      <c r="F634" s="76">
        <f>240.302-40-60-100</f>
        <v>40.301999999999992</v>
      </c>
      <c r="G634" s="79">
        <v>40</v>
      </c>
      <c r="H634" s="76">
        <f>60+100</f>
        <v>160</v>
      </c>
      <c r="I634" s="76">
        <f t="shared" si="103"/>
        <v>0</v>
      </c>
      <c r="J634" s="79">
        <v>100</v>
      </c>
      <c r="K634" s="79">
        <v>300</v>
      </c>
      <c r="L634" s="76">
        <f t="shared" si="95"/>
        <v>1150</v>
      </c>
      <c r="M634" s="87">
        <v>600</v>
      </c>
      <c r="N634" s="76">
        <f>100</f>
        <v>100</v>
      </c>
      <c r="O634" s="79">
        <v>240</v>
      </c>
      <c r="P634" s="79">
        <v>40</v>
      </c>
      <c r="Q634" s="79">
        <f t="shared" si="96"/>
        <v>315</v>
      </c>
      <c r="R634" s="79">
        <f t="shared" si="97"/>
        <v>100</v>
      </c>
      <c r="S634" s="76">
        <f t="shared" si="98"/>
        <v>695</v>
      </c>
      <c r="T634" s="76">
        <f>50</f>
        <v>50</v>
      </c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</row>
    <row r="635" spans="1:30" ht="15.75" x14ac:dyDescent="0.25">
      <c r="A635" s="32">
        <v>60267</v>
      </c>
      <c r="B635" s="88">
        <f t="shared" si="99"/>
        <v>31</v>
      </c>
      <c r="C635" s="76">
        <f>122.58</f>
        <v>122.58</v>
      </c>
      <c r="D635" s="76">
        <f>297.941</f>
        <v>297.94099999999997</v>
      </c>
      <c r="E635" s="85">
        <f>89.177</f>
        <v>89.177000000000007</v>
      </c>
      <c r="F635" s="76">
        <f>240.302-40-60-100</f>
        <v>40.301999999999992</v>
      </c>
      <c r="G635" s="79">
        <v>40</v>
      </c>
      <c r="H635" s="76">
        <f>60+100</f>
        <v>160</v>
      </c>
      <c r="I635" s="76">
        <f t="shared" si="103"/>
        <v>0</v>
      </c>
      <c r="J635" s="79">
        <v>100</v>
      </c>
      <c r="K635" s="79">
        <v>300</v>
      </c>
      <c r="L635" s="76">
        <f t="shared" si="95"/>
        <v>1150</v>
      </c>
      <c r="M635" s="87">
        <v>600</v>
      </c>
      <c r="N635" s="76">
        <f>100</f>
        <v>100</v>
      </c>
      <c r="O635" s="79">
        <v>240</v>
      </c>
      <c r="P635" s="79">
        <v>40</v>
      </c>
      <c r="Q635" s="79">
        <f t="shared" si="96"/>
        <v>315</v>
      </c>
      <c r="R635" s="79">
        <f t="shared" si="97"/>
        <v>100</v>
      </c>
      <c r="S635" s="76">
        <f t="shared" si="98"/>
        <v>695</v>
      </c>
      <c r="T635" s="76">
        <f>50</f>
        <v>50</v>
      </c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</row>
    <row r="636" spans="1:30" ht="15.75" x14ac:dyDescent="0.25">
      <c r="A636" s="32">
        <v>60298</v>
      </c>
      <c r="B636" s="88">
        <f t="shared" si="99"/>
        <v>31</v>
      </c>
      <c r="C636" s="76">
        <f>122.58</f>
        <v>122.58</v>
      </c>
      <c r="D636" s="76">
        <f>297.941</f>
        <v>297.94099999999997</v>
      </c>
      <c r="E636" s="85">
        <f>89.177</f>
        <v>89.177000000000007</v>
      </c>
      <c r="F636" s="76">
        <f>240.302-40-60-100</f>
        <v>40.301999999999992</v>
      </c>
      <c r="G636" s="79">
        <v>40</v>
      </c>
      <c r="H636" s="76">
        <f>60+100</f>
        <v>160</v>
      </c>
      <c r="I636" s="76">
        <f t="shared" si="103"/>
        <v>0</v>
      </c>
      <c r="J636" s="79">
        <v>100</v>
      </c>
      <c r="K636" s="79">
        <v>300</v>
      </c>
      <c r="L636" s="76">
        <f t="shared" si="95"/>
        <v>1150</v>
      </c>
      <c r="M636" s="87">
        <v>600</v>
      </c>
      <c r="N636" s="76">
        <f>100</f>
        <v>100</v>
      </c>
      <c r="O636" s="79">
        <v>240</v>
      </c>
      <c r="P636" s="79">
        <v>40</v>
      </c>
      <c r="Q636" s="79">
        <f t="shared" si="96"/>
        <v>315</v>
      </c>
      <c r="R636" s="79">
        <f t="shared" si="97"/>
        <v>100</v>
      </c>
      <c r="S636" s="76">
        <f t="shared" si="98"/>
        <v>695</v>
      </c>
      <c r="T636" s="76">
        <f>50</f>
        <v>50</v>
      </c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</row>
    <row r="637" spans="1:30" ht="15.75" x14ac:dyDescent="0.25">
      <c r="A637" s="32">
        <v>60326</v>
      </c>
      <c r="B637" s="88">
        <f t="shared" si="99"/>
        <v>28</v>
      </c>
      <c r="C637" s="76">
        <f>122.58</f>
        <v>122.58</v>
      </c>
      <c r="D637" s="76">
        <f>297.941</f>
        <v>297.94099999999997</v>
      </c>
      <c r="E637" s="85">
        <f>89.177</f>
        <v>89.177000000000007</v>
      </c>
      <c r="F637" s="76">
        <f>240.302-40-60-100</f>
        <v>40.301999999999992</v>
      </c>
      <c r="G637" s="79">
        <v>40</v>
      </c>
      <c r="H637" s="76">
        <f>60+100</f>
        <v>160</v>
      </c>
      <c r="I637" s="76">
        <f t="shared" si="103"/>
        <v>0</v>
      </c>
      <c r="J637" s="79">
        <v>100</v>
      </c>
      <c r="K637" s="79">
        <v>300</v>
      </c>
      <c r="L637" s="76">
        <f t="shared" si="95"/>
        <v>1150</v>
      </c>
      <c r="M637" s="87">
        <v>600</v>
      </c>
      <c r="N637" s="76">
        <f>100</f>
        <v>100</v>
      </c>
      <c r="O637" s="79">
        <v>240</v>
      </c>
      <c r="P637" s="79">
        <v>40</v>
      </c>
      <c r="Q637" s="79">
        <f t="shared" si="96"/>
        <v>315</v>
      </c>
      <c r="R637" s="79">
        <f t="shared" si="97"/>
        <v>100</v>
      </c>
      <c r="S637" s="76">
        <f t="shared" si="98"/>
        <v>695</v>
      </c>
      <c r="T637" s="76">
        <f>50</f>
        <v>50</v>
      </c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</row>
    <row r="638" spans="1:30" ht="15.75" x14ac:dyDescent="0.25">
      <c r="A638" s="32">
        <v>60357</v>
      </c>
      <c r="B638" s="88">
        <f t="shared" si="99"/>
        <v>31</v>
      </c>
      <c r="C638" s="76">
        <f>122.58</f>
        <v>122.58</v>
      </c>
      <c r="D638" s="76">
        <f>297.941</f>
        <v>297.94099999999997</v>
      </c>
      <c r="E638" s="85">
        <f>89.177</f>
        <v>89.177000000000007</v>
      </c>
      <c r="F638" s="76">
        <f>240.302-40-60-100</f>
        <v>40.301999999999992</v>
      </c>
      <c r="G638" s="79">
        <v>40</v>
      </c>
      <c r="H638" s="76">
        <f>60+100</f>
        <v>160</v>
      </c>
      <c r="I638" s="76">
        <f t="shared" si="103"/>
        <v>0</v>
      </c>
      <c r="J638" s="79">
        <v>100</v>
      </c>
      <c r="K638" s="79">
        <v>300</v>
      </c>
      <c r="L638" s="76">
        <f t="shared" si="95"/>
        <v>1150</v>
      </c>
      <c r="M638" s="87">
        <v>600</v>
      </c>
      <c r="N638" s="76">
        <f>100</f>
        <v>100</v>
      </c>
      <c r="O638" s="79">
        <v>240</v>
      </c>
      <c r="P638" s="79">
        <v>40</v>
      </c>
      <c r="Q638" s="79">
        <f t="shared" si="96"/>
        <v>315</v>
      </c>
      <c r="R638" s="79">
        <f t="shared" si="97"/>
        <v>100</v>
      </c>
      <c r="S638" s="76">
        <f t="shared" si="98"/>
        <v>695</v>
      </c>
      <c r="T638" s="76">
        <f>50</f>
        <v>50</v>
      </c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</row>
    <row r="639" spans="1:30" ht="15.75" x14ac:dyDescent="0.25">
      <c r="A639" s="32">
        <v>60387</v>
      </c>
      <c r="B639" s="88">
        <f t="shared" si="99"/>
        <v>30</v>
      </c>
      <c r="C639" s="76">
        <f>141.293</f>
        <v>141.29300000000001</v>
      </c>
      <c r="D639" s="76">
        <f>267.993</f>
        <v>267.99299999999999</v>
      </c>
      <c r="E639" s="85">
        <f>115.016</f>
        <v>115.01600000000001</v>
      </c>
      <c r="F639" s="76">
        <f>314.698-40-25-60-100</f>
        <v>89.697999999999979</v>
      </c>
      <c r="G639" s="79">
        <v>40</v>
      </c>
      <c r="H639" s="76">
        <f t="shared" ref="H639:H645" si="104">25+60+100</f>
        <v>185</v>
      </c>
      <c r="I639" s="76">
        <f t="shared" si="103"/>
        <v>0</v>
      </c>
      <c r="J639" s="79">
        <v>100</v>
      </c>
      <c r="K639" s="79">
        <v>300</v>
      </c>
      <c r="L639" s="76">
        <f t="shared" si="95"/>
        <v>1239</v>
      </c>
      <c r="M639" s="87">
        <v>600</v>
      </c>
      <c r="N639" s="76">
        <f>100</f>
        <v>100</v>
      </c>
      <c r="O639" s="79">
        <v>240</v>
      </c>
      <c r="P639" s="79">
        <v>40</v>
      </c>
      <c r="Q639" s="79">
        <f t="shared" si="96"/>
        <v>315</v>
      </c>
      <c r="R639" s="79">
        <f t="shared" si="97"/>
        <v>100</v>
      </c>
      <c r="S639" s="76">
        <f t="shared" si="98"/>
        <v>695</v>
      </c>
      <c r="T639" s="76">
        <f>50</f>
        <v>50</v>
      </c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</row>
    <row r="640" spans="1:30" ht="15.75" x14ac:dyDescent="0.25">
      <c r="A640" s="32">
        <v>60418</v>
      </c>
      <c r="B640" s="88">
        <f t="shared" si="99"/>
        <v>31</v>
      </c>
      <c r="C640" s="76">
        <f>194.205</f>
        <v>194.20500000000001</v>
      </c>
      <c r="D640" s="76">
        <f>267.466</f>
        <v>267.46600000000001</v>
      </c>
      <c r="E640" s="85">
        <f>133.845</f>
        <v>133.845</v>
      </c>
      <c r="F640" s="76">
        <f>278.484-40-25-60-100</f>
        <v>53.48399999999998</v>
      </c>
      <c r="G640" s="79">
        <v>40</v>
      </c>
      <c r="H640" s="76">
        <f t="shared" si="104"/>
        <v>185</v>
      </c>
      <c r="I640" s="76">
        <f t="shared" si="103"/>
        <v>0</v>
      </c>
      <c r="J640" s="79">
        <v>100</v>
      </c>
      <c r="K640" s="79">
        <v>300</v>
      </c>
      <c r="L640" s="76">
        <f t="shared" si="95"/>
        <v>1274</v>
      </c>
      <c r="M640" s="87">
        <v>600</v>
      </c>
      <c r="N640" s="76">
        <f>75</f>
        <v>75</v>
      </c>
      <c r="O640" s="79">
        <v>240</v>
      </c>
      <c r="P640" s="79">
        <v>40</v>
      </c>
      <c r="Q640" s="79">
        <f t="shared" si="96"/>
        <v>315</v>
      </c>
      <c r="R640" s="79">
        <f t="shared" si="97"/>
        <v>100</v>
      </c>
      <c r="S640" s="76">
        <f t="shared" si="98"/>
        <v>695</v>
      </c>
      <c r="T640" s="76">
        <f>50</f>
        <v>50</v>
      </c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</row>
    <row r="641" spans="1:30" ht="15.75" x14ac:dyDescent="0.25">
      <c r="A641" s="32">
        <v>60448</v>
      </c>
      <c r="B641" s="88">
        <f t="shared" si="99"/>
        <v>30</v>
      </c>
      <c r="C641" s="76">
        <f>194.205</f>
        <v>194.20500000000001</v>
      </c>
      <c r="D641" s="76">
        <f>267.466</f>
        <v>267.46600000000001</v>
      </c>
      <c r="E641" s="85">
        <f>133.845</f>
        <v>133.845</v>
      </c>
      <c r="F641" s="76">
        <f>278.484-40-25-60-100</f>
        <v>53.48399999999998</v>
      </c>
      <c r="G641" s="79">
        <v>40</v>
      </c>
      <c r="H641" s="76">
        <f t="shared" si="104"/>
        <v>185</v>
      </c>
      <c r="I641" s="76">
        <f t="shared" si="103"/>
        <v>0</v>
      </c>
      <c r="J641" s="79">
        <v>100</v>
      </c>
      <c r="K641" s="79">
        <v>300</v>
      </c>
      <c r="L641" s="76">
        <f t="shared" si="95"/>
        <v>1274</v>
      </c>
      <c r="M641" s="87">
        <v>600</v>
      </c>
      <c r="N641" s="76">
        <f>30</f>
        <v>30</v>
      </c>
      <c r="O641" s="79">
        <v>240</v>
      </c>
      <c r="P641" s="79">
        <v>40</v>
      </c>
      <c r="Q641" s="79">
        <f t="shared" si="96"/>
        <v>315</v>
      </c>
      <c r="R641" s="79">
        <f t="shared" si="97"/>
        <v>100</v>
      </c>
      <c r="S641" s="76">
        <f t="shared" si="98"/>
        <v>695</v>
      </c>
      <c r="T641" s="76">
        <f>50</f>
        <v>50</v>
      </c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</row>
    <row r="642" spans="1:30" ht="15.75" x14ac:dyDescent="0.25">
      <c r="A642" s="32">
        <v>60479</v>
      </c>
      <c r="B642" s="88">
        <f t="shared" si="99"/>
        <v>31</v>
      </c>
      <c r="C642" s="76">
        <f>194.205</f>
        <v>194.20500000000001</v>
      </c>
      <c r="D642" s="76">
        <f>267.466</f>
        <v>267.46600000000001</v>
      </c>
      <c r="E642" s="85">
        <f>133.845</f>
        <v>133.845</v>
      </c>
      <c r="F642" s="76">
        <f>278.484-40-25-60-100</f>
        <v>53.48399999999998</v>
      </c>
      <c r="G642" s="79">
        <v>40</v>
      </c>
      <c r="H642" s="76">
        <f t="shared" si="104"/>
        <v>185</v>
      </c>
      <c r="I642" s="76">
        <f t="shared" si="103"/>
        <v>0</v>
      </c>
      <c r="J642" s="79">
        <v>100</v>
      </c>
      <c r="K642" s="79">
        <v>300</v>
      </c>
      <c r="L642" s="76">
        <f t="shared" si="95"/>
        <v>1274</v>
      </c>
      <c r="M642" s="87">
        <v>600</v>
      </c>
      <c r="N642" s="76">
        <f>30</f>
        <v>30</v>
      </c>
      <c r="O642" s="79">
        <v>240</v>
      </c>
      <c r="P642" s="79">
        <v>40</v>
      </c>
      <c r="Q642" s="79">
        <f t="shared" si="96"/>
        <v>315</v>
      </c>
      <c r="R642" s="79">
        <f t="shared" si="97"/>
        <v>100</v>
      </c>
      <c r="S642" s="76">
        <f t="shared" si="98"/>
        <v>695</v>
      </c>
      <c r="T642" s="76">
        <f>0</f>
        <v>0</v>
      </c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</row>
    <row r="643" spans="1:30" ht="15.75" x14ac:dyDescent="0.25">
      <c r="A643" s="32">
        <v>60510</v>
      </c>
      <c r="B643" s="88">
        <f t="shared" si="99"/>
        <v>31</v>
      </c>
      <c r="C643" s="76">
        <f>194.205</f>
        <v>194.20500000000001</v>
      </c>
      <c r="D643" s="76">
        <f>267.466</f>
        <v>267.46600000000001</v>
      </c>
      <c r="E643" s="85">
        <f>133.845</f>
        <v>133.845</v>
      </c>
      <c r="F643" s="76">
        <f>278.484-40-25-60-100</f>
        <v>53.48399999999998</v>
      </c>
      <c r="G643" s="79">
        <v>40</v>
      </c>
      <c r="H643" s="76">
        <f t="shared" si="104"/>
        <v>185</v>
      </c>
      <c r="I643" s="76">
        <f t="shared" si="103"/>
        <v>0</v>
      </c>
      <c r="J643" s="79">
        <v>100</v>
      </c>
      <c r="K643" s="79">
        <v>300</v>
      </c>
      <c r="L643" s="76">
        <f t="shared" si="95"/>
        <v>1274</v>
      </c>
      <c r="M643" s="87">
        <v>600</v>
      </c>
      <c r="N643" s="76">
        <f>30</f>
        <v>30</v>
      </c>
      <c r="O643" s="79">
        <v>240</v>
      </c>
      <c r="P643" s="79">
        <v>40</v>
      </c>
      <c r="Q643" s="79">
        <f t="shared" si="96"/>
        <v>315</v>
      </c>
      <c r="R643" s="79">
        <f t="shared" si="97"/>
        <v>100</v>
      </c>
      <c r="S643" s="76">
        <f t="shared" si="98"/>
        <v>695</v>
      </c>
      <c r="T643" s="76">
        <f>0</f>
        <v>0</v>
      </c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</row>
    <row r="644" spans="1:30" ht="15.75" x14ac:dyDescent="0.25">
      <c r="A644" s="32">
        <v>60540</v>
      </c>
      <c r="B644" s="88">
        <f t="shared" si="99"/>
        <v>30</v>
      </c>
      <c r="C644" s="76">
        <f>194.205</f>
        <v>194.20500000000001</v>
      </c>
      <c r="D644" s="76">
        <f>267.466</f>
        <v>267.46600000000001</v>
      </c>
      <c r="E644" s="85">
        <f>133.845</f>
        <v>133.845</v>
      </c>
      <c r="F644" s="76">
        <f>278.484-40-25-60-100</f>
        <v>53.48399999999998</v>
      </c>
      <c r="G644" s="79">
        <v>40</v>
      </c>
      <c r="H644" s="76">
        <f t="shared" si="104"/>
        <v>185</v>
      </c>
      <c r="I644" s="76">
        <f t="shared" si="103"/>
        <v>0</v>
      </c>
      <c r="J644" s="79">
        <v>100</v>
      </c>
      <c r="K644" s="79">
        <v>300</v>
      </c>
      <c r="L644" s="76">
        <f t="shared" si="95"/>
        <v>1274</v>
      </c>
      <c r="M644" s="87">
        <v>600</v>
      </c>
      <c r="N644" s="76">
        <f>30</f>
        <v>30</v>
      </c>
      <c r="O644" s="79">
        <v>240</v>
      </c>
      <c r="P644" s="79">
        <v>40</v>
      </c>
      <c r="Q644" s="79">
        <f t="shared" si="96"/>
        <v>315</v>
      </c>
      <c r="R644" s="79">
        <f t="shared" si="97"/>
        <v>100</v>
      </c>
      <c r="S644" s="76">
        <f t="shared" si="98"/>
        <v>695</v>
      </c>
      <c r="T644" s="76">
        <f>0</f>
        <v>0</v>
      </c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</row>
    <row r="645" spans="1:30" ht="15.75" x14ac:dyDescent="0.25">
      <c r="A645" s="32">
        <v>60571</v>
      </c>
      <c r="B645" s="88">
        <f t="shared" si="99"/>
        <v>31</v>
      </c>
      <c r="C645" s="76">
        <f>131.881</f>
        <v>131.881</v>
      </c>
      <c r="D645" s="76">
        <f>277.167</f>
        <v>277.16699999999997</v>
      </c>
      <c r="E645" s="85">
        <f>79.08</f>
        <v>79.08</v>
      </c>
      <c r="F645" s="76">
        <f>350.872-40-25-60-100</f>
        <v>125.87200000000001</v>
      </c>
      <c r="G645" s="79">
        <v>40</v>
      </c>
      <c r="H645" s="76">
        <f t="shared" si="104"/>
        <v>185</v>
      </c>
      <c r="I645" s="76">
        <f t="shared" si="103"/>
        <v>0</v>
      </c>
      <c r="J645" s="79">
        <v>100</v>
      </c>
      <c r="K645" s="79">
        <v>300</v>
      </c>
      <c r="L645" s="76">
        <f t="shared" si="95"/>
        <v>1239</v>
      </c>
      <c r="M645" s="87">
        <v>600</v>
      </c>
      <c r="N645" s="76">
        <f>75</f>
        <v>75</v>
      </c>
      <c r="O645" s="79">
        <v>240</v>
      </c>
      <c r="P645" s="79">
        <v>40</v>
      </c>
      <c r="Q645" s="79">
        <f t="shared" si="96"/>
        <v>315</v>
      </c>
      <c r="R645" s="79">
        <f t="shared" si="97"/>
        <v>100</v>
      </c>
      <c r="S645" s="76">
        <f t="shared" si="98"/>
        <v>695</v>
      </c>
      <c r="T645" s="76">
        <f>0</f>
        <v>0</v>
      </c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</row>
    <row r="646" spans="1:30" ht="15.75" x14ac:dyDescent="0.25">
      <c r="A646" s="32">
        <v>60601</v>
      </c>
      <c r="B646" s="88">
        <f t="shared" si="99"/>
        <v>30</v>
      </c>
      <c r="C646" s="76">
        <f>122.58</f>
        <v>122.58</v>
      </c>
      <c r="D646" s="76">
        <f>297.941</f>
        <v>297.94099999999997</v>
      </c>
      <c r="E646" s="85">
        <f>89.177</f>
        <v>89.177000000000007</v>
      </c>
      <c r="F646" s="76">
        <f>240.302-40-60-100</f>
        <v>40.301999999999992</v>
      </c>
      <c r="G646" s="79">
        <v>40</v>
      </c>
      <c r="H646" s="76">
        <f>60+100</f>
        <v>160</v>
      </c>
      <c r="I646" s="76">
        <f t="shared" si="103"/>
        <v>0</v>
      </c>
      <c r="J646" s="79">
        <v>100</v>
      </c>
      <c r="K646" s="79">
        <v>300</v>
      </c>
      <c r="L646" s="76">
        <f t="shared" si="95"/>
        <v>1150</v>
      </c>
      <c r="M646" s="87">
        <v>600</v>
      </c>
      <c r="N646" s="76">
        <f>100</f>
        <v>100</v>
      </c>
      <c r="O646" s="79">
        <v>240</v>
      </c>
      <c r="P646" s="79">
        <v>40</v>
      </c>
      <c r="Q646" s="79">
        <f t="shared" si="96"/>
        <v>315</v>
      </c>
      <c r="R646" s="79">
        <f t="shared" si="97"/>
        <v>100</v>
      </c>
      <c r="S646" s="76">
        <f t="shared" si="98"/>
        <v>695</v>
      </c>
      <c r="T646" s="76">
        <f>50</f>
        <v>50</v>
      </c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</row>
    <row r="647" spans="1:30" ht="15.75" x14ac:dyDescent="0.25">
      <c r="A647" s="32">
        <v>60632</v>
      </c>
      <c r="B647" s="88">
        <f t="shared" si="99"/>
        <v>31</v>
      </c>
      <c r="C647" s="76">
        <f>122.58</f>
        <v>122.58</v>
      </c>
      <c r="D647" s="76">
        <f>297.941</f>
        <v>297.94099999999997</v>
      </c>
      <c r="E647" s="85">
        <f>89.177</f>
        <v>89.177000000000007</v>
      </c>
      <c r="F647" s="76">
        <f>240.302-40-60-100</f>
        <v>40.301999999999992</v>
      </c>
      <c r="G647" s="79">
        <v>40</v>
      </c>
      <c r="H647" s="76">
        <f>60+100</f>
        <v>160</v>
      </c>
      <c r="I647" s="76">
        <f t="shared" si="103"/>
        <v>0</v>
      </c>
      <c r="J647" s="79">
        <v>100</v>
      </c>
      <c r="K647" s="79">
        <v>300</v>
      </c>
      <c r="L647" s="76">
        <f t="shared" si="95"/>
        <v>1150</v>
      </c>
      <c r="M647" s="87">
        <v>600</v>
      </c>
      <c r="N647" s="76">
        <f>100</f>
        <v>100</v>
      </c>
      <c r="O647" s="79">
        <v>240</v>
      </c>
      <c r="P647" s="79">
        <v>40</v>
      </c>
      <c r="Q647" s="79">
        <f t="shared" si="96"/>
        <v>315</v>
      </c>
      <c r="R647" s="79">
        <f t="shared" si="97"/>
        <v>100</v>
      </c>
      <c r="S647" s="76">
        <f t="shared" si="98"/>
        <v>695</v>
      </c>
      <c r="T647" s="76">
        <f>50</f>
        <v>50</v>
      </c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</row>
    <row r="648" spans="1:30" ht="15.75" x14ac:dyDescent="0.25">
      <c r="A648" s="32">
        <v>60663</v>
      </c>
      <c r="B648" s="88">
        <f t="shared" si="99"/>
        <v>31</v>
      </c>
      <c r="C648" s="76">
        <f>122.58</f>
        <v>122.58</v>
      </c>
      <c r="D648" s="76">
        <f>297.941</f>
        <v>297.94099999999997</v>
      </c>
      <c r="E648" s="85">
        <f>89.177</f>
        <v>89.177000000000007</v>
      </c>
      <c r="F648" s="76">
        <f>240.302-40-60-100</f>
        <v>40.301999999999992</v>
      </c>
      <c r="G648" s="79">
        <v>40</v>
      </c>
      <c r="H648" s="76">
        <f>60+100</f>
        <v>160</v>
      </c>
      <c r="I648" s="76">
        <f t="shared" si="103"/>
        <v>0</v>
      </c>
      <c r="J648" s="79">
        <v>100</v>
      </c>
      <c r="K648" s="79">
        <v>300</v>
      </c>
      <c r="L648" s="76">
        <f t="shared" si="95"/>
        <v>1150</v>
      </c>
      <c r="M648" s="87">
        <v>600</v>
      </c>
      <c r="N648" s="76">
        <f>100</f>
        <v>100</v>
      </c>
      <c r="O648" s="79">
        <v>240</v>
      </c>
      <c r="P648" s="79">
        <v>40</v>
      </c>
      <c r="Q648" s="79">
        <f t="shared" si="96"/>
        <v>315</v>
      </c>
      <c r="R648" s="79">
        <f t="shared" si="97"/>
        <v>100</v>
      </c>
      <c r="S648" s="76">
        <f t="shared" si="98"/>
        <v>695</v>
      </c>
      <c r="T648" s="76">
        <f>50</f>
        <v>50</v>
      </c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</row>
    <row r="649" spans="1:30" ht="15.75" x14ac:dyDescent="0.25">
      <c r="A649" s="32">
        <v>60691</v>
      </c>
      <c r="B649" s="88">
        <f t="shared" si="99"/>
        <v>28</v>
      </c>
      <c r="C649" s="76">
        <f>122.58</f>
        <v>122.58</v>
      </c>
      <c r="D649" s="76">
        <f>297.941</f>
        <v>297.94099999999997</v>
      </c>
      <c r="E649" s="85">
        <f>89.177</f>
        <v>89.177000000000007</v>
      </c>
      <c r="F649" s="76">
        <f>240.302-40-60-100</f>
        <v>40.301999999999992</v>
      </c>
      <c r="G649" s="79">
        <v>40</v>
      </c>
      <c r="H649" s="76">
        <f>60+100</f>
        <v>160</v>
      </c>
      <c r="I649" s="76">
        <f t="shared" si="103"/>
        <v>0</v>
      </c>
      <c r="J649" s="79">
        <v>100</v>
      </c>
      <c r="K649" s="79">
        <v>300</v>
      </c>
      <c r="L649" s="76">
        <f t="shared" si="95"/>
        <v>1150</v>
      </c>
      <c r="M649" s="87">
        <v>600</v>
      </c>
      <c r="N649" s="76">
        <f>100</f>
        <v>100</v>
      </c>
      <c r="O649" s="79">
        <v>240</v>
      </c>
      <c r="P649" s="79">
        <v>40</v>
      </c>
      <c r="Q649" s="79">
        <f t="shared" si="96"/>
        <v>315</v>
      </c>
      <c r="R649" s="79">
        <f t="shared" si="97"/>
        <v>100</v>
      </c>
      <c r="S649" s="76">
        <f t="shared" si="98"/>
        <v>695</v>
      </c>
      <c r="T649" s="76">
        <f>50</f>
        <v>50</v>
      </c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</row>
    <row r="650" spans="1:30" ht="15.75" x14ac:dyDescent="0.25">
      <c r="A650" s="32">
        <v>60722</v>
      </c>
      <c r="B650" s="88">
        <f t="shared" si="99"/>
        <v>31</v>
      </c>
      <c r="C650" s="76">
        <f>122.58</f>
        <v>122.58</v>
      </c>
      <c r="D650" s="76">
        <f>297.941</f>
        <v>297.94099999999997</v>
      </c>
      <c r="E650" s="85">
        <f>89.177</f>
        <v>89.177000000000007</v>
      </c>
      <c r="F650" s="76">
        <f>240.302-40-60-100</f>
        <v>40.301999999999992</v>
      </c>
      <c r="G650" s="79">
        <v>40</v>
      </c>
      <c r="H650" s="76">
        <f>60+100</f>
        <v>160</v>
      </c>
      <c r="I650" s="76">
        <f t="shared" si="103"/>
        <v>0</v>
      </c>
      <c r="J650" s="79">
        <v>100</v>
      </c>
      <c r="K650" s="79">
        <v>300</v>
      </c>
      <c r="L650" s="76">
        <f t="shared" si="95"/>
        <v>1150</v>
      </c>
      <c r="M650" s="87">
        <v>600</v>
      </c>
      <c r="N650" s="76">
        <f>100</f>
        <v>100</v>
      </c>
      <c r="O650" s="79">
        <v>240</v>
      </c>
      <c r="P650" s="79">
        <v>40</v>
      </c>
      <c r="Q650" s="79">
        <f t="shared" si="96"/>
        <v>315</v>
      </c>
      <c r="R650" s="79">
        <f t="shared" si="97"/>
        <v>100</v>
      </c>
      <c r="S650" s="76">
        <f t="shared" si="98"/>
        <v>695</v>
      </c>
      <c r="T650" s="76">
        <f>50</f>
        <v>50</v>
      </c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</row>
    <row r="651" spans="1:30" ht="15.75" x14ac:dyDescent="0.25">
      <c r="A651" s="32">
        <v>60752</v>
      </c>
      <c r="B651" s="88">
        <f t="shared" si="99"/>
        <v>30</v>
      </c>
      <c r="C651" s="76">
        <f>141.293</f>
        <v>141.29300000000001</v>
      </c>
      <c r="D651" s="76">
        <f>267.993</f>
        <v>267.99299999999999</v>
      </c>
      <c r="E651" s="85">
        <f>115.016</f>
        <v>115.01600000000001</v>
      </c>
      <c r="F651" s="76">
        <f>314.698-40-25-60-100</f>
        <v>89.697999999999979</v>
      </c>
      <c r="G651" s="79">
        <v>40</v>
      </c>
      <c r="H651" s="76">
        <f t="shared" ref="H651:H657" si="105">25+60+100</f>
        <v>185</v>
      </c>
      <c r="I651" s="76">
        <f t="shared" si="103"/>
        <v>0</v>
      </c>
      <c r="J651" s="79">
        <v>100</v>
      </c>
      <c r="K651" s="79">
        <v>300</v>
      </c>
      <c r="L651" s="76">
        <f t="shared" si="95"/>
        <v>1239</v>
      </c>
      <c r="M651" s="87">
        <v>600</v>
      </c>
      <c r="N651" s="76">
        <f>100</f>
        <v>100</v>
      </c>
      <c r="O651" s="79">
        <v>240</v>
      </c>
      <c r="P651" s="79">
        <v>40</v>
      </c>
      <c r="Q651" s="79">
        <f t="shared" si="96"/>
        <v>315</v>
      </c>
      <c r="R651" s="79">
        <f t="shared" si="97"/>
        <v>100</v>
      </c>
      <c r="S651" s="76">
        <f t="shared" si="98"/>
        <v>695</v>
      </c>
      <c r="T651" s="76">
        <f>50</f>
        <v>50</v>
      </c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</row>
    <row r="652" spans="1:30" ht="15.75" x14ac:dyDescent="0.25">
      <c r="A652" s="32">
        <v>60783</v>
      </c>
      <c r="B652" s="88">
        <f t="shared" si="99"/>
        <v>31</v>
      </c>
      <c r="C652" s="76">
        <f>194.205</f>
        <v>194.20500000000001</v>
      </c>
      <c r="D652" s="76">
        <f>267.466</f>
        <v>267.46600000000001</v>
      </c>
      <c r="E652" s="85">
        <f>133.845</f>
        <v>133.845</v>
      </c>
      <c r="F652" s="76">
        <f>278.484-40-25-60-100</f>
        <v>53.48399999999998</v>
      </c>
      <c r="G652" s="79">
        <v>40</v>
      </c>
      <c r="H652" s="76">
        <f t="shared" si="105"/>
        <v>185</v>
      </c>
      <c r="I652" s="76">
        <f t="shared" si="103"/>
        <v>0</v>
      </c>
      <c r="J652" s="79">
        <v>100</v>
      </c>
      <c r="K652" s="79">
        <v>300</v>
      </c>
      <c r="L652" s="76">
        <f t="shared" si="95"/>
        <v>1274</v>
      </c>
      <c r="M652" s="87">
        <v>600</v>
      </c>
      <c r="N652" s="76">
        <f>75</f>
        <v>75</v>
      </c>
      <c r="O652" s="79">
        <v>240</v>
      </c>
      <c r="P652" s="79">
        <v>40</v>
      </c>
      <c r="Q652" s="79">
        <f t="shared" si="96"/>
        <v>315</v>
      </c>
      <c r="R652" s="79">
        <f t="shared" si="97"/>
        <v>100</v>
      </c>
      <c r="S652" s="76">
        <f t="shared" si="98"/>
        <v>695</v>
      </c>
      <c r="T652" s="76">
        <f>50</f>
        <v>50</v>
      </c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</row>
    <row r="653" spans="1:30" ht="15.75" x14ac:dyDescent="0.25">
      <c r="A653" s="32">
        <v>60813</v>
      </c>
      <c r="B653" s="88">
        <f t="shared" si="99"/>
        <v>30</v>
      </c>
      <c r="C653" s="76">
        <f>194.205</f>
        <v>194.20500000000001</v>
      </c>
      <c r="D653" s="76">
        <f>267.466</f>
        <v>267.46600000000001</v>
      </c>
      <c r="E653" s="85">
        <f>133.845</f>
        <v>133.845</v>
      </c>
      <c r="F653" s="76">
        <f>278.484-40-25-60-100</f>
        <v>53.48399999999998</v>
      </c>
      <c r="G653" s="79">
        <v>40</v>
      </c>
      <c r="H653" s="76">
        <f t="shared" si="105"/>
        <v>185</v>
      </c>
      <c r="I653" s="76">
        <f t="shared" si="103"/>
        <v>0</v>
      </c>
      <c r="J653" s="79">
        <v>100</v>
      </c>
      <c r="K653" s="79">
        <v>300</v>
      </c>
      <c r="L653" s="76">
        <f t="shared" si="95"/>
        <v>1274</v>
      </c>
      <c r="M653" s="87">
        <v>600</v>
      </c>
      <c r="N653" s="76">
        <f>30</f>
        <v>30</v>
      </c>
      <c r="O653" s="79">
        <v>240</v>
      </c>
      <c r="P653" s="79">
        <v>40</v>
      </c>
      <c r="Q653" s="79">
        <f t="shared" si="96"/>
        <v>315</v>
      </c>
      <c r="R653" s="79">
        <f t="shared" si="97"/>
        <v>100</v>
      </c>
      <c r="S653" s="76">
        <f t="shared" si="98"/>
        <v>695</v>
      </c>
      <c r="T653" s="76">
        <f>50</f>
        <v>50</v>
      </c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</row>
    <row r="654" spans="1:30" ht="15.75" x14ac:dyDescent="0.25">
      <c r="A654" s="32">
        <v>60844</v>
      </c>
      <c r="B654" s="88">
        <f t="shared" si="99"/>
        <v>31</v>
      </c>
      <c r="C654" s="76">
        <f>194.205</f>
        <v>194.20500000000001</v>
      </c>
      <c r="D654" s="76">
        <f>267.466</f>
        <v>267.46600000000001</v>
      </c>
      <c r="E654" s="85">
        <f>133.845</f>
        <v>133.845</v>
      </c>
      <c r="F654" s="76">
        <f>278.484-40-25-60-100</f>
        <v>53.48399999999998</v>
      </c>
      <c r="G654" s="79">
        <v>40</v>
      </c>
      <c r="H654" s="76">
        <f t="shared" si="105"/>
        <v>185</v>
      </c>
      <c r="I654" s="76">
        <f t="shared" si="103"/>
        <v>0</v>
      </c>
      <c r="J654" s="79">
        <v>100</v>
      </c>
      <c r="K654" s="79">
        <v>300</v>
      </c>
      <c r="L654" s="76">
        <f t="shared" si="95"/>
        <v>1274</v>
      </c>
      <c r="M654" s="87">
        <v>600</v>
      </c>
      <c r="N654" s="76">
        <f>30</f>
        <v>30</v>
      </c>
      <c r="O654" s="79">
        <v>240</v>
      </c>
      <c r="P654" s="79">
        <v>40</v>
      </c>
      <c r="Q654" s="79">
        <f t="shared" si="96"/>
        <v>315</v>
      </c>
      <c r="R654" s="79">
        <f t="shared" si="97"/>
        <v>100</v>
      </c>
      <c r="S654" s="76">
        <f t="shared" si="98"/>
        <v>695</v>
      </c>
      <c r="T654" s="76">
        <f>0</f>
        <v>0</v>
      </c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</row>
    <row r="655" spans="1:30" ht="15.75" x14ac:dyDescent="0.25">
      <c r="A655" s="32">
        <v>60875</v>
      </c>
      <c r="B655" s="88">
        <f t="shared" si="99"/>
        <v>31</v>
      </c>
      <c r="C655" s="76">
        <f>194.205</f>
        <v>194.20500000000001</v>
      </c>
      <c r="D655" s="76">
        <f>267.466</f>
        <v>267.46600000000001</v>
      </c>
      <c r="E655" s="85">
        <f>133.845</f>
        <v>133.845</v>
      </c>
      <c r="F655" s="76">
        <f>278.484-40-25-60-100</f>
        <v>53.48399999999998</v>
      </c>
      <c r="G655" s="79">
        <v>40</v>
      </c>
      <c r="H655" s="76">
        <f t="shared" si="105"/>
        <v>185</v>
      </c>
      <c r="I655" s="76">
        <f t="shared" si="103"/>
        <v>0</v>
      </c>
      <c r="J655" s="79">
        <v>100</v>
      </c>
      <c r="K655" s="79">
        <v>300</v>
      </c>
      <c r="L655" s="76">
        <f t="shared" si="95"/>
        <v>1274</v>
      </c>
      <c r="M655" s="87">
        <v>600</v>
      </c>
      <c r="N655" s="76">
        <f>30</f>
        <v>30</v>
      </c>
      <c r="O655" s="79">
        <v>240</v>
      </c>
      <c r="P655" s="79">
        <v>40</v>
      </c>
      <c r="Q655" s="79">
        <f t="shared" si="96"/>
        <v>315</v>
      </c>
      <c r="R655" s="79">
        <f t="shared" si="97"/>
        <v>100</v>
      </c>
      <c r="S655" s="76">
        <f t="shared" si="98"/>
        <v>695</v>
      </c>
      <c r="T655" s="76">
        <f>0</f>
        <v>0</v>
      </c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</row>
    <row r="656" spans="1:30" ht="15.75" x14ac:dyDescent="0.25">
      <c r="A656" s="32">
        <v>60905</v>
      </c>
      <c r="B656" s="88">
        <f t="shared" si="99"/>
        <v>30</v>
      </c>
      <c r="C656" s="76">
        <f>194.205</f>
        <v>194.20500000000001</v>
      </c>
      <c r="D656" s="76">
        <f>267.466</f>
        <v>267.46600000000001</v>
      </c>
      <c r="E656" s="85">
        <f>133.845</f>
        <v>133.845</v>
      </c>
      <c r="F656" s="76">
        <f>278.484-40-25-60-100</f>
        <v>53.48399999999998</v>
      </c>
      <c r="G656" s="79">
        <v>40</v>
      </c>
      <c r="H656" s="76">
        <f t="shared" si="105"/>
        <v>185</v>
      </c>
      <c r="I656" s="76">
        <f t="shared" si="103"/>
        <v>0</v>
      </c>
      <c r="J656" s="79">
        <v>100</v>
      </c>
      <c r="K656" s="79">
        <v>300</v>
      </c>
      <c r="L656" s="76">
        <f t="shared" ref="L656:L719" si="106">SUM(C656:K656)</f>
        <v>1274</v>
      </c>
      <c r="M656" s="87">
        <v>600</v>
      </c>
      <c r="N656" s="76">
        <f>30</f>
        <v>30</v>
      </c>
      <c r="O656" s="79">
        <v>240</v>
      </c>
      <c r="P656" s="79">
        <v>40</v>
      </c>
      <c r="Q656" s="79">
        <f t="shared" ref="Q656:Q719" si="107">695-R656-O656-P656</f>
        <v>315</v>
      </c>
      <c r="R656" s="79">
        <f t="shared" ref="R656:R719" si="108">200-J656</f>
        <v>100</v>
      </c>
      <c r="S656" s="76">
        <f t="shared" ref="S656:S719" si="109">SUM(O656:R656)</f>
        <v>695</v>
      </c>
      <c r="T656" s="76">
        <f>0</f>
        <v>0</v>
      </c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</row>
    <row r="657" spans="1:30" ht="15.75" x14ac:dyDescent="0.25">
      <c r="A657" s="32">
        <v>60936</v>
      </c>
      <c r="B657" s="88">
        <f t="shared" si="99"/>
        <v>31</v>
      </c>
      <c r="C657" s="76">
        <f>131.881</f>
        <v>131.881</v>
      </c>
      <c r="D657" s="76">
        <f>277.167</f>
        <v>277.16699999999997</v>
      </c>
      <c r="E657" s="85">
        <f>79.08</f>
        <v>79.08</v>
      </c>
      <c r="F657" s="76">
        <f>350.872-40-25-60-100</f>
        <v>125.87200000000001</v>
      </c>
      <c r="G657" s="79">
        <v>40</v>
      </c>
      <c r="H657" s="76">
        <f t="shared" si="105"/>
        <v>185</v>
      </c>
      <c r="I657" s="76">
        <f t="shared" si="103"/>
        <v>0</v>
      </c>
      <c r="J657" s="79">
        <v>100</v>
      </c>
      <c r="K657" s="79">
        <v>300</v>
      </c>
      <c r="L657" s="76">
        <f t="shared" si="106"/>
        <v>1239</v>
      </c>
      <c r="M657" s="87">
        <v>600</v>
      </c>
      <c r="N657" s="76">
        <f>75</f>
        <v>75</v>
      </c>
      <c r="O657" s="79">
        <v>240</v>
      </c>
      <c r="P657" s="79">
        <v>40</v>
      </c>
      <c r="Q657" s="79">
        <f t="shared" si="107"/>
        <v>315</v>
      </c>
      <c r="R657" s="79">
        <f t="shared" si="108"/>
        <v>100</v>
      </c>
      <c r="S657" s="76">
        <f t="shared" si="109"/>
        <v>695</v>
      </c>
      <c r="T657" s="76">
        <f>0</f>
        <v>0</v>
      </c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</row>
    <row r="658" spans="1:30" ht="15.75" x14ac:dyDescent="0.25">
      <c r="A658" s="32">
        <v>60966</v>
      </c>
      <c r="B658" s="88">
        <f t="shared" si="99"/>
        <v>30</v>
      </c>
      <c r="C658" s="76">
        <f>122.58</f>
        <v>122.58</v>
      </c>
      <c r="D658" s="76">
        <f>297.941</f>
        <v>297.94099999999997</v>
      </c>
      <c r="E658" s="85">
        <f>89.177</f>
        <v>89.177000000000007</v>
      </c>
      <c r="F658" s="76">
        <f>240.302-40-60-100</f>
        <v>40.301999999999992</v>
      </c>
      <c r="G658" s="79">
        <v>40</v>
      </c>
      <c r="H658" s="76">
        <f>60+100</f>
        <v>160</v>
      </c>
      <c r="I658" s="76">
        <f t="shared" si="103"/>
        <v>0</v>
      </c>
      <c r="J658" s="79">
        <v>100</v>
      </c>
      <c r="K658" s="79">
        <v>300</v>
      </c>
      <c r="L658" s="76">
        <f t="shared" si="106"/>
        <v>1150</v>
      </c>
      <c r="M658" s="87">
        <v>600</v>
      </c>
      <c r="N658" s="76">
        <f>100</f>
        <v>100</v>
      </c>
      <c r="O658" s="79">
        <v>240</v>
      </c>
      <c r="P658" s="79">
        <v>40</v>
      </c>
      <c r="Q658" s="79">
        <f t="shared" si="107"/>
        <v>315</v>
      </c>
      <c r="R658" s="79">
        <f t="shared" si="108"/>
        <v>100</v>
      </c>
      <c r="S658" s="76">
        <f t="shared" si="109"/>
        <v>695</v>
      </c>
      <c r="T658" s="76">
        <f>50</f>
        <v>50</v>
      </c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</row>
    <row r="659" spans="1:30" ht="15.75" x14ac:dyDescent="0.25">
      <c r="A659" s="32">
        <v>60997</v>
      </c>
      <c r="B659" s="88">
        <f t="shared" si="99"/>
        <v>31</v>
      </c>
      <c r="C659" s="76">
        <f>122.58</f>
        <v>122.58</v>
      </c>
      <c r="D659" s="76">
        <f>297.941</f>
        <v>297.94099999999997</v>
      </c>
      <c r="E659" s="85">
        <f>89.177</f>
        <v>89.177000000000007</v>
      </c>
      <c r="F659" s="76">
        <f>240.302-40-60-100</f>
        <v>40.301999999999992</v>
      </c>
      <c r="G659" s="79">
        <v>40</v>
      </c>
      <c r="H659" s="76">
        <f>60+100</f>
        <v>160</v>
      </c>
      <c r="I659" s="76">
        <f t="shared" si="103"/>
        <v>0</v>
      </c>
      <c r="J659" s="79">
        <v>100</v>
      </c>
      <c r="K659" s="79">
        <v>300</v>
      </c>
      <c r="L659" s="76">
        <f t="shared" si="106"/>
        <v>1150</v>
      </c>
      <c r="M659" s="87">
        <v>600</v>
      </c>
      <c r="N659" s="76">
        <f>100</f>
        <v>100</v>
      </c>
      <c r="O659" s="79">
        <v>240</v>
      </c>
      <c r="P659" s="79">
        <v>40</v>
      </c>
      <c r="Q659" s="79">
        <f t="shared" si="107"/>
        <v>315</v>
      </c>
      <c r="R659" s="79">
        <f t="shared" si="108"/>
        <v>100</v>
      </c>
      <c r="S659" s="76">
        <f t="shared" si="109"/>
        <v>695</v>
      </c>
      <c r="T659" s="76">
        <f>50</f>
        <v>50</v>
      </c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</row>
    <row r="660" spans="1:30" ht="15.75" x14ac:dyDescent="0.25">
      <c r="A660" s="32">
        <v>61028</v>
      </c>
      <c r="B660" s="88">
        <f t="shared" si="99"/>
        <v>31</v>
      </c>
      <c r="C660" s="76">
        <f>122.58</f>
        <v>122.58</v>
      </c>
      <c r="D660" s="76">
        <f>297.941</f>
        <v>297.94099999999997</v>
      </c>
      <c r="E660" s="85">
        <f>89.177</f>
        <v>89.177000000000007</v>
      </c>
      <c r="F660" s="76">
        <f>240.302-40-60-100</f>
        <v>40.301999999999992</v>
      </c>
      <c r="G660" s="79">
        <v>40</v>
      </c>
      <c r="H660" s="76">
        <f>60+100</f>
        <v>160</v>
      </c>
      <c r="I660" s="76">
        <f t="shared" si="103"/>
        <v>0</v>
      </c>
      <c r="J660" s="79">
        <v>100</v>
      </c>
      <c r="K660" s="79">
        <v>300</v>
      </c>
      <c r="L660" s="76">
        <f t="shared" si="106"/>
        <v>1150</v>
      </c>
      <c r="M660" s="87">
        <v>600</v>
      </c>
      <c r="N660" s="76">
        <f>100</f>
        <v>100</v>
      </c>
      <c r="O660" s="79">
        <v>240</v>
      </c>
      <c r="P660" s="79">
        <v>40</v>
      </c>
      <c r="Q660" s="79">
        <f t="shared" si="107"/>
        <v>315</v>
      </c>
      <c r="R660" s="79">
        <f t="shared" si="108"/>
        <v>100</v>
      </c>
      <c r="S660" s="76">
        <f t="shared" si="109"/>
        <v>695</v>
      </c>
      <c r="T660" s="76">
        <f>50</f>
        <v>50</v>
      </c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</row>
    <row r="661" spans="1:30" ht="15.75" x14ac:dyDescent="0.25">
      <c r="A661" s="32">
        <v>61056</v>
      </c>
      <c r="B661" s="88">
        <f t="shared" si="99"/>
        <v>28</v>
      </c>
      <c r="C661" s="76">
        <f>122.58</f>
        <v>122.58</v>
      </c>
      <c r="D661" s="76">
        <f>297.941</f>
        <v>297.94099999999997</v>
      </c>
      <c r="E661" s="85">
        <f>89.177</f>
        <v>89.177000000000007</v>
      </c>
      <c r="F661" s="76">
        <f>240.302-40-60-100</f>
        <v>40.301999999999992</v>
      </c>
      <c r="G661" s="79">
        <v>40</v>
      </c>
      <c r="H661" s="76">
        <f>60+100</f>
        <v>160</v>
      </c>
      <c r="I661" s="76">
        <f t="shared" si="103"/>
        <v>0</v>
      </c>
      <c r="J661" s="79">
        <v>100</v>
      </c>
      <c r="K661" s="79">
        <v>300</v>
      </c>
      <c r="L661" s="76">
        <f t="shared" si="106"/>
        <v>1150</v>
      </c>
      <c r="M661" s="87">
        <v>600</v>
      </c>
      <c r="N661" s="76">
        <f>100</f>
        <v>100</v>
      </c>
      <c r="O661" s="79">
        <v>240</v>
      </c>
      <c r="P661" s="79">
        <v>40</v>
      </c>
      <c r="Q661" s="79">
        <f t="shared" si="107"/>
        <v>315</v>
      </c>
      <c r="R661" s="79">
        <f t="shared" si="108"/>
        <v>100</v>
      </c>
      <c r="S661" s="76">
        <f t="shared" si="109"/>
        <v>695</v>
      </c>
      <c r="T661" s="76">
        <f>50</f>
        <v>50</v>
      </c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</row>
    <row r="662" spans="1:30" ht="15.75" x14ac:dyDescent="0.25">
      <c r="A662" s="32">
        <v>61087</v>
      </c>
      <c r="B662" s="88">
        <f t="shared" si="99"/>
        <v>31</v>
      </c>
      <c r="C662" s="76">
        <f>122.58</f>
        <v>122.58</v>
      </c>
      <c r="D662" s="76">
        <f>297.941</f>
        <v>297.94099999999997</v>
      </c>
      <c r="E662" s="85">
        <f>89.177</f>
        <v>89.177000000000007</v>
      </c>
      <c r="F662" s="76">
        <f>240.302-40-60-100</f>
        <v>40.301999999999992</v>
      </c>
      <c r="G662" s="79">
        <v>40</v>
      </c>
      <c r="H662" s="76">
        <f>60+100</f>
        <v>160</v>
      </c>
      <c r="I662" s="76">
        <f t="shared" si="103"/>
        <v>0</v>
      </c>
      <c r="J662" s="79">
        <v>100</v>
      </c>
      <c r="K662" s="79">
        <v>300</v>
      </c>
      <c r="L662" s="76">
        <f t="shared" si="106"/>
        <v>1150</v>
      </c>
      <c r="M662" s="87">
        <v>600</v>
      </c>
      <c r="N662" s="76">
        <f>100</f>
        <v>100</v>
      </c>
      <c r="O662" s="79">
        <v>240</v>
      </c>
      <c r="P662" s="79">
        <v>40</v>
      </c>
      <c r="Q662" s="79">
        <f t="shared" si="107"/>
        <v>315</v>
      </c>
      <c r="R662" s="79">
        <f t="shared" si="108"/>
        <v>100</v>
      </c>
      <c r="S662" s="76">
        <f t="shared" si="109"/>
        <v>695</v>
      </c>
      <c r="T662" s="76">
        <f>50</f>
        <v>50</v>
      </c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</row>
    <row r="663" spans="1:30" ht="15.75" x14ac:dyDescent="0.25">
      <c r="A663" s="32">
        <v>61117</v>
      </c>
      <c r="B663" s="88">
        <f t="shared" si="99"/>
        <v>30</v>
      </c>
      <c r="C663" s="76">
        <f>141.293</f>
        <v>141.29300000000001</v>
      </c>
      <c r="D663" s="76">
        <f>267.993</f>
        <v>267.99299999999999</v>
      </c>
      <c r="E663" s="85">
        <f>115.016</f>
        <v>115.01600000000001</v>
      </c>
      <c r="F663" s="76">
        <f>314.698-40-25-60-100</f>
        <v>89.697999999999979</v>
      </c>
      <c r="G663" s="79">
        <v>40</v>
      </c>
      <c r="H663" s="76">
        <f t="shared" ref="H663:H669" si="110">25+60+100</f>
        <v>185</v>
      </c>
      <c r="I663" s="76">
        <f t="shared" si="103"/>
        <v>0</v>
      </c>
      <c r="J663" s="79">
        <v>100</v>
      </c>
      <c r="K663" s="79">
        <v>300</v>
      </c>
      <c r="L663" s="76">
        <f t="shared" si="106"/>
        <v>1239</v>
      </c>
      <c r="M663" s="87">
        <v>600</v>
      </c>
      <c r="N663" s="76">
        <f>100</f>
        <v>100</v>
      </c>
      <c r="O663" s="79">
        <v>240</v>
      </c>
      <c r="P663" s="79">
        <v>40</v>
      </c>
      <c r="Q663" s="79">
        <f t="shared" si="107"/>
        <v>315</v>
      </c>
      <c r="R663" s="79">
        <f t="shared" si="108"/>
        <v>100</v>
      </c>
      <c r="S663" s="76">
        <f t="shared" si="109"/>
        <v>695</v>
      </c>
      <c r="T663" s="76">
        <f>50</f>
        <v>50</v>
      </c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</row>
    <row r="664" spans="1:30" ht="15.75" x14ac:dyDescent="0.25">
      <c r="A664" s="32">
        <v>61148</v>
      </c>
      <c r="B664" s="88">
        <f t="shared" ref="B664:B727" si="111">EOMONTH(A664,0)-EOMONTH(A664,-1)</f>
        <v>31</v>
      </c>
      <c r="C664" s="76">
        <f>194.205</f>
        <v>194.20500000000001</v>
      </c>
      <c r="D664" s="76">
        <f>267.466</f>
        <v>267.46600000000001</v>
      </c>
      <c r="E664" s="85">
        <f>133.845</f>
        <v>133.845</v>
      </c>
      <c r="F664" s="76">
        <f>278.484-40-25-60-100</f>
        <v>53.48399999999998</v>
      </c>
      <c r="G664" s="79">
        <v>40</v>
      </c>
      <c r="H664" s="76">
        <f t="shared" si="110"/>
        <v>185</v>
      </c>
      <c r="I664" s="76">
        <f t="shared" si="103"/>
        <v>0</v>
      </c>
      <c r="J664" s="79">
        <v>100</v>
      </c>
      <c r="K664" s="79">
        <v>300</v>
      </c>
      <c r="L664" s="76">
        <f t="shared" si="106"/>
        <v>1274</v>
      </c>
      <c r="M664" s="87">
        <v>600</v>
      </c>
      <c r="N664" s="76">
        <f>75</f>
        <v>75</v>
      </c>
      <c r="O664" s="79">
        <v>240</v>
      </c>
      <c r="P664" s="79">
        <v>40</v>
      </c>
      <c r="Q664" s="79">
        <f t="shared" si="107"/>
        <v>315</v>
      </c>
      <c r="R664" s="79">
        <f t="shared" si="108"/>
        <v>100</v>
      </c>
      <c r="S664" s="76">
        <f t="shared" si="109"/>
        <v>695</v>
      </c>
      <c r="T664" s="76">
        <f>50</f>
        <v>50</v>
      </c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</row>
    <row r="665" spans="1:30" ht="15.75" x14ac:dyDescent="0.25">
      <c r="A665" s="32">
        <v>61178</v>
      </c>
      <c r="B665" s="88">
        <f t="shared" si="111"/>
        <v>30</v>
      </c>
      <c r="C665" s="76">
        <f>194.205</f>
        <v>194.20500000000001</v>
      </c>
      <c r="D665" s="76">
        <f>267.466</f>
        <v>267.46600000000001</v>
      </c>
      <c r="E665" s="85">
        <f>133.845</f>
        <v>133.845</v>
      </c>
      <c r="F665" s="76">
        <f>278.484-40-25-60-100</f>
        <v>53.48399999999998</v>
      </c>
      <c r="G665" s="79">
        <v>40</v>
      </c>
      <c r="H665" s="76">
        <f t="shared" si="110"/>
        <v>185</v>
      </c>
      <c r="I665" s="76">
        <f t="shared" si="103"/>
        <v>0</v>
      </c>
      <c r="J665" s="79">
        <v>100</v>
      </c>
      <c r="K665" s="79">
        <v>300</v>
      </c>
      <c r="L665" s="76">
        <f t="shared" si="106"/>
        <v>1274</v>
      </c>
      <c r="M665" s="87">
        <v>600</v>
      </c>
      <c r="N665" s="76">
        <f>30</f>
        <v>30</v>
      </c>
      <c r="O665" s="79">
        <v>240</v>
      </c>
      <c r="P665" s="79">
        <v>40</v>
      </c>
      <c r="Q665" s="79">
        <f t="shared" si="107"/>
        <v>315</v>
      </c>
      <c r="R665" s="79">
        <f t="shared" si="108"/>
        <v>100</v>
      </c>
      <c r="S665" s="76">
        <f t="shared" si="109"/>
        <v>695</v>
      </c>
      <c r="T665" s="76">
        <f>50</f>
        <v>50</v>
      </c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</row>
    <row r="666" spans="1:30" ht="15.75" x14ac:dyDescent="0.25">
      <c r="A666" s="32">
        <v>61209</v>
      </c>
      <c r="B666" s="88">
        <f t="shared" si="111"/>
        <v>31</v>
      </c>
      <c r="C666" s="76">
        <f>194.205</f>
        <v>194.20500000000001</v>
      </c>
      <c r="D666" s="76">
        <f>267.466</f>
        <v>267.46600000000001</v>
      </c>
      <c r="E666" s="85">
        <f>133.845</f>
        <v>133.845</v>
      </c>
      <c r="F666" s="76">
        <f>278.484-40-25-60-100</f>
        <v>53.48399999999998</v>
      </c>
      <c r="G666" s="79">
        <v>40</v>
      </c>
      <c r="H666" s="76">
        <f t="shared" si="110"/>
        <v>185</v>
      </c>
      <c r="I666" s="76">
        <f t="shared" si="103"/>
        <v>0</v>
      </c>
      <c r="J666" s="79">
        <v>100</v>
      </c>
      <c r="K666" s="79">
        <v>300</v>
      </c>
      <c r="L666" s="76">
        <f t="shared" si="106"/>
        <v>1274</v>
      </c>
      <c r="M666" s="87">
        <v>600</v>
      </c>
      <c r="N666" s="76">
        <f>30</f>
        <v>30</v>
      </c>
      <c r="O666" s="79">
        <v>240</v>
      </c>
      <c r="P666" s="79">
        <v>40</v>
      </c>
      <c r="Q666" s="79">
        <f t="shared" si="107"/>
        <v>315</v>
      </c>
      <c r="R666" s="79">
        <f t="shared" si="108"/>
        <v>100</v>
      </c>
      <c r="S666" s="76">
        <f t="shared" si="109"/>
        <v>695</v>
      </c>
      <c r="T666" s="76">
        <f>0</f>
        <v>0</v>
      </c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</row>
    <row r="667" spans="1:30" ht="15.75" x14ac:dyDescent="0.25">
      <c r="A667" s="32">
        <v>61240</v>
      </c>
      <c r="B667" s="88">
        <f t="shared" si="111"/>
        <v>31</v>
      </c>
      <c r="C667" s="76">
        <f>194.205</f>
        <v>194.20500000000001</v>
      </c>
      <c r="D667" s="76">
        <f>267.466</f>
        <v>267.46600000000001</v>
      </c>
      <c r="E667" s="85">
        <f>133.845</f>
        <v>133.845</v>
      </c>
      <c r="F667" s="76">
        <f>278.484-40-25-60-100</f>
        <v>53.48399999999998</v>
      </c>
      <c r="G667" s="79">
        <v>40</v>
      </c>
      <c r="H667" s="76">
        <f t="shared" si="110"/>
        <v>185</v>
      </c>
      <c r="I667" s="76">
        <f t="shared" si="103"/>
        <v>0</v>
      </c>
      <c r="J667" s="79">
        <v>100</v>
      </c>
      <c r="K667" s="79">
        <v>300</v>
      </c>
      <c r="L667" s="76">
        <f t="shared" si="106"/>
        <v>1274</v>
      </c>
      <c r="M667" s="87">
        <v>600</v>
      </c>
      <c r="N667" s="76">
        <f>30</f>
        <v>30</v>
      </c>
      <c r="O667" s="79">
        <v>240</v>
      </c>
      <c r="P667" s="79">
        <v>40</v>
      </c>
      <c r="Q667" s="79">
        <f t="shared" si="107"/>
        <v>315</v>
      </c>
      <c r="R667" s="79">
        <f t="shared" si="108"/>
        <v>100</v>
      </c>
      <c r="S667" s="76">
        <f t="shared" si="109"/>
        <v>695</v>
      </c>
      <c r="T667" s="76">
        <f>0</f>
        <v>0</v>
      </c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</row>
    <row r="668" spans="1:30" ht="15.75" x14ac:dyDescent="0.25">
      <c r="A668" s="32">
        <v>61270</v>
      </c>
      <c r="B668" s="88">
        <f t="shared" si="111"/>
        <v>30</v>
      </c>
      <c r="C668" s="76">
        <f>194.205</f>
        <v>194.20500000000001</v>
      </c>
      <c r="D668" s="76">
        <f>267.466</f>
        <v>267.46600000000001</v>
      </c>
      <c r="E668" s="85">
        <f>133.845</f>
        <v>133.845</v>
      </c>
      <c r="F668" s="76">
        <f>278.484-40-25-60-100</f>
        <v>53.48399999999998</v>
      </c>
      <c r="G668" s="79">
        <v>40</v>
      </c>
      <c r="H668" s="76">
        <f t="shared" si="110"/>
        <v>185</v>
      </c>
      <c r="I668" s="76">
        <f t="shared" si="103"/>
        <v>0</v>
      </c>
      <c r="J668" s="79">
        <v>100</v>
      </c>
      <c r="K668" s="79">
        <v>300</v>
      </c>
      <c r="L668" s="76">
        <f t="shared" si="106"/>
        <v>1274</v>
      </c>
      <c r="M668" s="87">
        <v>600</v>
      </c>
      <c r="N668" s="76">
        <f>30</f>
        <v>30</v>
      </c>
      <c r="O668" s="79">
        <v>240</v>
      </c>
      <c r="P668" s="79">
        <v>40</v>
      </c>
      <c r="Q668" s="79">
        <f t="shared" si="107"/>
        <v>315</v>
      </c>
      <c r="R668" s="79">
        <f t="shared" si="108"/>
        <v>100</v>
      </c>
      <c r="S668" s="76">
        <f t="shared" si="109"/>
        <v>695</v>
      </c>
      <c r="T668" s="76">
        <f>0</f>
        <v>0</v>
      </c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</row>
    <row r="669" spans="1:30" ht="15.75" x14ac:dyDescent="0.25">
      <c r="A669" s="32">
        <v>61301</v>
      </c>
      <c r="B669" s="88">
        <f t="shared" si="111"/>
        <v>31</v>
      </c>
      <c r="C669" s="76">
        <f>131.881</f>
        <v>131.881</v>
      </c>
      <c r="D669" s="76">
        <f>277.167</f>
        <v>277.16699999999997</v>
      </c>
      <c r="E669" s="85">
        <f>79.08</f>
        <v>79.08</v>
      </c>
      <c r="F669" s="76">
        <f>350.872-40-25-60-100</f>
        <v>125.87200000000001</v>
      </c>
      <c r="G669" s="79">
        <v>40</v>
      </c>
      <c r="H669" s="76">
        <f t="shared" si="110"/>
        <v>185</v>
      </c>
      <c r="I669" s="76">
        <f t="shared" si="103"/>
        <v>0</v>
      </c>
      <c r="J669" s="79">
        <v>100</v>
      </c>
      <c r="K669" s="79">
        <v>300</v>
      </c>
      <c r="L669" s="76">
        <f t="shared" si="106"/>
        <v>1239</v>
      </c>
      <c r="M669" s="87">
        <v>600</v>
      </c>
      <c r="N669" s="76">
        <f>75</f>
        <v>75</v>
      </c>
      <c r="O669" s="79">
        <v>240</v>
      </c>
      <c r="P669" s="79">
        <v>40</v>
      </c>
      <c r="Q669" s="79">
        <f t="shared" si="107"/>
        <v>315</v>
      </c>
      <c r="R669" s="79">
        <f t="shared" si="108"/>
        <v>100</v>
      </c>
      <c r="S669" s="76">
        <f t="shared" si="109"/>
        <v>695</v>
      </c>
      <c r="T669" s="76">
        <f>0</f>
        <v>0</v>
      </c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</row>
    <row r="670" spans="1:30" ht="15.75" x14ac:dyDescent="0.25">
      <c r="A670" s="32">
        <v>61331</v>
      </c>
      <c r="B670" s="88">
        <f t="shared" si="111"/>
        <v>30</v>
      </c>
      <c r="C670" s="76">
        <f>122.58</f>
        <v>122.58</v>
      </c>
      <c r="D670" s="76">
        <f>297.941</f>
        <v>297.94099999999997</v>
      </c>
      <c r="E670" s="85">
        <f>89.177</f>
        <v>89.177000000000007</v>
      </c>
      <c r="F670" s="76">
        <f>240.302-40-60-100</f>
        <v>40.301999999999992</v>
      </c>
      <c r="G670" s="79">
        <v>40</v>
      </c>
      <c r="H670" s="76">
        <f>60+100</f>
        <v>160</v>
      </c>
      <c r="I670" s="76">
        <f t="shared" si="103"/>
        <v>0</v>
      </c>
      <c r="J670" s="79">
        <v>100</v>
      </c>
      <c r="K670" s="79">
        <v>300</v>
      </c>
      <c r="L670" s="76">
        <f t="shared" si="106"/>
        <v>1150</v>
      </c>
      <c r="M670" s="87">
        <v>600</v>
      </c>
      <c r="N670" s="76">
        <f>100</f>
        <v>100</v>
      </c>
      <c r="O670" s="79">
        <v>240</v>
      </c>
      <c r="P670" s="79">
        <v>40</v>
      </c>
      <c r="Q670" s="79">
        <f t="shared" si="107"/>
        <v>315</v>
      </c>
      <c r="R670" s="79">
        <f t="shared" si="108"/>
        <v>100</v>
      </c>
      <c r="S670" s="76">
        <f t="shared" si="109"/>
        <v>695</v>
      </c>
      <c r="T670" s="76">
        <f>50</f>
        <v>50</v>
      </c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</row>
    <row r="671" spans="1:30" ht="15.75" x14ac:dyDescent="0.25">
      <c r="A671" s="32">
        <v>61362</v>
      </c>
      <c r="B671" s="88">
        <f t="shared" si="111"/>
        <v>31</v>
      </c>
      <c r="C671" s="76">
        <f>122.58</f>
        <v>122.58</v>
      </c>
      <c r="D671" s="76">
        <f>297.941</f>
        <v>297.94099999999997</v>
      </c>
      <c r="E671" s="85">
        <f>89.177</f>
        <v>89.177000000000007</v>
      </c>
      <c r="F671" s="76">
        <f>240.302-40-60-100</f>
        <v>40.301999999999992</v>
      </c>
      <c r="G671" s="79">
        <v>40</v>
      </c>
      <c r="H671" s="76">
        <f>60+100</f>
        <v>160</v>
      </c>
      <c r="I671" s="76">
        <f t="shared" si="103"/>
        <v>0</v>
      </c>
      <c r="J671" s="79">
        <v>100</v>
      </c>
      <c r="K671" s="79">
        <v>300</v>
      </c>
      <c r="L671" s="76">
        <f t="shared" si="106"/>
        <v>1150</v>
      </c>
      <c r="M671" s="87">
        <v>600</v>
      </c>
      <c r="N671" s="76">
        <f>100</f>
        <v>100</v>
      </c>
      <c r="O671" s="79">
        <v>240</v>
      </c>
      <c r="P671" s="79">
        <v>40</v>
      </c>
      <c r="Q671" s="79">
        <f t="shared" si="107"/>
        <v>315</v>
      </c>
      <c r="R671" s="79">
        <f t="shared" si="108"/>
        <v>100</v>
      </c>
      <c r="S671" s="76">
        <f t="shared" si="109"/>
        <v>695</v>
      </c>
      <c r="T671" s="76">
        <f>50</f>
        <v>50</v>
      </c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</row>
    <row r="672" spans="1:30" ht="15.75" x14ac:dyDescent="0.25">
      <c r="A672" s="32">
        <v>61393</v>
      </c>
      <c r="B672" s="88">
        <f t="shared" si="111"/>
        <v>31</v>
      </c>
      <c r="C672" s="76">
        <f>122.58</f>
        <v>122.58</v>
      </c>
      <c r="D672" s="76">
        <f>297.941</f>
        <v>297.94099999999997</v>
      </c>
      <c r="E672" s="85">
        <f>89.177</f>
        <v>89.177000000000007</v>
      </c>
      <c r="F672" s="76">
        <f>240.302-40-60-100</f>
        <v>40.301999999999992</v>
      </c>
      <c r="G672" s="79">
        <v>40</v>
      </c>
      <c r="H672" s="76">
        <f>60+100</f>
        <v>160</v>
      </c>
      <c r="I672" s="76">
        <f t="shared" si="103"/>
        <v>0</v>
      </c>
      <c r="J672" s="79">
        <v>100</v>
      </c>
      <c r="K672" s="79">
        <v>300</v>
      </c>
      <c r="L672" s="76">
        <f t="shared" si="106"/>
        <v>1150</v>
      </c>
      <c r="M672" s="87">
        <v>600</v>
      </c>
      <c r="N672" s="76">
        <f>100</f>
        <v>100</v>
      </c>
      <c r="O672" s="79">
        <v>240</v>
      </c>
      <c r="P672" s="79">
        <v>40</v>
      </c>
      <c r="Q672" s="79">
        <f t="shared" si="107"/>
        <v>315</v>
      </c>
      <c r="R672" s="79">
        <f t="shared" si="108"/>
        <v>100</v>
      </c>
      <c r="S672" s="76">
        <f t="shared" si="109"/>
        <v>695</v>
      </c>
      <c r="T672" s="76">
        <f>50</f>
        <v>50</v>
      </c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</row>
    <row r="673" spans="1:30" ht="15.75" x14ac:dyDescent="0.25">
      <c r="A673" s="32">
        <v>61422</v>
      </c>
      <c r="B673" s="88">
        <f t="shared" si="111"/>
        <v>29</v>
      </c>
      <c r="C673" s="76">
        <f>122.58</f>
        <v>122.58</v>
      </c>
      <c r="D673" s="76">
        <f>297.941</f>
        <v>297.94099999999997</v>
      </c>
      <c r="E673" s="85">
        <f>89.177</f>
        <v>89.177000000000007</v>
      </c>
      <c r="F673" s="76">
        <f>240.302-40-60-100</f>
        <v>40.301999999999992</v>
      </c>
      <c r="G673" s="79">
        <v>40</v>
      </c>
      <c r="H673" s="76">
        <f>60+100</f>
        <v>160</v>
      </c>
      <c r="I673" s="76">
        <f t="shared" si="103"/>
        <v>0</v>
      </c>
      <c r="J673" s="79">
        <v>100</v>
      </c>
      <c r="K673" s="79">
        <v>300</v>
      </c>
      <c r="L673" s="76">
        <f t="shared" si="106"/>
        <v>1150</v>
      </c>
      <c r="M673" s="87">
        <v>600</v>
      </c>
      <c r="N673" s="76">
        <f>100</f>
        <v>100</v>
      </c>
      <c r="O673" s="79">
        <v>240</v>
      </c>
      <c r="P673" s="79">
        <v>40</v>
      </c>
      <c r="Q673" s="79">
        <f t="shared" si="107"/>
        <v>315</v>
      </c>
      <c r="R673" s="79">
        <f t="shared" si="108"/>
        <v>100</v>
      </c>
      <c r="S673" s="76">
        <f t="shared" si="109"/>
        <v>695</v>
      </c>
      <c r="T673" s="76">
        <f>50</f>
        <v>50</v>
      </c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</row>
    <row r="674" spans="1:30" ht="15.75" x14ac:dyDescent="0.25">
      <c r="A674" s="32">
        <v>61453</v>
      </c>
      <c r="B674" s="88">
        <f t="shared" si="111"/>
        <v>31</v>
      </c>
      <c r="C674" s="76">
        <f>122.58</f>
        <v>122.58</v>
      </c>
      <c r="D674" s="76">
        <f>297.941</f>
        <v>297.94099999999997</v>
      </c>
      <c r="E674" s="85">
        <f>89.177</f>
        <v>89.177000000000007</v>
      </c>
      <c r="F674" s="76">
        <f>240.302-40-60-100</f>
        <v>40.301999999999992</v>
      </c>
      <c r="G674" s="79">
        <v>40</v>
      </c>
      <c r="H674" s="76">
        <f>60+100</f>
        <v>160</v>
      </c>
      <c r="I674" s="76">
        <f t="shared" si="103"/>
        <v>0</v>
      </c>
      <c r="J674" s="79">
        <v>100</v>
      </c>
      <c r="K674" s="79">
        <v>300</v>
      </c>
      <c r="L674" s="76">
        <f t="shared" si="106"/>
        <v>1150</v>
      </c>
      <c r="M674" s="87">
        <v>600</v>
      </c>
      <c r="N674" s="76">
        <f>100</f>
        <v>100</v>
      </c>
      <c r="O674" s="79">
        <v>240</v>
      </c>
      <c r="P674" s="79">
        <v>40</v>
      </c>
      <c r="Q674" s="79">
        <f t="shared" si="107"/>
        <v>315</v>
      </c>
      <c r="R674" s="79">
        <f t="shared" si="108"/>
        <v>100</v>
      </c>
      <c r="S674" s="76">
        <f t="shared" si="109"/>
        <v>695</v>
      </c>
      <c r="T674" s="76">
        <f>50</f>
        <v>50</v>
      </c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</row>
    <row r="675" spans="1:30" ht="15.75" x14ac:dyDescent="0.25">
      <c r="A675" s="32">
        <v>61483</v>
      </c>
      <c r="B675" s="88">
        <f t="shared" si="111"/>
        <v>30</v>
      </c>
      <c r="C675" s="76">
        <f>141.293</f>
        <v>141.29300000000001</v>
      </c>
      <c r="D675" s="76">
        <f>267.993</f>
        <v>267.99299999999999</v>
      </c>
      <c r="E675" s="85">
        <f>115.016</f>
        <v>115.01600000000001</v>
      </c>
      <c r="F675" s="76">
        <f>314.698-40-25-60-100</f>
        <v>89.697999999999979</v>
      </c>
      <c r="G675" s="79">
        <v>40</v>
      </c>
      <c r="H675" s="76">
        <f t="shared" ref="H675:H681" si="112">25+60+100</f>
        <v>185</v>
      </c>
      <c r="I675" s="76">
        <f t="shared" si="103"/>
        <v>0</v>
      </c>
      <c r="J675" s="79">
        <v>100</v>
      </c>
      <c r="K675" s="79">
        <v>300</v>
      </c>
      <c r="L675" s="76">
        <f t="shared" si="106"/>
        <v>1239</v>
      </c>
      <c r="M675" s="87">
        <v>600</v>
      </c>
      <c r="N675" s="76">
        <f>100</f>
        <v>100</v>
      </c>
      <c r="O675" s="79">
        <v>240</v>
      </c>
      <c r="P675" s="79">
        <v>40</v>
      </c>
      <c r="Q675" s="79">
        <f t="shared" si="107"/>
        <v>315</v>
      </c>
      <c r="R675" s="79">
        <f t="shared" si="108"/>
        <v>100</v>
      </c>
      <c r="S675" s="76">
        <f t="shared" si="109"/>
        <v>695</v>
      </c>
      <c r="T675" s="76">
        <f>50</f>
        <v>50</v>
      </c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</row>
    <row r="676" spans="1:30" ht="15.75" x14ac:dyDescent="0.25">
      <c r="A676" s="32">
        <v>61514</v>
      </c>
      <c r="B676" s="88">
        <f t="shared" si="111"/>
        <v>31</v>
      </c>
      <c r="C676" s="76">
        <f>194.205</f>
        <v>194.20500000000001</v>
      </c>
      <c r="D676" s="76">
        <f>267.466</f>
        <v>267.46600000000001</v>
      </c>
      <c r="E676" s="85">
        <f>133.845</f>
        <v>133.845</v>
      </c>
      <c r="F676" s="76">
        <f>278.484-40-25-60-100</f>
        <v>53.48399999999998</v>
      </c>
      <c r="G676" s="79">
        <v>40</v>
      </c>
      <c r="H676" s="76">
        <f t="shared" si="112"/>
        <v>185</v>
      </c>
      <c r="I676" s="76">
        <f t="shared" si="103"/>
        <v>0</v>
      </c>
      <c r="J676" s="79">
        <v>100</v>
      </c>
      <c r="K676" s="79">
        <v>300</v>
      </c>
      <c r="L676" s="76">
        <f t="shared" si="106"/>
        <v>1274</v>
      </c>
      <c r="M676" s="87">
        <v>600</v>
      </c>
      <c r="N676" s="76">
        <f>75</f>
        <v>75</v>
      </c>
      <c r="O676" s="79">
        <v>240</v>
      </c>
      <c r="P676" s="79">
        <v>40</v>
      </c>
      <c r="Q676" s="79">
        <f t="shared" si="107"/>
        <v>315</v>
      </c>
      <c r="R676" s="79">
        <f t="shared" si="108"/>
        <v>100</v>
      </c>
      <c r="S676" s="76">
        <f t="shared" si="109"/>
        <v>695</v>
      </c>
      <c r="T676" s="76">
        <f>50</f>
        <v>50</v>
      </c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</row>
    <row r="677" spans="1:30" ht="15.75" x14ac:dyDescent="0.25">
      <c r="A677" s="32">
        <v>61544</v>
      </c>
      <c r="B677" s="88">
        <f t="shared" si="111"/>
        <v>30</v>
      </c>
      <c r="C677" s="76">
        <f>194.205</f>
        <v>194.20500000000001</v>
      </c>
      <c r="D677" s="76">
        <f>267.466</f>
        <v>267.46600000000001</v>
      </c>
      <c r="E677" s="85">
        <f>133.845</f>
        <v>133.845</v>
      </c>
      <c r="F677" s="76">
        <f>278.484-40-25-60-100</f>
        <v>53.48399999999998</v>
      </c>
      <c r="G677" s="79">
        <v>40</v>
      </c>
      <c r="H677" s="76">
        <f t="shared" si="112"/>
        <v>185</v>
      </c>
      <c r="I677" s="76">
        <f t="shared" si="103"/>
        <v>0</v>
      </c>
      <c r="J677" s="79">
        <v>100</v>
      </c>
      <c r="K677" s="79">
        <v>300</v>
      </c>
      <c r="L677" s="76">
        <f t="shared" si="106"/>
        <v>1274</v>
      </c>
      <c r="M677" s="87">
        <v>600</v>
      </c>
      <c r="N677" s="76">
        <f>30</f>
        <v>30</v>
      </c>
      <c r="O677" s="79">
        <v>240</v>
      </c>
      <c r="P677" s="79">
        <v>40</v>
      </c>
      <c r="Q677" s="79">
        <f t="shared" si="107"/>
        <v>315</v>
      </c>
      <c r="R677" s="79">
        <f t="shared" si="108"/>
        <v>100</v>
      </c>
      <c r="S677" s="76">
        <f t="shared" si="109"/>
        <v>695</v>
      </c>
      <c r="T677" s="76">
        <f>50</f>
        <v>50</v>
      </c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</row>
    <row r="678" spans="1:30" ht="15.75" x14ac:dyDescent="0.25">
      <c r="A678" s="32">
        <v>61575</v>
      </c>
      <c r="B678" s="88">
        <f t="shared" si="111"/>
        <v>31</v>
      </c>
      <c r="C678" s="76">
        <f>194.205</f>
        <v>194.20500000000001</v>
      </c>
      <c r="D678" s="76">
        <f>267.466</f>
        <v>267.46600000000001</v>
      </c>
      <c r="E678" s="85">
        <f>133.845</f>
        <v>133.845</v>
      </c>
      <c r="F678" s="76">
        <f>278.484-40-25-60-100</f>
        <v>53.48399999999998</v>
      </c>
      <c r="G678" s="79">
        <v>40</v>
      </c>
      <c r="H678" s="76">
        <f t="shared" si="112"/>
        <v>185</v>
      </c>
      <c r="I678" s="76">
        <f t="shared" si="103"/>
        <v>0</v>
      </c>
      <c r="J678" s="79">
        <v>100</v>
      </c>
      <c r="K678" s="79">
        <v>300</v>
      </c>
      <c r="L678" s="76">
        <f t="shared" si="106"/>
        <v>1274</v>
      </c>
      <c r="M678" s="87">
        <v>600</v>
      </c>
      <c r="N678" s="76">
        <f>30</f>
        <v>30</v>
      </c>
      <c r="O678" s="79">
        <v>240</v>
      </c>
      <c r="P678" s="79">
        <v>40</v>
      </c>
      <c r="Q678" s="79">
        <f t="shared" si="107"/>
        <v>315</v>
      </c>
      <c r="R678" s="79">
        <f t="shared" si="108"/>
        <v>100</v>
      </c>
      <c r="S678" s="76">
        <f t="shared" si="109"/>
        <v>695</v>
      </c>
      <c r="T678" s="76">
        <f>0</f>
        <v>0</v>
      </c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</row>
    <row r="679" spans="1:30" ht="15.75" x14ac:dyDescent="0.25">
      <c r="A679" s="32">
        <v>61606</v>
      </c>
      <c r="B679" s="88">
        <f t="shared" si="111"/>
        <v>31</v>
      </c>
      <c r="C679" s="76">
        <f>194.205</f>
        <v>194.20500000000001</v>
      </c>
      <c r="D679" s="76">
        <f>267.466</f>
        <v>267.46600000000001</v>
      </c>
      <c r="E679" s="85">
        <f>133.845</f>
        <v>133.845</v>
      </c>
      <c r="F679" s="76">
        <f>278.484-40-25-60-100</f>
        <v>53.48399999999998</v>
      </c>
      <c r="G679" s="79">
        <v>40</v>
      </c>
      <c r="H679" s="76">
        <f t="shared" si="112"/>
        <v>185</v>
      </c>
      <c r="I679" s="76">
        <f t="shared" si="103"/>
        <v>0</v>
      </c>
      <c r="J679" s="79">
        <v>100</v>
      </c>
      <c r="K679" s="79">
        <v>300</v>
      </c>
      <c r="L679" s="76">
        <f t="shared" si="106"/>
        <v>1274</v>
      </c>
      <c r="M679" s="87">
        <v>600</v>
      </c>
      <c r="N679" s="76">
        <f>30</f>
        <v>30</v>
      </c>
      <c r="O679" s="79">
        <v>240</v>
      </c>
      <c r="P679" s="79">
        <v>40</v>
      </c>
      <c r="Q679" s="79">
        <f t="shared" si="107"/>
        <v>315</v>
      </c>
      <c r="R679" s="79">
        <f t="shared" si="108"/>
        <v>100</v>
      </c>
      <c r="S679" s="76">
        <f t="shared" si="109"/>
        <v>695</v>
      </c>
      <c r="T679" s="76">
        <f>0</f>
        <v>0</v>
      </c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</row>
    <row r="680" spans="1:30" ht="15.75" x14ac:dyDescent="0.25">
      <c r="A680" s="32">
        <v>61636</v>
      </c>
      <c r="B680" s="88">
        <f t="shared" si="111"/>
        <v>30</v>
      </c>
      <c r="C680" s="76">
        <f>194.205</f>
        <v>194.20500000000001</v>
      </c>
      <c r="D680" s="76">
        <f>267.466</f>
        <v>267.46600000000001</v>
      </c>
      <c r="E680" s="85">
        <f>133.845</f>
        <v>133.845</v>
      </c>
      <c r="F680" s="76">
        <f>278.484-40-25-60-100</f>
        <v>53.48399999999998</v>
      </c>
      <c r="G680" s="79">
        <v>40</v>
      </c>
      <c r="H680" s="76">
        <f t="shared" si="112"/>
        <v>185</v>
      </c>
      <c r="I680" s="76">
        <f t="shared" si="103"/>
        <v>0</v>
      </c>
      <c r="J680" s="79">
        <v>100</v>
      </c>
      <c r="K680" s="79">
        <v>300</v>
      </c>
      <c r="L680" s="76">
        <f t="shared" si="106"/>
        <v>1274</v>
      </c>
      <c r="M680" s="87">
        <v>600</v>
      </c>
      <c r="N680" s="76">
        <f>30</f>
        <v>30</v>
      </c>
      <c r="O680" s="79">
        <v>240</v>
      </c>
      <c r="P680" s="79">
        <v>40</v>
      </c>
      <c r="Q680" s="79">
        <f t="shared" si="107"/>
        <v>315</v>
      </c>
      <c r="R680" s="79">
        <f t="shared" si="108"/>
        <v>100</v>
      </c>
      <c r="S680" s="76">
        <f t="shared" si="109"/>
        <v>695</v>
      </c>
      <c r="T680" s="76">
        <f>0</f>
        <v>0</v>
      </c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</row>
    <row r="681" spans="1:30" ht="15.75" x14ac:dyDescent="0.25">
      <c r="A681" s="32">
        <v>61667</v>
      </c>
      <c r="B681" s="88">
        <f t="shared" si="111"/>
        <v>31</v>
      </c>
      <c r="C681" s="76">
        <f>131.881</f>
        <v>131.881</v>
      </c>
      <c r="D681" s="76">
        <f>277.167</f>
        <v>277.16699999999997</v>
      </c>
      <c r="E681" s="85">
        <f>79.08</f>
        <v>79.08</v>
      </c>
      <c r="F681" s="76">
        <f>350.872-40-25-60-100</f>
        <v>125.87200000000001</v>
      </c>
      <c r="G681" s="79">
        <v>40</v>
      </c>
      <c r="H681" s="76">
        <f t="shared" si="112"/>
        <v>185</v>
      </c>
      <c r="I681" s="76">
        <f t="shared" si="103"/>
        <v>0</v>
      </c>
      <c r="J681" s="79">
        <v>100</v>
      </c>
      <c r="K681" s="79">
        <v>300</v>
      </c>
      <c r="L681" s="76">
        <f t="shared" si="106"/>
        <v>1239</v>
      </c>
      <c r="M681" s="87">
        <v>600</v>
      </c>
      <c r="N681" s="76">
        <f>75</f>
        <v>75</v>
      </c>
      <c r="O681" s="79">
        <v>240</v>
      </c>
      <c r="P681" s="79">
        <v>40</v>
      </c>
      <c r="Q681" s="79">
        <f t="shared" si="107"/>
        <v>315</v>
      </c>
      <c r="R681" s="79">
        <f t="shared" si="108"/>
        <v>100</v>
      </c>
      <c r="S681" s="76">
        <f t="shared" si="109"/>
        <v>695</v>
      </c>
      <c r="T681" s="76">
        <f>0</f>
        <v>0</v>
      </c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</row>
    <row r="682" spans="1:30" ht="15.75" x14ac:dyDescent="0.25">
      <c r="A682" s="32">
        <v>61697</v>
      </c>
      <c r="B682" s="88">
        <f t="shared" si="111"/>
        <v>30</v>
      </c>
      <c r="C682" s="76">
        <f>122.58</f>
        <v>122.58</v>
      </c>
      <c r="D682" s="76">
        <f>297.941</f>
        <v>297.94099999999997</v>
      </c>
      <c r="E682" s="85">
        <f>89.177</f>
        <v>89.177000000000007</v>
      </c>
      <c r="F682" s="76">
        <f>240.302-40-60-100</f>
        <v>40.301999999999992</v>
      </c>
      <c r="G682" s="79">
        <v>40</v>
      </c>
      <c r="H682" s="76">
        <f>60+100</f>
        <v>160</v>
      </c>
      <c r="I682" s="76">
        <f t="shared" si="103"/>
        <v>0</v>
      </c>
      <c r="J682" s="79">
        <v>100</v>
      </c>
      <c r="K682" s="79">
        <v>300</v>
      </c>
      <c r="L682" s="76">
        <f t="shared" si="106"/>
        <v>1150</v>
      </c>
      <c r="M682" s="87">
        <v>600</v>
      </c>
      <c r="N682" s="76">
        <f>100</f>
        <v>100</v>
      </c>
      <c r="O682" s="79">
        <v>240</v>
      </c>
      <c r="P682" s="79">
        <v>40</v>
      </c>
      <c r="Q682" s="79">
        <f t="shared" si="107"/>
        <v>315</v>
      </c>
      <c r="R682" s="79">
        <f t="shared" si="108"/>
        <v>100</v>
      </c>
      <c r="S682" s="76">
        <f t="shared" si="109"/>
        <v>695</v>
      </c>
      <c r="T682" s="76">
        <f>50</f>
        <v>50</v>
      </c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</row>
    <row r="683" spans="1:30" ht="15.75" x14ac:dyDescent="0.25">
      <c r="A683" s="32">
        <v>61728</v>
      </c>
      <c r="B683" s="88">
        <f t="shared" si="111"/>
        <v>31</v>
      </c>
      <c r="C683" s="76">
        <f>122.58</f>
        <v>122.58</v>
      </c>
      <c r="D683" s="76">
        <f>297.941</f>
        <v>297.94099999999997</v>
      </c>
      <c r="E683" s="85">
        <f>89.177</f>
        <v>89.177000000000007</v>
      </c>
      <c r="F683" s="76">
        <f>240.302-40-60-100</f>
        <v>40.301999999999992</v>
      </c>
      <c r="G683" s="79">
        <v>40</v>
      </c>
      <c r="H683" s="76">
        <f>60+100</f>
        <v>160</v>
      </c>
      <c r="I683" s="76">
        <f t="shared" si="103"/>
        <v>0</v>
      </c>
      <c r="J683" s="79">
        <v>100</v>
      </c>
      <c r="K683" s="79">
        <v>300</v>
      </c>
      <c r="L683" s="76">
        <f t="shared" si="106"/>
        <v>1150</v>
      </c>
      <c r="M683" s="87">
        <v>600</v>
      </c>
      <c r="N683" s="76">
        <f>100</f>
        <v>100</v>
      </c>
      <c r="O683" s="79">
        <v>240</v>
      </c>
      <c r="P683" s="79">
        <v>40</v>
      </c>
      <c r="Q683" s="79">
        <f t="shared" si="107"/>
        <v>315</v>
      </c>
      <c r="R683" s="79">
        <f t="shared" si="108"/>
        <v>100</v>
      </c>
      <c r="S683" s="76">
        <f t="shared" si="109"/>
        <v>695</v>
      </c>
      <c r="T683" s="76">
        <f>50</f>
        <v>50</v>
      </c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</row>
    <row r="684" spans="1:30" ht="15.75" x14ac:dyDescent="0.25">
      <c r="A684" s="32">
        <v>61759</v>
      </c>
      <c r="B684" s="88">
        <f t="shared" si="111"/>
        <v>31</v>
      </c>
      <c r="C684" s="76">
        <f>122.58</f>
        <v>122.58</v>
      </c>
      <c r="D684" s="76">
        <f>297.941</f>
        <v>297.94099999999997</v>
      </c>
      <c r="E684" s="85">
        <f>89.177</f>
        <v>89.177000000000007</v>
      </c>
      <c r="F684" s="76">
        <f>240.302-40-60-100</f>
        <v>40.301999999999992</v>
      </c>
      <c r="G684" s="79">
        <v>40</v>
      </c>
      <c r="H684" s="76">
        <f>60+100</f>
        <v>160</v>
      </c>
      <c r="I684" s="76">
        <f t="shared" si="103"/>
        <v>0</v>
      </c>
      <c r="J684" s="79">
        <v>100</v>
      </c>
      <c r="K684" s="79">
        <v>300</v>
      </c>
      <c r="L684" s="76">
        <f t="shared" si="106"/>
        <v>1150</v>
      </c>
      <c r="M684" s="87">
        <v>600</v>
      </c>
      <c r="N684" s="76">
        <f>100</f>
        <v>100</v>
      </c>
      <c r="O684" s="79">
        <v>240</v>
      </c>
      <c r="P684" s="79">
        <v>40</v>
      </c>
      <c r="Q684" s="79">
        <f t="shared" si="107"/>
        <v>315</v>
      </c>
      <c r="R684" s="79">
        <f t="shared" si="108"/>
        <v>100</v>
      </c>
      <c r="S684" s="76">
        <f t="shared" si="109"/>
        <v>695</v>
      </c>
      <c r="T684" s="76">
        <f>50</f>
        <v>50</v>
      </c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</row>
    <row r="685" spans="1:30" ht="15.75" x14ac:dyDescent="0.25">
      <c r="A685" s="32">
        <v>61787</v>
      </c>
      <c r="B685" s="88">
        <f t="shared" si="111"/>
        <v>28</v>
      </c>
      <c r="C685" s="76">
        <f>122.58</f>
        <v>122.58</v>
      </c>
      <c r="D685" s="76">
        <f>297.941</f>
        <v>297.94099999999997</v>
      </c>
      <c r="E685" s="85">
        <f>89.177</f>
        <v>89.177000000000007</v>
      </c>
      <c r="F685" s="76">
        <f>240.302-40-60-100</f>
        <v>40.301999999999992</v>
      </c>
      <c r="G685" s="79">
        <v>40</v>
      </c>
      <c r="H685" s="76">
        <f>60+100</f>
        <v>160</v>
      </c>
      <c r="I685" s="76">
        <f t="shared" si="103"/>
        <v>0</v>
      </c>
      <c r="J685" s="79">
        <v>100</v>
      </c>
      <c r="K685" s="79">
        <v>300</v>
      </c>
      <c r="L685" s="76">
        <f t="shared" si="106"/>
        <v>1150</v>
      </c>
      <c r="M685" s="87">
        <v>600</v>
      </c>
      <c r="N685" s="76">
        <f>100</f>
        <v>100</v>
      </c>
      <c r="O685" s="79">
        <v>240</v>
      </c>
      <c r="P685" s="79">
        <v>40</v>
      </c>
      <c r="Q685" s="79">
        <f t="shared" si="107"/>
        <v>315</v>
      </c>
      <c r="R685" s="79">
        <f t="shared" si="108"/>
        <v>100</v>
      </c>
      <c r="S685" s="76">
        <f t="shared" si="109"/>
        <v>695</v>
      </c>
      <c r="T685" s="76">
        <f>50</f>
        <v>50</v>
      </c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</row>
    <row r="686" spans="1:30" ht="15.75" x14ac:dyDescent="0.25">
      <c r="A686" s="32">
        <v>61818</v>
      </c>
      <c r="B686" s="88">
        <f t="shared" si="111"/>
        <v>31</v>
      </c>
      <c r="C686" s="76">
        <f>122.58</f>
        <v>122.58</v>
      </c>
      <c r="D686" s="76">
        <f>297.941</f>
        <v>297.94099999999997</v>
      </c>
      <c r="E686" s="85">
        <f>89.177</f>
        <v>89.177000000000007</v>
      </c>
      <c r="F686" s="76">
        <f>240.302-40-60-100</f>
        <v>40.301999999999992</v>
      </c>
      <c r="G686" s="79">
        <v>40</v>
      </c>
      <c r="H686" s="76">
        <f>60+100</f>
        <v>160</v>
      </c>
      <c r="I686" s="76">
        <f t="shared" si="103"/>
        <v>0</v>
      </c>
      <c r="J686" s="79">
        <v>100</v>
      </c>
      <c r="K686" s="79">
        <v>300</v>
      </c>
      <c r="L686" s="76">
        <f t="shared" si="106"/>
        <v>1150</v>
      </c>
      <c r="M686" s="87">
        <v>600</v>
      </c>
      <c r="N686" s="76">
        <f>100</f>
        <v>100</v>
      </c>
      <c r="O686" s="79">
        <v>240</v>
      </c>
      <c r="P686" s="79">
        <v>40</v>
      </c>
      <c r="Q686" s="79">
        <f t="shared" si="107"/>
        <v>315</v>
      </c>
      <c r="R686" s="79">
        <f t="shared" si="108"/>
        <v>100</v>
      </c>
      <c r="S686" s="76">
        <f t="shared" si="109"/>
        <v>695</v>
      </c>
      <c r="T686" s="76">
        <f>50</f>
        <v>50</v>
      </c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</row>
    <row r="687" spans="1:30" ht="15.75" x14ac:dyDescent="0.25">
      <c r="A687" s="32">
        <v>61848</v>
      </c>
      <c r="B687" s="88">
        <f t="shared" si="111"/>
        <v>30</v>
      </c>
      <c r="C687" s="76">
        <f>141.293</f>
        <v>141.29300000000001</v>
      </c>
      <c r="D687" s="76">
        <f>267.993</f>
        <v>267.99299999999999</v>
      </c>
      <c r="E687" s="85">
        <f>115.016</f>
        <v>115.01600000000001</v>
      </c>
      <c r="F687" s="76">
        <f>314.698-40-25-60-100</f>
        <v>89.697999999999979</v>
      </c>
      <c r="G687" s="79">
        <v>40</v>
      </c>
      <c r="H687" s="76">
        <f t="shared" ref="H687:H693" si="113">25+60+100</f>
        <v>185</v>
      </c>
      <c r="I687" s="76">
        <f t="shared" si="103"/>
        <v>0</v>
      </c>
      <c r="J687" s="79">
        <v>100</v>
      </c>
      <c r="K687" s="79">
        <v>300</v>
      </c>
      <c r="L687" s="76">
        <f t="shared" si="106"/>
        <v>1239</v>
      </c>
      <c r="M687" s="87">
        <v>600</v>
      </c>
      <c r="N687" s="76">
        <f>100</f>
        <v>100</v>
      </c>
      <c r="O687" s="79">
        <v>240</v>
      </c>
      <c r="P687" s="79">
        <v>40</v>
      </c>
      <c r="Q687" s="79">
        <f t="shared" si="107"/>
        <v>315</v>
      </c>
      <c r="R687" s="79">
        <f t="shared" si="108"/>
        <v>100</v>
      </c>
      <c r="S687" s="76">
        <f t="shared" si="109"/>
        <v>695</v>
      </c>
      <c r="T687" s="76">
        <f>50</f>
        <v>50</v>
      </c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</row>
    <row r="688" spans="1:30" ht="15.75" x14ac:dyDescent="0.25">
      <c r="A688" s="32">
        <v>61879</v>
      </c>
      <c r="B688" s="88">
        <f t="shared" si="111"/>
        <v>31</v>
      </c>
      <c r="C688" s="76">
        <f>194.205</f>
        <v>194.20500000000001</v>
      </c>
      <c r="D688" s="76">
        <f>267.466</f>
        <v>267.46600000000001</v>
      </c>
      <c r="E688" s="85">
        <f>133.845</f>
        <v>133.845</v>
      </c>
      <c r="F688" s="76">
        <f>278.484-40-25-60-100</f>
        <v>53.48399999999998</v>
      </c>
      <c r="G688" s="79">
        <v>40</v>
      </c>
      <c r="H688" s="76">
        <f t="shared" si="113"/>
        <v>185</v>
      </c>
      <c r="I688" s="76">
        <f t="shared" si="103"/>
        <v>0</v>
      </c>
      <c r="J688" s="79">
        <v>100</v>
      </c>
      <c r="K688" s="79">
        <v>300</v>
      </c>
      <c r="L688" s="76">
        <f t="shared" si="106"/>
        <v>1274</v>
      </c>
      <c r="M688" s="87">
        <v>600</v>
      </c>
      <c r="N688" s="76">
        <f>75</f>
        <v>75</v>
      </c>
      <c r="O688" s="79">
        <v>240</v>
      </c>
      <c r="P688" s="79">
        <v>40</v>
      </c>
      <c r="Q688" s="79">
        <f t="shared" si="107"/>
        <v>315</v>
      </c>
      <c r="R688" s="79">
        <f t="shared" si="108"/>
        <v>100</v>
      </c>
      <c r="S688" s="76">
        <f t="shared" si="109"/>
        <v>695</v>
      </c>
      <c r="T688" s="76">
        <f>50</f>
        <v>50</v>
      </c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</row>
    <row r="689" spans="1:30" ht="15.75" x14ac:dyDescent="0.25">
      <c r="A689" s="32">
        <v>61909</v>
      </c>
      <c r="B689" s="88">
        <f t="shared" si="111"/>
        <v>30</v>
      </c>
      <c r="C689" s="76">
        <f>194.205</f>
        <v>194.20500000000001</v>
      </c>
      <c r="D689" s="76">
        <f>267.466</f>
        <v>267.46600000000001</v>
      </c>
      <c r="E689" s="85">
        <f>133.845</f>
        <v>133.845</v>
      </c>
      <c r="F689" s="76">
        <f>278.484-40-25-60-100</f>
        <v>53.48399999999998</v>
      </c>
      <c r="G689" s="79">
        <v>40</v>
      </c>
      <c r="H689" s="76">
        <f t="shared" si="113"/>
        <v>185</v>
      </c>
      <c r="I689" s="76">
        <f t="shared" si="103"/>
        <v>0</v>
      </c>
      <c r="J689" s="79">
        <v>100</v>
      </c>
      <c r="K689" s="79">
        <v>300</v>
      </c>
      <c r="L689" s="76">
        <f t="shared" si="106"/>
        <v>1274</v>
      </c>
      <c r="M689" s="87">
        <v>600</v>
      </c>
      <c r="N689" s="76">
        <f>30</f>
        <v>30</v>
      </c>
      <c r="O689" s="79">
        <v>240</v>
      </c>
      <c r="P689" s="79">
        <v>40</v>
      </c>
      <c r="Q689" s="79">
        <f t="shared" si="107"/>
        <v>315</v>
      </c>
      <c r="R689" s="79">
        <f t="shared" si="108"/>
        <v>100</v>
      </c>
      <c r="S689" s="76">
        <f t="shared" si="109"/>
        <v>695</v>
      </c>
      <c r="T689" s="76">
        <f>50</f>
        <v>50</v>
      </c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</row>
    <row r="690" spans="1:30" ht="15.75" x14ac:dyDescent="0.25">
      <c r="A690" s="32">
        <v>61940</v>
      </c>
      <c r="B690" s="88">
        <f t="shared" si="111"/>
        <v>31</v>
      </c>
      <c r="C690" s="76">
        <f>194.205</f>
        <v>194.20500000000001</v>
      </c>
      <c r="D690" s="76">
        <f>267.466</f>
        <v>267.46600000000001</v>
      </c>
      <c r="E690" s="85">
        <f>133.845</f>
        <v>133.845</v>
      </c>
      <c r="F690" s="76">
        <f>278.484-40-25-60-100</f>
        <v>53.48399999999998</v>
      </c>
      <c r="G690" s="79">
        <v>40</v>
      </c>
      <c r="H690" s="76">
        <f t="shared" si="113"/>
        <v>185</v>
      </c>
      <c r="I690" s="76">
        <f t="shared" si="103"/>
        <v>0</v>
      </c>
      <c r="J690" s="79">
        <v>100</v>
      </c>
      <c r="K690" s="79">
        <v>300</v>
      </c>
      <c r="L690" s="76">
        <f t="shared" si="106"/>
        <v>1274</v>
      </c>
      <c r="M690" s="87">
        <v>600</v>
      </c>
      <c r="N690" s="76">
        <f>30</f>
        <v>30</v>
      </c>
      <c r="O690" s="79">
        <v>240</v>
      </c>
      <c r="P690" s="79">
        <v>40</v>
      </c>
      <c r="Q690" s="79">
        <f t="shared" si="107"/>
        <v>315</v>
      </c>
      <c r="R690" s="79">
        <f t="shared" si="108"/>
        <v>100</v>
      </c>
      <c r="S690" s="76">
        <f t="shared" si="109"/>
        <v>695</v>
      </c>
      <c r="T690" s="76">
        <f>0</f>
        <v>0</v>
      </c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</row>
    <row r="691" spans="1:30" ht="15.75" x14ac:dyDescent="0.25">
      <c r="A691" s="32">
        <v>61971</v>
      </c>
      <c r="B691" s="88">
        <f t="shared" si="111"/>
        <v>31</v>
      </c>
      <c r="C691" s="76">
        <f>194.205</f>
        <v>194.20500000000001</v>
      </c>
      <c r="D691" s="76">
        <f>267.466</f>
        <v>267.46600000000001</v>
      </c>
      <c r="E691" s="85">
        <f>133.845</f>
        <v>133.845</v>
      </c>
      <c r="F691" s="76">
        <f>278.484-40-25-60-100</f>
        <v>53.48399999999998</v>
      </c>
      <c r="G691" s="79">
        <v>40</v>
      </c>
      <c r="H691" s="76">
        <f t="shared" si="113"/>
        <v>185</v>
      </c>
      <c r="I691" s="76">
        <f t="shared" si="103"/>
        <v>0</v>
      </c>
      <c r="J691" s="79">
        <v>100</v>
      </c>
      <c r="K691" s="79">
        <v>300</v>
      </c>
      <c r="L691" s="76">
        <f t="shared" si="106"/>
        <v>1274</v>
      </c>
      <c r="M691" s="87">
        <v>600</v>
      </c>
      <c r="N691" s="76">
        <f>30</f>
        <v>30</v>
      </c>
      <c r="O691" s="79">
        <v>240</v>
      </c>
      <c r="P691" s="79">
        <v>40</v>
      </c>
      <c r="Q691" s="79">
        <f t="shared" si="107"/>
        <v>315</v>
      </c>
      <c r="R691" s="79">
        <f t="shared" si="108"/>
        <v>100</v>
      </c>
      <c r="S691" s="76">
        <f t="shared" si="109"/>
        <v>695</v>
      </c>
      <c r="T691" s="76">
        <f>0</f>
        <v>0</v>
      </c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</row>
    <row r="692" spans="1:30" ht="15.75" x14ac:dyDescent="0.25">
      <c r="A692" s="32">
        <v>62001</v>
      </c>
      <c r="B692" s="88">
        <f t="shared" si="111"/>
        <v>30</v>
      </c>
      <c r="C692" s="76">
        <f>194.205</f>
        <v>194.20500000000001</v>
      </c>
      <c r="D692" s="76">
        <f>267.466</f>
        <v>267.46600000000001</v>
      </c>
      <c r="E692" s="85">
        <f>133.845</f>
        <v>133.845</v>
      </c>
      <c r="F692" s="76">
        <f>278.484-40-25-60-100</f>
        <v>53.48399999999998</v>
      </c>
      <c r="G692" s="79">
        <v>40</v>
      </c>
      <c r="H692" s="76">
        <f t="shared" si="113"/>
        <v>185</v>
      </c>
      <c r="I692" s="76">
        <f t="shared" ref="I692:I755" si="114">400-J692-K692</f>
        <v>0</v>
      </c>
      <c r="J692" s="79">
        <v>100</v>
      </c>
      <c r="K692" s="79">
        <v>300</v>
      </c>
      <c r="L692" s="76">
        <f t="shared" si="106"/>
        <v>1274</v>
      </c>
      <c r="M692" s="87">
        <v>600</v>
      </c>
      <c r="N692" s="76">
        <f>30</f>
        <v>30</v>
      </c>
      <c r="O692" s="79">
        <v>240</v>
      </c>
      <c r="P692" s="79">
        <v>40</v>
      </c>
      <c r="Q692" s="79">
        <f t="shared" si="107"/>
        <v>315</v>
      </c>
      <c r="R692" s="79">
        <f t="shared" si="108"/>
        <v>100</v>
      </c>
      <c r="S692" s="76">
        <f t="shared" si="109"/>
        <v>695</v>
      </c>
      <c r="T692" s="76">
        <f>0</f>
        <v>0</v>
      </c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</row>
    <row r="693" spans="1:30" ht="15.75" x14ac:dyDescent="0.25">
      <c r="A693" s="32">
        <v>62032</v>
      </c>
      <c r="B693" s="88">
        <f t="shared" si="111"/>
        <v>31</v>
      </c>
      <c r="C693" s="76">
        <f>131.881</f>
        <v>131.881</v>
      </c>
      <c r="D693" s="76">
        <f>277.167</f>
        <v>277.16699999999997</v>
      </c>
      <c r="E693" s="85">
        <f>79.08</f>
        <v>79.08</v>
      </c>
      <c r="F693" s="76">
        <f>350.872-40-25-60-100</f>
        <v>125.87200000000001</v>
      </c>
      <c r="G693" s="79">
        <v>40</v>
      </c>
      <c r="H693" s="76">
        <f t="shared" si="113"/>
        <v>185</v>
      </c>
      <c r="I693" s="76">
        <f t="shared" si="114"/>
        <v>0</v>
      </c>
      <c r="J693" s="79">
        <v>100</v>
      </c>
      <c r="K693" s="79">
        <v>300</v>
      </c>
      <c r="L693" s="76">
        <f t="shared" si="106"/>
        <v>1239</v>
      </c>
      <c r="M693" s="87">
        <v>600</v>
      </c>
      <c r="N693" s="76">
        <f>75</f>
        <v>75</v>
      </c>
      <c r="O693" s="79">
        <v>240</v>
      </c>
      <c r="P693" s="79">
        <v>40</v>
      </c>
      <c r="Q693" s="79">
        <f t="shared" si="107"/>
        <v>315</v>
      </c>
      <c r="R693" s="79">
        <f t="shared" si="108"/>
        <v>100</v>
      </c>
      <c r="S693" s="76">
        <f t="shared" si="109"/>
        <v>695</v>
      </c>
      <c r="T693" s="76">
        <f>0</f>
        <v>0</v>
      </c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</row>
    <row r="694" spans="1:30" ht="15.75" x14ac:dyDescent="0.25">
      <c r="A694" s="32">
        <v>62062</v>
      </c>
      <c r="B694" s="88">
        <f t="shared" si="111"/>
        <v>30</v>
      </c>
      <c r="C694" s="76">
        <f>122.58</f>
        <v>122.58</v>
      </c>
      <c r="D694" s="76">
        <f>297.941</f>
        <v>297.94099999999997</v>
      </c>
      <c r="E694" s="85">
        <f>89.177</f>
        <v>89.177000000000007</v>
      </c>
      <c r="F694" s="76">
        <f>240.302-40-60-100</f>
        <v>40.301999999999992</v>
      </c>
      <c r="G694" s="79">
        <v>40</v>
      </c>
      <c r="H694" s="76">
        <f>60+100</f>
        <v>160</v>
      </c>
      <c r="I694" s="76">
        <f t="shared" si="114"/>
        <v>0</v>
      </c>
      <c r="J694" s="79">
        <v>100</v>
      </c>
      <c r="K694" s="79">
        <v>300</v>
      </c>
      <c r="L694" s="76">
        <f t="shared" si="106"/>
        <v>1150</v>
      </c>
      <c r="M694" s="87">
        <v>600</v>
      </c>
      <c r="N694" s="76">
        <f>100</f>
        <v>100</v>
      </c>
      <c r="O694" s="79">
        <v>240</v>
      </c>
      <c r="P694" s="79">
        <v>40</v>
      </c>
      <c r="Q694" s="79">
        <f t="shared" si="107"/>
        <v>315</v>
      </c>
      <c r="R694" s="79">
        <f t="shared" si="108"/>
        <v>100</v>
      </c>
      <c r="S694" s="76">
        <f t="shared" si="109"/>
        <v>695</v>
      </c>
      <c r="T694" s="76">
        <f>50</f>
        <v>50</v>
      </c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</row>
    <row r="695" spans="1:30" ht="15.75" x14ac:dyDescent="0.25">
      <c r="A695" s="32">
        <v>62093</v>
      </c>
      <c r="B695" s="88">
        <f t="shared" si="111"/>
        <v>31</v>
      </c>
      <c r="C695" s="76">
        <f>122.58</f>
        <v>122.58</v>
      </c>
      <c r="D695" s="76">
        <f>297.941</f>
        <v>297.94099999999997</v>
      </c>
      <c r="E695" s="85">
        <f>89.177</f>
        <v>89.177000000000007</v>
      </c>
      <c r="F695" s="76">
        <f>240.302-40-60-100</f>
        <v>40.301999999999992</v>
      </c>
      <c r="G695" s="79">
        <v>40</v>
      </c>
      <c r="H695" s="76">
        <f>60+100</f>
        <v>160</v>
      </c>
      <c r="I695" s="76">
        <f t="shared" si="114"/>
        <v>0</v>
      </c>
      <c r="J695" s="79">
        <v>100</v>
      </c>
      <c r="K695" s="79">
        <v>300</v>
      </c>
      <c r="L695" s="76">
        <f t="shared" si="106"/>
        <v>1150</v>
      </c>
      <c r="M695" s="87">
        <v>600</v>
      </c>
      <c r="N695" s="76">
        <f>100</f>
        <v>100</v>
      </c>
      <c r="O695" s="79">
        <v>240</v>
      </c>
      <c r="P695" s="79">
        <v>40</v>
      </c>
      <c r="Q695" s="79">
        <f t="shared" si="107"/>
        <v>315</v>
      </c>
      <c r="R695" s="79">
        <f t="shared" si="108"/>
        <v>100</v>
      </c>
      <c r="S695" s="76">
        <f t="shared" si="109"/>
        <v>695</v>
      </c>
      <c r="T695" s="76">
        <f>50</f>
        <v>50</v>
      </c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</row>
    <row r="696" spans="1:30" ht="15.75" x14ac:dyDescent="0.25">
      <c r="A696" s="32">
        <v>62124</v>
      </c>
      <c r="B696" s="88">
        <f t="shared" si="111"/>
        <v>31</v>
      </c>
      <c r="C696" s="76">
        <f>122.58</f>
        <v>122.58</v>
      </c>
      <c r="D696" s="76">
        <f>297.941</f>
        <v>297.94099999999997</v>
      </c>
      <c r="E696" s="85">
        <f>89.177</f>
        <v>89.177000000000007</v>
      </c>
      <c r="F696" s="76">
        <f>240.302-40-60-100</f>
        <v>40.301999999999992</v>
      </c>
      <c r="G696" s="79">
        <v>40</v>
      </c>
      <c r="H696" s="76">
        <f>60+100</f>
        <v>160</v>
      </c>
      <c r="I696" s="76">
        <f t="shared" si="114"/>
        <v>0</v>
      </c>
      <c r="J696" s="79">
        <v>100</v>
      </c>
      <c r="K696" s="79">
        <v>300</v>
      </c>
      <c r="L696" s="76">
        <f t="shared" si="106"/>
        <v>1150</v>
      </c>
      <c r="M696" s="87">
        <v>600</v>
      </c>
      <c r="N696" s="76">
        <f>100</f>
        <v>100</v>
      </c>
      <c r="O696" s="79">
        <v>240</v>
      </c>
      <c r="P696" s="79">
        <v>40</v>
      </c>
      <c r="Q696" s="79">
        <f t="shared" si="107"/>
        <v>315</v>
      </c>
      <c r="R696" s="79">
        <f t="shared" si="108"/>
        <v>100</v>
      </c>
      <c r="S696" s="76">
        <f t="shared" si="109"/>
        <v>695</v>
      </c>
      <c r="T696" s="76">
        <f>50</f>
        <v>50</v>
      </c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</row>
    <row r="697" spans="1:30" ht="15.75" x14ac:dyDescent="0.25">
      <c r="A697" s="32">
        <v>62152</v>
      </c>
      <c r="B697" s="88">
        <f t="shared" si="111"/>
        <v>28</v>
      </c>
      <c r="C697" s="76">
        <f>122.58</f>
        <v>122.58</v>
      </c>
      <c r="D697" s="76">
        <f>297.941</f>
        <v>297.94099999999997</v>
      </c>
      <c r="E697" s="85">
        <f>89.177</f>
        <v>89.177000000000007</v>
      </c>
      <c r="F697" s="76">
        <f>240.302-40-60-100</f>
        <v>40.301999999999992</v>
      </c>
      <c r="G697" s="79">
        <v>40</v>
      </c>
      <c r="H697" s="76">
        <f>60+100</f>
        <v>160</v>
      </c>
      <c r="I697" s="76">
        <f t="shared" si="114"/>
        <v>0</v>
      </c>
      <c r="J697" s="79">
        <v>100</v>
      </c>
      <c r="K697" s="79">
        <v>300</v>
      </c>
      <c r="L697" s="76">
        <f t="shared" si="106"/>
        <v>1150</v>
      </c>
      <c r="M697" s="87">
        <v>600</v>
      </c>
      <c r="N697" s="76">
        <f>100</f>
        <v>100</v>
      </c>
      <c r="O697" s="79">
        <v>240</v>
      </c>
      <c r="P697" s="79">
        <v>40</v>
      </c>
      <c r="Q697" s="79">
        <f t="shared" si="107"/>
        <v>315</v>
      </c>
      <c r="R697" s="79">
        <f t="shared" si="108"/>
        <v>100</v>
      </c>
      <c r="S697" s="76">
        <f t="shared" si="109"/>
        <v>695</v>
      </c>
      <c r="T697" s="76">
        <f>50</f>
        <v>50</v>
      </c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</row>
    <row r="698" spans="1:30" ht="15.75" x14ac:dyDescent="0.25">
      <c r="A698" s="32">
        <v>62183</v>
      </c>
      <c r="B698" s="88">
        <f t="shared" si="111"/>
        <v>31</v>
      </c>
      <c r="C698" s="76">
        <f>122.58</f>
        <v>122.58</v>
      </c>
      <c r="D698" s="76">
        <f>297.941</f>
        <v>297.94099999999997</v>
      </c>
      <c r="E698" s="85">
        <f>89.177</f>
        <v>89.177000000000007</v>
      </c>
      <c r="F698" s="76">
        <f>240.302-40-60-100</f>
        <v>40.301999999999992</v>
      </c>
      <c r="G698" s="79">
        <v>40</v>
      </c>
      <c r="H698" s="76">
        <f>60+100</f>
        <v>160</v>
      </c>
      <c r="I698" s="76">
        <f t="shared" si="114"/>
        <v>0</v>
      </c>
      <c r="J698" s="79">
        <v>100</v>
      </c>
      <c r="K698" s="79">
        <v>300</v>
      </c>
      <c r="L698" s="76">
        <f t="shared" si="106"/>
        <v>1150</v>
      </c>
      <c r="M698" s="87">
        <v>600</v>
      </c>
      <c r="N698" s="76">
        <f>100</f>
        <v>100</v>
      </c>
      <c r="O698" s="79">
        <v>240</v>
      </c>
      <c r="P698" s="79">
        <v>40</v>
      </c>
      <c r="Q698" s="79">
        <f t="shared" si="107"/>
        <v>315</v>
      </c>
      <c r="R698" s="79">
        <f t="shared" si="108"/>
        <v>100</v>
      </c>
      <c r="S698" s="76">
        <f t="shared" si="109"/>
        <v>695</v>
      </c>
      <c r="T698" s="76">
        <f>50</f>
        <v>50</v>
      </c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</row>
    <row r="699" spans="1:30" ht="15.75" x14ac:dyDescent="0.25">
      <c r="A699" s="32">
        <v>62213</v>
      </c>
      <c r="B699" s="88">
        <f t="shared" si="111"/>
        <v>30</v>
      </c>
      <c r="C699" s="76">
        <f>141.293</f>
        <v>141.29300000000001</v>
      </c>
      <c r="D699" s="76">
        <f>267.993</f>
        <v>267.99299999999999</v>
      </c>
      <c r="E699" s="85">
        <f>115.016</f>
        <v>115.01600000000001</v>
      </c>
      <c r="F699" s="76">
        <f>314.698-40-25-60-100</f>
        <v>89.697999999999979</v>
      </c>
      <c r="G699" s="79">
        <v>40</v>
      </c>
      <c r="H699" s="76">
        <f t="shared" ref="H699:H705" si="115">25+60+100</f>
        <v>185</v>
      </c>
      <c r="I699" s="76">
        <f t="shared" si="114"/>
        <v>0</v>
      </c>
      <c r="J699" s="79">
        <v>100</v>
      </c>
      <c r="K699" s="79">
        <v>300</v>
      </c>
      <c r="L699" s="76">
        <f t="shared" si="106"/>
        <v>1239</v>
      </c>
      <c r="M699" s="87">
        <v>600</v>
      </c>
      <c r="N699" s="76">
        <f>100</f>
        <v>100</v>
      </c>
      <c r="O699" s="79">
        <v>240</v>
      </c>
      <c r="P699" s="79">
        <v>40</v>
      </c>
      <c r="Q699" s="79">
        <f t="shared" si="107"/>
        <v>315</v>
      </c>
      <c r="R699" s="79">
        <f t="shared" si="108"/>
        <v>100</v>
      </c>
      <c r="S699" s="76">
        <f t="shared" si="109"/>
        <v>695</v>
      </c>
      <c r="T699" s="76">
        <f>50</f>
        <v>50</v>
      </c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</row>
    <row r="700" spans="1:30" ht="15.75" x14ac:dyDescent="0.25">
      <c r="A700" s="32">
        <v>62244</v>
      </c>
      <c r="B700" s="88">
        <f t="shared" si="111"/>
        <v>31</v>
      </c>
      <c r="C700" s="76">
        <f>194.205</f>
        <v>194.20500000000001</v>
      </c>
      <c r="D700" s="76">
        <f>267.466</f>
        <v>267.46600000000001</v>
      </c>
      <c r="E700" s="85">
        <f>133.845</f>
        <v>133.845</v>
      </c>
      <c r="F700" s="76">
        <f>278.484-40-25-60-100</f>
        <v>53.48399999999998</v>
      </c>
      <c r="G700" s="79">
        <v>40</v>
      </c>
      <c r="H700" s="76">
        <f t="shared" si="115"/>
        <v>185</v>
      </c>
      <c r="I700" s="76">
        <f t="shared" si="114"/>
        <v>0</v>
      </c>
      <c r="J700" s="79">
        <v>100</v>
      </c>
      <c r="K700" s="79">
        <v>300</v>
      </c>
      <c r="L700" s="76">
        <f t="shared" si="106"/>
        <v>1274</v>
      </c>
      <c r="M700" s="87">
        <v>600</v>
      </c>
      <c r="N700" s="76">
        <f>75</f>
        <v>75</v>
      </c>
      <c r="O700" s="79">
        <v>240</v>
      </c>
      <c r="P700" s="79">
        <v>40</v>
      </c>
      <c r="Q700" s="79">
        <f t="shared" si="107"/>
        <v>315</v>
      </c>
      <c r="R700" s="79">
        <f t="shared" si="108"/>
        <v>100</v>
      </c>
      <c r="S700" s="76">
        <f t="shared" si="109"/>
        <v>695</v>
      </c>
      <c r="T700" s="76">
        <f>50</f>
        <v>50</v>
      </c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</row>
    <row r="701" spans="1:30" ht="15.75" x14ac:dyDescent="0.25">
      <c r="A701" s="32">
        <v>62274</v>
      </c>
      <c r="B701" s="88">
        <f t="shared" si="111"/>
        <v>30</v>
      </c>
      <c r="C701" s="76">
        <f>194.205</f>
        <v>194.20500000000001</v>
      </c>
      <c r="D701" s="76">
        <f>267.466</f>
        <v>267.46600000000001</v>
      </c>
      <c r="E701" s="85">
        <f>133.845</f>
        <v>133.845</v>
      </c>
      <c r="F701" s="76">
        <f>278.484-40-25-60-100</f>
        <v>53.48399999999998</v>
      </c>
      <c r="G701" s="79">
        <v>40</v>
      </c>
      <c r="H701" s="76">
        <f t="shared" si="115"/>
        <v>185</v>
      </c>
      <c r="I701" s="76">
        <f t="shared" si="114"/>
        <v>0</v>
      </c>
      <c r="J701" s="79">
        <v>100</v>
      </c>
      <c r="K701" s="79">
        <v>300</v>
      </c>
      <c r="L701" s="76">
        <f t="shared" si="106"/>
        <v>1274</v>
      </c>
      <c r="M701" s="87">
        <v>600</v>
      </c>
      <c r="N701" s="76">
        <f>30</f>
        <v>30</v>
      </c>
      <c r="O701" s="79">
        <v>240</v>
      </c>
      <c r="P701" s="79">
        <v>40</v>
      </c>
      <c r="Q701" s="79">
        <f t="shared" si="107"/>
        <v>315</v>
      </c>
      <c r="R701" s="79">
        <f t="shared" si="108"/>
        <v>100</v>
      </c>
      <c r="S701" s="76">
        <f t="shared" si="109"/>
        <v>695</v>
      </c>
      <c r="T701" s="76">
        <f>50</f>
        <v>50</v>
      </c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</row>
    <row r="702" spans="1:30" ht="15.75" x14ac:dyDescent="0.25">
      <c r="A702" s="32">
        <v>62305</v>
      </c>
      <c r="B702" s="88">
        <f t="shared" si="111"/>
        <v>31</v>
      </c>
      <c r="C702" s="76">
        <f>194.205</f>
        <v>194.20500000000001</v>
      </c>
      <c r="D702" s="76">
        <f>267.466</f>
        <v>267.46600000000001</v>
      </c>
      <c r="E702" s="85">
        <f>133.845</f>
        <v>133.845</v>
      </c>
      <c r="F702" s="76">
        <f>278.484-40-25-60-100</f>
        <v>53.48399999999998</v>
      </c>
      <c r="G702" s="79">
        <v>40</v>
      </c>
      <c r="H702" s="76">
        <f t="shared" si="115"/>
        <v>185</v>
      </c>
      <c r="I702" s="76">
        <f t="shared" si="114"/>
        <v>0</v>
      </c>
      <c r="J702" s="79">
        <v>100</v>
      </c>
      <c r="K702" s="79">
        <v>300</v>
      </c>
      <c r="L702" s="76">
        <f t="shared" si="106"/>
        <v>1274</v>
      </c>
      <c r="M702" s="87">
        <v>600</v>
      </c>
      <c r="N702" s="76">
        <f>30</f>
        <v>30</v>
      </c>
      <c r="O702" s="79">
        <v>240</v>
      </c>
      <c r="P702" s="79">
        <v>40</v>
      </c>
      <c r="Q702" s="79">
        <f t="shared" si="107"/>
        <v>315</v>
      </c>
      <c r="R702" s="79">
        <f t="shared" si="108"/>
        <v>100</v>
      </c>
      <c r="S702" s="76">
        <f t="shared" si="109"/>
        <v>695</v>
      </c>
      <c r="T702" s="76">
        <f>0</f>
        <v>0</v>
      </c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</row>
    <row r="703" spans="1:30" ht="15.75" x14ac:dyDescent="0.25">
      <c r="A703" s="32">
        <v>62336</v>
      </c>
      <c r="B703" s="88">
        <f t="shared" si="111"/>
        <v>31</v>
      </c>
      <c r="C703" s="76">
        <f>194.205</f>
        <v>194.20500000000001</v>
      </c>
      <c r="D703" s="76">
        <f>267.466</f>
        <v>267.46600000000001</v>
      </c>
      <c r="E703" s="85">
        <f>133.845</f>
        <v>133.845</v>
      </c>
      <c r="F703" s="76">
        <f>278.484-40-25-60-100</f>
        <v>53.48399999999998</v>
      </c>
      <c r="G703" s="79">
        <v>40</v>
      </c>
      <c r="H703" s="76">
        <f t="shared" si="115"/>
        <v>185</v>
      </c>
      <c r="I703" s="76">
        <f t="shared" si="114"/>
        <v>0</v>
      </c>
      <c r="J703" s="79">
        <v>100</v>
      </c>
      <c r="K703" s="79">
        <v>300</v>
      </c>
      <c r="L703" s="76">
        <f t="shared" si="106"/>
        <v>1274</v>
      </c>
      <c r="M703" s="87">
        <v>600</v>
      </c>
      <c r="N703" s="76">
        <f>30</f>
        <v>30</v>
      </c>
      <c r="O703" s="79">
        <v>240</v>
      </c>
      <c r="P703" s="79">
        <v>40</v>
      </c>
      <c r="Q703" s="79">
        <f t="shared" si="107"/>
        <v>315</v>
      </c>
      <c r="R703" s="79">
        <f t="shared" si="108"/>
        <v>100</v>
      </c>
      <c r="S703" s="76">
        <f t="shared" si="109"/>
        <v>695</v>
      </c>
      <c r="T703" s="76">
        <f>0</f>
        <v>0</v>
      </c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</row>
    <row r="704" spans="1:30" ht="15.75" x14ac:dyDescent="0.25">
      <c r="A704" s="32">
        <v>62366</v>
      </c>
      <c r="B704" s="88">
        <f t="shared" si="111"/>
        <v>30</v>
      </c>
      <c r="C704" s="76">
        <f>194.205</f>
        <v>194.20500000000001</v>
      </c>
      <c r="D704" s="76">
        <f>267.466</f>
        <v>267.46600000000001</v>
      </c>
      <c r="E704" s="85">
        <f>133.845</f>
        <v>133.845</v>
      </c>
      <c r="F704" s="76">
        <f>278.484-40-25-60-100</f>
        <v>53.48399999999998</v>
      </c>
      <c r="G704" s="79">
        <v>40</v>
      </c>
      <c r="H704" s="76">
        <f t="shared" si="115"/>
        <v>185</v>
      </c>
      <c r="I704" s="76">
        <f t="shared" si="114"/>
        <v>0</v>
      </c>
      <c r="J704" s="79">
        <v>100</v>
      </c>
      <c r="K704" s="79">
        <v>300</v>
      </c>
      <c r="L704" s="76">
        <f t="shared" si="106"/>
        <v>1274</v>
      </c>
      <c r="M704" s="87">
        <v>600</v>
      </c>
      <c r="N704" s="76">
        <f>30</f>
        <v>30</v>
      </c>
      <c r="O704" s="79">
        <v>240</v>
      </c>
      <c r="P704" s="79">
        <v>40</v>
      </c>
      <c r="Q704" s="79">
        <f t="shared" si="107"/>
        <v>315</v>
      </c>
      <c r="R704" s="79">
        <f t="shared" si="108"/>
        <v>100</v>
      </c>
      <c r="S704" s="76">
        <f t="shared" si="109"/>
        <v>695</v>
      </c>
      <c r="T704" s="76">
        <f>0</f>
        <v>0</v>
      </c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</row>
    <row r="705" spans="1:30" ht="15.75" x14ac:dyDescent="0.25">
      <c r="A705" s="32">
        <v>62397</v>
      </c>
      <c r="B705" s="88">
        <f t="shared" si="111"/>
        <v>31</v>
      </c>
      <c r="C705" s="76">
        <f>131.881</f>
        <v>131.881</v>
      </c>
      <c r="D705" s="76">
        <f>277.167</f>
        <v>277.16699999999997</v>
      </c>
      <c r="E705" s="85">
        <f>79.08</f>
        <v>79.08</v>
      </c>
      <c r="F705" s="76">
        <f>350.872-40-25-60-100</f>
        <v>125.87200000000001</v>
      </c>
      <c r="G705" s="79">
        <v>40</v>
      </c>
      <c r="H705" s="76">
        <f t="shared" si="115"/>
        <v>185</v>
      </c>
      <c r="I705" s="76">
        <f t="shared" si="114"/>
        <v>0</v>
      </c>
      <c r="J705" s="79">
        <v>100</v>
      </c>
      <c r="K705" s="79">
        <v>300</v>
      </c>
      <c r="L705" s="76">
        <f t="shared" si="106"/>
        <v>1239</v>
      </c>
      <c r="M705" s="87">
        <v>600</v>
      </c>
      <c r="N705" s="76">
        <f>75</f>
        <v>75</v>
      </c>
      <c r="O705" s="79">
        <v>240</v>
      </c>
      <c r="P705" s="79">
        <v>40</v>
      </c>
      <c r="Q705" s="79">
        <f t="shared" si="107"/>
        <v>315</v>
      </c>
      <c r="R705" s="79">
        <f t="shared" si="108"/>
        <v>100</v>
      </c>
      <c r="S705" s="76">
        <f t="shared" si="109"/>
        <v>695</v>
      </c>
      <c r="T705" s="76">
        <f>0</f>
        <v>0</v>
      </c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</row>
    <row r="706" spans="1:30" ht="15.75" x14ac:dyDescent="0.25">
      <c r="A706" s="32">
        <v>62427</v>
      </c>
      <c r="B706" s="88">
        <f t="shared" si="111"/>
        <v>30</v>
      </c>
      <c r="C706" s="76">
        <f>122.58</f>
        <v>122.58</v>
      </c>
      <c r="D706" s="76">
        <f>297.941</f>
        <v>297.94099999999997</v>
      </c>
      <c r="E706" s="85">
        <f>89.177</f>
        <v>89.177000000000007</v>
      </c>
      <c r="F706" s="76">
        <f>240.302-40-60-100</f>
        <v>40.301999999999992</v>
      </c>
      <c r="G706" s="79">
        <v>40</v>
      </c>
      <c r="H706" s="76">
        <f>60+100</f>
        <v>160</v>
      </c>
      <c r="I706" s="76">
        <f t="shared" si="114"/>
        <v>0</v>
      </c>
      <c r="J706" s="79">
        <v>100</v>
      </c>
      <c r="K706" s="79">
        <v>300</v>
      </c>
      <c r="L706" s="76">
        <f t="shared" si="106"/>
        <v>1150</v>
      </c>
      <c r="M706" s="87">
        <v>600</v>
      </c>
      <c r="N706" s="76">
        <f>100</f>
        <v>100</v>
      </c>
      <c r="O706" s="79">
        <v>240</v>
      </c>
      <c r="P706" s="79">
        <v>40</v>
      </c>
      <c r="Q706" s="79">
        <f t="shared" si="107"/>
        <v>315</v>
      </c>
      <c r="R706" s="79">
        <f t="shared" si="108"/>
        <v>100</v>
      </c>
      <c r="S706" s="76">
        <f t="shared" si="109"/>
        <v>695</v>
      </c>
      <c r="T706" s="76">
        <f>50</f>
        <v>50</v>
      </c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</row>
    <row r="707" spans="1:30" ht="15.75" x14ac:dyDescent="0.25">
      <c r="A707" s="32">
        <v>62458</v>
      </c>
      <c r="B707" s="88">
        <f t="shared" si="111"/>
        <v>31</v>
      </c>
      <c r="C707" s="76">
        <f>122.58</f>
        <v>122.58</v>
      </c>
      <c r="D707" s="76">
        <f>297.941</f>
        <v>297.94099999999997</v>
      </c>
      <c r="E707" s="85">
        <f>89.177</f>
        <v>89.177000000000007</v>
      </c>
      <c r="F707" s="76">
        <f>240.302-40-60-100</f>
        <v>40.301999999999992</v>
      </c>
      <c r="G707" s="79">
        <v>40</v>
      </c>
      <c r="H707" s="76">
        <f>60+100</f>
        <v>160</v>
      </c>
      <c r="I707" s="76">
        <f t="shared" si="114"/>
        <v>0</v>
      </c>
      <c r="J707" s="79">
        <v>100</v>
      </c>
      <c r="K707" s="79">
        <v>300</v>
      </c>
      <c r="L707" s="76">
        <f t="shared" si="106"/>
        <v>1150</v>
      </c>
      <c r="M707" s="87">
        <v>600</v>
      </c>
      <c r="N707" s="76">
        <f>100</f>
        <v>100</v>
      </c>
      <c r="O707" s="79">
        <v>240</v>
      </c>
      <c r="P707" s="79">
        <v>40</v>
      </c>
      <c r="Q707" s="79">
        <f t="shared" si="107"/>
        <v>315</v>
      </c>
      <c r="R707" s="79">
        <f t="shared" si="108"/>
        <v>100</v>
      </c>
      <c r="S707" s="76">
        <f t="shared" si="109"/>
        <v>695</v>
      </c>
      <c r="T707" s="76">
        <f>50</f>
        <v>50</v>
      </c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</row>
    <row r="708" spans="1:30" ht="15.75" x14ac:dyDescent="0.25">
      <c r="A708" s="32">
        <v>62489</v>
      </c>
      <c r="B708" s="88">
        <f t="shared" si="111"/>
        <v>31</v>
      </c>
      <c r="C708" s="76">
        <f>122.58</f>
        <v>122.58</v>
      </c>
      <c r="D708" s="76">
        <f>297.941</f>
        <v>297.94099999999997</v>
      </c>
      <c r="E708" s="85">
        <f>89.177</f>
        <v>89.177000000000007</v>
      </c>
      <c r="F708" s="76">
        <f>240.302-40-60-100</f>
        <v>40.301999999999992</v>
      </c>
      <c r="G708" s="79">
        <v>40</v>
      </c>
      <c r="H708" s="76">
        <f>60+100</f>
        <v>160</v>
      </c>
      <c r="I708" s="76">
        <f t="shared" si="114"/>
        <v>0</v>
      </c>
      <c r="J708" s="79">
        <v>100</v>
      </c>
      <c r="K708" s="79">
        <v>300</v>
      </c>
      <c r="L708" s="76">
        <f t="shared" si="106"/>
        <v>1150</v>
      </c>
      <c r="M708" s="87">
        <v>600</v>
      </c>
      <c r="N708" s="76">
        <f>100</f>
        <v>100</v>
      </c>
      <c r="O708" s="79">
        <v>240</v>
      </c>
      <c r="P708" s="79">
        <v>40</v>
      </c>
      <c r="Q708" s="79">
        <f t="shared" si="107"/>
        <v>315</v>
      </c>
      <c r="R708" s="79">
        <f t="shared" si="108"/>
        <v>100</v>
      </c>
      <c r="S708" s="76">
        <f t="shared" si="109"/>
        <v>695</v>
      </c>
      <c r="T708" s="76">
        <f>50</f>
        <v>50</v>
      </c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</row>
    <row r="709" spans="1:30" ht="15.75" x14ac:dyDescent="0.25">
      <c r="A709" s="32">
        <v>62517</v>
      </c>
      <c r="B709" s="88">
        <f t="shared" si="111"/>
        <v>28</v>
      </c>
      <c r="C709" s="76">
        <f>122.58</f>
        <v>122.58</v>
      </c>
      <c r="D709" s="76">
        <f>297.941</f>
        <v>297.94099999999997</v>
      </c>
      <c r="E709" s="85">
        <f>89.177</f>
        <v>89.177000000000007</v>
      </c>
      <c r="F709" s="76">
        <f>240.302-40-60-100</f>
        <v>40.301999999999992</v>
      </c>
      <c r="G709" s="79">
        <v>40</v>
      </c>
      <c r="H709" s="76">
        <f>60+100</f>
        <v>160</v>
      </c>
      <c r="I709" s="76">
        <f t="shared" si="114"/>
        <v>0</v>
      </c>
      <c r="J709" s="79">
        <v>100</v>
      </c>
      <c r="K709" s="79">
        <v>300</v>
      </c>
      <c r="L709" s="76">
        <f t="shared" si="106"/>
        <v>1150</v>
      </c>
      <c r="M709" s="87">
        <v>600</v>
      </c>
      <c r="N709" s="76">
        <f>100</f>
        <v>100</v>
      </c>
      <c r="O709" s="79">
        <v>240</v>
      </c>
      <c r="P709" s="79">
        <v>40</v>
      </c>
      <c r="Q709" s="79">
        <f t="shared" si="107"/>
        <v>315</v>
      </c>
      <c r="R709" s="79">
        <f t="shared" si="108"/>
        <v>100</v>
      </c>
      <c r="S709" s="76">
        <f t="shared" si="109"/>
        <v>695</v>
      </c>
      <c r="T709" s="76">
        <f>50</f>
        <v>50</v>
      </c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</row>
    <row r="710" spans="1:30" ht="15.75" x14ac:dyDescent="0.25">
      <c r="A710" s="32">
        <v>62548</v>
      </c>
      <c r="B710" s="88">
        <f t="shared" si="111"/>
        <v>31</v>
      </c>
      <c r="C710" s="76">
        <f>122.58</f>
        <v>122.58</v>
      </c>
      <c r="D710" s="76">
        <f>297.941</f>
        <v>297.94099999999997</v>
      </c>
      <c r="E710" s="85">
        <f>89.177</f>
        <v>89.177000000000007</v>
      </c>
      <c r="F710" s="76">
        <f>240.302-40-60-100</f>
        <v>40.301999999999992</v>
      </c>
      <c r="G710" s="79">
        <v>40</v>
      </c>
      <c r="H710" s="76">
        <f>60+100</f>
        <v>160</v>
      </c>
      <c r="I710" s="76">
        <f t="shared" si="114"/>
        <v>0</v>
      </c>
      <c r="J710" s="79">
        <v>100</v>
      </c>
      <c r="K710" s="79">
        <v>300</v>
      </c>
      <c r="L710" s="76">
        <f t="shared" si="106"/>
        <v>1150</v>
      </c>
      <c r="M710" s="87">
        <v>600</v>
      </c>
      <c r="N710" s="76">
        <f>100</f>
        <v>100</v>
      </c>
      <c r="O710" s="79">
        <v>240</v>
      </c>
      <c r="P710" s="79">
        <v>40</v>
      </c>
      <c r="Q710" s="79">
        <f t="shared" si="107"/>
        <v>315</v>
      </c>
      <c r="R710" s="79">
        <f t="shared" si="108"/>
        <v>100</v>
      </c>
      <c r="S710" s="76">
        <f t="shared" si="109"/>
        <v>695</v>
      </c>
      <c r="T710" s="76">
        <f>50</f>
        <v>50</v>
      </c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</row>
    <row r="711" spans="1:30" ht="15.75" x14ac:dyDescent="0.25">
      <c r="A711" s="32">
        <v>62578</v>
      </c>
      <c r="B711" s="88">
        <f t="shared" si="111"/>
        <v>30</v>
      </c>
      <c r="C711" s="76">
        <f>141.293</f>
        <v>141.29300000000001</v>
      </c>
      <c r="D711" s="76">
        <f>267.993</f>
        <v>267.99299999999999</v>
      </c>
      <c r="E711" s="85">
        <f>115.016</f>
        <v>115.01600000000001</v>
      </c>
      <c r="F711" s="76">
        <f>314.698-40-25-60-100</f>
        <v>89.697999999999979</v>
      </c>
      <c r="G711" s="79">
        <v>40</v>
      </c>
      <c r="H711" s="76">
        <f t="shared" ref="H711:H717" si="116">25+60+100</f>
        <v>185</v>
      </c>
      <c r="I711" s="76">
        <f t="shared" si="114"/>
        <v>0</v>
      </c>
      <c r="J711" s="79">
        <v>100</v>
      </c>
      <c r="K711" s="79">
        <v>300</v>
      </c>
      <c r="L711" s="76">
        <f t="shared" si="106"/>
        <v>1239</v>
      </c>
      <c r="M711" s="87">
        <v>600</v>
      </c>
      <c r="N711" s="76">
        <f>100</f>
        <v>100</v>
      </c>
      <c r="O711" s="79">
        <v>240</v>
      </c>
      <c r="P711" s="79">
        <v>40</v>
      </c>
      <c r="Q711" s="79">
        <f t="shared" si="107"/>
        <v>315</v>
      </c>
      <c r="R711" s="79">
        <f t="shared" si="108"/>
        <v>100</v>
      </c>
      <c r="S711" s="76">
        <f t="shared" si="109"/>
        <v>695</v>
      </c>
      <c r="T711" s="76">
        <f>50</f>
        <v>50</v>
      </c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</row>
    <row r="712" spans="1:30" ht="15.75" x14ac:dyDescent="0.25">
      <c r="A712" s="32">
        <v>62609</v>
      </c>
      <c r="B712" s="88">
        <f t="shared" si="111"/>
        <v>31</v>
      </c>
      <c r="C712" s="76">
        <f>194.205</f>
        <v>194.20500000000001</v>
      </c>
      <c r="D712" s="76">
        <f>267.466</f>
        <v>267.46600000000001</v>
      </c>
      <c r="E712" s="85">
        <f>133.845</f>
        <v>133.845</v>
      </c>
      <c r="F712" s="76">
        <f>278.484-40-25-60-100</f>
        <v>53.48399999999998</v>
      </c>
      <c r="G712" s="79">
        <v>40</v>
      </c>
      <c r="H712" s="76">
        <f t="shared" si="116"/>
        <v>185</v>
      </c>
      <c r="I712" s="76">
        <f t="shared" si="114"/>
        <v>0</v>
      </c>
      <c r="J712" s="79">
        <v>100</v>
      </c>
      <c r="K712" s="79">
        <v>300</v>
      </c>
      <c r="L712" s="76">
        <f t="shared" si="106"/>
        <v>1274</v>
      </c>
      <c r="M712" s="87">
        <v>600</v>
      </c>
      <c r="N712" s="76">
        <f>75</f>
        <v>75</v>
      </c>
      <c r="O712" s="79">
        <v>240</v>
      </c>
      <c r="P712" s="79">
        <v>40</v>
      </c>
      <c r="Q712" s="79">
        <f t="shared" si="107"/>
        <v>315</v>
      </c>
      <c r="R712" s="79">
        <f t="shared" si="108"/>
        <v>100</v>
      </c>
      <c r="S712" s="76">
        <f t="shared" si="109"/>
        <v>695</v>
      </c>
      <c r="T712" s="76">
        <f>50</f>
        <v>50</v>
      </c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</row>
    <row r="713" spans="1:30" ht="15.75" x14ac:dyDescent="0.25">
      <c r="A713" s="32">
        <v>62639</v>
      </c>
      <c r="B713" s="88">
        <f t="shared" si="111"/>
        <v>30</v>
      </c>
      <c r="C713" s="76">
        <f>194.205</f>
        <v>194.20500000000001</v>
      </c>
      <c r="D713" s="76">
        <f>267.466</f>
        <v>267.46600000000001</v>
      </c>
      <c r="E713" s="85">
        <f>133.845</f>
        <v>133.845</v>
      </c>
      <c r="F713" s="76">
        <f>278.484-40-25-60-100</f>
        <v>53.48399999999998</v>
      </c>
      <c r="G713" s="79">
        <v>40</v>
      </c>
      <c r="H713" s="76">
        <f t="shared" si="116"/>
        <v>185</v>
      </c>
      <c r="I713" s="76">
        <f t="shared" si="114"/>
        <v>0</v>
      </c>
      <c r="J713" s="79">
        <v>100</v>
      </c>
      <c r="K713" s="79">
        <v>300</v>
      </c>
      <c r="L713" s="76">
        <f t="shared" si="106"/>
        <v>1274</v>
      </c>
      <c r="M713" s="87">
        <v>600</v>
      </c>
      <c r="N713" s="76">
        <f>30</f>
        <v>30</v>
      </c>
      <c r="O713" s="79">
        <v>240</v>
      </c>
      <c r="P713" s="79">
        <v>40</v>
      </c>
      <c r="Q713" s="79">
        <f t="shared" si="107"/>
        <v>315</v>
      </c>
      <c r="R713" s="79">
        <f t="shared" si="108"/>
        <v>100</v>
      </c>
      <c r="S713" s="76">
        <f t="shared" si="109"/>
        <v>695</v>
      </c>
      <c r="T713" s="76">
        <f>50</f>
        <v>50</v>
      </c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</row>
    <row r="714" spans="1:30" ht="15.75" x14ac:dyDescent="0.25">
      <c r="A714" s="32">
        <v>62670</v>
      </c>
      <c r="B714" s="88">
        <f t="shared" si="111"/>
        <v>31</v>
      </c>
      <c r="C714" s="76">
        <f>194.205</f>
        <v>194.20500000000001</v>
      </c>
      <c r="D714" s="76">
        <f>267.466</f>
        <v>267.46600000000001</v>
      </c>
      <c r="E714" s="85">
        <f>133.845</f>
        <v>133.845</v>
      </c>
      <c r="F714" s="76">
        <f>278.484-40-25-60-100</f>
        <v>53.48399999999998</v>
      </c>
      <c r="G714" s="79">
        <v>40</v>
      </c>
      <c r="H714" s="76">
        <f t="shared" si="116"/>
        <v>185</v>
      </c>
      <c r="I714" s="76">
        <f t="shared" si="114"/>
        <v>0</v>
      </c>
      <c r="J714" s="79">
        <v>100</v>
      </c>
      <c r="K714" s="79">
        <v>300</v>
      </c>
      <c r="L714" s="76">
        <f t="shared" si="106"/>
        <v>1274</v>
      </c>
      <c r="M714" s="87">
        <v>600</v>
      </c>
      <c r="N714" s="76">
        <f>30</f>
        <v>30</v>
      </c>
      <c r="O714" s="79">
        <v>240</v>
      </c>
      <c r="P714" s="79">
        <v>40</v>
      </c>
      <c r="Q714" s="79">
        <f t="shared" si="107"/>
        <v>315</v>
      </c>
      <c r="R714" s="79">
        <f t="shared" si="108"/>
        <v>100</v>
      </c>
      <c r="S714" s="76">
        <f t="shared" si="109"/>
        <v>695</v>
      </c>
      <c r="T714" s="76">
        <f>0</f>
        <v>0</v>
      </c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</row>
    <row r="715" spans="1:30" ht="15.75" x14ac:dyDescent="0.25">
      <c r="A715" s="32">
        <v>62701</v>
      </c>
      <c r="B715" s="88">
        <f t="shared" si="111"/>
        <v>31</v>
      </c>
      <c r="C715" s="76">
        <f>194.205</f>
        <v>194.20500000000001</v>
      </c>
      <c r="D715" s="76">
        <f>267.466</f>
        <v>267.46600000000001</v>
      </c>
      <c r="E715" s="85">
        <f>133.845</f>
        <v>133.845</v>
      </c>
      <c r="F715" s="76">
        <f>278.484-40-25-60-100</f>
        <v>53.48399999999998</v>
      </c>
      <c r="G715" s="79">
        <v>40</v>
      </c>
      <c r="H715" s="76">
        <f t="shared" si="116"/>
        <v>185</v>
      </c>
      <c r="I715" s="76">
        <f t="shared" si="114"/>
        <v>0</v>
      </c>
      <c r="J715" s="79">
        <v>100</v>
      </c>
      <c r="K715" s="79">
        <v>300</v>
      </c>
      <c r="L715" s="76">
        <f t="shared" si="106"/>
        <v>1274</v>
      </c>
      <c r="M715" s="87">
        <v>600</v>
      </c>
      <c r="N715" s="76">
        <f>30</f>
        <v>30</v>
      </c>
      <c r="O715" s="79">
        <v>240</v>
      </c>
      <c r="P715" s="79">
        <v>40</v>
      </c>
      <c r="Q715" s="79">
        <f t="shared" si="107"/>
        <v>315</v>
      </c>
      <c r="R715" s="79">
        <f t="shared" si="108"/>
        <v>100</v>
      </c>
      <c r="S715" s="76">
        <f t="shared" si="109"/>
        <v>695</v>
      </c>
      <c r="T715" s="76">
        <f>0</f>
        <v>0</v>
      </c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</row>
    <row r="716" spans="1:30" ht="15.75" x14ac:dyDescent="0.25">
      <c r="A716" s="32">
        <v>62731</v>
      </c>
      <c r="B716" s="88">
        <f t="shared" si="111"/>
        <v>30</v>
      </c>
      <c r="C716" s="76">
        <f>194.205</f>
        <v>194.20500000000001</v>
      </c>
      <c r="D716" s="76">
        <f>267.466</f>
        <v>267.46600000000001</v>
      </c>
      <c r="E716" s="85">
        <f>133.845</f>
        <v>133.845</v>
      </c>
      <c r="F716" s="76">
        <f>278.484-40-25-60-100</f>
        <v>53.48399999999998</v>
      </c>
      <c r="G716" s="79">
        <v>40</v>
      </c>
      <c r="H716" s="76">
        <f t="shared" si="116"/>
        <v>185</v>
      </c>
      <c r="I716" s="76">
        <f t="shared" si="114"/>
        <v>0</v>
      </c>
      <c r="J716" s="79">
        <v>100</v>
      </c>
      <c r="K716" s="79">
        <v>300</v>
      </c>
      <c r="L716" s="76">
        <f t="shared" si="106"/>
        <v>1274</v>
      </c>
      <c r="M716" s="87">
        <v>600</v>
      </c>
      <c r="N716" s="76">
        <f>30</f>
        <v>30</v>
      </c>
      <c r="O716" s="79">
        <v>240</v>
      </c>
      <c r="P716" s="79">
        <v>40</v>
      </c>
      <c r="Q716" s="79">
        <f t="shared" si="107"/>
        <v>315</v>
      </c>
      <c r="R716" s="79">
        <f t="shared" si="108"/>
        <v>100</v>
      </c>
      <c r="S716" s="76">
        <f t="shared" si="109"/>
        <v>695</v>
      </c>
      <c r="T716" s="76">
        <f>0</f>
        <v>0</v>
      </c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</row>
    <row r="717" spans="1:30" ht="15.75" x14ac:dyDescent="0.25">
      <c r="A717" s="32">
        <v>62762</v>
      </c>
      <c r="B717" s="88">
        <f t="shared" si="111"/>
        <v>31</v>
      </c>
      <c r="C717" s="76">
        <f>131.881</f>
        <v>131.881</v>
      </c>
      <c r="D717" s="76">
        <f>277.167</f>
        <v>277.16699999999997</v>
      </c>
      <c r="E717" s="85">
        <f>79.08</f>
        <v>79.08</v>
      </c>
      <c r="F717" s="76">
        <f>350.872-40-25-60-100</f>
        <v>125.87200000000001</v>
      </c>
      <c r="G717" s="79">
        <v>40</v>
      </c>
      <c r="H717" s="76">
        <f t="shared" si="116"/>
        <v>185</v>
      </c>
      <c r="I717" s="76">
        <f t="shared" si="114"/>
        <v>0</v>
      </c>
      <c r="J717" s="79">
        <v>100</v>
      </c>
      <c r="K717" s="79">
        <v>300</v>
      </c>
      <c r="L717" s="76">
        <f t="shared" si="106"/>
        <v>1239</v>
      </c>
      <c r="M717" s="87">
        <v>600</v>
      </c>
      <c r="N717" s="76">
        <f>75</f>
        <v>75</v>
      </c>
      <c r="O717" s="79">
        <v>240</v>
      </c>
      <c r="P717" s="79">
        <v>40</v>
      </c>
      <c r="Q717" s="79">
        <f t="shared" si="107"/>
        <v>315</v>
      </c>
      <c r="R717" s="79">
        <f t="shared" si="108"/>
        <v>100</v>
      </c>
      <c r="S717" s="76">
        <f t="shared" si="109"/>
        <v>695</v>
      </c>
      <c r="T717" s="76">
        <f>0</f>
        <v>0</v>
      </c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</row>
    <row r="718" spans="1:30" ht="15.75" x14ac:dyDescent="0.25">
      <c r="A718" s="32">
        <v>62792</v>
      </c>
      <c r="B718" s="88">
        <f t="shared" si="111"/>
        <v>30</v>
      </c>
      <c r="C718" s="76">
        <f>122.58</f>
        <v>122.58</v>
      </c>
      <c r="D718" s="76">
        <f>297.941</f>
        <v>297.94099999999997</v>
      </c>
      <c r="E718" s="85">
        <f>89.177</f>
        <v>89.177000000000007</v>
      </c>
      <c r="F718" s="76">
        <f>240.302-40-60-100</f>
        <v>40.301999999999992</v>
      </c>
      <c r="G718" s="79">
        <v>40</v>
      </c>
      <c r="H718" s="76">
        <f>60+100</f>
        <v>160</v>
      </c>
      <c r="I718" s="76">
        <f t="shared" si="114"/>
        <v>0</v>
      </c>
      <c r="J718" s="79">
        <v>100</v>
      </c>
      <c r="K718" s="79">
        <v>300</v>
      </c>
      <c r="L718" s="76">
        <f t="shared" si="106"/>
        <v>1150</v>
      </c>
      <c r="M718" s="87">
        <v>600</v>
      </c>
      <c r="N718" s="76">
        <f>100</f>
        <v>100</v>
      </c>
      <c r="O718" s="79">
        <v>240</v>
      </c>
      <c r="P718" s="79">
        <v>40</v>
      </c>
      <c r="Q718" s="79">
        <f t="shared" si="107"/>
        <v>315</v>
      </c>
      <c r="R718" s="79">
        <f t="shared" si="108"/>
        <v>100</v>
      </c>
      <c r="S718" s="76">
        <f t="shared" si="109"/>
        <v>695</v>
      </c>
      <c r="T718" s="76">
        <f>50</f>
        <v>50</v>
      </c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</row>
    <row r="719" spans="1:30" ht="15.75" x14ac:dyDescent="0.25">
      <c r="A719" s="32">
        <v>62823</v>
      </c>
      <c r="B719" s="88">
        <f t="shared" si="111"/>
        <v>31</v>
      </c>
      <c r="C719" s="76">
        <f>122.58</f>
        <v>122.58</v>
      </c>
      <c r="D719" s="76">
        <f>297.941</f>
        <v>297.94099999999997</v>
      </c>
      <c r="E719" s="85">
        <f>89.177</f>
        <v>89.177000000000007</v>
      </c>
      <c r="F719" s="76">
        <f>240.302-40-60-100</f>
        <v>40.301999999999992</v>
      </c>
      <c r="G719" s="79">
        <v>40</v>
      </c>
      <c r="H719" s="76">
        <f>60+100</f>
        <v>160</v>
      </c>
      <c r="I719" s="76">
        <f t="shared" si="114"/>
        <v>0</v>
      </c>
      <c r="J719" s="79">
        <v>100</v>
      </c>
      <c r="K719" s="79">
        <v>300</v>
      </c>
      <c r="L719" s="76">
        <f t="shared" si="106"/>
        <v>1150</v>
      </c>
      <c r="M719" s="87">
        <v>600</v>
      </c>
      <c r="N719" s="76">
        <f>100</f>
        <v>100</v>
      </c>
      <c r="O719" s="79">
        <v>240</v>
      </c>
      <c r="P719" s="79">
        <v>40</v>
      </c>
      <c r="Q719" s="79">
        <f t="shared" si="107"/>
        <v>315</v>
      </c>
      <c r="R719" s="79">
        <f t="shared" si="108"/>
        <v>100</v>
      </c>
      <c r="S719" s="76">
        <f t="shared" si="109"/>
        <v>695</v>
      </c>
      <c r="T719" s="76">
        <f>50</f>
        <v>50</v>
      </c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</row>
    <row r="720" spans="1:30" ht="15.75" x14ac:dyDescent="0.25">
      <c r="A720" s="32">
        <v>62854</v>
      </c>
      <c r="B720" s="88">
        <f t="shared" si="111"/>
        <v>31</v>
      </c>
      <c r="C720" s="76">
        <f>122.58</f>
        <v>122.58</v>
      </c>
      <c r="D720" s="76">
        <f>297.941</f>
        <v>297.94099999999997</v>
      </c>
      <c r="E720" s="85">
        <f>89.177</f>
        <v>89.177000000000007</v>
      </c>
      <c r="F720" s="76">
        <f>240.302-40-60-100</f>
        <v>40.301999999999992</v>
      </c>
      <c r="G720" s="79">
        <v>40</v>
      </c>
      <c r="H720" s="76">
        <f>60+100</f>
        <v>160</v>
      </c>
      <c r="I720" s="76">
        <f t="shared" si="114"/>
        <v>0</v>
      </c>
      <c r="J720" s="79">
        <v>100</v>
      </c>
      <c r="K720" s="79">
        <v>300</v>
      </c>
      <c r="L720" s="76">
        <f t="shared" ref="L720:L783" si="117">SUM(C720:K720)</f>
        <v>1150</v>
      </c>
      <c r="M720" s="87">
        <v>600</v>
      </c>
      <c r="N720" s="76">
        <f>100</f>
        <v>100</v>
      </c>
      <c r="O720" s="79">
        <v>240</v>
      </c>
      <c r="P720" s="79">
        <v>40</v>
      </c>
      <c r="Q720" s="79">
        <f t="shared" ref="Q720:Q783" si="118">695-R720-O720-P720</f>
        <v>315</v>
      </c>
      <c r="R720" s="79">
        <f t="shared" ref="R720:R783" si="119">200-J720</f>
        <v>100</v>
      </c>
      <c r="S720" s="76">
        <f t="shared" ref="S720:S783" si="120">SUM(O720:R720)</f>
        <v>695</v>
      </c>
      <c r="T720" s="76">
        <f>50</f>
        <v>50</v>
      </c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</row>
    <row r="721" spans="1:30" ht="15.75" x14ac:dyDescent="0.25">
      <c r="A721" s="32">
        <v>62883</v>
      </c>
      <c r="B721" s="88">
        <f t="shared" si="111"/>
        <v>29</v>
      </c>
      <c r="C721" s="76">
        <f>122.58</f>
        <v>122.58</v>
      </c>
      <c r="D721" s="76">
        <f>297.941</f>
        <v>297.94099999999997</v>
      </c>
      <c r="E721" s="85">
        <f>89.177</f>
        <v>89.177000000000007</v>
      </c>
      <c r="F721" s="76">
        <f>240.302-40-60-100</f>
        <v>40.301999999999992</v>
      </c>
      <c r="G721" s="79">
        <v>40</v>
      </c>
      <c r="H721" s="76">
        <f>60+100</f>
        <v>160</v>
      </c>
      <c r="I721" s="76">
        <f t="shared" si="114"/>
        <v>0</v>
      </c>
      <c r="J721" s="79">
        <v>100</v>
      </c>
      <c r="K721" s="79">
        <v>300</v>
      </c>
      <c r="L721" s="76">
        <f t="shared" si="117"/>
        <v>1150</v>
      </c>
      <c r="M721" s="87">
        <v>600</v>
      </c>
      <c r="N721" s="76">
        <f>100</f>
        <v>100</v>
      </c>
      <c r="O721" s="79">
        <v>240</v>
      </c>
      <c r="P721" s="79">
        <v>40</v>
      </c>
      <c r="Q721" s="79">
        <f t="shared" si="118"/>
        <v>315</v>
      </c>
      <c r="R721" s="79">
        <f t="shared" si="119"/>
        <v>100</v>
      </c>
      <c r="S721" s="76">
        <f t="shared" si="120"/>
        <v>695</v>
      </c>
      <c r="T721" s="76">
        <f>50</f>
        <v>50</v>
      </c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</row>
    <row r="722" spans="1:30" ht="15.75" x14ac:dyDescent="0.25">
      <c r="A722" s="32">
        <v>62914</v>
      </c>
      <c r="B722" s="88">
        <f t="shared" si="111"/>
        <v>31</v>
      </c>
      <c r="C722" s="76">
        <f>122.58</f>
        <v>122.58</v>
      </c>
      <c r="D722" s="76">
        <f>297.941</f>
        <v>297.94099999999997</v>
      </c>
      <c r="E722" s="85">
        <f>89.177</f>
        <v>89.177000000000007</v>
      </c>
      <c r="F722" s="76">
        <f>240.302-40-60-100</f>
        <v>40.301999999999992</v>
      </c>
      <c r="G722" s="79">
        <v>40</v>
      </c>
      <c r="H722" s="76">
        <f>60+100</f>
        <v>160</v>
      </c>
      <c r="I722" s="76">
        <f t="shared" si="114"/>
        <v>0</v>
      </c>
      <c r="J722" s="79">
        <v>100</v>
      </c>
      <c r="K722" s="79">
        <v>300</v>
      </c>
      <c r="L722" s="76">
        <f t="shared" si="117"/>
        <v>1150</v>
      </c>
      <c r="M722" s="87">
        <v>600</v>
      </c>
      <c r="N722" s="76">
        <f>100</f>
        <v>100</v>
      </c>
      <c r="O722" s="79">
        <v>240</v>
      </c>
      <c r="P722" s="79">
        <v>40</v>
      </c>
      <c r="Q722" s="79">
        <f t="shared" si="118"/>
        <v>315</v>
      </c>
      <c r="R722" s="79">
        <f t="shared" si="119"/>
        <v>100</v>
      </c>
      <c r="S722" s="76">
        <f t="shared" si="120"/>
        <v>695</v>
      </c>
      <c r="T722" s="76">
        <f>50</f>
        <v>50</v>
      </c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</row>
    <row r="723" spans="1:30" ht="15.75" x14ac:dyDescent="0.25">
      <c r="A723" s="32">
        <v>62944</v>
      </c>
      <c r="B723" s="88">
        <f t="shared" si="111"/>
        <v>30</v>
      </c>
      <c r="C723" s="76">
        <f>141.293</f>
        <v>141.29300000000001</v>
      </c>
      <c r="D723" s="76">
        <f>267.993</f>
        <v>267.99299999999999</v>
      </c>
      <c r="E723" s="85">
        <f>115.016</f>
        <v>115.01600000000001</v>
      </c>
      <c r="F723" s="76">
        <f>314.698-40-25-60-100</f>
        <v>89.697999999999979</v>
      </c>
      <c r="G723" s="79">
        <v>40</v>
      </c>
      <c r="H723" s="76">
        <f t="shared" ref="H723:H729" si="121">25+60+100</f>
        <v>185</v>
      </c>
      <c r="I723" s="76">
        <f t="shared" si="114"/>
        <v>0</v>
      </c>
      <c r="J723" s="79">
        <v>100</v>
      </c>
      <c r="K723" s="79">
        <v>300</v>
      </c>
      <c r="L723" s="76">
        <f t="shared" si="117"/>
        <v>1239</v>
      </c>
      <c r="M723" s="87">
        <v>600</v>
      </c>
      <c r="N723" s="76">
        <f>100</f>
        <v>100</v>
      </c>
      <c r="O723" s="79">
        <v>240</v>
      </c>
      <c r="P723" s="79">
        <v>40</v>
      </c>
      <c r="Q723" s="79">
        <f t="shared" si="118"/>
        <v>315</v>
      </c>
      <c r="R723" s="79">
        <f t="shared" si="119"/>
        <v>100</v>
      </c>
      <c r="S723" s="76">
        <f t="shared" si="120"/>
        <v>695</v>
      </c>
      <c r="T723" s="76">
        <f>50</f>
        <v>50</v>
      </c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</row>
    <row r="724" spans="1:30" ht="15.75" x14ac:dyDescent="0.25">
      <c r="A724" s="32">
        <v>62975</v>
      </c>
      <c r="B724" s="88">
        <f t="shared" si="111"/>
        <v>31</v>
      </c>
      <c r="C724" s="76">
        <f>194.205</f>
        <v>194.20500000000001</v>
      </c>
      <c r="D724" s="76">
        <f>267.466</f>
        <v>267.46600000000001</v>
      </c>
      <c r="E724" s="85">
        <f>133.845</f>
        <v>133.845</v>
      </c>
      <c r="F724" s="76">
        <f>278.484-40-25-60-100</f>
        <v>53.48399999999998</v>
      </c>
      <c r="G724" s="79">
        <v>40</v>
      </c>
      <c r="H724" s="76">
        <f t="shared" si="121"/>
        <v>185</v>
      </c>
      <c r="I724" s="76">
        <f t="shared" si="114"/>
        <v>0</v>
      </c>
      <c r="J724" s="79">
        <v>100</v>
      </c>
      <c r="K724" s="79">
        <v>300</v>
      </c>
      <c r="L724" s="76">
        <f t="shared" si="117"/>
        <v>1274</v>
      </c>
      <c r="M724" s="87">
        <v>600</v>
      </c>
      <c r="N724" s="76">
        <f>75</f>
        <v>75</v>
      </c>
      <c r="O724" s="79">
        <v>240</v>
      </c>
      <c r="P724" s="79">
        <v>40</v>
      </c>
      <c r="Q724" s="79">
        <f t="shared" si="118"/>
        <v>315</v>
      </c>
      <c r="R724" s="79">
        <f t="shared" si="119"/>
        <v>100</v>
      </c>
      <c r="S724" s="76">
        <f t="shared" si="120"/>
        <v>695</v>
      </c>
      <c r="T724" s="76">
        <f>50</f>
        <v>50</v>
      </c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</row>
    <row r="725" spans="1:30" ht="15.75" x14ac:dyDescent="0.25">
      <c r="A725" s="32">
        <v>63005</v>
      </c>
      <c r="B725" s="88">
        <f t="shared" si="111"/>
        <v>30</v>
      </c>
      <c r="C725" s="76">
        <f>194.205</f>
        <v>194.20500000000001</v>
      </c>
      <c r="D725" s="76">
        <f>267.466</f>
        <v>267.46600000000001</v>
      </c>
      <c r="E725" s="85">
        <f>133.845</f>
        <v>133.845</v>
      </c>
      <c r="F725" s="76">
        <f>278.484-40-25-60-100</f>
        <v>53.48399999999998</v>
      </c>
      <c r="G725" s="79">
        <v>40</v>
      </c>
      <c r="H725" s="76">
        <f t="shared" si="121"/>
        <v>185</v>
      </c>
      <c r="I725" s="76">
        <f t="shared" si="114"/>
        <v>0</v>
      </c>
      <c r="J725" s="79">
        <v>100</v>
      </c>
      <c r="K725" s="79">
        <v>300</v>
      </c>
      <c r="L725" s="76">
        <f t="shared" si="117"/>
        <v>1274</v>
      </c>
      <c r="M725" s="87">
        <v>600</v>
      </c>
      <c r="N725" s="76">
        <f>30</f>
        <v>30</v>
      </c>
      <c r="O725" s="79">
        <v>240</v>
      </c>
      <c r="P725" s="79">
        <v>40</v>
      </c>
      <c r="Q725" s="79">
        <f t="shared" si="118"/>
        <v>315</v>
      </c>
      <c r="R725" s="79">
        <f t="shared" si="119"/>
        <v>100</v>
      </c>
      <c r="S725" s="76">
        <f t="shared" si="120"/>
        <v>695</v>
      </c>
      <c r="T725" s="76">
        <f>50</f>
        <v>50</v>
      </c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</row>
    <row r="726" spans="1:30" ht="15.75" x14ac:dyDescent="0.25">
      <c r="A726" s="32">
        <v>63036</v>
      </c>
      <c r="B726" s="88">
        <f t="shared" si="111"/>
        <v>31</v>
      </c>
      <c r="C726" s="76">
        <f>194.205</f>
        <v>194.20500000000001</v>
      </c>
      <c r="D726" s="76">
        <f>267.466</f>
        <v>267.46600000000001</v>
      </c>
      <c r="E726" s="85">
        <f>133.845</f>
        <v>133.845</v>
      </c>
      <c r="F726" s="76">
        <f>278.484-40-25-60-100</f>
        <v>53.48399999999998</v>
      </c>
      <c r="G726" s="79">
        <v>40</v>
      </c>
      <c r="H726" s="76">
        <f t="shared" si="121"/>
        <v>185</v>
      </c>
      <c r="I726" s="76">
        <f t="shared" si="114"/>
        <v>0</v>
      </c>
      <c r="J726" s="79">
        <v>100</v>
      </c>
      <c r="K726" s="79">
        <v>300</v>
      </c>
      <c r="L726" s="76">
        <f t="shared" si="117"/>
        <v>1274</v>
      </c>
      <c r="M726" s="87">
        <v>600</v>
      </c>
      <c r="N726" s="76">
        <f>30</f>
        <v>30</v>
      </c>
      <c r="O726" s="79">
        <v>240</v>
      </c>
      <c r="P726" s="79">
        <v>40</v>
      </c>
      <c r="Q726" s="79">
        <f t="shared" si="118"/>
        <v>315</v>
      </c>
      <c r="R726" s="79">
        <f t="shared" si="119"/>
        <v>100</v>
      </c>
      <c r="S726" s="76">
        <f t="shared" si="120"/>
        <v>695</v>
      </c>
      <c r="T726" s="76">
        <f>0</f>
        <v>0</v>
      </c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</row>
    <row r="727" spans="1:30" ht="15.75" x14ac:dyDescent="0.25">
      <c r="A727" s="32">
        <v>63067</v>
      </c>
      <c r="B727" s="88">
        <f t="shared" si="111"/>
        <v>31</v>
      </c>
      <c r="C727" s="76">
        <f>194.205</f>
        <v>194.20500000000001</v>
      </c>
      <c r="D727" s="76">
        <f>267.466</f>
        <v>267.46600000000001</v>
      </c>
      <c r="E727" s="85">
        <f>133.845</f>
        <v>133.845</v>
      </c>
      <c r="F727" s="76">
        <f>278.484-40-25-60-100</f>
        <v>53.48399999999998</v>
      </c>
      <c r="G727" s="79">
        <v>40</v>
      </c>
      <c r="H727" s="76">
        <f t="shared" si="121"/>
        <v>185</v>
      </c>
      <c r="I727" s="76">
        <f t="shared" si="114"/>
        <v>0</v>
      </c>
      <c r="J727" s="79">
        <v>100</v>
      </c>
      <c r="K727" s="79">
        <v>300</v>
      </c>
      <c r="L727" s="76">
        <f t="shared" si="117"/>
        <v>1274</v>
      </c>
      <c r="M727" s="87">
        <v>600</v>
      </c>
      <c r="N727" s="76">
        <f>30</f>
        <v>30</v>
      </c>
      <c r="O727" s="79">
        <v>240</v>
      </c>
      <c r="P727" s="79">
        <v>40</v>
      </c>
      <c r="Q727" s="79">
        <f t="shared" si="118"/>
        <v>315</v>
      </c>
      <c r="R727" s="79">
        <f t="shared" si="119"/>
        <v>100</v>
      </c>
      <c r="S727" s="76">
        <f t="shared" si="120"/>
        <v>695</v>
      </c>
      <c r="T727" s="76">
        <f>0</f>
        <v>0</v>
      </c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</row>
    <row r="728" spans="1:30" ht="15.75" x14ac:dyDescent="0.25">
      <c r="A728" s="32">
        <v>63097</v>
      </c>
      <c r="B728" s="88">
        <f t="shared" ref="B728:B791" si="122">EOMONTH(A728,0)-EOMONTH(A728,-1)</f>
        <v>30</v>
      </c>
      <c r="C728" s="76">
        <f>194.205</f>
        <v>194.20500000000001</v>
      </c>
      <c r="D728" s="76">
        <f>267.466</f>
        <v>267.46600000000001</v>
      </c>
      <c r="E728" s="85">
        <f>133.845</f>
        <v>133.845</v>
      </c>
      <c r="F728" s="76">
        <f>278.484-40-25-60-100</f>
        <v>53.48399999999998</v>
      </c>
      <c r="G728" s="79">
        <v>40</v>
      </c>
      <c r="H728" s="76">
        <f t="shared" si="121"/>
        <v>185</v>
      </c>
      <c r="I728" s="76">
        <f t="shared" si="114"/>
        <v>0</v>
      </c>
      <c r="J728" s="79">
        <v>100</v>
      </c>
      <c r="K728" s="79">
        <v>300</v>
      </c>
      <c r="L728" s="76">
        <f t="shared" si="117"/>
        <v>1274</v>
      </c>
      <c r="M728" s="87">
        <v>600</v>
      </c>
      <c r="N728" s="76">
        <f>30</f>
        <v>30</v>
      </c>
      <c r="O728" s="79">
        <v>240</v>
      </c>
      <c r="P728" s="79">
        <v>40</v>
      </c>
      <c r="Q728" s="79">
        <f t="shared" si="118"/>
        <v>315</v>
      </c>
      <c r="R728" s="79">
        <f t="shared" si="119"/>
        <v>100</v>
      </c>
      <c r="S728" s="76">
        <f t="shared" si="120"/>
        <v>695</v>
      </c>
      <c r="T728" s="76">
        <f>0</f>
        <v>0</v>
      </c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</row>
    <row r="729" spans="1:30" ht="15.75" x14ac:dyDescent="0.25">
      <c r="A729" s="32">
        <v>63128</v>
      </c>
      <c r="B729" s="88">
        <f t="shared" si="122"/>
        <v>31</v>
      </c>
      <c r="C729" s="76">
        <f>131.881</f>
        <v>131.881</v>
      </c>
      <c r="D729" s="76">
        <f>277.167</f>
        <v>277.16699999999997</v>
      </c>
      <c r="E729" s="85">
        <f>79.08</f>
        <v>79.08</v>
      </c>
      <c r="F729" s="76">
        <f>350.872-40-25-60-100</f>
        <v>125.87200000000001</v>
      </c>
      <c r="G729" s="79">
        <v>40</v>
      </c>
      <c r="H729" s="76">
        <f t="shared" si="121"/>
        <v>185</v>
      </c>
      <c r="I729" s="76">
        <f t="shared" si="114"/>
        <v>0</v>
      </c>
      <c r="J729" s="79">
        <v>100</v>
      </c>
      <c r="K729" s="79">
        <v>300</v>
      </c>
      <c r="L729" s="76">
        <f t="shared" si="117"/>
        <v>1239</v>
      </c>
      <c r="M729" s="87">
        <v>600</v>
      </c>
      <c r="N729" s="76">
        <f>75</f>
        <v>75</v>
      </c>
      <c r="O729" s="79">
        <v>240</v>
      </c>
      <c r="P729" s="79">
        <v>40</v>
      </c>
      <c r="Q729" s="79">
        <f t="shared" si="118"/>
        <v>315</v>
      </c>
      <c r="R729" s="79">
        <f t="shared" si="119"/>
        <v>100</v>
      </c>
      <c r="S729" s="76">
        <f t="shared" si="120"/>
        <v>695</v>
      </c>
      <c r="T729" s="76">
        <f>0</f>
        <v>0</v>
      </c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</row>
    <row r="730" spans="1:30" ht="15.75" x14ac:dyDescent="0.25">
      <c r="A730" s="32">
        <v>63158</v>
      </c>
      <c r="B730" s="88">
        <f t="shared" si="122"/>
        <v>30</v>
      </c>
      <c r="C730" s="76">
        <f>122.58</f>
        <v>122.58</v>
      </c>
      <c r="D730" s="76">
        <f>297.941</f>
        <v>297.94099999999997</v>
      </c>
      <c r="E730" s="85">
        <f>89.177</f>
        <v>89.177000000000007</v>
      </c>
      <c r="F730" s="76">
        <f>240.302-40-60-100</f>
        <v>40.301999999999992</v>
      </c>
      <c r="G730" s="79">
        <v>40</v>
      </c>
      <c r="H730" s="76">
        <f>60+100</f>
        <v>160</v>
      </c>
      <c r="I730" s="76">
        <f t="shared" si="114"/>
        <v>0</v>
      </c>
      <c r="J730" s="79">
        <v>100</v>
      </c>
      <c r="K730" s="79">
        <v>300</v>
      </c>
      <c r="L730" s="76">
        <f t="shared" si="117"/>
        <v>1150</v>
      </c>
      <c r="M730" s="87">
        <v>600</v>
      </c>
      <c r="N730" s="76">
        <f>100</f>
        <v>100</v>
      </c>
      <c r="O730" s="79">
        <v>240</v>
      </c>
      <c r="P730" s="79">
        <v>40</v>
      </c>
      <c r="Q730" s="79">
        <f t="shared" si="118"/>
        <v>315</v>
      </c>
      <c r="R730" s="79">
        <f t="shared" si="119"/>
        <v>100</v>
      </c>
      <c r="S730" s="76">
        <f t="shared" si="120"/>
        <v>695</v>
      </c>
      <c r="T730" s="76">
        <f>50</f>
        <v>50</v>
      </c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</row>
    <row r="731" spans="1:30" ht="15.75" x14ac:dyDescent="0.25">
      <c r="A731" s="32">
        <v>63189</v>
      </c>
      <c r="B731" s="88">
        <f t="shared" si="122"/>
        <v>31</v>
      </c>
      <c r="C731" s="76">
        <f>122.58</f>
        <v>122.58</v>
      </c>
      <c r="D731" s="76">
        <f>297.941</f>
        <v>297.94099999999997</v>
      </c>
      <c r="E731" s="85">
        <f>89.177</f>
        <v>89.177000000000007</v>
      </c>
      <c r="F731" s="76">
        <f>240.302-40-60-100</f>
        <v>40.301999999999992</v>
      </c>
      <c r="G731" s="79">
        <v>40</v>
      </c>
      <c r="H731" s="76">
        <f>60+100</f>
        <v>160</v>
      </c>
      <c r="I731" s="76">
        <f t="shared" si="114"/>
        <v>0</v>
      </c>
      <c r="J731" s="79">
        <v>100</v>
      </c>
      <c r="K731" s="79">
        <v>300</v>
      </c>
      <c r="L731" s="76">
        <f t="shared" si="117"/>
        <v>1150</v>
      </c>
      <c r="M731" s="87">
        <v>600</v>
      </c>
      <c r="N731" s="76">
        <f>100</f>
        <v>100</v>
      </c>
      <c r="O731" s="79">
        <v>240</v>
      </c>
      <c r="P731" s="79">
        <v>40</v>
      </c>
      <c r="Q731" s="79">
        <f t="shared" si="118"/>
        <v>315</v>
      </c>
      <c r="R731" s="79">
        <f t="shared" si="119"/>
        <v>100</v>
      </c>
      <c r="S731" s="76">
        <f t="shared" si="120"/>
        <v>695</v>
      </c>
      <c r="T731" s="76">
        <f>50</f>
        <v>50</v>
      </c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</row>
    <row r="732" spans="1:30" ht="15.75" x14ac:dyDescent="0.25">
      <c r="A732" s="32">
        <v>63220</v>
      </c>
      <c r="B732" s="88">
        <f t="shared" si="122"/>
        <v>31</v>
      </c>
      <c r="C732" s="76">
        <f>122.58</f>
        <v>122.58</v>
      </c>
      <c r="D732" s="76">
        <f>297.941</f>
        <v>297.94099999999997</v>
      </c>
      <c r="E732" s="85">
        <f>89.177</f>
        <v>89.177000000000007</v>
      </c>
      <c r="F732" s="76">
        <f>240.302-40-60-100</f>
        <v>40.301999999999992</v>
      </c>
      <c r="G732" s="79">
        <v>40</v>
      </c>
      <c r="H732" s="76">
        <f>60+100</f>
        <v>160</v>
      </c>
      <c r="I732" s="76">
        <f t="shared" si="114"/>
        <v>0</v>
      </c>
      <c r="J732" s="79">
        <v>100</v>
      </c>
      <c r="K732" s="79">
        <v>300</v>
      </c>
      <c r="L732" s="76">
        <f t="shared" si="117"/>
        <v>1150</v>
      </c>
      <c r="M732" s="87">
        <v>600</v>
      </c>
      <c r="N732" s="76">
        <f>100</f>
        <v>100</v>
      </c>
      <c r="O732" s="79">
        <v>240</v>
      </c>
      <c r="P732" s="79">
        <v>40</v>
      </c>
      <c r="Q732" s="79">
        <f t="shared" si="118"/>
        <v>315</v>
      </c>
      <c r="R732" s="79">
        <f t="shared" si="119"/>
        <v>100</v>
      </c>
      <c r="S732" s="76">
        <f t="shared" si="120"/>
        <v>695</v>
      </c>
      <c r="T732" s="76">
        <f>50</f>
        <v>50</v>
      </c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</row>
    <row r="733" spans="1:30" ht="15.75" x14ac:dyDescent="0.25">
      <c r="A733" s="32">
        <v>63248</v>
      </c>
      <c r="B733" s="88">
        <f t="shared" si="122"/>
        <v>28</v>
      </c>
      <c r="C733" s="76">
        <f>122.58</f>
        <v>122.58</v>
      </c>
      <c r="D733" s="76">
        <f>297.941</f>
        <v>297.94099999999997</v>
      </c>
      <c r="E733" s="85">
        <f>89.177</f>
        <v>89.177000000000007</v>
      </c>
      <c r="F733" s="76">
        <f>240.302-40-60-100</f>
        <v>40.301999999999992</v>
      </c>
      <c r="G733" s="79">
        <v>40</v>
      </c>
      <c r="H733" s="76">
        <f>60+100</f>
        <v>160</v>
      </c>
      <c r="I733" s="76">
        <f t="shared" si="114"/>
        <v>0</v>
      </c>
      <c r="J733" s="79">
        <v>100</v>
      </c>
      <c r="K733" s="79">
        <v>300</v>
      </c>
      <c r="L733" s="76">
        <f t="shared" si="117"/>
        <v>1150</v>
      </c>
      <c r="M733" s="87">
        <v>600</v>
      </c>
      <c r="N733" s="76">
        <f>100</f>
        <v>100</v>
      </c>
      <c r="O733" s="79">
        <v>240</v>
      </c>
      <c r="P733" s="79">
        <v>40</v>
      </c>
      <c r="Q733" s="79">
        <f t="shared" si="118"/>
        <v>315</v>
      </c>
      <c r="R733" s="79">
        <f t="shared" si="119"/>
        <v>100</v>
      </c>
      <c r="S733" s="76">
        <f t="shared" si="120"/>
        <v>695</v>
      </c>
      <c r="T733" s="76">
        <f>50</f>
        <v>50</v>
      </c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</row>
    <row r="734" spans="1:30" ht="15.75" x14ac:dyDescent="0.25">
      <c r="A734" s="32">
        <v>63279</v>
      </c>
      <c r="B734" s="88">
        <f t="shared" si="122"/>
        <v>31</v>
      </c>
      <c r="C734" s="76">
        <f>122.58</f>
        <v>122.58</v>
      </c>
      <c r="D734" s="76">
        <f>297.941</f>
        <v>297.94099999999997</v>
      </c>
      <c r="E734" s="85">
        <f>89.177</f>
        <v>89.177000000000007</v>
      </c>
      <c r="F734" s="76">
        <f>240.302-40-60-100</f>
        <v>40.301999999999992</v>
      </c>
      <c r="G734" s="79">
        <v>40</v>
      </c>
      <c r="H734" s="76">
        <f>60+100</f>
        <v>160</v>
      </c>
      <c r="I734" s="76">
        <f t="shared" si="114"/>
        <v>0</v>
      </c>
      <c r="J734" s="79">
        <v>100</v>
      </c>
      <c r="K734" s="79">
        <v>300</v>
      </c>
      <c r="L734" s="76">
        <f t="shared" si="117"/>
        <v>1150</v>
      </c>
      <c r="M734" s="87">
        <v>600</v>
      </c>
      <c r="N734" s="76">
        <f>100</f>
        <v>100</v>
      </c>
      <c r="O734" s="79">
        <v>240</v>
      </c>
      <c r="P734" s="79">
        <v>40</v>
      </c>
      <c r="Q734" s="79">
        <f t="shared" si="118"/>
        <v>315</v>
      </c>
      <c r="R734" s="79">
        <f t="shared" si="119"/>
        <v>100</v>
      </c>
      <c r="S734" s="76">
        <f t="shared" si="120"/>
        <v>695</v>
      </c>
      <c r="T734" s="76">
        <f>50</f>
        <v>50</v>
      </c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</row>
    <row r="735" spans="1:30" ht="15.75" x14ac:dyDescent="0.25">
      <c r="A735" s="32">
        <v>63309</v>
      </c>
      <c r="B735" s="88">
        <f t="shared" si="122"/>
        <v>30</v>
      </c>
      <c r="C735" s="76">
        <f>141.293</f>
        <v>141.29300000000001</v>
      </c>
      <c r="D735" s="76">
        <f>267.993</f>
        <v>267.99299999999999</v>
      </c>
      <c r="E735" s="85">
        <f>115.016</f>
        <v>115.01600000000001</v>
      </c>
      <c r="F735" s="76">
        <f>314.698-40-25-60-100</f>
        <v>89.697999999999979</v>
      </c>
      <c r="G735" s="79">
        <v>40</v>
      </c>
      <c r="H735" s="76">
        <f t="shared" ref="H735:H741" si="123">25+60+100</f>
        <v>185</v>
      </c>
      <c r="I735" s="76">
        <f t="shared" si="114"/>
        <v>0</v>
      </c>
      <c r="J735" s="79">
        <v>100</v>
      </c>
      <c r="K735" s="79">
        <v>300</v>
      </c>
      <c r="L735" s="76">
        <f t="shared" si="117"/>
        <v>1239</v>
      </c>
      <c r="M735" s="87">
        <v>600</v>
      </c>
      <c r="N735" s="76">
        <f>100</f>
        <v>100</v>
      </c>
      <c r="O735" s="79">
        <v>240</v>
      </c>
      <c r="P735" s="79">
        <v>40</v>
      </c>
      <c r="Q735" s="79">
        <f t="shared" si="118"/>
        <v>315</v>
      </c>
      <c r="R735" s="79">
        <f t="shared" si="119"/>
        <v>100</v>
      </c>
      <c r="S735" s="76">
        <f t="shared" si="120"/>
        <v>695</v>
      </c>
      <c r="T735" s="76">
        <f>50</f>
        <v>50</v>
      </c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</row>
    <row r="736" spans="1:30" ht="15.75" x14ac:dyDescent="0.25">
      <c r="A736" s="32">
        <v>63340</v>
      </c>
      <c r="B736" s="88">
        <f t="shared" si="122"/>
        <v>31</v>
      </c>
      <c r="C736" s="76">
        <f>194.205</f>
        <v>194.20500000000001</v>
      </c>
      <c r="D736" s="76">
        <f>267.466</f>
        <v>267.46600000000001</v>
      </c>
      <c r="E736" s="85">
        <f>133.845</f>
        <v>133.845</v>
      </c>
      <c r="F736" s="76">
        <f>278.484-40-25-60-100</f>
        <v>53.48399999999998</v>
      </c>
      <c r="G736" s="79">
        <v>40</v>
      </c>
      <c r="H736" s="76">
        <f t="shared" si="123"/>
        <v>185</v>
      </c>
      <c r="I736" s="76">
        <f t="shared" si="114"/>
        <v>0</v>
      </c>
      <c r="J736" s="79">
        <v>100</v>
      </c>
      <c r="K736" s="79">
        <v>300</v>
      </c>
      <c r="L736" s="76">
        <f t="shared" si="117"/>
        <v>1274</v>
      </c>
      <c r="M736" s="87">
        <v>600</v>
      </c>
      <c r="N736" s="76">
        <f>75</f>
        <v>75</v>
      </c>
      <c r="O736" s="79">
        <v>240</v>
      </c>
      <c r="P736" s="79">
        <v>40</v>
      </c>
      <c r="Q736" s="79">
        <f t="shared" si="118"/>
        <v>315</v>
      </c>
      <c r="R736" s="79">
        <f t="shared" si="119"/>
        <v>100</v>
      </c>
      <c r="S736" s="76">
        <f t="shared" si="120"/>
        <v>695</v>
      </c>
      <c r="T736" s="76">
        <f>50</f>
        <v>50</v>
      </c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</row>
    <row r="737" spans="1:30" ht="15.75" x14ac:dyDescent="0.25">
      <c r="A737" s="32">
        <v>63370</v>
      </c>
      <c r="B737" s="88">
        <f t="shared" si="122"/>
        <v>30</v>
      </c>
      <c r="C737" s="76">
        <f>194.205</f>
        <v>194.20500000000001</v>
      </c>
      <c r="D737" s="76">
        <f>267.466</f>
        <v>267.46600000000001</v>
      </c>
      <c r="E737" s="85">
        <f>133.845</f>
        <v>133.845</v>
      </c>
      <c r="F737" s="76">
        <f>278.484-40-25-60-100</f>
        <v>53.48399999999998</v>
      </c>
      <c r="G737" s="79">
        <v>40</v>
      </c>
      <c r="H737" s="76">
        <f t="shared" si="123"/>
        <v>185</v>
      </c>
      <c r="I737" s="76">
        <f t="shared" si="114"/>
        <v>0</v>
      </c>
      <c r="J737" s="79">
        <v>100</v>
      </c>
      <c r="K737" s="79">
        <v>300</v>
      </c>
      <c r="L737" s="76">
        <f t="shared" si="117"/>
        <v>1274</v>
      </c>
      <c r="M737" s="87">
        <v>600</v>
      </c>
      <c r="N737" s="76">
        <f>30</f>
        <v>30</v>
      </c>
      <c r="O737" s="79">
        <v>240</v>
      </c>
      <c r="P737" s="79">
        <v>40</v>
      </c>
      <c r="Q737" s="79">
        <f t="shared" si="118"/>
        <v>315</v>
      </c>
      <c r="R737" s="79">
        <f t="shared" si="119"/>
        <v>100</v>
      </c>
      <c r="S737" s="76">
        <f t="shared" si="120"/>
        <v>695</v>
      </c>
      <c r="T737" s="76">
        <f>50</f>
        <v>50</v>
      </c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</row>
    <row r="738" spans="1:30" ht="15.75" x14ac:dyDescent="0.25">
      <c r="A738" s="32">
        <v>63401</v>
      </c>
      <c r="B738" s="88">
        <f t="shared" si="122"/>
        <v>31</v>
      </c>
      <c r="C738" s="76">
        <f>194.205</f>
        <v>194.20500000000001</v>
      </c>
      <c r="D738" s="76">
        <f>267.466</f>
        <v>267.46600000000001</v>
      </c>
      <c r="E738" s="85">
        <f>133.845</f>
        <v>133.845</v>
      </c>
      <c r="F738" s="76">
        <f>278.484-40-25-60-100</f>
        <v>53.48399999999998</v>
      </c>
      <c r="G738" s="79">
        <v>40</v>
      </c>
      <c r="H738" s="76">
        <f t="shared" si="123"/>
        <v>185</v>
      </c>
      <c r="I738" s="76">
        <f t="shared" si="114"/>
        <v>0</v>
      </c>
      <c r="J738" s="79">
        <v>100</v>
      </c>
      <c r="K738" s="79">
        <v>300</v>
      </c>
      <c r="L738" s="76">
        <f t="shared" si="117"/>
        <v>1274</v>
      </c>
      <c r="M738" s="87">
        <v>600</v>
      </c>
      <c r="N738" s="76">
        <f>30</f>
        <v>30</v>
      </c>
      <c r="O738" s="79">
        <v>240</v>
      </c>
      <c r="P738" s="79">
        <v>40</v>
      </c>
      <c r="Q738" s="79">
        <f t="shared" si="118"/>
        <v>315</v>
      </c>
      <c r="R738" s="79">
        <f t="shared" si="119"/>
        <v>100</v>
      </c>
      <c r="S738" s="76">
        <f t="shared" si="120"/>
        <v>695</v>
      </c>
      <c r="T738" s="76">
        <f>0</f>
        <v>0</v>
      </c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</row>
    <row r="739" spans="1:30" ht="15.75" x14ac:dyDescent="0.25">
      <c r="A739" s="32">
        <v>63432</v>
      </c>
      <c r="B739" s="88">
        <f t="shared" si="122"/>
        <v>31</v>
      </c>
      <c r="C739" s="76">
        <f>194.205</f>
        <v>194.20500000000001</v>
      </c>
      <c r="D739" s="76">
        <f>267.466</f>
        <v>267.46600000000001</v>
      </c>
      <c r="E739" s="85">
        <f>133.845</f>
        <v>133.845</v>
      </c>
      <c r="F739" s="76">
        <f>278.484-40-25-60-100</f>
        <v>53.48399999999998</v>
      </c>
      <c r="G739" s="79">
        <v>40</v>
      </c>
      <c r="H739" s="76">
        <f t="shared" si="123"/>
        <v>185</v>
      </c>
      <c r="I739" s="76">
        <f t="shared" si="114"/>
        <v>0</v>
      </c>
      <c r="J739" s="79">
        <v>100</v>
      </c>
      <c r="K739" s="79">
        <v>300</v>
      </c>
      <c r="L739" s="76">
        <f t="shared" si="117"/>
        <v>1274</v>
      </c>
      <c r="M739" s="87">
        <v>600</v>
      </c>
      <c r="N739" s="76">
        <f>30</f>
        <v>30</v>
      </c>
      <c r="O739" s="79">
        <v>240</v>
      </c>
      <c r="P739" s="79">
        <v>40</v>
      </c>
      <c r="Q739" s="79">
        <f t="shared" si="118"/>
        <v>315</v>
      </c>
      <c r="R739" s="79">
        <f t="shared" si="119"/>
        <v>100</v>
      </c>
      <c r="S739" s="76">
        <f t="shared" si="120"/>
        <v>695</v>
      </c>
      <c r="T739" s="76">
        <f>0</f>
        <v>0</v>
      </c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</row>
    <row r="740" spans="1:30" ht="15.75" x14ac:dyDescent="0.25">
      <c r="A740" s="32">
        <v>63462</v>
      </c>
      <c r="B740" s="88">
        <f t="shared" si="122"/>
        <v>30</v>
      </c>
      <c r="C740" s="76">
        <f>194.205</f>
        <v>194.20500000000001</v>
      </c>
      <c r="D740" s="76">
        <f>267.466</f>
        <v>267.46600000000001</v>
      </c>
      <c r="E740" s="85">
        <f>133.845</f>
        <v>133.845</v>
      </c>
      <c r="F740" s="76">
        <f>278.484-40-25-60-100</f>
        <v>53.48399999999998</v>
      </c>
      <c r="G740" s="79">
        <v>40</v>
      </c>
      <c r="H740" s="76">
        <f t="shared" si="123"/>
        <v>185</v>
      </c>
      <c r="I740" s="76">
        <f t="shared" si="114"/>
        <v>0</v>
      </c>
      <c r="J740" s="79">
        <v>100</v>
      </c>
      <c r="K740" s="79">
        <v>300</v>
      </c>
      <c r="L740" s="76">
        <f t="shared" si="117"/>
        <v>1274</v>
      </c>
      <c r="M740" s="87">
        <v>600</v>
      </c>
      <c r="N740" s="76">
        <f>30</f>
        <v>30</v>
      </c>
      <c r="O740" s="79">
        <v>240</v>
      </c>
      <c r="P740" s="79">
        <v>40</v>
      </c>
      <c r="Q740" s="79">
        <f t="shared" si="118"/>
        <v>315</v>
      </c>
      <c r="R740" s="79">
        <f t="shared" si="119"/>
        <v>100</v>
      </c>
      <c r="S740" s="76">
        <f t="shared" si="120"/>
        <v>695</v>
      </c>
      <c r="T740" s="76">
        <f>0</f>
        <v>0</v>
      </c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</row>
    <row r="741" spans="1:30" ht="15.75" x14ac:dyDescent="0.25">
      <c r="A741" s="32">
        <v>63493</v>
      </c>
      <c r="B741" s="88">
        <f t="shared" si="122"/>
        <v>31</v>
      </c>
      <c r="C741" s="76">
        <f>131.881</f>
        <v>131.881</v>
      </c>
      <c r="D741" s="76">
        <f>277.167</f>
        <v>277.16699999999997</v>
      </c>
      <c r="E741" s="85">
        <f>79.08</f>
        <v>79.08</v>
      </c>
      <c r="F741" s="76">
        <f>350.872-40-25-60-100</f>
        <v>125.87200000000001</v>
      </c>
      <c r="G741" s="79">
        <v>40</v>
      </c>
      <c r="H741" s="76">
        <f t="shared" si="123"/>
        <v>185</v>
      </c>
      <c r="I741" s="76">
        <f t="shared" si="114"/>
        <v>0</v>
      </c>
      <c r="J741" s="79">
        <v>100</v>
      </c>
      <c r="K741" s="79">
        <v>300</v>
      </c>
      <c r="L741" s="76">
        <f t="shared" si="117"/>
        <v>1239</v>
      </c>
      <c r="M741" s="87">
        <v>600</v>
      </c>
      <c r="N741" s="76">
        <f>75</f>
        <v>75</v>
      </c>
      <c r="O741" s="79">
        <v>240</v>
      </c>
      <c r="P741" s="79">
        <v>40</v>
      </c>
      <c r="Q741" s="79">
        <f t="shared" si="118"/>
        <v>315</v>
      </c>
      <c r="R741" s="79">
        <f t="shared" si="119"/>
        <v>100</v>
      </c>
      <c r="S741" s="76">
        <f t="shared" si="120"/>
        <v>695</v>
      </c>
      <c r="T741" s="76">
        <f>0</f>
        <v>0</v>
      </c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</row>
    <row r="742" spans="1:30" ht="15.75" x14ac:dyDescent="0.25">
      <c r="A742" s="32">
        <v>63523</v>
      </c>
      <c r="B742" s="88">
        <f t="shared" si="122"/>
        <v>30</v>
      </c>
      <c r="C742" s="76">
        <f>122.58</f>
        <v>122.58</v>
      </c>
      <c r="D742" s="76">
        <f>297.941</f>
        <v>297.94099999999997</v>
      </c>
      <c r="E742" s="85">
        <f>89.177</f>
        <v>89.177000000000007</v>
      </c>
      <c r="F742" s="76">
        <f>240.302-40-60-100</f>
        <v>40.301999999999992</v>
      </c>
      <c r="G742" s="79">
        <v>40</v>
      </c>
      <c r="H742" s="76">
        <f>60+100</f>
        <v>160</v>
      </c>
      <c r="I742" s="76">
        <f t="shared" si="114"/>
        <v>0</v>
      </c>
      <c r="J742" s="79">
        <v>100</v>
      </c>
      <c r="K742" s="79">
        <v>300</v>
      </c>
      <c r="L742" s="76">
        <f t="shared" si="117"/>
        <v>1150</v>
      </c>
      <c r="M742" s="87">
        <v>600</v>
      </c>
      <c r="N742" s="76">
        <f>100</f>
        <v>100</v>
      </c>
      <c r="O742" s="79">
        <v>240</v>
      </c>
      <c r="P742" s="79">
        <v>40</v>
      </c>
      <c r="Q742" s="79">
        <f t="shared" si="118"/>
        <v>315</v>
      </c>
      <c r="R742" s="79">
        <f t="shared" si="119"/>
        <v>100</v>
      </c>
      <c r="S742" s="76">
        <f t="shared" si="120"/>
        <v>695</v>
      </c>
      <c r="T742" s="76">
        <f>50</f>
        <v>50</v>
      </c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</row>
    <row r="743" spans="1:30" ht="15.75" x14ac:dyDescent="0.25">
      <c r="A743" s="32">
        <v>63554</v>
      </c>
      <c r="B743" s="88">
        <f t="shared" si="122"/>
        <v>31</v>
      </c>
      <c r="C743" s="76">
        <f>122.58</f>
        <v>122.58</v>
      </c>
      <c r="D743" s="76">
        <f>297.941</f>
        <v>297.94099999999997</v>
      </c>
      <c r="E743" s="85">
        <f>89.177</f>
        <v>89.177000000000007</v>
      </c>
      <c r="F743" s="76">
        <f>240.302-40-60-100</f>
        <v>40.301999999999992</v>
      </c>
      <c r="G743" s="79">
        <v>40</v>
      </c>
      <c r="H743" s="76">
        <f>60+100</f>
        <v>160</v>
      </c>
      <c r="I743" s="76">
        <f t="shared" si="114"/>
        <v>0</v>
      </c>
      <c r="J743" s="79">
        <v>100</v>
      </c>
      <c r="K743" s="79">
        <v>300</v>
      </c>
      <c r="L743" s="76">
        <f t="shared" si="117"/>
        <v>1150</v>
      </c>
      <c r="M743" s="87">
        <v>600</v>
      </c>
      <c r="N743" s="76">
        <f>100</f>
        <v>100</v>
      </c>
      <c r="O743" s="79">
        <v>240</v>
      </c>
      <c r="P743" s="79">
        <v>40</v>
      </c>
      <c r="Q743" s="79">
        <f t="shared" si="118"/>
        <v>315</v>
      </c>
      <c r="R743" s="79">
        <f t="shared" si="119"/>
        <v>100</v>
      </c>
      <c r="S743" s="76">
        <f t="shared" si="120"/>
        <v>695</v>
      </c>
      <c r="T743" s="76">
        <f>50</f>
        <v>50</v>
      </c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</row>
    <row r="744" spans="1:30" ht="15.75" x14ac:dyDescent="0.25">
      <c r="A744" s="32">
        <v>63585</v>
      </c>
      <c r="B744" s="88">
        <f t="shared" si="122"/>
        <v>31</v>
      </c>
      <c r="C744" s="76">
        <f>122.58</f>
        <v>122.58</v>
      </c>
      <c r="D744" s="76">
        <f>297.941</f>
        <v>297.94099999999997</v>
      </c>
      <c r="E744" s="85">
        <f>89.177</f>
        <v>89.177000000000007</v>
      </c>
      <c r="F744" s="76">
        <f>240.302-40-60-100</f>
        <v>40.301999999999992</v>
      </c>
      <c r="G744" s="79">
        <v>40</v>
      </c>
      <c r="H744" s="76">
        <f>60+100</f>
        <v>160</v>
      </c>
      <c r="I744" s="76">
        <f t="shared" si="114"/>
        <v>0</v>
      </c>
      <c r="J744" s="79">
        <v>100</v>
      </c>
      <c r="K744" s="79">
        <v>300</v>
      </c>
      <c r="L744" s="76">
        <f t="shared" si="117"/>
        <v>1150</v>
      </c>
      <c r="M744" s="87">
        <v>600</v>
      </c>
      <c r="N744" s="76">
        <f>100</f>
        <v>100</v>
      </c>
      <c r="O744" s="79">
        <v>240</v>
      </c>
      <c r="P744" s="79">
        <v>40</v>
      </c>
      <c r="Q744" s="79">
        <f t="shared" si="118"/>
        <v>315</v>
      </c>
      <c r="R744" s="79">
        <f t="shared" si="119"/>
        <v>100</v>
      </c>
      <c r="S744" s="76">
        <f t="shared" si="120"/>
        <v>695</v>
      </c>
      <c r="T744" s="76">
        <f>50</f>
        <v>50</v>
      </c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</row>
    <row r="745" spans="1:30" ht="15.75" x14ac:dyDescent="0.25">
      <c r="A745" s="32">
        <v>63613</v>
      </c>
      <c r="B745" s="88">
        <f t="shared" si="122"/>
        <v>28</v>
      </c>
      <c r="C745" s="76">
        <f>122.58</f>
        <v>122.58</v>
      </c>
      <c r="D745" s="76">
        <f>297.941</f>
        <v>297.94099999999997</v>
      </c>
      <c r="E745" s="85">
        <f>89.177</f>
        <v>89.177000000000007</v>
      </c>
      <c r="F745" s="76">
        <f>240.302-40-60-100</f>
        <v>40.301999999999992</v>
      </c>
      <c r="G745" s="79">
        <v>40</v>
      </c>
      <c r="H745" s="76">
        <f>60+100</f>
        <v>160</v>
      </c>
      <c r="I745" s="76">
        <f t="shared" si="114"/>
        <v>0</v>
      </c>
      <c r="J745" s="79">
        <v>100</v>
      </c>
      <c r="K745" s="79">
        <v>300</v>
      </c>
      <c r="L745" s="76">
        <f t="shared" si="117"/>
        <v>1150</v>
      </c>
      <c r="M745" s="87">
        <v>600</v>
      </c>
      <c r="N745" s="76">
        <f>100</f>
        <v>100</v>
      </c>
      <c r="O745" s="79">
        <v>240</v>
      </c>
      <c r="P745" s="79">
        <v>40</v>
      </c>
      <c r="Q745" s="79">
        <f t="shared" si="118"/>
        <v>315</v>
      </c>
      <c r="R745" s="79">
        <f t="shared" si="119"/>
        <v>100</v>
      </c>
      <c r="S745" s="76">
        <f t="shared" si="120"/>
        <v>695</v>
      </c>
      <c r="T745" s="76">
        <f>50</f>
        <v>50</v>
      </c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</row>
    <row r="746" spans="1:30" ht="15.75" x14ac:dyDescent="0.25">
      <c r="A746" s="32">
        <v>63644</v>
      </c>
      <c r="B746" s="88">
        <f t="shared" si="122"/>
        <v>31</v>
      </c>
      <c r="C746" s="76">
        <f>122.58</f>
        <v>122.58</v>
      </c>
      <c r="D746" s="76">
        <f>297.941</f>
        <v>297.94099999999997</v>
      </c>
      <c r="E746" s="85">
        <f>89.177</f>
        <v>89.177000000000007</v>
      </c>
      <c r="F746" s="76">
        <f>240.302-40-60-100</f>
        <v>40.301999999999992</v>
      </c>
      <c r="G746" s="79">
        <v>40</v>
      </c>
      <c r="H746" s="76">
        <f>60+100</f>
        <v>160</v>
      </c>
      <c r="I746" s="76">
        <f t="shared" si="114"/>
        <v>0</v>
      </c>
      <c r="J746" s="79">
        <v>100</v>
      </c>
      <c r="K746" s="79">
        <v>300</v>
      </c>
      <c r="L746" s="76">
        <f t="shared" si="117"/>
        <v>1150</v>
      </c>
      <c r="M746" s="87">
        <v>600</v>
      </c>
      <c r="N746" s="76">
        <f>100</f>
        <v>100</v>
      </c>
      <c r="O746" s="79">
        <v>240</v>
      </c>
      <c r="P746" s="79">
        <v>40</v>
      </c>
      <c r="Q746" s="79">
        <f t="shared" si="118"/>
        <v>315</v>
      </c>
      <c r="R746" s="79">
        <f t="shared" si="119"/>
        <v>100</v>
      </c>
      <c r="S746" s="76">
        <f t="shared" si="120"/>
        <v>695</v>
      </c>
      <c r="T746" s="76">
        <f>50</f>
        <v>50</v>
      </c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</row>
    <row r="747" spans="1:30" ht="15.75" x14ac:dyDescent="0.25">
      <c r="A747" s="32">
        <v>63674</v>
      </c>
      <c r="B747" s="88">
        <f t="shared" si="122"/>
        <v>30</v>
      </c>
      <c r="C747" s="76">
        <f>141.293</f>
        <v>141.29300000000001</v>
      </c>
      <c r="D747" s="76">
        <f>267.993</f>
        <v>267.99299999999999</v>
      </c>
      <c r="E747" s="85">
        <f>115.016</f>
        <v>115.01600000000001</v>
      </c>
      <c r="F747" s="76">
        <f>314.698-40-25-60-100</f>
        <v>89.697999999999979</v>
      </c>
      <c r="G747" s="79">
        <v>40</v>
      </c>
      <c r="H747" s="76">
        <f t="shared" ref="H747:H753" si="124">25+60+100</f>
        <v>185</v>
      </c>
      <c r="I747" s="76">
        <f t="shared" si="114"/>
        <v>0</v>
      </c>
      <c r="J747" s="79">
        <v>100</v>
      </c>
      <c r="K747" s="79">
        <v>300</v>
      </c>
      <c r="L747" s="76">
        <f t="shared" si="117"/>
        <v>1239</v>
      </c>
      <c r="M747" s="87">
        <v>600</v>
      </c>
      <c r="N747" s="76">
        <f>100</f>
        <v>100</v>
      </c>
      <c r="O747" s="79">
        <v>240</v>
      </c>
      <c r="P747" s="79">
        <v>40</v>
      </c>
      <c r="Q747" s="79">
        <f t="shared" si="118"/>
        <v>315</v>
      </c>
      <c r="R747" s="79">
        <f t="shared" si="119"/>
        <v>100</v>
      </c>
      <c r="S747" s="76">
        <f t="shared" si="120"/>
        <v>695</v>
      </c>
      <c r="T747" s="76">
        <f>50</f>
        <v>50</v>
      </c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</row>
    <row r="748" spans="1:30" ht="15.75" x14ac:dyDescent="0.25">
      <c r="A748" s="32">
        <v>63705</v>
      </c>
      <c r="B748" s="88">
        <f t="shared" si="122"/>
        <v>31</v>
      </c>
      <c r="C748" s="76">
        <f>194.205</f>
        <v>194.20500000000001</v>
      </c>
      <c r="D748" s="76">
        <f>267.466</f>
        <v>267.46600000000001</v>
      </c>
      <c r="E748" s="85">
        <f>133.845</f>
        <v>133.845</v>
      </c>
      <c r="F748" s="76">
        <f>278.484-40-25-60-100</f>
        <v>53.48399999999998</v>
      </c>
      <c r="G748" s="79">
        <v>40</v>
      </c>
      <c r="H748" s="76">
        <f t="shared" si="124"/>
        <v>185</v>
      </c>
      <c r="I748" s="76">
        <f t="shared" si="114"/>
        <v>0</v>
      </c>
      <c r="J748" s="79">
        <v>100</v>
      </c>
      <c r="K748" s="79">
        <v>300</v>
      </c>
      <c r="L748" s="76">
        <f t="shared" si="117"/>
        <v>1274</v>
      </c>
      <c r="M748" s="87">
        <v>600</v>
      </c>
      <c r="N748" s="76">
        <f>75</f>
        <v>75</v>
      </c>
      <c r="O748" s="79">
        <v>240</v>
      </c>
      <c r="P748" s="79">
        <v>40</v>
      </c>
      <c r="Q748" s="79">
        <f t="shared" si="118"/>
        <v>315</v>
      </c>
      <c r="R748" s="79">
        <f t="shared" si="119"/>
        <v>100</v>
      </c>
      <c r="S748" s="76">
        <f t="shared" si="120"/>
        <v>695</v>
      </c>
      <c r="T748" s="76">
        <f>50</f>
        <v>50</v>
      </c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</row>
    <row r="749" spans="1:30" ht="15.75" x14ac:dyDescent="0.25">
      <c r="A749" s="32">
        <v>63735</v>
      </c>
      <c r="B749" s="88">
        <f t="shared" si="122"/>
        <v>30</v>
      </c>
      <c r="C749" s="76">
        <f>194.205</f>
        <v>194.20500000000001</v>
      </c>
      <c r="D749" s="76">
        <f>267.466</f>
        <v>267.46600000000001</v>
      </c>
      <c r="E749" s="85">
        <f>133.845</f>
        <v>133.845</v>
      </c>
      <c r="F749" s="76">
        <f>278.484-40-25-60-100</f>
        <v>53.48399999999998</v>
      </c>
      <c r="G749" s="79">
        <v>40</v>
      </c>
      <c r="H749" s="76">
        <f t="shared" si="124"/>
        <v>185</v>
      </c>
      <c r="I749" s="76">
        <f t="shared" si="114"/>
        <v>0</v>
      </c>
      <c r="J749" s="79">
        <v>100</v>
      </c>
      <c r="K749" s="79">
        <v>300</v>
      </c>
      <c r="L749" s="76">
        <f t="shared" si="117"/>
        <v>1274</v>
      </c>
      <c r="M749" s="87">
        <v>600</v>
      </c>
      <c r="N749" s="76">
        <f>30</f>
        <v>30</v>
      </c>
      <c r="O749" s="79">
        <v>240</v>
      </c>
      <c r="P749" s="79">
        <v>40</v>
      </c>
      <c r="Q749" s="79">
        <f t="shared" si="118"/>
        <v>315</v>
      </c>
      <c r="R749" s="79">
        <f t="shared" si="119"/>
        <v>100</v>
      </c>
      <c r="S749" s="76">
        <f t="shared" si="120"/>
        <v>695</v>
      </c>
      <c r="T749" s="76">
        <f>50</f>
        <v>50</v>
      </c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</row>
    <row r="750" spans="1:30" ht="15.75" x14ac:dyDescent="0.25">
      <c r="A750" s="32">
        <v>63766</v>
      </c>
      <c r="B750" s="88">
        <f t="shared" si="122"/>
        <v>31</v>
      </c>
      <c r="C750" s="76">
        <f>194.205</f>
        <v>194.20500000000001</v>
      </c>
      <c r="D750" s="76">
        <f>267.466</f>
        <v>267.46600000000001</v>
      </c>
      <c r="E750" s="85">
        <f>133.845</f>
        <v>133.845</v>
      </c>
      <c r="F750" s="76">
        <f>278.484-40-25-60-100</f>
        <v>53.48399999999998</v>
      </c>
      <c r="G750" s="79">
        <v>40</v>
      </c>
      <c r="H750" s="76">
        <f t="shared" si="124"/>
        <v>185</v>
      </c>
      <c r="I750" s="76">
        <f t="shared" si="114"/>
        <v>0</v>
      </c>
      <c r="J750" s="79">
        <v>100</v>
      </c>
      <c r="K750" s="79">
        <v>300</v>
      </c>
      <c r="L750" s="76">
        <f t="shared" si="117"/>
        <v>1274</v>
      </c>
      <c r="M750" s="87">
        <v>600</v>
      </c>
      <c r="N750" s="76">
        <f>30</f>
        <v>30</v>
      </c>
      <c r="O750" s="79">
        <v>240</v>
      </c>
      <c r="P750" s="79">
        <v>40</v>
      </c>
      <c r="Q750" s="79">
        <f t="shared" si="118"/>
        <v>315</v>
      </c>
      <c r="R750" s="79">
        <f t="shared" si="119"/>
        <v>100</v>
      </c>
      <c r="S750" s="76">
        <f t="shared" si="120"/>
        <v>695</v>
      </c>
      <c r="T750" s="76">
        <f>0</f>
        <v>0</v>
      </c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</row>
    <row r="751" spans="1:30" ht="15.75" x14ac:dyDescent="0.25">
      <c r="A751" s="32">
        <v>63797</v>
      </c>
      <c r="B751" s="88">
        <f t="shared" si="122"/>
        <v>31</v>
      </c>
      <c r="C751" s="76">
        <f>194.205</f>
        <v>194.20500000000001</v>
      </c>
      <c r="D751" s="76">
        <f>267.466</f>
        <v>267.46600000000001</v>
      </c>
      <c r="E751" s="85">
        <f>133.845</f>
        <v>133.845</v>
      </c>
      <c r="F751" s="76">
        <f>278.484-40-25-60-100</f>
        <v>53.48399999999998</v>
      </c>
      <c r="G751" s="79">
        <v>40</v>
      </c>
      <c r="H751" s="76">
        <f t="shared" si="124"/>
        <v>185</v>
      </c>
      <c r="I751" s="76">
        <f t="shared" si="114"/>
        <v>0</v>
      </c>
      <c r="J751" s="79">
        <v>100</v>
      </c>
      <c r="K751" s="79">
        <v>300</v>
      </c>
      <c r="L751" s="76">
        <f t="shared" si="117"/>
        <v>1274</v>
      </c>
      <c r="M751" s="87">
        <v>600</v>
      </c>
      <c r="N751" s="76">
        <f>30</f>
        <v>30</v>
      </c>
      <c r="O751" s="79">
        <v>240</v>
      </c>
      <c r="P751" s="79">
        <v>40</v>
      </c>
      <c r="Q751" s="79">
        <f t="shared" si="118"/>
        <v>315</v>
      </c>
      <c r="R751" s="79">
        <f t="shared" si="119"/>
        <v>100</v>
      </c>
      <c r="S751" s="76">
        <f t="shared" si="120"/>
        <v>695</v>
      </c>
      <c r="T751" s="76">
        <f>0</f>
        <v>0</v>
      </c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</row>
    <row r="752" spans="1:30" ht="15.75" x14ac:dyDescent="0.25">
      <c r="A752" s="32">
        <v>63827</v>
      </c>
      <c r="B752" s="88">
        <f t="shared" si="122"/>
        <v>30</v>
      </c>
      <c r="C752" s="76">
        <f>194.205</f>
        <v>194.20500000000001</v>
      </c>
      <c r="D752" s="76">
        <f>267.466</f>
        <v>267.46600000000001</v>
      </c>
      <c r="E752" s="85">
        <f>133.845</f>
        <v>133.845</v>
      </c>
      <c r="F752" s="76">
        <f>278.484-40-25-60-100</f>
        <v>53.48399999999998</v>
      </c>
      <c r="G752" s="79">
        <v>40</v>
      </c>
      <c r="H752" s="76">
        <f t="shared" si="124"/>
        <v>185</v>
      </c>
      <c r="I752" s="76">
        <f t="shared" si="114"/>
        <v>0</v>
      </c>
      <c r="J752" s="79">
        <v>100</v>
      </c>
      <c r="K752" s="79">
        <v>300</v>
      </c>
      <c r="L752" s="76">
        <f t="shared" si="117"/>
        <v>1274</v>
      </c>
      <c r="M752" s="87">
        <v>600</v>
      </c>
      <c r="N752" s="76">
        <f>30</f>
        <v>30</v>
      </c>
      <c r="O752" s="79">
        <v>240</v>
      </c>
      <c r="P752" s="79">
        <v>40</v>
      </c>
      <c r="Q752" s="79">
        <f t="shared" si="118"/>
        <v>315</v>
      </c>
      <c r="R752" s="79">
        <f t="shared" si="119"/>
        <v>100</v>
      </c>
      <c r="S752" s="76">
        <f t="shared" si="120"/>
        <v>695</v>
      </c>
      <c r="T752" s="76">
        <f>0</f>
        <v>0</v>
      </c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</row>
    <row r="753" spans="1:30" ht="15.75" x14ac:dyDescent="0.25">
      <c r="A753" s="32">
        <v>63858</v>
      </c>
      <c r="B753" s="88">
        <f t="shared" si="122"/>
        <v>31</v>
      </c>
      <c r="C753" s="76">
        <f>131.881</f>
        <v>131.881</v>
      </c>
      <c r="D753" s="76">
        <f>277.167</f>
        <v>277.16699999999997</v>
      </c>
      <c r="E753" s="85">
        <f>79.08</f>
        <v>79.08</v>
      </c>
      <c r="F753" s="76">
        <f>350.872-40-25-60-100</f>
        <v>125.87200000000001</v>
      </c>
      <c r="G753" s="79">
        <v>40</v>
      </c>
      <c r="H753" s="76">
        <f t="shared" si="124"/>
        <v>185</v>
      </c>
      <c r="I753" s="76">
        <f t="shared" si="114"/>
        <v>0</v>
      </c>
      <c r="J753" s="79">
        <v>100</v>
      </c>
      <c r="K753" s="79">
        <v>300</v>
      </c>
      <c r="L753" s="76">
        <f t="shared" si="117"/>
        <v>1239</v>
      </c>
      <c r="M753" s="87">
        <v>600</v>
      </c>
      <c r="N753" s="76">
        <f>75</f>
        <v>75</v>
      </c>
      <c r="O753" s="79">
        <v>240</v>
      </c>
      <c r="P753" s="79">
        <v>40</v>
      </c>
      <c r="Q753" s="79">
        <f t="shared" si="118"/>
        <v>315</v>
      </c>
      <c r="R753" s="79">
        <f t="shared" si="119"/>
        <v>100</v>
      </c>
      <c r="S753" s="76">
        <f t="shared" si="120"/>
        <v>695</v>
      </c>
      <c r="T753" s="76">
        <f>0</f>
        <v>0</v>
      </c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</row>
    <row r="754" spans="1:30" ht="15.75" x14ac:dyDescent="0.25">
      <c r="A754" s="32">
        <v>63888</v>
      </c>
      <c r="B754" s="88">
        <f t="shared" si="122"/>
        <v>30</v>
      </c>
      <c r="C754" s="76">
        <f>122.58</f>
        <v>122.58</v>
      </c>
      <c r="D754" s="76">
        <f>297.941</f>
        <v>297.94099999999997</v>
      </c>
      <c r="E754" s="85">
        <f>89.177</f>
        <v>89.177000000000007</v>
      </c>
      <c r="F754" s="76">
        <f>240.302-40-60-100</f>
        <v>40.301999999999992</v>
      </c>
      <c r="G754" s="79">
        <v>40</v>
      </c>
      <c r="H754" s="76">
        <f>60+100</f>
        <v>160</v>
      </c>
      <c r="I754" s="76">
        <f t="shared" si="114"/>
        <v>0</v>
      </c>
      <c r="J754" s="79">
        <v>100</v>
      </c>
      <c r="K754" s="79">
        <v>300</v>
      </c>
      <c r="L754" s="76">
        <f t="shared" si="117"/>
        <v>1150</v>
      </c>
      <c r="M754" s="87">
        <v>600</v>
      </c>
      <c r="N754" s="76">
        <f>100</f>
        <v>100</v>
      </c>
      <c r="O754" s="79">
        <v>240</v>
      </c>
      <c r="P754" s="79">
        <v>40</v>
      </c>
      <c r="Q754" s="79">
        <f t="shared" si="118"/>
        <v>315</v>
      </c>
      <c r="R754" s="79">
        <f t="shared" si="119"/>
        <v>100</v>
      </c>
      <c r="S754" s="76">
        <f t="shared" si="120"/>
        <v>695</v>
      </c>
      <c r="T754" s="76">
        <f>50</f>
        <v>50</v>
      </c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</row>
    <row r="755" spans="1:30" ht="15.75" x14ac:dyDescent="0.25">
      <c r="A755" s="32">
        <v>63919</v>
      </c>
      <c r="B755" s="88">
        <f t="shared" si="122"/>
        <v>31</v>
      </c>
      <c r="C755" s="76">
        <f>122.58</f>
        <v>122.58</v>
      </c>
      <c r="D755" s="76">
        <f>297.941</f>
        <v>297.94099999999997</v>
      </c>
      <c r="E755" s="85">
        <f>89.177</f>
        <v>89.177000000000007</v>
      </c>
      <c r="F755" s="76">
        <f>240.302-40-60-100</f>
        <v>40.301999999999992</v>
      </c>
      <c r="G755" s="79">
        <v>40</v>
      </c>
      <c r="H755" s="76">
        <f>60+100</f>
        <v>160</v>
      </c>
      <c r="I755" s="76">
        <f t="shared" si="114"/>
        <v>0</v>
      </c>
      <c r="J755" s="79">
        <v>100</v>
      </c>
      <c r="K755" s="79">
        <v>300</v>
      </c>
      <c r="L755" s="76">
        <f t="shared" si="117"/>
        <v>1150</v>
      </c>
      <c r="M755" s="87">
        <v>600</v>
      </c>
      <c r="N755" s="76">
        <f>100</f>
        <v>100</v>
      </c>
      <c r="O755" s="79">
        <v>240</v>
      </c>
      <c r="P755" s="79">
        <v>40</v>
      </c>
      <c r="Q755" s="79">
        <f t="shared" si="118"/>
        <v>315</v>
      </c>
      <c r="R755" s="79">
        <f t="shared" si="119"/>
        <v>100</v>
      </c>
      <c r="S755" s="76">
        <f t="shared" si="120"/>
        <v>695</v>
      </c>
      <c r="T755" s="76">
        <f>50</f>
        <v>50</v>
      </c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</row>
    <row r="756" spans="1:30" ht="15.75" x14ac:dyDescent="0.25">
      <c r="A756" s="32">
        <v>63950</v>
      </c>
      <c r="B756" s="88">
        <f t="shared" si="122"/>
        <v>31</v>
      </c>
      <c r="C756" s="76">
        <f>122.58</f>
        <v>122.58</v>
      </c>
      <c r="D756" s="76">
        <f>297.941</f>
        <v>297.94099999999997</v>
      </c>
      <c r="E756" s="85">
        <f>89.177</f>
        <v>89.177000000000007</v>
      </c>
      <c r="F756" s="76">
        <f>240.302-40-60-100</f>
        <v>40.301999999999992</v>
      </c>
      <c r="G756" s="79">
        <v>40</v>
      </c>
      <c r="H756" s="76">
        <f>60+100</f>
        <v>160</v>
      </c>
      <c r="I756" s="76">
        <f t="shared" ref="I756:I819" si="125">400-J756-K756</f>
        <v>0</v>
      </c>
      <c r="J756" s="79">
        <v>100</v>
      </c>
      <c r="K756" s="79">
        <v>300</v>
      </c>
      <c r="L756" s="76">
        <f t="shared" si="117"/>
        <v>1150</v>
      </c>
      <c r="M756" s="87">
        <v>600</v>
      </c>
      <c r="N756" s="76">
        <f>100</f>
        <v>100</v>
      </c>
      <c r="O756" s="79">
        <v>240</v>
      </c>
      <c r="P756" s="79">
        <v>40</v>
      </c>
      <c r="Q756" s="79">
        <f t="shared" si="118"/>
        <v>315</v>
      </c>
      <c r="R756" s="79">
        <f t="shared" si="119"/>
        <v>100</v>
      </c>
      <c r="S756" s="76">
        <f t="shared" si="120"/>
        <v>695</v>
      </c>
      <c r="T756" s="76">
        <f>50</f>
        <v>50</v>
      </c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</row>
    <row r="757" spans="1:30" ht="15.75" x14ac:dyDescent="0.25">
      <c r="A757" s="32">
        <v>63978</v>
      </c>
      <c r="B757" s="88">
        <f t="shared" si="122"/>
        <v>28</v>
      </c>
      <c r="C757" s="76">
        <f>122.58</f>
        <v>122.58</v>
      </c>
      <c r="D757" s="76">
        <f>297.941</f>
        <v>297.94099999999997</v>
      </c>
      <c r="E757" s="85">
        <f>89.177</f>
        <v>89.177000000000007</v>
      </c>
      <c r="F757" s="76">
        <f>240.302-40-60-100</f>
        <v>40.301999999999992</v>
      </c>
      <c r="G757" s="79">
        <v>40</v>
      </c>
      <c r="H757" s="76">
        <f>60+100</f>
        <v>160</v>
      </c>
      <c r="I757" s="76">
        <f t="shared" si="125"/>
        <v>0</v>
      </c>
      <c r="J757" s="79">
        <v>100</v>
      </c>
      <c r="K757" s="79">
        <v>300</v>
      </c>
      <c r="L757" s="76">
        <f t="shared" si="117"/>
        <v>1150</v>
      </c>
      <c r="M757" s="87">
        <v>600</v>
      </c>
      <c r="N757" s="76">
        <f>100</f>
        <v>100</v>
      </c>
      <c r="O757" s="79">
        <v>240</v>
      </c>
      <c r="P757" s="79">
        <v>40</v>
      </c>
      <c r="Q757" s="79">
        <f t="shared" si="118"/>
        <v>315</v>
      </c>
      <c r="R757" s="79">
        <f t="shared" si="119"/>
        <v>100</v>
      </c>
      <c r="S757" s="76">
        <f t="shared" si="120"/>
        <v>695</v>
      </c>
      <c r="T757" s="76">
        <f>50</f>
        <v>50</v>
      </c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</row>
    <row r="758" spans="1:30" ht="15.75" x14ac:dyDescent="0.25">
      <c r="A758" s="32">
        <v>64009</v>
      </c>
      <c r="B758" s="88">
        <f t="shared" si="122"/>
        <v>31</v>
      </c>
      <c r="C758" s="76">
        <f>122.58</f>
        <v>122.58</v>
      </c>
      <c r="D758" s="76">
        <f>297.941</f>
        <v>297.94099999999997</v>
      </c>
      <c r="E758" s="85">
        <f>89.177</f>
        <v>89.177000000000007</v>
      </c>
      <c r="F758" s="76">
        <f>240.302-40-60-100</f>
        <v>40.301999999999992</v>
      </c>
      <c r="G758" s="79">
        <v>40</v>
      </c>
      <c r="H758" s="76">
        <f>60+100</f>
        <v>160</v>
      </c>
      <c r="I758" s="76">
        <f t="shared" si="125"/>
        <v>0</v>
      </c>
      <c r="J758" s="79">
        <v>100</v>
      </c>
      <c r="K758" s="79">
        <v>300</v>
      </c>
      <c r="L758" s="76">
        <f t="shared" si="117"/>
        <v>1150</v>
      </c>
      <c r="M758" s="87">
        <v>600</v>
      </c>
      <c r="N758" s="76">
        <f>100</f>
        <v>100</v>
      </c>
      <c r="O758" s="79">
        <v>240</v>
      </c>
      <c r="P758" s="79">
        <v>40</v>
      </c>
      <c r="Q758" s="79">
        <f t="shared" si="118"/>
        <v>315</v>
      </c>
      <c r="R758" s="79">
        <f t="shared" si="119"/>
        <v>100</v>
      </c>
      <c r="S758" s="76">
        <f t="shared" si="120"/>
        <v>695</v>
      </c>
      <c r="T758" s="76">
        <f>50</f>
        <v>50</v>
      </c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</row>
    <row r="759" spans="1:30" ht="15.75" x14ac:dyDescent="0.25">
      <c r="A759" s="32">
        <v>64039</v>
      </c>
      <c r="B759" s="88">
        <f t="shared" si="122"/>
        <v>30</v>
      </c>
      <c r="C759" s="76">
        <f>141.293</f>
        <v>141.29300000000001</v>
      </c>
      <c r="D759" s="76">
        <f>267.993</f>
        <v>267.99299999999999</v>
      </c>
      <c r="E759" s="85">
        <f>115.016</f>
        <v>115.01600000000001</v>
      </c>
      <c r="F759" s="76">
        <f>314.698-40-25-60-100</f>
        <v>89.697999999999979</v>
      </c>
      <c r="G759" s="79">
        <v>40</v>
      </c>
      <c r="H759" s="76">
        <f t="shared" ref="H759:H765" si="126">25+60+100</f>
        <v>185</v>
      </c>
      <c r="I759" s="76">
        <f t="shared" si="125"/>
        <v>0</v>
      </c>
      <c r="J759" s="79">
        <v>100</v>
      </c>
      <c r="K759" s="79">
        <v>300</v>
      </c>
      <c r="L759" s="76">
        <f t="shared" si="117"/>
        <v>1239</v>
      </c>
      <c r="M759" s="87">
        <v>600</v>
      </c>
      <c r="N759" s="76">
        <f>100</f>
        <v>100</v>
      </c>
      <c r="O759" s="79">
        <v>240</v>
      </c>
      <c r="P759" s="79">
        <v>40</v>
      </c>
      <c r="Q759" s="79">
        <f t="shared" si="118"/>
        <v>315</v>
      </c>
      <c r="R759" s="79">
        <f t="shared" si="119"/>
        <v>100</v>
      </c>
      <c r="S759" s="76">
        <f t="shared" si="120"/>
        <v>695</v>
      </c>
      <c r="T759" s="76">
        <f>50</f>
        <v>50</v>
      </c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</row>
    <row r="760" spans="1:30" ht="15.75" x14ac:dyDescent="0.25">
      <c r="A760" s="32">
        <v>64070</v>
      </c>
      <c r="B760" s="88">
        <f t="shared" si="122"/>
        <v>31</v>
      </c>
      <c r="C760" s="76">
        <f>194.205</f>
        <v>194.20500000000001</v>
      </c>
      <c r="D760" s="76">
        <f>267.466</f>
        <v>267.46600000000001</v>
      </c>
      <c r="E760" s="85">
        <f>133.845</f>
        <v>133.845</v>
      </c>
      <c r="F760" s="76">
        <f>278.484-40-25-60-100</f>
        <v>53.48399999999998</v>
      </c>
      <c r="G760" s="79">
        <v>40</v>
      </c>
      <c r="H760" s="76">
        <f t="shared" si="126"/>
        <v>185</v>
      </c>
      <c r="I760" s="76">
        <f t="shared" si="125"/>
        <v>0</v>
      </c>
      <c r="J760" s="79">
        <v>100</v>
      </c>
      <c r="K760" s="79">
        <v>300</v>
      </c>
      <c r="L760" s="76">
        <f t="shared" si="117"/>
        <v>1274</v>
      </c>
      <c r="M760" s="87">
        <v>600</v>
      </c>
      <c r="N760" s="76">
        <f>75</f>
        <v>75</v>
      </c>
      <c r="O760" s="79">
        <v>240</v>
      </c>
      <c r="P760" s="79">
        <v>40</v>
      </c>
      <c r="Q760" s="79">
        <f t="shared" si="118"/>
        <v>315</v>
      </c>
      <c r="R760" s="79">
        <f t="shared" si="119"/>
        <v>100</v>
      </c>
      <c r="S760" s="76">
        <f t="shared" si="120"/>
        <v>695</v>
      </c>
      <c r="T760" s="76">
        <f>50</f>
        <v>50</v>
      </c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</row>
    <row r="761" spans="1:30" ht="15.75" x14ac:dyDescent="0.25">
      <c r="A761" s="32">
        <v>64100</v>
      </c>
      <c r="B761" s="88">
        <f t="shared" si="122"/>
        <v>30</v>
      </c>
      <c r="C761" s="76">
        <f>194.205</f>
        <v>194.20500000000001</v>
      </c>
      <c r="D761" s="76">
        <f>267.466</f>
        <v>267.46600000000001</v>
      </c>
      <c r="E761" s="85">
        <f>133.845</f>
        <v>133.845</v>
      </c>
      <c r="F761" s="76">
        <f>278.484-40-25-60-100</f>
        <v>53.48399999999998</v>
      </c>
      <c r="G761" s="79">
        <v>40</v>
      </c>
      <c r="H761" s="76">
        <f t="shared" si="126"/>
        <v>185</v>
      </c>
      <c r="I761" s="76">
        <f t="shared" si="125"/>
        <v>0</v>
      </c>
      <c r="J761" s="79">
        <v>100</v>
      </c>
      <c r="K761" s="79">
        <v>300</v>
      </c>
      <c r="L761" s="76">
        <f t="shared" si="117"/>
        <v>1274</v>
      </c>
      <c r="M761" s="87">
        <v>600</v>
      </c>
      <c r="N761" s="76">
        <f>30</f>
        <v>30</v>
      </c>
      <c r="O761" s="79">
        <v>240</v>
      </c>
      <c r="P761" s="79">
        <v>40</v>
      </c>
      <c r="Q761" s="79">
        <f t="shared" si="118"/>
        <v>315</v>
      </c>
      <c r="R761" s="79">
        <f t="shared" si="119"/>
        <v>100</v>
      </c>
      <c r="S761" s="76">
        <f t="shared" si="120"/>
        <v>695</v>
      </c>
      <c r="T761" s="76">
        <f>50</f>
        <v>50</v>
      </c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</row>
    <row r="762" spans="1:30" ht="15.75" x14ac:dyDescent="0.25">
      <c r="A762" s="32">
        <v>64131</v>
      </c>
      <c r="B762" s="88">
        <f t="shared" si="122"/>
        <v>31</v>
      </c>
      <c r="C762" s="76">
        <f>194.205</f>
        <v>194.20500000000001</v>
      </c>
      <c r="D762" s="76">
        <f>267.466</f>
        <v>267.46600000000001</v>
      </c>
      <c r="E762" s="85">
        <f>133.845</f>
        <v>133.845</v>
      </c>
      <c r="F762" s="76">
        <f>278.484-40-25-60-100</f>
        <v>53.48399999999998</v>
      </c>
      <c r="G762" s="79">
        <v>40</v>
      </c>
      <c r="H762" s="76">
        <f t="shared" si="126"/>
        <v>185</v>
      </c>
      <c r="I762" s="76">
        <f t="shared" si="125"/>
        <v>0</v>
      </c>
      <c r="J762" s="79">
        <v>100</v>
      </c>
      <c r="K762" s="79">
        <v>300</v>
      </c>
      <c r="L762" s="76">
        <f t="shared" si="117"/>
        <v>1274</v>
      </c>
      <c r="M762" s="87">
        <v>600</v>
      </c>
      <c r="N762" s="76">
        <f>30</f>
        <v>30</v>
      </c>
      <c r="O762" s="79">
        <v>240</v>
      </c>
      <c r="P762" s="79">
        <v>40</v>
      </c>
      <c r="Q762" s="79">
        <f t="shared" si="118"/>
        <v>315</v>
      </c>
      <c r="R762" s="79">
        <f t="shared" si="119"/>
        <v>100</v>
      </c>
      <c r="S762" s="76">
        <f t="shared" si="120"/>
        <v>695</v>
      </c>
      <c r="T762" s="76">
        <f>0</f>
        <v>0</v>
      </c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</row>
    <row r="763" spans="1:30" ht="15.75" x14ac:dyDescent="0.25">
      <c r="A763" s="32">
        <v>64162</v>
      </c>
      <c r="B763" s="88">
        <f t="shared" si="122"/>
        <v>31</v>
      </c>
      <c r="C763" s="76">
        <f>194.205</f>
        <v>194.20500000000001</v>
      </c>
      <c r="D763" s="76">
        <f>267.466</f>
        <v>267.46600000000001</v>
      </c>
      <c r="E763" s="85">
        <f>133.845</f>
        <v>133.845</v>
      </c>
      <c r="F763" s="76">
        <f>278.484-40-25-60-100</f>
        <v>53.48399999999998</v>
      </c>
      <c r="G763" s="79">
        <v>40</v>
      </c>
      <c r="H763" s="76">
        <f t="shared" si="126"/>
        <v>185</v>
      </c>
      <c r="I763" s="76">
        <f t="shared" si="125"/>
        <v>0</v>
      </c>
      <c r="J763" s="79">
        <v>100</v>
      </c>
      <c r="K763" s="79">
        <v>300</v>
      </c>
      <c r="L763" s="76">
        <f t="shared" si="117"/>
        <v>1274</v>
      </c>
      <c r="M763" s="87">
        <v>600</v>
      </c>
      <c r="N763" s="76">
        <f>30</f>
        <v>30</v>
      </c>
      <c r="O763" s="79">
        <v>240</v>
      </c>
      <c r="P763" s="79">
        <v>40</v>
      </c>
      <c r="Q763" s="79">
        <f t="shared" si="118"/>
        <v>315</v>
      </c>
      <c r="R763" s="79">
        <f t="shared" si="119"/>
        <v>100</v>
      </c>
      <c r="S763" s="76">
        <f t="shared" si="120"/>
        <v>695</v>
      </c>
      <c r="T763" s="76">
        <f>0</f>
        <v>0</v>
      </c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</row>
    <row r="764" spans="1:30" ht="15.75" x14ac:dyDescent="0.25">
      <c r="A764" s="32">
        <v>64192</v>
      </c>
      <c r="B764" s="88">
        <f t="shared" si="122"/>
        <v>30</v>
      </c>
      <c r="C764" s="76">
        <f>194.205</f>
        <v>194.20500000000001</v>
      </c>
      <c r="D764" s="76">
        <f>267.466</f>
        <v>267.46600000000001</v>
      </c>
      <c r="E764" s="85">
        <f>133.845</f>
        <v>133.845</v>
      </c>
      <c r="F764" s="76">
        <f>278.484-40-25-60-100</f>
        <v>53.48399999999998</v>
      </c>
      <c r="G764" s="79">
        <v>40</v>
      </c>
      <c r="H764" s="76">
        <f t="shared" si="126"/>
        <v>185</v>
      </c>
      <c r="I764" s="76">
        <f t="shared" si="125"/>
        <v>0</v>
      </c>
      <c r="J764" s="79">
        <v>100</v>
      </c>
      <c r="K764" s="79">
        <v>300</v>
      </c>
      <c r="L764" s="76">
        <f t="shared" si="117"/>
        <v>1274</v>
      </c>
      <c r="M764" s="87">
        <v>600</v>
      </c>
      <c r="N764" s="76">
        <f>30</f>
        <v>30</v>
      </c>
      <c r="O764" s="79">
        <v>240</v>
      </c>
      <c r="P764" s="79">
        <v>40</v>
      </c>
      <c r="Q764" s="79">
        <f t="shared" si="118"/>
        <v>315</v>
      </c>
      <c r="R764" s="79">
        <f t="shared" si="119"/>
        <v>100</v>
      </c>
      <c r="S764" s="76">
        <f t="shared" si="120"/>
        <v>695</v>
      </c>
      <c r="T764" s="76">
        <f>0</f>
        <v>0</v>
      </c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</row>
    <row r="765" spans="1:30" ht="15.75" x14ac:dyDescent="0.25">
      <c r="A765" s="32">
        <v>64223</v>
      </c>
      <c r="B765" s="88">
        <f t="shared" si="122"/>
        <v>31</v>
      </c>
      <c r="C765" s="76">
        <f>131.881</f>
        <v>131.881</v>
      </c>
      <c r="D765" s="76">
        <f>277.167</f>
        <v>277.16699999999997</v>
      </c>
      <c r="E765" s="85">
        <f>79.08</f>
        <v>79.08</v>
      </c>
      <c r="F765" s="76">
        <f>350.872-40-25-60-100</f>
        <v>125.87200000000001</v>
      </c>
      <c r="G765" s="79">
        <v>40</v>
      </c>
      <c r="H765" s="76">
        <f t="shared" si="126"/>
        <v>185</v>
      </c>
      <c r="I765" s="76">
        <f t="shared" si="125"/>
        <v>0</v>
      </c>
      <c r="J765" s="79">
        <v>100</v>
      </c>
      <c r="K765" s="79">
        <v>300</v>
      </c>
      <c r="L765" s="76">
        <f t="shared" si="117"/>
        <v>1239</v>
      </c>
      <c r="M765" s="87">
        <v>600</v>
      </c>
      <c r="N765" s="76">
        <f>75</f>
        <v>75</v>
      </c>
      <c r="O765" s="79">
        <v>240</v>
      </c>
      <c r="P765" s="79">
        <v>40</v>
      </c>
      <c r="Q765" s="79">
        <f t="shared" si="118"/>
        <v>315</v>
      </c>
      <c r="R765" s="79">
        <f t="shared" si="119"/>
        <v>100</v>
      </c>
      <c r="S765" s="76">
        <f t="shared" si="120"/>
        <v>695</v>
      </c>
      <c r="T765" s="76">
        <f>0</f>
        <v>0</v>
      </c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</row>
    <row r="766" spans="1:30" ht="15.75" x14ac:dyDescent="0.25">
      <c r="A766" s="32">
        <v>64253</v>
      </c>
      <c r="B766" s="88">
        <f t="shared" si="122"/>
        <v>30</v>
      </c>
      <c r="C766" s="76">
        <f>122.58</f>
        <v>122.58</v>
      </c>
      <c r="D766" s="76">
        <f>297.941</f>
        <v>297.94099999999997</v>
      </c>
      <c r="E766" s="85">
        <f>89.177</f>
        <v>89.177000000000007</v>
      </c>
      <c r="F766" s="76">
        <f>240.302-40-60-100</f>
        <v>40.301999999999992</v>
      </c>
      <c r="G766" s="79">
        <v>40</v>
      </c>
      <c r="H766" s="76">
        <f>60+100</f>
        <v>160</v>
      </c>
      <c r="I766" s="76">
        <f t="shared" si="125"/>
        <v>0</v>
      </c>
      <c r="J766" s="79">
        <v>100</v>
      </c>
      <c r="K766" s="79">
        <v>300</v>
      </c>
      <c r="L766" s="76">
        <f t="shared" si="117"/>
        <v>1150</v>
      </c>
      <c r="M766" s="87">
        <v>600</v>
      </c>
      <c r="N766" s="76">
        <f>100</f>
        <v>100</v>
      </c>
      <c r="O766" s="79">
        <v>240</v>
      </c>
      <c r="P766" s="79">
        <v>40</v>
      </c>
      <c r="Q766" s="79">
        <f t="shared" si="118"/>
        <v>315</v>
      </c>
      <c r="R766" s="79">
        <f t="shared" si="119"/>
        <v>100</v>
      </c>
      <c r="S766" s="76">
        <f t="shared" si="120"/>
        <v>695</v>
      </c>
      <c r="T766" s="76">
        <f>50</f>
        <v>50</v>
      </c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</row>
    <row r="767" spans="1:30" ht="15.75" x14ac:dyDescent="0.25">
      <c r="A767" s="32">
        <v>64284</v>
      </c>
      <c r="B767" s="88">
        <f t="shared" si="122"/>
        <v>31</v>
      </c>
      <c r="C767" s="76">
        <f>122.58</f>
        <v>122.58</v>
      </c>
      <c r="D767" s="76">
        <f>297.941</f>
        <v>297.94099999999997</v>
      </c>
      <c r="E767" s="85">
        <f>89.177</f>
        <v>89.177000000000007</v>
      </c>
      <c r="F767" s="76">
        <f>240.302-40-60-100</f>
        <v>40.301999999999992</v>
      </c>
      <c r="G767" s="79">
        <v>40</v>
      </c>
      <c r="H767" s="76">
        <f>60+100</f>
        <v>160</v>
      </c>
      <c r="I767" s="76">
        <f t="shared" si="125"/>
        <v>0</v>
      </c>
      <c r="J767" s="79">
        <v>100</v>
      </c>
      <c r="K767" s="79">
        <v>300</v>
      </c>
      <c r="L767" s="76">
        <f t="shared" si="117"/>
        <v>1150</v>
      </c>
      <c r="M767" s="87">
        <v>600</v>
      </c>
      <c r="N767" s="76">
        <f>100</f>
        <v>100</v>
      </c>
      <c r="O767" s="79">
        <v>240</v>
      </c>
      <c r="P767" s="79">
        <v>40</v>
      </c>
      <c r="Q767" s="79">
        <f t="shared" si="118"/>
        <v>315</v>
      </c>
      <c r="R767" s="79">
        <f t="shared" si="119"/>
        <v>100</v>
      </c>
      <c r="S767" s="76">
        <f t="shared" si="120"/>
        <v>695</v>
      </c>
      <c r="T767" s="76">
        <f>50</f>
        <v>50</v>
      </c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</row>
    <row r="768" spans="1:30" ht="15.75" x14ac:dyDescent="0.25">
      <c r="A768" s="32">
        <v>64315</v>
      </c>
      <c r="B768" s="88">
        <f t="shared" si="122"/>
        <v>31</v>
      </c>
      <c r="C768" s="76">
        <f>122.58</f>
        <v>122.58</v>
      </c>
      <c r="D768" s="76">
        <f>297.941</f>
        <v>297.94099999999997</v>
      </c>
      <c r="E768" s="85">
        <f>89.177</f>
        <v>89.177000000000007</v>
      </c>
      <c r="F768" s="76">
        <f>240.302-40-60-100</f>
        <v>40.301999999999992</v>
      </c>
      <c r="G768" s="79">
        <v>40</v>
      </c>
      <c r="H768" s="76">
        <f>60+100</f>
        <v>160</v>
      </c>
      <c r="I768" s="76">
        <f t="shared" si="125"/>
        <v>0</v>
      </c>
      <c r="J768" s="79">
        <v>100</v>
      </c>
      <c r="K768" s="79">
        <v>300</v>
      </c>
      <c r="L768" s="76">
        <f t="shared" si="117"/>
        <v>1150</v>
      </c>
      <c r="M768" s="87">
        <v>600</v>
      </c>
      <c r="N768" s="76">
        <f>100</f>
        <v>100</v>
      </c>
      <c r="O768" s="79">
        <v>240</v>
      </c>
      <c r="P768" s="79">
        <v>40</v>
      </c>
      <c r="Q768" s="79">
        <f t="shared" si="118"/>
        <v>315</v>
      </c>
      <c r="R768" s="79">
        <f t="shared" si="119"/>
        <v>100</v>
      </c>
      <c r="S768" s="76">
        <f t="shared" si="120"/>
        <v>695</v>
      </c>
      <c r="T768" s="76">
        <f>50</f>
        <v>50</v>
      </c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</row>
    <row r="769" spans="1:30" ht="15.75" x14ac:dyDescent="0.25">
      <c r="A769" s="32">
        <v>64344</v>
      </c>
      <c r="B769" s="88">
        <f t="shared" si="122"/>
        <v>29</v>
      </c>
      <c r="C769" s="76">
        <f>122.58</f>
        <v>122.58</v>
      </c>
      <c r="D769" s="76">
        <f>297.941</f>
        <v>297.94099999999997</v>
      </c>
      <c r="E769" s="85">
        <f>89.177</f>
        <v>89.177000000000007</v>
      </c>
      <c r="F769" s="76">
        <f>240.302-40-60-100</f>
        <v>40.301999999999992</v>
      </c>
      <c r="G769" s="79">
        <v>40</v>
      </c>
      <c r="H769" s="76">
        <f>60+100</f>
        <v>160</v>
      </c>
      <c r="I769" s="76">
        <f t="shared" si="125"/>
        <v>0</v>
      </c>
      <c r="J769" s="79">
        <v>100</v>
      </c>
      <c r="K769" s="79">
        <v>300</v>
      </c>
      <c r="L769" s="76">
        <f t="shared" si="117"/>
        <v>1150</v>
      </c>
      <c r="M769" s="87">
        <v>600</v>
      </c>
      <c r="N769" s="76">
        <f>100</f>
        <v>100</v>
      </c>
      <c r="O769" s="79">
        <v>240</v>
      </c>
      <c r="P769" s="79">
        <v>40</v>
      </c>
      <c r="Q769" s="79">
        <f t="shared" si="118"/>
        <v>315</v>
      </c>
      <c r="R769" s="79">
        <f t="shared" si="119"/>
        <v>100</v>
      </c>
      <c r="S769" s="76">
        <f t="shared" si="120"/>
        <v>695</v>
      </c>
      <c r="T769" s="76">
        <f>50</f>
        <v>50</v>
      </c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</row>
    <row r="770" spans="1:30" ht="15.75" x14ac:dyDescent="0.25">
      <c r="A770" s="32">
        <v>64375</v>
      </c>
      <c r="B770" s="88">
        <f t="shared" si="122"/>
        <v>31</v>
      </c>
      <c r="C770" s="76">
        <f>122.58</f>
        <v>122.58</v>
      </c>
      <c r="D770" s="76">
        <f>297.941</f>
        <v>297.94099999999997</v>
      </c>
      <c r="E770" s="85">
        <f>89.177</f>
        <v>89.177000000000007</v>
      </c>
      <c r="F770" s="76">
        <f>240.302-40-60-100</f>
        <v>40.301999999999992</v>
      </c>
      <c r="G770" s="79">
        <v>40</v>
      </c>
      <c r="H770" s="76">
        <f>60+100</f>
        <v>160</v>
      </c>
      <c r="I770" s="76">
        <f t="shared" si="125"/>
        <v>0</v>
      </c>
      <c r="J770" s="79">
        <v>100</v>
      </c>
      <c r="K770" s="79">
        <v>300</v>
      </c>
      <c r="L770" s="76">
        <f t="shared" si="117"/>
        <v>1150</v>
      </c>
      <c r="M770" s="87">
        <v>600</v>
      </c>
      <c r="N770" s="76">
        <f>100</f>
        <v>100</v>
      </c>
      <c r="O770" s="79">
        <v>240</v>
      </c>
      <c r="P770" s="79">
        <v>40</v>
      </c>
      <c r="Q770" s="79">
        <f t="shared" si="118"/>
        <v>315</v>
      </c>
      <c r="R770" s="79">
        <f t="shared" si="119"/>
        <v>100</v>
      </c>
      <c r="S770" s="76">
        <f t="shared" si="120"/>
        <v>695</v>
      </c>
      <c r="T770" s="76">
        <f>50</f>
        <v>50</v>
      </c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</row>
    <row r="771" spans="1:30" ht="15.75" x14ac:dyDescent="0.25">
      <c r="A771" s="32">
        <v>64405</v>
      </c>
      <c r="B771" s="88">
        <f t="shared" si="122"/>
        <v>30</v>
      </c>
      <c r="C771" s="76">
        <f>141.293</f>
        <v>141.29300000000001</v>
      </c>
      <c r="D771" s="76">
        <f>267.993</f>
        <v>267.99299999999999</v>
      </c>
      <c r="E771" s="85">
        <f>115.016</f>
        <v>115.01600000000001</v>
      </c>
      <c r="F771" s="76">
        <f>314.698-40-25-60-100</f>
        <v>89.697999999999979</v>
      </c>
      <c r="G771" s="79">
        <v>40</v>
      </c>
      <c r="H771" s="76">
        <f t="shared" ref="H771:H777" si="127">25+60+100</f>
        <v>185</v>
      </c>
      <c r="I771" s="76">
        <f t="shared" si="125"/>
        <v>0</v>
      </c>
      <c r="J771" s="79">
        <v>100</v>
      </c>
      <c r="K771" s="79">
        <v>300</v>
      </c>
      <c r="L771" s="76">
        <f t="shared" si="117"/>
        <v>1239</v>
      </c>
      <c r="M771" s="87">
        <v>600</v>
      </c>
      <c r="N771" s="76">
        <f>100</f>
        <v>100</v>
      </c>
      <c r="O771" s="79">
        <v>240</v>
      </c>
      <c r="P771" s="79">
        <v>40</v>
      </c>
      <c r="Q771" s="79">
        <f t="shared" si="118"/>
        <v>315</v>
      </c>
      <c r="R771" s="79">
        <f t="shared" si="119"/>
        <v>100</v>
      </c>
      <c r="S771" s="76">
        <f t="shared" si="120"/>
        <v>695</v>
      </c>
      <c r="T771" s="76">
        <f>50</f>
        <v>50</v>
      </c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</row>
    <row r="772" spans="1:30" ht="15.75" x14ac:dyDescent="0.25">
      <c r="A772" s="32">
        <v>64436</v>
      </c>
      <c r="B772" s="88">
        <f t="shared" si="122"/>
        <v>31</v>
      </c>
      <c r="C772" s="76">
        <f>194.205</f>
        <v>194.20500000000001</v>
      </c>
      <c r="D772" s="76">
        <f>267.466</f>
        <v>267.46600000000001</v>
      </c>
      <c r="E772" s="85">
        <f>133.845</f>
        <v>133.845</v>
      </c>
      <c r="F772" s="76">
        <f>278.484-40-25-60-100</f>
        <v>53.48399999999998</v>
      </c>
      <c r="G772" s="79">
        <v>40</v>
      </c>
      <c r="H772" s="76">
        <f t="shared" si="127"/>
        <v>185</v>
      </c>
      <c r="I772" s="76">
        <f t="shared" si="125"/>
        <v>0</v>
      </c>
      <c r="J772" s="79">
        <v>100</v>
      </c>
      <c r="K772" s="79">
        <v>300</v>
      </c>
      <c r="L772" s="76">
        <f t="shared" si="117"/>
        <v>1274</v>
      </c>
      <c r="M772" s="87">
        <v>600</v>
      </c>
      <c r="N772" s="76">
        <f>75</f>
        <v>75</v>
      </c>
      <c r="O772" s="79">
        <v>240</v>
      </c>
      <c r="P772" s="79">
        <v>40</v>
      </c>
      <c r="Q772" s="79">
        <f t="shared" si="118"/>
        <v>315</v>
      </c>
      <c r="R772" s="79">
        <f t="shared" si="119"/>
        <v>100</v>
      </c>
      <c r="S772" s="76">
        <f t="shared" si="120"/>
        <v>695</v>
      </c>
      <c r="T772" s="76">
        <f>50</f>
        <v>50</v>
      </c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</row>
    <row r="773" spans="1:30" ht="15.75" x14ac:dyDescent="0.25">
      <c r="A773" s="32">
        <v>64466</v>
      </c>
      <c r="B773" s="88">
        <f t="shared" si="122"/>
        <v>30</v>
      </c>
      <c r="C773" s="76">
        <f>194.205</f>
        <v>194.20500000000001</v>
      </c>
      <c r="D773" s="76">
        <f>267.466</f>
        <v>267.46600000000001</v>
      </c>
      <c r="E773" s="85">
        <f>133.845</f>
        <v>133.845</v>
      </c>
      <c r="F773" s="76">
        <f>278.484-40-25-60-100</f>
        <v>53.48399999999998</v>
      </c>
      <c r="G773" s="79">
        <v>40</v>
      </c>
      <c r="H773" s="76">
        <f t="shared" si="127"/>
        <v>185</v>
      </c>
      <c r="I773" s="76">
        <f t="shared" si="125"/>
        <v>0</v>
      </c>
      <c r="J773" s="79">
        <v>100</v>
      </c>
      <c r="K773" s="79">
        <v>300</v>
      </c>
      <c r="L773" s="76">
        <f t="shared" si="117"/>
        <v>1274</v>
      </c>
      <c r="M773" s="87">
        <v>600</v>
      </c>
      <c r="N773" s="76">
        <f>30</f>
        <v>30</v>
      </c>
      <c r="O773" s="79">
        <v>240</v>
      </c>
      <c r="P773" s="79">
        <v>40</v>
      </c>
      <c r="Q773" s="79">
        <f t="shared" si="118"/>
        <v>315</v>
      </c>
      <c r="R773" s="79">
        <f t="shared" si="119"/>
        <v>100</v>
      </c>
      <c r="S773" s="76">
        <f t="shared" si="120"/>
        <v>695</v>
      </c>
      <c r="T773" s="76">
        <f>50</f>
        <v>50</v>
      </c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</row>
    <row r="774" spans="1:30" ht="15.75" x14ac:dyDescent="0.25">
      <c r="A774" s="32">
        <v>64497</v>
      </c>
      <c r="B774" s="88">
        <f t="shared" si="122"/>
        <v>31</v>
      </c>
      <c r="C774" s="76">
        <f>194.205</f>
        <v>194.20500000000001</v>
      </c>
      <c r="D774" s="76">
        <f>267.466</f>
        <v>267.46600000000001</v>
      </c>
      <c r="E774" s="85">
        <f>133.845</f>
        <v>133.845</v>
      </c>
      <c r="F774" s="76">
        <f>278.484-40-25-60-100</f>
        <v>53.48399999999998</v>
      </c>
      <c r="G774" s="79">
        <v>40</v>
      </c>
      <c r="H774" s="76">
        <f t="shared" si="127"/>
        <v>185</v>
      </c>
      <c r="I774" s="76">
        <f t="shared" si="125"/>
        <v>0</v>
      </c>
      <c r="J774" s="79">
        <v>100</v>
      </c>
      <c r="K774" s="79">
        <v>300</v>
      </c>
      <c r="L774" s="76">
        <f t="shared" si="117"/>
        <v>1274</v>
      </c>
      <c r="M774" s="87">
        <v>600</v>
      </c>
      <c r="N774" s="76">
        <f>30</f>
        <v>30</v>
      </c>
      <c r="O774" s="79">
        <v>240</v>
      </c>
      <c r="P774" s="79">
        <v>40</v>
      </c>
      <c r="Q774" s="79">
        <f t="shared" si="118"/>
        <v>315</v>
      </c>
      <c r="R774" s="79">
        <f t="shared" si="119"/>
        <v>100</v>
      </c>
      <c r="S774" s="76">
        <f t="shared" si="120"/>
        <v>695</v>
      </c>
      <c r="T774" s="76">
        <f>0</f>
        <v>0</v>
      </c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</row>
    <row r="775" spans="1:30" ht="15.75" x14ac:dyDescent="0.25">
      <c r="A775" s="32">
        <v>64528</v>
      </c>
      <c r="B775" s="88">
        <f t="shared" si="122"/>
        <v>31</v>
      </c>
      <c r="C775" s="76">
        <f>194.205</f>
        <v>194.20500000000001</v>
      </c>
      <c r="D775" s="76">
        <f>267.466</f>
        <v>267.46600000000001</v>
      </c>
      <c r="E775" s="85">
        <f>133.845</f>
        <v>133.845</v>
      </c>
      <c r="F775" s="76">
        <f>278.484-40-25-60-100</f>
        <v>53.48399999999998</v>
      </c>
      <c r="G775" s="79">
        <v>40</v>
      </c>
      <c r="H775" s="76">
        <f t="shared" si="127"/>
        <v>185</v>
      </c>
      <c r="I775" s="76">
        <f t="shared" si="125"/>
        <v>0</v>
      </c>
      <c r="J775" s="79">
        <v>100</v>
      </c>
      <c r="K775" s="79">
        <v>300</v>
      </c>
      <c r="L775" s="76">
        <f t="shared" si="117"/>
        <v>1274</v>
      </c>
      <c r="M775" s="87">
        <v>600</v>
      </c>
      <c r="N775" s="76">
        <f>30</f>
        <v>30</v>
      </c>
      <c r="O775" s="79">
        <v>240</v>
      </c>
      <c r="P775" s="79">
        <v>40</v>
      </c>
      <c r="Q775" s="79">
        <f t="shared" si="118"/>
        <v>315</v>
      </c>
      <c r="R775" s="79">
        <f t="shared" si="119"/>
        <v>100</v>
      </c>
      <c r="S775" s="76">
        <f t="shared" si="120"/>
        <v>695</v>
      </c>
      <c r="T775" s="76">
        <f>0</f>
        <v>0</v>
      </c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</row>
    <row r="776" spans="1:30" ht="15.75" x14ac:dyDescent="0.25">
      <c r="A776" s="32">
        <v>64558</v>
      </c>
      <c r="B776" s="88">
        <f t="shared" si="122"/>
        <v>30</v>
      </c>
      <c r="C776" s="76">
        <f>194.205</f>
        <v>194.20500000000001</v>
      </c>
      <c r="D776" s="76">
        <f>267.466</f>
        <v>267.46600000000001</v>
      </c>
      <c r="E776" s="85">
        <f>133.845</f>
        <v>133.845</v>
      </c>
      <c r="F776" s="76">
        <f>278.484-40-25-60-100</f>
        <v>53.48399999999998</v>
      </c>
      <c r="G776" s="79">
        <v>40</v>
      </c>
      <c r="H776" s="76">
        <f t="shared" si="127"/>
        <v>185</v>
      </c>
      <c r="I776" s="76">
        <f t="shared" si="125"/>
        <v>0</v>
      </c>
      <c r="J776" s="79">
        <v>100</v>
      </c>
      <c r="K776" s="79">
        <v>300</v>
      </c>
      <c r="L776" s="76">
        <f t="shared" si="117"/>
        <v>1274</v>
      </c>
      <c r="M776" s="87">
        <v>600</v>
      </c>
      <c r="N776" s="76">
        <f>30</f>
        <v>30</v>
      </c>
      <c r="O776" s="79">
        <v>240</v>
      </c>
      <c r="P776" s="79">
        <v>40</v>
      </c>
      <c r="Q776" s="79">
        <f t="shared" si="118"/>
        <v>315</v>
      </c>
      <c r="R776" s="79">
        <f t="shared" si="119"/>
        <v>100</v>
      </c>
      <c r="S776" s="76">
        <f t="shared" si="120"/>
        <v>695</v>
      </c>
      <c r="T776" s="76">
        <f>0</f>
        <v>0</v>
      </c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</row>
    <row r="777" spans="1:30" ht="15.75" x14ac:dyDescent="0.25">
      <c r="A777" s="32">
        <v>64589</v>
      </c>
      <c r="B777" s="88">
        <f t="shared" si="122"/>
        <v>31</v>
      </c>
      <c r="C777" s="76">
        <f>131.881</f>
        <v>131.881</v>
      </c>
      <c r="D777" s="76">
        <f>277.167</f>
        <v>277.16699999999997</v>
      </c>
      <c r="E777" s="85">
        <f>79.08</f>
        <v>79.08</v>
      </c>
      <c r="F777" s="76">
        <f>350.872-40-25-60-100</f>
        <v>125.87200000000001</v>
      </c>
      <c r="G777" s="79">
        <v>40</v>
      </c>
      <c r="H777" s="76">
        <f t="shared" si="127"/>
        <v>185</v>
      </c>
      <c r="I777" s="76">
        <f t="shared" si="125"/>
        <v>0</v>
      </c>
      <c r="J777" s="79">
        <v>100</v>
      </c>
      <c r="K777" s="79">
        <v>300</v>
      </c>
      <c r="L777" s="76">
        <f t="shared" si="117"/>
        <v>1239</v>
      </c>
      <c r="M777" s="87">
        <v>600</v>
      </c>
      <c r="N777" s="76">
        <f>75</f>
        <v>75</v>
      </c>
      <c r="O777" s="79">
        <v>240</v>
      </c>
      <c r="P777" s="79">
        <v>40</v>
      </c>
      <c r="Q777" s="79">
        <f t="shared" si="118"/>
        <v>315</v>
      </c>
      <c r="R777" s="79">
        <f t="shared" si="119"/>
        <v>100</v>
      </c>
      <c r="S777" s="76">
        <f t="shared" si="120"/>
        <v>695</v>
      </c>
      <c r="T777" s="76">
        <f>0</f>
        <v>0</v>
      </c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</row>
    <row r="778" spans="1:30" ht="15.75" x14ac:dyDescent="0.25">
      <c r="A778" s="32">
        <v>64619</v>
      </c>
      <c r="B778" s="88">
        <f t="shared" si="122"/>
        <v>30</v>
      </c>
      <c r="C778" s="76">
        <f>122.58</f>
        <v>122.58</v>
      </c>
      <c r="D778" s="76">
        <f>297.941</f>
        <v>297.94099999999997</v>
      </c>
      <c r="E778" s="85">
        <f>89.177</f>
        <v>89.177000000000007</v>
      </c>
      <c r="F778" s="76">
        <f>240.302-40-60-100</f>
        <v>40.301999999999992</v>
      </c>
      <c r="G778" s="79">
        <v>40</v>
      </c>
      <c r="H778" s="76">
        <f>60+100</f>
        <v>160</v>
      </c>
      <c r="I778" s="76">
        <f t="shared" si="125"/>
        <v>0</v>
      </c>
      <c r="J778" s="79">
        <v>100</v>
      </c>
      <c r="K778" s="79">
        <v>300</v>
      </c>
      <c r="L778" s="76">
        <f t="shared" si="117"/>
        <v>1150</v>
      </c>
      <c r="M778" s="87">
        <v>600</v>
      </c>
      <c r="N778" s="76">
        <f>100</f>
        <v>100</v>
      </c>
      <c r="O778" s="79">
        <v>240</v>
      </c>
      <c r="P778" s="79">
        <v>40</v>
      </c>
      <c r="Q778" s="79">
        <f t="shared" si="118"/>
        <v>315</v>
      </c>
      <c r="R778" s="79">
        <f t="shared" si="119"/>
        <v>100</v>
      </c>
      <c r="S778" s="76">
        <f t="shared" si="120"/>
        <v>695</v>
      </c>
      <c r="T778" s="76">
        <f>50</f>
        <v>50</v>
      </c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</row>
    <row r="779" spans="1:30" ht="15.75" x14ac:dyDescent="0.25">
      <c r="A779" s="32">
        <v>64650</v>
      </c>
      <c r="B779" s="88">
        <f t="shared" si="122"/>
        <v>31</v>
      </c>
      <c r="C779" s="76">
        <f>122.58</f>
        <v>122.58</v>
      </c>
      <c r="D779" s="76">
        <f>297.941</f>
        <v>297.94099999999997</v>
      </c>
      <c r="E779" s="85">
        <f>89.177</f>
        <v>89.177000000000007</v>
      </c>
      <c r="F779" s="76">
        <f>240.302-40-60-100</f>
        <v>40.301999999999992</v>
      </c>
      <c r="G779" s="79">
        <v>40</v>
      </c>
      <c r="H779" s="76">
        <f>60+100</f>
        <v>160</v>
      </c>
      <c r="I779" s="76">
        <f t="shared" si="125"/>
        <v>0</v>
      </c>
      <c r="J779" s="79">
        <v>100</v>
      </c>
      <c r="K779" s="79">
        <v>300</v>
      </c>
      <c r="L779" s="76">
        <f t="shared" si="117"/>
        <v>1150</v>
      </c>
      <c r="M779" s="87">
        <v>600</v>
      </c>
      <c r="N779" s="76">
        <f>100</f>
        <v>100</v>
      </c>
      <c r="O779" s="79">
        <v>240</v>
      </c>
      <c r="P779" s="79">
        <v>40</v>
      </c>
      <c r="Q779" s="79">
        <f t="shared" si="118"/>
        <v>315</v>
      </c>
      <c r="R779" s="79">
        <f t="shared" si="119"/>
        <v>100</v>
      </c>
      <c r="S779" s="76">
        <f t="shared" si="120"/>
        <v>695</v>
      </c>
      <c r="T779" s="76">
        <f>50</f>
        <v>50</v>
      </c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</row>
    <row r="780" spans="1:30" ht="15.75" x14ac:dyDescent="0.25">
      <c r="A780" s="32">
        <v>64681</v>
      </c>
      <c r="B780" s="88">
        <f t="shared" si="122"/>
        <v>31</v>
      </c>
      <c r="C780" s="76">
        <f>122.58</f>
        <v>122.58</v>
      </c>
      <c r="D780" s="76">
        <f>297.941</f>
        <v>297.94099999999997</v>
      </c>
      <c r="E780" s="85">
        <f>89.177</f>
        <v>89.177000000000007</v>
      </c>
      <c r="F780" s="76">
        <f>240.302-40-60-100</f>
        <v>40.301999999999992</v>
      </c>
      <c r="G780" s="79">
        <v>40</v>
      </c>
      <c r="H780" s="76">
        <f>60+100</f>
        <v>160</v>
      </c>
      <c r="I780" s="76">
        <f t="shared" si="125"/>
        <v>0</v>
      </c>
      <c r="J780" s="79">
        <v>100</v>
      </c>
      <c r="K780" s="79">
        <v>300</v>
      </c>
      <c r="L780" s="76">
        <f t="shared" si="117"/>
        <v>1150</v>
      </c>
      <c r="M780" s="87">
        <v>600</v>
      </c>
      <c r="N780" s="76">
        <f>100</f>
        <v>100</v>
      </c>
      <c r="O780" s="79">
        <v>240</v>
      </c>
      <c r="P780" s="79">
        <v>40</v>
      </c>
      <c r="Q780" s="79">
        <f t="shared" si="118"/>
        <v>315</v>
      </c>
      <c r="R780" s="79">
        <f t="shared" si="119"/>
        <v>100</v>
      </c>
      <c r="S780" s="76">
        <f t="shared" si="120"/>
        <v>695</v>
      </c>
      <c r="T780" s="76">
        <f>50</f>
        <v>50</v>
      </c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</row>
    <row r="781" spans="1:30" ht="15.75" x14ac:dyDescent="0.25">
      <c r="A781" s="32">
        <v>64709</v>
      </c>
      <c r="B781" s="88">
        <f t="shared" si="122"/>
        <v>28</v>
      </c>
      <c r="C781" s="76">
        <f>122.58</f>
        <v>122.58</v>
      </c>
      <c r="D781" s="76">
        <f>297.941</f>
        <v>297.94099999999997</v>
      </c>
      <c r="E781" s="85">
        <f>89.177</f>
        <v>89.177000000000007</v>
      </c>
      <c r="F781" s="76">
        <f>240.302-40-60-100</f>
        <v>40.301999999999992</v>
      </c>
      <c r="G781" s="79">
        <v>40</v>
      </c>
      <c r="H781" s="76">
        <f>60+100</f>
        <v>160</v>
      </c>
      <c r="I781" s="76">
        <f t="shared" si="125"/>
        <v>0</v>
      </c>
      <c r="J781" s="79">
        <v>100</v>
      </c>
      <c r="K781" s="79">
        <v>300</v>
      </c>
      <c r="L781" s="76">
        <f t="shared" si="117"/>
        <v>1150</v>
      </c>
      <c r="M781" s="87">
        <v>600</v>
      </c>
      <c r="N781" s="76">
        <f>100</f>
        <v>100</v>
      </c>
      <c r="O781" s="79">
        <v>240</v>
      </c>
      <c r="P781" s="79">
        <v>40</v>
      </c>
      <c r="Q781" s="79">
        <f t="shared" si="118"/>
        <v>315</v>
      </c>
      <c r="R781" s="79">
        <f t="shared" si="119"/>
        <v>100</v>
      </c>
      <c r="S781" s="76">
        <f t="shared" si="120"/>
        <v>695</v>
      </c>
      <c r="T781" s="76">
        <f>50</f>
        <v>50</v>
      </c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</row>
    <row r="782" spans="1:30" ht="15.75" x14ac:dyDescent="0.25">
      <c r="A782" s="32">
        <v>64740</v>
      </c>
      <c r="B782" s="88">
        <f t="shared" si="122"/>
        <v>31</v>
      </c>
      <c r="C782" s="76">
        <f>122.58</f>
        <v>122.58</v>
      </c>
      <c r="D782" s="76">
        <f>297.941</f>
        <v>297.94099999999997</v>
      </c>
      <c r="E782" s="85">
        <f>89.177</f>
        <v>89.177000000000007</v>
      </c>
      <c r="F782" s="76">
        <f>240.302-40-60-100</f>
        <v>40.301999999999992</v>
      </c>
      <c r="G782" s="79">
        <v>40</v>
      </c>
      <c r="H782" s="76">
        <f>60+100</f>
        <v>160</v>
      </c>
      <c r="I782" s="76">
        <f t="shared" si="125"/>
        <v>0</v>
      </c>
      <c r="J782" s="79">
        <v>100</v>
      </c>
      <c r="K782" s="79">
        <v>300</v>
      </c>
      <c r="L782" s="76">
        <f t="shared" si="117"/>
        <v>1150</v>
      </c>
      <c r="M782" s="87">
        <v>600</v>
      </c>
      <c r="N782" s="76">
        <f>100</f>
        <v>100</v>
      </c>
      <c r="O782" s="79">
        <v>240</v>
      </c>
      <c r="P782" s="79">
        <v>40</v>
      </c>
      <c r="Q782" s="79">
        <f t="shared" si="118"/>
        <v>315</v>
      </c>
      <c r="R782" s="79">
        <f t="shared" si="119"/>
        <v>100</v>
      </c>
      <c r="S782" s="76">
        <f t="shared" si="120"/>
        <v>695</v>
      </c>
      <c r="T782" s="76">
        <f>50</f>
        <v>50</v>
      </c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</row>
    <row r="783" spans="1:30" ht="15.75" x14ac:dyDescent="0.25">
      <c r="A783" s="32">
        <v>64770</v>
      </c>
      <c r="B783" s="88">
        <f t="shared" si="122"/>
        <v>30</v>
      </c>
      <c r="C783" s="76">
        <f>141.293</f>
        <v>141.29300000000001</v>
      </c>
      <c r="D783" s="76">
        <f>267.993</f>
        <v>267.99299999999999</v>
      </c>
      <c r="E783" s="85">
        <f>115.016</f>
        <v>115.01600000000001</v>
      </c>
      <c r="F783" s="76">
        <f>314.698-40-25-60-100</f>
        <v>89.697999999999979</v>
      </c>
      <c r="G783" s="79">
        <v>40</v>
      </c>
      <c r="H783" s="76">
        <f t="shared" ref="H783:H789" si="128">25+60+100</f>
        <v>185</v>
      </c>
      <c r="I783" s="76">
        <f t="shared" si="125"/>
        <v>0</v>
      </c>
      <c r="J783" s="79">
        <v>100</v>
      </c>
      <c r="K783" s="79">
        <v>300</v>
      </c>
      <c r="L783" s="76">
        <f t="shared" si="117"/>
        <v>1239</v>
      </c>
      <c r="M783" s="87">
        <v>600</v>
      </c>
      <c r="N783" s="76">
        <f>100</f>
        <v>100</v>
      </c>
      <c r="O783" s="79">
        <v>240</v>
      </c>
      <c r="P783" s="79">
        <v>40</v>
      </c>
      <c r="Q783" s="79">
        <f t="shared" si="118"/>
        <v>315</v>
      </c>
      <c r="R783" s="79">
        <f t="shared" si="119"/>
        <v>100</v>
      </c>
      <c r="S783" s="76">
        <f t="shared" si="120"/>
        <v>695</v>
      </c>
      <c r="T783" s="76">
        <f>50</f>
        <v>50</v>
      </c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</row>
    <row r="784" spans="1:30" ht="15.75" x14ac:dyDescent="0.25">
      <c r="A784" s="32">
        <v>64801</v>
      </c>
      <c r="B784" s="88">
        <f t="shared" si="122"/>
        <v>31</v>
      </c>
      <c r="C784" s="76">
        <f>194.205</f>
        <v>194.20500000000001</v>
      </c>
      <c r="D784" s="76">
        <f>267.466</f>
        <v>267.46600000000001</v>
      </c>
      <c r="E784" s="85">
        <f>133.845</f>
        <v>133.845</v>
      </c>
      <c r="F784" s="76">
        <f>278.484-40-25-60-100</f>
        <v>53.48399999999998</v>
      </c>
      <c r="G784" s="79">
        <v>40</v>
      </c>
      <c r="H784" s="76">
        <f t="shared" si="128"/>
        <v>185</v>
      </c>
      <c r="I784" s="76">
        <f t="shared" si="125"/>
        <v>0</v>
      </c>
      <c r="J784" s="79">
        <v>100</v>
      </c>
      <c r="K784" s="79">
        <v>300</v>
      </c>
      <c r="L784" s="76">
        <f t="shared" ref="L784:L847" si="129">SUM(C784:K784)</f>
        <v>1274</v>
      </c>
      <c r="M784" s="87">
        <v>600</v>
      </c>
      <c r="N784" s="76">
        <f>75</f>
        <v>75</v>
      </c>
      <c r="O784" s="79">
        <v>240</v>
      </c>
      <c r="P784" s="79">
        <v>40</v>
      </c>
      <c r="Q784" s="79">
        <f t="shared" ref="Q784:Q847" si="130">695-R784-O784-P784</f>
        <v>315</v>
      </c>
      <c r="R784" s="79">
        <f t="shared" ref="R784:R847" si="131">200-J784</f>
        <v>100</v>
      </c>
      <c r="S784" s="76">
        <f t="shared" ref="S784:S847" si="132">SUM(O784:R784)</f>
        <v>695</v>
      </c>
      <c r="T784" s="76">
        <f>50</f>
        <v>50</v>
      </c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</row>
    <row r="785" spans="1:30" ht="15.75" x14ac:dyDescent="0.25">
      <c r="A785" s="32">
        <v>64831</v>
      </c>
      <c r="B785" s="88">
        <f t="shared" si="122"/>
        <v>30</v>
      </c>
      <c r="C785" s="76">
        <f>194.205</f>
        <v>194.20500000000001</v>
      </c>
      <c r="D785" s="76">
        <f>267.466</f>
        <v>267.46600000000001</v>
      </c>
      <c r="E785" s="85">
        <f>133.845</f>
        <v>133.845</v>
      </c>
      <c r="F785" s="76">
        <f>278.484-40-25-60-100</f>
        <v>53.48399999999998</v>
      </c>
      <c r="G785" s="79">
        <v>40</v>
      </c>
      <c r="H785" s="76">
        <f t="shared" si="128"/>
        <v>185</v>
      </c>
      <c r="I785" s="76">
        <f t="shared" si="125"/>
        <v>0</v>
      </c>
      <c r="J785" s="79">
        <v>100</v>
      </c>
      <c r="K785" s="79">
        <v>300</v>
      </c>
      <c r="L785" s="76">
        <f t="shared" si="129"/>
        <v>1274</v>
      </c>
      <c r="M785" s="87">
        <v>600</v>
      </c>
      <c r="N785" s="76">
        <f>30</f>
        <v>30</v>
      </c>
      <c r="O785" s="79">
        <v>240</v>
      </c>
      <c r="P785" s="79">
        <v>40</v>
      </c>
      <c r="Q785" s="79">
        <f t="shared" si="130"/>
        <v>315</v>
      </c>
      <c r="R785" s="79">
        <f t="shared" si="131"/>
        <v>100</v>
      </c>
      <c r="S785" s="76">
        <f t="shared" si="132"/>
        <v>695</v>
      </c>
      <c r="T785" s="76">
        <f>50</f>
        <v>50</v>
      </c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</row>
    <row r="786" spans="1:30" ht="15.75" x14ac:dyDescent="0.25">
      <c r="A786" s="32">
        <v>64862</v>
      </c>
      <c r="B786" s="88">
        <f t="shared" si="122"/>
        <v>31</v>
      </c>
      <c r="C786" s="76">
        <f>194.205</f>
        <v>194.20500000000001</v>
      </c>
      <c r="D786" s="76">
        <f>267.466</f>
        <v>267.46600000000001</v>
      </c>
      <c r="E786" s="85">
        <f>133.845</f>
        <v>133.845</v>
      </c>
      <c r="F786" s="76">
        <f>278.484-40-25-60-100</f>
        <v>53.48399999999998</v>
      </c>
      <c r="G786" s="79">
        <v>40</v>
      </c>
      <c r="H786" s="76">
        <f t="shared" si="128"/>
        <v>185</v>
      </c>
      <c r="I786" s="76">
        <f t="shared" si="125"/>
        <v>0</v>
      </c>
      <c r="J786" s="79">
        <v>100</v>
      </c>
      <c r="K786" s="79">
        <v>300</v>
      </c>
      <c r="L786" s="76">
        <f t="shared" si="129"/>
        <v>1274</v>
      </c>
      <c r="M786" s="87">
        <v>600</v>
      </c>
      <c r="N786" s="76">
        <f>30</f>
        <v>30</v>
      </c>
      <c r="O786" s="79">
        <v>240</v>
      </c>
      <c r="P786" s="79">
        <v>40</v>
      </c>
      <c r="Q786" s="79">
        <f t="shared" si="130"/>
        <v>315</v>
      </c>
      <c r="R786" s="79">
        <f t="shared" si="131"/>
        <v>100</v>
      </c>
      <c r="S786" s="76">
        <f t="shared" si="132"/>
        <v>695</v>
      </c>
      <c r="T786" s="76">
        <f>0</f>
        <v>0</v>
      </c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</row>
    <row r="787" spans="1:30" ht="15.75" x14ac:dyDescent="0.25">
      <c r="A787" s="32">
        <v>64893</v>
      </c>
      <c r="B787" s="88">
        <f t="shared" si="122"/>
        <v>31</v>
      </c>
      <c r="C787" s="76">
        <f>194.205</f>
        <v>194.20500000000001</v>
      </c>
      <c r="D787" s="76">
        <f>267.466</f>
        <v>267.46600000000001</v>
      </c>
      <c r="E787" s="85">
        <f>133.845</f>
        <v>133.845</v>
      </c>
      <c r="F787" s="76">
        <f>278.484-40-25-60-100</f>
        <v>53.48399999999998</v>
      </c>
      <c r="G787" s="79">
        <v>40</v>
      </c>
      <c r="H787" s="76">
        <f t="shared" si="128"/>
        <v>185</v>
      </c>
      <c r="I787" s="76">
        <f t="shared" si="125"/>
        <v>0</v>
      </c>
      <c r="J787" s="79">
        <v>100</v>
      </c>
      <c r="K787" s="79">
        <v>300</v>
      </c>
      <c r="L787" s="76">
        <f t="shared" si="129"/>
        <v>1274</v>
      </c>
      <c r="M787" s="87">
        <v>600</v>
      </c>
      <c r="N787" s="76">
        <f>30</f>
        <v>30</v>
      </c>
      <c r="O787" s="79">
        <v>240</v>
      </c>
      <c r="P787" s="79">
        <v>40</v>
      </c>
      <c r="Q787" s="79">
        <f t="shared" si="130"/>
        <v>315</v>
      </c>
      <c r="R787" s="79">
        <f t="shared" si="131"/>
        <v>100</v>
      </c>
      <c r="S787" s="76">
        <f t="shared" si="132"/>
        <v>695</v>
      </c>
      <c r="T787" s="76">
        <f>0</f>
        <v>0</v>
      </c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</row>
    <row r="788" spans="1:30" ht="15.75" x14ac:dyDescent="0.25">
      <c r="A788" s="32">
        <v>64923</v>
      </c>
      <c r="B788" s="88">
        <f t="shared" si="122"/>
        <v>30</v>
      </c>
      <c r="C788" s="76">
        <f>194.205</f>
        <v>194.20500000000001</v>
      </c>
      <c r="D788" s="76">
        <f>267.466</f>
        <v>267.46600000000001</v>
      </c>
      <c r="E788" s="85">
        <f>133.845</f>
        <v>133.845</v>
      </c>
      <c r="F788" s="76">
        <f>278.484-40-25-60-100</f>
        <v>53.48399999999998</v>
      </c>
      <c r="G788" s="79">
        <v>40</v>
      </c>
      <c r="H788" s="76">
        <f t="shared" si="128"/>
        <v>185</v>
      </c>
      <c r="I788" s="76">
        <f t="shared" si="125"/>
        <v>0</v>
      </c>
      <c r="J788" s="79">
        <v>100</v>
      </c>
      <c r="K788" s="79">
        <v>300</v>
      </c>
      <c r="L788" s="76">
        <f t="shared" si="129"/>
        <v>1274</v>
      </c>
      <c r="M788" s="87">
        <v>600</v>
      </c>
      <c r="N788" s="76">
        <f>30</f>
        <v>30</v>
      </c>
      <c r="O788" s="79">
        <v>240</v>
      </c>
      <c r="P788" s="79">
        <v>40</v>
      </c>
      <c r="Q788" s="79">
        <f t="shared" si="130"/>
        <v>315</v>
      </c>
      <c r="R788" s="79">
        <f t="shared" si="131"/>
        <v>100</v>
      </c>
      <c r="S788" s="76">
        <f t="shared" si="132"/>
        <v>695</v>
      </c>
      <c r="T788" s="76">
        <f>0</f>
        <v>0</v>
      </c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</row>
    <row r="789" spans="1:30" ht="15.75" x14ac:dyDescent="0.25">
      <c r="A789" s="32">
        <v>64954</v>
      </c>
      <c r="B789" s="88">
        <f t="shared" si="122"/>
        <v>31</v>
      </c>
      <c r="C789" s="76">
        <f>131.881</f>
        <v>131.881</v>
      </c>
      <c r="D789" s="76">
        <f>277.167</f>
        <v>277.16699999999997</v>
      </c>
      <c r="E789" s="85">
        <f>79.08</f>
        <v>79.08</v>
      </c>
      <c r="F789" s="76">
        <f>350.872-40-25-60-100</f>
        <v>125.87200000000001</v>
      </c>
      <c r="G789" s="79">
        <v>40</v>
      </c>
      <c r="H789" s="76">
        <f t="shared" si="128"/>
        <v>185</v>
      </c>
      <c r="I789" s="76">
        <f t="shared" si="125"/>
        <v>0</v>
      </c>
      <c r="J789" s="79">
        <v>100</v>
      </c>
      <c r="K789" s="79">
        <v>300</v>
      </c>
      <c r="L789" s="76">
        <f t="shared" si="129"/>
        <v>1239</v>
      </c>
      <c r="M789" s="87">
        <v>600</v>
      </c>
      <c r="N789" s="76">
        <f>75</f>
        <v>75</v>
      </c>
      <c r="O789" s="79">
        <v>240</v>
      </c>
      <c r="P789" s="79">
        <v>40</v>
      </c>
      <c r="Q789" s="79">
        <f t="shared" si="130"/>
        <v>315</v>
      </c>
      <c r="R789" s="79">
        <f t="shared" si="131"/>
        <v>100</v>
      </c>
      <c r="S789" s="76">
        <f t="shared" si="132"/>
        <v>695</v>
      </c>
      <c r="T789" s="76">
        <f>0</f>
        <v>0</v>
      </c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</row>
    <row r="790" spans="1:30" ht="15.75" x14ac:dyDescent="0.25">
      <c r="A790" s="32">
        <v>64984</v>
      </c>
      <c r="B790" s="88">
        <f t="shared" si="122"/>
        <v>30</v>
      </c>
      <c r="C790" s="76">
        <f>122.58</f>
        <v>122.58</v>
      </c>
      <c r="D790" s="76">
        <f>297.941</f>
        <v>297.94099999999997</v>
      </c>
      <c r="E790" s="85">
        <f>89.177</f>
        <v>89.177000000000007</v>
      </c>
      <c r="F790" s="76">
        <f>240.302-40-60-100</f>
        <v>40.301999999999992</v>
      </c>
      <c r="G790" s="79">
        <v>40</v>
      </c>
      <c r="H790" s="76">
        <f>60+100</f>
        <v>160</v>
      </c>
      <c r="I790" s="76">
        <f t="shared" si="125"/>
        <v>0</v>
      </c>
      <c r="J790" s="79">
        <v>100</v>
      </c>
      <c r="K790" s="79">
        <v>300</v>
      </c>
      <c r="L790" s="76">
        <f t="shared" si="129"/>
        <v>1150</v>
      </c>
      <c r="M790" s="87">
        <v>600</v>
      </c>
      <c r="N790" s="76">
        <f>100</f>
        <v>100</v>
      </c>
      <c r="O790" s="79">
        <v>240</v>
      </c>
      <c r="P790" s="79">
        <v>40</v>
      </c>
      <c r="Q790" s="79">
        <f t="shared" si="130"/>
        <v>315</v>
      </c>
      <c r="R790" s="79">
        <f t="shared" si="131"/>
        <v>100</v>
      </c>
      <c r="S790" s="76">
        <f t="shared" si="132"/>
        <v>695</v>
      </c>
      <c r="T790" s="76">
        <f>50</f>
        <v>50</v>
      </c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</row>
    <row r="791" spans="1:30" ht="15.75" x14ac:dyDescent="0.25">
      <c r="A791" s="32">
        <v>65015</v>
      </c>
      <c r="B791" s="88">
        <f t="shared" si="122"/>
        <v>31</v>
      </c>
      <c r="C791" s="76">
        <f>122.58</f>
        <v>122.58</v>
      </c>
      <c r="D791" s="76">
        <f>297.941</f>
        <v>297.94099999999997</v>
      </c>
      <c r="E791" s="85">
        <f>89.177</f>
        <v>89.177000000000007</v>
      </c>
      <c r="F791" s="76">
        <f>240.302-40-60-100</f>
        <v>40.301999999999992</v>
      </c>
      <c r="G791" s="79">
        <v>40</v>
      </c>
      <c r="H791" s="76">
        <f>60+100</f>
        <v>160</v>
      </c>
      <c r="I791" s="76">
        <f t="shared" si="125"/>
        <v>0</v>
      </c>
      <c r="J791" s="79">
        <v>100</v>
      </c>
      <c r="K791" s="79">
        <v>300</v>
      </c>
      <c r="L791" s="76">
        <f t="shared" si="129"/>
        <v>1150</v>
      </c>
      <c r="M791" s="87">
        <v>600</v>
      </c>
      <c r="N791" s="76">
        <f>100</f>
        <v>100</v>
      </c>
      <c r="O791" s="79">
        <v>240</v>
      </c>
      <c r="P791" s="79">
        <v>40</v>
      </c>
      <c r="Q791" s="79">
        <f t="shared" si="130"/>
        <v>315</v>
      </c>
      <c r="R791" s="79">
        <f t="shared" si="131"/>
        <v>100</v>
      </c>
      <c r="S791" s="76">
        <f t="shared" si="132"/>
        <v>695</v>
      </c>
      <c r="T791" s="76">
        <f>50</f>
        <v>50</v>
      </c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</row>
    <row r="792" spans="1:30" ht="15.75" x14ac:dyDescent="0.25">
      <c r="A792" s="32">
        <v>65046</v>
      </c>
      <c r="B792" s="88">
        <f t="shared" ref="B792:B855" si="133">EOMONTH(A792,0)-EOMONTH(A792,-1)</f>
        <v>31</v>
      </c>
      <c r="C792" s="76">
        <f>122.58</f>
        <v>122.58</v>
      </c>
      <c r="D792" s="76">
        <f>297.941</f>
        <v>297.94099999999997</v>
      </c>
      <c r="E792" s="85">
        <f>89.177</f>
        <v>89.177000000000007</v>
      </c>
      <c r="F792" s="76">
        <f>240.302-40-60-100</f>
        <v>40.301999999999992</v>
      </c>
      <c r="G792" s="79">
        <v>40</v>
      </c>
      <c r="H792" s="76">
        <f>60+100</f>
        <v>160</v>
      </c>
      <c r="I792" s="76">
        <f t="shared" si="125"/>
        <v>0</v>
      </c>
      <c r="J792" s="79">
        <v>100</v>
      </c>
      <c r="K792" s="79">
        <v>300</v>
      </c>
      <c r="L792" s="76">
        <f t="shared" si="129"/>
        <v>1150</v>
      </c>
      <c r="M792" s="87">
        <v>600</v>
      </c>
      <c r="N792" s="76">
        <f>100</f>
        <v>100</v>
      </c>
      <c r="O792" s="79">
        <v>240</v>
      </c>
      <c r="P792" s="79">
        <v>40</v>
      </c>
      <c r="Q792" s="79">
        <f t="shared" si="130"/>
        <v>315</v>
      </c>
      <c r="R792" s="79">
        <f t="shared" si="131"/>
        <v>100</v>
      </c>
      <c r="S792" s="76">
        <f t="shared" si="132"/>
        <v>695</v>
      </c>
      <c r="T792" s="76">
        <f>50</f>
        <v>50</v>
      </c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</row>
    <row r="793" spans="1:30" ht="15.75" x14ac:dyDescent="0.25">
      <c r="A793" s="32">
        <v>65074</v>
      </c>
      <c r="B793" s="88">
        <f t="shared" si="133"/>
        <v>28</v>
      </c>
      <c r="C793" s="76">
        <f>122.58</f>
        <v>122.58</v>
      </c>
      <c r="D793" s="76">
        <f>297.941</f>
        <v>297.94099999999997</v>
      </c>
      <c r="E793" s="85">
        <f>89.177</f>
        <v>89.177000000000007</v>
      </c>
      <c r="F793" s="76">
        <f>240.302-40-60-100</f>
        <v>40.301999999999992</v>
      </c>
      <c r="G793" s="79">
        <v>40</v>
      </c>
      <c r="H793" s="76">
        <f>60+100</f>
        <v>160</v>
      </c>
      <c r="I793" s="76">
        <f t="shared" si="125"/>
        <v>0</v>
      </c>
      <c r="J793" s="79">
        <v>100</v>
      </c>
      <c r="K793" s="79">
        <v>300</v>
      </c>
      <c r="L793" s="76">
        <f t="shared" si="129"/>
        <v>1150</v>
      </c>
      <c r="M793" s="87">
        <v>600</v>
      </c>
      <c r="N793" s="76">
        <f>100</f>
        <v>100</v>
      </c>
      <c r="O793" s="79">
        <v>240</v>
      </c>
      <c r="P793" s="79">
        <v>40</v>
      </c>
      <c r="Q793" s="79">
        <f t="shared" si="130"/>
        <v>315</v>
      </c>
      <c r="R793" s="79">
        <f t="shared" si="131"/>
        <v>100</v>
      </c>
      <c r="S793" s="76">
        <f t="shared" si="132"/>
        <v>695</v>
      </c>
      <c r="T793" s="76">
        <f>50</f>
        <v>50</v>
      </c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</row>
    <row r="794" spans="1:30" ht="15.75" x14ac:dyDescent="0.25">
      <c r="A794" s="32">
        <v>65105</v>
      </c>
      <c r="B794" s="88">
        <f t="shared" si="133"/>
        <v>31</v>
      </c>
      <c r="C794" s="76">
        <f>122.58</f>
        <v>122.58</v>
      </c>
      <c r="D794" s="76">
        <f>297.941</f>
        <v>297.94099999999997</v>
      </c>
      <c r="E794" s="85">
        <f>89.177</f>
        <v>89.177000000000007</v>
      </c>
      <c r="F794" s="76">
        <f>240.302-40-60-100</f>
        <v>40.301999999999992</v>
      </c>
      <c r="G794" s="79">
        <v>40</v>
      </c>
      <c r="H794" s="76">
        <f>60+100</f>
        <v>160</v>
      </c>
      <c r="I794" s="76">
        <f t="shared" si="125"/>
        <v>0</v>
      </c>
      <c r="J794" s="79">
        <v>100</v>
      </c>
      <c r="K794" s="79">
        <v>300</v>
      </c>
      <c r="L794" s="76">
        <f t="shared" si="129"/>
        <v>1150</v>
      </c>
      <c r="M794" s="87">
        <v>600</v>
      </c>
      <c r="N794" s="76">
        <f>100</f>
        <v>100</v>
      </c>
      <c r="O794" s="79">
        <v>240</v>
      </c>
      <c r="P794" s="79">
        <v>40</v>
      </c>
      <c r="Q794" s="79">
        <f t="shared" si="130"/>
        <v>315</v>
      </c>
      <c r="R794" s="79">
        <f t="shared" si="131"/>
        <v>100</v>
      </c>
      <c r="S794" s="76">
        <f t="shared" si="132"/>
        <v>695</v>
      </c>
      <c r="T794" s="76">
        <f>50</f>
        <v>50</v>
      </c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</row>
    <row r="795" spans="1:30" ht="15.75" x14ac:dyDescent="0.25">
      <c r="A795" s="32">
        <v>65135</v>
      </c>
      <c r="B795" s="88">
        <f t="shared" si="133"/>
        <v>30</v>
      </c>
      <c r="C795" s="76">
        <f>141.293</f>
        <v>141.29300000000001</v>
      </c>
      <c r="D795" s="76">
        <f>267.993</f>
        <v>267.99299999999999</v>
      </c>
      <c r="E795" s="85">
        <f>115.016</f>
        <v>115.01600000000001</v>
      </c>
      <c r="F795" s="76">
        <f>314.698-40-25-60-100</f>
        <v>89.697999999999979</v>
      </c>
      <c r="G795" s="79">
        <v>40</v>
      </c>
      <c r="H795" s="76">
        <f t="shared" ref="H795:H801" si="134">25+60+100</f>
        <v>185</v>
      </c>
      <c r="I795" s="76">
        <f t="shared" si="125"/>
        <v>0</v>
      </c>
      <c r="J795" s="79">
        <v>100</v>
      </c>
      <c r="K795" s="79">
        <v>300</v>
      </c>
      <c r="L795" s="76">
        <f t="shared" si="129"/>
        <v>1239</v>
      </c>
      <c r="M795" s="87">
        <v>600</v>
      </c>
      <c r="N795" s="76">
        <f>100</f>
        <v>100</v>
      </c>
      <c r="O795" s="79">
        <v>240</v>
      </c>
      <c r="P795" s="79">
        <v>40</v>
      </c>
      <c r="Q795" s="79">
        <f t="shared" si="130"/>
        <v>315</v>
      </c>
      <c r="R795" s="79">
        <f t="shared" si="131"/>
        <v>100</v>
      </c>
      <c r="S795" s="76">
        <f t="shared" si="132"/>
        <v>695</v>
      </c>
      <c r="T795" s="76">
        <f>50</f>
        <v>50</v>
      </c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</row>
    <row r="796" spans="1:30" ht="15.75" x14ac:dyDescent="0.25">
      <c r="A796" s="32">
        <v>65166</v>
      </c>
      <c r="B796" s="88">
        <f t="shared" si="133"/>
        <v>31</v>
      </c>
      <c r="C796" s="76">
        <f>194.205</f>
        <v>194.20500000000001</v>
      </c>
      <c r="D796" s="76">
        <f>267.466</f>
        <v>267.46600000000001</v>
      </c>
      <c r="E796" s="85">
        <f>133.845</f>
        <v>133.845</v>
      </c>
      <c r="F796" s="76">
        <f>278.484-40-25-60-100</f>
        <v>53.48399999999998</v>
      </c>
      <c r="G796" s="79">
        <v>40</v>
      </c>
      <c r="H796" s="76">
        <f t="shared" si="134"/>
        <v>185</v>
      </c>
      <c r="I796" s="76">
        <f t="shared" si="125"/>
        <v>0</v>
      </c>
      <c r="J796" s="79">
        <v>100</v>
      </c>
      <c r="K796" s="79">
        <v>300</v>
      </c>
      <c r="L796" s="76">
        <f t="shared" si="129"/>
        <v>1274</v>
      </c>
      <c r="M796" s="87">
        <v>600</v>
      </c>
      <c r="N796" s="76">
        <f>75</f>
        <v>75</v>
      </c>
      <c r="O796" s="79">
        <v>240</v>
      </c>
      <c r="P796" s="79">
        <v>40</v>
      </c>
      <c r="Q796" s="79">
        <f t="shared" si="130"/>
        <v>315</v>
      </c>
      <c r="R796" s="79">
        <f t="shared" si="131"/>
        <v>100</v>
      </c>
      <c r="S796" s="76">
        <f t="shared" si="132"/>
        <v>695</v>
      </c>
      <c r="T796" s="76">
        <f>50</f>
        <v>50</v>
      </c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</row>
    <row r="797" spans="1:30" ht="15.75" x14ac:dyDescent="0.25">
      <c r="A797" s="32">
        <v>65196</v>
      </c>
      <c r="B797" s="88">
        <f t="shared" si="133"/>
        <v>30</v>
      </c>
      <c r="C797" s="76">
        <f>194.205</f>
        <v>194.20500000000001</v>
      </c>
      <c r="D797" s="76">
        <f>267.466</f>
        <v>267.46600000000001</v>
      </c>
      <c r="E797" s="85">
        <f>133.845</f>
        <v>133.845</v>
      </c>
      <c r="F797" s="76">
        <f>278.484-40-25-60-100</f>
        <v>53.48399999999998</v>
      </c>
      <c r="G797" s="79">
        <v>40</v>
      </c>
      <c r="H797" s="76">
        <f t="shared" si="134"/>
        <v>185</v>
      </c>
      <c r="I797" s="76">
        <f t="shared" si="125"/>
        <v>0</v>
      </c>
      <c r="J797" s="79">
        <v>100</v>
      </c>
      <c r="K797" s="79">
        <v>300</v>
      </c>
      <c r="L797" s="76">
        <f t="shared" si="129"/>
        <v>1274</v>
      </c>
      <c r="M797" s="87">
        <v>600</v>
      </c>
      <c r="N797" s="76">
        <f>30</f>
        <v>30</v>
      </c>
      <c r="O797" s="79">
        <v>240</v>
      </c>
      <c r="P797" s="79">
        <v>40</v>
      </c>
      <c r="Q797" s="79">
        <f t="shared" si="130"/>
        <v>315</v>
      </c>
      <c r="R797" s="79">
        <f t="shared" si="131"/>
        <v>100</v>
      </c>
      <c r="S797" s="76">
        <f t="shared" si="132"/>
        <v>695</v>
      </c>
      <c r="T797" s="76">
        <f>50</f>
        <v>50</v>
      </c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</row>
    <row r="798" spans="1:30" ht="15.75" x14ac:dyDescent="0.25">
      <c r="A798" s="32">
        <v>65227</v>
      </c>
      <c r="B798" s="88">
        <f t="shared" si="133"/>
        <v>31</v>
      </c>
      <c r="C798" s="76">
        <f>194.205</f>
        <v>194.20500000000001</v>
      </c>
      <c r="D798" s="76">
        <f>267.466</f>
        <v>267.46600000000001</v>
      </c>
      <c r="E798" s="85">
        <f>133.845</f>
        <v>133.845</v>
      </c>
      <c r="F798" s="76">
        <f>278.484-40-25-60-100</f>
        <v>53.48399999999998</v>
      </c>
      <c r="G798" s="79">
        <v>40</v>
      </c>
      <c r="H798" s="76">
        <f t="shared" si="134"/>
        <v>185</v>
      </c>
      <c r="I798" s="76">
        <f t="shared" si="125"/>
        <v>0</v>
      </c>
      <c r="J798" s="79">
        <v>100</v>
      </c>
      <c r="K798" s="79">
        <v>300</v>
      </c>
      <c r="L798" s="76">
        <f t="shared" si="129"/>
        <v>1274</v>
      </c>
      <c r="M798" s="87">
        <v>600</v>
      </c>
      <c r="N798" s="76">
        <f>30</f>
        <v>30</v>
      </c>
      <c r="O798" s="79">
        <v>240</v>
      </c>
      <c r="P798" s="79">
        <v>40</v>
      </c>
      <c r="Q798" s="79">
        <f t="shared" si="130"/>
        <v>315</v>
      </c>
      <c r="R798" s="79">
        <f t="shared" si="131"/>
        <v>100</v>
      </c>
      <c r="S798" s="76">
        <f t="shared" si="132"/>
        <v>695</v>
      </c>
      <c r="T798" s="76">
        <f>0</f>
        <v>0</v>
      </c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</row>
    <row r="799" spans="1:30" ht="15.75" x14ac:dyDescent="0.25">
      <c r="A799" s="32">
        <v>65258</v>
      </c>
      <c r="B799" s="88">
        <f t="shared" si="133"/>
        <v>31</v>
      </c>
      <c r="C799" s="76">
        <f>194.205</f>
        <v>194.20500000000001</v>
      </c>
      <c r="D799" s="76">
        <f>267.466</f>
        <v>267.46600000000001</v>
      </c>
      <c r="E799" s="85">
        <f>133.845</f>
        <v>133.845</v>
      </c>
      <c r="F799" s="76">
        <f>278.484-40-25-60-100</f>
        <v>53.48399999999998</v>
      </c>
      <c r="G799" s="79">
        <v>40</v>
      </c>
      <c r="H799" s="76">
        <f t="shared" si="134"/>
        <v>185</v>
      </c>
      <c r="I799" s="76">
        <f t="shared" si="125"/>
        <v>0</v>
      </c>
      <c r="J799" s="79">
        <v>100</v>
      </c>
      <c r="K799" s="79">
        <v>300</v>
      </c>
      <c r="L799" s="76">
        <f t="shared" si="129"/>
        <v>1274</v>
      </c>
      <c r="M799" s="87">
        <v>600</v>
      </c>
      <c r="N799" s="76">
        <f>30</f>
        <v>30</v>
      </c>
      <c r="O799" s="79">
        <v>240</v>
      </c>
      <c r="P799" s="79">
        <v>40</v>
      </c>
      <c r="Q799" s="79">
        <f t="shared" si="130"/>
        <v>315</v>
      </c>
      <c r="R799" s="79">
        <f t="shared" si="131"/>
        <v>100</v>
      </c>
      <c r="S799" s="76">
        <f t="shared" si="132"/>
        <v>695</v>
      </c>
      <c r="T799" s="76">
        <f>0</f>
        <v>0</v>
      </c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</row>
    <row r="800" spans="1:30" ht="15.75" x14ac:dyDescent="0.25">
      <c r="A800" s="32">
        <v>65288</v>
      </c>
      <c r="B800" s="88">
        <f t="shared" si="133"/>
        <v>30</v>
      </c>
      <c r="C800" s="76">
        <f>194.205</f>
        <v>194.20500000000001</v>
      </c>
      <c r="D800" s="76">
        <f>267.466</f>
        <v>267.46600000000001</v>
      </c>
      <c r="E800" s="85">
        <f>133.845</f>
        <v>133.845</v>
      </c>
      <c r="F800" s="76">
        <f>278.484-40-25-60-100</f>
        <v>53.48399999999998</v>
      </c>
      <c r="G800" s="79">
        <v>40</v>
      </c>
      <c r="H800" s="76">
        <f t="shared" si="134"/>
        <v>185</v>
      </c>
      <c r="I800" s="76">
        <f t="shared" si="125"/>
        <v>0</v>
      </c>
      <c r="J800" s="79">
        <v>100</v>
      </c>
      <c r="K800" s="79">
        <v>300</v>
      </c>
      <c r="L800" s="76">
        <f t="shared" si="129"/>
        <v>1274</v>
      </c>
      <c r="M800" s="87">
        <v>600</v>
      </c>
      <c r="N800" s="76">
        <f>30</f>
        <v>30</v>
      </c>
      <c r="O800" s="79">
        <v>240</v>
      </c>
      <c r="P800" s="79">
        <v>40</v>
      </c>
      <c r="Q800" s="79">
        <f t="shared" si="130"/>
        <v>315</v>
      </c>
      <c r="R800" s="79">
        <f t="shared" si="131"/>
        <v>100</v>
      </c>
      <c r="S800" s="76">
        <f t="shared" si="132"/>
        <v>695</v>
      </c>
      <c r="T800" s="76">
        <f>0</f>
        <v>0</v>
      </c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</row>
    <row r="801" spans="1:30" ht="15.75" x14ac:dyDescent="0.25">
      <c r="A801" s="32">
        <v>65319</v>
      </c>
      <c r="B801" s="88">
        <f t="shared" si="133"/>
        <v>31</v>
      </c>
      <c r="C801" s="76">
        <f>131.881</f>
        <v>131.881</v>
      </c>
      <c r="D801" s="76">
        <f>277.167</f>
        <v>277.16699999999997</v>
      </c>
      <c r="E801" s="85">
        <f>79.08</f>
        <v>79.08</v>
      </c>
      <c r="F801" s="76">
        <f>350.872-40-25-60-100</f>
        <v>125.87200000000001</v>
      </c>
      <c r="G801" s="79">
        <v>40</v>
      </c>
      <c r="H801" s="76">
        <f t="shared" si="134"/>
        <v>185</v>
      </c>
      <c r="I801" s="76">
        <f t="shared" si="125"/>
        <v>0</v>
      </c>
      <c r="J801" s="79">
        <v>100</v>
      </c>
      <c r="K801" s="79">
        <v>300</v>
      </c>
      <c r="L801" s="76">
        <f t="shared" si="129"/>
        <v>1239</v>
      </c>
      <c r="M801" s="87">
        <v>600</v>
      </c>
      <c r="N801" s="76">
        <f>75</f>
        <v>75</v>
      </c>
      <c r="O801" s="79">
        <v>240</v>
      </c>
      <c r="P801" s="79">
        <v>40</v>
      </c>
      <c r="Q801" s="79">
        <f t="shared" si="130"/>
        <v>315</v>
      </c>
      <c r="R801" s="79">
        <f t="shared" si="131"/>
        <v>100</v>
      </c>
      <c r="S801" s="76">
        <f t="shared" si="132"/>
        <v>695</v>
      </c>
      <c r="T801" s="76">
        <f>0</f>
        <v>0</v>
      </c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</row>
    <row r="802" spans="1:30" ht="15.75" x14ac:dyDescent="0.25">
      <c r="A802" s="32">
        <v>65349</v>
      </c>
      <c r="B802" s="88">
        <f t="shared" si="133"/>
        <v>30</v>
      </c>
      <c r="C802" s="76">
        <f>122.58</f>
        <v>122.58</v>
      </c>
      <c r="D802" s="76">
        <f>297.941</f>
        <v>297.94099999999997</v>
      </c>
      <c r="E802" s="85">
        <f>89.177</f>
        <v>89.177000000000007</v>
      </c>
      <c r="F802" s="76">
        <f>240.302-40-60-100</f>
        <v>40.301999999999992</v>
      </c>
      <c r="G802" s="79">
        <v>40</v>
      </c>
      <c r="H802" s="76">
        <f>60+100</f>
        <v>160</v>
      </c>
      <c r="I802" s="76">
        <f t="shared" si="125"/>
        <v>0</v>
      </c>
      <c r="J802" s="79">
        <v>100</v>
      </c>
      <c r="K802" s="79">
        <v>300</v>
      </c>
      <c r="L802" s="76">
        <f t="shared" si="129"/>
        <v>1150</v>
      </c>
      <c r="M802" s="87">
        <v>600</v>
      </c>
      <c r="N802" s="76">
        <f>100</f>
        <v>100</v>
      </c>
      <c r="O802" s="79">
        <v>240</v>
      </c>
      <c r="P802" s="79">
        <v>40</v>
      </c>
      <c r="Q802" s="79">
        <f t="shared" si="130"/>
        <v>315</v>
      </c>
      <c r="R802" s="79">
        <f t="shared" si="131"/>
        <v>100</v>
      </c>
      <c r="S802" s="76">
        <f t="shared" si="132"/>
        <v>695</v>
      </c>
      <c r="T802" s="76">
        <f>50</f>
        <v>50</v>
      </c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</row>
    <row r="803" spans="1:30" ht="15.75" x14ac:dyDescent="0.25">
      <c r="A803" s="32">
        <v>65380</v>
      </c>
      <c r="B803" s="88">
        <f t="shared" si="133"/>
        <v>31</v>
      </c>
      <c r="C803" s="76">
        <f>122.58</f>
        <v>122.58</v>
      </c>
      <c r="D803" s="76">
        <f>297.941</f>
        <v>297.94099999999997</v>
      </c>
      <c r="E803" s="85">
        <f>89.177</f>
        <v>89.177000000000007</v>
      </c>
      <c r="F803" s="76">
        <f>240.302-40-60-100</f>
        <v>40.301999999999992</v>
      </c>
      <c r="G803" s="79">
        <v>40</v>
      </c>
      <c r="H803" s="76">
        <f>60+100</f>
        <v>160</v>
      </c>
      <c r="I803" s="76">
        <f t="shared" si="125"/>
        <v>0</v>
      </c>
      <c r="J803" s="79">
        <v>100</v>
      </c>
      <c r="K803" s="79">
        <v>300</v>
      </c>
      <c r="L803" s="76">
        <f t="shared" si="129"/>
        <v>1150</v>
      </c>
      <c r="M803" s="87">
        <v>600</v>
      </c>
      <c r="N803" s="76">
        <f>100</f>
        <v>100</v>
      </c>
      <c r="O803" s="79">
        <v>240</v>
      </c>
      <c r="P803" s="79">
        <v>40</v>
      </c>
      <c r="Q803" s="79">
        <f t="shared" si="130"/>
        <v>315</v>
      </c>
      <c r="R803" s="79">
        <f t="shared" si="131"/>
        <v>100</v>
      </c>
      <c r="S803" s="76">
        <f t="shared" si="132"/>
        <v>695</v>
      </c>
      <c r="T803" s="76">
        <f>50</f>
        <v>50</v>
      </c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</row>
    <row r="804" spans="1:30" ht="15.75" x14ac:dyDescent="0.25">
      <c r="A804" s="32">
        <v>65411</v>
      </c>
      <c r="B804" s="88">
        <f t="shared" si="133"/>
        <v>31</v>
      </c>
      <c r="C804" s="76">
        <f>122.58</f>
        <v>122.58</v>
      </c>
      <c r="D804" s="76">
        <f>297.941</f>
        <v>297.94099999999997</v>
      </c>
      <c r="E804" s="85">
        <f>89.177</f>
        <v>89.177000000000007</v>
      </c>
      <c r="F804" s="76">
        <f>240.302-40-60-100</f>
        <v>40.301999999999992</v>
      </c>
      <c r="G804" s="79">
        <v>40</v>
      </c>
      <c r="H804" s="76">
        <f>60+100</f>
        <v>160</v>
      </c>
      <c r="I804" s="76">
        <f t="shared" si="125"/>
        <v>0</v>
      </c>
      <c r="J804" s="79">
        <v>100</v>
      </c>
      <c r="K804" s="79">
        <v>300</v>
      </c>
      <c r="L804" s="76">
        <f t="shared" si="129"/>
        <v>1150</v>
      </c>
      <c r="M804" s="87">
        <v>600</v>
      </c>
      <c r="N804" s="76">
        <f>100</f>
        <v>100</v>
      </c>
      <c r="O804" s="79">
        <v>240</v>
      </c>
      <c r="P804" s="79">
        <v>40</v>
      </c>
      <c r="Q804" s="79">
        <f t="shared" si="130"/>
        <v>315</v>
      </c>
      <c r="R804" s="79">
        <f t="shared" si="131"/>
        <v>100</v>
      </c>
      <c r="S804" s="76">
        <f t="shared" si="132"/>
        <v>695</v>
      </c>
      <c r="T804" s="76">
        <f>50</f>
        <v>50</v>
      </c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</row>
    <row r="805" spans="1:30" ht="15.75" x14ac:dyDescent="0.25">
      <c r="A805" s="32">
        <v>65439</v>
      </c>
      <c r="B805" s="88">
        <f t="shared" si="133"/>
        <v>28</v>
      </c>
      <c r="C805" s="76">
        <f>122.58</f>
        <v>122.58</v>
      </c>
      <c r="D805" s="76">
        <f>297.941</f>
        <v>297.94099999999997</v>
      </c>
      <c r="E805" s="85">
        <f>89.177</f>
        <v>89.177000000000007</v>
      </c>
      <c r="F805" s="76">
        <f>240.302-40-60-100</f>
        <v>40.301999999999992</v>
      </c>
      <c r="G805" s="79">
        <v>40</v>
      </c>
      <c r="H805" s="76">
        <f>60+100</f>
        <v>160</v>
      </c>
      <c r="I805" s="76">
        <f t="shared" si="125"/>
        <v>0</v>
      </c>
      <c r="J805" s="79">
        <v>100</v>
      </c>
      <c r="K805" s="79">
        <v>300</v>
      </c>
      <c r="L805" s="76">
        <f t="shared" si="129"/>
        <v>1150</v>
      </c>
      <c r="M805" s="87">
        <v>600</v>
      </c>
      <c r="N805" s="76">
        <f>100</f>
        <v>100</v>
      </c>
      <c r="O805" s="79">
        <v>240</v>
      </c>
      <c r="P805" s="79">
        <v>40</v>
      </c>
      <c r="Q805" s="79">
        <f t="shared" si="130"/>
        <v>315</v>
      </c>
      <c r="R805" s="79">
        <f t="shared" si="131"/>
        <v>100</v>
      </c>
      <c r="S805" s="76">
        <f t="shared" si="132"/>
        <v>695</v>
      </c>
      <c r="T805" s="76">
        <f>50</f>
        <v>50</v>
      </c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</row>
    <row r="806" spans="1:30" ht="15.75" x14ac:dyDescent="0.25">
      <c r="A806" s="32">
        <v>65470</v>
      </c>
      <c r="B806" s="88">
        <f t="shared" si="133"/>
        <v>31</v>
      </c>
      <c r="C806" s="76">
        <f>122.58</f>
        <v>122.58</v>
      </c>
      <c r="D806" s="76">
        <f>297.941</f>
        <v>297.94099999999997</v>
      </c>
      <c r="E806" s="85">
        <f>89.177</f>
        <v>89.177000000000007</v>
      </c>
      <c r="F806" s="76">
        <f>240.302-40-60-100</f>
        <v>40.301999999999992</v>
      </c>
      <c r="G806" s="79">
        <v>40</v>
      </c>
      <c r="H806" s="76">
        <f>60+100</f>
        <v>160</v>
      </c>
      <c r="I806" s="76">
        <f t="shared" si="125"/>
        <v>0</v>
      </c>
      <c r="J806" s="79">
        <v>100</v>
      </c>
      <c r="K806" s="79">
        <v>300</v>
      </c>
      <c r="L806" s="76">
        <f t="shared" si="129"/>
        <v>1150</v>
      </c>
      <c r="M806" s="87">
        <v>600</v>
      </c>
      <c r="N806" s="76">
        <f>100</f>
        <v>100</v>
      </c>
      <c r="O806" s="79">
        <v>240</v>
      </c>
      <c r="P806" s="79">
        <v>40</v>
      </c>
      <c r="Q806" s="79">
        <f t="shared" si="130"/>
        <v>315</v>
      </c>
      <c r="R806" s="79">
        <f t="shared" si="131"/>
        <v>100</v>
      </c>
      <c r="S806" s="76">
        <f t="shared" si="132"/>
        <v>695</v>
      </c>
      <c r="T806" s="76">
        <f>50</f>
        <v>50</v>
      </c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</row>
    <row r="807" spans="1:30" ht="15.75" x14ac:dyDescent="0.25">
      <c r="A807" s="32">
        <v>65500</v>
      </c>
      <c r="B807" s="88">
        <f t="shared" si="133"/>
        <v>30</v>
      </c>
      <c r="C807" s="76">
        <f>141.293</f>
        <v>141.29300000000001</v>
      </c>
      <c r="D807" s="76">
        <f>267.993</f>
        <v>267.99299999999999</v>
      </c>
      <c r="E807" s="85">
        <f>115.016</f>
        <v>115.01600000000001</v>
      </c>
      <c r="F807" s="76">
        <f>314.698-40-25-60-100</f>
        <v>89.697999999999979</v>
      </c>
      <c r="G807" s="79">
        <v>40</v>
      </c>
      <c r="H807" s="76">
        <f t="shared" ref="H807:H813" si="135">25+60+100</f>
        <v>185</v>
      </c>
      <c r="I807" s="76">
        <f t="shared" si="125"/>
        <v>0</v>
      </c>
      <c r="J807" s="79">
        <v>100</v>
      </c>
      <c r="K807" s="79">
        <v>300</v>
      </c>
      <c r="L807" s="76">
        <f t="shared" si="129"/>
        <v>1239</v>
      </c>
      <c r="M807" s="87">
        <v>600</v>
      </c>
      <c r="N807" s="76">
        <f>100</f>
        <v>100</v>
      </c>
      <c r="O807" s="79">
        <v>240</v>
      </c>
      <c r="P807" s="79">
        <v>40</v>
      </c>
      <c r="Q807" s="79">
        <f t="shared" si="130"/>
        <v>315</v>
      </c>
      <c r="R807" s="79">
        <f t="shared" si="131"/>
        <v>100</v>
      </c>
      <c r="S807" s="76">
        <f t="shared" si="132"/>
        <v>695</v>
      </c>
      <c r="T807" s="76">
        <f>50</f>
        <v>50</v>
      </c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</row>
    <row r="808" spans="1:30" ht="15.75" x14ac:dyDescent="0.25">
      <c r="A808" s="32">
        <v>65531</v>
      </c>
      <c r="B808" s="88">
        <f t="shared" si="133"/>
        <v>31</v>
      </c>
      <c r="C808" s="76">
        <f>194.205</f>
        <v>194.20500000000001</v>
      </c>
      <c r="D808" s="76">
        <f>267.466</f>
        <v>267.46600000000001</v>
      </c>
      <c r="E808" s="85">
        <f>133.845</f>
        <v>133.845</v>
      </c>
      <c r="F808" s="76">
        <f>278.484-40-25-60-100</f>
        <v>53.48399999999998</v>
      </c>
      <c r="G808" s="79">
        <v>40</v>
      </c>
      <c r="H808" s="76">
        <f t="shared" si="135"/>
        <v>185</v>
      </c>
      <c r="I808" s="76">
        <f t="shared" si="125"/>
        <v>0</v>
      </c>
      <c r="J808" s="79">
        <v>100</v>
      </c>
      <c r="K808" s="79">
        <v>300</v>
      </c>
      <c r="L808" s="76">
        <f t="shared" si="129"/>
        <v>1274</v>
      </c>
      <c r="M808" s="87">
        <v>600</v>
      </c>
      <c r="N808" s="76">
        <f>75</f>
        <v>75</v>
      </c>
      <c r="O808" s="79">
        <v>240</v>
      </c>
      <c r="P808" s="79">
        <v>40</v>
      </c>
      <c r="Q808" s="79">
        <f t="shared" si="130"/>
        <v>315</v>
      </c>
      <c r="R808" s="79">
        <f t="shared" si="131"/>
        <v>100</v>
      </c>
      <c r="S808" s="76">
        <f t="shared" si="132"/>
        <v>695</v>
      </c>
      <c r="T808" s="76">
        <f>50</f>
        <v>50</v>
      </c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</row>
    <row r="809" spans="1:30" ht="15.75" x14ac:dyDescent="0.25">
      <c r="A809" s="32">
        <v>65561</v>
      </c>
      <c r="B809" s="88">
        <f t="shared" si="133"/>
        <v>30</v>
      </c>
      <c r="C809" s="76">
        <f>194.205</f>
        <v>194.20500000000001</v>
      </c>
      <c r="D809" s="76">
        <f>267.466</f>
        <v>267.46600000000001</v>
      </c>
      <c r="E809" s="85">
        <f>133.845</f>
        <v>133.845</v>
      </c>
      <c r="F809" s="76">
        <f>278.484-40-25-60-100</f>
        <v>53.48399999999998</v>
      </c>
      <c r="G809" s="79">
        <v>40</v>
      </c>
      <c r="H809" s="76">
        <f t="shared" si="135"/>
        <v>185</v>
      </c>
      <c r="I809" s="76">
        <f t="shared" si="125"/>
        <v>0</v>
      </c>
      <c r="J809" s="79">
        <v>100</v>
      </c>
      <c r="K809" s="79">
        <v>300</v>
      </c>
      <c r="L809" s="76">
        <f t="shared" si="129"/>
        <v>1274</v>
      </c>
      <c r="M809" s="87">
        <v>600</v>
      </c>
      <c r="N809" s="76">
        <f>30</f>
        <v>30</v>
      </c>
      <c r="O809" s="79">
        <v>240</v>
      </c>
      <c r="P809" s="79">
        <v>40</v>
      </c>
      <c r="Q809" s="79">
        <f t="shared" si="130"/>
        <v>315</v>
      </c>
      <c r="R809" s="79">
        <f t="shared" si="131"/>
        <v>100</v>
      </c>
      <c r="S809" s="76">
        <f t="shared" si="132"/>
        <v>695</v>
      </c>
      <c r="T809" s="76">
        <f>50</f>
        <v>50</v>
      </c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</row>
    <row r="810" spans="1:30" ht="15.75" x14ac:dyDescent="0.25">
      <c r="A810" s="32">
        <v>65592</v>
      </c>
      <c r="B810" s="88">
        <f t="shared" si="133"/>
        <v>31</v>
      </c>
      <c r="C810" s="76">
        <f>194.205</f>
        <v>194.20500000000001</v>
      </c>
      <c r="D810" s="76">
        <f>267.466</f>
        <v>267.46600000000001</v>
      </c>
      <c r="E810" s="85">
        <f>133.845</f>
        <v>133.845</v>
      </c>
      <c r="F810" s="76">
        <f>278.484-40-25-60-100</f>
        <v>53.48399999999998</v>
      </c>
      <c r="G810" s="79">
        <v>40</v>
      </c>
      <c r="H810" s="76">
        <f t="shared" si="135"/>
        <v>185</v>
      </c>
      <c r="I810" s="76">
        <f t="shared" si="125"/>
        <v>0</v>
      </c>
      <c r="J810" s="79">
        <v>100</v>
      </c>
      <c r="K810" s="79">
        <v>300</v>
      </c>
      <c r="L810" s="76">
        <f t="shared" si="129"/>
        <v>1274</v>
      </c>
      <c r="M810" s="87">
        <v>600</v>
      </c>
      <c r="N810" s="76">
        <f>30</f>
        <v>30</v>
      </c>
      <c r="O810" s="79">
        <v>240</v>
      </c>
      <c r="P810" s="79">
        <v>40</v>
      </c>
      <c r="Q810" s="79">
        <f t="shared" si="130"/>
        <v>315</v>
      </c>
      <c r="R810" s="79">
        <f t="shared" si="131"/>
        <v>100</v>
      </c>
      <c r="S810" s="76">
        <f t="shared" si="132"/>
        <v>695</v>
      </c>
      <c r="T810" s="76">
        <f>0</f>
        <v>0</v>
      </c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</row>
    <row r="811" spans="1:30" ht="15.75" x14ac:dyDescent="0.25">
      <c r="A811" s="32">
        <v>65623</v>
      </c>
      <c r="B811" s="88">
        <f t="shared" si="133"/>
        <v>31</v>
      </c>
      <c r="C811" s="76">
        <f>194.205</f>
        <v>194.20500000000001</v>
      </c>
      <c r="D811" s="76">
        <f>267.466</f>
        <v>267.46600000000001</v>
      </c>
      <c r="E811" s="85">
        <f>133.845</f>
        <v>133.845</v>
      </c>
      <c r="F811" s="76">
        <f>278.484-40-25-60-100</f>
        <v>53.48399999999998</v>
      </c>
      <c r="G811" s="79">
        <v>40</v>
      </c>
      <c r="H811" s="76">
        <f t="shared" si="135"/>
        <v>185</v>
      </c>
      <c r="I811" s="76">
        <f t="shared" si="125"/>
        <v>0</v>
      </c>
      <c r="J811" s="79">
        <v>100</v>
      </c>
      <c r="K811" s="79">
        <v>300</v>
      </c>
      <c r="L811" s="76">
        <f t="shared" si="129"/>
        <v>1274</v>
      </c>
      <c r="M811" s="87">
        <v>600</v>
      </c>
      <c r="N811" s="76">
        <f>30</f>
        <v>30</v>
      </c>
      <c r="O811" s="79">
        <v>240</v>
      </c>
      <c r="P811" s="79">
        <v>40</v>
      </c>
      <c r="Q811" s="79">
        <f t="shared" si="130"/>
        <v>315</v>
      </c>
      <c r="R811" s="79">
        <f t="shared" si="131"/>
        <v>100</v>
      </c>
      <c r="S811" s="76">
        <f t="shared" si="132"/>
        <v>695</v>
      </c>
      <c r="T811" s="76">
        <f>0</f>
        <v>0</v>
      </c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</row>
    <row r="812" spans="1:30" ht="15.75" x14ac:dyDescent="0.25">
      <c r="A812" s="32">
        <v>65653</v>
      </c>
      <c r="B812" s="88">
        <f t="shared" si="133"/>
        <v>30</v>
      </c>
      <c r="C812" s="76">
        <f>194.205</f>
        <v>194.20500000000001</v>
      </c>
      <c r="D812" s="76">
        <f>267.466</f>
        <v>267.46600000000001</v>
      </c>
      <c r="E812" s="85">
        <f>133.845</f>
        <v>133.845</v>
      </c>
      <c r="F812" s="76">
        <f>278.484-40-25-60-100</f>
        <v>53.48399999999998</v>
      </c>
      <c r="G812" s="79">
        <v>40</v>
      </c>
      <c r="H812" s="76">
        <f t="shared" si="135"/>
        <v>185</v>
      </c>
      <c r="I812" s="76">
        <f t="shared" si="125"/>
        <v>0</v>
      </c>
      <c r="J812" s="79">
        <v>100</v>
      </c>
      <c r="K812" s="79">
        <v>300</v>
      </c>
      <c r="L812" s="76">
        <f t="shared" si="129"/>
        <v>1274</v>
      </c>
      <c r="M812" s="87">
        <v>600</v>
      </c>
      <c r="N812" s="76">
        <f>30</f>
        <v>30</v>
      </c>
      <c r="O812" s="79">
        <v>240</v>
      </c>
      <c r="P812" s="79">
        <v>40</v>
      </c>
      <c r="Q812" s="79">
        <f t="shared" si="130"/>
        <v>315</v>
      </c>
      <c r="R812" s="79">
        <f t="shared" si="131"/>
        <v>100</v>
      </c>
      <c r="S812" s="76">
        <f t="shared" si="132"/>
        <v>695</v>
      </c>
      <c r="T812" s="76">
        <f>0</f>
        <v>0</v>
      </c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</row>
    <row r="813" spans="1:30" ht="15.75" x14ac:dyDescent="0.25">
      <c r="A813" s="32">
        <v>65684</v>
      </c>
      <c r="B813" s="88">
        <f t="shared" si="133"/>
        <v>31</v>
      </c>
      <c r="C813" s="76">
        <f>131.881</f>
        <v>131.881</v>
      </c>
      <c r="D813" s="76">
        <f>277.167</f>
        <v>277.16699999999997</v>
      </c>
      <c r="E813" s="85">
        <f>79.08</f>
        <v>79.08</v>
      </c>
      <c r="F813" s="76">
        <f>350.872-40-25-60-100</f>
        <v>125.87200000000001</v>
      </c>
      <c r="G813" s="79">
        <v>40</v>
      </c>
      <c r="H813" s="76">
        <f t="shared" si="135"/>
        <v>185</v>
      </c>
      <c r="I813" s="76">
        <f t="shared" si="125"/>
        <v>0</v>
      </c>
      <c r="J813" s="79">
        <v>100</v>
      </c>
      <c r="K813" s="79">
        <v>300</v>
      </c>
      <c r="L813" s="76">
        <f t="shared" si="129"/>
        <v>1239</v>
      </c>
      <c r="M813" s="87">
        <v>600</v>
      </c>
      <c r="N813" s="76">
        <f>75</f>
        <v>75</v>
      </c>
      <c r="O813" s="79">
        <v>240</v>
      </c>
      <c r="P813" s="79">
        <v>40</v>
      </c>
      <c r="Q813" s="79">
        <f t="shared" si="130"/>
        <v>315</v>
      </c>
      <c r="R813" s="79">
        <f t="shared" si="131"/>
        <v>100</v>
      </c>
      <c r="S813" s="76">
        <f t="shared" si="132"/>
        <v>695</v>
      </c>
      <c r="T813" s="76">
        <f>0</f>
        <v>0</v>
      </c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</row>
    <row r="814" spans="1:30" ht="15.75" x14ac:dyDescent="0.25">
      <c r="A814" s="32">
        <v>65714</v>
      </c>
      <c r="B814" s="88">
        <f t="shared" si="133"/>
        <v>30</v>
      </c>
      <c r="C814" s="76">
        <f>122.58</f>
        <v>122.58</v>
      </c>
      <c r="D814" s="76">
        <f>297.941</f>
        <v>297.94099999999997</v>
      </c>
      <c r="E814" s="85">
        <f>89.177</f>
        <v>89.177000000000007</v>
      </c>
      <c r="F814" s="76">
        <f>240.302-40-60-100</f>
        <v>40.301999999999992</v>
      </c>
      <c r="G814" s="79">
        <v>40</v>
      </c>
      <c r="H814" s="76">
        <f>60+100</f>
        <v>160</v>
      </c>
      <c r="I814" s="76">
        <f t="shared" si="125"/>
        <v>0</v>
      </c>
      <c r="J814" s="79">
        <v>100</v>
      </c>
      <c r="K814" s="79">
        <v>300</v>
      </c>
      <c r="L814" s="76">
        <f t="shared" si="129"/>
        <v>1150</v>
      </c>
      <c r="M814" s="87">
        <v>600</v>
      </c>
      <c r="N814" s="76">
        <f>100</f>
        <v>100</v>
      </c>
      <c r="O814" s="79">
        <v>240</v>
      </c>
      <c r="P814" s="79">
        <v>40</v>
      </c>
      <c r="Q814" s="79">
        <f t="shared" si="130"/>
        <v>315</v>
      </c>
      <c r="R814" s="79">
        <f t="shared" si="131"/>
        <v>100</v>
      </c>
      <c r="S814" s="76">
        <f t="shared" si="132"/>
        <v>695</v>
      </c>
      <c r="T814" s="76">
        <f>50</f>
        <v>50</v>
      </c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</row>
    <row r="815" spans="1:30" ht="15.75" x14ac:dyDescent="0.25">
      <c r="A815" s="32">
        <v>65745</v>
      </c>
      <c r="B815" s="88">
        <f t="shared" si="133"/>
        <v>31</v>
      </c>
      <c r="C815" s="76">
        <f>122.58</f>
        <v>122.58</v>
      </c>
      <c r="D815" s="76">
        <f>297.941</f>
        <v>297.94099999999997</v>
      </c>
      <c r="E815" s="85">
        <f>89.177</f>
        <v>89.177000000000007</v>
      </c>
      <c r="F815" s="76">
        <f>240.302-40-60-100</f>
        <v>40.301999999999992</v>
      </c>
      <c r="G815" s="79">
        <v>40</v>
      </c>
      <c r="H815" s="76">
        <f>60+100</f>
        <v>160</v>
      </c>
      <c r="I815" s="76">
        <f t="shared" si="125"/>
        <v>0</v>
      </c>
      <c r="J815" s="79">
        <v>100</v>
      </c>
      <c r="K815" s="79">
        <v>300</v>
      </c>
      <c r="L815" s="76">
        <f t="shared" si="129"/>
        <v>1150</v>
      </c>
      <c r="M815" s="87">
        <v>600</v>
      </c>
      <c r="N815" s="76">
        <f>100</f>
        <v>100</v>
      </c>
      <c r="O815" s="79">
        <v>240</v>
      </c>
      <c r="P815" s="79">
        <v>40</v>
      </c>
      <c r="Q815" s="79">
        <f t="shared" si="130"/>
        <v>315</v>
      </c>
      <c r="R815" s="79">
        <f t="shared" si="131"/>
        <v>100</v>
      </c>
      <c r="S815" s="76">
        <f t="shared" si="132"/>
        <v>695</v>
      </c>
      <c r="T815" s="76">
        <f>50</f>
        <v>50</v>
      </c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</row>
    <row r="816" spans="1:30" ht="15.75" x14ac:dyDescent="0.25">
      <c r="A816" s="32">
        <v>65776</v>
      </c>
      <c r="B816" s="88">
        <f t="shared" si="133"/>
        <v>31</v>
      </c>
      <c r="C816" s="76">
        <f>122.58</f>
        <v>122.58</v>
      </c>
      <c r="D816" s="76">
        <f>297.941</f>
        <v>297.94099999999997</v>
      </c>
      <c r="E816" s="85">
        <f>89.177</f>
        <v>89.177000000000007</v>
      </c>
      <c r="F816" s="76">
        <f>240.302-40-60-100</f>
        <v>40.301999999999992</v>
      </c>
      <c r="G816" s="79">
        <v>40</v>
      </c>
      <c r="H816" s="76">
        <f>60+100</f>
        <v>160</v>
      </c>
      <c r="I816" s="76">
        <f t="shared" si="125"/>
        <v>0</v>
      </c>
      <c r="J816" s="79">
        <v>100</v>
      </c>
      <c r="K816" s="79">
        <v>300</v>
      </c>
      <c r="L816" s="76">
        <f t="shared" si="129"/>
        <v>1150</v>
      </c>
      <c r="M816" s="87">
        <v>600</v>
      </c>
      <c r="N816" s="76">
        <f>100</f>
        <v>100</v>
      </c>
      <c r="O816" s="79">
        <v>240</v>
      </c>
      <c r="P816" s="79">
        <v>40</v>
      </c>
      <c r="Q816" s="79">
        <f t="shared" si="130"/>
        <v>315</v>
      </c>
      <c r="R816" s="79">
        <f t="shared" si="131"/>
        <v>100</v>
      </c>
      <c r="S816" s="76">
        <f t="shared" si="132"/>
        <v>695</v>
      </c>
      <c r="T816" s="76">
        <f>50</f>
        <v>50</v>
      </c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</row>
    <row r="817" spans="1:30" ht="15.75" x14ac:dyDescent="0.25">
      <c r="A817" s="32">
        <v>65805</v>
      </c>
      <c r="B817" s="88">
        <f t="shared" si="133"/>
        <v>29</v>
      </c>
      <c r="C817" s="76">
        <f>122.58</f>
        <v>122.58</v>
      </c>
      <c r="D817" s="76">
        <f>297.941</f>
        <v>297.94099999999997</v>
      </c>
      <c r="E817" s="85">
        <f>89.177</f>
        <v>89.177000000000007</v>
      </c>
      <c r="F817" s="76">
        <f>240.302-40-60-100</f>
        <v>40.301999999999992</v>
      </c>
      <c r="G817" s="79">
        <v>40</v>
      </c>
      <c r="H817" s="76">
        <f>60+100</f>
        <v>160</v>
      </c>
      <c r="I817" s="76">
        <f t="shared" si="125"/>
        <v>0</v>
      </c>
      <c r="J817" s="79">
        <v>100</v>
      </c>
      <c r="K817" s="79">
        <v>300</v>
      </c>
      <c r="L817" s="76">
        <f t="shared" si="129"/>
        <v>1150</v>
      </c>
      <c r="M817" s="87">
        <v>600</v>
      </c>
      <c r="N817" s="76">
        <f>100</f>
        <v>100</v>
      </c>
      <c r="O817" s="79">
        <v>240</v>
      </c>
      <c r="P817" s="79">
        <v>40</v>
      </c>
      <c r="Q817" s="79">
        <f t="shared" si="130"/>
        <v>315</v>
      </c>
      <c r="R817" s="79">
        <f t="shared" si="131"/>
        <v>100</v>
      </c>
      <c r="S817" s="76">
        <f t="shared" si="132"/>
        <v>695</v>
      </c>
      <c r="T817" s="76">
        <f>50</f>
        <v>50</v>
      </c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</row>
    <row r="818" spans="1:30" ht="15.75" x14ac:dyDescent="0.25">
      <c r="A818" s="32">
        <v>65836</v>
      </c>
      <c r="B818" s="88">
        <f t="shared" si="133"/>
        <v>31</v>
      </c>
      <c r="C818" s="76">
        <f>122.58</f>
        <v>122.58</v>
      </c>
      <c r="D818" s="76">
        <f>297.941</f>
        <v>297.94099999999997</v>
      </c>
      <c r="E818" s="85">
        <f>89.177</f>
        <v>89.177000000000007</v>
      </c>
      <c r="F818" s="76">
        <f>240.302-40-60-100</f>
        <v>40.301999999999992</v>
      </c>
      <c r="G818" s="79">
        <v>40</v>
      </c>
      <c r="H818" s="76">
        <f>60+100</f>
        <v>160</v>
      </c>
      <c r="I818" s="76">
        <f t="shared" si="125"/>
        <v>0</v>
      </c>
      <c r="J818" s="79">
        <v>100</v>
      </c>
      <c r="K818" s="79">
        <v>300</v>
      </c>
      <c r="L818" s="76">
        <f t="shared" si="129"/>
        <v>1150</v>
      </c>
      <c r="M818" s="87">
        <v>600</v>
      </c>
      <c r="N818" s="76">
        <f>100</f>
        <v>100</v>
      </c>
      <c r="O818" s="79">
        <v>240</v>
      </c>
      <c r="P818" s="79">
        <v>40</v>
      </c>
      <c r="Q818" s="79">
        <f t="shared" si="130"/>
        <v>315</v>
      </c>
      <c r="R818" s="79">
        <f t="shared" si="131"/>
        <v>100</v>
      </c>
      <c r="S818" s="76">
        <f t="shared" si="132"/>
        <v>695</v>
      </c>
      <c r="T818" s="76">
        <f>50</f>
        <v>50</v>
      </c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</row>
    <row r="819" spans="1:30" ht="15.75" x14ac:dyDescent="0.25">
      <c r="A819" s="32">
        <v>65866</v>
      </c>
      <c r="B819" s="88">
        <f t="shared" si="133"/>
        <v>30</v>
      </c>
      <c r="C819" s="76">
        <f>141.293</f>
        <v>141.29300000000001</v>
      </c>
      <c r="D819" s="76">
        <f>267.993</f>
        <v>267.99299999999999</v>
      </c>
      <c r="E819" s="85">
        <f>115.016</f>
        <v>115.01600000000001</v>
      </c>
      <c r="F819" s="76">
        <f>314.698-40-25-60-100</f>
        <v>89.697999999999979</v>
      </c>
      <c r="G819" s="79">
        <v>40</v>
      </c>
      <c r="H819" s="76">
        <f t="shared" ref="H819:H825" si="136">25+60+100</f>
        <v>185</v>
      </c>
      <c r="I819" s="76">
        <f t="shared" si="125"/>
        <v>0</v>
      </c>
      <c r="J819" s="79">
        <v>100</v>
      </c>
      <c r="K819" s="79">
        <v>300</v>
      </c>
      <c r="L819" s="76">
        <f t="shared" si="129"/>
        <v>1239</v>
      </c>
      <c r="M819" s="87">
        <v>600</v>
      </c>
      <c r="N819" s="76">
        <f>100</f>
        <v>100</v>
      </c>
      <c r="O819" s="79">
        <v>240</v>
      </c>
      <c r="P819" s="79">
        <v>40</v>
      </c>
      <c r="Q819" s="79">
        <f t="shared" si="130"/>
        <v>315</v>
      </c>
      <c r="R819" s="79">
        <f t="shared" si="131"/>
        <v>100</v>
      </c>
      <c r="S819" s="76">
        <f t="shared" si="132"/>
        <v>695</v>
      </c>
      <c r="T819" s="76">
        <f>50</f>
        <v>50</v>
      </c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</row>
    <row r="820" spans="1:30" ht="15.75" x14ac:dyDescent="0.25">
      <c r="A820" s="32">
        <v>65897</v>
      </c>
      <c r="B820" s="88">
        <f t="shared" si="133"/>
        <v>31</v>
      </c>
      <c r="C820" s="76">
        <f>194.205</f>
        <v>194.20500000000001</v>
      </c>
      <c r="D820" s="76">
        <f>267.466</f>
        <v>267.46600000000001</v>
      </c>
      <c r="E820" s="85">
        <f>133.845</f>
        <v>133.845</v>
      </c>
      <c r="F820" s="76">
        <f>278.484-40-25-60-100</f>
        <v>53.48399999999998</v>
      </c>
      <c r="G820" s="79">
        <v>40</v>
      </c>
      <c r="H820" s="76">
        <f t="shared" si="136"/>
        <v>185</v>
      </c>
      <c r="I820" s="76">
        <f t="shared" ref="I820:I883" si="137">400-J820-K820</f>
        <v>0</v>
      </c>
      <c r="J820" s="79">
        <v>100</v>
      </c>
      <c r="K820" s="79">
        <v>300</v>
      </c>
      <c r="L820" s="76">
        <f t="shared" si="129"/>
        <v>1274</v>
      </c>
      <c r="M820" s="87">
        <v>600</v>
      </c>
      <c r="N820" s="76">
        <f>75</f>
        <v>75</v>
      </c>
      <c r="O820" s="79">
        <v>240</v>
      </c>
      <c r="P820" s="79">
        <v>40</v>
      </c>
      <c r="Q820" s="79">
        <f t="shared" si="130"/>
        <v>315</v>
      </c>
      <c r="R820" s="79">
        <f t="shared" si="131"/>
        <v>100</v>
      </c>
      <c r="S820" s="76">
        <f t="shared" si="132"/>
        <v>695</v>
      </c>
      <c r="T820" s="76">
        <f>50</f>
        <v>50</v>
      </c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</row>
    <row r="821" spans="1:30" ht="15.75" x14ac:dyDescent="0.25">
      <c r="A821" s="32">
        <v>65927</v>
      </c>
      <c r="B821" s="88">
        <f t="shared" si="133"/>
        <v>30</v>
      </c>
      <c r="C821" s="76">
        <f>194.205</f>
        <v>194.20500000000001</v>
      </c>
      <c r="D821" s="76">
        <f>267.466</f>
        <v>267.46600000000001</v>
      </c>
      <c r="E821" s="85">
        <f>133.845</f>
        <v>133.845</v>
      </c>
      <c r="F821" s="76">
        <f>278.484-40-25-60-100</f>
        <v>53.48399999999998</v>
      </c>
      <c r="G821" s="79">
        <v>40</v>
      </c>
      <c r="H821" s="76">
        <f t="shared" si="136"/>
        <v>185</v>
      </c>
      <c r="I821" s="76">
        <f t="shared" si="137"/>
        <v>0</v>
      </c>
      <c r="J821" s="79">
        <v>100</v>
      </c>
      <c r="K821" s="79">
        <v>300</v>
      </c>
      <c r="L821" s="76">
        <f t="shared" si="129"/>
        <v>1274</v>
      </c>
      <c r="M821" s="87">
        <v>600</v>
      </c>
      <c r="N821" s="76">
        <f>30</f>
        <v>30</v>
      </c>
      <c r="O821" s="79">
        <v>240</v>
      </c>
      <c r="P821" s="79">
        <v>40</v>
      </c>
      <c r="Q821" s="79">
        <f t="shared" si="130"/>
        <v>315</v>
      </c>
      <c r="R821" s="79">
        <f t="shared" si="131"/>
        <v>100</v>
      </c>
      <c r="S821" s="76">
        <f t="shared" si="132"/>
        <v>695</v>
      </c>
      <c r="T821" s="76">
        <f>50</f>
        <v>50</v>
      </c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</row>
    <row r="822" spans="1:30" ht="15.75" x14ac:dyDescent="0.25">
      <c r="A822" s="32">
        <v>65958</v>
      </c>
      <c r="B822" s="88">
        <f t="shared" si="133"/>
        <v>31</v>
      </c>
      <c r="C822" s="76">
        <f>194.205</f>
        <v>194.20500000000001</v>
      </c>
      <c r="D822" s="76">
        <f>267.466</f>
        <v>267.46600000000001</v>
      </c>
      <c r="E822" s="85">
        <f>133.845</f>
        <v>133.845</v>
      </c>
      <c r="F822" s="76">
        <f>278.484-40-25-60-100</f>
        <v>53.48399999999998</v>
      </c>
      <c r="G822" s="79">
        <v>40</v>
      </c>
      <c r="H822" s="76">
        <f t="shared" si="136"/>
        <v>185</v>
      </c>
      <c r="I822" s="76">
        <f t="shared" si="137"/>
        <v>0</v>
      </c>
      <c r="J822" s="79">
        <v>100</v>
      </c>
      <c r="K822" s="79">
        <v>300</v>
      </c>
      <c r="L822" s="76">
        <f t="shared" si="129"/>
        <v>1274</v>
      </c>
      <c r="M822" s="87">
        <v>600</v>
      </c>
      <c r="N822" s="76">
        <f>30</f>
        <v>30</v>
      </c>
      <c r="O822" s="79">
        <v>240</v>
      </c>
      <c r="P822" s="79">
        <v>40</v>
      </c>
      <c r="Q822" s="79">
        <f t="shared" si="130"/>
        <v>315</v>
      </c>
      <c r="R822" s="79">
        <f t="shared" si="131"/>
        <v>100</v>
      </c>
      <c r="S822" s="76">
        <f t="shared" si="132"/>
        <v>695</v>
      </c>
      <c r="T822" s="76">
        <f>0</f>
        <v>0</v>
      </c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</row>
    <row r="823" spans="1:30" ht="15.75" x14ac:dyDescent="0.25">
      <c r="A823" s="32">
        <v>65989</v>
      </c>
      <c r="B823" s="88">
        <f t="shared" si="133"/>
        <v>31</v>
      </c>
      <c r="C823" s="76">
        <f>194.205</f>
        <v>194.20500000000001</v>
      </c>
      <c r="D823" s="76">
        <f>267.466</f>
        <v>267.46600000000001</v>
      </c>
      <c r="E823" s="85">
        <f>133.845</f>
        <v>133.845</v>
      </c>
      <c r="F823" s="76">
        <f>278.484-40-25-60-100</f>
        <v>53.48399999999998</v>
      </c>
      <c r="G823" s="79">
        <v>40</v>
      </c>
      <c r="H823" s="76">
        <f t="shared" si="136"/>
        <v>185</v>
      </c>
      <c r="I823" s="76">
        <f t="shared" si="137"/>
        <v>0</v>
      </c>
      <c r="J823" s="79">
        <v>100</v>
      </c>
      <c r="K823" s="79">
        <v>300</v>
      </c>
      <c r="L823" s="76">
        <f t="shared" si="129"/>
        <v>1274</v>
      </c>
      <c r="M823" s="87">
        <v>600</v>
      </c>
      <c r="N823" s="76">
        <f>30</f>
        <v>30</v>
      </c>
      <c r="O823" s="79">
        <v>240</v>
      </c>
      <c r="P823" s="79">
        <v>40</v>
      </c>
      <c r="Q823" s="79">
        <f t="shared" si="130"/>
        <v>315</v>
      </c>
      <c r="R823" s="79">
        <f t="shared" si="131"/>
        <v>100</v>
      </c>
      <c r="S823" s="76">
        <f t="shared" si="132"/>
        <v>695</v>
      </c>
      <c r="T823" s="76">
        <f>0</f>
        <v>0</v>
      </c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</row>
    <row r="824" spans="1:30" ht="15.75" x14ac:dyDescent="0.25">
      <c r="A824" s="32">
        <v>66019</v>
      </c>
      <c r="B824" s="88">
        <f t="shared" si="133"/>
        <v>30</v>
      </c>
      <c r="C824" s="76">
        <f>194.205</f>
        <v>194.20500000000001</v>
      </c>
      <c r="D824" s="76">
        <f>267.466</f>
        <v>267.46600000000001</v>
      </c>
      <c r="E824" s="85">
        <f>133.845</f>
        <v>133.845</v>
      </c>
      <c r="F824" s="76">
        <f>278.484-40-25-60-100</f>
        <v>53.48399999999998</v>
      </c>
      <c r="G824" s="79">
        <v>40</v>
      </c>
      <c r="H824" s="76">
        <f t="shared" si="136"/>
        <v>185</v>
      </c>
      <c r="I824" s="76">
        <f t="shared" si="137"/>
        <v>0</v>
      </c>
      <c r="J824" s="79">
        <v>100</v>
      </c>
      <c r="K824" s="79">
        <v>300</v>
      </c>
      <c r="L824" s="76">
        <f t="shared" si="129"/>
        <v>1274</v>
      </c>
      <c r="M824" s="87">
        <v>600</v>
      </c>
      <c r="N824" s="76">
        <f>30</f>
        <v>30</v>
      </c>
      <c r="O824" s="79">
        <v>240</v>
      </c>
      <c r="P824" s="79">
        <v>40</v>
      </c>
      <c r="Q824" s="79">
        <f t="shared" si="130"/>
        <v>315</v>
      </c>
      <c r="R824" s="79">
        <f t="shared" si="131"/>
        <v>100</v>
      </c>
      <c r="S824" s="76">
        <f t="shared" si="132"/>
        <v>695</v>
      </c>
      <c r="T824" s="76">
        <f>0</f>
        <v>0</v>
      </c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</row>
    <row r="825" spans="1:30" ht="15.75" x14ac:dyDescent="0.25">
      <c r="A825" s="32">
        <v>66050</v>
      </c>
      <c r="B825" s="88">
        <f t="shared" si="133"/>
        <v>31</v>
      </c>
      <c r="C825" s="76">
        <f>131.881</f>
        <v>131.881</v>
      </c>
      <c r="D825" s="76">
        <f>277.167</f>
        <v>277.16699999999997</v>
      </c>
      <c r="E825" s="85">
        <f>79.08</f>
        <v>79.08</v>
      </c>
      <c r="F825" s="76">
        <f>350.872-40-25-60-100</f>
        <v>125.87200000000001</v>
      </c>
      <c r="G825" s="79">
        <v>40</v>
      </c>
      <c r="H825" s="76">
        <f t="shared" si="136"/>
        <v>185</v>
      </c>
      <c r="I825" s="76">
        <f t="shared" si="137"/>
        <v>0</v>
      </c>
      <c r="J825" s="79">
        <v>100</v>
      </c>
      <c r="K825" s="79">
        <v>300</v>
      </c>
      <c r="L825" s="76">
        <f t="shared" si="129"/>
        <v>1239</v>
      </c>
      <c r="M825" s="87">
        <v>600</v>
      </c>
      <c r="N825" s="76">
        <f>75</f>
        <v>75</v>
      </c>
      <c r="O825" s="79">
        <v>240</v>
      </c>
      <c r="P825" s="79">
        <v>40</v>
      </c>
      <c r="Q825" s="79">
        <f t="shared" si="130"/>
        <v>315</v>
      </c>
      <c r="R825" s="79">
        <f t="shared" si="131"/>
        <v>100</v>
      </c>
      <c r="S825" s="76">
        <f t="shared" si="132"/>
        <v>695</v>
      </c>
      <c r="T825" s="76">
        <f>0</f>
        <v>0</v>
      </c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</row>
    <row r="826" spans="1:30" ht="15.75" x14ac:dyDescent="0.25">
      <c r="A826" s="32">
        <v>66080</v>
      </c>
      <c r="B826" s="88">
        <f t="shared" si="133"/>
        <v>30</v>
      </c>
      <c r="C826" s="76">
        <f>122.58</f>
        <v>122.58</v>
      </c>
      <c r="D826" s="76">
        <f>297.941</f>
        <v>297.94099999999997</v>
      </c>
      <c r="E826" s="85">
        <f>89.177</f>
        <v>89.177000000000007</v>
      </c>
      <c r="F826" s="76">
        <f>240.302-40-60-100</f>
        <v>40.301999999999992</v>
      </c>
      <c r="G826" s="79">
        <v>40</v>
      </c>
      <c r="H826" s="76">
        <f>60+100</f>
        <v>160</v>
      </c>
      <c r="I826" s="76">
        <f t="shared" si="137"/>
        <v>0</v>
      </c>
      <c r="J826" s="79">
        <v>100</v>
      </c>
      <c r="K826" s="79">
        <v>300</v>
      </c>
      <c r="L826" s="76">
        <f t="shared" si="129"/>
        <v>1150</v>
      </c>
      <c r="M826" s="87">
        <v>600</v>
      </c>
      <c r="N826" s="76">
        <f>100</f>
        <v>100</v>
      </c>
      <c r="O826" s="79">
        <v>240</v>
      </c>
      <c r="P826" s="79">
        <v>40</v>
      </c>
      <c r="Q826" s="79">
        <f t="shared" si="130"/>
        <v>315</v>
      </c>
      <c r="R826" s="79">
        <f t="shared" si="131"/>
        <v>100</v>
      </c>
      <c r="S826" s="76">
        <f t="shared" si="132"/>
        <v>695</v>
      </c>
      <c r="T826" s="76">
        <f>50</f>
        <v>50</v>
      </c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</row>
    <row r="827" spans="1:30" ht="15.75" x14ac:dyDescent="0.25">
      <c r="A827" s="32">
        <v>66111</v>
      </c>
      <c r="B827" s="88">
        <f t="shared" si="133"/>
        <v>31</v>
      </c>
      <c r="C827" s="76">
        <f>122.58</f>
        <v>122.58</v>
      </c>
      <c r="D827" s="76">
        <f>297.941</f>
        <v>297.94099999999997</v>
      </c>
      <c r="E827" s="85">
        <f>89.177</f>
        <v>89.177000000000007</v>
      </c>
      <c r="F827" s="76">
        <f>240.302-40-60-100</f>
        <v>40.301999999999992</v>
      </c>
      <c r="G827" s="79">
        <v>40</v>
      </c>
      <c r="H827" s="76">
        <f>60+100</f>
        <v>160</v>
      </c>
      <c r="I827" s="76">
        <f t="shared" si="137"/>
        <v>0</v>
      </c>
      <c r="J827" s="79">
        <v>100</v>
      </c>
      <c r="K827" s="79">
        <v>300</v>
      </c>
      <c r="L827" s="76">
        <f t="shared" si="129"/>
        <v>1150</v>
      </c>
      <c r="M827" s="87">
        <v>600</v>
      </c>
      <c r="N827" s="76">
        <f>100</f>
        <v>100</v>
      </c>
      <c r="O827" s="79">
        <v>240</v>
      </c>
      <c r="P827" s="79">
        <v>40</v>
      </c>
      <c r="Q827" s="79">
        <f t="shared" si="130"/>
        <v>315</v>
      </c>
      <c r="R827" s="79">
        <f t="shared" si="131"/>
        <v>100</v>
      </c>
      <c r="S827" s="76">
        <f t="shared" si="132"/>
        <v>695</v>
      </c>
      <c r="T827" s="76">
        <f>50</f>
        <v>50</v>
      </c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</row>
    <row r="828" spans="1:30" ht="15.75" x14ac:dyDescent="0.25">
      <c r="A828" s="32">
        <v>66142</v>
      </c>
      <c r="B828" s="88">
        <f t="shared" si="133"/>
        <v>31</v>
      </c>
      <c r="C828" s="76">
        <f>122.58</f>
        <v>122.58</v>
      </c>
      <c r="D828" s="76">
        <f>297.941</f>
        <v>297.94099999999997</v>
      </c>
      <c r="E828" s="85">
        <f>89.177</f>
        <v>89.177000000000007</v>
      </c>
      <c r="F828" s="76">
        <f>240.302-40-60-100</f>
        <v>40.301999999999992</v>
      </c>
      <c r="G828" s="79">
        <v>40</v>
      </c>
      <c r="H828" s="76">
        <f>60+100</f>
        <v>160</v>
      </c>
      <c r="I828" s="76">
        <f t="shared" si="137"/>
        <v>0</v>
      </c>
      <c r="J828" s="79">
        <v>100</v>
      </c>
      <c r="K828" s="79">
        <v>300</v>
      </c>
      <c r="L828" s="76">
        <f t="shared" si="129"/>
        <v>1150</v>
      </c>
      <c r="M828" s="87">
        <v>600</v>
      </c>
      <c r="N828" s="76">
        <f>100</f>
        <v>100</v>
      </c>
      <c r="O828" s="79">
        <v>240</v>
      </c>
      <c r="P828" s="79">
        <v>40</v>
      </c>
      <c r="Q828" s="79">
        <f t="shared" si="130"/>
        <v>315</v>
      </c>
      <c r="R828" s="79">
        <f t="shared" si="131"/>
        <v>100</v>
      </c>
      <c r="S828" s="76">
        <f t="shared" si="132"/>
        <v>695</v>
      </c>
      <c r="T828" s="76">
        <f>50</f>
        <v>50</v>
      </c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</row>
    <row r="829" spans="1:30" ht="15.75" x14ac:dyDescent="0.25">
      <c r="A829" s="32">
        <v>66170</v>
      </c>
      <c r="B829" s="88">
        <f t="shared" si="133"/>
        <v>28</v>
      </c>
      <c r="C829" s="76">
        <f>122.58</f>
        <v>122.58</v>
      </c>
      <c r="D829" s="76">
        <f>297.941</f>
        <v>297.94099999999997</v>
      </c>
      <c r="E829" s="85">
        <f>89.177</f>
        <v>89.177000000000007</v>
      </c>
      <c r="F829" s="76">
        <f>240.302-40-60-100</f>
        <v>40.301999999999992</v>
      </c>
      <c r="G829" s="79">
        <v>40</v>
      </c>
      <c r="H829" s="76">
        <f>60+100</f>
        <v>160</v>
      </c>
      <c r="I829" s="76">
        <f t="shared" si="137"/>
        <v>0</v>
      </c>
      <c r="J829" s="79">
        <v>100</v>
      </c>
      <c r="K829" s="79">
        <v>300</v>
      </c>
      <c r="L829" s="76">
        <f t="shared" si="129"/>
        <v>1150</v>
      </c>
      <c r="M829" s="87">
        <v>600</v>
      </c>
      <c r="N829" s="76">
        <f>100</f>
        <v>100</v>
      </c>
      <c r="O829" s="79">
        <v>240</v>
      </c>
      <c r="P829" s="79">
        <v>40</v>
      </c>
      <c r="Q829" s="79">
        <f t="shared" si="130"/>
        <v>315</v>
      </c>
      <c r="R829" s="79">
        <f t="shared" si="131"/>
        <v>100</v>
      </c>
      <c r="S829" s="76">
        <f t="shared" si="132"/>
        <v>695</v>
      </c>
      <c r="T829" s="76">
        <f>50</f>
        <v>50</v>
      </c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</row>
    <row r="830" spans="1:30" ht="15.75" x14ac:dyDescent="0.25">
      <c r="A830" s="32">
        <v>66201</v>
      </c>
      <c r="B830" s="88">
        <f t="shared" si="133"/>
        <v>31</v>
      </c>
      <c r="C830" s="76">
        <f>122.58</f>
        <v>122.58</v>
      </c>
      <c r="D830" s="76">
        <f>297.941</f>
        <v>297.94099999999997</v>
      </c>
      <c r="E830" s="85">
        <f>89.177</f>
        <v>89.177000000000007</v>
      </c>
      <c r="F830" s="76">
        <f>240.302-40-60-100</f>
        <v>40.301999999999992</v>
      </c>
      <c r="G830" s="79">
        <v>40</v>
      </c>
      <c r="H830" s="76">
        <f>60+100</f>
        <v>160</v>
      </c>
      <c r="I830" s="76">
        <f t="shared" si="137"/>
        <v>0</v>
      </c>
      <c r="J830" s="79">
        <v>100</v>
      </c>
      <c r="K830" s="79">
        <v>300</v>
      </c>
      <c r="L830" s="76">
        <f t="shared" si="129"/>
        <v>1150</v>
      </c>
      <c r="M830" s="87">
        <v>600</v>
      </c>
      <c r="N830" s="76">
        <f>100</f>
        <v>100</v>
      </c>
      <c r="O830" s="79">
        <v>240</v>
      </c>
      <c r="P830" s="79">
        <v>40</v>
      </c>
      <c r="Q830" s="79">
        <f t="shared" si="130"/>
        <v>315</v>
      </c>
      <c r="R830" s="79">
        <f t="shared" si="131"/>
        <v>100</v>
      </c>
      <c r="S830" s="76">
        <f t="shared" si="132"/>
        <v>695</v>
      </c>
      <c r="T830" s="76">
        <f>50</f>
        <v>50</v>
      </c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</row>
    <row r="831" spans="1:30" ht="15.75" x14ac:dyDescent="0.25">
      <c r="A831" s="32">
        <v>66231</v>
      </c>
      <c r="B831" s="88">
        <f t="shared" si="133"/>
        <v>30</v>
      </c>
      <c r="C831" s="76">
        <f>141.293</f>
        <v>141.29300000000001</v>
      </c>
      <c r="D831" s="76">
        <f>267.993</f>
        <v>267.99299999999999</v>
      </c>
      <c r="E831" s="85">
        <f>115.016</f>
        <v>115.01600000000001</v>
      </c>
      <c r="F831" s="76">
        <f>314.698-40-25-60-100</f>
        <v>89.697999999999979</v>
      </c>
      <c r="G831" s="79">
        <v>40</v>
      </c>
      <c r="H831" s="76">
        <f t="shared" ref="H831:H837" si="138">25+60+100</f>
        <v>185</v>
      </c>
      <c r="I831" s="76">
        <f t="shared" si="137"/>
        <v>0</v>
      </c>
      <c r="J831" s="79">
        <v>100</v>
      </c>
      <c r="K831" s="79">
        <v>300</v>
      </c>
      <c r="L831" s="76">
        <f t="shared" si="129"/>
        <v>1239</v>
      </c>
      <c r="M831" s="87">
        <v>600</v>
      </c>
      <c r="N831" s="76">
        <f>100</f>
        <v>100</v>
      </c>
      <c r="O831" s="79">
        <v>240</v>
      </c>
      <c r="P831" s="79">
        <v>40</v>
      </c>
      <c r="Q831" s="79">
        <f t="shared" si="130"/>
        <v>315</v>
      </c>
      <c r="R831" s="79">
        <f t="shared" si="131"/>
        <v>100</v>
      </c>
      <c r="S831" s="76">
        <f t="shared" si="132"/>
        <v>695</v>
      </c>
      <c r="T831" s="76">
        <f>50</f>
        <v>50</v>
      </c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</row>
    <row r="832" spans="1:30" ht="15.75" x14ac:dyDescent="0.25">
      <c r="A832" s="32">
        <v>66262</v>
      </c>
      <c r="B832" s="88">
        <f t="shared" si="133"/>
        <v>31</v>
      </c>
      <c r="C832" s="76">
        <f>194.205</f>
        <v>194.20500000000001</v>
      </c>
      <c r="D832" s="76">
        <f>267.466</f>
        <v>267.46600000000001</v>
      </c>
      <c r="E832" s="85">
        <f>133.845</f>
        <v>133.845</v>
      </c>
      <c r="F832" s="76">
        <f>278.484-40-25-60-100</f>
        <v>53.48399999999998</v>
      </c>
      <c r="G832" s="79">
        <v>40</v>
      </c>
      <c r="H832" s="76">
        <f t="shared" si="138"/>
        <v>185</v>
      </c>
      <c r="I832" s="76">
        <f t="shared" si="137"/>
        <v>0</v>
      </c>
      <c r="J832" s="79">
        <v>100</v>
      </c>
      <c r="K832" s="79">
        <v>300</v>
      </c>
      <c r="L832" s="76">
        <f t="shared" si="129"/>
        <v>1274</v>
      </c>
      <c r="M832" s="87">
        <v>600</v>
      </c>
      <c r="N832" s="76">
        <f>75</f>
        <v>75</v>
      </c>
      <c r="O832" s="79">
        <v>240</v>
      </c>
      <c r="P832" s="79">
        <v>40</v>
      </c>
      <c r="Q832" s="79">
        <f t="shared" si="130"/>
        <v>315</v>
      </c>
      <c r="R832" s="79">
        <f t="shared" si="131"/>
        <v>100</v>
      </c>
      <c r="S832" s="76">
        <f t="shared" si="132"/>
        <v>695</v>
      </c>
      <c r="T832" s="76">
        <f>50</f>
        <v>50</v>
      </c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</row>
    <row r="833" spans="1:30" ht="15.75" x14ac:dyDescent="0.25">
      <c r="A833" s="32">
        <v>66292</v>
      </c>
      <c r="B833" s="88">
        <f t="shared" si="133"/>
        <v>30</v>
      </c>
      <c r="C833" s="76">
        <f>194.205</f>
        <v>194.20500000000001</v>
      </c>
      <c r="D833" s="76">
        <f>267.466</f>
        <v>267.46600000000001</v>
      </c>
      <c r="E833" s="85">
        <f>133.845</f>
        <v>133.845</v>
      </c>
      <c r="F833" s="76">
        <f>278.484-40-25-60-100</f>
        <v>53.48399999999998</v>
      </c>
      <c r="G833" s="79">
        <v>40</v>
      </c>
      <c r="H833" s="76">
        <f t="shared" si="138"/>
        <v>185</v>
      </c>
      <c r="I833" s="76">
        <f t="shared" si="137"/>
        <v>0</v>
      </c>
      <c r="J833" s="79">
        <v>100</v>
      </c>
      <c r="K833" s="79">
        <v>300</v>
      </c>
      <c r="L833" s="76">
        <f t="shared" si="129"/>
        <v>1274</v>
      </c>
      <c r="M833" s="87">
        <v>600</v>
      </c>
      <c r="N833" s="76">
        <f>30</f>
        <v>30</v>
      </c>
      <c r="O833" s="79">
        <v>240</v>
      </c>
      <c r="P833" s="79">
        <v>40</v>
      </c>
      <c r="Q833" s="79">
        <f t="shared" si="130"/>
        <v>315</v>
      </c>
      <c r="R833" s="79">
        <f t="shared" si="131"/>
        <v>100</v>
      </c>
      <c r="S833" s="76">
        <f t="shared" si="132"/>
        <v>695</v>
      </c>
      <c r="T833" s="76">
        <f>50</f>
        <v>50</v>
      </c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</row>
    <row r="834" spans="1:30" ht="15.75" x14ac:dyDescent="0.25">
      <c r="A834" s="32">
        <v>66323</v>
      </c>
      <c r="B834" s="88">
        <f t="shared" si="133"/>
        <v>31</v>
      </c>
      <c r="C834" s="76">
        <f>194.205</f>
        <v>194.20500000000001</v>
      </c>
      <c r="D834" s="76">
        <f>267.466</f>
        <v>267.46600000000001</v>
      </c>
      <c r="E834" s="85">
        <f>133.845</f>
        <v>133.845</v>
      </c>
      <c r="F834" s="76">
        <f>278.484-40-25-60-100</f>
        <v>53.48399999999998</v>
      </c>
      <c r="G834" s="79">
        <v>40</v>
      </c>
      <c r="H834" s="76">
        <f t="shared" si="138"/>
        <v>185</v>
      </c>
      <c r="I834" s="76">
        <f t="shared" si="137"/>
        <v>0</v>
      </c>
      <c r="J834" s="79">
        <v>100</v>
      </c>
      <c r="K834" s="79">
        <v>300</v>
      </c>
      <c r="L834" s="76">
        <f t="shared" si="129"/>
        <v>1274</v>
      </c>
      <c r="M834" s="87">
        <v>600</v>
      </c>
      <c r="N834" s="76">
        <f>30</f>
        <v>30</v>
      </c>
      <c r="O834" s="79">
        <v>240</v>
      </c>
      <c r="P834" s="79">
        <v>40</v>
      </c>
      <c r="Q834" s="79">
        <f t="shared" si="130"/>
        <v>315</v>
      </c>
      <c r="R834" s="79">
        <f t="shared" si="131"/>
        <v>100</v>
      </c>
      <c r="S834" s="76">
        <f t="shared" si="132"/>
        <v>695</v>
      </c>
      <c r="T834" s="76">
        <f>0</f>
        <v>0</v>
      </c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</row>
    <row r="835" spans="1:30" ht="15.75" x14ac:dyDescent="0.25">
      <c r="A835" s="32">
        <v>66354</v>
      </c>
      <c r="B835" s="88">
        <f t="shared" si="133"/>
        <v>31</v>
      </c>
      <c r="C835" s="76">
        <f>194.205</f>
        <v>194.20500000000001</v>
      </c>
      <c r="D835" s="76">
        <f>267.466</f>
        <v>267.46600000000001</v>
      </c>
      <c r="E835" s="85">
        <f>133.845</f>
        <v>133.845</v>
      </c>
      <c r="F835" s="76">
        <f>278.484-40-25-60-100</f>
        <v>53.48399999999998</v>
      </c>
      <c r="G835" s="79">
        <v>40</v>
      </c>
      <c r="H835" s="76">
        <f t="shared" si="138"/>
        <v>185</v>
      </c>
      <c r="I835" s="76">
        <f t="shared" si="137"/>
        <v>0</v>
      </c>
      <c r="J835" s="79">
        <v>100</v>
      </c>
      <c r="K835" s="79">
        <v>300</v>
      </c>
      <c r="L835" s="76">
        <f t="shared" si="129"/>
        <v>1274</v>
      </c>
      <c r="M835" s="87">
        <v>600</v>
      </c>
      <c r="N835" s="76">
        <f>30</f>
        <v>30</v>
      </c>
      <c r="O835" s="79">
        <v>240</v>
      </c>
      <c r="P835" s="79">
        <v>40</v>
      </c>
      <c r="Q835" s="79">
        <f t="shared" si="130"/>
        <v>315</v>
      </c>
      <c r="R835" s="79">
        <f t="shared" si="131"/>
        <v>100</v>
      </c>
      <c r="S835" s="76">
        <f t="shared" si="132"/>
        <v>695</v>
      </c>
      <c r="T835" s="76">
        <f>0</f>
        <v>0</v>
      </c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</row>
    <row r="836" spans="1:30" ht="15.75" x14ac:dyDescent="0.25">
      <c r="A836" s="32">
        <v>66384</v>
      </c>
      <c r="B836" s="88">
        <f t="shared" si="133"/>
        <v>30</v>
      </c>
      <c r="C836" s="76">
        <f>194.205</f>
        <v>194.20500000000001</v>
      </c>
      <c r="D836" s="76">
        <f>267.466</f>
        <v>267.46600000000001</v>
      </c>
      <c r="E836" s="85">
        <f>133.845</f>
        <v>133.845</v>
      </c>
      <c r="F836" s="76">
        <f>278.484-40-25-60-100</f>
        <v>53.48399999999998</v>
      </c>
      <c r="G836" s="79">
        <v>40</v>
      </c>
      <c r="H836" s="76">
        <f t="shared" si="138"/>
        <v>185</v>
      </c>
      <c r="I836" s="76">
        <f t="shared" si="137"/>
        <v>0</v>
      </c>
      <c r="J836" s="79">
        <v>100</v>
      </c>
      <c r="K836" s="79">
        <v>300</v>
      </c>
      <c r="L836" s="76">
        <f t="shared" si="129"/>
        <v>1274</v>
      </c>
      <c r="M836" s="87">
        <v>600</v>
      </c>
      <c r="N836" s="76">
        <f>30</f>
        <v>30</v>
      </c>
      <c r="O836" s="79">
        <v>240</v>
      </c>
      <c r="P836" s="79">
        <v>40</v>
      </c>
      <c r="Q836" s="79">
        <f t="shared" si="130"/>
        <v>315</v>
      </c>
      <c r="R836" s="79">
        <f t="shared" si="131"/>
        <v>100</v>
      </c>
      <c r="S836" s="76">
        <f t="shared" si="132"/>
        <v>695</v>
      </c>
      <c r="T836" s="76">
        <f>0</f>
        <v>0</v>
      </c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</row>
    <row r="837" spans="1:30" ht="15.75" x14ac:dyDescent="0.25">
      <c r="A837" s="32">
        <v>66415</v>
      </c>
      <c r="B837" s="88">
        <f t="shared" si="133"/>
        <v>31</v>
      </c>
      <c r="C837" s="76">
        <f>131.881</f>
        <v>131.881</v>
      </c>
      <c r="D837" s="76">
        <f>277.167</f>
        <v>277.16699999999997</v>
      </c>
      <c r="E837" s="85">
        <f>79.08</f>
        <v>79.08</v>
      </c>
      <c r="F837" s="76">
        <f>350.872-40-25-60-100</f>
        <v>125.87200000000001</v>
      </c>
      <c r="G837" s="79">
        <v>40</v>
      </c>
      <c r="H837" s="76">
        <f t="shared" si="138"/>
        <v>185</v>
      </c>
      <c r="I837" s="76">
        <f t="shared" si="137"/>
        <v>0</v>
      </c>
      <c r="J837" s="79">
        <v>100</v>
      </c>
      <c r="K837" s="79">
        <v>300</v>
      </c>
      <c r="L837" s="76">
        <f t="shared" si="129"/>
        <v>1239</v>
      </c>
      <c r="M837" s="87">
        <v>600</v>
      </c>
      <c r="N837" s="76">
        <f>75</f>
        <v>75</v>
      </c>
      <c r="O837" s="79">
        <v>240</v>
      </c>
      <c r="P837" s="79">
        <v>40</v>
      </c>
      <c r="Q837" s="79">
        <f t="shared" si="130"/>
        <v>315</v>
      </c>
      <c r="R837" s="79">
        <f t="shared" si="131"/>
        <v>100</v>
      </c>
      <c r="S837" s="76">
        <f t="shared" si="132"/>
        <v>695</v>
      </c>
      <c r="T837" s="76">
        <f>0</f>
        <v>0</v>
      </c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</row>
    <row r="838" spans="1:30" ht="15.75" x14ac:dyDescent="0.25">
      <c r="A838" s="32">
        <v>66445</v>
      </c>
      <c r="B838" s="88">
        <f t="shared" si="133"/>
        <v>30</v>
      </c>
      <c r="C838" s="76">
        <f>122.58</f>
        <v>122.58</v>
      </c>
      <c r="D838" s="76">
        <f>297.941</f>
        <v>297.94099999999997</v>
      </c>
      <c r="E838" s="85">
        <f>89.177</f>
        <v>89.177000000000007</v>
      </c>
      <c r="F838" s="76">
        <f>240.302-40-60-100</f>
        <v>40.301999999999992</v>
      </c>
      <c r="G838" s="79">
        <v>40</v>
      </c>
      <c r="H838" s="76">
        <f>60+100</f>
        <v>160</v>
      </c>
      <c r="I838" s="76">
        <f t="shared" si="137"/>
        <v>0</v>
      </c>
      <c r="J838" s="79">
        <v>100</v>
      </c>
      <c r="K838" s="79">
        <v>300</v>
      </c>
      <c r="L838" s="76">
        <f t="shared" si="129"/>
        <v>1150</v>
      </c>
      <c r="M838" s="87">
        <v>600</v>
      </c>
      <c r="N838" s="76">
        <f>100</f>
        <v>100</v>
      </c>
      <c r="O838" s="79">
        <v>240</v>
      </c>
      <c r="P838" s="79">
        <v>40</v>
      </c>
      <c r="Q838" s="79">
        <f t="shared" si="130"/>
        <v>315</v>
      </c>
      <c r="R838" s="79">
        <f t="shared" si="131"/>
        <v>100</v>
      </c>
      <c r="S838" s="76">
        <f t="shared" si="132"/>
        <v>695</v>
      </c>
      <c r="T838" s="76">
        <f>50</f>
        <v>50</v>
      </c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</row>
    <row r="839" spans="1:30" ht="15.75" x14ac:dyDescent="0.25">
      <c r="A839" s="32">
        <v>66476</v>
      </c>
      <c r="B839" s="88">
        <f t="shared" si="133"/>
        <v>31</v>
      </c>
      <c r="C839" s="76">
        <f>122.58</f>
        <v>122.58</v>
      </c>
      <c r="D839" s="76">
        <f>297.941</f>
        <v>297.94099999999997</v>
      </c>
      <c r="E839" s="85">
        <f>89.177</f>
        <v>89.177000000000007</v>
      </c>
      <c r="F839" s="76">
        <f>240.302-40-60-100</f>
        <v>40.301999999999992</v>
      </c>
      <c r="G839" s="79">
        <v>40</v>
      </c>
      <c r="H839" s="76">
        <f>60+100</f>
        <v>160</v>
      </c>
      <c r="I839" s="76">
        <f t="shared" si="137"/>
        <v>0</v>
      </c>
      <c r="J839" s="79">
        <v>100</v>
      </c>
      <c r="K839" s="79">
        <v>300</v>
      </c>
      <c r="L839" s="76">
        <f t="shared" si="129"/>
        <v>1150</v>
      </c>
      <c r="M839" s="87">
        <v>600</v>
      </c>
      <c r="N839" s="76">
        <f>100</f>
        <v>100</v>
      </c>
      <c r="O839" s="79">
        <v>240</v>
      </c>
      <c r="P839" s="79">
        <v>40</v>
      </c>
      <c r="Q839" s="79">
        <f t="shared" si="130"/>
        <v>315</v>
      </c>
      <c r="R839" s="79">
        <f t="shared" si="131"/>
        <v>100</v>
      </c>
      <c r="S839" s="76">
        <f t="shared" si="132"/>
        <v>695</v>
      </c>
      <c r="T839" s="76">
        <f>50</f>
        <v>50</v>
      </c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</row>
    <row r="840" spans="1:30" ht="15.75" x14ac:dyDescent="0.25">
      <c r="A840" s="32">
        <v>66507</v>
      </c>
      <c r="B840" s="88">
        <f t="shared" si="133"/>
        <v>31</v>
      </c>
      <c r="C840" s="76">
        <f>122.58</f>
        <v>122.58</v>
      </c>
      <c r="D840" s="76">
        <f>297.941</f>
        <v>297.94099999999997</v>
      </c>
      <c r="E840" s="85">
        <f>89.177</f>
        <v>89.177000000000007</v>
      </c>
      <c r="F840" s="76">
        <f>240.302-40-60-100</f>
        <v>40.301999999999992</v>
      </c>
      <c r="G840" s="79">
        <v>40</v>
      </c>
      <c r="H840" s="76">
        <f>60+100</f>
        <v>160</v>
      </c>
      <c r="I840" s="76">
        <f t="shared" si="137"/>
        <v>0</v>
      </c>
      <c r="J840" s="79">
        <v>100</v>
      </c>
      <c r="K840" s="79">
        <v>300</v>
      </c>
      <c r="L840" s="76">
        <f t="shared" si="129"/>
        <v>1150</v>
      </c>
      <c r="M840" s="87">
        <v>600</v>
      </c>
      <c r="N840" s="76">
        <f>100</f>
        <v>100</v>
      </c>
      <c r="O840" s="79">
        <v>240</v>
      </c>
      <c r="P840" s="79">
        <v>40</v>
      </c>
      <c r="Q840" s="79">
        <f t="shared" si="130"/>
        <v>315</v>
      </c>
      <c r="R840" s="79">
        <f t="shared" si="131"/>
        <v>100</v>
      </c>
      <c r="S840" s="76">
        <f t="shared" si="132"/>
        <v>695</v>
      </c>
      <c r="T840" s="76">
        <f>50</f>
        <v>50</v>
      </c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</row>
    <row r="841" spans="1:30" ht="15.75" x14ac:dyDescent="0.25">
      <c r="A841" s="32">
        <v>66535</v>
      </c>
      <c r="B841" s="88">
        <f t="shared" si="133"/>
        <v>28</v>
      </c>
      <c r="C841" s="76">
        <f>122.58</f>
        <v>122.58</v>
      </c>
      <c r="D841" s="76">
        <f>297.941</f>
        <v>297.94099999999997</v>
      </c>
      <c r="E841" s="85">
        <f>89.177</f>
        <v>89.177000000000007</v>
      </c>
      <c r="F841" s="76">
        <f>240.302-40-60-100</f>
        <v>40.301999999999992</v>
      </c>
      <c r="G841" s="79">
        <v>40</v>
      </c>
      <c r="H841" s="76">
        <f>60+100</f>
        <v>160</v>
      </c>
      <c r="I841" s="76">
        <f t="shared" si="137"/>
        <v>0</v>
      </c>
      <c r="J841" s="79">
        <v>100</v>
      </c>
      <c r="K841" s="79">
        <v>300</v>
      </c>
      <c r="L841" s="76">
        <f t="shared" si="129"/>
        <v>1150</v>
      </c>
      <c r="M841" s="87">
        <v>600</v>
      </c>
      <c r="N841" s="76">
        <f>100</f>
        <v>100</v>
      </c>
      <c r="O841" s="79">
        <v>240</v>
      </c>
      <c r="P841" s="79">
        <v>40</v>
      </c>
      <c r="Q841" s="79">
        <f t="shared" si="130"/>
        <v>315</v>
      </c>
      <c r="R841" s="79">
        <f t="shared" si="131"/>
        <v>100</v>
      </c>
      <c r="S841" s="76">
        <f t="shared" si="132"/>
        <v>695</v>
      </c>
      <c r="T841" s="76">
        <f>50</f>
        <v>50</v>
      </c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</row>
    <row r="842" spans="1:30" ht="15.75" x14ac:dyDescent="0.25">
      <c r="A842" s="32">
        <v>66566</v>
      </c>
      <c r="B842" s="88">
        <f t="shared" si="133"/>
        <v>31</v>
      </c>
      <c r="C842" s="76">
        <f>122.58</f>
        <v>122.58</v>
      </c>
      <c r="D842" s="76">
        <f>297.941</f>
        <v>297.94099999999997</v>
      </c>
      <c r="E842" s="85">
        <f>89.177</f>
        <v>89.177000000000007</v>
      </c>
      <c r="F842" s="76">
        <f>240.302-40-60-100</f>
        <v>40.301999999999992</v>
      </c>
      <c r="G842" s="79">
        <v>40</v>
      </c>
      <c r="H842" s="76">
        <f>60+100</f>
        <v>160</v>
      </c>
      <c r="I842" s="76">
        <f t="shared" si="137"/>
        <v>0</v>
      </c>
      <c r="J842" s="79">
        <v>100</v>
      </c>
      <c r="K842" s="79">
        <v>300</v>
      </c>
      <c r="L842" s="76">
        <f t="shared" si="129"/>
        <v>1150</v>
      </c>
      <c r="M842" s="87">
        <v>600</v>
      </c>
      <c r="N842" s="76">
        <f>100</f>
        <v>100</v>
      </c>
      <c r="O842" s="79">
        <v>240</v>
      </c>
      <c r="P842" s="79">
        <v>40</v>
      </c>
      <c r="Q842" s="79">
        <f t="shared" si="130"/>
        <v>315</v>
      </c>
      <c r="R842" s="79">
        <f t="shared" si="131"/>
        <v>100</v>
      </c>
      <c r="S842" s="76">
        <f t="shared" si="132"/>
        <v>695</v>
      </c>
      <c r="T842" s="76">
        <f>50</f>
        <v>50</v>
      </c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</row>
    <row r="843" spans="1:30" ht="15.75" x14ac:dyDescent="0.25">
      <c r="A843" s="32">
        <v>66596</v>
      </c>
      <c r="B843" s="88">
        <f t="shared" si="133"/>
        <v>30</v>
      </c>
      <c r="C843" s="76">
        <f>141.293</f>
        <v>141.29300000000001</v>
      </c>
      <c r="D843" s="76">
        <f>267.993</f>
        <v>267.99299999999999</v>
      </c>
      <c r="E843" s="85">
        <f>115.016</f>
        <v>115.01600000000001</v>
      </c>
      <c r="F843" s="76">
        <f>314.698-40-25-60-100</f>
        <v>89.697999999999979</v>
      </c>
      <c r="G843" s="79">
        <v>40</v>
      </c>
      <c r="H843" s="76">
        <f t="shared" ref="H843:H849" si="139">25+60+100</f>
        <v>185</v>
      </c>
      <c r="I843" s="76">
        <f t="shared" si="137"/>
        <v>0</v>
      </c>
      <c r="J843" s="79">
        <v>100</v>
      </c>
      <c r="K843" s="79">
        <v>300</v>
      </c>
      <c r="L843" s="76">
        <f t="shared" si="129"/>
        <v>1239</v>
      </c>
      <c r="M843" s="87">
        <v>600</v>
      </c>
      <c r="N843" s="76">
        <f>100</f>
        <v>100</v>
      </c>
      <c r="O843" s="79">
        <v>240</v>
      </c>
      <c r="P843" s="79">
        <v>40</v>
      </c>
      <c r="Q843" s="79">
        <f t="shared" si="130"/>
        <v>315</v>
      </c>
      <c r="R843" s="79">
        <f t="shared" si="131"/>
        <v>100</v>
      </c>
      <c r="S843" s="76">
        <f t="shared" si="132"/>
        <v>695</v>
      </c>
      <c r="T843" s="76">
        <f>50</f>
        <v>50</v>
      </c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</row>
    <row r="844" spans="1:30" ht="15.75" x14ac:dyDescent="0.25">
      <c r="A844" s="32">
        <v>66627</v>
      </c>
      <c r="B844" s="88">
        <f t="shared" si="133"/>
        <v>31</v>
      </c>
      <c r="C844" s="76">
        <f>194.205</f>
        <v>194.20500000000001</v>
      </c>
      <c r="D844" s="76">
        <f>267.466</f>
        <v>267.46600000000001</v>
      </c>
      <c r="E844" s="85">
        <f>133.845</f>
        <v>133.845</v>
      </c>
      <c r="F844" s="76">
        <f>278.484-40-25-60-100</f>
        <v>53.48399999999998</v>
      </c>
      <c r="G844" s="79">
        <v>40</v>
      </c>
      <c r="H844" s="76">
        <f t="shared" si="139"/>
        <v>185</v>
      </c>
      <c r="I844" s="76">
        <f t="shared" si="137"/>
        <v>0</v>
      </c>
      <c r="J844" s="79">
        <v>100</v>
      </c>
      <c r="K844" s="79">
        <v>300</v>
      </c>
      <c r="L844" s="76">
        <f t="shared" si="129"/>
        <v>1274</v>
      </c>
      <c r="M844" s="87">
        <v>600</v>
      </c>
      <c r="N844" s="76">
        <f>75</f>
        <v>75</v>
      </c>
      <c r="O844" s="79">
        <v>240</v>
      </c>
      <c r="P844" s="79">
        <v>40</v>
      </c>
      <c r="Q844" s="79">
        <f t="shared" si="130"/>
        <v>315</v>
      </c>
      <c r="R844" s="79">
        <f t="shared" si="131"/>
        <v>100</v>
      </c>
      <c r="S844" s="76">
        <f t="shared" si="132"/>
        <v>695</v>
      </c>
      <c r="T844" s="76">
        <f>50</f>
        <v>50</v>
      </c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</row>
    <row r="845" spans="1:30" ht="15.75" x14ac:dyDescent="0.25">
      <c r="A845" s="32">
        <v>66657</v>
      </c>
      <c r="B845" s="88">
        <f t="shared" si="133"/>
        <v>30</v>
      </c>
      <c r="C845" s="76">
        <f>194.205</f>
        <v>194.20500000000001</v>
      </c>
      <c r="D845" s="76">
        <f>267.466</f>
        <v>267.46600000000001</v>
      </c>
      <c r="E845" s="85">
        <f>133.845</f>
        <v>133.845</v>
      </c>
      <c r="F845" s="76">
        <f>278.484-40-25-60-100</f>
        <v>53.48399999999998</v>
      </c>
      <c r="G845" s="79">
        <v>40</v>
      </c>
      <c r="H845" s="76">
        <f t="shared" si="139"/>
        <v>185</v>
      </c>
      <c r="I845" s="76">
        <f t="shared" si="137"/>
        <v>0</v>
      </c>
      <c r="J845" s="79">
        <v>100</v>
      </c>
      <c r="K845" s="79">
        <v>300</v>
      </c>
      <c r="L845" s="76">
        <f t="shared" si="129"/>
        <v>1274</v>
      </c>
      <c r="M845" s="87">
        <v>600</v>
      </c>
      <c r="N845" s="76">
        <f>30</f>
        <v>30</v>
      </c>
      <c r="O845" s="79">
        <v>240</v>
      </c>
      <c r="P845" s="79">
        <v>40</v>
      </c>
      <c r="Q845" s="79">
        <f t="shared" si="130"/>
        <v>315</v>
      </c>
      <c r="R845" s="79">
        <f t="shared" si="131"/>
        <v>100</v>
      </c>
      <c r="S845" s="76">
        <f t="shared" si="132"/>
        <v>695</v>
      </c>
      <c r="T845" s="76">
        <f>50</f>
        <v>50</v>
      </c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</row>
    <row r="846" spans="1:30" ht="15.75" x14ac:dyDescent="0.25">
      <c r="A846" s="32">
        <v>66688</v>
      </c>
      <c r="B846" s="88">
        <f t="shared" si="133"/>
        <v>31</v>
      </c>
      <c r="C846" s="76">
        <f>194.205</f>
        <v>194.20500000000001</v>
      </c>
      <c r="D846" s="76">
        <f>267.466</f>
        <v>267.46600000000001</v>
      </c>
      <c r="E846" s="85">
        <f>133.845</f>
        <v>133.845</v>
      </c>
      <c r="F846" s="76">
        <f>278.484-40-25-60-100</f>
        <v>53.48399999999998</v>
      </c>
      <c r="G846" s="79">
        <v>40</v>
      </c>
      <c r="H846" s="76">
        <f t="shared" si="139"/>
        <v>185</v>
      </c>
      <c r="I846" s="76">
        <f t="shared" si="137"/>
        <v>0</v>
      </c>
      <c r="J846" s="79">
        <v>100</v>
      </c>
      <c r="K846" s="79">
        <v>300</v>
      </c>
      <c r="L846" s="76">
        <f t="shared" si="129"/>
        <v>1274</v>
      </c>
      <c r="M846" s="87">
        <v>600</v>
      </c>
      <c r="N846" s="76">
        <f>30</f>
        <v>30</v>
      </c>
      <c r="O846" s="79">
        <v>240</v>
      </c>
      <c r="P846" s="79">
        <v>40</v>
      </c>
      <c r="Q846" s="79">
        <f t="shared" si="130"/>
        <v>315</v>
      </c>
      <c r="R846" s="79">
        <f t="shared" si="131"/>
        <v>100</v>
      </c>
      <c r="S846" s="76">
        <f t="shared" si="132"/>
        <v>695</v>
      </c>
      <c r="T846" s="76">
        <f>0</f>
        <v>0</v>
      </c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</row>
    <row r="847" spans="1:30" ht="15.75" x14ac:dyDescent="0.25">
      <c r="A847" s="32">
        <v>66719</v>
      </c>
      <c r="B847" s="88">
        <f t="shared" si="133"/>
        <v>31</v>
      </c>
      <c r="C847" s="76">
        <f>194.205</f>
        <v>194.20500000000001</v>
      </c>
      <c r="D847" s="76">
        <f>267.466</f>
        <v>267.46600000000001</v>
      </c>
      <c r="E847" s="85">
        <f>133.845</f>
        <v>133.845</v>
      </c>
      <c r="F847" s="76">
        <f>278.484-40-25-60-100</f>
        <v>53.48399999999998</v>
      </c>
      <c r="G847" s="79">
        <v>40</v>
      </c>
      <c r="H847" s="76">
        <f t="shared" si="139"/>
        <v>185</v>
      </c>
      <c r="I847" s="76">
        <f t="shared" si="137"/>
        <v>0</v>
      </c>
      <c r="J847" s="79">
        <v>100</v>
      </c>
      <c r="K847" s="79">
        <v>300</v>
      </c>
      <c r="L847" s="76">
        <f t="shared" si="129"/>
        <v>1274</v>
      </c>
      <c r="M847" s="87">
        <v>600</v>
      </c>
      <c r="N847" s="76">
        <f>30</f>
        <v>30</v>
      </c>
      <c r="O847" s="79">
        <v>240</v>
      </c>
      <c r="P847" s="79">
        <v>40</v>
      </c>
      <c r="Q847" s="79">
        <f t="shared" si="130"/>
        <v>315</v>
      </c>
      <c r="R847" s="79">
        <f t="shared" si="131"/>
        <v>100</v>
      </c>
      <c r="S847" s="76">
        <f t="shared" si="132"/>
        <v>695</v>
      </c>
      <c r="T847" s="76">
        <f>0</f>
        <v>0</v>
      </c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</row>
    <row r="848" spans="1:30" ht="15.75" x14ac:dyDescent="0.25">
      <c r="A848" s="32">
        <v>66749</v>
      </c>
      <c r="B848" s="88">
        <f t="shared" si="133"/>
        <v>30</v>
      </c>
      <c r="C848" s="76">
        <f>194.205</f>
        <v>194.20500000000001</v>
      </c>
      <c r="D848" s="76">
        <f>267.466</f>
        <v>267.46600000000001</v>
      </c>
      <c r="E848" s="85">
        <f>133.845</f>
        <v>133.845</v>
      </c>
      <c r="F848" s="76">
        <f>278.484-40-25-60-100</f>
        <v>53.48399999999998</v>
      </c>
      <c r="G848" s="79">
        <v>40</v>
      </c>
      <c r="H848" s="76">
        <f t="shared" si="139"/>
        <v>185</v>
      </c>
      <c r="I848" s="76">
        <f t="shared" si="137"/>
        <v>0</v>
      </c>
      <c r="J848" s="79">
        <v>100</v>
      </c>
      <c r="K848" s="79">
        <v>300</v>
      </c>
      <c r="L848" s="76">
        <f t="shared" ref="L848:L911" si="140">SUM(C848:K848)</f>
        <v>1274</v>
      </c>
      <c r="M848" s="87">
        <v>600</v>
      </c>
      <c r="N848" s="76">
        <f>30</f>
        <v>30</v>
      </c>
      <c r="O848" s="79">
        <v>240</v>
      </c>
      <c r="P848" s="79">
        <v>40</v>
      </c>
      <c r="Q848" s="79">
        <f t="shared" ref="Q848:Q911" si="141">695-R848-O848-P848</f>
        <v>315</v>
      </c>
      <c r="R848" s="79">
        <f t="shared" ref="R848:R911" si="142">200-J848</f>
        <v>100</v>
      </c>
      <c r="S848" s="76">
        <f t="shared" ref="S848:S911" si="143">SUM(O848:R848)</f>
        <v>695</v>
      </c>
      <c r="T848" s="76">
        <f>0</f>
        <v>0</v>
      </c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</row>
    <row r="849" spans="1:30" ht="15.75" x14ac:dyDescent="0.25">
      <c r="A849" s="32">
        <v>66780</v>
      </c>
      <c r="B849" s="88">
        <f t="shared" si="133"/>
        <v>31</v>
      </c>
      <c r="C849" s="76">
        <f>131.881</f>
        <v>131.881</v>
      </c>
      <c r="D849" s="76">
        <f>277.167</f>
        <v>277.16699999999997</v>
      </c>
      <c r="E849" s="85">
        <f>79.08</f>
        <v>79.08</v>
      </c>
      <c r="F849" s="76">
        <f>350.872-40-25-60-100</f>
        <v>125.87200000000001</v>
      </c>
      <c r="G849" s="79">
        <v>40</v>
      </c>
      <c r="H849" s="76">
        <f t="shared" si="139"/>
        <v>185</v>
      </c>
      <c r="I849" s="76">
        <f t="shared" si="137"/>
        <v>0</v>
      </c>
      <c r="J849" s="79">
        <v>100</v>
      </c>
      <c r="K849" s="79">
        <v>300</v>
      </c>
      <c r="L849" s="76">
        <f t="shared" si="140"/>
        <v>1239</v>
      </c>
      <c r="M849" s="87">
        <v>600</v>
      </c>
      <c r="N849" s="76">
        <f>75</f>
        <v>75</v>
      </c>
      <c r="O849" s="79">
        <v>240</v>
      </c>
      <c r="P849" s="79">
        <v>40</v>
      </c>
      <c r="Q849" s="79">
        <f t="shared" si="141"/>
        <v>315</v>
      </c>
      <c r="R849" s="79">
        <f t="shared" si="142"/>
        <v>100</v>
      </c>
      <c r="S849" s="76">
        <f t="shared" si="143"/>
        <v>695</v>
      </c>
      <c r="T849" s="76">
        <f>0</f>
        <v>0</v>
      </c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</row>
    <row r="850" spans="1:30" ht="15.75" x14ac:dyDescent="0.25">
      <c r="A850" s="32">
        <v>66810</v>
      </c>
      <c r="B850" s="88">
        <f t="shared" si="133"/>
        <v>30</v>
      </c>
      <c r="C850" s="76">
        <f>122.58</f>
        <v>122.58</v>
      </c>
      <c r="D850" s="76">
        <f>297.941</f>
        <v>297.94099999999997</v>
      </c>
      <c r="E850" s="85">
        <f>89.177</f>
        <v>89.177000000000007</v>
      </c>
      <c r="F850" s="76">
        <f>240.302-40-60-100</f>
        <v>40.301999999999992</v>
      </c>
      <c r="G850" s="79">
        <v>40</v>
      </c>
      <c r="H850" s="76">
        <f>60+100</f>
        <v>160</v>
      </c>
      <c r="I850" s="76">
        <f t="shared" si="137"/>
        <v>0</v>
      </c>
      <c r="J850" s="79">
        <v>100</v>
      </c>
      <c r="K850" s="79">
        <v>300</v>
      </c>
      <c r="L850" s="76">
        <f t="shared" si="140"/>
        <v>1150</v>
      </c>
      <c r="M850" s="87">
        <v>600</v>
      </c>
      <c r="N850" s="76">
        <f>100</f>
        <v>100</v>
      </c>
      <c r="O850" s="79">
        <v>240</v>
      </c>
      <c r="P850" s="79">
        <v>40</v>
      </c>
      <c r="Q850" s="79">
        <f t="shared" si="141"/>
        <v>315</v>
      </c>
      <c r="R850" s="79">
        <f t="shared" si="142"/>
        <v>100</v>
      </c>
      <c r="S850" s="76">
        <f t="shared" si="143"/>
        <v>695</v>
      </c>
      <c r="T850" s="76">
        <f>50</f>
        <v>50</v>
      </c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</row>
    <row r="851" spans="1:30" ht="15.75" x14ac:dyDescent="0.25">
      <c r="A851" s="32">
        <v>66841</v>
      </c>
      <c r="B851" s="88">
        <f t="shared" si="133"/>
        <v>31</v>
      </c>
      <c r="C851" s="76">
        <f>122.58</f>
        <v>122.58</v>
      </c>
      <c r="D851" s="76">
        <f>297.941</f>
        <v>297.94099999999997</v>
      </c>
      <c r="E851" s="85">
        <f>89.177</f>
        <v>89.177000000000007</v>
      </c>
      <c r="F851" s="76">
        <f>240.302-40-60-100</f>
        <v>40.301999999999992</v>
      </c>
      <c r="G851" s="79">
        <v>40</v>
      </c>
      <c r="H851" s="76">
        <f>60+100</f>
        <v>160</v>
      </c>
      <c r="I851" s="76">
        <f t="shared" si="137"/>
        <v>0</v>
      </c>
      <c r="J851" s="79">
        <v>100</v>
      </c>
      <c r="K851" s="79">
        <v>300</v>
      </c>
      <c r="L851" s="76">
        <f t="shared" si="140"/>
        <v>1150</v>
      </c>
      <c r="M851" s="87">
        <v>600</v>
      </c>
      <c r="N851" s="76">
        <f>100</f>
        <v>100</v>
      </c>
      <c r="O851" s="79">
        <v>240</v>
      </c>
      <c r="P851" s="79">
        <v>40</v>
      </c>
      <c r="Q851" s="79">
        <f t="shared" si="141"/>
        <v>315</v>
      </c>
      <c r="R851" s="79">
        <f t="shared" si="142"/>
        <v>100</v>
      </c>
      <c r="S851" s="76">
        <f t="shared" si="143"/>
        <v>695</v>
      </c>
      <c r="T851" s="76">
        <f>50</f>
        <v>50</v>
      </c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</row>
    <row r="852" spans="1:30" ht="15.75" x14ac:dyDescent="0.25">
      <c r="A852" s="32">
        <v>66872</v>
      </c>
      <c r="B852" s="88">
        <f t="shared" si="133"/>
        <v>31</v>
      </c>
      <c r="C852" s="76">
        <f>122.58</f>
        <v>122.58</v>
      </c>
      <c r="D852" s="76">
        <f>297.941</f>
        <v>297.94099999999997</v>
      </c>
      <c r="E852" s="85">
        <f>89.177</f>
        <v>89.177000000000007</v>
      </c>
      <c r="F852" s="76">
        <f>240.302-40-60-100</f>
        <v>40.301999999999992</v>
      </c>
      <c r="G852" s="79">
        <v>40</v>
      </c>
      <c r="H852" s="76">
        <f>60+100</f>
        <v>160</v>
      </c>
      <c r="I852" s="76">
        <f t="shared" si="137"/>
        <v>0</v>
      </c>
      <c r="J852" s="79">
        <v>100</v>
      </c>
      <c r="K852" s="79">
        <v>300</v>
      </c>
      <c r="L852" s="76">
        <f t="shared" si="140"/>
        <v>1150</v>
      </c>
      <c r="M852" s="87">
        <v>600</v>
      </c>
      <c r="N852" s="76">
        <f>100</f>
        <v>100</v>
      </c>
      <c r="O852" s="79">
        <v>240</v>
      </c>
      <c r="P852" s="79">
        <v>40</v>
      </c>
      <c r="Q852" s="79">
        <f t="shared" si="141"/>
        <v>315</v>
      </c>
      <c r="R852" s="79">
        <f t="shared" si="142"/>
        <v>100</v>
      </c>
      <c r="S852" s="76">
        <f t="shared" si="143"/>
        <v>695</v>
      </c>
      <c r="T852" s="76">
        <f>50</f>
        <v>50</v>
      </c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</row>
    <row r="853" spans="1:30" ht="15.75" x14ac:dyDescent="0.25">
      <c r="A853" s="32">
        <v>66900</v>
      </c>
      <c r="B853" s="88">
        <f t="shared" si="133"/>
        <v>28</v>
      </c>
      <c r="C853" s="76">
        <f>122.58</f>
        <v>122.58</v>
      </c>
      <c r="D853" s="76">
        <f>297.941</f>
        <v>297.94099999999997</v>
      </c>
      <c r="E853" s="85">
        <f>89.177</f>
        <v>89.177000000000007</v>
      </c>
      <c r="F853" s="76">
        <f>240.302-40-60-100</f>
        <v>40.301999999999992</v>
      </c>
      <c r="G853" s="79">
        <v>40</v>
      </c>
      <c r="H853" s="76">
        <f>60+100</f>
        <v>160</v>
      </c>
      <c r="I853" s="76">
        <f t="shared" si="137"/>
        <v>0</v>
      </c>
      <c r="J853" s="79">
        <v>100</v>
      </c>
      <c r="K853" s="79">
        <v>300</v>
      </c>
      <c r="L853" s="76">
        <f t="shared" si="140"/>
        <v>1150</v>
      </c>
      <c r="M853" s="87">
        <v>600</v>
      </c>
      <c r="N853" s="76">
        <f>100</f>
        <v>100</v>
      </c>
      <c r="O853" s="79">
        <v>240</v>
      </c>
      <c r="P853" s="79">
        <v>40</v>
      </c>
      <c r="Q853" s="79">
        <f t="shared" si="141"/>
        <v>315</v>
      </c>
      <c r="R853" s="79">
        <f t="shared" si="142"/>
        <v>100</v>
      </c>
      <c r="S853" s="76">
        <f t="shared" si="143"/>
        <v>695</v>
      </c>
      <c r="T853" s="76">
        <f>50</f>
        <v>50</v>
      </c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</row>
    <row r="854" spans="1:30" ht="15.75" x14ac:dyDescent="0.25">
      <c r="A854" s="32">
        <v>66931</v>
      </c>
      <c r="B854" s="88">
        <f t="shared" si="133"/>
        <v>31</v>
      </c>
      <c r="C854" s="76">
        <f>122.58</f>
        <v>122.58</v>
      </c>
      <c r="D854" s="76">
        <f>297.941</f>
        <v>297.94099999999997</v>
      </c>
      <c r="E854" s="85">
        <f>89.177</f>
        <v>89.177000000000007</v>
      </c>
      <c r="F854" s="76">
        <f>240.302-40-60-100</f>
        <v>40.301999999999992</v>
      </c>
      <c r="G854" s="79">
        <v>40</v>
      </c>
      <c r="H854" s="76">
        <f>60+100</f>
        <v>160</v>
      </c>
      <c r="I854" s="76">
        <f t="shared" si="137"/>
        <v>0</v>
      </c>
      <c r="J854" s="79">
        <v>100</v>
      </c>
      <c r="K854" s="79">
        <v>300</v>
      </c>
      <c r="L854" s="76">
        <f t="shared" si="140"/>
        <v>1150</v>
      </c>
      <c r="M854" s="87">
        <v>600</v>
      </c>
      <c r="N854" s="76">
        <f>100</f>
        <v>100</v>
      </c>
      <c r="O854" s="79">
        <v>240</v>
      </c>
      <c r="P854" s="79">
        <v>40</v>
      </c>
      <c r="Q854" s="79">
        <f t="shared" si="141"/>
        <v>315</v>
      </c>
      <c r="R854" s="79">
        <f t="shared" si="142"/>
        <v>100</v>
      </c>
      <c r="S854" s="76">
        <f t="shared" si="143"/>
        <v>695</v>
      </c>
      <c r="T854" s="76">
        <f>50</f>
        <v>50</v>
      </c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</row>
    <row r="855" spans="1:30" ht="15.75" x14ac:dyDescent="0.25">
      <c r="A855" s="32">
        <v>66961</v>
      </c>
      <c r="B855" s="88">
        <f t="shared" si="133"/>
        <v>30</v>
      </c>
      <c r="C855" s="76">
        <f>141.293</f>
        <v>141.29300000000001</v>
      </c>
      <c r="D855" s="76">
        <f>267.993</f>
        <v>267.99299999999999</v>
      </c>
      <c r="E855" s="85">
        <f>115.016</f>
        <v>115.01600000000001</v>
      </c>
      <c r="F855" s="76">
        <f>314.698-40-25-60-100</f>
        <v>89.697999999999979</v>
      </c>
      <c r="G855" s="79">
        <v>40</v>
      </c>
      <c r="H855" s="76">
        <f t="shared" ref="H855:H861" si="144">25+60+100</f>
        <v>185</v>
      </c>
      <c r="I855" s="76">
        <f t="shared" si="137"/>
        <v>0</v>
      </c>
      <c r="J855" s="79">
        <v>100</v>
      </c>
      <c r="K855" s="79">
        <v>300</v>
      </c>
      <c r="L855" s="76">
        <f t="shared" si="140"/>
        <v>1239</v>
      </c>
      <c r="M855" s="87">
        <v>600</v>
      </c>
      <c r="N855" s="76">
        <f>100</f>
        <v>100</v>
      </c>
      <c r="O855" s="79">
        <v>240</v>
      </c>
      <c r="P855" s="79">
        <v>40</v>
      </c>
      <c r="Q855" s="79">
        <f t="shared" si="141"/>
        <v>315</v>
      </c>
      <c r="R855" s="79">
        <f t="shared" si="142"/>
        <v>100</v>
      </c>
      <c r="S855" s="76">
        <f t="shared" si="143"/>
        <v>695</v>
      </c>
      <c r="T855" s="76">
        <f>50</f>
        <v>50</v>
      </c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</row>
    <row r="856" spans="1:30" ht="15.75" x14ac:dyDescent="0.25">
      <c r="A856" s="32">
        <v>66992</v>
      </c>
      <c r="B856" s="88">
        <f t="shared" ref="B856:B919" si="145">EOMONTH(A856,0)-EOMONTH(A856,-1)</f>
        <v>31</v>
      </c>
      <c r="C856" s="76">
        <f>194.205</f>
        <v>194.20500000000001</v>
      </c>
      <c r="D856" s="76">
        <f>267.466</f>
        <v>267.46600000000001</v>
      </c>
      <c r="E856" s="85">
        <f>133.845</f>
        <v>133.845</v>
      </c>
      <c r="F856" s="76">
        <f>278.484-40-25-60-100</f>
        <v>53.48399999999998</v>
      </c>
      <c r="G856" s="79">
        <v>40</v>
      </c>
      <c r="H856" s="76">
        <f t="shared" si="144"/>
        <v>185</v>
      </c>
      <c r="I856" s="76">
        <f t="shared" si="137"/>
        <v>0</v>
      </c>
      <c r="J856" s="79">
        <v>100</v>
      </c>
      <c r="K856" s="79">
        <v>300</v>
      </c>
      <c r="L856" s="76">
        <f t="shared" si="140"/>
        <v>1274</v>
      </c>
      <c r="M856" s="87">
        <v>600</v>
      </c>
      <c r="N856" s="76">
        <f>75</f>
        <v>75</v>
      </c>
      <c r="O856" s="79">
        <v>240</v>
      </c>
      <c r="P856" s="79">
        <v>40</v>
      </c>
      <c r="Q856" s="79">
        <f t="shared" si="141"/>
        <v>315</v>
      </c>
      <c r="R856" s="79">
        <f t="shared" si="142"/>
        <v>100</v>
      </c>
      <c r="S856" s="76">
        <f t="shared" si="143"/>
        <v>695</v>
      </c>
      <c r="T856" s="76">
        <f>50</f>
        <v>50</v>
      </c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</row>
    <row r="857" spans="1:30" ht="15.75" x14ac:dyDescent="0.25">
      <c r="A857" s="32">
        <v>67022</v>
      </c>
      <c r="B857" s="88">
        <f t="shared" si="145"/>
        <v>30</v>
      </c>
      <c r="C857" s="76">
        <f>194.205</f>
        <v>194.20500000000001</v>
      </c>
      <c r="D857" s="76">
        <f>267.466</f>
        <v>267.46600000000001</v>
      </c>
      <c r="E857" s="85">
        <f>133.845</f>
        <v>133.845</v>
      </c>
      <c r="F857" s="76">
        <f>278.484-40-25-60-100</f>
        <v>53.48399999999998</v>
      </c>
      <c r="G857" s="79">
        <v>40</v>
      </c>
      <c r="H857" s="76">
        <f t="shared" si="144"/>
        <v>185</v>
      </c>
      <c r="I857" s="76">
        <f t="shared" si="137"/>
        <v>0</v>
      </c>
      <c r="J857" s="79">
        <v>100</v>
      </c>
      <c r="K857" s="79">
        <v>300</v>
      </c>
      <c r="L857" s="76">
        <f t="shared" si="140"/>
        <v>1274</v>
      </c>
      <c r="M857" s="87">
        <v>600</v>
      </c>
      <c r="N857" s="76">
        <f>30</f>
        <v>30</v>
      </c>
      <c r="O857" s="79">
        <v>240</v>
      </c>
      <c r="P857" s="79">
        <v>40</v>
      </c>
      <c r="Q857" s="79">
        <f t="shared" si="141"/>
        <v>315</v>
      </c>
      <c r="R857" s="79">
        <f t="shared" si="142"/>
        <v>100</v>
      </c>
      <c r="S857" s="76">
        <f t="shared" si="143"/>
        <v>695</v>
      </c>
      <c r="T857" s="76">
        <f>50</f>
        <v>50</v>
      </c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</row>
    <row r="858" spans="1:30" ht="15.75" x14ac:dyDescent="0.25">
      <c r="A858" s="32">
        <v>67053</v>
      </c>
      <c r="B858" s="88">
        <f t="shared" si="145"/>
        <v>31</v>
      </c>
      <c r="C858" s="76">
        <f>194.205</f>
        <v>194.20500000000001</v>
      </c>
      <c r="D858" s="76">
        <f>267.466</f>
        <v>267.46600000000001</v>
      </c>
      <c r="E858" s="85">
        <f>133.845</f>
        <v>133.845</v>
      </c>
      <c r="F858" s="76">
        <f>278.484-40-25-60-100</f>
        <v>53.48399999999998</v>
      </c>
      <c r="G858" s="79">
        <v>40</v>
      </c>
      <c r="H858" s="76">
        <f t="shared" si="144"/>
        <v>185</v>
      </c>
      <c r="I858" s="76">
        <f t="shared" si="137"/>
        <v>0</v>
      </c>
      <c r="J858" s="79">
        <v>100</v>
      </c>
      <c r="K858" s="79">
        <v>300</v>
      </c>
      <c r="L858" s="76">
        <f t="shared" si="140"/>
        <v>1274</v>
      </c>
      <c r="M858" s="87">
        <v>600</v>
      </c>
      <c r="N858" s="76">
        <f>30</f>
        <v>30</v>
      </c>
      <c r="O858" s="79">
        <v>240</v>
      </c>
      <c r="P858" s="79">
        <v>40</v>
      </c>
      <c r="Q858" s="79">
        <f t="shared" si="141"/>
        <v>315</v>
      </c>
      <c r="R858" s="79">
        <f t="shared" si="142"/>
        <v>100</v>
      </c>
      <c r="S858" s="76">
        <f t="shared" si="143"/>
        <v>695</v>
      </c>
      <c r="T858" s="76">
        <f>0</f>
        <v>0</v>
      </c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</row>
    <row r="859" spans="1:30" ht="15.75" x14ac:dyDescent="0.25">
      <c r="A859" s="32">
        <v>67084</v>
      </c>
      <c r="B859" s="88">
        <f t="shared" si="145"/>
        <v>31</v>
      </c>
      <c r="C859" s="76">
        <f>194.205</f>
        <v>194.20500000000001</v>
      </c>
      <c r="D859" s="76">
        <f>267.466</f>
        <v>267.46600000000001</v>
      </c>
      <c r="E859" s="85">
        <f>133.845</f>
        <v>133.845</v>
      </c>
      <c r="F859" s="76">
        <f>278.484-40-25-60-100</f>
        <v>53.48399999999998</v>
      </c>
      <c r="G859" s="79">
        <v>40</v>
      </c>
      <c r="H859" s="76">
        <f t="shared" si="144"/>
        <v>185</v>
      </c>
      <c r="I859" s="76">
        <f t="shared" si="137"/>
        <v>0</v>
      </c>
      <c r="J859" s="79">
        <v>100</v>
      </c>
      <c r="K859" s="79">
        <v>300</v>
      </c>
      <c r="L859" s="76">
        <f t="shared" si="140"/>
        <v>1274</v>
      </c>
      <c r="M859" s="87">
        <v>600</v>
      </c>
      <c r="N859" s="76">
        <f>30</f>
        <v>30</v>
      </c>
      <c r="O859" s="79">
        <v>240</v>
      </c>
      <c r="P859" s="79">
        <v>40</v>
      </c>
      <c r="Q859" s="79">
        <f t="shared" si="141"/>
        <v>315</v>
      </c>
      <c r="R859" s="79">
        <f t="shared" si="142"/>
        <v>100</v>
      </c>
      <c r="S859" s="76">
        <f t="shared" si="143"/>
        <v>695</v>
      </c>
      <c r="T859" s="76">
        <f>0</f>
        <v>0</v>
      </c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</row>
    <row r="860" spans="1:30" ht="15.75" x14ac:dyDescent="0.25">
      <c r="A860" s="32">
        <v>67114</v>
      </c>
      <c r="B860" s="88">
        <f t="shared" si="145"/>
        <v>30</v>
      </c>
      <c r="C860" s="76">
        <f>194.205</f>
        <v>194.20500000000001</v>
      </c>
      <c r="D860" s="76">
        <f>267.466</f>
        <v>267.46600000000001</v>
      </c>
      <c r="E860" s="85">
        <f>133.845</f>
        <v>133.845</v>
      </c>
      <c r="F860" s="76">
        <f>278.484-40-25-60-100</f>
        <v>53.48399999999998</v>
      </c>
      <c r="G860" s="79">
        <v>40</v>
      </c>
      <c r="H860" s="76">
        <f t="shared" si="144"/>
        <v>185</v>
      </c>
      <c r="I860" s="76">
        <f t="shared" si="137"/>
        <v>0</v>
      </c>
      <c r="J860" s="79">
        <v>100</v>
      </c>
      <c r="K860" s="79">
        <v>300</v>
      </c>
      <c r="L860" s="76">
        <f t="shared" si="140"/>
        <v>1274</v>
      </c>
      <c r="M860" s="87">
        <v>600</v>
      </c>
      <c r="N860" s="76">
        <f>30</f>
        <v>30</v>
      </c>
      <c r="O860" s="79">
        <v>240</v>
      </c>
      <c r="P860" s="79">
        <v>40</v>
      </c>
      <c r="Q860" s="79">
        <f t="shared" si="141"/>
        <v>315</v>
      </c>
      <c r="R860" s="79">
        <f t="shared" si="142"/>
        <v>100</v>
      </c>
      <c r="S860" s="76">
        <f t="shared" si="143"/>
        <v>695</v>
      </c>
      <c r="T860" s="76">
        <f>0</f>
        <v>0</v>
      </c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</row>
    <row r="861" spans="1:30" ht="15.75" x14ac:dyDescent="0.25">
      <c r="A861" s="32">
        <v>67145</v>
      </c>
      <c r="B861" s="88">
        <f t="shared" si="145"/>
        <v>31</v>
      </c>
      <c r="C861" s="76">
        <f>131.881</f>
        <v>131.881</v>
      </c>
      <c r="D861" s="76">
        <f>277.167</f>
        <v>277.16699999999997</v>
      </c>
      <c r="E861" s="85">
        <f>79.08</f>
        <v>79.08</v>
      </c>
      <c r="F861" s="76">
        <f>350.872-40-25-60-100</f>
        <v>125.87200000000001</v>
      </c>
      <c r="G861" s="79">
        <v>40</v>
      </c>
      <c r="H861" s="76">
        <f t="shared" si="144"/>
        <v>185</v>
      </c>
      <c r="I861" s="76">
        <f t="shared" si="137"/>
        <v>0</v>
      </c>
      <c r="J861" s="79">
        <v>100</v>
      </c>
      <c r="K861" s="79">
        <v>300</v>
      </c>
      <c r="L861" s="76">
        <f t="shared" si="140"/>
        <v>1239</v>
      </c>
      <c r="M861" s="87">
        <v>600</v>
      </c>
      <c r="N861" s="76">
        <f>75</f>
        <v>75</v>
      </c>
      <c r="O861" s="79">
        <v>240</v>
      </c>
      <c r="P861" s="79">
        <v>40</v>
      </c>
      <c r="Q861" s="79">
        <f t="shared" si="141"/>
        <v>315</v>
      </c>
      <c r="R861" s="79">
        <f t="shared" si="142"/>
        <v>100</v>
      </c>
      <c r="S861" s="76">
        <f t="shared" si="143"/>
        <v>695</v>
      </c>
      <c r="T861" s="76">
        <f>0</f>
        <v>0</v>
      </c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</row>
    <row r="862" spans="1:30" ht="15.75" x14ac:dyDescent="0.25">
      <c r="A862" s="32">
        <v>67175</v>
      </c>
      <c r="B862" s="88">
        <f t="shared" si="145"/>
        <v>30</v>
      </c>
      <c r="C862" s="76">
        <f>122.58</f>
        <v>122.58</v>
      </c>
      <c r="D862" s="76">
        <f>297.941</f>
        <v>297.94099999999997</v>
      </c>
      <c r="E862" s="85">
        <f>89.177</f>
        <v>89.177000000000007</v>
      </c>
      <c r="F862" s="76">
        <f>240.302-40-60-100</f>
        <v>40.301999999999992</v>
      </c>
      <c r="G862" s="79">
        <v>40</v>
      </c>
      <c r="H862" s="76">
        <f>60+100</f>
        <v>160</v>
      </c>
      <c r="I862" s="76">
        <f t="shared" si="137"/>
        <v>0</v>
      </c>
      <c r="J862" s="79">
        <v>100</v>
      </c>
      <c r="K862" s="79">
        <v>300</v>
      </c>
      <c r="L862" s="76">
        <f t="shared" si="140"/>
        <v>1150</v>
      </c>
      <c r="M862" s="87">
        <v>600</v>
      </c>
      <c r="N862" s="76">
        <f>100</f>
        <v>100</v>
      </c>
      <c r="O862" s="79">
        <v>240</v>
      </c>
      <c r="P862" s="79">
        <v>40</v>
      </c>
      <c r="Q862" s="79">
        <f t="shared" si="141"/>
        <v>315</v>
      </c>
      <c r="R862" s="79">
        <f t="shared" si="142"/>
        <v>100</v>
      </c>
      <c r="S862" s="76">
        <f t="shared" si="143"/>
        <v>695</v>
      </c>
      <c r="T862" s="76">
        <f>50</f>
        <v>50</v>
      </c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</row>
    <row r="863" spans="1:30" ht="15.75" x14ac:dyDescent="0.25">
      <c r="A863" s="32">
        <v>67206</v>
      </c>
      <c r="B863" s="88">
        <f t="shared" si="145"/>
        <v>31</v>
      </c>
      <c r="C863" s="76">
        <f>122.58</f>
        <v>122.58</v>
      </c>
      <c r="D863" s="76">
        <f>297.941</f>
        <v>297.94099999999997</v>
      </c>
      <c r="E863" s="85">
        <f>89.177</f>
        <v>89.177000000000007</v>
      </c>
      <c r="F863" s="76">
        <f>240.302-40-60-100</f>
        <v>40.301999999999992</v>
      </c>
      <c r="G863" s="79">
        <v>40</v>
      </c>
      <c r="H863" s="76">
        <f>60+100</f>
        <v>160</v>
      </c>
      <c r="I863" s="76">
        <f t="shared" si="137"/>
        <v>0</v>
      </c>
      <c r="J863" s="79">
        <v>100</v>
      </c>
      <c r="K863" s="79">
        <v>300</v>
      </c>
      <c r="L863" s="76">
        <f t="shared" si="140"/>
        <v>1150</v>
      </c>
      <c r="M863" s="87">
        <v>600</v>
      </c>
      <c r="N863" s="76">
        <f>100</f>
        <v>100</v>
      </c>
      <c r="O863" s="79">
        <v>240</v>
      </c>
      <c r="P863" s="79">
        <v>40</v>
      </c>
      <c r="Q863" s="79">
        <f t="shared" si="141"/>
        <v>315</v>
      </c>
      <c r="R863" s="79">
        <f t="shared" si="142"/>
        <v>100</v>
      </c>
      <c r="S863" s="76">
        <f t="shared" si="143"/>
        <v>695</v>
      </c>
      <c r="T863" s="76">
        <f>50</f>
        <v>50</v>
      </c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</row>
    <row r="864" spans="1:30" ht="15.75" x14ac:dyDescent="0.25">
      <c r="A864" s="32">
        <v>67237</v>
      </c>
      <c r="B864" s="88">
        <f t="shared" si="145"/>
        <v>31</v>
      </c>
      <c r="C864" s="76">
        <f>122.58</f>
        <v>122.58</v>
      </c>
      <c r="D864" s="76">
        <f>297.941</f>
        <v>297.94099999999997</v>
      </c>
      <c r="E864" s="85">
        <f>89.177</f>
        <v>89.177000000000007</v>
      </c>
      <c r="F864" s="76">
        <f>240.302-40-60-100</f>
        <v>40.301999999999992</v>
      </c>
      <c r="G864" s="79">
        <v>40</v>
      </c>
      <c r="H864" s="76">
        <f>60+100</f>
        <v>160</v>
      </c>
      <c r="I864" s="76">
        <f t="shared" si="137"/>
        <v>0</v>
      </c>
      <c r="J864" s="79">
        <v>100</v>
      </c>
      <c r="K864" s="79">
        <v>300</v>
      </c>
      <c r="L864" s="76">
        <f t="shared" si="140"/>
        <v>1150</v>
      </c>
      <c r="M864" s="87">
        <v>600</v>
      </c>
      <c r="N864" s="76">
        <f>100</f>
        <v>100</v>
      </c>
      <c r="O864" s="79">
        <v>240</v>
      </c>
      <c r="P864" s="79">
        <v>40</v>
      </c>
      <c r="Q864" s="79">
        <f t="shared" si="141"/>
        <v>315</v>
      </c>
      <c r="R864" s="79">
        <f t="shared" si="142"/>
        <v>100</v>
      </c>
      <c r="S864" s="76">
        <f t="shared" si="143"/>
        <v>695</v>
      </c>
      <c r="T864" s="76">
        <f>50</f>
        <v>50</v>
      </c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</row>
    <row r="865" spans="1:30" ht="15.75" x14ac:dyDescent="0.25">
      <c r="A865" s="32">
        <v>67266</v>
      </c>
      <c r="B865" s="88">
        <f t="shared" si="145"/>
        <v>29</v>
      </c>
      <c r="C865" s="76">
        <f>122.58</f>
        <v>122.58</v>
      </c>
      <c r="D865" s="76">
        <f>297.941</f>
        <v>297.94099999999997</v>
      </c>
      <c r="E865" s="85">
        <f>89.177</f>
        <v>89.177000000000007</v>
      </c>
      <c r="F865" s="76">
        <f>240.302-40-60-100</f>
        <v>40.301999999999992</v>
      </c>
      <c r="G865" s="79">
        <v>40</v>
      </c>
      <c r="H865" s="76">
        <f>60+100</f>
        <v>160</v>
      </c>
      <c r="I865" s="76">
        <f t="shared" si="137"/>
        <v>0</v>
      </c>
      <c r="J865" s="79">
        <v>100</v>
      </c>
      <c r="K865" s="79">
        <v>300</v>
      </c>
      <c r="L865" s="76">
        <f t="shared" si="140"/>
        <v>1150</v>
      </c>
      <c r="M865" s="87">
        <v>600</v>
      </c>
      <c r="N865" s="76">
        <f>100</f>
        <v>100</v>
      </c>
      <c r="O865" s="79">
        <v>240</v>
      </c>
      <c r="P865" s="79">
        <v>40</v>
      </c>
      <c r="Q865" s="79">
        <f t="shared" si="141"/>
        <v>315</v>
      </c>
      <c r="R865" s="79">
        <f t="shared" si="142"/>
        <v>100</v>
      </c>
      <c r="S865" s="76">
        <f t="shared" si="143"/>
        <v>695</v>
      </c>
      <c r="T865" s="76">
        <f>50</f>
        <v>50</v>
      </c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</row>
    <row r="866" spans="1:30" ht="15.75" x14ac:dyDescent="0.25">
      <c r="A866" s="32">
        <v>67297</v>
      </c>
      <c r="B866" s="88">
        <f t="shared" si="145"/>
        <v>31</v>
      </c>
      <c r="C866" s="76">
        <f>122.58</f>
        <v>122.58</v>
      </c>
      <c r="D866" s="76">
        <f>297.941</f>
        <v>297.94099999999997</v>
      </c>
      <c r="E866" s="85">
        <f>89.177</f>
        <v>89.177000000000007</v>
      </c>
      <c r="F866" s="76">
        <f>240.302-40-60-100</f>
        <v>40.301999999999992</v>
      </c>
      <c r="G866" s="79">
        <v>40</v>
      </c>
      <c r="H866" s="76">
        <f>60+100</f>
        <v>160</v>
      </c>
      <c r="I866" s="76">
        <f t="shared" si="137"/>
        <v>0</v>
      </c>
      <c r="J866" s="79">
        <v>100</v>
      </c>
      <c r="K866" s="79">
        <v>300</v>
      </c>
      <c r="L866" s="76">
        <f t="shared" si="140"/>
        <v>1150</v>
      </c>
      <c r="M866" s="87">
        <v>600</v>
      </c>
      <c r="N866" s="76">
        <f>100</f>
        <v>100</v>
      </c>
      <c r="O866" s="79">
        <v>240</v>
      </c>
      <c r="P866" s="79">
        <v>40</v>
      </c>
      <c r="Q866" s="79">
        <f t="shared" si="141"/>
        <v>315</v>
      </c>
      <c r="R866" s="79">
        <f t="shared" si="142"/>
        <v>100</v>
      </c>
      <c r="S866" s="76">
        <f t="shared" si="143"/>
        <v>695</v>
      </c>
      <c r="T866" s="76">
        <f>50</f>
        <v>50</v>
      </c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</row>
    <row r="867" spans="1:30" ht="15.75" x14ac:dyDescent="0.25">
      <c r="A867" s="32">
        <v>67327</v>
      </c>
      <c r="B867" s="88">
        <f t="shared" si="145"/>
        <v>30</v>
      </c>
      <c r="C867" s="76">
        <f>141.293</f>
        <v>141.29300000000001</v>
      </c>
      <c r="D867" s="76">
        <f>267.993</f>
        <v>267.99299999999999</v>
      </c>
      <c r="E867" s="85">
        <f>115.016</f>
        <v>115.01600000000001</v>
      </c>
      <c r="F867" s="76">
        <f>314.698-40-25-60-100</f>
        <v>89.697999999999979</v>
      </c>
      <c r="G867" s="79">
        <v>40</v>
      </c>
      <c r="H867" s="76">
        <f t="shared" ref="H867:H873" si="146">25+60+100</f>
        <v>185</v>
      </c>
      <c r="I867" s="76">
        <f t="shared" si="137"/>
        <v>0</v>
      </c>
      <c r="J867" s="79">
        <v>100</v>
      </c>
      <c r="K867" s="79">
        <v>300</v>
      </c>
      <c r="L867" s="76">
        <f t="shared" si="140"/>
        <v>1239</v>
      </c>
      <c r="M867" s="87">
        <v>600</v>
      </c>
      <c r="N867" s="76">
        <f>100</f>
        <v>100</v>
      </c>
      <c r="O867" s="79">
        <v>240</v>
      </c>
      <c r="P867" s="79">
        <v>40</v>
      </c>
      <c r="Q867" s="79">
        <f t="shared" si="141"/>
        <v>315</v>
      </c>
      <c r="R867" s="79">
        <f t="shared" si="142"/>
        <v>100</v>
      </c>
      <c r="S867" s="76">
        <f t="shared" si="143"/>
        <v>695</v>
      </c>
      <c r="T867" s="76">
        <f>50</f>
        <v>50</v>
      </c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</row>
    <row r="868" spans="1:30" ht="15.75" x14ac:dyDescent="0.25">
      <c r="A868" s="32">
        <v>67358</v>
      </c>
      <c r="B868" s="88">
        <f t="shared" si="145"/>
        <v>31</v>
      </c>
      <c r="C868" s="76">
        <f>194.205</f>
        <v>194.20500000000001</v>
      </c>
      <c r="D868" s="76">
        <f>267.466</f>
        <v>267.46600000000001</v>
      </c>
      <c r="E868" s="85">
        <f>133.845</f>
        <v>133.845</v>
      </c>
      <c r="F868" s="76">
        <f>278.484-40-25-60-100</f>
        <v>53.48399999999998</v>
      </c>
      <c r="G868" s="79">
        <v>40</v>
      </c>
      <c r="H868" s="76">
        <f t="shared" si="146"/>
        <v>185</v>
      </c>
      <c r="I868" s="76">
        <f t="shared" si="137"/>
        <v>0</v>
      </c>
      <c r="J868" s="79">
        <v>100</v>
      </c>
      <c r="K868" s="79">
        <v>300</v>
      </c>
      <c r="L868" s="76">
        <f t="shared" si="140"/>
        <v>1274</v>
      </c>
      <c r="M868" s="87">
        <v>600</v>
      </c>
      <c r="N868" s="76">
        <f>75</f>
        <v>75</v>
      </c>
      <c r="O868" s="79">
        <v>240</v>
      </c>
      <c r="P868" s="79">
        <v>40</v>
      </c>
      <c r="Q868" s="79">
        <f t="shared" si="141"/>
        <v>315</v>
      </c>
      <c r="R868" s="79">
        <f t="shared" si="142"/>
        <v>100</v>
      </c>
      <c r="S868" s="76">
        <f t="shared" si="143"/>
        <v>695</v>
      </c>
      <c r="T868" s="76">
        <f>50</f>
        <v>50</v>
      </c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</row>
    <row r="869" spans="1:30" ht="15.75" x14ac:dyDescent="0.25">
      <c r="A869" s="32">
        <v>67388</v>
      </c>
      <c r="B869" s="88">
        <f t="shared" si="145"/>
        <v>30</v>
      </c>
      <c r="C869" s="76">
        <f>194.205</f>
        <v>194.20500000000001</v>
      </c>
      <c r="D869" s="76">
        <f>267.466</f>
        <v>267.46600000000001</v>
      </c>
      <c r="E869" s="85">
        <f>133.845</f>
        <v>133.845</v>
      </c>
      <c r="F869" s="76">
        <f>278.484-40-25-60-100</f>
        <v>53.48399999999998</v>
      </c>
      <c r="G869" s="79">
        <v>40</v>
      </c>
      <c r="H869" s="76">
        <f t="shared" si="146"/>
        <v>185</v>
      </c>
      <c r="I869" s="76">
        <f t="shared" si="137"/>
        <v>0</v>
      </c>
      <c r="J869" s="79">
        <v>100</v>
      </c>
      <c r="K869" s="79">
        <v>300</v>
      </c>
      <c r="L869" s="76">
        <f t="shared" si="140"/>
        <v>1274</v>
      </c>
      <c r="M869" s="87">
        <v>600</v>
      </c>
      <c r="N869" s="76">
        <f>30</f>
        <v>30</v>
      </c>
      <c r="O869" s="79">
        <v>240</v>
      </c>
      <c r="P869" s="79">
        <v>40</v>
      </c>
      <c r="Q869" s="79">
        <f t="shared" si="141"/>
        <v>315</v>
      </c>
      <c r="R869" s="79">
        <f t="shared" si="142"/>
        <v>100</v>
      </c>
      <c r="S869" s="76">
        <f t="shared" si="143"/>
        <v>695</v>
      </c>
      <c r="T869" s="76">
        <f>50</f>
        <v>50</v>
      </c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</row>
    <row r="870" spans="1:30" ht="15.75" x14ac:dyDescent="0.25">
      <c r="A870" s="32">
        <v>67419</v>
      </c>
      <c r="B870" s="88">
        <f t="shared" si="145"/>
        <v>31</v>
      </c>
      <c r="C870" s="76">
        <f>194.205</f>
        <v>194.20500000000001</v>
      </c>
      <c r="D870" s="76">
        <f>267.466</f>
        <v>267.46600000000001</v>
      </c>
      <c r="E870" s="85">
        <f>133.845</f>
        <v>133.845</v>
      </c>
      <c r="F870" s="76">
        <f>278.484-40-25-60-100</f>
        <v>53.48399999999998</v>
      </c>
      <c r="G870" s="79">
        <v>40</v>
      </c>
      <c r="H870" s="76">
        <f t="shared" si="146"/>
        <v>185</v>
      </c>
      <c r="I870" s="76">
        <f t="shared" si="137"/>
        <v>0</v>
      </c>
      <c r="J870" s="79">
        <v>100</v>
      </c>
      <c r="K870" s="79">
        <v>300</v>
      </c>
      <c r="L870" s="76">
        <f t="shared" si="140"/>
        <v>1274</v>
      </c>
      <c r="M870" s="87">
        <v>600</v>
      </c>
      <c r="N870" s="76">
        <f>30</f>
        <v>30</v>
      </c>
      <c r="O870" s="79">
        <v>240</v>
      </c>
      <c r="P870" s="79">
        <v>40</v>
      </c>
      <c r="Q870" s="79">
        <f t="shared" si="141"/>
        <v>315</v>
      </c>
      <c r="R870" s="79">
        <f t="shared" si="142"/>
        <v>100</v>
      </c>
      <c r="S870" s="76">
        <f t="shared" si="143"/>
        <v>695</v>
      </c>
      <c r="T870" s="76">
        <f>0</f>
        <v>0</v>
      </c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</row>
    <row r="871" spans="1:30" ht="15.75" x14ac:dyDescent="0.25">
      <c r="A871" s="32">
        <v>67450</v>
      </c>
      <c r="B871" s="88">
        <f t="shared" si="145"/>
        <v>31</v>
      </c>
      <c r="C871" s="76">
        <f>194.205</f>
        <v>194.20500000000001</v>
      </c>
      <c r="D871" s="76">
        <f>267.466</f>
        <v>267.46600000000001</v>
      </c>
      <c r="E871" s="85">
        <f>133.845</f>
        <v>133.845</v>
      </c>
      <c r="F871" s="76">
        <f>278.484-40-25-60-100</f>
        <v>53.48399999999998</v>
      </c>
      <c r="G871" s="79">
        <v>40</v>
      </c>
      <c r="H871" s="76">
        <f t="shared" si="146"/>
        <v>185</v>
      </c>
      <c r="I871" s="76">
        <f t="shared" si="137"/>
        <v>0</v>
      </c>
      <c r="J871" s="79">
        <v>100</v>
      </c>
      <c r="K871" s="79">
        <v>300</v>
      </c>
      <c r="L871" s="76">
        <f t="shared" si="140"/>
        <v>1274</v>
      </c>
      <c r="M871" s="87">
        <v>600</v>
      </c>
      <c r="N871" s="76">
        <f>30</f>
        <v>30</v>
      </c>
      <c r="O871" s="79">
        <v>240</v>
      </c>
      <c r="P871" s="79">
        <v>40</v>
      </c>
      <c r="Q871" s="79">
        <f t="shared" si="141"/>
        <v>315</v>
      </c>
      <c r="R871" s="79">
        <f t="shared" si="142"/>
        <v>100</v>
      </c>
      <c r="S871" s="76">
        <f t="shared" si="143"/>
        <v>695</v>
      </c>
      <c r="T871" s="76">
        <f>0</f>
        <v>0</v>
      </c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</row>
    <row r="872" spans="1:30" ht="15.75" x14ac:dyDescent="0.25">
      <c r="A872" s="32">
        <v>67480</v>
      </c>
      <c r="B872" s="88">
        <f t="shared" si="145"/>
        <v>30</v>
      </c>
      <c r="C872" s="76">
        <f>194.205</f>
        <v>194.20500000000001</v>
      </c>
      <c r="D872" s="76">
        <f>267.466</f>
        <v>267.46600000000001</v>
      </c>
      <c r="E872" s="85">
        <f>133.845</f>
        <v>133.845</v>
      </c>
      <c r="F872" s="76">
        <f>278.484-40-25-60-100</f>
        <v>53.48399999999998</v>
      </c>
      <c r="G872" s="79">
        <v>40</v>
      </c>
      <c r="H872" s="76">
        <f t="shared" si="146"/>
        <v>185</v>
      </c>
      <c r="I872" s="76">
        <f t="shared" si="137"/>
        <v>0</v>
      </c>
      <c r="J872" s="79">
        <v>100</v>
      </c>
      <c r="K872" s="79">
        <v>300</v>
      </c>
      <c r="L872" s="76">
        <f t="shared" si="140"/>
        <v>1274</v>
      </c>
      <c r="M872" s="87">
        <v>600</v>
      </c>
      <c r="N872" s="76">
        <f>30</f>
        <v>30</v>
      </c>
      <c r="O872" s="79">
        <v>240</v>
      </c>
      <c r="P872" s="79">
        <v>40</v>
      </c>
      <c r="Q872" s="79">
        <f t="shared" si="141"/>
        <v>315</v>
      </c>
      <c r="R872" s="79">
        <f t="shared" si="142"/>
        <v>100</v>
      </c>
      <c r="S872" s="76">
        <f t="shared" si="143"/>
        <v>695</v>
      </c>
      <c r="T872" s="76">
        <f>0</f>
        <v>0</v>
      </c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</row>
    <row r="873" spans="1:30" ht="15.75" x14ac:dyDescent="0.25">
      <c r="A873" s="32">
        <v>67511</v>
      </c>
      <c r="B873" s="88">
        <f t="shared" si="145"/>
        <v>31</v>
      </c>
      <c r="C873" s="76">
        <f>131.881</f>
        <v>131.881</v>
      </c>
      <c r="D873" s="76">
        <f>277.167</f>
        <v>277.16699999999997</v>
      </c>
      <c r="E873" s="85">
        <f>79.08</f>
        <v>79.08</v>
      </c>
      <c r="F873" s="76">
        <f>350.872-40-25-60-100</f>
        <v>125.87200000000001</v>
      </c>
      <c r="G873" s="79">
        <v>40</v>
      </c>
      <c r="H873" s="76">
        <f t="shared" si="146"/>
        <v>185</v>
      </c>
      <c r="I873" s="76">
        <f t="shared" si="137"/>
        <v>0</v>
      </c>
      <c r="J873" s="79">
        <v>100</v>
      </c>
      <c r="K873" s="79">
        <v>300</v>
      </c>
      <c r="L873" s="76">
        <f t="shared" si="140"/>
        <v>1239</v>
      </c>
      <c r="M873" s="87">
        <v>600</v>
      </c>
      <c r="N873" s="76">
        <f>75</f>
        <v>75</v>
      </c>
      <c r="O873" s="79">
        <v>240</v>
      </c>
      <c r="P873" s="79">
        <v>40</v>
      </c>
      <c r="Q873" s="79">
        <f t="shared" si="141"/>
        <v>315</v>
      </c>
      <c r="R873" s="79">
        <f t="shared" si="142"/>
        <v>100</v>
      </c>
      <c r="S873" s="76">
        <f t="shared" si="143"/>
        <v>695</v>
      </c>
      <c r="T873" s="76">
        <f>0</f>
        <v>0</v>
      </c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</row>
    <row r="874" spans="1:30" ht="15.75" x14ac:dyDescent="0.25">
      <c r="A874" s="32">
        <v>67541</v>
      </c>
      <c r="B874" s="88">
        <f t="shared" si="145"/>
        <v>30</v>
      </c>
      <c r="C874" s="76">
        <f>122.58</f>
        <v>122.58</v>
      </c>
      <c r="D874" s="76">
        <f>297.941</f>
        <v>297.94099999999997</v>
      </c>
      <c r="E874" s="85">
        <f>89.177</f>
        <v>89.177000000000007</v>
      </c>
      <c r="F874" s="76">
        <f>240.302-40-60-100</f>
        <v>40.301999999999992</v>
      </c>
      <c r="G874" s="79">
        <v>40</v>
      </c>
      <c r="H874" s="76">
        <f>60+100</f>
        <v>160</v>
      </c>
      <c r="I874" s="76">
        <f t="shared" si="137"/>
        <v>0</v>
      </c>
      <c r="J874" s="79">
        <v>100</v>
      </c>
      <c r="K874" s="79">
        <v>300</v>
      </c>
      <c r="L874" s="76">
        <f t="shared" si="140"/>
        <v>1150</v>
      </c>
      <c r="M874" s="87">
        <v>600</v>
      </c>
      <c r="N874" s="76">
        <f>100</f>
        <v>100</v>
      </c>
      <c r="O874" s="79">
        <v>240</v>
      </c>
      <c r="P874" s="79">
        <v>40</v>
      </c>
      <c r="Q874" s="79">
        <f t="shared" si="141"/>
        <v>315</v>
      </c>
      <c r="R874" s="79">
        <f t="shared" si="142"/>
        <v>100</v>
      </c>
      <c r="S874" s="76">
        <f t="shared" si="143"/>
        <v>695</v>
      </c>
      <c r="T874" s="76">
        <f>50</f>
        <v>50</v>
      </c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</row>
    <row r="875" spans="1:30" ht="15.75" x14ac:dyDescent="0.25">
      <c r="A875" s="32">
        <v>67572</v>
      </c>
      <c r="B875" s="88">
        <f t="shared" si="145"/>
        <v>31</v>
      </c>
      <c r="C875" s="76">
        <f>122.58</f>
        <v>122.58</v>
      </c>
      <c r="D875" s="76">
        <f>297.941</f>
        <v>297.94099999999997</v>
      </c>
      <c r="E875" s="85">
        <f>89.177</f>
        <v>89.177000000000007</v>
      </c>
      <c r="F875" s="76">
        <f>240.302-40-60-100</f>
        <v>40.301999999999992</v>
      </c>
      <c r="G875" s="79">
        <v>40</v>
      </c>
      <c r="H875" s="76">
        <f>60+100</f>
        <v>160</v>
      </c>
      <c r="I875" s="76">
        <f t="shared" si="137"/>
        <v>0</v>
      </c>
      <c r="J875" s="79">
        <v>100</v>
      </c>
      <c r="K875" s="79">
        <v>300</v>
      </c>
      <c r="L875" s="76">
        <f t="shared" si="140"/>
        <v>1150</v>
      </c>
      <c r="M875" s="87">
        <v>600</v>
      </c>
      <c r="N875" s="76">
        <f>100</f>
        <v>100</v>
      </c>
      <c r="O875" s="79">
        <v>240</v>
      </c>
      <c r="P875" s="79">
        <v>40</v>
      </c>
      <c r="Q875" s="79">
        <f t="shared" si="141"/>
        <v>315</v>
      </c>
      <c r="R875" s="79">
        <f t="shared" si="142"/>
        <v>100</v>
      </c>
      <c r="S875" s="76">
        <f t="shared" si="143"/>
        <v>695</v>
      </c>
      <c r="T875" s="76">
        <f>50</f>
        <v>50</v>
      </c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</row>
    <row r="876" spans="1:30" ht="15.75" x14ac:dyDescent="0.25">
      <c r="A876" s="32">
        <v>67603</v>
      </c>
      <c r="B876" s="88">
        <f t="shared" si="145"/>
        <v>31</v>
      </c>
      <c r="C876" s="76">
        <f>122.58</f>
        <v>122.58</v>
      </c>
      <c r="D876" s="76">
        <f>297.941</f>
        <v>297.94099999999997</v>
      </c>
      <c r="E876" s="85">
        <f>89.177</f>
        <v>89.177000000000007</v>
      </c>
      <c r="F876" s="76">
        <f>240.302-40-60-100</f>
        <v>40.301999999999992</v>
      </c>
      <c r="G876" s="79">
        <v>40</v>
      </c>
      <c r="H876" s="76">
        <f>60+100</f>
        <v>160</v>
      </c>
      <c r="I876" s="76">
        <f t="shared" si="137"/>
        <v>0</v>
      </c>
      <c r="J876" s="79">
        <v>100</v>
      </c>
      <c r="K876" s="79">
        <v>300</v>
      </c>
      <c r="L876" s="76">
        <f t="shared" si="140"/>
        <v>1150</v>
      </c>
      <c r="M876" s="87">
        <v>600</v>
      </c>
      <c r="N876" s="76">
        <f>100</f>
        <v>100</v>
      </c>
      <c r="O876" s="79">
        <v>240</v>
      </c>
      <c r="P876" s="79">
        <v>40</v>
      </c>
      <c r="Q876" s="79">
        <f t="shared" si="141"/>
        <v>315</v>
      </c>
      <c r="R876" s="79">
        <f t="shared" si="142"/>
        <v>100</v>
      </c>
      <c r="S876" s="76">
        <f t="shared" si="143"/>
        <v>695</v>
      </c>
      <c r="T876" s="76">
        <f>50</f>
        <v>50</v>
      </c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</row>
    <row r="877" spans="1:30" ht="15.75" x14ac:dyDescent="0.25">
      <c r="A877" s="32">
        <v>67631</v>
      </c>
      <c r="B877" s="88">
        <f t="shared" si="145"/>
        <v>28</v>
      </c>
      <c r="C877" s="76">
        <f>122.58</f>
        <v>122.58</v>
      </c>
      <c r="D877" s="76">
        <f>297.941</f>
        <v>297.94099999999997</v>
      </c>
      <c r="E877" s="85">
        <f>89.177</f>
        <v>89.177000000000007</v>
      </c>
      <c r="F877" s="76">
        <f>240.302-40-60-100</f>
        <v>40.301999999999992</v>
      </c>
      <c r="G877" s="79">
        <v>40</v>
      </c>
      <c r="H877" s="76">
        <f>60+100</f>
        <v>160</v>
      </c>
      <c r="I877" s="76">
        <f t="shared" si="137"/>
        <v>0</v>
      </c>
      <c r="J877" s="79">
        <v>100</v>
      </c>
      <c r="K877" s="79">
        <v>300</v>
      </c>
      <c r="L877" s="76">
        <f t="shared" si="140"/>
        <v>1150</v>
      </c>
      <c r="M877" s="87">
        <v>600</v>
      </c>
      <c r="N877" s="76">
        <f>100</f>
        <v>100</v>
      </c>
      <c r="O877" s="79">
        <v>240</v>
      </c>
      <c r="P877" s="79">
        <v>40</v>
      </c>
      <c r="Q877" s="79">
        <f t="shared" si="141"/>
        <v>315</v>
      </c>
      <c r="R877" s="79">
        <f t="shared" si="142"/>
        <v>100</v>
      </c>
      <c r="S877" s="76">
        <f t="shared" si="143"/>
        <v>695</v>
      </c>
      <c r="T877" s="76">
        <f>50</f>
        <v>50</v>
      </c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</row>
    <row r="878" spans="1:30" ht="15.75" x14ac:dyDescent="0.25">
      <c r="A878" s="32">
        <v>67662</v>
      </c>
      <c r="B878" s="88">
        <f t="shared" si="145"/>
        <v>31</v>
      </c>
      <c r="C878" s="76">
        <f>122.58</f>
        <v>122.58</v>
      </c>
      <c r="D878" s="76">
        <f>297.941</f>
        <v>297.94099999999997</v>
      </c>
      <c r="E878" s="85">
        <f>89.177</f>
        <v>89.177000000000007</v>
      </c>
      <c r="F878" s="76">
        <f>240.302-40-60-100</f>
        <v>40.301999999999992</v>
      </c>
      <c r="G878" s="79">
        <v>40</v>
      </c>
      <c r="H878" s="76">
        <f>60+100</f>
        <v>160</v>
      </c>
      <c r="I878" s="76">
        <f t="shared" si="137"/>
        <v>0</v>
      </c>
      <c r="J878" s="79">
        <v>100</v>
      </c>
      <c r="K878" s="79">
        <v>300</v>
      </c>
      <c r="L878" s="76">
        <f t="shared" si="140"/>
        <v>1150</v>
      </c>
      <c r="M878" s="87">
        <v>600</v>
      </c>
      <c r="N878" s="76">
        <f>100</f>
        <v>100</v>
      </c>
      <c r="O878" s="79">
        <v>240</v>
      </c>
      <c r="P878" s="79">
        <v>40</v>
      </c>
      <c r="Q878" s="79">
        <f t="shared" si="141"/>
        <v>315</v>
      </c>
      <c r="R878" s="79">
        <f t="shared" si="142"/>
        <v>100</v>
      </c>
      <c r="S878" s="76">
        <f t="shared" si="143"/>
        <v>695</v>
      </c>
      <c r="T878" s="76">
        <f>50</f>
        <v>50</v>
      </c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</row>
    <row r="879" spans="1:30" ht="15.75" x14ac:dyDescent="0.25">
      <c r="A879" s="32">
        <v>67692</v>
      </c>
      <c r="B879" s="88">
        <f t="shared" si="145"/>
        <v>30</v>
      </c>
      <c r="C879" s="76">
        <f>141.293</f>
        <v>141.29300000000001</v>
      </c>
      <c r="D879" s="76">
        <f>267.993</f>
        <v>267.99299999999999</v>
      </c>
      <c r="E879" s="85">
        <f>115.016</f>
        <v>115.01600000000001</v>
      </c>
      <c r="F879" s="76">
        <f>314.698-40-25-60-100</f>
        <v>89.697999999999979</v>
      </c>
      <c r="G879" s="79">
        <v>40</v>
      </c>
      <c r="H879" s="76">
        <f t="shared" ref="H879:H885" si="147">25+60+100</f>
        <v>185</v>
      </c>
      <c r="I879" s="76">
        <f t="shared" si="137"/>
        <v>0</v>
      </c>
      <c r="J879" s="79">
        <v>100</v>
      </c>
      <c r="K879" s="79">
        <v>300</v>
      </c>
      <c r="L879" s="76">
        <f t="shared" si="140"/>
        <v>1239</v>
      </c>
      <c r="M879" s="87">
        <v>600</v>
      </c>
      <c r="N879" s="76">
        <f>100</f>
        <v>100</v>
      </c>
      <c r="O879" s="79">
        <v>240</v>
      </c>
      <c r="P879" s="79">
        <v>40</v>
      </c>
      <c r="Q879" s="79">
        <f t="shared" si="141"/>
        <v>315</v>
      </c>
      <c r="R879" s="79">
        <f t="shared" si="142"/>
        <v>100</v>
      </c>
      <c r="S879" s="76">
        <f t="shared" si="143"/>
        <v>695</v>
      </c>
      <c r="T879" s="76">
        <f>50</f>
        <v>50</v>
      </c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</row>
    <row r="880" spans="1:30" ht="15.75" x14ac:dyDescent="0.25">
      <c r="A880" s="32">
        <v>67723</v>
      </c>
      <c r="B880" s="88">
        <f t="shared" si="145"/>
        <v>31</v>
      </c>
      <c r="C880" s="76">
        <f>194.205</f>
        <v>194.20500000000001</v>
      </c>
      <c r="D880" s="76">
        <f>267.466</f>
        <v>267.46600000000001</v>
      </c>
      <c r="E880" s="85">
        <f>133.845</f>
        <v>133.845</v>
      </c>
      <c r="F880" s="76">
        <f>278.484-40-25-60-100</f>
        <v>53.48399999999998</v>
      </c>
      <c r="G880" s="79">
        <v>40</v>
      </c>
      <c r="H880" s="76">
        <f t="shared" si="147"/>
        <v>185</v>
      </c>
      <c r="I880" s="76">
        <f t="shared" si="137"/>
        <v>0</v>
      </c>
      <c r="J880" s="79">
        <v>100</v>
      </c>
      <c r="K880" s="79">
        <v>300</v>
      </c>
      <c r="L880" s="76">
        <f t="shared" si="140"/>
        <v>1274</v>
      </c>
      <c r="M880" s="87">
        <v>600</v>
      </c>
      <c r="N880" s="76">
        <f>75</f>
        <v>75</v>
      </c>
      <c r="O880" s="79">
        <v>240</v>
      </c>
      <c r="P880" s="79">
        <v>40</v>
      </c>
      <c r="Q880" s="79">
        <f t="shared" si="141"/>
        <v>315</v>
      </c>
      <c r="R880" s="79">
        <f t="shared" si="142"/>
        <v>100</v>
      </c>
      <c r="S880" s="76">
        <f t="shared" si="143"/>
        <v>695</v>
      </c>
      <c r="T880" s="76">
        <f>50</f>
        <v>50</v>
      </c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</row>
    <row r="881" spans="1:30" ht="15.75" x14ac:dyDescent="0.25">
      <c r="A881" s="32">
        <v>67753</v>
      </c>
      <c r="B881" s="88">
        <f t="shared" si="145"/>
        <v>30</v>
      </c>
      <c r="C881" s="76">
        <f>194.205</f>
        <v>194.20500000000001</v>
      </c>
      <c r="D881" s="76">
        <f>267.466</f>
        <v>267.46600000000001</v>
      </c>
      <c r="E881" s="85">
        <f>133.845</f>
        <v>133.845</v>
      </c>
      <c r="F881" s="76">
        <f>278.484-40-25-60-100</f>
        <v>53.48399999999998</v>
      </c>
      <c r="G881" s="79">
        <v>40</v>
      </c>
      <c r="H881" s="76">
        <f t="shared" si="147"/>
        <v>185</v>
      </c>
      <c r="I881" s="76">
        <f t="shared" si="137"/>
        <v>0</v>
      </c>
      <c r="J881" s="79">
        <v>100</v>
      </c>
      <c r="K881" s="79">
        <v>300</v>
      </c>
      <c r="L881" s="76">
        <f t="shared" si="140"/>
        <v>1274</v>
      </c>
      <c r="M881" s="87">
        <v>600</v>
      </c>
      <c r="N881" s="76">
        <f>30</f>
        <v>30</v>
      </c>
      <c r="O881" s="79">
        <v>240</v>
      </c>
      <c r="P881" s="79">
        <v>40</v>
      </c>
      <c r="Q881" s="79">
        <f t="shared" si="141"/>
        <v>315</v>
      </c>
      <c r="R881" s="79">
        <f t="shared" si="142"/>
        <v>100</v>
      </c>
      <c r="S881" s="76">
        <f t="shared" si="143"/>
        <v>695</v>
      </c>
      <c r="T881" s="76">
        <f>50</f>
        <v>50</v>
      </c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</row>
    <row r="882" spans="1:30" ht="15.75" x14ac:dyDescent="0.25">
      <c r="A882" s="32">
        <v>67784</v>
      </c>
      <c r="B882" s="88">
        <f t="shared" si="145"/>
        <v>31</v>
      </c>
      <c r="C882" s="76">
        <f>194.205</f>
        <v>194.20500000000001</v>
      </c>
      <c r="D882" s="76">
        <f>267.466</f>
        <v>267.46600000000001</v>
      </c>
      <c r="E882" s="85">
        <f>133.845</f>
        <v>133.845</v>
      </c>
      <c r="F882" s="76">
        <f>278.484-40-25-60-100</f>
        <v>53.48399999999998</v>
      </c>
      <c r="G882" s="79">
        <v>40</v>
      </c>
      <c r="H882" s="76">
        <f t="shared" si="147"/>
        <v>185</v>
      </c>
      <c r="I882" s="76">
        <f t="shared" si="137"/>
        <v>0</v>
      </c>
      <c r="J882" s="79">
        <v>100</v>
      </c>
      <c r="K882" s="79">
        <v>300</v>
      </c>
      <c r="L882" s="76">
        <f t="shared" si="140"/>
        <v>1274</v>
      </c>
      <c r="M882" s="87">
        <v>600</v>
      </c>
      <c r="N882" s="76">
        <f>30</f>
        <v>30</v>
      </c>
      <c r="O882" s="79">
        <v>240</v>
      </c>
      <c r="P882" s="79">
        <v>40</v>
      </c>
      <c r="Q882" s="79">
        <f t="shared" si="141"/>
        <v>315</v>
      </c>
      <c r="R882" s="79">
        <f t="shared" si="142"/>
        <v>100</v>
      </c>
      <c r="S882" s="76">
        <f t="shared" si="143"/>
        <v>695</v>
      </c>
      <c r="T882" s="76">
        <f>0</f>
        <v>0</v>
      </c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</row>
    <row r="883" spans="1:30" ht="15.75" x14ac:dyDescent="0.25">
      <c r="A883" s="32">
        <v>67815</v>
      </c>
      <c r="B883" s="88">
        <f t="shared" si="145"/>
        <v>31</v>
      </c>
      <c r="C883" s="76">
        <f>194.205</f>
        <v>194.20500000000001</v>
      </c>
      <c r="D883" s="76">
        <f>267.466</f>
        <v>267.46600000000001</v>
      </c>
      <c r="E883" s="85">
        <f>133.845</f>
        <v>133.845</v>
      </c>
      <c r="F883" s="76">
        <f>278.484-40-25-60-100</f>
        <v>53.48399999999998</v>
      </c>
      <c r="G883" s="79">
        <v>40</v>
      </c>
      <c r="H883" s="76">
        <f t="shared" si="147"/>
        <v>185</v>
      </c>
      <c r="I883" s="76">
        <f t="shared" si="137"/>
        <v>0</v>
      </c>
      <c r="J883" s="79">
        <v>100</v>
      </c>
      <c r="K883" s="79">
        <v>300</v>
      </c>
      <c r="L883" s="76">
        <f t="shared" si="140"/>
        <v>1274</v>
      </c>
      <c r="M883" s="87">
        <v>600</v>
      </c>
      <c r="N883" s="76">
        <f>30</f>
        <v>30</v>
      </c>
      <c r="O883" s="79">
        <v>240</v>
      </c>
      <c r="P883" s="79">
        <v>40</v>
      </c>
      <c r="Q883" s="79">
        <f t="shared" si="141"/>
        <v>315</v>
      </c>
      <c r="R883" s="79">
        <f t="shared" si="142"/>
        <v>100</v>
      </c>
      <c r="S883" s="76">
        <f t="shared" si="143"/>
        <v>695</v>
      </c>
      <c r="T883" s="76">
        <f>0</f>
        <v>0</v>
      </c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</row>
    <row r="884" spans="1:30" ht="15.75" x14ac:dyDescent="0.25">
      <c r="A884" s="32">
        <v>67845</v>
      </c>
      <c r="B884" s="88">
        <f t="shared" si="145"/>
        <v>30</v>
      </c>
      <c r="C884" s="76">
        <f>194.205</f>
        <v>194.20500000000001</v>
      </c>
      <c r="D884" s="76">
        <f>267.466</f>
        <v>267.46600000000001</v>
      </c>
      <c r="E884" s="85">
        <f>133.845</f>
        <v>133.845</v>
      </c>
      <c r="F884" s="76">
        <f>278.484-40-25-60-100</f>
        <v>53.48399999999998</v>
      </c>
      <c r="G884" s="79">
        <v>40</v>
      </c>
      <c r="H884" s="76">
        <f t="shared" si="147"/>
        <v>185</v>
      </c>
      <c r="I884" s="76">
        <f t="shared" ref="I884:I947" si="148">400-J884-K884</f>
        <v>0</v>
      </c>
      <c r="J884" s="79">
        <v>100</v>
      </c>
      <c r="K884" s="79">
        <v>300</v>
      </c>
      <c r="L884" s="76">
        <f t="shared" si="140"/>
        <v>1274</v>
      </c>
      <c r="M884" s="87">
        <v>600</v>
      </c>
      <c r="N884" s="76">
        <f>30</f>
        <v>30</v>
      </c>
      <c r="O884" s="79">
        <v>240</v>
      </c>
      <c r="P884" s="79">
        <v>40</v>
      </c>
      <c r="Q884" s="79">
        <f t="shared" si="141"/>
        <v>315</v>
      </c>
      <c r="R884" s="79">
        <f t="shared" si="142"/>
        <v>100</v>
      </c>
      <c r="S884" s="76">
        <f t="shared" si="143"/>
        <v>695</v>
      </c>
      <c r="T884" s="76">
        <f>0</f>
        <v>0</v>
      </c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</row>
    <row r="885" spans="1:30" ht="15.75" x14ac:dyDescent="0.25">
      <c r="A885" s="32">
        <v>67876</v>
      </c>
      <c r="B885" s="88">
        <f t="shared" si="145"/>
        <v>31</v>
      </c>
      <c r="C885" s="76">
        <f>131.881</f>
        <v>131.881</v>
      </c>
      <c r="D885" s="76">
        <f>277.167</f>
        <v>277.16699999999997</v>
      </c>
      <c r="E885" s="85">
        <f>79.08</f>
        <v>79.08</v>
      </c>
      <c r="F885" s="76">
        <f>350.872-40-25-60-100</f>
        <v>125.87200000000001</v>
      </c>
      <c r="G885" s="79">
        <v>40</v>
      </c>
      <c r="H885" s="76">
        <f t="shared" si="147"/>
        <v>185</v>
      </c>
      <c r="I885" s="76">
        <f t="shared" si="148"/>
        <v>0</v>
      </c>
      <c r="J885" s="79">
        <v>100</v>
      </c>
      <c r="K885" s="79">
        <v>300</v>
      </c>
      <c r="L885" s="76">
        <f t="shared" si="140"/>
        <v>1239</v>
      </c>
      <c r="M885" s="87">
        <v>600</v>
      </c>
      <c r="N885" s="76">
        <f>75</f>
        <v>75</v>
      </c>
      <c r="O885" s="79">
        <v>240</v>
      </c>
      <c r="P885" s="79">
        <v>40</v>
      </c>
      <c r="Q885" s="79">
        <f t="shared" si="141"/>
        <v>315</v>
      </c>
      <c r="R885" s="79">
        <f t="shared" si="142"/>
        <v>100</v>
      </c>
      <c r="S885" s="76">
        <f t="shared" si="143"/>
        <v>695</v>
      </c>
      <c r="T885" s="76">
        <f>0</f>
        <v>0</v>
      </c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</row>
    <row r="886" spans="1:30" ht="15.75" x14ac:dyDescent="0.25">
      <c r="A886" s="32">
        <v>67906</v>
      </c>
      <c r="B886" s="88">
        <f t="shared" si="145"/>
        <v>30</v>
      </c>
      <c r="C886" s="76">
        <f>122.58</f>
        <v>122.58</v>
      </c>
      <c r="D886" s="76">
        <f>297.941</f>
        <v>297.94099999999997</v>
      </c>
      <c r="E886" s="85">
        <f>89.177</f>
        <v>89.177000000000007</v>
      </c>
      <c r="F886" s="76">
        <f>240.302-40-60-100</f>
        <v>40.301999999999992</v>
      </c>
      <c r="G886" s="79">
        <v>40</v>
      </c>
      <c r="H886" s="76">
        <f>60+100</f>
        <v>160</v>
      </c>
      <c r="I886" s="76">
        <f t="shared" si="148"/>
        <v>0</v>
      </c>
      <c r="J886" s="79">
        <v>100</v>
      </c>
      <c r="K886" s="79">
        <v>300</v>
      </c>
      <c r="L886" s="76">
        <f t="shared" si="140"/>
        <v>1150</v>
      </c>
      <c r="M886" s="87">
        <v>600</v>
      </c>
      <c r="N886" s="76">
        <f>100</f>
        <v>100</v>
      </c>
      <c r="O886" s="79">
        <v>240</v>
      </c>
      <c r="P886" s="79">
        <v>40</v>
      </c>
      <c r="Q886" s="79">
        <f t="shared" si="141"/>
        <v>315</v>
      </c>
      <c r="R886" s="79">
        <f t="shared" si="142"/>
        <v>100</v>
      </c>
      <c r="S886" s="76">
        <f t="shared" si="143"/>
        <v>695</v>
      </c>
      <c r="T886" s="76">
        <f>50</f>
        <v>50</v>
      </c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</row>
    <row r="887" spans="1:30" ht="15.75" x14ac:dyDescent="0.25">
      <c r="A887" s="32">
        <v>67937</v>
      </c>
      <c r="B887" s="88">
        <f t="shared" si="145"/>
        <v>31</v>
      </c>
      <c r="C887" s="76">
        <f>122.58</f>
        <v>122.58</v>
      </c>
      <c r="D887" s="76">
        <f>297.941</f>
        <v>297.94099999999997</v>
      </c>
      <c r="E887" s="85">
        <f>89.177</f>
        <v>89.177000000000007</v>
      </c>
      <c r="F887" s="76">
        <f>240.302-40-60-100</f>
        <v>40.301999999999992</v>
      </c>
      <c r="G887" s="79">
        <v>40</v>
      </c>
      <c r="H887" s="76">
        <f>60+100</f>
        <v>160</v>
      </c>
      <c r="I887" s="76">
        <f t="shared" si="148"/>
        <v>0</v>
      </c>
      <c r="J887" s="79">
        <v>100</v>
      </c>
      <c r="K887" s="79">
        <v>300</v>
      </c>
      <c r="L887" s="76">
        <f t="shared" si="140"/>
        <v>1150</v>
      </c>
      <c r="M887" s="87">
        <v>600</v>
      </c>
      <c r="N887" s="76">
        <f>100</f>
        <v>100</v>
      </c>
      <c r="O887" s="79">
        <v>240</v>
      </c>
      <c r="P887" s="79">
        <v>40</v>
      </c>
      <c r="Q887" s="79">
        <f t="shared" si="141"/>
        <v>315</v>
      </c>
      <c r="R887" s="79">
        <f t="shared" si="142"/>
        <v>100</v>
      </c>
      <c r="S887" s="76">
        <f t="shared" si="143"/>
        <v>695</v>
      </c>
      <c r="T887" s="76">
        <f>50</f>
        <v>50</v>
      </c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</row>
    <row r="888" spans="1:30" ht="15.75" x14ac:dyDescent="0.25">
      <c r="A888" s="32">
        <v>67968</v>
      </c>
      <c r="B888" s="88">
        <f t="shared" si="145"/>
        <v>31</v>
      </c>
      <c r="C888" s="76">
        <f>122.58</f>
        <v>122.58</v>
      </c>
      <c r="D888" s="76">
        <f>297.941</f>
        <v>297.94099999999997</v>
      </c>
      <c r="E888" s="85">
        <f>89.177</f>
        <v>89.177000000000007</v>
      </c>
      <c r="F888" s="76">
        <f>240.302-40-60-100</f>
        <v>40.301999999999992</v>
      </c>
      <c r="G888" s="79">
        <v>40</v>
      </c>
      <c r="H888" s="76">
        <f>60+100</f>
        <v>160</v>
      </c>
      <c r="I888" s="76">
        <f t="shared" si="148"/>
        <v>0</v>
      </c>
      <c r="J888" s="79">
        <v>100</v>
      </c>
      <c r="K888" s="79">
        <v>300</v>
      </c>
      <c r="L888" s="76">
        <f t="shared" si="140"/>
        <v>1150</v>
      </c>
      <c r="M888" s="87">
        <v>600</v>
      </c>
      <c r="N888" s="76">
        <f>100</f>
        <v>100</v>
      </c>
      <c r="O888" s="79">
        <v>240</v>
      </c>
      <c r="P888" s="79">
        <v>40</v>
      </c>
      <c r="Q888" s="79">
        <f t="shared" si="141"/>
        <v>315</v>
      </c>
      <c r="R888" s="79">
        <f t="shared" si="142"/>
        <v>100</v>
      </c>
      <c r="S888" s="76">
        <f t="shared" si="143"/>
        <v>695</v>
      </c>
      <c r="T888" s="76">
        <f>50</f>
        <v>50</v>
      </c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</row>
    <row r="889" spans="1:30" ht="15.75" x14ac:dyDescent="0.25">
      <c r="A889" s="32">
        <v>67996</v>
      </c>
      <c r="B889" s="88">
        <f t="shared" si="145"/>
        <v>28</v>
      </c>
      <c r="C889" s="76">
        <f>122.58</f>
        <v>122.58</v>
      </c>
      <c r="D889" s="76">
        <f>297.941</f>
        <v>297.94099999999997</v>
      </c>
      <c r="E889" s="85">
        <f>89.177</f>
        <v>89.177000000000007</v>
      </c>
      <c r="F889" s="76">
        <f>240.302-40-60-100</f>
        <v>40.301999999999992</v>
      </c>
      <c r="G889" s="79">
        <v>40</v>
      </c>
      <c r="H889" s="76">
        <f>60+100</f>
        <v>160</v>
      </c>
      <c r="I889" s="76">
        <f t="shared" si="148"/>
        <v>0</v>
      </c>
      <c r="J889" s="79">
        <v>100</v>
      </c>
      <c r="K889" s="79">
        <v>300</v>
      </c>
      <c r="L889" s="76">
        <f t="shared" si="140"/>
        <v>1150</v>
      </c>
      <c r="M889" s="87">
        <v>600</v>
      </c>
      <c r="N889" s="76">
        <f>100</f>
        <v>100</v>
      </c>
      <c r="O889" s="79">
        <v>240</v>
      </c>
      <c r="P889" s="79">
        <v>40</v>
      </c>
      <c r="Q889" s="79">
        <f t="shared" si="141"/>
        <v>315</v>
      </c>
      <c r="R889" s="79">
        <f t="shared" si="142"/>
        <v>100</v>
      </c>
      <c r="S889" s="76">
        <f t="shared" si="143"/>
        <v>695</v>
      </c>
      <c r="T889" s="76">
        <f>50</f>
        <v>50</v>
      </c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</row>
    <row r="890" spans="1:30" ht="15.75" x14ac:dyDescent="0.25">
      <c r="A890" s="32">
        <v>68027</v>
      </c>
      <c r="B890" s="88">
        <f t="shared" si="145"/>
        <v>31</v>
      </c>
      <c r="C890" s="76">
        <f>122.58</f>
        <v>122.58</v>
      </c>
      <c r="D890" s="76">
        <f>297.941</f>
        <v>297.94099999999997</v>
      </c>
      <c r="E890" s="85">
        <f>89.177</f>
        <v>89.177000000000007</v>
      </c>
      <c r="F890" s="76">
        <f>240.302-40-60-100</f>
        <v>40.301999999999992</v>
      </c>
      <c r="G890" s="79">
        <v>40</v>
      </c>
      <c r="H890" s="76">
        <f>60+100</f>
        <v>160</v>
      </c>
      <c r="I890" s="76">
        <f t="shared" si="148"/>
        <v>0</v>
      </c>
      <c r="J890" s="79">
        <v>100</v>
      </c>
      <c r="K890" s="79">
        <v>300</v>
      </c>
      <c r="L890" s="76">
        <f t="shared" si="140"/>
        <v>1150</v>
      </c>
      <c r="M890" s="87">
        <v>600</v>
      </c>
      <c r="N890" s="76">
        <f>100</f>
        <v>100</v>
      </c>
      <c r="O890" s="79">
        <v>240</v>
      </c>
      <c r="P890" s="79">
        <v>40</v>
      </c>
      <c r="Q890" s="79">
        <f t="shared" si="141"/>
        <v>315</v>
      </c>
      <c r="R890" s="79">
        <f t="shared" si="142"/>
        <v>100</v>
      </c>
      <c r="S890" s="76">
        <f t="shared" si="143"/>
        <v>695</v>
      </c>
      <c r="T890" s="76">
        <f>50</f>
        <v>50</v>
      </c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</row>
    <row r="891" spans="1:30" ht="15.75" x14ac:dyDescent="0.25">
      <c r="A891" s="32">
        <v>68057</v>
      </c>
      <c r="B891" s="88">
        <f t="shared" si="145"/>
        <v>30</v>
      </c>
      <c r="C891" s="76">
        <f>141.293</f>
        <v>141.29300000000001</v>
      </c>
      <c r="D891" s="76">
        <f>267.993</f>
        <v>267.99299999999999</v>
      </c>
      <c r="E891" s="85">
        <f>115.016</f>
        <v>115.01600000000001</v>
      </c>
      <c r="F891" s="76">
        <f>314.698-40-25-60-100</f>
        <v>89.697999999999979</v>
      </c>
      <c r="G891" s="79">
        <v>40</v>
      </c>
      <c r="H891" s="76">
        <f t="shared" ref="H891:H897" si="149">25+60+100</f>
        <v>185</v>
      </c>
      <c r="I891" s="76">
        <f t="shared" si="148"/>
        <v>0</v>
      </c>
      <c r="J891" s="79">
        <v>100</v>
      </c>
      <c r="K891" s="79">
        <v>300</v>
      </c>
      <c r="L891" s="76">
        <f t="shared" si="140"/>
        <v>1239</v>
      </c>
      <c r="M891" s="87">
        <v>600</v>
      </c>
      <c r="N891" s="76">
        <f>100</f>
        <v>100</v>
      </c>
      <c r="O891" s="79">
        <v>240</v>
      </c>
      <c r="P891" s="79">
        <v>40</v>
      </c>
      <c r="Q891" s="79">
        <f t="shared" si="141"/>
        <v>315</v>
      </c>
      <c r="R891" s="79">
        <f t="shared" si="142"/>
        <v>100</v>
      </c>
      <c r="S891" s="76">
        <f t="shared" si="143"/>
        <v>695</v>
      </c>
      <c r="T891" s="76">
        <f>50</f>
        <v>50</v>
      </c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</row>
    <row r="892" spans="1:30" ht="15.75" x14ac:dyDescent="0.25">
      <c r="A892" s="32">
        <v>68088</v>
      </c>
      <c r="B892" s="88">
        <f t="shared" si="145"/>
        <v>31</v>
      </c>
      <c r="C892" s="76">
        <f>194.205</f>
        <v>194.20500000000001</v>
      </c>
      <c r="D892" s="76">
        <f>267.466</f>
        <v>267.46600000000001</v>
      </c>
      <c r="E892" s="85">
        <f>133.845</f>
        <v>133.845</v>
      </c>
      <c r="F892" s="76">
        <f>278.484-40-25-60-100</f>
        <v>53.48399999999998</v>
      </c>
      <c r="G892" s="79">
        <v>40</v>
      </c>
      <c r="H892" s="76">
        <f t="shared" si="149"/>
        <v>185</v>
      </c>
      <c r="I892" s="76">
        <f t="shared" si="148"/>
        <v>0</v>
      </c>
      <c r="J892" s="79">
        <v>100</v>
      </c>
      <c r="K892" s="79">
        <v>300</v>
      </c>
      <c r="L892" s="76">
        <f t="shared" si="140"/>
        <v>1274</v>
      </c>
      <c r="M892" s="87">
        <v>600</v>
      </c>
      <c r="N892" s="76">
        <f>75</f>
        <v>75</v>
      </c>
      <c r="O892" s="79">
        <v>240</v>
      </c>
      <c r="P892" s="79">
        <v>40</v>
      </c>
      <c r="Q892" s="79">
        <f t="shared" si="141"/>
        <v>315</v>
      </c>
      <c r="R892" s="79">
        <f t="shared" si="142"/>
        <v>100</v>
      </c>
      <c r="S892" s="76">
        <f t="shared" si="143"/>
        <v>695</v>
      </c>
      <c r="T892" s="76">
        <f>50</f>
        <v>50</v>
      </c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</row>
    <row r="893" spans="1:30" ht="15.75" x14ac:dyDescent="0.25">
      <c r="A893" s="32">
        <v>68118</v>
      </c>
      <c r="B893" s="88">
        <f t="shared" si="145"/>
        <v>30</v>
      </c>
      <c r="C893" s="76">
        <f>194.205</f>
        <v>194.20500000000001</v>
      </c>
      <c r="D893" s="76">
        <f>267.466</f>
        <v>267.46600000000001</v>
      </c>
      <c r="E893" s="85">
        <f>133.845</f>
        <v>133.845</v>
      </c>
      <c r="F893" s="76">
        <f>278.484-40-25-60-100</f>
        <v>53.48399999999998</v>
      </c>
      <c r="G893" s="79">
        <v>40</v>
      </c>
      <c r="H893" s="76">
        <f t="shared" si="149"/>
        <v>185</v>
      </c>
      <c r="I893" s="76">
        <f t="shared" si="148"/>
        <v>0</v>
      </c>
      <c r="J893" s="79">
        <v>100</v>
      </c>
      <c r="K893" s="79">
        <v>300</v>
      </c>
      <c r="L893" s="76">
        <f t="shared" si="140"/>
        <v>1274</v>
      </c>
      <c r="M893" s="87">
        <v>600</v>
      </c>
      <c r="N893" s="76">
        <f>30</f>
        <v>30</v>
      </c>
      <c r="O893" s="79">
        <v>240</v>
      </c>
      <c r="P893" s="79">
        <v>40</v>
      </c>
      <c r="Q893" s="79">
        <f t="shared" si="141"/>
        <v>315</v>
      </c>
      <c r="R893" s="79">
        <f t="shared" si="142"/>
        <v>100</v>
      </c>
      <c r="S893" s="76">
        <f t="shared" si="143"/>
        <v>695</v>
      </c>
      <c r="T893" s="76">
        <f>50</f>
        <v>50</v>
      </c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</row>
    <row r="894" spans="1:30" ht="15.75" x14ac:dyDescent="0.25">
      <c r="A894" s="32">
        <v>68149</v>
      </c>
      <c r="B894" s="88">
        <f t="shared" si="145"/>
        <v>31</v>
      </c>
      <c r="C894" s="76">
        <f>194.205</f>
        <v>194.20500000000001</v>
      </c>
      <c r="D894" s="76">
        <f>267.466</f>
        <v>267.46600000000001</v>
      </c>
      <c r="E894" s="85">
        <f>133.845</f>
        <v>133.845</v>
      </c>
      <c r="F894" s="76">
        <f>278.484-40-25-60-100</f>
        <v>53.48399999999998</v>
      </c>
      <c r="G894" s="79">
        <v>40</v>
      </c>
      <c r="H894" s="76">
        <f t="shared" si="149"/>
        <v>185</v>
      </c>
      <c r="I894" s="76">
        <f t="shared" si="148"/>
        <v>0</v>
      </c>
      <c r="J894" s="79">
        <v>100</v>
      </c>
      <c r="K894" s="79">
        <v>300</v>
      </c>
      <c r="L894" s="76">
        <f t="shared" si="140"/>
        <v>1274</v>
      </c>
      <c r="M894" s="87">
        <v>600</v>
      </c>
      <c r="N894" s="76">
        <f>30</f>
        <v>30</v>
      </c>
      <c r="O894" s="79">
        <v>240</v>
      </c>
      <c r="P894" s="79">
        <v>40</v>
      </c>
      <c r="Q894" s="79">
        <f t="shared" si="141"/>
        <v>315</v>
      </c>
      <c r="R894" s="79">
        <f t="shared" si="142"/>
        <v>100</v>
      </c>
      <c r="S894" s="76">
        <f t="shared" si="143"/>
        <v>695</v>
      </c>
      <c r="T894" s="76">
        <f>0</f>
        <v>0</v>
      </c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</row>
    <row r="895" spans="1:30" ht="15.75" x14ac:dyDescent="0.25">
      <c r="A895" s="32">
        <v>68180</v>
      </c>
      <c r="B895" s="88">
        <f t="shared" si="145"/>
        <v>31</v>
      </c>
      <c r="C895" s="76">
        <f>194.205</f>
        <v>194.20500000000001</v>
      </c>
      <c r="D895" s="76">
        <f>267.466</f>
        <v>267.46600000000001</v>
      </c>
      <c r="E895" s="85">
        <f>133.845</f>
        <v>133.845</v>
      </c>
      <c r="F895" s="76">
        <f>278.484-40-25-60-100</f>
        <v>53.48399999999998</v>
      </c>
      <c r="G895" s="79">
        <v>40</v>
      </c>
      <c r="H895" s="76">
        <f t="shared" si="149"/>
        <v>185</v>
      </c>
      <c r="I895" s="76">
        <f t="shared" si="148"/>
        <v>0</v>
      </c>
      <c r="J895" s="79">
        <v>100</v>
      </c>
      <c r="K895" s="79">
        <v>300</v>
      </c>
      <c r="L895" s="76">
        <f t="shared" si="140"/>
        <v>1274</v>
      </c>
      <c r="M895" s="87">
        <v>600</v>
      </c>
      <c r="N895" s="76">
        <f>30</f>
        <v>30</v>
      </c>
      <c r="O895" s="79">
        <v>240</v>
      </c>
      <c r="P895" s="79">
        <v>40</v>
      </c>
      <c r="Q895" s="79">
        <f t="shared" si="141"/>
        <v>315</v>
      </c>
      <c r="R895" s="79">
        <f t="shared" si="142"/>
        <v>100</v>
      </c>
      <c r="S895" s="76">
        <f t="shared" si="143"/>
        <v>695</v>
      </c>
      <c r="T895" s="76">
        <f>0</f>
        <v>0</v>
      </c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</row>
    <row r="896" spans="1:30" ht="15.75" x14ac:dyDescent="0.25">
      <c r="A896" s="32">
        <v>68210</v>
      </c>
      <c r="B896" s="88">
        <f t="shared" si="145"/>
        <v>30</v>
      </c>
      <c r="C896" s="76">
        <f>194.205</f>
        <v>194.20500000000001</v>
      </c>
      <c r="D896" s="76">
        <f>267.466</f>
        <v>267.46600000000001</v>
      </c>
      <c r="E896" s="85">
        <f>133.845</f>
        <v>133.845</v>
      </c>
      <c r="F896" s="76">
        <f>278.484-40-25-60-100</f>
        <v>53.48399999999998</v>
      </c>
      <c r="G896" s="79">
        <v>40</v>
      </c>
      <c r="H896" s="76">
        <f t="shared" si="149"/>
        <v>185</v>
      </c>
      <c r="I896" s="76">
        <f t="shared" si="148"/>
        <v>0</v>
      </c>
      <c r="J896" s="79">
        <v>100</v>
      </c>
      <c r="K896" s="79">
        <v>300</v>
      </c>
      <c r="L896" s="76">
        <f t="shared" si="140"/>
        <v>1274</v>
      </c>
      <c r="M896" s="87">
        <v>600</v>
      </c>
      <c r="N896" s="76">
        <f>30</f>
        <v>30</v>
      </c>
      <c r="O896" s="79">
        <v>240</v>
      </c>
      <c r="P896" s="79">
        <v>40</v>
      </c>
      <c r="Q896" s="79">
        <f t="shared" si="141"/>
        <v>315</v>
      </c>
      <c r="R896" s="79">
        <f t="shared" si="142"/>
        <v>100</v>
      </c>
      <c r="S896" s="76">
        <f t="shared" si="143"/>
        <v>695</v>
      </c>
      <c r="T896" s="76">
        <f>0</f>
        <v>0</v>
      </c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</row>
    <row r="897" spans="1:30" ht="15.75" x14ac:dyDescent="0.25">
      <c r="A897" s="32">
        <v>68241</v>
      </c>
      <c r="B897" s="88">
        <f t="shared" si="145"/>
        <v>31</v>
      </c>
      <c r="C897" s="76">
        <f>131.881</f>
        <v>131.881</v>
      </c>
      <c r="D897" s="76">
        <f>277.167</f>
        <v>277.16699999999997</v>
      </c>
      <c r="E897" s="85">
        <f>79.08</f>
        <v>79.08</v>
      </c>
      <c r="F897" s="76">
        <f>350.872-40-25-60-100</f>
        <v>125.87200000000001</v>
      </c>
      <c r="G897" s="79">
        <v>40</v>
      </c>
      <c r="H897" s="76">
        <f t="shared" si="149"/>
        <v>185</v>
      </c>
      <c r="I897" s="76">
        <f t="shared" si="148"/>
        <v>0</v>
      </c>
      <c r="J897" s="79">
        <v>100</v>
      </c>
      <c r="K897" s="79">
        <v>300</v>
      </c>
      <c r="L897" s="76">
        <f t="shared" si="140"/>
        <v>1239</v>
      </c>
      <c r="M897" s="87">
        <v>600</v>
      </c>
      <c r="N897" s="76">
        <f>75</f>
        <v>75</v>
      </c>
      <c r="O897" s="79">
        <v>240</v>
      </c>
      <c r="P897" s="79">
        <v>40</v>
      </c>
      <c r="Q897" s="79">
        <f t="shared" si="141"/>
        <v>315</v>
      </c>
      <c r="R897" s="79">
        <f t="shared" si="142"/>
        <v>100</v>
      </c>
      <c r="S897" s="76">
        <f t="shared" si="143"/>
        <v>695</v>
      </c>
      <c r="T897" s="76">
        <f>0</f>
        <v>0</v>
      </c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</row>
    <row r="898" spans="1:30" ht="15.75" x14ac:dyDescent="0.25">
      <c r="A898" s="32">
        <v>68271</v>
      </c>
      <c r="B898" s="88">
        <f t="shared" si="145"/>
        <v>30</v>
      </c>
      <c r="C898" s="76">
        <f>122.58</f>
        <v>122.58</v>
      </c>
      <c r="D898" s="76">
        <f>297.941</f>
        <v>297.94099999999997</v>
      </c>
      <c r="E898" s="85">
        <f>89.177</f>
        <v>89.177000000000007</v>
      </c>
      <c r="F898" s="76">
        <f>240.302-40-60-100</f>
        <v>40.301999999999992</v>
      </c>
      <c r="G898" s="79">
        <v>40</v>
      </c>
      <c r="H898" s="76">
        <f>60+100</f>
        <v>160</v>
      </c>
      <c r="I898" s="76">
        <f t="shared" si="148"/>
        <v>0</v>
      </c>
      <c r="J898" s="79">
        <v>100</v>
      </c>
      <c r="K898" s="79">
        <v>300</v>
      </c>
      <c r="L898" s="76">
        <f t="shared" si="140"/>
        <v>1150</v>
      </c>
      <c r="M898" s="87">
        <v>600</v>
      </c>
      <c r="N898" s="76">
        <f>100</f>
        <v>100</v>
      </c>
      <c r="O898" s="79">
        <v>240</v>
      </c>
      <c r="P898" s="79">
        <v>40</v>
      </c>
      <c r="Q898" s="79">
        <f t="shared" si="141"/>
        <v>315</v>
      </c>
      <c r="R898" s="79">
        <f t="shared" si="142"/>
        <v>100</v>
      </c>
      <c r="S898" s="76">
        <f t="shared" si="143"/>
        <v>695</v>
      </c>
      <c r="T898" s="76">
        <f>50</f>
        <v>50</v>
      </c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</row>
    <row r="899" spans="1:30" ht="15.75" x14ac:dyDescent="0.25">
      <c r="A899" s="32">
        <v>68302</v>
      </c>
      <c r="B899" s="88">
        <f t="shared" si="145"/>
        <v>31</v>
      </c>
      <c r="C899" s="76">
        <f>122.58</f>
        <v>122.58</v>
      </c>
      <c r="D899" s="76">
        <f>297.941</f>
        <v>297.94099999999997</v>
      </c>
      <c r="E899" s="85">
        <f>89.177</f>
        <v>89.177000000000007</v>
      </c>
      <c r="F899" s="76">
        <f>240.302-40-60-100</f>
        <v>40.301999999999992</v>
      </c>
      <c r="G899" s="79">
        <v>40</v>
      </c>
      <c r="H899" s="76">
        <f>60+100</f>
        <v>160</v>
      </c>
      <c r="I899" s="76">
        <f t="shared" si="148"/>
        <v>0</v>
      </c>
      <c r="J899" s="79">
        <v>100</v>
      </c>
      <c r="K899" s="79">
        <v>300</v>
      </c>
      <c r="L899" s="76">
        <f t="shared" si="140"/>
        <v>1150</v>
      </c>
      <c r="M899" s="87">
        <v>600</v>
      </c>
      <c r="N899" s="76">
        <f>100</f>
        <v>100</v>
      </c>
      <c r="O899" s="79">
        <v>240</v>
      </c>
      <c r="P899" s="79">
        <v>40</v>
      </c>
      <c r="Q899" s="79">
        <f t="shared" si="141"/>
        <v>315</v>
      </c>
      <c r="R899" s="79">
        <f t="shared" si="142"/>
        <v>100</v>
      </c>
      <c r="S899" s="76">
        <f t="shared" si="143"/>
        <v>695</v>
      </c>
      <c r="T899" s="76">
        <f>50</f>
        <v>50</v>
      </c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</row>
    <row r="900" spans="1:30" ht="15.75" x14ac:dyDescent="0.25">
      <c r="A900" s="32">
        <v>68333</v>
      </c>
      <c r="B900" s="88">
        <f t="shared" si="145"/>
        <v>31</v>
      </c>
      <c r="C900" s="76">
        <f>122.58</f>
        <v>122.58</v>
      </c>
      <c r="D900" s="76">
        <f>297.941</f>
        <v>297.94099999999997</v>
      </c>
      <c r="E900" s="85">
        <f>89.177</f>
        <v>89.177000000000007</v>
      </c>
      <c r="F900" s="76">
        <f>240.302-40-60-100</f>
        <v>40.301999999999992</v>
      </c>
      <c r="G900" s="79">
        <v>40</v>
      </c>
      <c r="H900" s="76">
        <f>60+100</f>
        <v>160</v>
      </c>
      <c r="I900" s="76">
        <f t="shared" si="148"/>
        <v>0</v>
      </c>
      <c r="J900" s="79">
        <v>100</v>
      </c>
      <c r="K900" s="79">
        <v>300</v>
      </c>
      <c r="L900" s="76">
        <f t="shared" si="140"/>
        <v>1150</v>
      </c>
      <c r="M900" s="87">
        <v>600</v>
      </c>
      <c r="N900" s="76">
        <f>100</f>
        <v>100</v>
      </c>
      <c r="O900" s="79">
        <v>240</v>
      </c>
      <c r="P900" s="79">
        <v>40</v>
      </c>
      <c r="Q900" s="79">
        <f t="shared" si="141"/>
        <v>315</v>
      </c>
      <c r="R900" s="79">
        <f t="shared" si="142"/>
        <v>100</v>
      </c>
      <c r="S900" s="76">
        <f t="shared" si="143"/>
        <v>695</v>
      </c>
      <c r="T900" s="76">
        <f>50</f>
        <v>50</v>
      </c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</row>
    <row r="901" spans="1:30" ht="15.75" x14ac:dyDescent="0.25">
      <c r="A901" s="32">
        <v>68361</v>
      </c>
      <c r="B901" s="88">
        <f t="shared" si="145"/>
        <v>28</v>
      </c>
      <c r="C901" s="76">
        <f>122.58</f>
        <v>122.58</v>
      </c>
      <c r="D901" s="76">
        <f>297.941</f>
        <v>297.94099999999997</v>
      </c>
      <c r="E901" s="85">
        <f>89.177</f>
        <v>89.177000000000007</v>
      </c>
      <c r="F901" s="76">
        <f>240.302-40-60-100</f>
        <v>40.301999999999992</v>
      </c>
      <c r="G901" s="79">
        <v>40</v>
      </c>
      <c r="H901" s="76">
        <f>60+100</f>
        <v>160</v>
      </c>
      <c r="I901" s="76">
        <f t="shared" si="148"/>
        <v>0</v>
      </c>
      <c r="J901" s="79">
        <v>100</v>
      </c>
      <c r="K901" s="79">
        <v>300</v>
      </c>
      <c r="L901" s="76">
        <f t="shared" si="140"/>
        <v>1150</v>
      </c>
      <c r="M901" s="87">
        <v>600</v>
      </c>
      <c r="N901" s="76">
        <f>100</f>
        <v>100</v>
      </c>
      <c r="O901" s="79">
        <v>240</v>
      </c>
      <c r="P901" s="79">
        <v>40</v>
      </c>
      <c r="Q901" s="79">
        <f t="shared" si="141"/>
        <v>315</v>
      </c>
      <c r="R901" s="79">
        <f t="shared" si="142"/>
        <v>100</v>
      </c>
      <c r="S901" s="76">
        <f t="shared" si="143"/>
        <v>695</v>
      </c>
      <c r="T901" s="76">
        <f>50</f>
        <v>50</v>
      </c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</row>
    <row r="902" spans="1:30" ht="15.75" x14ac:dyDescent="0.25">
      <c r="A902" s="32">
        <v>68392</v>
      </c>
      <c r="B902" s="88">
        <f t="shared" si="145"/>
        <v>31</v>
      </c>
      <c r="C902" s="76">
        <f>122.58</f>
        <v>122.58</v>
      </c>
      <c r="D902" s="76">
        <f>297.941</f>
        <v>297.94099999999997</v>
      </c>
      <c r="E902" s="85">
        <f>89.177</f>
        <v>89.177000000000007</v>
      </c>
      <c r="F902" s="76">
        <f>240.302-40-60-100</f>
        <v>40.301999999999992</v>
      </c>
      <c r="G902" s="79">
        <v>40</v>
      </c>
      <c r="H902" s="76">
        <f>60+100</f>
        <v>160</v>
      </c>
      <c r="I902" s="76">
        <f t="shared" si="148"/>
        <v>0</v>
      </c>
      <c r="J902" s="79">
        <v>100</v>
      </c>
      <c r="K902" s="79">
        <v>300</v>
      </c>
      <c r="L902" s="76">
        <f t="shared" si="140"/>
        <v>1150</v>
      </c>
      <c r="M902" s="87">
        <v>600</v>
      </c>
      <c r="N902" s="76">
        <f>100</f>
        <v>100</v>
      </c>
      <c r="O902" s="79">
        <v>240</v>
      </c>
      <c r="P902" s="79">
        <v>40</v>
      </c>
      <c r="Q902" s="79">
        <f t="shared" si="141"/>
        <v>315</v>
      </c>
      <c r="R902" s="79">
        <f t="shared" si="142"/>
        <v>100</v>
      </c>
      <c r="S902" s="76">
        <f t="shared" si="143"/>
        <v>695</v>
      </c>
      <c r="T902" s="76">
        <f>50</f>
        <v>50</v>
      </c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</row>
    <row r="903" spans="1:30" ht="15.75" x14ac:dyDescent="0.25">
      <c r="A903" s="32">
        <v>68422</v>
      </c>
      <c r="B903" s="88">
        <f t="shared" si="145"/>
        <v>30</v>
      </c>
      <c r="C903" s="76">
        <f>141.293</f>
        <v>141.29300000000001</v>
      </c>
      <c r="D903" s="76">
        <f>267.993</f>
        <v>267.99299999999999</v>
      </c>
      <c r="E903" s="85">
        <f>115.016</f>
        <v>115.01600000000001</v>
      </c>
      <c r="F903" s="76">
        <f>314.698-40-25-60-100</f>
        <v>89.697999999999979</v>
      </c>
      <c r="G903" s="79">
        <v>40</v>
      </c>
      <c r="H903" s="76">
        <f t="shared" ref="H903:H909" si="150">25+60+100</f>
        <v>185</v>
      </c>
      <c r="I903" s="76">
        <f t="shared" si="148"/>
        <v>0</v>
      </c>
      <c r="J903" s="79">
        <v>100</v>
      </c>
      <c r="K903" s="79">
        <v>300</v>
      </c>
      <c r="L903" s="76">
        <f t="shared" si="140"/>
        <v>1239</v>
      </c>
      <c r="M903" s="87">
        <v>600</v>
      </c>
      <c r="N903" s="76">
        <f>100</f>
        <v>100</v>
      </c>
      <c r="O903" s="79">
        <v>240</v>
      </c>
      <c r="P903" s="79">
        <v>40</v>
      </c>
      <c r="Q903" s="79">
        <f t="shared" si="141"/>
        <v>315</v>
      </c>
      <c r="R903" s="79">
        <f t="shared" si="142"/>
        <v>100</v>
      </c>
      <c r="S903" s="76">
        <f t="shared" si="143"/>
        <v>695</v>
      </c>
      <c r="T903" s="76">
        <f>50</f>
        <v>50</v>
      </c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</row>
    <row r="904" spans="1:30" ht="15.75" x14ac:dyDescent="0.25">
      <c r="A904" s="32">
        <v>68453</v>
      </c>
      <c r="B904" s="88">
        <f t="shared" si="145"/>
        <v>31</v>
      </c>
      <c r="C904" s="76">
        <f>194.205</f>
        <v>194.20500000000001</v>
      </c>
      <c r="D904" s="76">
        <f>267.466</f>
        <v>267.46600000000001</v>
      </c>
      <c r="E904" s="85">
        <f>133.845</f>
        <v>133.845</v>
      </c>
      <c r="F904" s="76">
        <f>278.484-40-25-60-100</f>
        <v>53.48399999999998</v>
      </c>
      <c r="G904" s="79">
        <v>40</v>
      </c>
      <c r="H904" s="76">
        <f t="shared" si="150"/>
        <v>185</v>
      </c>
      <c r="I904" s="76">
        <f t="shared" si="148"/>
        <v>0</v>
      </c>
      <c r="J904" s="79">
        <v>100</v>
      </c>
      <c r="K904" s="79">
        <v>300</v>
      </c>
      <c r="L904" s="76">
        <f t="shared" si="140"/>
        <v>1274</v>
      </c>
      <c r="M904" s="87">
        <v>600</v>
      </c>
      <c r="N904" s="76">
        <f>75</f>
        <v>75</v>
      </c>
      <c r="O904" s="79">
        <v>240</v>
      </c>
      <c r="P904" s="79">
        <v>40</v>
      </c>
      <c r="Q904" s="79">
        <f t="shared" si="141"/>
        <v>315</v>
      </c>
      <c r="R904" s="79">
        <f t="shared" si="142"/>
        <v>100</v>
      </c>
      <c r="S904" s="76">
        <f t="shared" si="143"/>
        <v>695</v>
      </c>
      <c r="T904" s="76">
        <f>50</f>
        <v>50</v>
      </c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</row>
    <row r="905" spans="1:30" ht="15.75" x14ac:dyDescent="0.25">
      <c r="A905" s="32">
        <v>68483</v>
      </c>
      <c r="B905" s="88">
        <f t="shared" si="145"/>
        <v>30</v>
      </c>
      <c r="C905" s="76">
        <f>194.205</f>
        <v>194.20500000000001</v>
      </c>
      <c r="D905" s="76">
        <f>267.466</f>
        <v>267.46600000000001</v>
      </c>
      <c r="E905" s="85">
        <f>133.845</f>
        <v>133.845</v>
      </c>
      <c r="F905" s="76">
        <f>278.484-40-25-60-100</f>
        <v>53.48399999999998</v>
      </c>
      <c r="G905" s="79">
        <v>40</v>
      </c>
      <c r="H905" s="76">
        <f t="shared" si="150"/>
        <v>185</v>
      </c>
      <c r="I905" s="76">
        <f t="shared" si="148"/>
        <v>0</v>
      </c>
      <c r="J905" s="79">
        <v>100</v>
      </c>
      <c r="K905" s="79">
        <v>300</v>
      </c>
      <c r="L905" s="76">
        <f t="shared" si="140"/>
        <v>1274</v>
      </c>
      <c r="M905" s="87">
        <v>600</v>
      </c>
      <c r="N905" s="76">
        <f>30</f>
        <v>30</v>
      </c>
      <c r="O905" s="79">
        <v>240</v>
      </c>
      <c r="P905" s="79">
        <v>40</v>
      </c>
      <c r="Q905" s="79">
        <f t="shared" si="141"/>
        <v>315</v>
      </c>
      <c r="R905" s="79">
        <f t="shared" si="142"/>
        <v>100</v>
      </c>
      <c r="S905" s="76">
        <f t="shared" si="143"/>
        <v>695</v>
      </c>
      <c r="T905" s="76">
        <f>50</f>
        <v>50</v>
      </c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</row>
    <row r="906" spans="1:30" ht="15.75" x14ac:dyDescent="0.25">
      <c r="A906" s="32">
        <v>68514</v>
      </c>
      <c r="B906" s="88">
        <f t="shared" si="145"/>
        <v>31</v>
      </c>
      <c r="C906" s="76">
        <f>194.205</f>
        <v>194.20500000000001</v>
      </c>
      <c r="D906" s="76">
        <f>267.466</f>
        <v>267.46600000000001</v>
      </c>
      <c r="E906" s="85">
        <f>133.845</f>
        <v>133.845</v>
      </c>
      <c r="F906" s="76">
        <f>278.484-40-25-60-100</f>
        <v>53.48399999999998</v>
      </c>
      <c r="G906" s="79">
        <v>40</v>
      </c>
      <c r="H906" s="76">
        <f t="shared" si="150"/>
        <v>185</v>
      </c>
      <c r="I906" s="76">
        <f t="shared" si="148"/>
        <v>0</v>
      </c>
      <c r="J906" s="79">
        <v>100</v>
      </c>
      <c r="K906" s="79">
        <v>300</v>
      </c>
      <c r="L906" s="76">
        <f t="shared" si="140"/>
        <v>1274</v>
      </c>
      <c r="M906" s="87">
        <v>600</v>
      </c>
      <c r="N906" s="76">
        <f>30</f>
        <v>30</v>
      </c>
      <c r="O906" s="79">
        <v>240</v>
      </c>
      <c r="P906" s="79">
        <v>40</v>
      </c>
      <c r="Q906" s="79">
        <f t="shared" si="141"/>
        <v>315</v>
      </c>
      <c r="R906" s="79">
        <f t="shared" si="142"/>
        <v>100</v>
      </c>
      <c r="S906" s="76">
        <f t="shared" si="143"/>
        <v>695</v>
      </c>
      <c r="T906" s="76">
        <f>0</f>
        <v>0</v>
      </c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</row>
    <row r="907" spans="1:30" ht="15.75" x14ac:dyDescent="0.25">
      <c r="A907" s="32">
        <v>68545</v>
      </c>
      <c r="B907" s="88">
        <f t="shared" si="145"/>
        <v>31</v>
      </c>
      <c r="C907" s="76">
        <f>194.205</f>
        <v>194.20500000000001</v>
      </c>
      <c r="D907" s="76">
        <f>267.466</f>
        <v>267.46600000000001</v>
      </c>
      <c r="E907" s="85">
        <f>133.845</f>
        <v>133.845</v>
      </c>
      <c r="F907" s="76">
        <f>278.484-40-25-60-100</f>
        <v>53.48399999999998</v>
      </c>
      <c r="G907" s="79">
        <v>40</v>
      </c>
      <c r="H907" s="76">
        <f t="shared" si="150"/>
        <v>185</v>
      </c>
      <c r="I907" s="76">
        <f t="shared" si="148"/>
        <v>0</v>
      </c>
      <c r="J907" s="79">
        <v>100</v>
      </c>
      <c r="K907" s="79">
        <v>300</v>
      </c>
      <c r="L907" s="76">
        <f t="shared" si="140"/>
        <v>1274</v>
      </c>
      <c r="M907" s="87">
        <v>600</v>
      </c>
      <c r="N907" s="76">
        <f>30</f>
        <v>30</v>
      </c>
      <c r="O907" s="79">
        <v>240</v>
      </c>
      <c r="P907" s="79">
        <v>40</v>
      </c>
      <c r="Q907" s="79">
        <f t="shared" si="141"/>
        <v>315</v>
      </c>
      <c r="R907" s="79">
        <f t="shared" si="142"/>
        <v>100</v>
      </c>
      <c r="S907" s="76">
        <f t="shared" si="143"/>
        <v>695</v>
      </c>
      <c r="T907" s="76">
        <f>0</f>
        <v>0</v>
      </c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</row>
    <row r="908" spans="1:30" ht="15.75" x14ac:dyDescent="0.25">
      <c r="A908" s="32">
        <v>68575</v>
      </c>
      <c r="B908" s="88">
        <f t="shared" si="145"/>
        <v>30</v>
      </c>
      <c r="C908" s="76">
        <f>194.205</f>
        <v>194.20500000000001</v>
      </c>
      <c r="D908" s="76">
        <f>267.466</f>
        <v>267.46600000000001</v>
      </c>
      <c r="E908" s="85">
        <f>133.845</f>
        <v>133.845</v>
      </c>
      <c r="F908" s="76">
        <f>278.484-40-25-60-100</f>
        <v>53.48399999999998</v>
      </c>
      <c r="G908" s="79">
        <v>40</v>
      </c>
      <c r="H908" s="76">
        <f t="shared" si="150"/>
        <v>185</v>
      </c>
      <c r="I908" s="76">
        <f t="shared" si="148"/>
        <v>0</v>
      </c>
      <c r="J908" s="79">
        <v>100</v>
      </c>
      <c r="K908" s="79">
        <v>300</v>
      </c>
      <c r="L908" s="76">
        <f t="shared" si="140"/>
        <v>1274</v>
      </c>
      <c r="M908" s="87">
        <v>600</v>
      </c>
      <c r="N908" s="76">
        <f>30</f>
        <v>30</v>
      </c>
      <c r="O908" s="79">
        <v>240</v>
      </c>
      <c r="P908" s="79">
        <v>40</v>
      </c>
      <c r="Q908" s="79">
        <f t="shared" si="141"/>
        <v>315</v>
      </c>
      <c r="R908" s="79">
        <f t="shared" si="142"/>
        <v>100</v>
      </c>
      <c r="S908" s="76">
        <f t="shared" si="143"/>
        <v>695</v>
      </c>
      <c r="T908" s="76">
        <f>0</f>
        <v>0</v>
      </c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</row>
    <row r="909" spans="1:30" ht="15.75" x14ac:dyDescent="0.25">
      <c r="A909" s="32">
        <v>68606</v>
      </c>
      <c r="B909" s="88">
        <f t="shared" si="145"/>
        <v>31</v>
      </c>
      <c r="C909" s="76">
        <f>131.881</f>
        <v>131.881</v>
      </c>
      <c r="D909" s="76">
        <f>277.167</f>
        <v>277.16699999999997</v>
      </c>
      <c r="E909" s="85">
        <f>79.08</f>
        <v>79.08</v>
      </c>
      <c r="F909" s="76">
        <f>350.872-40-25-60-100</f>
        <v>125.87200000000001</v>
      </c>
      <c r="G909" s="79">
        <v>40</v>
      </c>
      <c r="H909" s="76">
        <f t="shared" si="150"/>
        <v>185</v>
      </c>
      <c r="I909" s="76">
        <f t="shared" si="148"/>
        <v>0</v>
      </c>
      <c r="J909" s="79">
        <v>100</v>
      </c>
      <c r="K909" s="79">
        <v>300</v>
      </c>
      <c r="L909" s="76">
        <f t="shared" si="140"/>
        <v>1239</v>
      </c>
      <c r="M909" s="87">
        <v>600</v>
      </c>
      <c r="N909" s="76">
        <f>75</f>
        <v>75</v>
      </c>
      <c r="O909" s="79">
        <v>240</v>
      </c>
      <c r="P909" s="79">
        <v>40</v>
      </c>
      <c r="Q909" s="79">
        <f t="shared" si="141"/>
        <v>315</v>
      </c>
      <c r="R909" s="79">
        <f t="shared" si="142"/>
        <v>100</v>
      </c>
      <c r="S909" s="76">
        <f t="shared" si="143"/>
        <v>695</v>
      </c>
      <c r="T909" s="76">
        <f>0</f>
        <v>0</v>
      </c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</row>
    <row r="910" spans="1:30" ht="15.75" x14ac:dyDescent="0.25">
      <c r="A910" s="32">
        <v>68636</v>
      </c>
      <c r="B910" s="88">
        <f t="shared" si="145"/>
        <v>30</v>
      </c>
      <c r="C910" s="76">
        <f>122.58</f>
        <v>122.58</v>
      </c>
      <c r="D910" s="76">
        <f>297.941</f>
        <v>297.94099999999997</v>
      </c>
      <c r="E910" s="85">
        <f>89.177</f>
        <v>89.177000000000007</v>
      </c>
      <c r="F910" s="76">
        <f>240.302-40-60-100</f>
        <v>40.301999999999992</v>
      </c>
      <c r="G910" s="79">
        <v>40</v>
      </c>
      <c r="H910" s="76">
        <f>60+100</f>
        <v>160</v>
      </c>
      <c r="I910" s="76">
        <f t="shared" si="148"/>
        <v>0</v>
      </c>
      <c r="J910" s="79">
        <v>100</v>
      </c>
      <c r="K910" s="79">
        <v>300</v>
      </c>
      <c r="L910" s="76">
        <f t="shared" si="140"/>
        <v>1150</v>
      </c>
      <c r="M910" s="87">
        <v>600</v>
      </c>
      <c r="N910" s="76">
        <f>100</f>
        <v>100</v>
      </c>
      <c r="O910" s="79">
        <v>240</v>
      </c>
      <c r="P910" s="79">
        <v>40</v>
      </c>
      <c r="Q910" s="79">
        <f t="shared" si="141"/>
        <v>315</v>
      </c>
      <c r="R910" s="79">
        <f t="shared" si="142"/>
        <v>100</v>
      </c>
      <c r="S910" s="76">
        <f t="shared" si="143"/>
        <v>695</v>
      </c>
      <c r="T910" s="76">
        <f>50</f>
        <v>50</v>
      </c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</row>
    <row r="911" spans="1:30" ht="15.75" x14ac:dyDescent="0.25">
      <c r="A911" s="32">
        <v>68667</v>
      </c>
      <c r="B911" s="88">
        <f t="shared" si="145"/>
        <v>31</v>
      </c>
      <c r="C911" s="76">
        <f>122.58</f>
        <v>122.58</v>
      </c>
      <c r="D911" s="76">
        <f>297.941</f>
        <v>297.94099999999997</v>
      </c>
      <c r="E911" s="85">
        <f>89.177</f>
        <v>89.177000000000007</v>
      </c>
      <c r="F911" s="76">
        <f>240.302-40-60-100</f>
        <v>40.301999999999992</v>
      </c>
      <c r="G911" s="79">
        <v>40</v>
      </c>
      <c r="H911" s="76">
        <f>60+100</f>
        <v>160</v>
      </c>
      <c r="I911" s="76">
        <f t="shared" si="148"/>
        <v>0</v>
      </c>
      <c r="J911" s="79">
        <v>100</v>
      </c>
      <c r="K911" s="79">
        <v>300</v>
      </c>
      <c r="L911" s="76">
        <f t="shared" si="140"/>
        <v>1150</v>
      </c>
      <c r="M911" s="87">
        <v>600</v>
      </c>
      <c r="N911" s="76">
        <f>100</f>
        <v>100</v>
      </c>
      <c r="O911" s="79">
        <v>240</v>
      </c>
      <c r="P911" s="79">
        <v>40</v>
      </c>
      <c r="Q911" s="79">
        <f t="shared" si="141"/>
        <v>315</v>
      </c>
      <c r="R911" s="79">
        <f t="shared" si="142"/>
        <v>100</v>
      </c>
      <c r="S911" s="76">
        <f t="shared" si="143"/>
        <v>695</v>
      </c>
      <c r="T911" s="76">
        <f>50</f>
        <v>50</v>
      </c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</row>
    <row r="912" spans="1:30" ht="15.75" x14ac:dyDescent="0.25">
      <c r="A912" s="32">
        <v>68698</v>
      </c>
      <c r="B912" s="88">
        <f t="shared" si="145"/>
        <v>31</v>
      </c>
      <c r="C912" s="76">
        <f>122.58</f>
        <v>122.58</v>
      </c>
      <c r="D912" s="76">
        <f>297.941</f>
        <v>297.94099999999997</v>
      </c>
      <c r="E912" s="85">
        <f>89.177</f>
        <v>89.177000000000007</v>
      </c>
      <c r="F912" s="76">
        <f>240.302-40-60-100</f>
        <v>40.301999999999992</v>
      </c>
      <c r="G912" s="79">
        <v>40</v>
      </c>
      <c r="H912" s="76">
        <f>60+100</f>
        <v>160</v>
      </c>
      <c r="I912" s="76">
        <f t="shared" si="148"/>
        <v>0</v>
      </c>
      <c r="J912" s="79">
        <v>100</v>
      </c>
      <c r="K912" s="79">
        <v>300</v>
      </c>
      <c r="L912" s="76">
        <f t="shared" ref="L912:L975" si="151">SUM(C912:K912)</f>
        <v>1150</v>
      </c>
      <c r="M912" s="87">
        <v>600</v>
      </c>
      <c r="N912" s="76">
        <f>100</f>
        <v>100</v>
      </c>
      <c r="O912" s="79">
        <v>240</v>
      </c>
      <c r="P912" s="79">
        <v>40</v>
      </c>
      <c r="Q912" s="79">
        <f t="shared" ref="Q912:Q975" si="152">695-R912-O912-P912</f>
        <v>315</v>
      </c>
      <c r="R912" s="79">
        <f t="shared" ref="R912:R975" si="153">200-J912</f>
        <v>100</v>
      </c>
      <c r="S912" s="76">
        <f t="shared" ref="S912:S975" si="154">SUM(O912:R912)</f>
        <v>695</v>
      </c>
      <c r="T912" s="76">
        <f>50</f>
        <v>50</v>
      </c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</row>
    <row r="913" spans="1:30" ht="15.75" x14ac:dyDescent="0.25">
      <c r="A913" s="32">
        <v>68727</v>
      </c>
      <c r="B913" s="88">
        <f t="shared" si="145"/>
        <v>29</v>
      </c>
      <c r="C913" s="76">
        <f>122.58</f>
        <v>122.58</v>
      </c>
      <c r="D913" s="76">
        <f>297.941</f>
        <v>297.94099999999997</v>
      </c>
      <c r="E913" s="85">
        <f>89.177</f>
        <v>89.177000000000007</v>
      </c>
      <c r="F913" s="76">
        <f>240.302-40-60-100</f>
        <v>40.301999999999992</v>
      </c>
      <c r="G913" s="79">
        <v>40</v>
      </c>
      <c r="H913" s="76">
        <f>60+100</f>
        <v>160</v>
      </c>
      <c r="I913" s="76">
        <f t="shared" si="148"/>
        <v>0</v>
      </c>
      <c r="J913" s="79">
        <v>100</v>
      </c>
      <c r="K913" s="79">
        <v>300</v>
      </c>
      <c r="L913" s="76">
        <f t="shared" si="151"/>
        <v>1150</v>
      </c>
      <c r="M913" s="87">
        <v>600</v>
      </c>
      <c r="N913" s="76">
        <f>100</f>
        <v>100</v>
      </c>
      <c r="O913" s="79">
        <v>240</v>
      </c>
      <c r="P913" s="79">
        <v>40</v>
      </c>
      <c r="Q913" s="79">
        <f t="shared" si="152"/>
        <v>315</v>
      </c>
      <c r="R913" s="79">
        <f t="shared" si="153"/>
        <v>100</v>
      </c>
      <c r="S913" s="76">
        <f t="shared" si="154"/>
        <v>695</v>
      </c>
      <c r="T913" s="76">
        <f>50</f>
        <v>50</v>
      </c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</row>
    <row r="914" spans="1:30" ht="15.75" x14ac:dyDescent="0.25">
      <c r="A914" s="32">
        <v>68758</v>
      </c>
      <c r="B914" s="88">
        <f t="shared" si="145"/>
        <v>31</v>
      </c>
      <c r="C914" s="76">
        <f>122.58</f>
        <v>122.58</v>
      </c>
      <c r="D914" s="76">
        <f>297.941</f>
        <v>297.94099999999997</v>
      </c>
      <c r="E914" s="85">
        <f>89.177</f>
        <v>89.177000000000007</v>
      </c>
      <c r="F914" s="76">
        <f>240.302-40-60-100</f>
        <v>40.301999999999992</v>
      </c>
      <c r="G914" s="79">
        <v>40</v>
      </c>
      <c r="H914" s="76">
        <f>60+100</f>
        <v>160</v>
      </c>
      <c r="I914" s="76">
        <f t="shared" si="148"/>
        <v>0</v>
      </c>
      <c r="J914" s="79">
        <v>100</v>
      </c>
      <c r="K914" s="79">
        <v>300</v>
      </c>
      <c r="L914" s="76">
        <f t="shared" si="151"/>
        <v>1150</v>
      </c>
      <c r="M914" s="87">
        <v>600</v>
      </c>
      <c r="N914" s="76">
        <f>100</f>
        <v>100</v>
      </c>
      <c r="O914" s="79">
        <v>240</v>
      </c>
      <c r="P914" s="79">
        <v>40</v>
      </c>
      <c r="Q914" s="79">
        <f t="shared" si="152"/>
        <v>315</v>
      </c>
      <c r="R914" s="79">
        <f t="shared" si="153"/>
        <v>100</v>
      </c>
      <c r="S914" s="76">
        <f t="shared" si="154"/>
        <v>695</v>
      </c>
      <c r="T914" s="76">
        <f>50</f>
        <v>50</v>
      </c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</row>
    <row r="915" spans="1:30" ht="15.75" x14ac:dyDescent="0.25">
      <c r="A915" s="32">
        <v>68788</v>
      </c>
      <c r="B915" s="88">
        <f t="shared" si="145"/>
        <v>30</v>
      </c>
      <c r="C915" s="76">
        <f>141.293</f>
        <v>141.29300000000001</v>
      </c>
      <c r="D915" s="76">
        <f>267.993</f>
        <v>267.99299999999999</v>
      </c>
      <c r="E915" s="85">
        <f>115.016</f>
        <v>115.01600000000001</v>
      </c>
      <c r="F915" s="76">
        <f>314.698-40-25-60-100</f>
        <v>89.697999999999979</v>
      </c>
      <c r="G915" s="79">
        <v>40</v>
      </c>
      <c r="H915" s="76">
        <f t="shared" ref="H915:H921" si="155">25+60+100</f>
        <v>185</v>
      </c>
      <c r="I915" s="76">
        <f t="shared" si="148"/>
        <v>0</v>
      </c>
      <c r="J915" s="79">
        <v>100</v>
      </c>
      <c r="K915" s="79">
        <v>300</v>
      </c>
      <c r="L915" s="76">
        <f t="shared" si="151"/>
        <v>1239</v>
      </c>
      <c r="M915" s="87">
        <v>600</v>
      </c>
      <c r="N915" s="76">
        <f>100</f>
        <v>100</v>
      </c>
      <c r="O915" s="79">
        <v>240</v>
      </c>
      <c r="P915" s="79">
        <v>40</v>
      </c>
      <c r="Q915" s="79">
        <f t="shared" si="152"/>
        <v>315</v>
      </c>
      <c r="R915" s="79">
        <f t="shared" si="153"/>
        <v>100</v>
      </c>
      <c r="S915" s="76">
        <f t="shared" si="154"/>
        <v>695</v>
      </c>
      <c r="T915" s="76">
        <f>50</f>
        <v>50</v>
      </c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</row>
    <row r="916" spans="1:30" ht="15.75" x14ac:dyDescent="0.25">
      <c r="A916" s="32">
        <v>68819</v>
      </c>
      <c r="B916" s="88">
        <f t="shared" si="145"/>
        <v>31</v>
      </c>
      <c r="C916" s="76">
        <f>194.205</f>
        <v>194.20500000000001</v>
      </c>
      <c r="D916" s="76">
        <f>267.466</f>
        <v>267.46600000000001</v>
      </c>
      <c r="E916" s="85">
        <f>133.845</f>
        <v>133.845</v>
      </c>
      <c r="F916" s="76">
        <f>278.484-40-25-60-100</f>
        <v>53.48399999999998</v>
      </c>
      <c r="G916" s="79">
        <v>40</v>
      </c>
      <c r="H916" s="76">
        <f t="shared" si="155"/>
        <v>185</v>
      </c>
      <c r="I916" s="76">
        <f t="shared" si="148"/>
        <v>0</v>
      </c>
      <c r="J916" s="79">
        <v>100</v>
      </c>
      <c r="K916" s="79">
        <v>300</v>
      </c>
      <c r="L916" s="76">
        <f t="shared" si="151"/>
        <v>1274</v>
      </c>
      <c r="M916" s="87">
        <v>600</v>
      </c>
      <c r="N916" s="76">
        <f>75</f>
        <v>75</v>
      </c>
      <c r="O916" s="79">
        <v>240</v>
      </c>
      <c r="P916" s="79">
        <v>40</v>
      </c>
      <c r="Q916" s="79">
        <f t="shared" si="152"/>
        <v>315</v>
      </c>
      <c r="R916" s="79">
        <f t="shared" si="153"/>
        <v>100</v>
      </c>
      <c r="S916" s="76">
        <f t="shared" si="154"/>
        <v>695</v>
      </c>
      <c r="T916" s="76">
        <f>50</f>
        <v>50</v>
      </c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</row>
    <row r="917" spans="1:30" ht="15.75" x14ac:dyDescent="0.25">
      <c r="A917" s="32">
        <v>68849</v>
      </c>
      <c r="B917" s="88">
        <f t="shared" si="145"/>
        <v>30</v>
      </c>
      <c r="C917" s="76">
        <f>194.205</f>
        <v>194.20500000000001</v>
      </c>
      <c r="D917" s="76">
        <f>267.466</f>
        <v>267.46600000000001</v>
      </c>
      <c r="E917" s="85">
        <f>133.845</f>
        <v>133.845</v>
      </c>
      <c r="F917" s="76">
        <f>278.484-40-25-60-100</f>
        <v>53.48399999999998</v>
      </c>
      <c r="G917" s="79">
        <v>40</v>
      </c>
      <c r="H917" s="76">
        <f t="shared" si="155"/>
        <v>185</v>
      </c>
      <c r="I917" s="76">
        <f t="shared" si="148"/>
        <v>0</v>
      </c>
      <c r="J917" s="79">
        <v>100</v>
      </c>
      <c r="K917" s="79">
        <v>300</v>
      </c>
      <c r="L917" s="76">
        <f t="shared" si="151"/>
        <v>1274</v>
      </c>
      <c r="M917" s="87">
        <v>600</v>
      </c>
      <c r="N917" s="76">
        <f>30</f>
        <v>30</v>
      </c>
      <c r="O917" s="79">
        <v>240</v>
      </c>
      <c r="P917" s="79">
        <v>40</v>
      </c>
      <c r="Q917" s="79">
        <f t="shared" si="152"/>
        <v>315</v>
      </c>
      <c r="R917" s="79">
        <f t="shared" si="153"/>
        <v>100</v>
      </c>
      <c r="S917" s="76">
        <f t="shared" si="154"/>
        <v>695</v>
      </c>
      <c r="T917" s="76">
        <f>50</f>
        <v>50</v>
      </c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</row>
    <row r="918" spans="1:30" ht="15.75" x14ac:dyDescent="0.25">
      <c r="A918" s="32">
        <v>68880</v>
      </c>
      <c r="B918" s="88">
        <f t="shared" si="145"/>
        <v>31</v>
      </c>
      <c r="C918" s="76">
        <f>194.205</f>
        <v>194.20500000000001</v>
      </c>
      <c r="D918" s="76">
        <f>267.466</f>
        <v>267.46600000000001</v>
      </c>
      <c r="E918" s="85">
        <f>133.845</f>
        <v>133.845</v>
      </c>
      <c r="F918" s="76">
        <f>278.484-40-25-60-100</f>
        <v>53.48399999999998</v>
      </c>
      <c r="G918" s="79">
        <v>40</v>
      </c>
      <c r="H918" s="76">
        <f t="shared" si="155"/>
        <v>185</v>
      </c>
      <c r="I918" s="76">
        <f t="shared" si="148"/>
        <v>0</v>
      </c>
      <c r="J918" s="79">
        <v>100</v>
      </c>
      <c r="K918" s="79">
        <v>300</v>
      </c>
      <c r="L918" s="76">
        <f t="shared" si="151"/>
        <v>1274</v>
      </c>
      <c r="M918" s="87">
        <v>600</v>
      </c>
      <c r="N918" s="76">
        <f>30</f>
        <v>30</v>
      </c>
      <c r="O918" s="79">
        <v>240</v>
      </c>
      <c r="P918" s="79">
        <v>40</v>
      </c>
      <c r="Q918" s="79">
        <f t="shared" si="152"/>
        <v>315</v>
      </c>
      <c r="R918" s="79">
        <f t="shared" si="153"/>
        <v>100</v>
      </c>
      <c r="S918" s="76">
        <f t="shared" si="154"/>
        <v>695</v>
      </c>
      <c r="T918" s="76">
        <f>0</f>
        <v>0</v>
      </c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</row>
    <row r="919" spans="1:30" ht="15.75" x14ac:dyDescent="0.25">
      <c r="A919" s="32">
        <v>68911</v>
      </c>
      <c r="B919" s="88">
        <f t="shared" si="145"/>
        <v>31</v>
      </c>
      <c r="C919" s="76">
        <f>194.205</f>
        <v>194.20500000000001</v>
      </c>
      <c r="D919" s="76">
        <f>267.466</f>
        <v>267.46600000000001</v>
      </c>
      <c r="E919" s="85">
        <f>133.845</f>
        <v>133.845</v>
      </c>
      <c r="F919" s="76">
        <f>278.484-40-25-60-100</f>
        <v>53.48399999999998</v>
      </c>
      <c r="G919" s="79">
        <v>40</v>
      </c>
      <c r="H919" s="76">
        <f t="shared" si="155"/>
        <v>185</v>
      </c>
      <c r="I919" s="76">
        <f t="shared" si="148"/>
        <v>0</v>
      </c>
      <c r="J919" s="79">
        <v>100</v>
      </c>
      <c r="K919" s="79">
        <v>300</v>
      </c>
      <c r="L919" s="76">
        <f t="shared" si="151"/>
        <v>1274</v>
      </c>
      <c r="M919" s="87">
        <v>600</v>
      </c>
      <c r="N919" s="76">
        <f>30</f>
        <v>30</v>
      </c>
      <c r="O919" s="79">
        <v>240</v>
      </c>
      <c r="P919" s="79">
        <v>40</v>
      </c>
      <c r="Q919" s="79">
        <f t="shared" si="152"/>
        <v>315</v>
      </c>
      <c r="R919" s="79">
        <f t="shared" si="153"/>
        <v>100</v>
      </c>
      <c r="S919" s="76">
        <f t="shared" si="154"/>
        <v>695</v>
      </c>
      <c r="T919" s="76">
        <f>0</f>
        <v>0</v>
      </c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</row>
    <row r="920" spans="1:30" ht="15.75" x14ac:dyDescent="0.25">
      <c r="A920" s="32">
        <v>68941</v>
      </c>
      <c r="B920" s="88">
        <f t="shared" ref="B920:B983" si="156">EOMONTH(A920,0)-EOMONTH(A920,-1)</f>
        <v>30</v>
      </c>
      <c r="C920" s="76">
        <f>194.205</f>
        <v>194.20500000000001</v>
      </c>
      <c r="D920" s="76">
        <f>267.466</f>
        <v>267.46600000000001</v>
      </c>
      <c r="E920" s="85">
        <f>133.845</f>
        <v>133.845</v>
      </c>
      <c r="F920" s="76">
        <f>278.484-40-25-60-100</f>
        <v>53.48399999999998</v>
      </c>
      <c r="G920" s="79">
        <v>40</v>
      </c>
      <c r="H920" s="76">
        <f t="shared" si="155"/>
        <v>185</v>
      </c>
      <c r="I920" s="76">
        <f t="shared" si="148"/>
        <v>0</v>
      </c>
      <c r="J920" s="79">
        <v>100</v>
      </c>
      <c r="K920" s="79">
        <v>300</v>
      </c>
      <c r="L920" s="76">
        <f t="shared" si="151"/>
        <v>1274</v>
      </c>
      <c r="M920" s="87">
        <v>600</v>
      </c>
      <c r="N920" s="76">
        <f>30</f>
        <v>30</v>
      </c>
      <c r="O920" s="79">
        <v>240</v>
      </c>
      <c r="P920" s="79">
        <v>40</v>
      </c>
      <c r="Q920" s="79">
        <f t="shared" si="152"/>
        <v>315</v>
      </c>
      <c r="R920" s="79">
        <f t="shared" si="153"/>
        <v>100</v>
      </c>
      <c r="S920" s="76">
        <f t="shared" si="154"/>
        <v>695</v>
      </c>
      <c r="T920" s="76">
        <f>0</f>
        <v>0</v>
      </c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</row>
    <row r="921" spans="1:30" ht="15.75" x14ac:dyDescent="0.25">
      <c r="A921" s="32">
        <v>68972</v>
      </c>
      <c r="B921" s="88">
        <f t="shared" si="156"/>
        <v>31</v>
      </c>
      <c r="C921" s="76">
        <f>131.881</f>
        <v>131.881</v>
      </c>
      <c r="D921" s="76">
        <f>277.167</f>
        <v>277.16699999999997</v>
      </c>
      <c r="E921" s="85">
        <f>79.08</f>
        <v>79.08</v>
      </c>
      <c r="F921" s="76">
        <f>350.872-40-25-60-100</f>
        <v>125.87200000000001</v>
      </c>
      <c r="G921" s="79">
        <v>40</v>
      </c>
      <c r="H921" s="76">
        <f t="shared" si="155"/>
        <v>185</v>
      </c>
      <c r="I921" s="76">
        <f t="shared" si="148"/>
        <v>0</v>
      </c>
      <c r="J921" s="79">
        <v>100</v>
      </c>
      <c r="K921" s="79">
        <v>300</v>
      </c>
      <c r="L921" s="76">
        <f t="shared" si="151"/>
        <v>1239</v>
      </c>
      <c r="M921" s="87">
        <v>600</v>
      </c>
      <c r="N921" s="76">
        <f>75</f>
        <v>75</v>
      </c>
      <c r="O921" s="79">
        <v>240</v>
      </c>
      <c r="P921" s="79">
        <v>40</v>
      </c>
      <c r="Q921" s="79">
        <f t="shared" si="152"/>
        <v>315</v>
      </c>
      <c r="R921" s="79">
        <f t="shared" si="153"/>
        <v>100</v>
      </c>
      <c r="S921" s="76">
        <f t="shared" si="154"/>
        <v>695</v>
      </c>
      <c r="T921" s="76">
        <f>0</f>
        <v>0</v>
      </c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</row>
    <row r="922" spans="1:30" ht="15.75" x14ac:dyDescent="0.25">
      <c r="A922" s="32">
        <v>69002</v>
      </c>
      <c r="B922" s="88">
        <f t="shared" si="156"/>
        <v>30</v>
      </c>
      <c r="C922" s="76">
        <f>122.58</f>
        <v>122.58</v>
      </c>
      <c r="D922" s="76">
        <f>297.941</f>
        <v>297.94099999999997</v>
      </c>
      <c r="E922" s="85">
        <f>89.177</f>
        <v>89.177000000000007</v>
      </c>
      <c r="F922" s="76">
        <f>240.302-40-60-100</f>
        <v>40.301999999999992</v>
      </c>
      <c r="G922" s="79">
        <v>40</v>
      </c>
      <c r="H922" s="76">
        <f>60+100</f>
        <v>160</v>
      </c>
      <c r="I922" s="76">
        <f t="shared" si="148"/>
        <v>0</v>
      </c>
      <c r="J922" s="79">
        <v>100</v>
      </c>
      <c r="K922" s="79">
        <v>300</v>
      </c>
      <c r="L922" s="76">
        <f t="shared" si="151"/>
        <v>1150</v>
      </c>
      <c r="M922" s="87">
        <v>600</v>
      </c>
      <c r="N922" s="76">
        <f>100</f>
        <v>100</v>
      </c>
      <c r="O922" s="79">
        <v>240</v>
      </c>
      <c r="P922" s="79">
        <v>40</v>
      </c>
      <c r="Q922" s="79">
        <f t="shared" si="152"/>
        <v>315</v>
      </c>
      <c r="R922" s="79">
        <f t="shared" si="153"/>
        <v>100</v>
      </c>
      <c r="S922" s="76">
        <f t="shared" si="154"/>
        <v>695</v>
      </c>
      <c r="T922" s="76">
        <f>50</f>
        <v>50</v>
      </c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</row>
    <row r="923" spans="1:30" ht="15.75" x14ac:dyDescent="0.25">
      <c r="A923" s="32">
        <v>69033</v>
      </c>
      <c r="B923" s="88">
        <f t="shared" si="156"/>
        <v>31</v>
      </c>
      <c r="C923" s="76">
        <f>122.58</f>
        <v>122.58</v>
      </c>
      <c r="D923" s="76">
        <f>297.941</f>
        <v>297.94099999999997</v>
      </c>
      <c r="E923" s="85">
        <f>89.177</f>
        <v>89.177000000000007</v>
      </c>
      <c r="F923" s="76">
        <f>240.302-40-60-100</f>
        <v>40.301999999999992</v>
      </c>
      <c r="G923" s="79">
        <v>40</v>
      </c>
      <c r="H923" s="76">
        <f>60+100</f>
        <v>160</v>
      </c>
      <c r="I923" s="76">
        <f t="shared" si="148"/>
        <v>0</v>
      </c>
      <c r="J923" s="79">
        <v>100</v>
      </c>
      <c r="K923" s="79">
        <v>300</v>
      </c>
      <c r="L923" s="76">
        <f t="shared" si="151"/>
        <v>1150</v>
      </c>
      <c r="M923" s="87">
        <v>600</v>
      </c>
      <c r="N923" s="76">
        <f>100</f>
        <v>100</v>
      </c>
      <c r="O923" s="79">
        <v>240</v>
      </c>
      <c r="P923" s="79">
        <v>40</v>
      </c>
      <c r="Q923" s="79">
        <f t="shared" si="152"/>
        <v>315</v>
      </c>
      <c r="R923" s="79">
        <f t="shared" si="153"/>
        <v>100</v>
      </c>
      <c r="S923" s="76">
        <f t="shared" si="154"/>
        <v>695</v>
      </c>
      <c r="T923" s="76">
        <f>50</f>
        <v>50</v>
      </c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</row>
    <row r="924" spans="1:30" ht="15.75" x14ac:dyDescent="0.25">
      <c r="A924" s="32">
        <v>69064</v>
      </c>
      <c r="B924" s="88">
        <f t="shared" si="156"/>
        <v>31</v>
      </c>
      <c r="C924" s="76">
        <f>122.58</f>
        <v>122.58</v>
      </c>
      <c r="D924" s="76">
        <f>297.941</f>
        <v>297.94099999999997</v>
      </c>
      <c r="E924" s="85">
        <f>89.177</f>
        <v>89.177000000000007</v>
      </c>
      <c r="F924" s="76">
        <f>240.302-40-60-100</f>
        <v>40.301999999999992</v>
      </c>
      <c r="G924" s="79">
        <v>40</v>
      </c>
      <c r="H924" s="76">
        <f>60+100</f>
        <v>160</v>
      </c>
      <c r="I924" s="76">
        <f t="shared" si="148"/>
        <v>0</v>
      </c>
      <c r="J924" s="79">
        <v>100</v>
      </c>
      <c r="K924" s="79">
        <v>300</v>
      </c>
      <c r="L924" s="76">
        <f t="shared" si="151"/>
        <v>1150</v>
      </c>
      <c r="M924" s="87">
        <v>600</v>
      </c>
      <c r="N924" s="76">
        <f>100</f>
        <v>100</v>
      </c>
      <c r="O924" s="79">
        <v>240</v>
      </c>
      <c r="P924" s="79">
        <v>40</v>
      </c>
      <c r="Q924" s="79">
        <f t="shared" si="152"/>
        <v>315</v>
      </c>
      <c r="R924" s="79">
        <f t="shared" si="153"/>
        <v>100</v>
      </c>
      <c r="S924" s="76">
        <f t="shared" si="154"/>
        <v>695</v>
      </c>
      <c r="T924" s="76">
        <f>50</f>
        <v>50</v>
      </c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</row>
    <row r="925" spans="1:30" ht="15.75" x14ac:dyDescent="0.25">
      <c r="A925" s="32">
        <v>69092</v>
      </c>
      <c r="B925" s="88">
        <f t="shared" si="156"/>
        <v>28</v>
      </c>
      <c r="C925" s="76">
        <f>122.58</f>
        <v>122.58</v>
      </c>
      <c r="D925" s="76">
        <f>297.941</f>
        <v>297.94099999999997</v>
      </c>
      <c r="E925" s="85">
        <f>89.177</f>
        <v>89.177000000000007</v>
      </c>
      <c r="F925" s="76">
        <f>240.302-40-60-100</f>
        <v>40.301999999999992</v>
      </c>
      <c r="G925" s="79">
        <v>40</v>
      </c>
      <c r="H925" s="76">
        <f>60+100</f>
        <v>160</v>
      </c>
      <c r="I925" s="76">
        <f t="shared" si="148"/>
        <v>0</v>
      </c>
      <c r="J925" s="79">
        <v>100</v>
      </c>
      <c r="K925" s="79">
        <v>300</v>
      </c>
      <c r="L925" s="76">
        <f t="shared" si="151"/>
        <v>1150</v>
      </c>
      <c r="M925" s="87">
        <v>600</v>
      </c>
      <c r="N925" s="76">
        <f>100</f>
        <v>100</v>
      </c>
      <c r="O925" s="79">
        <v>240</v>
      </c>
      <c r="P925" s="79">
        <v>40</v>
      </c>
      <c r="Q925" s="79">
        <f t="shared" si="152"/>
        <v>315</v>
      </c>
      <c r="R925" s="79">
        <f t="shared" si="153"/>
        <v>100</v>
      </c>
      <c r="S925" s="76">
        <f t="shared" si="154"/>
        <v>695</v>
      </c>
      <c r="T925" s="76">
        <f>50</f>
        <v>50</v>
      </c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</row>
    <row r="926" spans="1:30" ht="15.75" x14ac:dyDescent="0.25">
      <c r="A926" s="32">
        <v>69123</v>
      </c>
      <c r="B926" s="88">
        <f t="shared" si="156"/>
        <v>31</v>
      </c>
      <c r="C926" s="76">
        <f>122.58</f>
        <v>122.58</v>
      </c>
      <c r="D926" s="76">
        <f>297.941</f>
        <v>297.94099999999997</v>
      </c>
      <c r="E926" s="85">
        <f>89.177</f>
        <v>89.177000000000007</v>
      </c>
      <c r="F926" s="76">
        <f>240.302-40-60-100</f>
        <v>40.301999999999992</v>
      </c>
      <c r="G926" s="79">
        <v>40</v>
      </c>
      <c r="H926" s="76">
        <f>60+100</f>
        <v>160</v>
      </c>
      <c r="I926" s="76">
        <f t="shared" si="148"/>
        <v>0</v>
      </c>
      <c r="J926" s="79">
        <v>100</v>
      </c>
      <c r="K926" s="79">
        <v>300</v>
      </c>
      <c r="L926" s="76">
        <f t="shared" si="151"/>
        <v>1150</v>
      </c>
      <c r="M926" s="87">
        <v>600</v>
      </c>
      <c r="N926" s="76">
        <f>100</f>
        <v>100</v>
      </c>
      <c r="O926" s="79">
        <v>240</v>
      </c>
      <c r="P926" s="79">
        <v>40</v>
      </c>
      <c r="Q926" s="79">
        <f t="shared" si="152"/>
        <v>315</v>
      </c>
      <c r="R926" s="79">
        <f t="shared" si="153"/>
        <v>100</v>
      </c>
      <c r="S926" s="76">
        <f t="shared" si="154"/>
        <v>695</v>
      </c>
      <c r="T926" s="76">
        <f>50</f>
        <v>50</v>
      </c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</row>
    <row r="927" spans="1:30" ht="15.75" x14ac:dyDescent="0.25">
      <c r="A927" s="32">
        <v>69153</v>
      </c>
      <c r="B927" s="88">
        <f t="shared" si="156"/>
        <v>30</v>
      </c>
      <c r="C927" s="76">
        <f>141.293</f>
        <v>141.29300000000001</v>
      </c>
      <c r="D927" s="76">
        <f>267.993</f>
        <v>267.99299999999999</v>
      </c>
      <c r="E927" s="85">
        <f>115.016</f>
        <v>115.01600000000001</v>
      </c>
      <c r="F927" s="76">
        <f>314.698-40-25-60-100</f>
        <v>89.697999999999979</v>
      </c>
      <c r="G927" s="79">
        <v>40</v>
      </c>
      <c r="H927" s="76">
        <f t="shared" ref="H927:H933" si="157">25+60+100</f>
        <v>185</v>
      </c>
      <c r="I927" s="76">
        <f t="shared" si="148"/>
        <v>0</v>
      </c>
      <c r="J927" s="79">
        <v>100</v>
      </c>
      <c r="K927" s="79">
        <v>300</v>
      </c>
      <c r="L927" s="76">
        <f t="shared" si="151"/>
        <v>1239</v>
      </c>
      <c r="M927" s="87">
        <v>600</v>
      </c>
      <c r="N927" s="76">
        <f>100</f>
        <v>100</v>
      </c>
      <c r="O927" s="79">
        <v>240</v>
      </c>
      <c r="P927" s="79">
        <v>40</v>
      </c>
      <c r="Q927" s="79">
        <f t="shared" si="152"/>
        <v>315</v>
      </c>
      <c r="R927" s="79">
        <f t="shared" si="153"/>
        <v>100</v>
      </c>
      <c r="S927" s="76">
        <f t="shared" si="154"/>
        <v>695</v>
      </c>
      <c r="T927" s="76">
        <f>50</f>
        <v>50</v>
      </c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</row>
    <row r="928" spans="1:30" ht="15.75" x14ac:dyDescent="0.25">
      <c r="A928" s="32">
        <v>69184</v>
      </c>
      <c r="B928" s="88">
        <f t="shared" si="156"/>
        <v>31</v>
      </c>
      <c r="C928" s="76">
        <f>194.205</f>
        <v>194.20500000000001</v>
      </c>
      <c r="D928" s="76">
        <f>267.466</f>
        <v>267.46600000000001</v>
      </c>
      <c r="E928" s="85">
        <f>133.845</f>
        <v>133.845</v>
      </c>
      <c r="F928" s="76">
        <f>278.484-40-25-60-100</f>
        <v>53.48399999999998</v>
      </c>
      <c r="G928" s="79">
        <v>40</v>
      </c>
      <c r="H928" s="76">
        <f t="shared" si="157"/>
        <v>185</v>
      </c>
      <c r="I928" s="76">
        <f t="shared" si="148"/>
        <v>0</v>
      </c>
      <c r="J928" s="79">
        <v>100</v>
      </c>
      <c r="K928" s="79">
        <v>300</v>
      </c>
      <c r="L928" s="76">
        <f t="shared" si="151"/>
        <v>1274</v>
      </c>
      <c r="M928" s="87">
        <v>600</v>
      </c>
      <c r="N928" s="76">
        <f>75</f>
        <v>75</v>
      </c>
      <c r="O928" s="79">
        <v>240</v>
      </c>
      <c r="P928" s="79">
        <v>40</v>
      </c>
      <c r="Q928" s="79">
        <f t="shared" si="152"/>
        <v>315</v>
      </c>
      <c r="R928" s="79">
        <f t="shared" si="153"/>
        <v>100</v>
      </c>
      <c r="S928" s="76">
        <f t="shared" si="154"/>
        <v>695</v>
      </c>
      <c r="T928" s="76">
        <f>50</f>
        <v>50</v>
      </c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</row>
    <row r="929" spans="1:30" ht="15.75" x14ac:dyDescent="0.25">
      <c r="A929" s="32">
        <v>69214</v>
      </c>
      <c r="B929" s="88">
        <f t="shared" si="156"/>
        <v>30</v>
      </c>
      <c r="C929" s="76">
        <f>194.205</f>
        <v>194.20500000000001</v>
      </c>
      <c r="D929" s="76">
        <f>267.466</f>
        <v>267.46600000000001</v>
      </c>
      <c r="E929" s="85">
        <f>133.845</f>
        <v>133.845</v>
      </c>
      <c r="F929" s="76">
        <f>278.484-40-25-60-100</f>
        <v>53.48399999999998</v>
      </c>
      <c r="G929" s="79">
        <v>40</v>
      </c>
      <c r="H929" s="76">
        <f t="shared" si="157"/>
        <v>185</v>
      </c>
      <c r="I929" s="76">
        <f t="shared" si="148"/>
        <v>0</v>
      </c>
      <c r="J929" s="79">
        <v>100</v>
      </c>
      <c r="K929" s="79">
        <v>300</v>
      </c>
      <c r="L929" s="76">
        <f t="shared" si="151"/>
        <v>1274</v>
      </c>
      <c r="M929" s="87">
        <v>600</v>
      </c>
      <c r="N929" s="76">
        <f>30</f>
        <v>30</v>
      </c>
      <c r="O929" s="79">
        <v>240</v>
      </c>
      <c r="P929" s="79">
        <v>40</v>
      </c>
      <c r="Q929" s="79">
        <f t="shared" si="152"/>
        <v>315</v>
      </c>
      <c r="R929" s="79">
        <f t="shared" si="153"/>
        <v>100</v>
      </c>
      <c r="S929" s="76">
        <f t="shared" si="154"/>
        <v>695</v>
      </c>
      <c r="T929" s="76">
        <f>50</f>
        <v>50</v>
      </c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</row>
    <row r="930" spans="1:30" ht="15.75" x14ac:dyDescent="0.25">
      <c r="A930" s="32">
        <v>69245</v>
      </c>
      <c r="B930" s="88">
        <f t="shared" si="156"/>
        <v>31</v>
      </c>
      <c r="C930" s="76">
        <f>194.205</f>
        <v>194.20500000000001</v>
      </c>
      <c r="D930" s="76">
        <f>267.466</f>
        <v>267.46600000000001</v>
      </c>
      <c r="E930" s="85">
        <f>133.845</f>
        <v>133.845</v>
      </c>
      <c r="F930" s="76">
        <f>278.484-40-25-60-100</f>
        <v>53.48399999999998</v>
      </c>
      <c r="G930" s="79">
        <v>40</v>
      </c>
      <c r="H930" s="76">
        <f t="shared" si="157"/>
        <v>185</v>
      </c>
      <c r="I930" s="76">
        <f t="shared" si="148"/>
        <v>0</v>
      </c>
      <c r="J930" s="79">
        <v>100</v>
      </c>
      <c r="K930" s="79">
        <v>300</v>
      </c>
      <c r="L930" s="76">
        <f t="shared" si="151"/>
        <v>1274</v>
      </c>
      <c r="M930" s="87">
        <v>600</v>
      </c>
      <c r="N930" s="76">
        <f>30</f>
        <v>30</v>
      </c>
      <c r="O930" s="79">
        <v>240</v>
      </c>
      <c r="P930" s="79">
        <v>40</v>
      </c>
      <c r="Q930" s="79">
        <f t="shared" si="152"/>
        <v>315</v>
      </c>
      <c r="R930" s="79">
        <f t="shared" si="153"/>
        <v>100</v>
      </c>
      <c r="S930" s="76">
        <f t="shared" si="154"/>
        <v>695</v>
      </c>
      <c r="T930" s="76">
        <f>0</f>
        <v>0</v>
      </c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</row>
    <row r="931" spans="1:30" ht="15.75" x14ac:dyDescent="0.25">
      <c r="A931" s="32">
        <v>69276</v>
      </c>
      <c r="B931" s="88">
        <f t="shared" si="156"/>
        <v>31</v>
      </c>
      <c r="C931" s="76">
        <f>194.205</f>
        <v>194.20500000000001</v>
      </c>
      <c r="D931" s="76">
        <f>267.466</f>
        <v>267.46600000000001</v>
      </c>
      <c r="E931" s="85">
        <f>133.845</f>
        <v>133.845</v>
      </c>
      <c r="F931" s="76">
        <f>278.484-40-25-60-100</f>
        <v>53.48399999999998</v>
      </c>
      <c r="G931" s="79">
        <v>40</v>
      </c>
      <c r="H931" s="76">
        <f t="shared" si="157"/>
        <v>185</v>
      </c>
      <c r="I931" s="76">
        <f t="shared" si="148"/>
        <v>0</v>
      </c>
      <c r="J931" s="79">
        <v>100</v>
      </c>
      <c r="K931" s="79">
        <v>300</v>
      </c>
      <c r="L931" s="76">
        <f t="shared" si="151"/>
        <v>1274</v>
      </c>
      <c r="M931" s="87">
        <v>600</v>
      </c>
      <c r="N931" s="76">
        <f>30</f>
        <v>30</v>
      </c>
      <c r="O931" s="79">
        <v>240</v>
      </c>
      <c r="P931" s="79">
        <v>40</v>
      </c>
      <c r="Q931" s="79">
        <f t="shared" si="152"/>
        <v>315</v>
      </c>
      <c r="R931" s="79">
        <f t="shared" si="153"/>
        <v>100</v>
      </c>
      <c r="S931" s="76">
        <f t="shared" si="154"/>
        <v>695</v>
      </c>
      <c r="T931" s="76">
        <f>0</f>
        <v>0</v>
      </c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</row>
    <row r="932" spans="1:30" ht="15.75" x14ac:dyDescent="0.25">
      <c r="A932" s="32">
        <v>69306</v>
      </c>
      <c r="B932" s="88">
        <f t="shared" si="156"/>
        <v>30</v>
      </c>
      <c r="C932" s="76">
        <f>194.205</f>
        <v>194.20500000000001</v>
      </c>
      <c r="D932" s="76">
        <f>267.466</f>
        <v>267.46600000000001</v>
      </c>
      <c r="E932" s="85">
        <f>133.845</f>
        <v>133.845</v>
      </c>
      <c r="F932" s="76">
        <f>278.484-40-25-60-100</f>
        <v>53.48399999999998</v>
      </c>
      <c r="G932" s="79">
        <v>40</v>
      </c>
      <c r="H932" s="76">
        <f t="shared" si="157"/>
        <v>185</v>
      </c>
      <c r="I932" s="76">
        <f t="shared" si="148"/>
        <v>0</v>
      </c>
      <c r="J932" s="79">
        <v>100</v>
      </c>
      <c r="K932" s="79">
        <v>300</v>
      </c>
      <c r="L932" s="76">
        <f t="shared" si="151"/>
        <v>1274</v>
      </c>
      <c r="M932" s="87">
        <v>600</v>
      </c>
      <c r="N932" s="76">
        <f>30</f>
        <v>30</v>
      </c>
      <c r="O932" s="79">
        <v>240</v>
      </c>
      <c r="P932" s="79">
        <v>40</v>
      </c>
      <c r="Q932" s="79">
        <f t="shared" si="152"/>
        <v>315</v>
      </c>
      <c r="R932" s="79">
        <f t="shared" si="153"/>
        <v>100</v>
      </c>
      <c r="S932" s="76">
        <f t="shared" si="154"/>
        <v>695</v>
      </c>
      <c r="T932" s="76">
        <f>0</f>
        <v>0</v>
      </c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</row>
    <row r="933" spans="1:30" ht="15.75" x14ac:dyDescent="0.25">
      <c r="A933" s="32">
        <v>69337</v>
      </c>
      <c r="B933" s="88">
        <f t="shared" si="156"/>
        <v>31</v>
      </c>
      <c r="C933" s="76">
        <f>131.881</f>
        <v>131.881</v>
      </c>
      <c r="D933" s="76">
        <f>277.167</f>
        <v>277.16699999999997</v>
      </c>
      <c r="E933" s="85">
        <f>79.08</f>
        <v>79.08</v>
      </c>
      <c r="F933" s="76">
        <f>350.872-40-25-60-100</f>
        <v>125.87200000000001</v>
      </c>
      <c r="G933" s="79">
        <v>40</v>
      </c>
      <c r="H933" s="76">
        <f t="shared" si="157"/>
        <v>185</v>
      </c>
      <c r="I933" s="76">
        <f t="shared" si="148"/>
        <v>0</v>
      </c>
      <c r="J933" s="79">
        <v>100</v>
      </c>
      <c r="K933" s="79">
        <v>300</v>
      </c>
      <c r="L933" s="76">
        <f t="shared" si="151"/>
        <v>1239</v>
      </c>
      <c r="M933" s="87">
        <v>600</v>
      </c>
      <c r="N933" s="76">
        <f>75</f>
        <v>75</v>
      </c>
      <c r="O933" s="79">
        <v>240</v>
      </c>
      <c r="P933" s="79">
        <v>40</v>
      </c>
      <c r="Q933" s="79">
        <f t="shared" si="152"/>
        <v>315</v>
      </c>
      <c r="R933" s="79">
        <f t="shared" si="153"/>
        <v>100</v>
      </c>
      <c r="S933" s="76">
        <f t="shared" si="154"/>
        <v>695</v>
      </c>
      <c r="T933" s="76">
        <f>0</f>
        <v>0</v>
      </c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</row>
    <row r="934" spans="1:30" ht="15.75" x14ac:dyDescent="0.25">
      <c r="A934" s="32">
        <v>69367</v>
      </c>
      <c r="B934" s="88">
        <f t="shared" si="156"/>
        <v>30</v>
      </c>
      <c r="C934" s="76">
        <f>122.58</f>
        <v>122.58</v>
      </c>
      <c r="D934" s="76">
        <f>297.941</f>
        <v>297.94099999999997</v>
      </c>
      <c r="E934" s="85">
        <f>89.177</f>
        <v>89.177000000000007</v>
      </c>
      <c r="F934" s="76">
        <f>240.302-40-60-100</f>
        <v>40.301999999999992</v>
      </c>
      <c r="G934" s="79">
        <v>40</v>
      </c>
      <c r="H934" s="76">
        <f>60+100</f>
        <v>160</v>
      </c>
      <c r="I934" s="76">
        <f t="shared" si="148"/>
        <v>0</v>
      </c>
      <c r="J934" s="79">
        <v>100</v>
      </c>
      <c r="K934" s="79">
        <v>300</v>
      </c>
      <c r="L934" s="76">
        <f t="shared" si="151"/>
        <v>1150</v>
      </c>
      <c r="M934" s="87">
        <v>600</v>
      </c>
      <c r="N934" s="76">
        <f>100</f>
        <v>100</v>
      </c>
      <c r="O934" s="79">
        <v>240</v>
      </c>
      <c r="P934" s="79">
        <v>40</v>
      </c>
      <c r="Q934" s="79">
        <f t="shared" si="152"/>
        <v>315</v>
      </c>
      <c r="R934" s="79">
        <f t="shared" si="153"/>
        <v>100</v>
      </c>
      <c r="S934" s="76">
        <f t="shared" si="154"/>
        <v>695</v>
      </c>
      <c r="T934" s="76">
        <f>50</f>
        <v>50</v>
      </c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</row>
    <row r="935" spans="1:30" ht="15.75" x14ac:dyDescent="0.25">
      <c r="A935" s="32">
        <v>69398</v>
      </c>
      <c r="B935" s="88">
        <f t="shared" si="156"/>
        <v>31</v>
      </c>
      <c r="C935" s="76">
        <f>122.58</f>
        <v>122.58</v>
      </c>
      <c r="D935" s="76">
        <f>297.941</f>
        <v>297.94099999999997</v>
      </c>
      <c r="E935" s="85">
        <f>89.177</f>
        <v>89.177000000000007</v>
      </c>
      <c r="F935" s="76">
        <f>240.302-40-60-100</f>
        <v>40.301999999999992</v>
      </c>
      <c r="G935" s="79">
        <v>40</v>
      </c>
      <c r="H935" s="76">
        <f>60+100</f>
        <v>160</v>
      </c>
      <c r="I935" s="76">
        <f t="shared" si="148"/>
        <v>0</v>
      </c>
      <c r="J935" s="79">
        <v>100</v>
      </c>
      <c r="K935" s="79">
        <v>300</v>
      </c>
      <c r="L935" s="76">
        <f t="shared" si="151"/>
        <v>1150</v>
      </c>
      <c r="M935" s="87">
        <v>600</v>
      </c>
      <c r="N935" s="76">
        <f>100</f>
        <v>100</v>
      </c>
      <c r="O935" s="79">
        <v>240</v>
      </c>
      <c r="P935" s="79">
        <v>40</v>
      </c>
      <c r="Q935" s="79">
        <f t="shared" si="152"/>
        <v>315</v>
      </c>
      <c r="R935" s="79">
        <f t="shared" si="153"/>
        <v>100</v>
      </c>
      <c r="S935" s="76">
        <f t="shared" si="154"/>
        <v>695</v>
      </c>
      <c r="T935" s="76">
        <f>50</f>
        <v>50</v>
      </c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</row>
    <row r="936" spans="1:30" ht="15.75" x14ac:dyDescent="0.25">
      <c r="A936" s="32">
        <v>69429</v>
      </c>
      <c r="B936" s="88">
        <f t="shared" si="156"/>
        <v>31</v>
      </c>
      <c r="C936" s="76">
        <f>122.58</f>
        <v>122.58</v>
      </c>
      <c r="D936" s="76">
        <f>297.941</f>
        <v>297.94099999999997</v>
      </c>
      <c r="E936" s="85">
        <f>89.177</f>
        <v>89.177000000000007</v>
      </c>
      <c r="F936" s="76">
        <f>240.302-40-60-100</f>
        <v>40.301999999999992</v>
      </c>
      <c r="G936" s="79">
        <v>40</v>
      </c>
      <c r="H936" s="76">
        <f>60+100</f>
        <v>160</v>
      </c>
      <c r="I936" s="76">
        <f t="shared" si="148"/>
        <v>0</v>
      </c>
      <c r="J936" s="79">
        <v>100</v>
      </c>
      <c r="K936" s="79">
        <v>300</v>
      </c>
      <c r="L936" s="76">
        <f t="shared" si="151"/>
        <v>1150</v>
      </c>
      <c r="M936" s="87">
        <v>600</v>
      </c>
      <c r="N936" s="76">
        <f>100</f>
        <v>100</v>
      </c>
      <c r="O936" s="79">
        <v>240</v>
      </c>
      <c r="P936" s="79">
        <v>40</v>
      </c>
      <c r="Q936" s="79">
        <f t="shared" si="152"/>
        <v>315</v>
      </c>
      <c r="R936" s="79">
        <f t="shared" si="153"/>
        <v>100</v>
      </c>
      <c r="S936" s="76">
        <f t="shared" si="154"/>
        <v>695</v>
      </c>
      <c r="T936" s="76">
        <f>50</f>
        <v>50</v>
      </c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</row>
    <row r="937" spans="1:30" ht="15.75" x14ac:dyDescent="0.25">
      <c r="A937" s="32">
        <v>69457</v>
      </c>
      <c r="B937" s="88">
        <f t="shared" si="156"/>
        <v>28</v>
      </c>
      <c r="C937" s="76">
        <f>122.58</f>
        <v>122.58</v>
      </c>
      <c r="D937" s="76">
        <f>297.941</f>
        <v>297.94099999999997</v>
      </c>
      <c r="E937" s="85">
        <f>89.177</f>
        <v>89.177000000000007</v>
      </c>
      <c r="F937" s="76">
        <f>240.302-40-60-100</f>
        <v>40.301999999999992</v>
      </c>
      <c r="G937" s="79">
        <v>40</v>
      </c>
      <c r="H937" s="76">
        <f>60+100</f>
        <v>160</v>
      </c>
      <c r="I937" s="76">
        <f t="shared" si="148"/>
        <v>0</v>
      </c>
      <c r="J937" s="79">
        <v>100</v>
      </c>
      <c r="K937" s="79">
        <v>300</v>
      </c>
      <c r="L937" s="76">
        <f t="shared" si="151"/>
        <v>1150</v>
      </c>
      <c r="M937" s="87">
        <v>600</v>
      </c>
      <c r="N937" s="76">
        <f>100</f>
        <v>100</v>
      </c>
      <c r="O937" s="79">
        <v>240</v>
      </c>
      <c r="P937" s="79">
        <v>40</v>
      </c>
      <c r="Q937" s="79">
        <f t="shared" si="152"/>
        <v>315</v>
      </c>
      <c r="R937" s="79">
        <f t="shared" si="153"/>
        <v>100</v>
      </c>
      <c r="S937" s="76">
        <f t="shared" si="154"/>
        <v>695</v>
      </c>
      <c r="T937" s="76">
        <f>50</f>
        <v>50</v>
      </c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</row>
    <row r="938" spans="1:30" ht="15.75" x14ac:dyDescent="0.25">
      <c r="A938" s="32">
        <v>69488</v>
      </c>
      <c r="B938" s="88">
        <f t="shared" si="156"/>
        <v>31</v>
      </c>
      <c r="C938" s="76">
        <f>122.58</f>
        <v>122.58</v>
      </c>
      <c r="D938" s="76">
        <f>297.941</f>
        <v>297.94099999999997</v>
      </c>
      <c r="E938" s="85">
        <f>89.177</f>
        <v>89.177000000000007</v>
      </c>
      <c r="F938" s="76">
        <f>240.302-40-60-100</f>
        <v>40.301999999999992</v>
      </c>
      <c r="G938" s="79">
        <v>40</v>
      </c>
      <c r="H938" s="76">
        <f>60+100</f>
        <v>160</v>
      </c>
      <c r="I938" s="76">
        <f t="shared" si="148"/>
        <v>0</v>
      </c>
      <c r="J938" s="79">
        <v>100</v>
      </c>
      <c r="K938" s="79">
        <v>300</v>
      </c>
      <c r="L938" s="76">
        <f t="shared" si="151"/>
        <v>1150</v>
      </c>
      <c r="M938" s="87">
        <v>600</v>
      </c>
      <c r="N938" s="76">
        <f>100</f>
        <v>100</v>
      </c>
      <c r="O938" s="79">
        <v>240</v>
      </c>
      <c r="P938" s="79">
        <v>40</v>
      </c>
      <c r="Q938" s="79">
        <f t="shared" si="152"/>
        <v>315</v>
      </c>
      <c r="R938" s="79">
        <f t="shared" si="153"/>
        <v>100</v>
      </c>
      <c r="S938" s="76">
        <f t="shared" si="154"/>
        <v>695</v>
      </c>
      <c r="T938" s="76">
        <f>50</f>
        <v>50</v>
      </c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</row>
    <row r="939" spans="1:30" ht="15.75" x14ac:dyDescent="0.25">
      <c r="A939" s="32">
        <v>69518</v>
      </c>
      <c r="B939" s="88">
        <f t="shared" si="156"/>
        <v>30</v>
      </c>
      <c r="C939" s="76">
        <f>141.293</f>
        <v>141.29300000000001</v>
      </c>
      <c r="D939" s="76">
        <f>267.993</f>
        <v>267.99299999999999</v>
      </c>
      <c r="E939" s="85">
        <f>115.016</f>
        <v>115.01600000000001</v>
      </c>
      <c r="F939" s="76">
        <f>314.698-40-25-60-100</f>
        <v>89.697999999999979</v>
      </c>
      <c r="G939" s="79">
        <v>40</v>
      </c>
      <c r="H939" s="76">
        <f t="shared" ref="H939:H945" si="158">25+60+100</f>
        <v>185</v>
      </c>
      <c r="I939" s="76">
        <f t="shared" si="148"/>
        <v>0</v>
      </c>
      <c r="J939" s="79">
        <v>100</v>
      </c>
      <c r="K939" s="79">
        <v>300</v>
      </c>
      <c r="L939" s="76">
        <f t="shared" si="151"/>
        <v>1239</v>
      </c>
      <c r="M939" s="87">
        <v>600</v>
      </c>
      <c r="N939" s="76">
        <f>100</f>
        <v>100</v>
      </c>
      <c r="O939" s="79">
        <v>240</v>
      </c>
      <c r="P939" s="79">
        <v>40</v>
      </c>
      <c r="Q939" s="79">
        <f t="shared" si="152"/>
        <v>315</v>
      </c>
      <c r="R939" s="79">
        <f t="shared" si="153"/>
        <v>100</v>
      </c>
      <c r="S939" s="76">
        <f t="shared" si="154"/>
        <v>695</v>
      </c>
      <c r="T939" s="76">
        <f>50</f>
        <v>50</v>
      </c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</row>
    <row r="940" spans="1:30" ht="15.75" x14ac:dyDescent="0.25">
      <c r="A940" s="32">
        <v>69549</v>
      </c>
      <c r="B940" s="88">
        <f t="shared" si="156"/>
        <v>31</v>
      </c>
      <c r="C940" s="76">
        <f>194.205</f>
        <v>194.20500000000001</v>
      </c>
      <c r="D940" s="76">
        <f>267.466</f>
        <v>267.46600000000001</v>
      </c>
      <c r="E940" s="85">
        <f>133.845</f>
        <v>133.845</v>
      </c>
      <c r="F940" s="76">
        <f>278.484-40-25-60-100</f>
        <v>53.48399999999998</v>
      </c>
      <c r="G940" s="79">
        <v>40</v>
      </c>
      <c r="H940" s="76">
        <f t="shared" si="158"/>
        <v>185</v>
      </c>
      <c r="I940" s="76">
        <f t="shared" si="148"/>
        <v>0</v>
      </c>
      <c r="J940" s="79">
        <v>100</v>
      </c>
      <c r="K940" s="79">
        <v>300</v>
      </c>
      <c r="L940" s="76">
        <f t="shared" si="151"/>
        <v>1274</v>
      </c>
      <c r="M940" s="87">
        <v>600</v>
      </c>
      <c r="N940" s="76">
        <f>75</f>
        <v>75</v>
      </c>
      <c r="O940" s="79">
        <v>240</v>
      </c>
      <c r="P940" s="79">
        <v>40</v>
      </c>
      <c r="Q940" s="79">
        <f t="shared" si="152"/>
        <v>315</v>
      </c>
      <c r="R940" s="79">
        <f t="shared" si="153"/>
        <v>100</v>
      </c>
      <c r="S940" s="76">
        <f t="shared" si="154"/>
        <v>695</v>
      </c>
      <c r="T940" s="76">
        <f>50</f>
        <v>50</v>
      </c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</row>
    <row r="941" spans="1:30" ht="15.75" x14ac:dyDescent="0.25">
      <c r="A941" s="32">
        <v>69579</v>
      </c>
      <c r="B941" s="88">
        <f t="shared" si="156"/>
        <v>30</v>
      </c>
      <c r="C941" s="76">
        <f>194.205</f>
        <v>194.20500000000001</v>
      </c>
      <c r="D941" s="76">
        <f>267.466</f>
        <v>267.46600000000001</v>
      </c>
      <c r="E941" s="85">
        <f>133.845</f>
        <v>133.845</v>
      </c>
      <c r="F941" s="76">
        <f>278.484-40-25-60-100</f>
        <v>53.48399999999998</v>
      </c>
      <c r="G941" s="79">
        <v>40</v>
      </c>
      <c r="H941" s="76">
        <f t="shared" si="158"/>
        <v>185</v>
      </c>
      <c r="I941" s="76">
        <f t="shared" si="148"/>
        <v>0</v>
      </c>
      <c r="J941" s="79">
        <v>100</v>
      </c>
      <c r="K941" s="79">
        <v>300</v>
      </c>
      <c r="L941" s="76">
        <f t="shared" si="151"/>
        <v>1274</v>
      </c>
      <c r="M941" s="87">
        <v>600</v>
      </c>
      <c r="N941" s="76">
        <f>30</f>
        <v>30</v>
      </c>
      <c r="O941" s="79">
        <v>240</v>
      </c>
      <c r="P941" s="79">
        <v>40</v>
      </c>
      <c r="Q941" s="79">
        <f t="shared" si="152"/>
        <v>315</v>
      </c>
      <c r="R941" s="79">
        <f t="shared" si="153"/>
        <v>100</v>
      </c>
      <c r="S941" s="76">
        <f t="shared" si="154"/>
        <v>695</v>
      </c>
      <c r="T941" s="76">
        <f>50</f>
        <v>50</v>
      </c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</row>
    <row r="942" spans="1:30" ht="15.75" x14ac:dyDescent="0.25">
      <c r="A942" s="32">
        <v>69610</v>
      </c>
      <c r="B942" s="88">
        <f t="shared" si="156"/>
        <v>31</v>
      </c>
      <c r="C942" s="76">
        <f>194.205</f>
        <v>194.20500000000001</v>
      </c>
      <c r="D942" s="76">
        <f>267.466</f>
        <v>267.46600000000001</v>
      </c>
      <c r="E942" s="85">
        <f>133.845</f>
        <v>133.845</v>
      </c>
      <c r="F942" s="76">
        <f>278.484-40-25-60-100</f>
        <v>53.48399999999998</v>
      </c>
      <c r="G942" s="79">
        <v>40</v>
      </c>
      <c r="H942" s="76">
        <f t="shared" si="158"/>
        <v>185</v>
      </c>
      <c r="I942" s="76">
        <f t="shared" si="148"/>
        <v>0</v>
      </c>
      <c r="J942" s="79">
        <v>100</v>
      </c>
      <c r="K942" s="79">
        <v>300</v>
      </c>
      <c r="L942" s="76">
        <f t="shared" si="151"/>
        <v>1274</v>
      </c>
      <c r="M942" s="87">
        <v>600</v>
      </c>
      <c r="N942" s="76">
        <f>30</f>
        <v>30</v>
      </c>
      <c r="O942" s="79">
        <v>240</v>
      </c>
      <c r="P942" s="79">
        <v>40</v>
      </c>
      <c r="Q942" s="79">
        <f t="shared" si="152"/>
        <v>315</v>
      </c>
      <c r="R942" s="79">
        <f t="shared" si="153"/>
        <v>100</v>
      </c>
      <c r="S942" s="76">
        <f t="shared" si="154"/>
        <v>695</v>
      </c>
      <c r="T942" s="76">
        <f>0</f>
        <v>0</v>
      </c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</row>
    <row r="943" spans="1:30" ht="15.75" x14ac:dyDescent="0.25">
      <c r="A943" s="32">
        <v>69641</v>
      </c>
      <c r="B943" s="88">
        <f t="shared" si="156"/>
        <v>31</v>
      </c>
      <c r="C943" s="76">
        <f>194.205</f>
        <v>194.20500000000001</v>
      </c>
      <c r="D943" s="76">
        <f>267.466</f>
        <v>267.46600000000001</v>
      </c>
      <c r="E943" s="85">
        <f>133.845</f>
        <v>133.845</v>
      </c>
      <c r="F943" s="76">
        <f>278.484-40-25-60-100</f>
        <v>53.48399999999998</v>
      </c>
      <c r="G943" s="79">
        <v>40</v>
      </c>
      <c r="H943" s="76">
        <f t="shared" si="158"/>
        <v>185</v>
      </c>
      <c r="I943" s="76">
        <f t="shared" si="148"/>
        <v>0</v>
      </c>
      <c r="J943" s="79">
        <v>100</v>
      </c>
      <c r="K943" s="79">
        <v>300</v>
      </c>
      <c r="L943" s="76">
        <f t="shared" si="151"/>
        <v>1274</v>
      </c>
      <c r="M943" s="87">
        <v>600</v>
      </c>
      <c r="N943" s="76">
        <f>30</f>
        <v>30</v>
      </c>
      <c r="O943" s="79">
        <v>240</v>
      </c>
      <c r="P943" s="79">
        <v>40</v>
      </c>
      <c r="Q943" s="79">
        <f t="shared" si="152"/>
        <v>315</v>
      </c>
      <c r="R943" s="79">
        <f t="shared" si="153"/>
        <v>100</v>
      </c>
      <c r="S943" s="76">
        <f t="shared" si="154"/>
        <v>695</v>
      </c>
      <c r="T943" s="76">
        <f>0</f>
        <v>0</v>
      </c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</row>
    <row r="944" spans="1:30" ht="15.75" x14ac:dyDescent="0.25">
      <c r="A944" s="32">
        <v>69671</v>
      </c>
      <c r="B944" s="88">
        <f t="shared" si="156"/>
        <v>30</v>
      </c>
      <c r="C944" s="76">
        <f>194.205</f>
        <v>194.20500000000001</v>
      </c>
      <c r="D944" s="76">
        <f>267.466</f>
        <v>267.46600000000001</v>
      </c>
      <c r="E944" s="85">
        <f>133.845</f>
        <v>133.845</v>
      </c>
      <c r="F944" s="76">
        <f>278.484-40-25-60-100</f>
        <v>53.48399999999998</v>
      </c>
      <c r="G944" s="79">
        <v>40</v>
      </c>
      <c r="H944" s="76">
        <f t="shared" si="158"/>
        <v>185</v>
      </c>
      <c r="I944" s="76">
        <f t="shared" si="148"/>
        <v>0</v>
      </c>
      <c r="J944" s="79">
        <v>100</v>
      </c>
      <c r="K944" s="79">
        <v>300</v>
      </c>
      <c r="L944" s="76">
        <f t="shared" si="151"/>
        <v>1274</v>
      </c>
      <c r="M944" s="87">
        <v>600</v>
      </c>
      <c r="N944" s="76">
        <f>30</f>
        <v>30</v>
      </c>
      <c r="O944" s="79">
        <v>240</v>
      </c>
      <c r="P944" s="79">
        <v>40</v>
      </c>
      <c r="Q944" s="79">
        <f t="shared" si="152"/>
        <v>315</v>
      </c>
      <c r="R944" s="79">
        <f t="shared" si="153"/>
        <v>100</v>
      </c>
      <c r="S944" s="76">
        <f t="shared" si="154"/>
        <v>695</v>
      </c>
      <c r="T944" s="76">
        <f>0</f>
        <v>0</v>
      </c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</row>
    <row r="945" spans="1:30" ht="15.75" x14ac:dyDescent="0.25">
      <c r="A945" s="32">
        <v>69702</v>
      </c>
      <c r="B945" s="88">
        <f t="shared" si="156"/>
        <v>31</v>
      </c>
      <c r="C945" s="76">
        <f>131.881</f>
        <v>131.881</v>
      </c>
      <c r="D945" s="76">
        <f>277.167</f>
        <v>277.16699999999997</v>
      </c>
      <c r="E945" s="85">
        <f>79.08</f>
        <v>79.08</v>
      </c>
      <c r="F945" s="76">
        <f>350.872-40-25-60-100</f>
        <v>125.87200000000001</v>
      </c>
      <c r="G945" s="79">
        <v>40</v>
      </c>
      <c r="H945" s="76">
        <f t="shared" si="158"/>
        <v>185</v>
      </c>
      <c r="I945" s="76">
        <f t="shared" si="148"/>
        <v>0</v>
      </c>
      <c r="J945" s="79">
        <v>100</v>
      </c>
      <c r="K945" s="79">
        <v>300</v>
      </c>
      <c r="L945" s="76">
        <f t="shared" si="151"/>
        <v>1239</v>
      </c>
      <c r="M945" s="87">
        <v>600</v>
      </c>
      <c r="N945" s="76">
        <f>75</f>
        <v>75</v>
      </c>
      <c r="O945" s="79">
        <v>240</v>
      </c>
      <c r="P945" s="79">
        <v>40</v>
      </c>
      <c r="Q945" s="79">
        <f t="shared" si="152"/>
        <v>315</v>
      </c>
      <c r="R945" s="79">
        <f t="shared" si="153"/>
        <v>100</v>
      </c>
      <c r="S945" s="76">
        <f t="shared" si="154"/>
        <v>695</v>
      </c>
      <c r="T945" s="76">
        <f>0</f>
        <v>0</v>
      </c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</row>
    <row r="946" spans="1:30" ht="15.75" x14ac:dyDescent="0.25">
      <c r="A946" s="32">
        <v>69732</v>
      </c>
      <c r="B946" s="88">
        <f t="shared" si="156"/>
        <v>30</v>
      </c>
      <c r="C946" s="76">
        <f>122.58</f>
        <v>122.58</v>
      </c>
      <c r="D946" s="76">
        <f>297.941</f>
        <v>297.94099999999997</v>
      </c>
      <c r="E946" s="85">
        <f>89.177</f>
        <v>89.177000000000007</v>
      </c>
      <c r="F946" s="76">
        <f>240.302-40-60-100</f>
        <v>40.301999999999992</v>
      </c>
      <c r="G946" s="79">
        <v>40</v>
      </c>
      <c r="H946" s="76">
        <f>60+100</f>
        <v>160</v>
      </c>
      <c r="I946" s="76">
        <f t="shared" si="148"/>
        <v>0</v>
      </c>
      <c r="J946" s="79">
        <v>100</v>
      </c>
      <c r="K946" s="79">
        <v>300</v>
      </c>
      <c r="L946" s="76">
        <f t="shared" si="151"/>
        <v>1150</v>
      </c>
      <c r="M946" s="87">
        <v>600</v>
      </c>
      <c r="N946" s="76">
        <f>100</f>
        <v>100</v>
      </c>
      <c r="O946" s="79">
        <v>240</v>
      </c>
      <c r="P946" s="79">
        <v>40</v>
      </c>
      <c r="Q946" s="79">
        <f t="shared" si="152"/>
        <v>315</v>
      </c>
      <c r="R946" s="79">
        <f t="shared" si="153"/>
        <v>100</v>
      </c>
      <c r="S946" s="76">
        <f t="shared" si="154"/>
        <v>695</v>
      </c>
      <c r="T946" s="76">
        <f>50</f>
        <v>50</v>
      </c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</row>
    <row r="947" spans="1:30" ht="15.75" x14ac:dyDescent="0.25">
      <c r="A947" s="32">
        <v>69763</v>
      </c>
      <c r="B947" s="88">
        <f t="shared" si="156"/>
        <v>31</v>
      </c>
      <c r="C947" s="76">
        <f>122.58</f>
        <v>122.58</v>
      </c>
      <c r="D947" s="76">
        <f>297.941</f>
        <v>297.94099999999997</v>
      </c>
      <c r="E947" s="85">
        <f>89.177</f>
        <v>89.177000000000007</v>
      </c>
      <c r="F947" s="76">
        <f>240.302-40-60-100</f>
        <v>40.301999999999992</v>
      </c>
      <c r="G947" s="79">
        <v>40</v>
      </c>
      <c r="H947" s="76">
        <f>60+100</f>
        <v>160</v>
      </c>
      <c r="I947" s="76">
        <f t="shared" si="148"/>
        <v>0</v>
      </c>
      <c r="J947" s="79">
        <v>100</v>
      </c>
      <c r="K947" s="79">
        <v>300</v>
      </c>
      <c r="L947" s="76">
        <f t="shared" si="151"/>
        <v>1150</v>
      </c>
      <c r="M947" s="87">
        <v>600</v>
      </c>
      <c r="N947" s="76">
        <f>100</f>
        <v>100</v>
      </c>
      <c r="O947" s="79">
        <v>240</v>
      </c>
      <c r="P947" s="79">
        <v>40</v>
      </c>
      <c r="Q947" s="79">
        <f t="shared" si="152"/>
        <v>315</v>
      </c>
      <c r="R947" s="79">
        <f t="shared" si="153"/>
        <v>100</v>
      </c>
      <c r="S947" s="76">
        <f t="shared" si="154"/>
        <v>695</v>
      </c>
      <c r="T947" s="76">
        <f>50</f>
        <v>50</v>
      </c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</row>
    <row r="948" spans="1:30" ht="15.75" x14ac:dyDescent="0.25">
      <c r="A948" s="32">
        <v>69794</v>
      </c>
      <c r="B948" s="88">
        <f t="shared" si="156"/>
        <v>31</v>
      </c>
      <c r="C948" s="76">
        <f>122.58</f>
        <v>122.58</v>
      </c>
      <c r="D948" s="76">
        <f>297.941</f>
        <v>297.94099999999997</v>
      </c>
      <c r="E948" s="85">
        <f>89.177</f>
        <v>89.177000000000007</v>
      </c>
      <c r="F948" s="76">
        <f>240.302-40-60-100</f>
        <v>40.301999999999992</v>
      </c>
      <c r="G948" s="79">
        <v>40</v>
      </c>
      <c r="H948" s="76">
        <f>60+100</f>
        <v>160</v>
      </c>
      <c r="I948" s="76">
        <f t="shared" ref="I948:I1011" si="159">400-J948-K948</f>
        <v>0</v>
      </c>
      <c r="J948" s="79">
        <v>100</v>
      </c>
      <c r="K948" s="79">
        <v>300</v>
      </c>
      <c r="L948" s="76">
        <f t="shared" si="151"/>
        <v>1150</v>
      </c>
      <c r="M948" s="87">
        <v>600</v>
      </c>
      <c r="N948" s="76">
        <f>100</f>
        <v>100</v>
      </c>
      <c r="O948" s="79">
        <v>240</v>
      </c>
      <c r="P948" s="79">
        <v>40</v>
      </c>
      <c r="Q948" s="79">
        <f t="shared" si="152"/>
        <v>315</v>
      </c>
      <c r="R948" s="79">
        <f t="shared" si="153"/>
        <v>100</v>
      </c>
      <c r="S948" s="76">
        <f t="shared" si="154"/>
        <v>695</v>
      </c>
      <c r="T948" s="76">
        <f>50</f>
        <v>50</v>
      </c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</row>
    <row r="949" spans="1:30" ht="15.75" x14ac:dyDescent="0.25">
      <c r="A949" s="32">
        <v>69822</v>
      </c>
      <c r="B949" s="88">
        <f t="shared" si="156"/>
        <v>28</v>
      </c>
      <c r="C949" s="76">
        <f>122.58</f>
        <v>122.58</v>
      </c>
      <c r="D949" s="76">
        <f>297.941</f>
        <v>297.94099999999997</v>
      </c>
      <c r="E949" s="85">
        <f>89.177</f>
        <v>89.177000000000007</v>
      </c>
      <c r="F949" s="76">
        <f>240.302-40-60-100</f>
        <v>40.301999999999992</v>
      </c>
      <c r="G949" s="79">
        <v>40</v>
      </c>
      <c r="H949" s="76">
        <f>60+100</f>
        <v>160</v>
      </c>
      <c r="I949" s="76">
        <f t="shared" si="159"/>
        <v>0</v>
      </c>
      <c r="J949" s="79">
        <v>100</v>
      </c>
      <c r="K949" s="79">
        <v>300</v>
      </c>
      <c r="L949" s="76">
        <f t="shared" si="151"/>
        <v>1150</v>
      </c>
      <c r="M949" s="87">
        <v>600</v>
      </c>
      <c r="N949" s="76">
        <f>100</f>
        <v>100</v>
      </c>
      <c r="O949" s="79">
        <v>240</v>
      </c>
      <c r="P949" s="79">
        <v>40</v>
      </c>
      <c r="Q949" s="79">
        <f t="shared" si="152"/>
        <v>315</v>
      </c>
      <c r="R949" s="79">
        <f t="shared" si="153"/>
        <v>100</v>
      </c>
      <c r="S949" s="76">
        <f t="shared" si="154"/>
        <v>695</v>
      </c>
      <c r="T949" s="76">
        <f>50</f>
        <v>50</v>
      </c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</row>
    <row r="950" spans="1:30" ht="15.75" x14ac:dyDescent="0.25">
      <c r="A950" s="32">
        <v>69853</v>
      </c>
      <c r="B950" s="88">
        <f t="shared" si="156"/>
        <v>31</v>
      </c>
      <c r="C950" s="76">
        <f>122.58</f>
        <v>122.58</v>
      </c>
      <c r="D950" s="76">
        <f>297.941</f>
        <v>297.94099999999997</v>
      </c>
      <c r="E950" s="85">
        <f>89.177</f>
        <v>89.177000000000007</v>
      </c>
      <c r="F950" s="76">
        <f>240.302-40-60-100</f>
        <v>40.301999999999992</v>
      </c>
      <c r="G950" s="79">
        <v>40</v>
      </c>
      <c r="H950" s="76">
        <f>60+100</f>
        <v>160</v>
      </c>
      <c r="I950" s="76">
        <f t="shared" si="159"/>
        <v>0</v>
      </c>
      <c r="J950" s="79">
        <v>100</v>
      </c>
      <c r="K950" s="79">
        <v>300</v>
      </c>
      <c r="L950" s="76">
        <f t="shared" si="151"/>
        <v>1150</v>
      </c>
      <c r="M950" s="87">
        <v>600</v>
      </c>
      <c r="N950" s="76">
        <f>100</f>
        <v>100</v>
      </c>
      <c r="O950" s="79">
        <v>240</v>
      </c>
      <c r="P950" s="79">
        <v>40</v>
      </c>
      <c r="Q950" s="79">
        <f t="shared" si="152"/>
        <v>315</v>
      </c>
      <c r="R950" s="79">
        <f t="shared" si="153"/>
        <v>100</v>
      </c>
      <c r="S950" s="76">
        <f t="shared" si="154"/>
        <v>695</v>
      </c>
      <c r="T950" s="76">
        <f>50</f>
        <v>50</v>
      </c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</row>
    <row r="951" spans="1:30" ht="15.75" x14ac:dyDescent="0.25">
      <c r="A951" s="32">
        <v>69883</v>
      </c>
      <c r="B951" s="88">
        <f t="shared" si="156"/>
        <v>30</v>
      </c>
      <c r="C951" s="76">
        <f>141.293</f>
        <v>141.29300000000001</v>
      </c>
      <c r="D951" s="76">
        <f>267.993</f>
        <v>267.99299999999999</v>
      </c>
      <c r="E951" s="85">
        <f>115.016</f>
        <v>115.01600000000001</v>
      </c>
      <c r="F951" s="76">
        <f>314.698-40-25-60-100</f>
        <v>89.697999999999979</v>
      </c>
      <c r="G951" s="79">
        <v>40</v>
      </c>
      <c r="H951" s="76">
        <f t="shared" ref="H951:H957" si="160">25+60+100</f>
        <v>185</v>
      </c>
      <c r="I951" s="76">
        <f t="shared" si="159"/>
        <v>0</v>
      </c>
      <c r="J951" s="79">
        <v>100</v>
      </c>
      <c r="K951" s="79">
        <v>300</v>
      </c>
      <c r="L951" s="76">
        <f t="shared" si="151"/>
        <v>1239</v>
      </c>
      <c r="M951" s="87">
        <v>600</v>
      </c>
      <c r="N951" s="76">
        <f>100</f>
        <v>100</v>
      </c>
      <c r="O951" s="79">
        <v>240</v>
      </c>
      <c r="P951" s="79">
        <v>40</v>
      </c>
      <c r="Q951" s="79">
        <f t="shared" si="152"/>
        <v>315</v>
      </c>
      <c r="R951" s="79">
        <f t="shared" si="153"/>
        <v>100</v>
      </c>
      <c r="S951" s="76">
        <f t="shared" si="154"/>
        <v>695</v>
      </c>
      <c r="T951" s="76">
        <f>50</f>
        <v>50</v>
      </c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</row>
    <row r="952" spans="1:30" ht="15.75" x14ac:dyDescent="0.25">
      <c r="A952" s="32">
        <v>69914</v>
      </c>
      <c r="B952" s="88">
        <f t="shared" si="156"/>
        <v>31</v>
      </c>
      <c r="C952" s="76">
        <f>194.205</f>
        <v>194.20500000000001</v>
      </c>
      <c r="D952" s="76">
        <f>267.466</f>
        <v>267.46600000000001</v>
      </c>
      <c r="E952" s="85">
        <f>133.845</f>
        <v>133.845</v>
      </c>
      <c r="F952" s="76">
        <f>278.484-40-25-60-100</f>
        <v>53.48399999999998</v>
      </c>
      <c r="G952" s="79">
        <v>40</v>
      </c>
      <c r="H952" s="76">
        <f t="shared" si="160"/>
        <v>185</v>
      </c>
      <c r="I952" s="76">
        <f t="shared" si="159"/>
        <v>0</v>
      </c>
      <c r="J952" s="79">
        <v>100</v>
      </c>
      <c r="K952" s="79">
        <v>300</v>
      </c>
      <c r="L952" s="76">
        <f t="shared" si="151"/>
        <v>1274</v>
      </c>
      <c r="M952" s="87">
        <v>600</v>
      </c>
      <c r="N952" s="76">
        <f>75</f>
        <v>75</v>
      </c>
      <c r="O952" s="79">
        <v>240</v>
      </c>
      <c r="P952" s="79">
        <v>40</v>
      </c>
      <c r="Q952" s="79">
        <f t="shared" si="152"/>
        <v>315</v>
      </c>
      <c r="R952" s="79">
        <f t="shared" si="153"/>
        <v>100</v>
      </c>
      <c r="S952" s="76">
        <f t="shared" si="154"/>
        <v>695</v>
      </c>
      <c r="T952" s="76">
        <f>50</f>
        <v>50</v>
      </c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</row>
    <row r="953" spans="1:30" ht="15.75" x14ac:dyDescent="0.25">
      <c r="A953" s="32">
        <v>69944</v>
      </c>
      <c r="B953" s="88">
        <f t="shared" si="156"/>
        <v>30</v>
      </c>
      <c r="C953" s="76">
        <f>194.205</f>
        <v>194.20500000000001</v>
      </c>
      <c r="D953" s="76">
        <f>267.466</f>
        <v>267.46600000000001</v>
      </c>
      <c r="E953" s="85">
        <f>133.845</f>
        <v>133.845</v>
      </c>
      <c r="F953" s="76">
        <f>278.484-40-25-60-100</f>
        <v>53.48399999999998</v>
      </c>
      <c r="G953" s="79">
        <v>40</v>
      </c>
      <c r="H953" s="76">
        <f t="shared" si="160"/>
        <v>185</v>
      </c>
      <c r="I953" s="76">
        <f t="shared" si="159"/>
        <v>0</v>
      </c>
      <c r="J953" s="79">
        <v>100</v>
      </c>
      <c r="K953" s="79">
        <v>300</v>
      </c>
      <c r="L953" s="76">
        <f t="shared" si="151"/>
        <v>1274</v>
      </c>
      <c r="M953" s="87">
        <v>600</v>
      </c>
      <c r="N953" s="76">
        <f>30</f>
        <v>30</v>
      </c>
      <c r="O953" s="79">
        <v>240</v>
      </c>
      <c r="P953" s="79">
        <v>40</v>
      </c>
      <c r="Q953" s="79">
        <f t="shared" si="152"/>
        <v>315</v>
      </c>
      <c r="R953" s="79">
        <f t="shared" si="153"/>
        <v>100</v>
      </c>
      <c r="S953" s="76">
        <f t="shared" si="154"/>
        <v>695</v>
      </c>
      <c r="T953" s="76">
        <f>50</f>
        <v>50</v>
      </c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</row>
    <row r="954" spans="1:30" ht="15.75" x14ac:dyDescent="0.25">
      <c r="A954" s="32">
        <v>69975</v>
      </c>
      <c r="B954" s="88">
        <f t="shared" si="156"/>
        <v>31</v>
      </c>
      <c r="C954" s="76">
        <f>194.205</f>
        <v>194.20500000000001</v>
      </c>
      <c r="D954" s="76">
        <f>267.466</f>
        <v>267.46600000000001</v>
      </c>
      <c r="E954" s="85">
        <f>133.845</f>
        <v>133.845</v>
      </c>
      <c r="F954" s="76">
        <f>278.484-40-25-60-100</f>
        <v>53.48399999999998</v>
      </c>
      <c r="G954" s="79">
        <v>40</v>
      </c>
      <c r="H954" s="76">
        <f t="shared" si="160"/>
        <v>185</v>
      </c>
      <c r="I954" s="76">
        <f t="shared" si="159"/>
        <v>0</v>
      </c>
      <c r="J954" s="79">
        <v>100</v>
      </c>
      <c r="K954" s="79">
        <v>300</v>
      </c>
      <c r="L954" s="76">
        <f t="shared" si="151"/>
        <v>1274</v>
      </c>
      <c r="M954" s="87">
        <v>600</v>
      </c>
      <c r="N954" s="76">
        <f>30</f>
        <v>30</v>
      </c>
      <c r="O954" s="79">
        <v>240</v>
      </c>
      <c r="P954" s="79">
        <v>40</v>
      </c>
      <c r="Q954" s="79">
        <f t="shared" si="152"/>
        <v>315</v>
      </c>
      <c r="R954" s="79">
        <f t="shared" si="153"/>
        <v>100</v>
      </c>
      <c r="S954" s="76">
        <f t="shared" si="154"/>
        <v>695</v>
      </c>
      <c r="T954" s="76">
        <f>0</f>
        <v>0</v>
      </c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</row>
    <row r="955" spans="1:30" ht="15.75" x14ac:dyDescent="0.25">
      <c r="A955" s="32">
        <v>70006</v>
      </c>
      <c r="B955" s="88">
        <f t="shared" si="156"/>
        <v>31</v>
      </c>
      <c r="C955" s="76">
        <f>194.205</f>
        <v>194.20500000000001</v>
      </c>
      <c r="D955" s="76">
        <f>267.466</f>
        <v>267.46600000000001</v>
      </c>
      <c r="E955" s="85">
        <f>133.845</f>
        <v>133.845</v>
      </c>
      <c r="F955" s="76">
        <f>278.484-40-25-60-100</f>
        <v>53.48399999999998</v>
      </c>
      <c r="G955" s="79">
        <v>40</v>
      </c>
      <c r="H955" s="76">
        <f t="shared" si="160"/>
        <v>185</v>
      </c>
      <c r="I955" s="76">
        <f t="shared" si="159"/>
        <v>0</v>
      </c>
      <c r="J955" s="79">
        <v>100</v>
      </c>
      <c r="K955" s="79">
        <v>300</v>
      </c>
      <c r="L955" s="76">
        <f t="shared" si="151"/>
        <v>1274</v>
      </c>
      <c r="M955" s="87">
        <v>600</v>
      </c>
      <c r="N955" s="76">
        <f>30</f>
        <v>30</v>
      </c>
      <c r="O955" s="79">
        <v>240</v>
      </c>
      <c r="P955" s="79">
        <v>40</v>
      </c>
      <c r="Q955" s="79">
        <f t="shared" si="152"/>
        <v>315</v>
      </c>
      <c r="R955" s="79">
        <f t="shared" si="153"/>
        <v>100</v>
      </c>
      <c r="S955" s="76">
        <f t="shared" si="154"/>
        <v>695</v>
      </c>
      <c r="T955" s="76">
        <f>0</f>
        <v>0</v>
      </c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</row>
    <row r="956" spans="1:30" ht="15.75" x14ac:dyDescent="0.25">
      <c r="A956" s="32">
        <v>70036</v>
      </c>
      <c r="B956" s="88">
        <f t="shared" si="156"/>
        <v>30</v>
      </c>
      <c r="C956" s="76">
        <f>194.205</f>
        <v>194.20500000000001</v>
      </c>
      <c r="D956" s="76">
        <f>267.466</f>
        <v>267.46600000000001</v>
      </c>
      <c r="E956" s="85">
        <f>133.845</f>
        <v>133.845</v>
      </c>
      <c r="F956" s="76">
        <f>278.484-40-25-60-100</f>
        <v>53.48399999999998</v>
      </c>
      <c r="G956" s="79">
        <v>40</v>
      </c>
      <c r="H956" s="76">
        <f t="shared" si="160"/>
        <v>185</v>
      </c>
      <c r="I956" s="76">
        <f t="shared" si="159"/>
        <v>0</v>
      </c>
      <c r="J956" s="79">
        <v>100</v>
      </c>
      <c r="K956" s="79">
        <v>300</v>
      </c>
      <c r="L956" s="76">
        <f t="shared" si="151"/>
        <v>1274</v>
      </c>
      <c r="M956" s="87">
        <v>600</v>
      </c>
      <c r="N956" s="76">
        <f>30</f>
        <v>30</v>
      </c>
      <c r="O956" s="79">
        <v>240</v>
      </c>
      <c r="P956" s="79">
        <v>40</v>
      </c>
      <c r="Q956" s="79">
        <f t="shared" si="152"/>
        <v>315</v>
      </c>
      <c r="R956" s="79">
        <f t="shared" si="153"/>
        <v>100</v>
      </c>
      <c r="S956" s="76">
        <f t="shared" si="154"/>
        <v>695</v>
      </c>
      <c r="T956" s="76">
        <f>0</f>
        <v>0</v>
      </c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</row>
    <row r="957" spans="1:30" ht="15.75" x14ac:dyDescent="0.25">
      <c r="A957" s="32">
        <v>70067</v>
      </c>
      <c r="B957" s="88">
        <f t="shared" si="156"/>
        <v>31</v>
      </c>
      <c r="C957" s="76">
        <f>131.881</f>
        <v>131.881</v>
      </c>
      <c r="D957" s="76">
        <f>277.167</f>
        <v>277.16699999999997</v>
      </c>
      <c r="E957" s="85">
        <f>79.08</f>
        <v>79.08</v>
      </c>
      <c r="F957" s="76">
        <f>350.872-40-25-60-100</f>
        <v>125.87200000000001</v>
      </c>
      <c r="G957" s="79">
        <v>40</v>
      </c>
      <c r="H957" s="76">
        <f t="shared" si="160"/>
        <v>185</v>
      </c>
      <c r="I957" s="76">
        <f t="shared" si="159"/>
        <v>0</v>
      </c>
      <c r="J957" s="79">
        <v>100</v>
      </c>
      <c r="K957" s="79">
        <v>300</v>
      </c>
      <c r="L957" s="76">
        <f t="shared" si="151"/>
        <v>1239</v>
      </c>
      <c r="M957" s="87">
        <v>600</v>
      </c>
      <c r="N957" s="76">
        <f>75</f>
        <v>75</v>
      </c>
      <c r="O957" s="79">
        <v>240</v>
      </c>
      <c r="P957" s="79">
        <v>40</v>
      </c>
      <c r="Q957" s="79">
        <f t="shared" si="152"/>
        <v>315</v>
      </c>
      <c r="R957" s="79">
        <f t="shared" si="153"/>
        <v>100</v>
      </c>
      <c r="S957" s="76">
        <f t="shared" si="154"/>
        <v>695</v>
      </c>
      <c r="T957" s="76">
        <f>0</f>
        <v>0</v>
      </c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</row>
    <row r="958" spans="1:30" ht="15.75" x14ac:dyDescent="0.25">
      <c r="A958" s="32">
        <v>70097</v>
      </c>
      <c r="B958" s="88">
        <f t="shared" si="156"/>
        <v>30</v>
      </c>
      <c r="C958" s="76">
        <f>122.58</f>
        <v>122.58</v>
      </c>
      <c r="D958" s="76">
        <f>297.941</f>
        <v>297.94099999999997</v>
      </c>
      <c r="E958" s="85">
        <f>89.177</f>
        <v>89.177000000000007</v>
      </c>
      <c r="F958" s="76">
        <f>240.302-40-60-100</f>
        <v>40.301999999999992</v>
      </c>
      <c r="G958" s="79">
        <v>40</v>
      </c>
      <c r="H958" s="76">
        <f>60+100</f>
        <v>160</v>
      </c>
      <c r="I958" s="76">
        <f t="shared" si="159"/>
        <v>0</v>
      </c>
      <c r="J958" s="79">
        <v>100</v>
      </c>
      <c r="K958" s="79">
        <v>300</v>
      </c>
      <c r="L958" s="76">
        <f t="shared" si="151"/>
        <v>1150</v>
      </c>
      <c r="M958" s="87">
        <v>600</v>
      </c>
      <c r="N958" s="76">
        <f>100</f>
        <v>100</v>
      </c>
      <c r="O958" s="79">
        <v>240</v>
      </c>
      <c r="P958" s="79">
        <v>40</v>
      </c>
      <c r="Q958" s="79">
        <f t="shared" si="152"/>
        <v>315</v>
      </c>
      <c r="R958" s="79">
        <f t="shared" si="153"/>
        <v>100</v>
      </c>
      <c r="S958" s="76">
        <f t="shared" si="154"/>
        <v>695</v>
      </c>
      <c r="T958" s="76">
        <f>50</f>
        <v>50</v>
      </c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</row>
    <row r="959" spans="1:30" ht="15.75" x14ac:dyDescent="0.25">
      <c r="A959" s="32">
        <v>70128</v>
      </c>
      <c r="B959" s="88">
        <f t="shared" si="156"/>
        <v>31</v>
      </c>
      <c r="C959" s="76">
        <f>122.58</f>
        <v>122.58</v>
      </c>
      <c r="D959" s="76">
        <f>297.941</f>
        <v>297.94099999999997</v>
      </c>
      <c r="E959" s="85">
        <f>89.177</f>
        <v>89.177000000000007</v>
      </c>
      <c r="F959" s="76">
        <f>240.302-40-60-100</f>
        <v>40.301999999999992</v>
      </c>
      <c r="G959" s="79">
        <v>40</v>
      </c>
      <c r="H959" s="76">
        <f>60+100</f>
        <v>160</v>
      </c>
      <c r="I959" s="76">
        <f t="shared" si="159"/>
        <v>0</v>
      </c>
      <c r="J959" s="79">
        <v>100</v>
      </c>
      <c r="K959" s="79">
        <v>300</v>
      </c>
      <c r="L959" s="76">
        <f t="shared" si="151"/>
        <v>1150</v>
      </c>
      <c r="M959" s="87">
        <v>600</v>
      </c>
      <c r="N959" s="76">
        <f>100</f>
        <v>100</v>
      </c>
      <c r="O959" s="79">
        <v>240</v>
      </c>
      <c r="P959" s="79">
        <v>40</v>
      </c>
      <c r="Q959" s="79">
        <f t="shared" si="152"/>
        <v>315</v>
      </c>
      <c r="R959" s="79">
        <f t="shared" si="153"/>
        <v>100</v>
      </c>
      <c r="S959" s="76">
        <f t="shared" si="154"/>
        <v>695</v>
      </c>
      <c r="T959" s="76">
        <f>50</f>
        <v>50</v>
      </c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</row>
    <row r="960" spans="1:30" ht="15.75" x14ac:dyDescent="0.25">
      <c r="A960" s="32">
        <v>70159</v>
      </c>
      <c r="B960" s="88">
        <f t="shared" si="156"/>
        <v>31</v>
      </c>
      <c r="C960" s="76">
        <f>122.58</f>
        <v>122.58</v>
      </c>
      <c r="D960" s="76">
        <f>297.941</f>
        <v>297.94099999999997</v>
      </c>
      <c r="E960" s="85">
        <f>89.177</f>
        <v>89.177000000000007</v>
      </c>
      <c r="F960" s="76">
        <f>240.302-40-60-100</f>
        <v>40.301999999999992</v>
      </c>
      <c r="G960" s="79">
        <v>40</v>
      </c>
      <c r="H960" s="76">
        <f>60+100</f>
        <v>160</v>
      </c>
      <c r="I960" s="76">
        <f t="shared" si="159"/>
        <v>0</v>
      </c>
      <c r="J960" s="79">
        <v>100</v>
      </c>
      <c r="K960" s="79">
        <v>300</v>
      </c>
      <c r="L960" s="76">
        <f t="shared" si="151"/>
        <v>1150</v>
      </c>
      <c r="M960" s="87">
        <v>600</v>
      </c>
      <c r="N960" s="76">
        <f>100</f>
        <v>100</v>
      </c>
      <c r="O960" s="79">
        <v>240</v>
      </c>
      <c r="P960" s="79">
        <v>40</v>
      </c>
      <c r="Q960" s="79">
        <f t="shared" si="152"/>
        <v>315</v>
      </c>
      <c r="R960" s="79">
        <f t="shared" si="153"/>
        <v>100</v>
      </c>
      <c r="S960" s="76">
        <f t="shared" si="154"/>
        <v>695</v>
      </c>
      <c r="T960" s="76">
        <f>50</f>
        <v>50</v>
      </c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</row>
    <row r="961" spans="1:30" ht="15.75" x14ac:dyDescent="0.25">
      <c r="A961" s="32">
        <v>70188</v>
      </c>
      <c r="B961" s="88">
        <f t="shared" si="156"/>
        <v>29</v>
      </c>
      <c r="C961" s="76">
        <f>122.58</f>
        <v>122.58</v>
      </c>
      <c r="D961" s="76">
        <f>297.941</f>
        <v>297.94099999999997</v>
      </c>
      <c r="E961" s="85">
        <f>89.177</f>
        <v>89.177000000000007</v>
      </c>
      <c r="F961" s="76">
        <f>240.302-40-60-100</f>
        <v>40.301999999999992</v>
      </c>
      <c r="G961" s="79">
        <v>40</v>
      </c>
      <c r="H961" s="76">
        <f>60+100</f>
        <v>160</v>
      </c>
      <c r="I961" s="76">
        <f t="shared" si="159"/>
        <v>0</v>
      </c>
      <c r="J961" s="79">
        <v>100</v>
      </c>
      <c r="K961" s="79">
        <v>300</v>
      </c>
      <c r="L961" s="76">
        <f t="shared" si="151"/>
        <v>1150</v>
      </c>
      <c r="M961" s="87">
        <v>600</v>
      </c>
      <c r="N961" s="76">
        <f>100</f>
        <v>100</v>
      </c>
      <c r="O961" s="79">
        <v>240</v>
      </c>
      <c r="P961" s="79">
        <v>40</v>
      </c>
      <c r="Q961" s="79">
        <f t="shared" si="152"/>
        <v>315</v>
      </c>
      <c r="R961" s="79">
        <f t="shared" si="153"/>
        <v>100</v>
      </c>
      <c r="S961" s="76">
        <f t="shared" si="154"/>
        <v>695</v>
      </c>
      <c r="T961" s="76">
        <f>50</f>
        <v>50</v>
      </c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</row>
    <row r="962" spans="1:30" ht="15.75" x14ac:dyDescent="0.25">
      <c r="A962" s="32">
        <v>70219</v>
      </c>
      <c r="B962" s="88">
        <f t="shared" si="156"/>
        <v>31</v>
      </c>
      <c r="C962" s="76">
        <f>122.58</f>
        <v>122.58</v>
      </c>
      <c r="D962" s="76">
        <f>297.941</f>
        <v>297.94099999999997</v>
      </c>
      <c r="E962" s="85">
        <f>89.177</f>
        <v>89.177000000000007</v>
      </c>
      <c r="F962" s="76">
        <f>240.302-40-60-100</f>
        <v>40.301999999999992</v>
      </c>
      <c r="G962" s="79">
        <v>40</v>
      </c>
      <c r="H962" s="76">
        <f>60+100</f>
        <v>160</v>
      </c>
      <c r="I962" s="76">
        <f t="shared" si="159"/>
        <v>0</v>
      </c>
      <c r="J962" s="79">
        <v>100</v>
      </c>
      <c r="K962" s="79">
        <v>300</v>
      </c>
      <c r="L962" s="76">
        <f t="shared" si="151"/>
        <v>1150</v>
      </c>
      <c r="M962" s="87">
        <v>600</v>
      </c>
      <c r="N962" s="76">
        <f>100</f>
        <v>100</v>
      </c>
      <c r="O962" s="79">
        <v>240</v>
      </c>
      <c r="P962" s="79">
        <v>40</v>
      </c>
      <c r="Q962" s="79">
        <f t="shared" si="152"/>
        <v>315</v>
      </c>
      <c r="R962" s="79">
        <f t="shared" si="153"/>
        <v>100</v>
      </c>
      <c r="S962" s="76">
        <f t="shared" si="154"/>
        <v>695</v>
      </c>
      <c r="T962" s="76">
        <f>50</f>
        <v>50</v>
      </c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</row>
    <row r="963" spans="1:30" ht="15.75" x14ac:dyDescent="0.25">
      <c r="A963" s="32">
        <v>70249</v>
      </c>
      <c r="B963" s="88">
        <f t="shared" si="156"/>
        <v>30</v>
      </c>
      <c r="C963" s="76">
        <f>141.293</f>
        <v>141.29300000000001</v>
      </c>
      <c r="D963" s="76">
        <f>267.993</f>
        <v>267.99299999999999</v>
      </c>
      <c r="E963" s="85">
        <f>115.016</f>
        <v>115.01600000000001</v>
      </c>
      <c r="F963" s="76">
        <f>314.698-40-25-60-100</f>
        <v>89.697999999999979</v>
      </c>
      <c r="G963" s="79">
        <v>40</v>
      </c>
      <c r="H963" s="76">
        <f t="shared" ref="H963:H969" si="161">25+60+100</f>
        <v>185</v>
      </c>
      <c r="I963" s="76">
        <f t="shared" si="159"/>
        <v>0</v>
      </c>
      <c r="J963" s="79">
        <v>100</v>
      </c>
      <c r="K963" s="79">
        <v>300</v>
      </c>
      <c r="L963" s="76">
        <f t="shared" si="151"/>
        <v>1239</v>
      </c>
      <c r="M963" s="87">
        <v>600</v>
      </c>
      <c r="N963" s="76">
        <f>100</f>
        <v>100</v>
      </c>
      <c r="O963" s="79">
        <v>240</v>
      </c>
      <c r="P963" s="79">
        <v>40</v>
      </c>
      <c r="Q963" s="79">
        <f t="shared" si="152"/>
        <v>315</v>
      </c>
      <c r="R963" s="79">
        <f t="shared" si="153"/>
        <v>100</v>
      </c>
      <c r="S963" s="76">
        <f t="shared" si="154"/>
        <v>695</v>
      </c>
      <c r="T963" s="76">
        <f>50</f>
        <v>50</v>
      </c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</row>
    <row r="964" spans="1:30" ht="15.75" x14ac:dyDescent="0.25">
      <c r="A964" s="32">
        <v>70280</v>
      </c>
      <c r="B964" s="88">
        <f t="shared" si="156"/>
        <v>31</v>
      </c>
      <c r="C964" s="76">
        <f>194.205</f>
        <v>194.20500000000001</v>
      </c>
      <c r="D964" s="76">
        <f>267.466</f>
        <v>267.46600000000001</v>
      </c>
      <c r="E964" s="85">
        <f>133.845</f>
        <v>133.845</v>
      </c>
      <c r="F964" s="76">
        <f>278.484-40-25-60-100</f>
        <v>53.48399999999998</v>
      </c>
      <c r="G964" s="79">
        <v>40</v>
      </c>
      <c r="H964" s="76">
        <f t="shared" si="161"/>
        <v>185</v>
      </c>
      <c r="I964" s="76">
        <f t="shared" si="159"/>
        <v>0</v>
      </c>
      <c r="J964" s="79">
        <v>100</v>
      </c>
      <c r="K964" s="79">
        <v>300</v>
      </c>
      <c r="L964" s="76">
        <f t="shared" si="151"/>
        <v>1274</v>
      </c>
      <c r="M964" s="87">
        <v>600</v>
      </c>
      <c r="N964" s="76">
        <f>75</f>
        <v>75</v>
      </c>
      <c r="O964" s="79">
        <v>240</v>
      </c>
      <c r="P964" s="79">
        <v>40</v>
      </c>
      <c r="Q964" s="79">
        <f t="shared" si="152"/>
        <v>315</v>
      </c>
      <c r="R964" s="79">
        <f t="shared" si="153"/>
        <v>100</v>
      </c>
      <c r="S964" s="76">
        <f t="shared" si="154"/>
        <v>695</v>
      </c>
      <c r="T964" s="76">
        <f>50</f>
        <v>50</v>
      </c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</row>
    <row r="965" spans="1:30" ht="15.75" x14ac:dyDescent="0.25">
      <c r="A965" s="32">
        <v>70310</v>
      </c>
      <c r="B965" s="88">
        <f t="shared" si="156"/>
        <v>30</v>
      </c>
      <c r="C965" s="76">
        <f>194.205</f>
        <v>194.20500000000001</v>
      </c>
      <c r="D965" s="76">
        <f>267.466</f>
        <v>267.46600000000001</v>
      </c>
      <c r="E965" s="85">
        <f>133.845</f>
        <v>133.845</v>
      </c>
      <c r="F965" s="76">
        <f>278.484-40-25-60-100</f>
        <v>53.48399999999998</v>
      </c>
      <c r="G965" s="79">
        <v>40</v>
      </c>
      <c r="H965" s="76">
        <f t="shared" si="161"/>
        <v>185</v>
      </c>
      <c r="I965" s="76">
        <f t="shared" si="159"/>
        <v>0</v>
      </c>
      <c r="J965" s="79">
        <v>100</v>
      </c>
      <c r="K965" s="79">
        <v>300</v>
      </c>
      <c r="L965" s="76">
        <f t="shared" si="151"/>
        <v>1274</v>
      </c>
      <c r="M965" s="87">
        <v>600</v>
      </c>
      <c r="N965" s="76">
        <f>30</f>
        <v>30</v>
      </c>
      <c r="O965" s="79">
        <v>240</v>
      </c>
      <c r="P965" s="79">
        <v>40</v>
      </c>
      <c r="Q965" s="79">
        <f t="shared" si="152"/>
        <v>315</v>
      </c>
      <c r="R965" s="79">
        <f t="shared" si="153"/>
        <v>100</v>
      </c>
      <c r="S965" s="76">
        <f t="shared" si="154"/>
        <v>695</v>
      </c>
      <c r="T965" s="76">
        <f>50</f>
        <v>50</v>
      </c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</row>
    <row r="966" spans="1:30" ht="15.75" x14ac:dyDescent="0.25">
      <c r="A966" s="32">
        <v>70341</v>
      </c>
      <c r="B966" s="88">
        <f t="shared" si="156"/>
        <v>31</v>
      </c>
      <c r="C966" s="76">
        <f>194.205</f>
        <v>194.20500000000001</v>
      </c>
      <c r="D966" s="76">
        <f>267.466</f>
        <v>267.46600000000001</v>
      </c>
      <c r="E966" s="85">
        <f>133.845</f>
        <v>133.845</v>
      </c>
      <c r="F966" s="76">
        <f>278.484-40-25-60-100</f>
        <v>53.48399999999998</v>
      </c>
      <c r="G966" s="79">
        <v>40</v>
      </c>
      <c r="H966" s="76">
        <f t="shared" si="161"/>
        <v>185</v>
      </c>
      <c r="I966" s="76">
        <f t="shared" si="159"/>
        <v>0</v>
      </c>
      <c r="J966" s="79">
        <v>100</v>
      </c>
      <c r="K966" s="79">
        <v>300</v>
      </c>
      <c r="L966" s="76">
        <f t="shared" si="151"/>
        <v>1274</v>
      </c>
      <c r="M966" s="87">
        <v>600</v>
      </c>
      <c r="N966" s="76">
        <f>30</f>
        <v>30</v>
      </c>
      <c r="O966" s="79">
        <v>240</v>
      </c>
      <c r="P966" s="79">
        <v>40</v>
      </c>
      <c r="Q966" s="79">
        <f t="shared" si="152"/>
        <v>315</v>
      </c>
      <c r="R966" s="79">
        <f t="shared" si="153"/>
        <v>100</v>
      </c>
      <c r="S966" s="76">
        <f t="shared" si="154"/>
        <v>695</v>
      </c>
      <c r="T966" s="76">
        <f>0</f>
        <v>0</v>
      </c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</row>
    <row r="967" spans="1:30" ht="15.75" x14ac:dyDescent="0.25">
      <c r="A967" s="32">
        <v>70372</v>
      </c>
      <c r="B967" s="88">
        <f t="shared" si="156"/>
        <v>31</v>
      </c>
      <c r="C967" s="76">
        <f>194.205</f>
        <v>194.20500000000001</v>
      </c>
      <c r="D967" s="76">
        <f>267.466</f>
        <v>267.46600000000001</v>
      </c>
      <c r="E967" s="85">
        <f>133.845</f>
        <v>133.845</v>
      </c>
      <c r="F967" s="76">
        <f>278.484-40-25-60-100</f>
        <v>53.48399999999998</v>
      </c>
      <c r="G967" s="79">
        <v>40</v>
      </c>
      <c r="H967" s="76">
        <f t="shared" si="161"/>
        <v>185</v>
      </c>
      <c r="I967" s="76">
        <f t="shared" si="159"/>
        <v>0</v>
      </c>
      <c r="J967" s="79">
        <v>100</v>
      </c>
      <c r="K967" s="79">
        <v>300</v>
      </c>
      <c r="L967" s="76">
        <f t="shared" si="151"/>
        <v>1274</v>
      </c>
      <c r="M967" s="87">
        <v>600</v>
      </c>
      <c r="N967" s="76">
        <f>30</f>
        <v>30</v>
      </c>
      <c r="O967" s="79">
        <v>240</v>
      </c>
      <c r="P967" s="79">
        <v>40</v>
      </c>
      <c r="Q967" s="79">
        <f t="shared" si="152"/>
        <v>315</v>
      </c>
      <c r="R967" s="79">
        <f t="shared" si="153"/>
        <v>100</v>
      </c>
      <c r="S967" s="76">
        <f t="shared" si="154"/>
        <v>695</v>
      </c>
      <c r="T967" s="76">
        <f>0</f>
        <v>0</v>
      </c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</row>
    <row r="968" spans="1:30" ht="15.75" x14ac:dyDescent="0.25">
      <c r="A968" s="32">
        <v>70402</v>
      </c>
      <c r="B968" s="88">
        <f t="shared" si="156"/>
        <v>30</v>
      </c>
      <c r="C968" s="76">
        <f>194.205</f>
        <v>194.20500000000001</v>
      </c>
      <c r="D968" s="76">
        <f>267.466</f>
        <v>267.46600000000001</v>
      </c>
      <c r="E968" s="85">
        <f>133.845</f>
        <v>133.845</v>
      </c>
      <c r="F968" s="76">
        <f>278.484-40-25-60-100</f>
        <v>53.48399999999998</v>
      </c>
      <c r="G968" s="79">
        <v>40</v>
      </c>
      <c r="H968" s="76">
        <f t="shared" si="161"/>
        <v>185</v>
      </c>
      <c r="I968" s="76">
        <f t="shared" si="159"/>
        <v>0</v>
      </c>
      <c r="J968" s="79">
        <v>100</v>
      </c>
      <c r="K968" s="79">
        <v>300</v>
      </c>
      <c r="L968" s="76">
        <f t="shared" si="151"/>
        <v>1274</v>
      </c>
      <c r="M968" s="87">
        <v>600</v>
      </c>
      <c r="N968" s="76">
        <f>30</f>
        <v>30</v>
      </c>
      <c r="O968" s="79">
        <v>240</v>
      </c>
      <c r="P968" s="79">
        <v>40</v>
      </c>
      <c r="Q968" s="79">
        <f t="shared" si="152"/>
        <v>315</v>
      </c>
      <c r="R968" s="79">
        <f t="shared" si="153"/>
        <v>100</v>
      </c>
      <c r="S968" s="76">
        <f t="shared" si="154"/>
        <v>695</v>
      </c>
      <c r="T968" s="76">
        <f>0</f>
        <v>0</v>
      </c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</row>
    <row r="969" spans="1:30" ht="15.75" x14ac:dyDescent="0.25">
      <c r="A969" s="32">
        <v>70433</v>
      </c>
      <c r="B969" s="88">
        <f t="shared" si="156"/>
        <v>31</v>
      </c>
      <c r="C969" s="76">
        <f>131.881</f>
        <v>131.881</v>
      </c>
      <c r="D969" s="76">
        <f>277.167</f>
        <v>277.16699999999997</v>
      </c>
      <c r="E969" s="85">
        <f>79.08</f>
        <v>79.08</v>
      </c>
      <c r="F969" s="76">
        <f>350.872-40-25-60-100</f>
        <v>125.87200000000001</v>
      </c>
      <c r="G969" s="79">
        <v>40</v>
      </c>
      <c r="H969" s="76">
        <f t="shared" si="161"/>
        <v>185</v>
      </c>
      <c r="I969" s="76">
        <f t="shared" si="159"/>
        <v>0</v>
      </c>
      <c r="J969" s="79">
        <v>100</v>
      </c>
      <c r="K969" s="79">
        <v>300</v>
      </c>
      <c r="L969" s="76">
        <f t="shared" si="151"/>
        <v>1239</v>
      </c>
      <c r="M969" s="87">
        <v>600</v>
      </c>
      <c r="N969" s="76">
        <f>75</f>
        <v>75</v>
      </c>
      <c r="O969" s="79">
        <v>240</v>
      </c>
      <c r="P969" s="79">
        <v>40</v>
      </c>
      <c r="Q969" s="79">
        <f t="shared" si="152"/>
        <v>315</v>
      </c>
      <c r="R969" s="79">
        <f t="shared" si="153"/>
        <v>100</v>
      </c>
      <c r="S969" s="76">
        <f t="shared" si="154"/>
        <v>695</v>
      </c>
      <c r="T969" s="76">
        <f>0</f>
        <v>0</v>
      </c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</row>
    <row r="970" spans="1:30" ht="15.75" x14ac:dyDescent="0.25">
      <c r="A970" s="32">
        <v>70463</v>
      </c>
      <c r="B970" s="88">
        <f t="shared" si="156"/>
        <v>30</v>
      </c>
      <c r="C970" s="76">
        <f>122.58</f>
        <v>122.58</v>
      </c>
      <c r="D970" s="76">
        <f>297.941</f>
        <v>297.94099999999997</v>
      </c>
      <c r="E970" s="85">
        <f>89.177</f>
        <v>89.177000000000007</v>
      </c>
      <c r="F970" s="76">
        <f>240.302-40-60-100</f>
        <v>40.301999999999992</v>
      </c>
      <c r="G970" s="79">
        <v>40</v>
      </c>
      <c r="H970" s="76">
        <f>60+100</f>
        <v>160</v>
      </c>
      <c r="I970" s="76">
        <f t="shared" si="159"/>
        <v>0</v>
      </c>
      <c r="J970" s="79">
        <v>100</v>
      </c>
      <c r="K970" s="79">
        <v>300</v>
      </c>
      <c r="L970" s="76">
        <f t="shared" si="151"/>
        <v>1150</v>
      </c>
      <c r="M970" s="87">
        <v>600</v>
      </c>
      <c r="N970" s="76">
        <f>100</f>
        <v>100</v>
      </c>
      <c r="O970" s="79">
        <v>240</v>
      </c>
      <c r="P970" s="79">
        <v>40</v>
      </c>
      <c r="Q970" s="79">
        <f t="shared" si="152"/>
        <v>315</v>
      </c>
      <c r="R970" s="79">
        <f t="shared" si="153"/>
        <v>100</v>
      </c>
      <c r="S970" s="76">
        <f t="shared" si="154"/>
        <v>695</v>
      </c>
      <c r="T970" s="76">
        <f>50</f>
        <v>50</v>
      </c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</row>
    <row r="971" spans="1:30" ht="15.75" x14ac:dyDescent="0.25">
      <c r="A971" s="32">
        <v>70494</v>
      </c>
      <c r="B971" s="88">
        <f t="shared" si="156"/>
        <v>31</v>
      </c>
      <c r="C971" s="76">
        <f>122.58</f>
        <v>122.58</v>
      </c>
      <c r="D971" s="76">
        <f>297.941</f>
        <v>297.94099999999997</v>
      </c>
      <c r="E971" s="85">
        <f>89.177</f>
        <v>89.177000000000007</v>
      </c>
      <c r="F971" s="76">
        <f>240.302-40-60-100</f>
        <v>40.301999999999992</v>
      </c>
      <c r="G971" s="79">
        <v>40</v>
      </c>
      <c r="H971" s="76">
        <f>60+100</f>
        <v>160</v>
      </c>
      <c r="I971" s="76">
        <f t="shared" si="159"/>
        <v>0</v>
      </c>
      <c r="J971" s="79">
        <v>100</v>
      </c>
      <c r="K971" s="79">
        <v>300</v>
      </c>
      <c r="L971" s="76">
        <f t="shared" si="151"/>
        <v>1150</v>
      </c>
      <c r="M971" s="87">
        <v>600</v>
      </c>
      <c r="N971" s="76">
        <f>100</f>
        <v>100</v>
      </c>
      <c r="O971" s="79">
        <v>240</v>
      </c>
      <c r="P971" s="79">
        <v>40</v>
      </c>
      <c r="Q971" s="79">
        <f t="shared" si="152"/>
        <v>315</v>
      </c>
      <c r="R971" s="79">
        <f t="shared" si="153"/>
        <v>100</v>
      </c>
      <c r="S971" s="76">
        <f t="shared" si="154"/>
        <v>695</v>
      </c>
      <c r="T971" s="76">
        <f>50</f>
        <v>50</v>
      </c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</row>
    <row r="972" spans="1:30" ht="15.75" x14ac:dyDescent="0.25">
      <c r="A972" s="32">
        <v>70525</v>
      </c>
      <c r="B972" s="88">
        <f t="shared" si="156"/>
        <v>31</v>
      </c>
      <c r="C972" s="76">
        <f>122.58</f>
        <v>122.58</v>
      </c>
      <c r="D972" s="76">
        <f>297.941</f>
        <v>297.94099999999997</v>
      </c>
      <c r="E972" s="85">
        <f>89.177</f>
        <v>89.177000000000007</v>
      </c>
      <c r="F972" s="76">
        <f>240.302-40-60-100</f>
        <v>40.301999999999992</v>
      </c>
      <c r="G972" s="79">
        <v>40</v>
      </c>
      <c r="H972" s="76">
        <f>60+100</f>
        <v>160</v>
      </c>
      <c r="I972" s="76">
        <f t="shared" si="159"/>
        <v>0</v>
      </c>
      <c r="J972" s="79">
        <v>100</v>
      </c>
      <c r="K972" s="79">
        <v>300</v>
      </c>
      <c r="L972" s="76">
        <f t="shared" si="151"/>
        <v>1150</v>
      </c>
      <c r="M972" s="87">
        <v>600</v>
      </c>
      <c r="N972" s="76">
        <f>100</f>
        <v>100</v>
      </c>
      <c r="O972" s="79">
        <v>240</v>
      </c>
      <c r="P972" s="79">
        <v>40</v>
      </c>
      <c r="Q972" s="79">
        <f t="shared" si="152"/>
        <v>315</v>
      </c>
      <c r="R972" s="79">
        <f t="shared" si="153"/>
        <v>100</v>
      </c>
      <c r="S972" s="76">
        <f t="shared" si="154"/>
        <v>695</v>
      </c>
      <c r="T972" s="76">
        <f>50</f>
        <v>50</v>
      </c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</row>
    <row r="973" spans="1:30" ht="15.75" x14ac:dyDescent="0.25">
      <c r="A973" s="32">
        <v>70553</v>
      </c>
      <c r="B973" s="88">
        <f t="shared" si="156"/>
        <v>28</v>
      </c>
      <c r="C973" s="76">
        <f>122.58</f>
        <v>122.58</v>
      </c>
      <c r="D973" s="76">
        <f>297.941</f>
        <v>297.94099999999997</v>
      </c>
      <c r="E973" s="85">
        <f>89.177</f>
        <v>89.177000000000007</v>
      </c>
      <c r="F973" s="76">
        <f>240.302-40-60-100</f>
        <v>40.301999999999992</v>
      </c>
      <c r="G973" s="79">
        <v>40</v>
      </c>
      <c r="H973" s="76">
        <f>60+100</f>
        <v>160</v>
      </c>
      <c r="I973" s="76">
        <f t="shared" si="159"/>
        <v>0</v>
      </c>
      <c r="J973" s="79">
        <v>100</v>
      </c>
      <c r="K973" s="79">
        <v>300</v>
      </c>
      <c r="L973" s="76">
        <f t="shared" si="151"/>
        <v>1150</v>
      </c>
      <c r="M973" s="87">
        <v>600</v>
      </c>
      <c r="N973" s="76">
        <f>100</f>
        <v>100</v>
      </c>
      <c r="O973" s="79">
        <v>240</v>
      </c>
      <c r="P973" s="79">
        <v>40</v>
      </c>
      <c r="Q973" s="79">
        <f t="shared" si="152"/>
        <v>315</v>
      </c>
      <c r="R973" s="79">
        <f t="shared" si="153"/>
        <v>100</v>
      </c>
      <c r="S973" s="76">
        <f t="shared" si="154"/>
        <v>695</v>
      </c>
      <c r="T973" s="76">
        <f>50</f>
        <v>50</v>
      </c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</row>
    <row r="974" spans="1:30" ht="15.75" x14ac:dyDescent="0.25">
      <c r="A974" s="32">
        <v>70584</v>
      </c>
      <c r="B974" s="88">
        <f t="shared" si="156"/>
        <v>31</v>
      </c>
      <c r="C974" s="76">
        <f>122.58</f>
        <v>122.58</v>
      </c>
      <c r="D974" s="76">
        <f>297.941</f>
        <v>297.94099999999997</v>
      </c>
      <c r="E974" s="85">
        <f>89.177</f>
        <v>89.177000000000007</v>
      </c>
      <c r="F974" s="76">
        <f>240.302-40-60-100</f>
        <v>40.301999999999992</v>
      </c>
      <c r="G974" s="79">
        <v>40</v>
      </c>
      <c r="H974" s="76">
        <f>60+100</f>
        <v>160</v>
      </c>
      <c r="I974" s="76">
        <f t="shared" si="159"/>
        <v>0</v>
      </c>
      <c r="J974" s="79">
        <v>100</v>
      </c>
      <c r="K974" s="79">
        <v>300</v>
      </c>
      <c r="L974" s="76">
        <f t="shared" si="151"/>
        <v>1150</v>
      </c>
      <c r="M974" s="87">
        <v>600</v>
      </c>
      <c r="N974" s="76">
        <f>100</f>
        <v>100</v>
      </c>
      <c r="O974" s="79">
        <v>240</v>
      </c>
      <c r="P974" s="79">
        <v>40</v>
      </c>
      <c r="Q974" s="79">
        <f t="shared" si="152"/>
        <v>315</v>
      </c>
      <c r="R974" s="79">
        <f t="shared" si="153"/>
        <v>100</v>
      </c>
      <c r="S974" s="76">
        <f t="shared" si="154"/>
        <v>695</v>
      </c>
      <c r="T974" s="76">
        <f>50</f>
        <v>50</v>
      </c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</row>
    <row r="975" spans="1:30" ht="15.75" x14ac:dyDescent="0.25">
      <c r="A975" s="32">
        <v>70614</v>
      </c>
      <c r="B975" s="88">
        <f t="shared" si="156"/>
        <v>30</v>
      </c>
      <c r="C975" s="76">
        <f>141.293</f>
        <v>141.29300000000001</v>
      </c>
      <c r="D975" s="76">
        <f>267.993</f>
        <v>267.99299999999999</v>
      </c>
      <c r="E975" s="85">
        <f>115.016</f>
        <v>115.01600000000001</v>
      </c>
      <c r="F975" s="76">
        <f>314.698-40-25-60-100</f>
        <v>89.697999999999979</v>
      </c>
      <c r="G975" s="79">
        <v>40</v>
      </c>
      <c r="H975" s="76">
        <f t="shared" ref="H975:H981" si="162">25+60+100</f>
        <v>185</v>
      </c>
      <c r="I975" s="76">
        <f t="shared" si="159"/>
        <v>0</v>
      </c>
      <c r="J975" s="79">
        <v>100</v>
      </c>
      <c r="K975" s="79">
        <v>300</v>
      </c>
      <c r="L975" s="76">
        <f t="shared" si="151"/>
        <v>1239</v>
      </c>
      <c r="M975" s="87">
        <v>600</v>
      </c>
      <c r="N975" s="76">
        <f>100</f>
        <v>100</v>
      </c>
      <c r="O975" s="79">
        <v>240</v>
      </c>
      <c r="P975" s="79">
        <v>40</v>
      </c>
      <c r="Q975" s="79">
        <f t="shared" si="152"/>
        <v>315</v>
      </c>
      <c r="R975" s="79">
        <f t="shared" si="153"/>
        <v>100</v>
      </c>
      <c r="S975" s="76">
        <f t="shared" si="154"/>
        <v>695</v>
      </c>
      <c r="T975" s="76">
        <f>50</f>
        <v>50</v>
      </c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</row>
    <row r="976" spans="1:30" ht="15.75" x14ac:dyDescent="0.25">
      <c r="A976" s="32">
        <v>70645</v>
      </c>
      <c r="B976" s="88">
        <f t="shared" si="156"/>
        <v>31</v>
      </c>
      <c r="C976" s="76">
        <f>194.205</f>
        <v>194.20500000000001</v>
      </c>
      <c r="D976" s="76">
        <f>267.466</f>
        <v>267.46600000000001</v>
      </c>
      <c r="E976" s="85">
        <f>133.845</f>
        <v>133.845</v>
      </c>
      <c r="F976" s="76">
        <f>278.484-40-25-60-100</f>
        <v>53.48399999999998</v>
      </c>
      <c r="G976" s="79">
        <v>40</v>
      </c>
      <c r="H976" s="76">
        <f t="shared" si="162"/>
        <v>185</v>
      </c>
      <c r="I976" s="76">
        <f t="shared" si="159"/>
        <v>0</v>
      </c>
      <c r="J976" s="79">
        <v>100</v>
      </c>
      <c r="K976" s="79">
        <v>300</v>
      </c>
      <c r="L976" s="76">
        <f t="shared" ref="L976:L1039" si="163">SUM(C976:K976)</f>
        <v>1274</v>
      </c>
      <c r="M976" s="87">
        <v>600</v>
      </c>
      <c r="N976" s="76">
        <f>75</f>
        <v>75</v>
      </c>
      <c r="O976" s="79">
        <v>240</v>
      </c>
      <c r="P976" s="79">
        <v>40</v>
      </c>
      <c r="Q976" s="79">
        <f t="shared" ref="Q976:Q1039" si="164">695-R976-O976-P976</f>
        <v>315</v>
      </c>
      <c r="R976" s="79">
        <f t="shared" ref="R976:R1039" si="165">200-J976</f>
        <v>100</v>
      </c>
      <c r="S976" s="76">
        <f t="shared" ref="S976:S1039" si="166">SUM(O976:R976)</f>
        <v>695</v>
      </c>
      <c r="T976" s="76">
        <f>50</f>
        <v>50</v>
      </c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</row>
    <row r="977" spans="1:30" ht="15.75" x14ac:dyDescent="0.25">
      <c r="A977" s="32">
        <v>70675</v>
      </c>
      <c r="B977" s="88">
        <f t="shared" si="156"/>
        <v>30</v>
      </c>
      <c r="C977" s="76">
        <f>194.205</f>
        <v>194.20500000000001</v>
      </c>
      <c r="D977" s="76">
        <f>267.466</f>
        <v>267.46600000000001</v>
      </c>
      <c r="E977" s="85">
        <f>133.845</f>
        <v>133.845</v>
      </c>
      <c r="F977" s="76">
        <f>278.484-40-25-60-100</f>
        <v>53.48399999999998</v>
      </c>
      <c r="G977" s="79">
        <v>40</v>
      </c>
      <c r="H977" s="76">
        <f t="shared" si="162"/>
        <v>185</v>
      </c>
      <c r="I977" s="76">
        <f t="shared" si="159"/>
        <v>0</v>
      </c>
      <c r="J977" s="79">
        <v>100</v>
      </c>
      <c r="K977" s="79">
        <v>300</v>
      </c>
      <c r="L977" s="76">
        <f t="shared" si="163"/>
        <v>1274</v>
      </c>
      <c r="M977" s="87">
        <v>600</v>
      </c>
      <c r="N977" s="76">
        <f>30</f>
        <v>30</v>
      </c>
      <c r="O977" s="79">
        <v>240</v>
      </c>
      <c r="P977" s="79">
        <v>40</v>
      </c>
      <c r="Q977" s="79">
        <f t="shared" si="164"/>
        <v>315</v>
      </c>
      <c r="R977" s="79">
        <f t="shared" si="165"/>
        <v>100</v>
      </c>
      <c r="S977" s="76">
        <f t="shared" si="166"/>
        <v>695</v>
      </c>
      <c r="T977" s="76">
        <f>50</f>
        <v>50</v>
      </c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</row>
    <row r="978" spans="1:30" ht="15.75" x14ac:dyDescent="0.25">
      <c r="A978" s="32">
        <v>70706</v>
      </c>
      <c r="B978" s="88">
        <f t="shared" si="156"/>
        <v>31</v>
      </c>
      <c r="C978" s="76">
        <f>194.205</f>
        <v>194.20500000000001</v>
      </c>
      <c r="D978" s="76">
        <f>267.466</f>
        <v>267.46600000000001</v>
      </c>
      <c r="E978" s="85">
        <f>133.845</f>
        <v>133.845</v>
      </c>
      <c r="F978" s="76">
        <f>278.484-40-25-60-100</f>
        <v>53.48399999999998</v>
      </c>
      <c r="G978" s="79">
        <v>40</v>
      </c>
      <c r="H978" s="76">
        <f t="shared" si="162"/>
        <v>185</v>
      </c>
      <c r="I978" s="76">
        <f t="shared" si="159"/>
        <v>0</v>
      </c>
      <c r="J978" s="79">
        <v>100</v>
      </c>
      <c r="K978" s="79">
        <v>300</v>
      </c>
      <c r="L978" s="76">
        <f t="shared" si="163"/>
        <v>1274</v>
      </c>
      <c r="M978" s="87">
        <v>600</v>
      </c>
      <c r="N978" s="76">
        <f>30</f>
        <v>30</v>
      </c>
      <c r="O978" s="79">
        <v>240</v>
      </c>
      <c r="P978" s="79">
        <v>40</v>
      </c>
      <c r="Q978" s="79">
        <f t="shared" si="164"/>
        <v>315</v>
      </c>
      <c r="R978" s="79">
        <f t="shared" si="165"/>
        <v>100</v>
      </c>
      <c r="S978" s="76">
        <f t="shared" si="166"/>
        <v>695</v>
      </c>
      <c r="T978" s="76">
        <f>0</f>
        <v>0</v>
      </c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</row>
    <row r="979" spans="1:30" ht="15.75" x14ac:dyDescent="0.25">
      <c r="A979" s="32">
        <v>70737</v>
      </c>
      <c r="B979" s="88">
        <f t="shared" si="156"/>
        <v>31</v>
      </c>
      <c r="C979" s="76">
        <f>194.205</f>
        <v>194.20500000000001</v>
      </c>
      <c r="D979" s="76">
        <f>267.466</f>
        <v>267.46600000000001</v>
      </c>
      <c r="E979" s="85">
        <f>133.845</f>
        <v>133.845</v>
      </c>
      <c r="F979" s="76">
        <f>278.484-40-25-60-100</f>
        <v>53.48399999999998</v>
      </c>
      <c r="G979" s="79">
        <v>40</v>
      </c>
      <c r="H979" s="76">
        <f t="shared" si="162"/>
        <v>185</v>
      </c>
      <c r="I979" s="76">
        <f t="shared" si="159"/>
        <v>0</v>
      </c>
      <c r="J979" s="79">
        <v>100</v>
      </c>
      <c r="K979" s="79">
        <v>300</v>
      </c>
      <c r="L979" s="76">
        <f t="shared" si="163"/>
        <v>1274</v>
      </c>
      <c r="M979" s="87">
        <v>600</v>
      </c>
      <c r="N979" s="76">
        <f>30</f>
        <v>30</v>
      </c>
      <c r="O979" s="79">
        <v>240</v>
      </c>
      <c r="P979" s="79">
        <v>40</v>
      </c>
      <c r="Q979" s="79">
        <f t="shared" si="164"/>
        <v>315</v>
      </c>
      <c r="R979" s="79">
        <f t="shared" si="165"/>
        <v>100</v>
      </c>
      <c r="S979" s="76">
        <f t="shared" si="166"/>
        <v>695</v>
      </c>
      <c r="T979" s="76">
        <f>0</f>
        <v>0</v>
      </c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</row>
    <row r="980" spans="1:30" ht="15.75" x14ac:dyDescent="0.25">
      <c r="A980" s="32">
        <v>70767</v>
      </c>
      <c r="B980" s="88">
        <f t="shared" si="156"/>
        <v>30</v>
      </c>
      <c r="C980" s="76">
        <f>194.205</f>
        <v>194.20500000000001</v>
      </c>
      <c r="D980" s="76">
        <f>267.466</f>
        <v>267.46600000000001</v>
      </c>
      <c r="E980" s="85">
        <f>133.845</f>
        <v>133.845</v>
      </c>
      <c r="F980" s="76">
        <f>278.484-40-25-60-100</f>
        <v>53.48399999999998</v>
      </c>
      <c r="G980" s="79">
        <v>40</v>
      </c>
      <c r="H980" s="76">
        <f t="shared" si="162"/>
        <v>185</v>
      </c>
      <c r="I980" s="76">
        <f t="shared" si="159"/>
        <v>0</v>
      </c>
      <c r="J980" s="79">
        <v>100</v>
      </c>
      <c r="K980" s="79">
        <v>300</v>
      </c>
      <c r="L980" s="76">
        <f t="shared" si="163"/>
        <v>1274</v>
      </c>
      <c r="M980" s="87">
        <v>600</v>
      </c>
      <c r="N980" s="76">
        <f>30</f>
        <v>30</v>
      </c>
      <c r="O980" s="79">
        <v>240</v>
      </c>
      <c r="P980" s="79">
        <v>40</v>
      </c>
      <c r="Q980" s="79">
        <f t="shared" si="164"/>
        <v>315</v>
      </c>
      <c r="R980" s="79">
        <f t="shared" si="165"/>
        <v>100</v>
      </c>
      <c r="S980" s="76">
        <f t="shared" si="166"/>
        <v>695</v>
      </c>
      <c r="T980" s="76">
        <f>0</f>
        <v>0</v>
      </c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</row>
    <row r="981" spans="1:30" ht="15.75" x14ac:dyDescent="0.25">
      <c r="A981" s="32">
        <v>70798</v>
      </c>
      <c r="B981" s="88">
        <f t="shared" si="156"/>
        <v>31</v>
      </c>
      <c r="C981" s="76">
        <f>131.881</f>
        <v>131.881</v>
      </c>
      <c r="D981" s="76">
        <f>277.167</f>
        <v>277.16699999999997</v>
      </c>
      <c r="E981" s="85">
        <f>79.08</f>
        <v>79.08</v>
      </c>
      <c r="F981" s="76">
        <f>350.872-40-25-60-100</f>
        <v>125.87200000000001</v>
      </c>
      <c r="G981" s="79">
        <v>40</v>
      </c>
      <c r="H981" s="76">
        <f t="shared" si="162"/>
        <v>185</v>
      </c>
      <c r="I981" s="76">
        <f t="shared" si="159"/>
        <v>0</v>
      </c>
      <c r="J981" s="79">
        <v>100</v>
      </c>
      <c r="K981" s="79">
        <v>300</v>
      </c>
      <c r="L981" s="76">
        <f t="shared" si="163"/>
        <v>1239</v>
      </c>
      <c r="M981" s="87">
        <v>600</v>
      </c>
      <c r="N981" s="76">
        <f>75</f>
        <v>75</v>
      </c>
      <c r="O981" s="79">
        <v>240</v>
      </c>
      <c r="P981" s="79">
        <v>40</v>
      </c>
      <c r="Q981" s="79">
        <f t="shared" si="164"/>
        <v>315</v>
      </c>
      <c r="R981" s="79">
        <f t="shared" si="165"/>
        <v>100</v>
      </c>
      <c r="S981" s="76">
        <f t="shared" si="166"/>
        <v>695</v>
      </c>
      <c r="T981" s="76">
        <f>0</f>
        <v>0</v>
      </c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</row>
    <row r="982" spans="1:30" ht="15.75" x14ac:dyDescent="0.25">
      <c r="A982" s="32">
        <v>70828</v>
      </c>
      <c r="B982" s="88">
        <f t="shared" si="156"/>
        <v>30</v>
      </c>
      <c r="C982" s="76">
        <f>122.58</f>
        <v>122.58</v>
      </c>
      <c r="D982" s="76">
        <f>297.941</f>
        <v>297.94099999999997</v>
      </c>
      <c r="E982" s="85">
        <f>89.177</f>
        <v>89.177000000000007</v>
      </c>
      <c r="F982" s="76">
        <f>240.302-40-60-100</f>
        <v>40.301999999999992</v>
      </c>
      <c r="G982" s="79">
        <v>40</v>
      </c>
      <c r="H982" s="76">
        <f>60+100</f>
        <v>160</v>
      </c>
      <c r="I982" s="76">
        <f t="shared" si="159"/>
        <v>0</v>
      </c>
      <c r="J982" s="79">
        <v>100</v>
      </c>
      <c r="K982" s="79">
        <v>300</v>
      </c>
      <c r="L982" s="76">
        <f t="shared" si="163"/>
        <v>1150</v>
      </c>
      <c r="M982" s="87">
        <v>600</v>
      </c>
      <c r="N982" s="76">
        <f>100</f>
        <v>100</v>
      </c>
      <c r="O982" s="79">
        <v>240</v>
      </c>
      <c r="P982" s="79">
        <v>40</v>
      </c>
      <c r="Q982" s="79">
        <f t="shared" si="164"/>
        <v>315</v>
      </c>
      <c r="R982" s="79">
        <f t="shared" si="165"/>
        <v>100</v>
      </c>
      <c r="S982" s="76">
        <f t="shared" si="166"/>
        <v>695</v>
      </c>
      <c r="T982" s="76">
        <f>50</f>
        <v>50</v>
      </c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</row>
    <row r="983" spans="1:30" ht="15.75" x14ac:dyDescent="0.25">
      <c r="A983" s="32">
        <v>70859</v>
      </c>
      <c r="B983" s="88">
        <f t="shared" si="156"/>
        <v>31</v>
      </c>
      <c r="C983" s="76">
        <f>122.58</f>
        <v>122.58</v>
      </c>
      <c r="D983" s="76">
        <f>297.941</f>
        <v>297.94099999999997</v>
      </c>
      <c r="E983" s="85">
        <f>89.177</f>
        <v>89.177000000000007</v>
      </c>
      <c r="F983" s="76">
        <f>240.302-40-60-100</f>
        <v>40.301999999999992</v>
      </c>
      <c r="G983" s="79">
        <v>40</v>
      </c>
      <c r="H983" s="76">
        <f>60+100</f>
        <v>160</v>
      </c>
      <c r="I983" s="76">
        <f t="shared" si="159"/>
        <v>0</v>
      </c>
      <c r="J983" s="79">
        <v>100</v>
      </c>
      <c r="K983" s="79">
        <v>300</v>
      </c>
      <c r="L983" s="76">
        <f t="shared" si="163"/>
        <v>1150</v>
      </c>
      <c r="M983" s="87">
        <v>600</v>
      </c>
      <c r="N983" s="76">
        <f>100</f>
        <v>100</v>
      </c>
      <c r="O983" s="79">
        <v>240</v>
      </c>
      <c r="P983" s="79">
        <v>40</v>
      </c>
      <c r="Q983" s="79">
        <f t="shared" si="164"/>
        <v>315</v>
      </c>
      <c r="R983" s="79">
        <f t="shared" si="165"/>
        <v>100</v>
      </c>
      <c r="S983" s="76">
        <f t="shared" si="166"/>
        <v>695</v>
      </c>
      <c r="T983" s="76">
        <f>50</f>
        <v>50</v>
      </c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</row>
    <row r="984" spans="1:30" ht="15.75" x14ac:dyDescent="0.25">
      <c r="A984" s="32">
        <v>70890</v>
      </c>
      <c r="B984" s="88">
        <f t="shared" ref="B984:B1047" si="167">EOMONTH(A984,0)-EOMONTH(A984,-1)</f>
        <v>31</v>
      </c>
      <c r="C984" s="76">
        <f>122.58</f>
        <v>122.58</v>
      </c>
      <c r="D984" s="76">
        <f>297.941</f>
        <v>297.94099999999997</v>
      </c>
      <c r="E984" s="85">
        <f>89.177</f>
        <v>89.177000000000007</v>
      </c>
      <c r="F984" s="76">
        <f>240.302-40-60-100</f>
        <v>40.301999999999992</v>
      </c>
      <c r="G984" s="79">
        <v>40</v>
      </c>
      <c r="H984" s="76">
        <f>60+100</f>
        <v>160</v>
      </c>
      <c r="I984" s="76">
        <f t="shared" si="159"/>
        <v>0</v>
      </c>
      <c r="J984" s="79">
        <v>100</v>
      </c>
      <c r="K984" s="79">
        <v>300</v>
      </c>
      <c r="L984" s="76">
        <f t="shared" si="163"/>
        <v>1150</v>
      </c>
      <c r="M984" s="87">
        <v>600</v>
      </c>
      <c r="N984" s="76">
        <f>100</f>
        <v>100</v>
      </c>
      <c r="O984" s="79">
        <v>240</v>
      </c>
      <c r="P984" s="79">
        <v>40</v>
      </c>
      <c r="Q984" s="79">
        <f t="shared" si="164"/>
        <v>315</v>
      </c>
      <c r="R984" s="79">
        <f t="shared" si="165"/>
        <v>100</v>
      </c>
      <c r="S984" s="76">
        <f t="shared" si="166"/>
        <v>695</v>
      </c>
      <c r="T984" s="76">
        <f>50</f>
        <v>50</v>
      </c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</row>
    <row r="985" spans="1:30" ht="15.75" x14ac:dyDescent="0.25">
      <c r="A985" s="32">
        <v>70918</v>
      </c>
      <c r="B985" s="88">
        <f t="shared" si="167"/>
        <v>28</v>
      </c>
      <c r="C985" s="76">
        <f>122.58</f>
        <v>122.58</v>
      </c>
      <c r="D985" s="76">
        <f>297.941</f>
        <v>297.94099999999997</v>
      </c>
      <c r="E985" s="85">
        <f>89.177</f>
        <v>89.177000000000007</v>
      </c>
      <c r="F985" s="76">
        <f>240.302-40-60-100</f>
        <v>40.301999999999992</v>
      </c>
      <c r="G985" s="79">
        <v>40</v>
      </c>
      <c r="H985" s="76">
        <f>60+100</f>
        <v>160</v>
      </c>
      <c r="I985" s="76">
        <f t="shared" si="159"/>
        <v>0</v>
      </c>
      <c r="J985" s="79">
        <v>100</v>
      </c>
      <c r="K985" s="79">
        <v>300</v>
      </c>
      <c r="L985" s="76">
        <f t="shared" si="163"/>
        <v>1150</v>
      </c>
      <c r="M985" s="87">
        <v>600</v>
      </c>
      <c r="N985" s="76">
        <f>100</f>
        <v>100</v>
      </c>
      <c r="O985" s="79">
        <v>240</v>
      </c>
      <c r="P985" s="79">
        <v>40</v>
      </c>
      <c r="Q985" s="79">
        <f t="shared" si="164"/>
        <v>315</v>
      </c>
      <c r="R985" s="79">
        <f t="shared" si="165"/>
        <v>100</v>
      </c>
      <c r="S985" s="76">
        <f t="shared" si="166"/>
        <v>695</v>
      </c>
      <c r="T985" s="76">
        <f>50</f>
        <v>50</v>
      </c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</row>
    <row r="986" spans="1:30" ht="15.75" x14ac:dyDescent="0.25">
      <c r="A986" s="32">
        <v>70949</v>
      </c>
      <c r="B986" s="88">
        <f t="shared" si="167"/>
        <v>31</v>
      </c>
      <c r="C986" s="76">
        <f>122.58</f>
        <v>122.58</v>
      </c>
      <c r="D986" s="76">
        <f>297.941</f>
        <v>297.94099999999997</v>
      </c>
      <c r="E986" s="85">
        <f>89.177</f>
        <v>89.177000000000007</v>
      </c>
      <c r="F986" s="76">
        <f>240.302-40-60-100</f>
        <v>40.301999999999992</v>
      </c>
      <c r="G986" s="79">
        <v>40</v>
      </c>
      <c r="H986" s="76">
        <f>60+100</f>
        <v>160</v>
      </c>
      <c r="I986" s="76">
        <f t="shared" si="159"/>
        <v>0</v>
      </c>
      <c r="J986" s="79">
        <v>100</v>
      </c>
      <c r="K986" s="79">
        <v>300</v>
      </c>
      <c r="L986" s="76">
        <f t="shared" si="163"/>
        <v>1150</v>
      </c>
      <c r="M986" s="87">
        <v>600</v>
      </c>
      <c r="N986" s="76">
        <f>100</f>
        <v>100</v>
      </c>
      <c r="O986" s="79">
        <v>240</v>
      </c>
      <c r="P986" s="79">
        <v>40</v>
      </c>
      <c r="Q986" s="79">
        <f t="shared" si="164"/>
        <v>315</v>
      </c>
      <c r="R986" s="79">
        <f t="shared" si="165"/>
        <v>100</v>
      </c>
      <c r="S986" s="76">
        <f t="shared" si="166"/>
        <v>695</v>
      </c>
      <c r="T986" s="76">
        <f>50</f>
        <v>50</v>
      </c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</row>
    <row r="987" spans="1:30" ht="15.75" x14ac:dyDescent="0.25">
      <c r="A987" s="32">
        <v>70979</v>
      </c>
      <c r="B987" s="88">
        <f t="shared" si="167"/>
        <v>30</v>
      </c>
      <c r="C987" s="76">
        <f>141.293</f>
        <v>141.29300000000001</v>
      </c>
      <c r="D987" s="76">
        <f>267.993</f>
        <v>267.99299999999999</v>
      </c>
      <c r="E987" s="85">
        <f>115.016</f>
        <v>115.01600000000001</v>
      </c>
      <c r="F987" s="76">
        <f>314.698-40-25-60-100</f>
        <v>89.697999999999979</v>
      </c>
      <c r="G987" s="79">
        <v>40</v>
      </c>
      <c r="H987" s="76">
        <f t="shared" ref="H987:H993" si="168">25+60+100</f>
        <v>185</v>
      </c>
      <c r="I987" s="76">
        <f t="shared" si="159"/>
        <v>0</v>
      </c>
      <c r="J987" s="79">
        <v>100</v>
      </c>
      <c r="K987" s="79">
        <v>300</v>
      </c>
      <c r="L987" s="76">
        <f t="shared" si="163"/>
        <v>1239</v>
      </c>
      <c r="M987" s="87">
        <v>600</v>
      </c>
      <c r="N987" s="76">
        <f>100</f>
        <v>100</v>
      </c>
      <c r="O987" s="79">
        <v>240</v>
      </c>
      <c r="P987" s="79">
        <v>40</v>
      </c>
      <c r="Q987" s="79">
        <f t="shared" si="164"/>
        <v>315</v>
      </c>
      <c r="R987" s="79">
        <f t="shared" si="165"/>
        <v>100</v>
      </c>
      <c r="S987" s="76">
        <f t="shared" si="166"/>
        <v>695</v>
      </c>
      <c r="T987" s="76">
        <f>50</f>
        <v>50</v>
      </c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</row>
    <row r="988" spans="1:30" ht="15.75" x14ac:dyDescent="0.25">
      <c r="A988" s="32">
        <v>71010</v>
      </c>
      <c r="B988" s="88">
        <f t="shared" si="167"/>
        <v>31</v>
      </c>
      <c r="C988" s="76">
        <f>194.205</f>
        <v>194.20500000000001</v>
      </c>
      <c r="D988" s="76">
        <f>267.466</f>
        <v>267.46600000000001</v>
      </c>
      <c r="E988" s="85">
        <f>133.845</f>
        <v>133.845</v>
      </c>
      <c r="F988" s="76">
        <f>278.484-40-25-60-100</f>
        <v>53.48399999999998</v>
      </c>
      <c r="G988" s="79">
        <v>40</v>
      </c>
      <c r="H988" s="76">
        <f t="shared" si="168"/>
        <v>185</v>
      </c>
      <c r="I988" s="76">
        <f t="shared" si="159"/>
        <v>0</v>
      </c>
      <c r="J988" s="79">
        <v>100</v>
      </c>
      <c r="K988" s="79">
        <v>300</v>
      </c>
      <c r="L988" s="76">
        <f t="shared" si="163"/>
        <v>1274</v>
      </c>
      <c r="M988" s="87">
        <v>600</v>
      </c>
      <c r="N988" s="76">
        <f>75</f>
        <v>75</v>
      </c>
      <c r="O988" s="79">
        <v>240</v>
      </c>
      <c r="P988" s="79">
        <v>40</v>
      </c>
      <c r="Q988" s="79">
        <f t="shared" si="164"/>
        <v>315</v>
      </c>
      <c r="R988" s="79">
        <f t="shared" si="165"/>
        <v>100</v>
      </c>
      <c r="S988" s="76">
        <f t="shared" si="166"/>
        <v>695</v>
      </c>
      <c r="T988" s="76">
        <f>50</f>
        <v>50</v>
      </c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</row>
    <row r="989" spans="1:30" ht="15.75" x14ac:dyDescent="0.25">
      <c r="A989" s="32">
        <v>71040</v>
      </c>
      <c r="B989" s="88">
        <f t="shared" si="167"/>
        <v>30</v>
      </c>
      <c r="C989" s="76">
        <f>194.205</f>
        <v>194.20500000000001</v>
      </c>
      <c r="D989" s="76">
        <f>267.466</f>
        <v>267.46600000000001</v>
      </c>
      <c r="E989" s="85">
        <f>133.845</f>
        <v>133.845</v>
      </c>
      <c r="F989" s="76">
        <f>278.484-40-25-60-100</f>
        <v>53.48399999999998</v>
      </c>
      <c r="G989" s="79">
        <v>40</v>
      </c>
      <c r="H989" s="76">
        <f t="shared" si="168"/>
        <v>185</v>
      </c>
      <c r="I989" s="76">
        <f t="shared" si="159"/>
        <v>0</v>
      </c>
      <c r="J989" s="79">
        <v>100</v>
      </c>
      <c r="K989" s="79">
        <v>300</v>
      </c>
      <c r="L989" s="76">
        <f t="shared" si="163"/>
        <v>1274</v>
      </c>
      <c r="M989" s="87">
        <v>600</v>
      </c>
      <c r="N989" s="76">
        <f>30</f>
        <v>30</v>
      </c>
      <c r="O989" s="79">
        <v>240</v>
      </c>
      <c r="P989" s="79">
        <v>40</v>
      </c>
      <c r="Q989" s="79">
        <f t="shared" si="164"/>
        <v>315</v>
      </c>
      <c r="R989" s="79">
        <f t="shared" si="165"/>
        <v>100</v>
      </c>
      <c r="S989" s="76">
        <f t="shared" si="166"/>
        <v>695</v>
      </c>
      <c r="T989" s="76">
        <f>50</f>
        <v>50</v>
      </c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</row>
    <row r="990" spans="1:30" ht="15.75" x14ac:dyDescent="0.25">
      <c r="A990" s="32">
        <v>71071</v>
      </c>
      <c r="B990" s="88">
        <f t="shared" si="167"/>
        <v>31</v>
      </c>
      <c r="C990" s="76">
        <f>194.205</f>
        <v>194.20500000000001</v>
      </c>
      <c r="D990" s="76">
        <f>267.466</f>
        <v>267.46600000000001</v>
      </c>
      <c r="E990" s="85">
        <f>133.845</f>
        <v>133.845</v>
      </c>
      <c r="F990" s="76">
        <f>278.484-40-25-60-100</f>
        <v>53.48399999999998</v>
      </c>
      <c r="G990" s="79">
        <v>40</v>
      </c>
      <c r="H990" s="76">
        <f t="shared" si="168"/>
        <v>185</v>
      </c>
      <c r="I990" s="76">
        <f t="shared" si="159"/>
        <v>0</v>
      </c>
      <c r="J990" s="79">
        <v>100</v>
      </c>
      <c r="K990" s="79">
        <v>300</v>
      </c>
      <c r="L990" s="76">
        <f t="shared" si="163"/>
        <v>1274</v>
      </c>
      <c r="M990" s="87">
        <v>600</v>
      </c>
      <c r="N990" s="76">
        <f>30</f>
        <v>30</v>
      </c>
      <c r="O990" s="79">
        <v>240</v>
      </c>
      <c r="P990" s="79">
        <v>40</v>
      </c>
      <c r="Q990" s="79">
        <f t="shared" si="164"/>
        <v>315</v>
      </c>
      <c r="R990" s="79">
        <f t="shared" si="165"/>
        <v>100</v>
      </c>
      <c r="S990" s="76">
        <f t="shared" si="166"/>
        <v>695</v>
      </c>
      <c r="T990" s="76">
        <f>0</f>
        <v>0</v>
      </c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</row>
    <row r="991" spans="1:30" ht="15.75" x14ac:dyDescent="0.25">
      <c r="A991" s="32">
        <v>71102</v>
      </c>
      <c r="B991" s="88">
        <f t="shared" si="167"/>
        <v>31</v>
      </c>
      <c r="C991" s="76">
        <f>194.205</f>
        <v>194.20500000000001</v>
      </c>
      <c r="D991" s="76">
        <f>267.466</f>
        <v>267.46600000000001</v>
      </c>
      <c r="E991" s="85">
        <f>133.845</f>
        <v>133.845</v>
      </c>
      <c r="F991" s="76">
        <f>278.484-40-25-60-100</f>
        <v>53.48399999999998</v>
      </c>
      <c r="G991" s="79">
        <v>40</v>
      </c>
      <c r="H991" s="76">
        <f t="shared" si="168"/>
        <v>185</v>
      </c>
      <c r="I991" s="76">
        <f t="shared" si="159"/>
        <v>0</v>
      </c>
      <c r="J991" s="79">
        <v>100</v>
      </c>
      <c r="K991" s="79">
        <v>300</v>
      </c>
      <c r="L991" s="76">
        <f t="shared" si="163"/>
        <v>1274</v>
      </c>
      <c r="M991" s="87">
        <v>600</v>
      </c>
      <c r="N991" s="76">
        <f>30</f>
        <v>30</v>
      </c>
      <c r="O991" s="79">
        <v>240</v>
      </c>
      <c r="P991" s="79">
        <v>40</v>
      </c>
      <c r="Q991" s="79">
        <f t="shared" si="164"/>
        <v>315</v>
      </c>
      <c r="R991" s="79">
        <f t="shared" si="165"/>
        <v>100</v>
      </c>
      <c r="S991" s="76">
        <f t="shared" si="166"/>
        <v>695</v>
      </c>
      <c r="T991" s="76">
        <f>0</f>
        <v>0</v>
      </c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</row>
    <row r="992" spans="1:30" ht="15.75" x14ac:dyDescent="0.25">
      <c r="A992" s="32">
        <v>71132</v>
      </c>
      <c r="B992" s="88">
        <f t="shared" si="167"/>
        <v>30</v>
      </c>
      <c r="C992" s="76">
        <f>194.205</f>
        <v>194.20500000000001</v>
      </c>
      <c r="D992" s="76">
        <f>267.466</f>
        <v>267.46600000000001</v>
      </c>
      <c r="E992" s="85">
        <f>133.845</f>
        <v>133.845</v>
      </c>
      <c r="F992" s="76">
        <f>278.484-40-25-60-100</f>
        <v>53.48399999999998</v>
      </c>
      <c r="G992" s="79">
        <v>40</v>
      </c>
      <c r="H992" s="76">
        <f t="shared" si="168"/>
        <v>185</v>
      </c>
      <c r="I992" s="76">
        <f t="shared" si="159"/>
        <v>0</v>
      </c>
      <c r="J992" s="79">
        <v>100</v>
      </c>
      <c r="K992" s="79">
        <v>300</v>
      </c>
      <c r="L992" s="76">
        <f t="shared" si="163"/>
        <v>1274</v>
      </c>
      <c r="M992" s="87">
        <v>600</v>
      </c>
      <c r="N992" s="76">
        <f>30</f>
        <v>30</v>
      </c>
      <c r="O992" s="79">
        <v>240</v>
      </c>
      <c r="P992" s="79">
        <v>40</v>
      </c>
      <c r="Q992" s="79">
        <f t="shared" si="164"/>
        <v>315</v>
      </c>
      <c r="R992" s="79">
        <f t="shared" si="165"/>
        <v>100</v>
      </c>
      <c r="S992" s="76">
        <f t="shared" si="166"/>
        <v>695</v>
      </c>
      <c r="T992" s="76">
        <f>0</f>
        <v>0</v>
      </c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</row>
    <row r="993" spans="1:30" ht="15.75" x14ac:dyDescent="0.25">
      <c r="A993" s="32">
        <v>71163</v>
      </c>
      <c r="B993" s="88">
        <f t="shared" si="167"/>
        <v>31</v>
      </c>
      <c r="C993" s="76">
        <f>131.881</f>
        <v>131.881</v>
      </c>
      <c r="D993" s="76">
        <f>277.167</f>
        <v>277.16699999999997</v>
      </c>
      <c r="E993" s="85">
        <f>79.08</f>
        <v>79.08</v>
      </c>
      <c r="F993" s="76">
        <f>350.872-40-25-60-100</f>
        <v>125.87200000000001</v>
      </c>
      <c r="G993" s="79">
        <v>40</v>
      </c>
      <c r="H993" s="76">
        <f t="shared" si="168"/>
        <v>185</v>
      </c>
      <c r="I993" s="76">
        <f t="shared" si="159"/>
        <v>0</v>
      </c>
      <c r="J993" s="79">
        <v>100</v>
      </c>
      <c r="K993" s="79">
        <v>300</v>
      </c>
      <c r="L993" s="76">
        <f t="shared" si="163"/>
        <v>1239</v>
      </c>
      <c r="M993" s="87">
        <v>600</v>
      </c>
      <c r="N993" s="76">
        <f>75</f>
        <v>75</v>
      </c>
      <c r="O993" s="79">
        <v>240</v>
      </c>
      <c r="P993" s="79">
        <v>40</v>
      </c>
      <c r="Q993" s="79">
        <f t="shared" si="164"/>
        <v>315</v>
      </c>
      <c r="R993" s="79">
        <f t="shared" si="165"/>
        <v>100</v>
      </c>
      <c r="S993" s="76">
        <f t="shared" si="166"/>
        <v>695</v>
      </c>
      <c r="T993" s="76">
        <f>0</f>
        <v>0</v>
      </c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</row>
    <row r="994" spans="1:30" ht="15.75" x14ac:dyDescent="0.25">
      <c r="A994" s="32">
        <v>71193</v>
      </c>
      <c r="B994" s="88">
        <f t="shared" si="167"/>
        <v>30</v>
      </c>
      <c r="C994" s="76">
        <f>122.58</f>
        <v>122.58</v>
      </c>
      <c r="D994" s="76">
        <f>297.941</f>
        <v>297.94099999999997</v>
      </c>
      <c r="E994" s="85">
        <f>89.177</f>
        <v>89.177000000000007</v>
      </c>
      <c r="F994" s="76">
        <f>240.302-40-60-100</f>
        <v>40.301999999999992</v>
      </c>
      <c r="G994" s="79">
        <v>40</v>
      </c>
      <c r="H994" s="76">
        <f>60+100</f>
        <v>160</v>
      </c>
      <c r="I994" s="76">
        <f t="shared" si="159"/>
        <v>0</v>
      </c>
      <c r="J994" s="79">
        <v>100</v>
      </c>
      <c r="K994" s="79">
        <v>300</v>
      </c>
      <c r="L994" s="76">
        <f t="shared" si="163"/>
        <v>1150</v>
      </c>
      <c r="M994" s="87">
        <v>600</v>
      </c>
      <c r="N994" s="76">
        <f>100</f>
        <v>100</v>
      </c>
      <c r="O994" s="79">
        <v>240</v>
      </c>
      <c r="P994" s="79">
        <v>40</v>
      </c>
      <c r="Q994" s="79">
        <f t="shared" si="164"/>
        <v>315</v>
      </c>
      <c r="R994" s="79">
        <f t="shared" si="165"/>
        <v>100</v>
      </c>
      <c r="S994" s="76">
        <f t="shared" si="166"/>
        <v>695</v>
      </c>
      <c r="T994" s="76">
        <f>50</f>
        <v>50</v>
      </c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</row>
    <row r="995" spans="1:30" ht="15.75" x14ac:dyDescent="0.25">
      <c r="A995" s="32">
        <v>71224</v>
      </c>
      <c r="B995" s="88">
        <f t="shared" si="167"/>
        <v>31</v>
      </c>
      <c r="C995" s="76">
        <f>122.58</f>
        <v>122.58</v>
      </c>
      <c r="D995" s="76">
        <f>297.941</f>
        <v>297.94099999999997</v>
      </c>
      <c r="E995" s="85">
        <f>89.177</f>
        <v>89.177000000000007</v>
      </c>
      <c r="F995" s="76">
        <f>240.302-40-60-100</f>
        <v>40.301999999999992</v>
      </c>
      <c r="G995" s="79">
        <v>40</v>
      </c>
      <c r="H995" s="76">
        <f>60+100</f>
        <v>160</v>
      </c>
      <c r="I995" s="76">
        <f t="shared" si="159"/>
        <v>0</v>
      </c>
      <c r="J995" s="79">
        <v>100</v>
      </c>
      <c r="K995" s="79">
        <v>300</v>
      </c>
      <c r="L995" s="76">
        <f t="shared" si="163"/>
        <v>1150</v>
      </c>
      <c r="M995" s="87">
        <v>600</v>
      </c>
      <c r="N995" s="76">
        <f>100</f>
        <v>100</v>
      </c>
      <c r="O995" s="79">
        <v>240</v>
      </c>
      <c r="P995" s="79">
        <v>40</v>
      </c>
      <c r="Q995" s="79">
        <f t="shared" si="164"/>
        <v>315</v>
      </c>
      <c r="R995" s="79">
        <f t="shared" si="165"/>
        <v>100</v>
      </c>
      <c r="S995" s="76">
        <f t="shared" si="166"/>
        <v>695</v>
      </c>
      <c r="T995" s="76">
        <f>50</f>
        <v>50</v>
      </c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</row>
    <row r="996" spans="1:30" ht="15.75" x14ac:dyDescent="0.25">
      <c r="A996" s="32">
        <v>71255</v>
      </c>
      <c r="B996" s="88">
        <f t="shared" si="167"/>
        <v>31</v>
      </c>
      <c r="C996" s="76">
        <f>122.58</f>
        <v>122.58</v>
      </c>
      <c r="D996" s="76">
        <f>297.941</f>
        <v>297.94099999999997</v>
      </c>
      <c r="E996" s="85">
        <f>89.177</f>
        <v>89.177000000000007</v>
      </c>
      <c r="F996" s="76">
        <f>240.302-40-60-100</f>
        <v>40.301999999999992</v>
      </c>
      <c r="G996" s="79">
        <v>40</v>
      </c>
      <c r="H996" s="76">
        <f>60+100</f>
        <v>160</v>
      </c>
      <c r="I996" s="76">
        <f t="shared" si="159"/>
        <v>0</v>
      </c>
      <c r="J996" s="79">
        <v>100</v>
      </c>
      <c r="K996" s="79">
        <v>300</v>
      </c>
      <c r="L996" s="76">
        <f t="shared" si="163"/>
        <v>1150</v>
      </c>
      <c r="M996" s="87">
        <v>600</v>
      </c>
      <c r="N996" s="76">
        <f>100</f>
        <v>100</v>
      </c>
      <c r="O996" s="79">
        <v>240</v>
      </c>
      <c r="P996" s="79">
        <v>40</v>
      </c>
      <c r="Q996" s="79">
        <f t="shared" si="164"/>
        <v>315</v>
      </c>
      <c r="R996" s="79">
        <f t="shared" si="165"/>
        <v>100</v>
      </c>
      <c r="S996" s="76">
        <f t="shared" si="166"/>
        <v>695</v>
      </c>
      <c r="T996" s="76">
        <f>50</f>
        <v>50</v>
      </c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</row>
    <row r="997" spans="1:30" ht="15.75" x14ac:dyDescent="0.25">
      <c r="A997" s="32">
        <v>71283</v>
      </c>
      <c r="B997" s="88">
        <f t="shared" si="167"/>
        <v>28</v>
      </c>
      <c r="C997" s="76">
        <f>122.58</f>
        <v>122.58</v>
      </c>
      <c r="D997" s="76">
        <f>297.941</f>
        <v>297.94099999999997</v>
      </c>
      <c r="E997" s="85">
        <f>89.177</f>
        <v>89.177000000000007</v>
      </c>
      <c r="F997" s="76">
        <f>240.302-40-60-100</f>
        <v>40.301999999999992</v>
      </c>
      <c r="G997" s="79">
        <v>40</v>
      </c>
      <c r="H997" s="76">
        <f>60+100</f>
        <v>160</v>
      </c>
      <c r="I997" s="76">
        <f t="shared" si="159"/>
        <v>0</v>
      </c>
      <c r="J997" s="79">
        <v>100</v>
      </c>
      <c r="K997" s="79">
        <v>300</v>
      </c>
      <c r="L997" s="76">
        <f t="shared" si="163"/>
        <v>1150</v>
      </c>
      <c r="M997" s="87">
        <v>600</v>
      </c>
      <c r="N997" s="76">
        <f>100</f>
        <v>100</v>
      </c>
      <c r="O997" s="79">
        <v>240</v>
      </c>
      <c r="P997" s="79">
        <v>40</v>
      </c>
      <c r="Q997" s="79">
        <f t="shared" si="164"/>
        <v>315</v>
      </c>
      <c r="R997" s="79">
        <f t="shared" si="165"/>
        <v>100</v>
      </c>
      <c r="S997" s="76">
        <f t="shared" si="166"/>
        <v>695</v>
      </c>
      <c r="T997" s="76">
        <f>50</f>
        <v>50</v>
      </c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</row>
    <row r="998" spans="1:30" ht="15.75" x14ac:dyDescent="0.25">
      <c r="A998" s="32">
        <v>71314</v>
      </c>
      <c r="B998" s="88">
        <f t="shared" si="167"/>
        <v>31</v>
      </c>
      <c r="C998" s="76">
        <f>122.58</f>
        <v>122.58</v>
      </c>
      <c r="D998" s="76">
        <f>297.941</f>
        <v>297.94099999999997</v>
      </c>
      <c r="E998" s="85">
        <f>89.177</f>
        <v>89.177000000000007</v>
      </c>
      <c r="F998" s="76">
        <f>240.302-40-60-100</f>
        <v>40.301999999999992</v>
      </c>
      <c r="G998" s="79">
        <v>40</v>
      </c>
      <c r="H998" s="76">
        <f>60+100</f>
        <v>160</v>
      </c>
      <c r="I998" s="76">
        <f t="shared" si="159"/>
        <v>0</v>
      </c>
      <c r="J998" s="79">
        <v>100</v>
      </c>
      <c r="K998" s="79">
        <v>300</v>
      </c>
      <c r="L998" s="76">
        <f t="shared" si="163"/>
        <v>1150</v>
      </c>
      <c r="M998" s="87">
        <v>600</v>
      </c>
      <c r="N998" s="76">
        <f>100</f>
        <v>100</v>
      </c>
      <c r="O998" s="79">
        <v>240</v>
      </c>
      <c r="P998" s="79">
        <v>40</v>
      </c>
      <c r="Q998" s="79">
        <f t="shared" si="164"/>
        <v>315</v>
      </c>
      <c r="R998" s="79">
        <f t="shared" si="165"/>
        <v>100</v>
      </c>
      <c r="S998" s="76">
        <f t="shared" si="166"/>
        <v>695</v>
      </c>
      <c r="T998" s="76">
        <f>50</f>
        <v>50</v>
      </c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</row>
    <row r="999" spans="1:30" ht="15.75" x14ac:dyDescent="0.25">
      <c r="A999" s="32">
        <v>71344</v>
      </c>
      <c r="B999" s="88">
        <f t="shared" si="167"/>
        <v>30</v>
      </c>
      <c r="C999" s="76">
        <f>141.293</f>
        <v>141.29300000000001</v>
      </c>
      <c r="D999" s="76">
        <f>267.993</f>
        <v>267.99299999999999</v>
      </c>
      <c r="E999" s="85">
        <f>115.016</f>
        <v>115.01600000000001</v>
      </c>
      <c r="F999" s="76">
        <f>314.698-40-25-60-100</f>
        <v>89.697999999999979</v>
      </c>
      <c r="G999" s="79">
        <v>40</v>
      </c>
      <c r="H999" s="76">
        <f t="shared" ref="H999:H1005" si="169">25+60+100</f>
        <v>185</v>
      </c>
      <c r="I999" s="76">
        <f t="shared" si="159"/>
        <v>0</v>
      </c>
      <c r="J999" s="79">
        <v>100</v>
      </c>
      <c r="K999" s="79">
        <v>300</v>
      </c>
      <c r="L999" s="76">
        <f t="shared" si="163"/>
        <v>1239</v>
      </c>
      <c r="M999" s="87">
        <v>600</v>
      </c>
      <c r="N999" s="76">
        <f>100</f>
        <v>100</v>
      </c>
      <c r="O999" s="79">
        <v>240</v>
      </c>
      <c r="P999" s="79">
        <v>40</v>
      </c>
      <c r="Q999" s="79">
        <f t="shared" si="164"/>
        <v>315</v>
      </c>
      <c r="R999" s="79">
        <f t="shared" si="165"/>
        <v>100</v>
      </c>
      <c r="S999" s="76">
        <f t="shared" si="166"/>
        <v>695</v>
      </c>
      <c r="T999" s="76">
        <f>50</f>
        <v>50</v>
      </c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</row>
    <row r="1000" spans="1:30" ht="15.75" x14ac:dyDescent="0.25">
      <c r="A1000" s="32">
        <v>71375</v>
      </c>
      <c r="B1000" s="88">
        <f t="shared" si="167"/>
        <v>31</v>
      </c>
      <c r="C1000" s="76">
        <f>194.205</f>
        <v>194.20500000000001</v>
      </c>
      <c r="D1000" s="76">
        <f>267.466</f>
        <v>267.46600000000001</v>
      </c>
      <c r="E1000" s="85">
        <f>133.845</f>
        <v>133.845</v>
      </c>
      <c r="F1000" s="76">
        <f>278.484-40-25-60-100</f>
        <v>53.48399999999998</v>
      </c>
      <c r="G1000" s="79">
        <v>40</v>
      </c>
      <c r="H1000" s="76">
        <f t="shared" si="169"/>
        <v>185</v>
      </c>
      <c r="I1000" s="76">
        <f t="shared" si="159"/>
        <v>0</v>
      </c>
      <c r="J1000" s="79">
        <v>100</v>
      </c>
      <c r="K1000" s="79">
        <v>300</v>
      </c>
      <c r="L1000" s="76">
        <f t="shared" si="163"/>
        <v>1274</v>
      </c>
      <c r="M1000" s="87">
        <v>600</v>
      </c>
      <c r="N1000" s="76">
        <f>75</f>
        <v>75</v>
      </c>
      <c r="O1000" s="79">
        <v>240</v>
      </c>
      <c r="P1000" s="79">
        <v>40</v>
      </c>
      <c r="Q1000" s="79">
        <f t="shared" si="164"/>
        <v>315</v>
      </c>
      <c r="R1000" s="79">
        <f t="shared" si="165"/>
        <v>100</v>
      </c>
      <c r="S1000" s="76">
        <f t="shared" si="166"/>
        <v>695</v>
      </c>
      <c r="T1000" s="76">
        <f>50</f>
        <v>50</v>
      </c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</row>
    <row r="1001" spans="1:30" ht="15.75" x14ac:dyDescent="0.25">
      <c r="A1001" s="32">
        <v>71405</v>
      </c>
      <c r="B1001" s="88">
        <f t="shared" si="167"/>
        <v>30</v>
      </c>
      <c r="C1001" s="76">
        <f>194.205</f>
        <v>194.20500000000001</v>
      </c>
      <c r="D1001" s="76">
        <f>267.466</f>
        <v>267.46600000000001</v>
      </c>
      <c r="E1001" s="85">
        <f>133.845</f>
        <v>133.845</v>
      </c>
      <c r="F1001" s="76">
        <f>278.484-40-25-60-100</f>
        <v>53.48399999999998</v>
      </c>
      <c r="G1001" s="79">
        <v>40</v>
      </c>
      <c r="H1001" s="76">
        <f t="shared" si="169"/>
        <v>185</v>
      </c>
      <c r="I1001" s="76">
        <f t="shared" si="159"/>
        <v>0</v>
      </c>
      <c r="J1001" s="79">
        <v>100</v>
      </c>
      <c r="K1001" s="79">
        <v>300</v>
      </c>
      <c r="L1001" s="76">
        <f t="shared" si="163"/>
        <v>1274</v>
      </c>
      <c r="M1001" s="87">
        <v>600</v>
      </c>
      <c r="N1001" s="76">
        <f>30</f>
        <v>30</v>
      </c>
      <c r="O1001" s="79">
        <v>240</v>
      </c>
      <c r="P1001" s="79">
        <v>40</v>
      </c>
      <c r="Q1001" s="79">
        <f t="shared" si="164"/>
        <v>315</v>
      </c>
      <c r="R1001" s="79">
        <f t="shared" si="165"/>
        <v>100</v>
      </c>
      <c r="S1001" s="76">
        <f t="shared" si="166"/>
        <v>695</v>
      </c>
      <c r="T1001" s="76">
        <f>50</f>
        <v>50</v>
      </c>
      <c r="U1001" s="77"/>
      <c r="V1001" s="77"/>
      <c r="W1001" s="77"/>
      <c r="X1001" s="77"/>
      <c r="Y1001" s="77"/>
      <c r="Z1001" s="77"/>
      <c r="AA1001" s="77"/>
      <c r="AB1001" s="77"/>
      <c r="AC1001" s="77"/>
      <c r="AD1001" s="77"/>
    </row>
    <row r="1002" spans="1:30" ht="15.75" x14ac:dyDescent="0.25">
      <c r="A1002" s="32">
        <v>71436</v>
      </c>
      <c r="B1002" s="88">
        <f t="shared" si="167"/>
        <v>31</v>
      </c>
      <c r="C1002" s="76">
        <f>194.205</f>
        <v>194.20500000000001</v>
      </c>
      <c r="D1002" s="76">
        <f>267.466</f>
        <v>267.46600000000001</v>
      </c>
      <c r="E1002" s="85">
        <f>133.845</f>
        <v>133.845</v>
      </c>
      <c r="F1002" s="76">
        <f>278.484-40-25-60-100</f>
        <v>53.48399999999998</v>
      </c>
      <c r="G1002" s="79">
        <v>40</v>
      </c>
      <c r="H1002" s="76">
        <f t="shared" si="169"/>
        <v>185</v>
      </c>
      <c r="I1002" s="76">
        <f t="shared" si="159"/>
        <v>0</v>
      </c>
      <c r="J1002" s="79">
        <v>100</v>
      </c>
      <c r="K1002" s="79">
        <v>300</v>
      </c>
      <c r="L1002" s="76">
        <f t="shared" si="163"/>
        <v>1274</v>
      </c>
      <c r="M1002" s="87">
        <v>600</v>
      </c>
      <c r="N1002" s="76">
        <f>30</f>
        <v>30</v>
      </c>
      <c r="O1002" s="79">
        <v>240</v>
      </c>
      <c r="P1002" s="79">
        <v>40</v>
      </c>
      <c r="Q1002" s="79">
        <f t="shared" si="164"/>
        <v>315</v>
      </c>
      <c r="R1002" s="79">
        <f t="shared" si="165"/>
        <v>100</v>
      </c>
      <c r="S1002" s="76">
        <f t="shared" si="166"/>
        <v>695</v>
      </c>
      <c r="T1002" s="76">
        <f>0</f>
        <v>0</v>
      </c>
      <c r="U1002" s="77"/>
      <c r="V1002" s="77"/>
      <c r="W1002" s="77"/>
      <c r="X1002" s="77"/>
      <c r="Y1002" s="77"/>
      <c r="Z1002" s="77"/>
      <c r="AA1002" s="77"/>
      <c r="AB1002" s="77"/>
      <c r="AC1002" s="77"/>
      <c r="AD1002" s="77"/>
    </row>
    <row r="1003" spans="1:30" ht="15.75" x14ac:dyDescent="0.25">
      <c r="A1003" s="32">
        <v>71467</v>
      </c>
      <c r="B1003" s="88">
        <f t="shared" si="167"/>
        <v>31</v>
      </c>
      <c r="C1003" s="76">
        <f>194.205</f>
        <v>194.20500000000001</v>
      </c>
      <c r="D1003" s="76">
        <f>267.466</f>
        <v>267.46600000000001</v>
      </c>
      <c r="E1003" s="85">
        <f>133.845</f>
        <v>133.845</v>
      </c>
      <c r="F1003" s="76">
        <f>278.484-40-25-60-100</f>
        <v>53.48399999999998</v>
      </c>
      <c r="G1003" s="79">
        <v>40</v>
      </c>
      <c r="H1003" s="76">
        <f t="shared" si="169"/>
        <v>185</v>
      </c>
      <c r="I1003" s="76">
        <f t="shared" si="159"/>
        <v>0</v>
      </c>
      <c r="J1003" s="79">
        <v>100</v>
      </c>
      <c r="K1003" s="79">
        <v>300</v>
      </c>
      <c r="L1003" s="76">
        <f t="shared" si="163"/>
        <v>1274</v>
      </c>
      <c r="M1003" s="87">
        <v>600</v>
      </c>
      <c r="N1003" s="76">
        <f>30</f>
        <v>30</v>
      </c>
      <c r="O1003" s="79">
        <v>240</v>
      </c>
      <c r="P1003" s="79">
        <v>40</v>
      </c>
      <c r="Q1003" s="79">
        <f t="shared" si="164"/>
        <v>315</v>
      </c>
      <c r="R1003" s="79">
        <f t="shared" si="165"/>
        <v>100</v>
      </c>
      <c r="S1003" s="76">
        <f t="shared" si="166"/>
        <v>695</v>
      </c>
      <c r="T1003" s="76">
        <f>0</f>
        <v>0</v>
      </c>
      <c r="U1003" s="77"/>
      <c r="V1003" s="77"/>
      <c r="W1003" s="77"/>
      <c r="X1003" s="77"/>
      <c r="Y1003" s="77"/>
      <c r="Z1003" s="77"/>
      <c r="AA1003" s="77"/>
      <c r="AB1003" s="77"/>
      <c r="AC1003" s="77"/>
      <c r="AD1003" s="77"/>
    </row>
    <row r="1004" spans="1:30" ht="15.75" x14ac:dyDescent="0.25">
      <c r="A1004" s="32">
        <v>71497</v>
      </c>
      <c r="B1004" s="88">
        <f t="shared" si="167"/>
        <v>30</v>
      </c>
      <c r="C1004" s="76">
        <f>194.205</f>
        <v>194.20500000000001</v>
      </c>
      <c r="D1004" s="76">
        <f>267.466</f>
        <v>267.46600000000001</v>
      </c>
      <c r="E1004" s="85">
        <f>133.845</f>
        <v>133.845</v>
      </c>
      <c r="F1004" s="76">
        <f>278.484-40-25-60-100</f>
        <v>53.48399999999998</v>
      </c>
      <c r="G1004" s="79">
        <v>40</v>
      </c>
      <c r="H1004" s="76">
        <f t="shared" si="169"/>
        <v>185</v>
      </c>
      <c r="I1004" s="76">
        <f t="shared" si="159"/>
        <v>0</v>
      </c>
      <c r="J1004" s="79">
        <v>100</v>
      </c>
      <c r="K1004" s="79">
        <v>300</v>
      </c>
      <c r="L1004" s="76">
        <f t="shared" si="163"/>
        <v>1274</v>
      </c>
      <c r="M1004" s="87">
        <v>600</v>
      </c>
      <c r="N1004" s="76">
        <f>30</f>
        <v>30</v>
      </c>
      <c r="O1004" s="79">
        <v>240</v>
      </c>
      <c r="P1004" s="79">
        <v>40</v>
      </c>
      <c r="Q1004" s="79">
        <f t="shared" si="164"/>
        <v>315</v>
      </c>
      <c r="R1004" s="79">
        <f t="shared" si="165"/>
        <v>100</v>
      </c>
      <c r="S1004" s="76">
        <f t="shared" si="166"/>
        <v>695</v>
      </c>
      <c r="T1004" s="76">
        <f>0</f>
        <v>0</v>
      </c>
      <c r="U1004" s="77"/>
      <c r="V1004" s="77"/>
      <c r="W1004" s="77"/>
      <c r="X1004" s="77"/>
      <c r="Y1004" s="77"/>
      <c r="Z1004" s="77"/>
      <c r="AA1004" s="77"/>
      <c r="AB1004" s="77"/>
      <c r="AC1004" s="77"/>
      <c r="AD1004" s="77"/>
    </row>
    <row r="1005" spans="1:30" ht="15.75" x14ac:dyDescent="0.25">
      <c r="A1005" s="32">
        <v>71528</v>
      </c>
      <c r="B1005" s="88">
        <f t="shared" si="167"/>
        <v>31</v>
      </c>
      <c r="C1005" s="76">
        <f>131.881</f>
        <v>131.881</v>
      </c>
      <c r="D1005" s="76">
        <f>277.167</f>
        <v>277.16699999999997</v>
      </c>
      <c r="E1005" s="85">
        <f>79.08</f>
        <v>79.08</v>
      </c>
      <c r="F1005" s="76">
        <f>350.872-40-25-60-100</f>
        <v>125.87200000000001</v>
      </c>
      <c r="G1005" s="79">
        <v>40</v>
      </c>
      <c r="H1005" s="76">
        <f t="shared" si="169"/>
        <v>185</v>
      </c>
      <c r="I1005" s="76">
        <f t="shared" si="159"/>
        <v>0</v>
      </c>
      <c r="J1005" s="79">
        <v>100</v>
      </c>
      <c r="K1005" s="79">
        <v>300</v>
      </c>
      <c r="L1005" s="76">
        <f t="shared" si="163"/>
        <v>1239</v>
      </c>
      <c r="M1005" s="87">
        <v>600</v>
      </c>
      <c r="N1005" s="76">
        <f>75</f>
        <v>75</v>
      </c>
      <c r="O1005" s="79">
        <v>240</v>
      </c>
      <c r="P1005" s="79">
        <v>40</v>
      </c>
      <c r="Q1005" s="79">
        <f t="shared" si="164"/>
        <v>315</v>
      </c>
      <c r="R1005" s="79">
        <f t="shared" si="165"/>
        <v>100</v>
      </c>
      <c r="S1005" s="76">
        <f t="shared" si="166"/>
        <v>695</v>
      </c>
      <c r="T1005" s="76">
        <f>0</f>
        <v>0</v>
      </c>
      <c r="U1005" s="77"/>
      <c r="V1005" s="77"/>
      <c r="W1005" s="77"/>
      <c r="X1005" s="77"/>
      <c r="Y1005" s="77"/>
      <c r="Z1005" s="77"/>
      <c r="AA1005" s="77"/>
      <c r="AB1005" s="77"/>
      <c r="AC1005" s="77"/>
      <c r="AD1005" s="77"/>
    </row>
    <row r="1006" spans="1:30" ht="15.75" x14ac:dyDescent="0.25">
      <c r="A1006" s="32">
        <v>71558</v>
      </c>
      <c r="B1006" s="88">
        <f t="shared" si="167"/>
        <v>30</v>
      </c>
      <c r="C1006" s="76">
        <f>122.58</f>
        <v>122.58</v>
      </c>
      <c r="D1006" s="76">
        <f>297.941</f>
        <v>297.94099999999997</v>
      </c>
      <c r="E1006" s="85">
        <f>89.177</f>
        <v>89.177000000000007</v>
      </c>
      <c r="F1006" s="76">
        <f>240.302-40-60-100</f>
        <v>40.301999999999992</v>
      </c>
      <c r="G1006" s="79">
        <v>40</v>
      </c>
      <c r="H1006" s="76">
        <f>60+100</f>
        <v>160</v>
      </c>
      <c r="I1006" s="76">
        <f t="shared" si="159"/>
        <v>0</v>
      </c>
      <c r="J1006" s="79">
        <v>100</v>
      </c>
      <c r="K1006" s="79">
        <v>300</v>
      </c>
      <c r="L1006" s="76">
        <f t="shared" si="163"/>
        <v>1150</v>
      </c>
      <c r="M1006" s="87">
        <v>600</v>
      </c>
      <c r="N1006" s="76">
        <f>100</f>
        <v>100</v>
      </c>
      <c r="O1006" s="79">
        <v>240</v>
      </c>
      <c r="P1006" s="79">
        <v>40</v>
      </c>
      <c r="Q1006" s="79">
        <f t="shared" si="164"/>
        <v>315</v>
      </c>
      <c r="R1006" s="79">
        <f t="shared" si="165"/>
        <v>100</v>
      </c>
      <c r="S1006" s="76">
        <f t="shared" si="166"/>
        <v>695</v>
      </c>
      <c r="T1006" s="76">
        <f>50</f>
        <v>50</v>
      </c>
      <c r="U1006" s="77"/>
      <c r="V1006" s="77"/>
      <c r="W1006" s="77"/>
      <c r="X1006" s="77"/>
      <c r="Y1006" s="77"/>
      <c r="Z1006" s="77"/>
      <c r="AA1006" s="77"/>
      <c r="AB1006" s="77"/>
      <c r="AC1006" s="77"/>
      <c r="AD1006" s="77"/>
    </row>
    <row r="1007" spans="1:30" ht="15.75" x14ac:dyDescent="0.25">
      <c r="A1007" s="32">
        <v>71589</v>
      </c>
      <c r="B1007" s="88">
        <f t="shared" si="167"/>
        <v>31</v>
      </c>
      <c r="C1007" s="76">
        <f>122.58</f>
        <v>122.58</v>
      </c>
      <c r="D1007" s="76">
        <f>297.941</f>
        <v>297.94099999999997</v>
      </c>
      <c r="E1007" s="85">
        <f>89.177</f>
        <v>89.177000000000007</v>
      </c>
      <c r="F1007" s="76">
        <f>240.302-40-60-100</f>
        <v>40.301999999999992</v>
      </c>
      <c r="G1007" s="79">
        <v>40</v>
      </c>
      <c r="H1007" s="76">
        <f>60+100</f>
        <v>160</v>
      </c>
      <c r="I1007" s="76">
        <f t="shared" si="159"/>
        <v>0</v>
      </c>
      <c r="J1007" s="79">
        <v>100</v>
      </c>
      <c r="K1007" s="79">
        <v>300</v>
      </c>
      <c r="L1007" s="76">
        <f t="shared" si="163"/>
        <v>1150</v>
      </c>
      <c r="M1007" s="87">
        <v>600</v>
      </c>
      <c r="N1007" s="76">
        <f>100</f>
        <v>100</v>
      </c>
      <c r="O1007" s="79">
        <v>240</v>
      </c>
      <c r="P1007" s="79">
        <v>40</v>
      </c>
      <c r="Q1007" s="79">
        <f t="shared" si="164"/>
        <v>315</v>
      </c>
      <c r="R1007" s="79">
        <f t="shared" si="165"/>
        <v>100</v>
      </c>
      <c r="S1007" s="76">
        <f t="shared" si="166"/>
        <v>695</v>
      </c>
      <c r="T1007" s="76">
        <f>50</f>
        <v>50</v>
      </c>
      <c r="U1007" s="77"/>
      <c r="V1007" s="77"/>
      <c r="W1007" s="77"/>
      <c r="X1007" s="77"/>
      <c r="Y1007" s="77"/>
      <c r="Z1007" s="77"/>
      <c r="AA1007" s="77"/>
      <c r="AB1007" s="77"/>
      <c r="AC1007" s="77"/>
      <c r="AD1007" s="77"/>
    </row>
    <row r="1008" spans="1:30" ht="15.75" x14ac:dyDescent="0.25">
      <c r="A1008" s="32">
        <v>71620</v>
      </c>
      <c r="B1008" s="88">
        <f t="shared" si="167"/>
        <v>31</v>
      </c>
      <c r="C1008" s="76">
        <f>122.58</f>
        <v>122.58</v>
      </c>
      <c r="D1008" s="76">
        <f>297.941</f>
        <v>297.94099999999997</v>
      </c>
      <c r="E1008" s="85">
        <f>89.177</f>
        <v>89.177000000000007</v>
      </c>
      <c r="F1008" s="76">
        <f>240.302-40-60-100</f>
        <v>40.301999999999992</v>
      </c>
      <c r="G1008" s="79">
        <v>40</v>
      </c>
      <c r="H1008" s="76">
        <f>60+100</f>
        <v>160</v>
      </c>
      <c r="I1008" s="76">
        <f t="shared" si="159"/>
        <v>0</v>
      </c>
      <c r="J1008" s="79">
        <v>100</v>
      </c>
      <c r="K1008" s="79">
        <v>300</v>
      </c>
      <c r="L1008" s="76">
        <f t="shared" si="163"/>
        <v>1150</v>
      </c>
      <c r="M1008" s="87">
        <v>600</v>
      </c>
      <c r="N1008" s="76">
        <f>100</f>
        <v>100</v>
      </c>
      <c r="O1008" s="79">
        <v>240</v>
      </c>
      <c r="P1008" s="79">
        <v>40</v>
      </c>
      <c r="Q1008" s="79">
        <f t="shared" si="164"/>
        <v>315</v>
      </c>
      <c r="R1008" s="79">
        <f t="shared" si="165"/>
        <v>100</v>
      </c>
      <c r="S1008" s="76">
        <f t="shared" si="166"/>
        <v>695</v>
      </c>
      <c r="T1008" s="76">
        <f>50</f>
        <v>50</v>
      </c>
      <c r="U1008" s="77"/>
      <c r="V1008" s="77"/>
      <c r="W1008" s="77"/>
      <c r="X1008" s="77"/>
      <c r="Y1008" s="77"/>
      <c r="Z1008" s="77"/>
      <c r="AA1008" s="77"/>
      <c r="AB1008" s="77"/>
      <c r="AC1008" s="77"/>
      <c r="AD1008" s="77"/>
    </row>
    <row r="1009" spans="1:30" ht="15.75" x14ac:dyDescent="0.25">
      <c r="A1009" s="32">
        <v>71649</v>
      </c>
      <c r="B1009" s="88">
        <f t="shared" si="167"/>
        <v>29</v>
      </c>
      <c r="C1009" s="76">
        <f>122.58</f>
        <v>122.58</v>
      </c>
      <c r="D1009" s="76">
        <f>297.941</f>
        <v>297.94099999999997</v>
      </c>
      <c r="E1009" s="85">
        <f>89.177</f>
        <v>89.177000000000007</v>
      </c>
      <c r="F1009" s="76">
        <f>240.302-40-60-100</f>
        <v>40.301999999999992</v>
      </c>
      <c r="G1009" s="79">
        <v>40</v>
      </c>
      <c r="H1009" s="76">
        <f>60+100</f>
        <v>160</v>
      </c>
      <c r="I1009" s="76">
        <f t="shared" si="159"/>
        <v>0</v>
      </c>
      <c r="J1009" s="79">
        <v>100</v>
      </c>
      <c r="K1009" s="79">
        <v>300</v>
      </c>
      <c r="L1009" s="76">
        <f t="shared" si="163"/>
        <v>1150</v>
      </c>
      <c r="M1009" s="87">
        <v>600</v>
      </c>
      <c r="N1009" s="76">
        <f>100</f>
        <v>100</v>
      </c>
      <c r="O1009" s="79">
        <v>240</v>
      </c>
      <c r="P1009" s="79">
        <v>40</v>
      </c>
      <c r="Q1009" s="79">
        <f t="shared" si="164"/>
        <v>315</v>
      </c>
      <c r="R1009" s="79">
        <f t="shared" si="165"/>
        <v>100</v>
      </c>
      <c r="S1009" s="76">
        <f t="shared" si="166"/>
        <v>695</v>
      </c>
      <c r="T1009" s="76">
        <f>50</f>
        <v>50</v>
      </c>
      <c r="U1009" s="77"/>
      <c r="V1009" s="77"/>
      <c r="W1009" s="77"/>
      <c r="X1009" s="77"/>
      <c r="Y1009" s="77"/>
      <c r="Z1009" s="77"/>
      <c r="AA1009" s="77"/>
      <c r="AB1009" s="77"/>
      <c r="AC1009" s="77"/>
      <c r="AD1009" s="77"/>
    </row>
    <row r="1010" spans="1:30" ht="15.75" x14ac:dyDescent="0.25">
      <c r="A1010" s="32">
        <v>71680</v>
      </c>
      <c r="B1010" s="88">
        <f t="shared" si="167"/>
        <v>31</v>
      </c>
      <c r="C1010" s="76">
        <f>122.58</f>
        <v>122.58</v>
      </c>
      <c r="D1010" s="76">
        <f>297.941</f>
        <v>297.94099999999997</v>
      </c>
      <c r="E1010" s="85">
        <f>89.177</f>
        <v>89.177000000000007</v>
      </c>
      <c r="F1010" s="76">
        <f>240.302-40-60-100</f>
        <v>40.301999999999992</v>
      </c>
      <c r="G1010" s="79">
        <v>40</v>
      </c>
      <c r="H1010" s="76">
        <f>60+100</f>
        <v>160</v>
      </c>
      <c r="I1010" s="76">
        <f t="shared" si="159"/>
        <v>0</v>
      </c>
      <c r="J1010" s="79">
        <v>100</v>
      </c>
      <c r="K1010" s="79">
        <v>300</v>
      </c>
      <c r="L1010" s="76">
        <f t="shared" si="163"/>
        <v>1150</v>
      </c>
      <c r="M1010" s="87">
        <v>600</v>
      </c>
      <c r="N1010" s="76">
        <f>100</f>
        <v>100</v>
      </c>
      <c r="O1010" s="79">
        <v>240</v>
      </c>
      <c r="P1010" s="79">
        <v>40</v>
      </c>
      <c r="Q1010" s="79">
        <f t="shared" si="164"/>
        <v>315</v>
      </c>
      <c r="R1010" s="79">
        <f t="shared" si="165"/>
        <v>100</v>
      </c>
      <c r="S1010" s="76">
        <f t="shared" si="166"/>
        <v>695</v>
      </c>
      <c r="T1010" s="76">
        <f>50</f>
        <v>50</v>
      </c>
      <c r="U1010" s="77"/>
      <c r="V1010" s="77"/>
      <c r="W1010" s="77"/>
      <c r="X1010" s="77"/>
      <c r="Y1010" s="77"/>
      <c r="Z1010" s="77"/>
      <c r="AA1010" s="77"/>
      <c r="AB1010" s="77"/>
      <c r="AC1010" s="77"/>
      <c r="AD1010" s="77"/>
    </row>
    <row r="1011" spans="1:30" ht="15.75" x14ac:dyDescent="0.25">
      <c r="A1011" s="32">
        <v>71710</v>
      </c>
      <c r="B1011" s="88">
        <f t="shared" si="167"/>
        <v>30</v>
      </c>
      <c r="C1011" s="76">
        <f>141.293</f>
        <v>141.29300000000001</v>
      </c>
      <c r="D1011" s="76">
        <f>267.993</f>
        <v>267.99299999999999</v>
      </c>
      <c r="E1011" s="85">
        <f>115.016</f>
        <v>115.01600000000001</v>
      </c>
      <c r="F1011" s="76">
        <f>314.698-40-25-60-100</f>
        <v>89.697999999999979</v>
      </c>
      <c r="G1011" s="79">
        <v>40</v>
      </c>
      <c r="H1011" s="76">
        <f t="shared" ref="H1011:H1017" si="170">25+60+100</f>
        <v>185</v>
      </c>
      <c r="I1011" s="76">
        <f t="shared" si="159"/>
        <v>0</v>
      </c>
      <c r="J1011" s="79">
        <v>100</v>
      </c>
      <c r="K1011" s="79">
        <v>300</v>
      </c>
      <c r="L1011" s="76">
        <f t="shared" si="163"/>
        <v>1239</v>
      </c>
      <c r="M1011" s="87">
        <v>600</v>
      </c>
      <c r="N1011" s="76">
        <f>100</f>
        <v>100</v>
      </c>
      <c r="O1011" s="79">
        <v>240</v>
      </c>
      <c r="P1011" s="79">
        <v>40</v>
      </c>
      <c r="Q1011" s="79">
        <f t="shared" si="164"/>
        <v>315</v>
      </c>
      <c r="R1011" s="79">
        <f t="shared" si="165"/>
        <v>100</v>
      </c>
      <c r="S1011" s="76">
        <f t="shared" si="166"/>
        <v>695</v>
      </c>
      <c r="T1011" s="76">
        <f>50</f>
        <v>50</v>
      </c>
      <c r="U1011" s="77"/>
      <c r="V1011" s="77"/>
      <c r="W1011" s="77"/>
      <c r="X1011" s="77"/>
      <c r="Y1011" s="77"/>
      <c r="Z1011" s="77"/>
      <c r="AA1011" s="77"/>
      <c r="AB1011" s="77"/>
      <c r="AC1011" s="77"/>
      <c r="AD1011" s="77"/>
    </row>
    <row r="1012" spans="1:30" ht="15.75" x14ac:dyDescent="0.25">
      <c r="A1012" s="32">
        <v>71741</v>
      </c>
      <c r="B1012" s="88">
        <f t="shared" si="167"/>
        <v>31</v>
      </c>
      <c r="C1012" s="76">
        <f>194.205</f>
        <v>194.20500000000001</v>
      </c>
      <c r="D1012" s="76">
        <f>267.466</f>
        <v>267.46600000000001</v>
      </c>
      <c r="E1012" s="85">
        <f>133.845</f>
        <v>133.845</v>
      </c>
      <c r="F1012" s="76">
        <f>278.484-40-25-60-100</f>
        <v>53.48399999999998</v>
      </c>
      <c r="G1012" s="79">
        <v>40</v>
      </c>
      <c r="H1012" s="76">
        <f t="shared" si="170"/>
        <v>185</v>
      </c>
      <c r="I1012" s="76">
        <f t="shared" ref="I1012:I1067" si="171">400-J1012-K1012</f>
        <v>0</v>
      </c>
      <c r="J1012" s="79">
        <v>100</v>
      </c>
      <c r="K1012" s="79">
        <v>300</v>
      </c>
      <c r="L1012" s="76">
        <f t="shared" si="163"/>
        <v>1274</v>
      </c>
      <c r="M1012" s="87">
        <v>600</v>
      </c>
      <c r="N1012" s="76">
        <f>75</f>
        <v>75</v>
      </c>
      <c r="O1012" s="79">
        <v>240</v>
      </c>
      <c r="P1012" s="79">
        <v>40</v>
      </c>
      <c r="Q1012" s="79">
        <f t="shared" si="164"/>
        <v>315</v>
      </c>
      <c r="R1012" s="79">
        <f t="shared" si="165"/>
        <v>100</v>
      </c>
      <c r="S1012" s="76">
        <f t="shared" si="166"/>
        <v>695</v>
      </c>
      <c r="T1012" s="76">
        <f>50</f>
        <v>50</v>
      </c>
      <c r="U1012" s="77"/>
      <c r="V1012" s="77"/>
      <c r="W1012" s="77"/>
      <c r="X1012" s="77"/>
      <c r="Y1012" s="77"/>
      <c r="Z1012" s="77"/>
      <c r="AA1012" s="77"/>
      <c r="AB1012" s="77"/>
      <c r="AC1012" s="77"/>
      <c r="AD1012" s="77"/>
    </row>
    <row r="1013" spans="1:30" ht="15.75" x14ac:dyDescent="0.25">
      <c r="A1013" s="32">
        <v>71771</v>
      </c>
      <c r="B1013" s="88">
        <f t="shared" si="167"/>
        <v>30</v>
      </c>
      <c r="C1013" s="76">
        <f>194.205</f>
        <v>194.20500000000001</v>
      </c>
      <c r="D1013" s="76">
        <f>267.466</f>
        <v>267.46600000000001</v>
      </c>
      <c r="E1013" s="85">
        <f>133.845</f>
        <v>133.845</v>
      </c>
      <c r="F1013" s="76">
        <f>278.484-40-25-60-100</f>
        <v>53.48399999999998</v>
      </c>
      <c r="G1013" s="79">
        <v>40</v>
      </c>
      <c r="H1013" s="76">
        <f t="shared" si="170"/>
        <v>185</v>
      </c>
      <c r="I1013" s="76">
        <f t="shared" si="171"/>
        <v>0</v>
      </c>
      <c r="J1013" s="79">
        <v>100</v>
      </c>
      <c r="K1013" s="79">
        <v>300</v>
      </c>
      <c r="L1013" s="76">
        <f t="shared" si="163"/>
        <v>1274</v>
      </c>
      <c r="M1013" s="87">
        <v>600</v>
      </c>
      <c r="N1013" s="76">
        <f>30</f>
        <v>30</v>
      </c>
      <c r="O1013" s="79">
        <v>240</v>
      </c>
      <c r="P1013" s="79">
        <v>40</v>
      </c>
      <c r="Q1013" s="79">
        <f t="shared" si="164"/>
        <v>315</v>
      </c>
      <c r="R1013" s="79">
        <f t="shared" si="165"/>
        <v>100</v>
      </c>
      <c r="S1013" s="76">
        <f t="shared" si="166"/>
        <v>695</v>
      </c>
      <c r="T1013" s="76">
        <f>50</f>
        <v>50</v>
      </c>
      <c r="U1013" s="77"/>
      <c r="V1013" s="77"/>
      <c r="W1013" s="77"/>
      <c r="X1013" s="77"/>
      <c r="Y1013" s="77"/>
      <c r="Z1013" s="77"/>
      <c r="AA1013" s="77"/>
      <c r="AB1013" s="77"/>
      <c r="AC1013" s="77"/>
      <c r="AD1013" s="77"/>
    </row>
    <row r="1014" spans="1:30" ht="15.75" x14ac:dyDescent="0.25">
      <c r="A1014" s="32">
        <v>71802</v>
      </c>
      <c r="B1014" s="88">
        <f t="shared" si="167"/>
        <v>31</v>
      </c>
      <c r="C1014" s="76">
        <f>194.205</f>
        <v>194.20500000000001</v>
      </c>
      <c r="D1014" s="76">
        <f>267.466</f>
        <v>267.46600000000001</v>
      </c>
      <c r="E1014" s="85">
        <f>133.845</f>
        <v>133.845</v>
      </c>
      <c r="F1014" s="76">
        <f>278.484-40-25-60-100</f>
        <v>53.48399999999998</v>
      </c>
      <c r="G1014" s="79">
        <v>40</v>
      </c>
      <c r="H1014" s="76">
        <f t="shared" si="170"/>
        <v>185</v>
      </c>
      <c r="I1014" s="76">
        <f t="shared" si="171"/>
        <v>0</v>
      </c>
      <c r="J1014" s="79">
        <v>100</v>
      </c>
      <c r="K1014" s="79">
        <v>300</v>
      </c>
      <c r="L1014" s="76">
        <f t="shared" si="163"/>
        <v>1274</v>
      </c>
      <c r="M1014" s="87">
        <v>600</v>
      </c>
      <c r="N1014" s="76">
        <f>30</f>
        <v>30</v>
      </c>
      <c r="O1014" s="79">
        <v>240</v>
      </c>
      <c r="P1014" s="79">
        <v>40</v>
      </c>
      <c r="Q1014" s="79">
        <f t="shared" si="164"/>
        <v>315</v>
      </c>
      <c r="R1014" s="79">
        <f t="shared" si="165"/>
        <v>100</v>
      </c>
      <c r="S1014" s="76">
        <f t="shared" si="166"/>
        <v>695</v>
      </c>
      <c r="T1014" s="76">
        <f>0</f>
        <v>0</v>
      </c>
      <c r="U1014" s="77"/>
      <c r="V1014" s="77"/>
      <c r="W1014" s="77"/>
      <c r="X1014" s="77"/>
      <c r="Y1014" s="77"/>
      <c r="Z1014" s="77"/>
      <c r="AA1014" s="77"/>
      <c r="AB1014" s="77"/>
      <c r="AC1014" s="77"/>
      <c r="AD1014" s="77"/>
    </row>
    <row r="1015" spans="1:30" ht="15.75" x14ac:dyDescent="0.25">
      <c r="A1015" s="32">
        <v>71833</v>
      </c>
      <c r="B1015" s="88">
        <f t="shared" si="167"/>
        <v>31</v>
      </c>
      <c r="C1015" s="76">
        <f>194.205</f>
        <v>194.20500000000001</v>
      </c>
      <c r="D1015" s="76">
        <f>267.466</f>
        <v>267.46600000000001</v>
      </c>
      <c r="E1015" s="85">
        <f>133.845</f>
        <v>133.845</v>
      </c>
      <c r="F1015" s="76">
        <f>278.484-40-25-60-100</f>
        <v>53.48399999999998</v>
      </c>
      <c r="G1015" s="79">
        <v>40</v>
      </c>
      <c r="H1015" s="76">
        <f t="shared" si="170"/>
        <v>185</v>
      </c>
      <c r="I1015" s="76">
        <f t="shared" si="171"/>
        <v>0</v>
      </c>
      <c r="J1015" s="79">
        <v>100</v>
      </c>
      <c r="K1015" s="79">
        <v>300</v>
      </c>
      <c r="L1015" s="76">
        <f t="shared" si="163"/>
        <v>1274</v>
      </c>
      <c r="M1015" s="87">
        <v>600</v>
      </c>
      <c r="N1015" s="76">
        <f>30</f>
        <v>30</v>
      </c>
      <c r="O1015" s="79">
        <v>240</v>
      </c>
      <c r="P1015" s="79">
        <v>40</v>
      </c>
      <c r="Q1015" s="79">
        <f t="shared" si="164"/>
        <v>315</v>
      </c>
      <c r="R1015" s="79">
        <f t="shared" si="165"/>
        <v>100</v>
      </c>
      <c r="S1015" s="76">
        <f t="shared" si="166"/>
        <v>695</v>
      </c>
      <c r="T1015" s="76">
        <f>0</f>
        <v>0</v>
      </c>
      <c r="U1015" s="77"/>
      <c r="V1015" s="77"/>
      <c r="W1015" s="77"/>
      <c r="X1015" s="77"/>
      <c r="Y1015" s="77"/>
      <c r="Z1015" s="77"/>
      <c r="AA1015" s="77"/>
      <c r="AB1015" s="77"/>
      <c r="AC1015" s="77"/>
      <c r="AD1015" s="77"/>
    </row>
    <row r="1016" spans="1:30" ht="15.75" x14ac:dyDescent="0.25">
      <c r="A1016" s="32">
        <v>71863</v>
      </c>
      <c r="B1016" s="88">
        <f t="shared" si="167"/>
        <v>30</v>
      </c>
      <c r="C1016" s="76">
        <f>194.205</f>
        <v>194.20500000000001</v>
      </c>
      <c r="D1016" s="76">
        <f>267.466</f>
        <v>267.46600000000001</v>
      </c>
      <c r="E1016" s="85">
        <f>133.845</f>
        <v>133.845</v>
      </c>
      <c r="F1016" s="76">
        <f>278.484-40-25-60-100</f>
        <v>53.48399999999998</v>
      </c>
      <c r="G1016" s="79">
        <v>40</v>
      </c>
      <c r="H1016" s="76">
        <f t="shared" si="170"/>
        <v>185</v>
      </c>
      <c r="I1016" s="76">
        <f t="shared" si="171"/>
        <v>0</v>
      </c>
      <c r="J1016" s="79">
        <v>100</v>
      </c>
      <c r="K1016" s="79">
        <v>300</v>
      </c>
      <c r="L1016" s="76">
        <f t="shared" si="163"/>
        <v>1274</v>
      </c>
      <c r="M1016" s="87">
        <v>600</v>
      </c>
      <c r="N1016" s="76">
        <f>30</f>
        <v>30</v>
      </c>
      <c r="O1016" s="79">
        <v>240</v>
      </c>
      <c r="P1016" s="79">
        <v>40</v>
      </c>
      <c r="Q1016" s="79">
        <f t="shared" si="164"/>
        <v>315</v>
      </c>
      <c r="R1016" s="79">
        <f t="shared" si="165"/>
        <v>100</v>
      </c>
      <c r="S1016" s="76">
        <f t="shared" si="166"/>
        <v>695</v>
      </c>
      <c r="T1016" s="76">
        <f>0</f>
        <v>0</v>
      </c>
      <c r="U1016" s="77"/>
      <c r="V1016" s="77"/>
      <c r="W1016" s="77"/>
      <c r="X1016" s="77"/>
      <c r="Y1016" s="77"/>
      <c r="Z1016" s="77"/>
      <c r="AA1016" s="77"/>
      <c r="AB1016" s="77"/>
      <c r="AC1016" s="77"/>
      <c r="AD1016" s="77"/>
    </row>
    <row r="1017" spans="1:30" ht="15.75" x14ac:dyDescent="0.25">
      <c r="A1017" s="32">
        <v>71894</v>
      </c>
      <c r="B1017" s="88">
        <f t="shared" si="167"/>
        <v>31</v>
      </c>
      <c r="C1017" s="76">
        <f>131.881</f>
        <v>131.881</v>
      </c>
      <c r="D1017" s="76">
        <f>277.167</f>
        <v>277.16699999999997</v>
      </c>
      <c r="E1017" s="85">
        <f>79.08</f>
        <v>79.08</v>
      </c>
      <c r="F1017" s="76">
        <f>350.872-40-25-60-100</f>
        <v>125.87200000000001</v>
      </c>
      <c r="G1017" s="79">
        <v>40</v>
      </c>
      <c r="H1017" s="76">
        <f t="shared" si="170"/>
        <v>185</v>
      </c>
      <c r="I1017" s="76">
        <f t="shared" si="171"/>
        <v>0</v>
      </c>
      <c r="J1017" s="79">
        <v>100</v>
      </c>
      <c r="K1017" s="79">
        <v>300</v>
      </c>
      <c r="L1017" s="76">
        <f t="shared" si="163"/>
        <v>1239</v>
      </c>
      <c r="M1017" s="87">
        <v>600</v>
      </c>
      <c r="N1017" s="76">
        <f>75</f>
        <v>75</v>
      </c>
      <c r="O1017" s="79">
        <v>240</v>
      </c>
      <c r="P1017" s="79">
        <v>40</v>
      </c>
      <c r="Q1017" s="79">
        <f t="shared" si="164"/>
        <v>315</v>
      </c>
      <c r="R1017" s="79">
        <f t="shared" si="165"/>
        <v>100</v>
      </c>
      <c r="S1017" s="76">
        <f t="shared" si="166"/>
        <v>695</v>
      </c>
      <c r="T1017" s="76">
        <f>0</f>
        <v>0</v>
      </c>
      <c r="U1017" s="77"/>
      <c r="V1017" s="77"/>
      <c r="W1017" s="77"/>
      <c r="X1017" s="77"/>
      <c r="Y1017" s="77"/>
      <c r="Z1017" s="77"/>
      <c r="AA1017" s="77"/>
      <c r="AB1017" s="77"/>
      <c r="AC1017" s="77"/>
      <c r="AD1017" s="77"/>
    </row>
    <row r="1018" spans="1:30" ht="15.75" x14ac:dyDescent="0.25">
      <c r="A1018" s="32">
        <v>71924</v>
      </c>
      <c r="B1018" s="88">
        <f t="shared" si="167"/>
        <v>30</v>
      </c>
      <c r="C1018" s="76">
        <f>122.58</f>
        <v>122.58</v>
      </c>
      <c r="D1018" s="76">
        <f>297.941</f>
        <v>297.94099999999997</v>
      </c>
      <c r="E1018" s="85">
        <f>89.177</f>
        <v>89.177000000000007</v>
      </c>
      <c r="F1018" s="76">
        <f>240.302-40-60-100</f>
        <v>40.301999999999992</v>
      </c>
      <c r="G1018" s="79">
        <v>40</v>
      </c>
      <c r="H1018" s="76">
        <f>60+100</f>
        <v>160</v>
      </c>
      <c r="I1018" s="76">
        <f t="shared" si="171"/>
        <v>0</v>
      </c>
      <c r="J1018" s="79">
        <v>100</v>
      </c>
      <c r="K1018" s="79">
        <v>300</v>
      </c>
      <c r="L1018" s="76">
        <f t="shared" si="163"/>
        <v>1150</v>
      </c>
      <c r="M1018" s="87">
        <v>600</v>
      </c>
      <c r="N1018" s="76">
        <f>100</f>
        <v>100</v>
      </c>
      <c r="O1018" s="79">
        <v>240</v>
      </c>
      <c r="P1018" s="79">
        <v>40</v>
      </c>
      <c r="Q1018" s="79">
        <f t="shared" si="164"/>
        <v>315</v>
      </c>
      <c r="R1018" s="79">
        <f t="shared" si="165"/>
        <v>100</v>
      </c>
      <c r="S1018" s="76">
        <f t="shared" si="166"/>
        <v>695</v>
      </c>
      <c r="T1018" s="76">
        <f>50</f>
        <v>50</v>
      </c>
      <c r="U1018" s="77"/>
      <c r="V1018" s="77"/>
      <c r="W1018" s="77"/>
      <c r="X1018" s="77"/>
      <c r="Y1018" s="77"/>
      <c r="Z1018" s="77"/>
      <c r="AA1018" s="77"/>
      <c r="AB1018" s="77"/>
      <c r="AC1018" s="77"/>
      <c r="AD1018" s="77"/>
    </row>
    <row r="1019" spans="1:30" ht="15.75" x14ac:dyDescent="0.25">
      <c r="A1019" s="32">
        <v>71955</v>
      </c>
      <c r="B1019" s="88">
        <f t="shared" si="167"/>
        <v>31</v>
      </c>
      <c r="C1019" s="76">
        <f>122.58</f>
        <v>122.58</v>
      </c>
      <c r="D1019" s="76">
        <f>297.941</f>
        <v>297.94099999999997</v>
      </c>
      <c r="E1019" s="85">
        <f>89.177</f>
        <v>89.177000000000007</v>
      </c>
      <c r="F1019" s="76">
        <f>240.302-40-60-100</f>
        <v>40.301999999999992</v>
      </c>
      <c r="G1019" s="79">
        <v>40</v>
      </c>
      <c r="H1019" s="76">
        <f>60+100</f>
        <v>160</v>
      </c>
      <c r="I1019" s="76">
        <f t="shared" si="171"/>
        <v>0</v>
      </c>
      <c r="J1019" s="79">
        <v>100</v>
      </c>
      <c r="K1019" s="79">
        <v>300</v>
      </c>
      <c r="L1019" s="76">
        <f t="shared" si="163"/>
        <v>1150</v>
      </c>
      <c r="M1019" s="87">
        <v>600</v>
      </c>
      <c r="N1019" s="76">
        <f>100</f>
        <v>100</v>
      </c>
      <c r="O1019" s="79">
        <v>240</v>
      </c>
      <c r="P1019" s="79">
        <v>40</v>
      </c>
      <c r="Q1019" s="79">
        <f t="shared" si="164"/>
        <v>315</v>
      </c>
      <c r="R1019" s="79">
        <f t="shared" si="165"/>
        <v>100</v>
      </c>
      <c r="S1019" s="76">
        <f t="shared" si="166"/>
        <v>695</v>
      </c>
      <c r="T1019" s="76">
        <f>50</f>
        <v>50</v>
      </c>
      <c r="U1019" s="77"/>
      <c r="V1019" s="77"/>
      <c r="W1019" s="77"/>
      <c r="X1019" s="77"/>
      <c r="Y1019" s="77"/>
      <c r="Z1019" s="77"/>
      <c r="AA1019" s="77"/>
      <c r="AB1019" s="77"/>
      <c r="AC1019" s="77"/>
      <c r="AD1019" s="77"/>
    </row>
    <row r="1020" spans="1:30" ht="15.75" x14ac:dyDescent="0.25">
      <c r="A1020" s="32">
        <v>71986</v>
      </c>
      <c r="B1020" s="88">
        <f t="shared" si="167"/>
        <v>31</v>
      </c>
      <c r="C1020" s="76">
        <f>122.58</f>
        <v>122.58</v>
      </c>
      <c r="D1020" s="76">
        <f>297.941</f>
        <v>297.94099999999997</v>
      </c>
      <c r="E1020" s="85">
        <f>89.177</f>
        <v>89.177000000000007</v>
      </c>
      <c r="F1020" s="76">
        <f>240.302-40-60-100</f>
        <v>40.301999999999992</v>
      </c>
      <c r="G1020" s="79">
        <v>40</v>
      </c>
      <c r="H1020" s="76">
        <f>60+100</f>
        <v>160</v>
      </c>
      <c r="I1020" s="76">
        <f t="shared" si="171"/>
        <v>0</v>
      </c>
      <c r="J1020" s="79">
        <v>100</v>
      </c>
      <c r="K1020" s="79">
        <v>300</v>
      </c>
      <c r="L1020" s="76">
        <f t="shared" si="163"/>
        <v>1150</v>
      </c>
      <c r="M1020" s="87">
        <v>600</v>
      </c>
      <c r="N1020" s="76">
        <f>100</f>
        <v>100</v>
      </c>
      <c r="O1020" s="79">
        <v>240</v>
      </c>
      <c r="P1020" s="79">
        <v>40</v>
      </c>
      <c r="Q1020" s="79">
        <f t="shared" si="164"/>
        <v>315</v>
      </c>
      <c r="R1020" s="79">
        <f t="shared" si="165"/>
        <v>100</v>
      </c>
      <c r="S1020" s="76">
        <f t="shared" si="166"/>
        <v>695</v>
      </c>
      <c r="T1020" s="76">
        <f>50</f>
        <v>50</v>
      </c>
      <c r="U1020" s="77"/>
      <c r="V1020" s="77"/>
      <c r="W1020" s="77"/>
      <c r="X1020" s="77"/>
      <c r="Y1020" s="77"/>
      <c r="Z1020" s="77"/>
      <c r="AA1020" s="77"/>
      <c r="AB1020" s="77"/>
      <c r="AC1020" s="77"/>
      <c r="AD1020" s="77"/>
    </row>
    <row r="1021" spans="1:30" ht="15.75" x14ac:dyDescent="0.25">
      <c r="A1021" s="32">
        <v>72014</v>
      </c>
      <c r="B1021" s="88">
        <f t="shared" si="167"/>
        <v>28</v>
      </c>
      <c r="C1021" s="76">
        <f>122.58</f>
        <v>122.58</v>
      </c>
      <c r="D1021" s="76">
        <f>297.941</f>
        <v>297.94099999999997</v>
      </c>
      <c r="E1021" s="85">
        <f>89.177</f>
        <v>89.177000000000007</v>
      </c>
      <c r="F1021" s="76">
        <f>240.302-40-60-100</f>
        <v>40.301999999999992</v>
      </c>
      <c r="G1021" s="79">
        <v>40</v>
      </c>
      <c r="H1021" s="76">
        <f>60+100</f>
        <v>160</v>
      </c>
      <c r="I1021" s="76">
        <f t="shared" si="171"/>
        <v>0</v>
      </c>
      <c r="J1021" s="79">
        <v>100</v>
      </c>
      <c r="K1021" s="79">
        <v>300</v>
      </c>
      <c r="L1021" s="76">
        <f t="shared" si="163"/>
        <v>1150</v>
      </c>
      <c r="M1021" s="87">
        <v>600</v>
      </c>
      <c r="N1021" s="76">
        <f>100</f>
        <v>100</v>
      </c>
      <c r="O1021" s="79">
        <v>240</v>
      </c>
      <c r="P1021" s="79">
        <v>40</v>
      </c>
      <c r="Q1021" s="79">
        <f t="shared" si="164"/>
        <v>315</v>
      </c>
      <c r="R1021" s="79">
        <f t="shared" si="165"/>
        <v>100</v>
      </c>
      <c r="S1021" s="76">
        <f t="shared" si="166"/>
        <v>695</v>
      </c>
      <c r="T1021" s="76">
        <f>50</f>
        <v>50</v>
      </c>
      <c r="U1021" s="77"/>
      <c r="V1021" s="77"/>
      <c r="W1021" s="77"/>
      <c r="X1021" s="77"/>
      <c r="Y1021" s="77"/>
      <c r="Z1021" s="77"/>
      <c r="AA1021" s="77"/>
      <c r="AB1021" s="77"/>
      <c r="AC1021" s="77"/>
      <c r="AD1021" s="77"/>
    </row>
    <row r="1022" spans="1:30" ht="15.75" x14ac:dyDescent="0.25">
      <c r="A1022" s="32">
        <v>72045</v>
      </c>
      <c r="B1022" s="88">
        <f t="shared" si="167"/>
        <v>31</v>
      </c>
      <c r="C1022" s="76">
        <f>122.58</f>
        <v>122.58</v>
      </c>
      <c r="D1022" s="76">
        <f>297.941</f>
        <v>297.94099999999997</v>
      </c>
      <c r="E1022" s="85">
        <f>89.177</f>
        <v>89.177000000000007</v>
      </c>
      <c r="F1022" s="76">
        <f>240.302-40-60-100</f>
        <v>40.301999999999992</v>
      </c>
      <c r="G1022" s="79">
        <v>40</v>
      </c>
      <c r="H1022" s="76">
        <f>60+100</f>
        <v>160</v>
      </c>
      <c r="I1022" s="76">
        <f t="shared" si="171"/>
        <v>0</v>
      </c>
      <c r="J1022" s="79">
        <v>100</v>
      </c>
      <c r="K1022" s="79">
        <v>300</v>
      </c>
      <c r="L1022" s="76">
        <f t="shared" si="163"/>
        <v>1150</v>
      </c>
      <c r="M1022" s="87">
        <v>600</v>
      </c>
      <c r="N1022" s="76">
        <f>100</f>
        <v>100</v>
      </c>
      <c r="O1022" s="79">
        <v>240</v>
      </c>
      <c r="P1022" s="79">
        <v>40</v>
      </c>
      <c r="Q1022" s="79">
        <f t="shared" si="164"/>
        <v>315</v>
      </c>
      <c r="R1022" s="79">
        <f t="shared" si="165"/>
        <v>100</v>
      </c>
      <c r="S1022" s="76">
        <f t="shared" si="166"/>
        <v>695</v>
      </c>
      <c r="T1022" s="76">
        <f>50</f>
        <v>50</v>
      </c>
      <c r="U1022" s="77"/>
      <c r="V1022" s="77"/>
      <c r="W1022" s="77"/>
      <c r="X1022" s="77"/>
      <c r="Y1022" s="77"/>
      <c r="Z1022" s="77"/>
      <c r="AA1022" s="77"/>
      <c r="AB1022" s="77"/>
      <c r="AC1022" s="77"/>
      <c r="AD1022" s="77"/>
    </row>
    <row r="1023" spans="1:30" ht="15.75" x14ac:dyDescent="0.25">
      <c r="A1023" s="32">
        <v>72075</v>
      </c>
      <c r="B1023" s="88">
        <f t="shared" si="167"/>
        <v>30</v>
      </c>
      <c r="C1023" s="76">
        <f>141.293</f>
        <v>141.29300000000001</v>
      </c>
      <c r="D1023" s="76">
        <f>267.993</f>
        <v>267.99299999999999</v>
      </c>
      <c r="E1023" s="85">
        <f>115.016</f>
        <v>115.01600000000001</v>
      </c>
      <c r="F1023" s="76">
        <f>314.698-40-25-60-100</f>
        <v>89.697999999999979</v>
      </c>
      <c r="G1023" s="79">
        <v>40</v>
      </c>
      <c r="H1023" s="76">
        <f t="shared" ref="H1023:H1029" si="172">25+60+100</f>
        <v>185</v>
      </c>
      <c r="I1023" s="76">
        <f t="shared" si="171"/>
        <v>0</v>
      </c>
      <c r="J1023" s="79">
        <v>100</v>
      </c>
      <c r="K1023" s="79">
        <v>300</v>
      </c>
      <c r="L1023" s="76">
        <f t="shared" si="163"/>
        <v>1239</v>
      </c>
      <c r="M1023" s="87">
        <v>600</v>
      </c>
      <c r="N1023" s="76">
        <f>100</f>
        <v>100</v>
      </c>
      <c r="O1023" s="79">
        <v>240</v>
      </c>
      <c r="P1023" s="79">
        <v>40</v>
      </c>
      <c r="Q1023" s="79">
        <f t="shared" si="164"/>
        <v>315</v>
      </c>
      <c r="R1023" s="79">
        <f t="shared" si="165"/>
        <v>100</v>
      </c>
      <c r="S1023" s="76">
        <f t="shared" si="166"/>
        <v>695</v>
      </c>
      <c r="T1023" s="76">
        <f>50</f>
        <v>50</v>
      </c>
      <c r="U1023" s="77"/>
      <c r="V1023" s="77"/>
      <c r="W1023" s="77"/>
      <c r="X1023" s="77"/>
      <c r="Y1023" s="77"/>
      <c r="Z1023" s="77"/>
      <c r="AA1023" s="77"/>
      <c r="AB1023" s="77"/>
      <c r="AC1023" s="77"/>
      <c r="AD1023" s="77"/>
    </row>
    <row r="1024" spans="1:30" ht="15.75" x14ac:dyDescent="0.25">
      <c r="A1024" s="32">
        <v>72106</v>
      </c>
      <c r="B1024" s="88">
        <f t="shared" si="167"/>
        <v>31</v>
      </c>
      <c r="C1024" s="76">
        <f>194.205</f>
        <v>194.20500000000001</v>
      </c>
      <c r="D1024" s="76">
        <f>267.466</f>
        <v>267.46600000000001</v>
      </c>
      <c r="E1024" s="85">
        <f>133.845</f>
        <v>133.845</v>
      </c>
      <c r="F1024" s="76">
        <f>278.484-40-25-60-100</f>
        <v>53.48399999999998</v>
      </c>
      <c r="G1024" s="79">
        <v>40</v>
      </c>
      <c r="H1024" s="76">
        <f t="shared" si="172"/>
        <v>185</v>
      </c>
      <c r="I1024" s="76">
        <f t="shared" si="171"/>
        <v>0</v>
      </c>
      <c r="J1024" s="79">
        <v>100</v>
      </c>
      <c r="K1024" s="79">
        <v>300</v>
      </c>
      <c r="L1024" s="76">
        <f t="shared" si="163"/>
        <v>1274</v>
      </c>
      <c r="M1024" s="87">
        <v>600</v>
      </c>
      <c r="N1024" s="76">
        <f>75</f>
        <v>75</v>
      </c>
      <c r="O1024" s="79">
        <v>240</v>
      </c>
      <c r="P1024" s="79">
        <v>40</v>
      </c>
      <c r="Q1024" s="79">
        <f t="shared" si="164"/>
        <v>315</v>
      </c>
      <c r="R1024" s="79">
        <f t="shared" si="165"/>
        <v>100</v>
      </c>
      <c r="S1024" s="76">
        <f t="shared" si="166"/>
        <v>695</v>
      </c>
      <c r="T1024" s="76">
        <f>50</f>
        <v>50</v>
      </c>
      <c r="U1024" s="77"/>
      <c r="V1024" s="77"/>
      <c r="W1024" s="77"/>
      <c r="X1024" s="77"/>
      <c r="Y1024" s="77"/>
      <c r="Z1024" s="77"/>
      <c r="AA1024" s="77"/>
      <c r="AB1024" s="77"/>
      <c r="AC1024" s="77"/>
      <c r="AD1024" s="77"/>
    </row>
    <row r="1025" spans="1:30" ht="15.75" x14ac:dyDescent="0.25">
      <c r="A1025" s="32">
        <v>72136</v>
      </c>
      <c r="B1025" s="88">
        <f t="shared" si="167"/>
        <v>30</v>
      </c>
      <c r="C1025" s="76">
        <f>194.205</f>
        <v>194.20500000000001</v>
      </c>
      <c r="D1025" s="76">
        <f>267.466</f>
        <v>267.46600000000001</v>
      </c>
      <c r="E1025" s="85">
        <f>133.845</f>
        <v>133.845</v>
      </c>
      <c r="F1025" s="76">
        <f>278.484-40-25-60-100</f>
        <v>53.48399999999998</v>
      </c>
      <c r="G1025" s="79">
        <v>40</v>
      </c>
      <c r="H1025" s="76">
        <f t="shared" si="172"/>
        <v>185</v>
      </c>
      <c r="I1025" s="76">
        <f t="shared" si="171"/>
        <v>0</v>
      </c>
      <c r="J1025" s="79">
        <v>100</v>
      </c>
      <c r="K1025" s="79">
        <v>300</v>
      </c>
      <c r="L1025" s="76">
        <f t="shared" si="163"/>
        <v>1274</v>
      </c>
      <c r="M1025" s="87">
        <v>600</v>
      </c>
      <c r="N1025" s="76">
        <f>30</f>
        <v>30</v>
      </c>
      <c r="O1025" s="79">
        <v>240</v>
      </c>
      <c r="P1025" s="79">
        <v>40</v>
      </c>
      <c r="Q1025" s="79">
        <f t="shared" si="164"/>
        <v>315</v>
      </c>
      <c r="R1025" s="79">
        <f t="shared" si="165"/>
        <v>100</v>
      </c>
      <c r="S1025" s="76">
        <f t="shared" si="166"/>
        <v>695</v>
      </c>
      <c r="T1025" s="76">
        <f>50</f>
        <v>50</v>
      </c>
      <c r="U1025" s="77"/>
      <c r="V1025" s="77"/>
      <c r="W1025" s="77"/>
      <c r="X1025" s="77"/>
      <c r="Y1025" s="77"/>
      <c r="Z1025" s="77"/>
      <c r="AA1025" s="77"/>
      <c r="AB1025" s="77"/>
      <c r="AC1025" s="77"/>
      <c r="AD1025" s="77"/>
    </row>
    <row r="1026" spans="1:30" ht="15.75" x14ac:dyDescent="0.25">
      <c r="A1026" s="32">
        <v>72167</v>
      </c>
      <c r="B1026" s="88">
        <f t="shared" si="167"/>
        <v>31</v>
      </c>
      <c r="C1026" s="76">
        <f>194.205</f>
        <v>194.20500000000001</v>
      </c>
      <c r="D1026" s="76">
        <f>267.466</f>
        <v>267.46600000000001</v>
      </c>
      <c r="E1026" s="85">
        <f>133.845</f>
        <v>133.845</v>
      </c>
      <c r="F1026" s="76">
        <f>278.484-40-25-60-100</f>
        <v>53.48399999999998</v>
      </c>
      <c r="G1026" s="79">
        <v>40</v>
      </c>
      <c r="H1026" s="76">
        <f t="shared" si="172"/>
        <v>185</v>
      </c>
      <c r="I1026" s="76">
        <f t="shared" si="171"/>
        <v>0</v>
      </c>
      <c r="J1026" s="79">
        <v>100</v>
      </c>
      <c r="K1026" s="79">
        <v>300</v>
      </c>
      <c r="L1026" s="76">
        <f t="shared" si="163"/>
        <v>1274</v>
      </c>
      <c r="M1026" s="87">
        <v>600</v>
      </c>
      <c r="N1026" s="76">
        <f>30</f>
        <v>30</v>
      </c>
      <c r="O1026" s="79">
        <v>240</v>
      </c>
      <c r="P1026" s="79">
        <v>40</v>
      </c>
      <c r="Q1026" s="79">
        <f t="shared" si="164"/>
        <v>315</v>
      </c>
      <c r="R1026" s="79">
        <f t="shared" si="165"/>
        <v>100</v>
      </c>
      <c r="S1026" s="76">
        <f t="shared" si="166"/>
        <v>695</v>
      </c>
      <c r="T1026" s="76">
        <f>0</f>
        <v>0</v>
      </c>
      <c r="U1026" s="77"/>
      <c r="V1026" s="77"/>
      <c r="W1026" s="77"/>
      <c r="X1026" s="77"/>
      <c r="Y1026" s="77"/>
      <c r="Z1026" s="77"/>
      <c r="AA1026" s="77"/>
      <c r="AB1026" s="77"/>
      <c r="AC1026" s="77"/>
      <c r="AD1026" s="77"/>
    </row>
    <row r="1027" spans="1:30" ht="15.75" x14ac:dyDescent="0.25">
      <c r="A1027" s="32">
        <v>72198</v>
      </c>
      <c r="B1027" s="88">
        <f t="shared" si="167"/>
        <v>31</v>
      </c>
      <c r="C1027" s="76">
        <f>194.205</f>
        <v>194.20500000000001</v>
      </c>
      <c r="D1027" s="76">
        <f>267.466</f>
        <v>267.46600000000001</v>
      </c>
      <c r="E1027" s="85">
        <f>133.845</f>
        <v>133.845</v>
      </c>
      <c r="F1027" s="76">
        <f>278.484-40-25-60-100</f>
        <v>53.48399999999998</v>
      </c>
      <c r="G1027" s="79">
        <v>40</v>
      </c>
      <c r="H1027" s="76">
        <f t="shared" si="172"/>
        <v>185</v>
      </c>
      <c r="I1027" s="76">
        <f t="shared" si="171"/>
        <v>0</v>
      </c>
      <c r="J1027" s="79">
        <v>100</v>
      </c>
      <c r="K1027" s="79">
        <v>300</v>
      </c>
      <c r="L1027" s="76">
        <f t="shared" si="163"/>
        <v>1274</v>
      </c>
      <c r="M1027" s="87">
        <v>600</v>
      </c>
      <c r="N1027" s="76">
        <f>30</f>
        <v>30</v>
      </c>
      <c r="O1027" s="79">
        <v>240</v>
      </c>
      <c r="P1027" s="79">
        <v>40</v>
      </c>
      <c r="Q1027" s="79">
        <f t="shared" si="164"/>
        <v>315</v>
      </c>
      <c r="R1027" s="79">
        <f t="shared" si="165"/>
        <v>100</v>
      </c>
      <c r="S1027" s="76">
        <f t="shared" si="166"/>
        <v>695</v>
      </c>
      <c r="T1027" s="76">
        <f>0</f>
        <v>0</v>
      </c>
      <c r="U1027" s="77"/>
      <c r="V1027" s="77"/>
      <c r="W1027" s="77"/>
      <c r="X1027" s="77"/>
      <c r="Y1027" s="77"/>
      <c r="Z1027" s="77"/>
      <c r="AA1027" s="77"/>
      <c r="AB1027" s="77"/>
      <c r="AC1027" s="77"/>
      <c r="AD1027" s="77"/>
    </row>
    <row r="1028" spans="1:30" ht="15.75" x14ac:dyDescent="0.25">
      <c r="A1028" s="32">
        <v>72228</v>
      </c>
      <c r="B1028" s="88">
        <f t="shared" si="167"/>
        <v>30</v>
      </c>
      <c r="C1028" s="76">
        <f>194.205</f>
        <v>194.20500000000001</v>
      </c>
      <c r="D1028" s="76">
        <f>267.466</f>
        <v>267.46600000000001</v>
      </c>
      <c r="E1028" s="85">
        <f>133.845</f>
        <v>133.845</v>
      </c>
      <c r="F1028" s="76">
        <f>278.484-40-25-60-100</f>
        <v>53.48399999999998</v>
      </c>
      <c r="G1028" s="79">
        <v>40</v>
      </c>
      <c r="H1028" s="76">
        <f t="shared" si="172"/>
        <v>185</v>
      </c>
      <c r="I1028" s="76">
        <f t="shared" si="171"/>
        <v>0</v>
      </c>
      <c r="J1028" s="79">
        <v>100</v>
      </c>
      <c r="K1028" s="79">
        <v>300</v>
      </c>
      <c r="L1028" s="76">
        <f t="shared" si="163"/>
        <v>1274</v>
      </c>
      <c r="M1028" s="87">
        <v>600</v>
      </c>
      <c r="N1028" s="76">
        <f>30</f>
        <v>30</v>
      </c>
      <c r="O1028" s="79">
        <v>240</v>
      </c>
      <c r="P1028" s="79">
        <v>40</v>
      </c>
      <c r="Q1028" s="79">
        <f t="shared" si="164"/>
        <v>315</v>
      </c>
      <c r="R1028" s="79">
        <f t="shared" si="165"/>
        <v>100</v>
      </c>
      <c r="S1028" s="76">
        <f t="shared" si="166"/>
        <v>695</v>
      </c>
      <c r="T1028" s="76">
        <f>0</f>
        <v>0</v>
      </c>
      <c r="U1028" s="77"/>
      <c r="V1028" s="77"/>
      <c r="W1028" s="77"/>
      <c r="X1028" s="77"/>
      <c r="Y1028" s="77"/>
      <c r="Z1028" s="77"/>
      <c r="AA1028" s="77"/>
      <c r="AB1028" s="77"/>
      <c r="AC1028" s="77"/>
      <c r="AD1028" s="77"/>
    </row>
    <row r="1029" spans="1:30" ht="15.75" x14ac:dyDescent="0.25">
      <c r="A1029" s="32">
        <v>72259</v>
      </c>
      <c r="B1029" s="88">
        <f t="shared" si="167"/>
        <v>31</v>
      </c>
      <c r="C1029" s="76">
        <f>131.881</f>
        <v>131.881</v>
      </c>
      <c r="D1029" s="76">
        <f>277.167</f>
        <v>277.16699999999997</v>
      </c>
      <c r="E1029" s="85">
        <f>79.08</f>
        <v>79.08</v>
      </c>
      <c r="F1029" s="76">
        <f>350.872-40-25-60-100</f>
        <v>125.87200000000001</v>
      </c>
      <c r="G1029" s="79">
        <v>40</v>
      </c>
      <c r="H1029" s="76">
        <f t="shared" si="172"/>
        <v>185</v>
      </c>
      <c r="I1029" s="76">
        <f t="shared" si="171"/>
        <v>0</v>
      </c>
      <c r="J1029" s="79">
        <v>100</v>
      </c>
      <c r="K1029" s="79">
        <v>300</v>
      </c>
      <c r="L1029" s="76">
        <f t="shared" si="163"/>
        <v>1239</v>
      </c>
      <c r="M1029" s="87">
        <v>600</v>
      </c>
      <c r="N1029" s="76">
        <f>75</f>
        <v>75</v>
      </c>
      <c r="O1029" s="79">
        <v>240</v>
      </c>
      <c r="P1029" s="79">
        <v>40</v>
      </c>
      <c r="Q1029" s="79">
        <f t="shared" si="164"/>
        <v>315</v>
      </c>
      <c r="R1029" s="79">
        <f t="shared" si="165"/>
        <v>100</v>
      </c>
      <c r="S1029" s="76">
        <f t="shared" si="166"/>
        <v>695</v>
      </c>
      <c r="T1029" s="76">
        <f>0</f>
        <v>0</v>
      </c>
      <c r="U1029" s="77"/>
      <c r="V1029" s="77"/>
      <c r="W1029" s="77"/>
      <c r="X1029" s="77"/>
      <c r="Y1029" s="77"/>
      <c r="Z1029" s="77"/>
      <c r="AA1029" s="77"/>
      <c r="AB1029" s="77"/>
      <c r="AC1029" s="77"/>
      <c r="AD1029" s="77"/>
    </row>
    <row r="1030" spans="1:30" ht="15.75" x14ac:dyDescent="0.25">
      <c r="A1030" s="32">
        <v>72289</v>
      </c>
      <c r="B1030" s="88">
        <f t="shared" si="167"/>
        <v>30</v>
      </c>
      <c r="C1030" s="76">
        <f>122.58</f>
        <v>122.58</v>
      </c>
      <c r="D1030" s="76">
        <f>297.941</f>
        <v>297.94099999999997</v>
      </c>
      <c r="E1030" s="85">
        <f>89.177</f>
        <v>89.177000000000007</v>
      </c>
      <c r="F1030" s="76">
        <f>240.302-40-60-100</f>
        <v>40.301999999999992</v>
      </c>
      <c r="G1030" s="79">
        <v>40</v>
      </c>
      <c r="H1030" s="76">
        <f>60+100</f>
        <v>160</v>
      </c>
      <c r="I1030" s="76">
        <f t="shared" si="171"/>
        <v>0</v>
      </c>
      <c r="J1030" s="79">
        <v>100</v>
      </c>
      <c r="K1030" s="79">
        <v>300</v>
      </c>
      <c r="L1030" s="76">
        <f t="shared" si="163"/>
        <v>1150</v>
      </c>
      <c r="M1030" s="87">
        <v>600</v>
      </c>
      <c r="N1030" s="76">
        <f>100</f>
        <v>100</v>
      </c>
      <c r="O1030" s="79">
        <v>240</v>
      </c>
      <c r="P1030" s="79">
        <v>40</v>
      </c>
      <c r="Q1030" s="79">
        <f t="shared" si="164"/>
        <v>315</v>
      </c>
      <c r="R1030" s="79">
        <f t="shared" si="165"/>
        <v>100</v>
      </c>
      <c r="S1030" s="76">
        <f t="shared" si="166"/>
        <v>695</v>
      </c>
      <c r="T1030" s="76">
        <f>50</f>
        <v>50</v>
      </c>
      <c r="U1030" s="77"/>
      <c r="V1030" s="77"/>
      <c r="W1030" s="77"/>
      <c r="X1030" s="77"/>
      <c r="Y1030" s="77"/>
      <c r="Z1030" s="77"/>
      <c r="AA1030" s="77"/>
      <c r="AB1030" s="77"/>
      <c r="AC1030" s="77"/>
      <c r="AD1030" s="77"/>
    </row>
    <row r="1031" spans="1:30" ht="15.75" x14ac:dyDescent="0.25">
      <c r="A1031" s="32">
        <v>72320</v>
      </c>
      <c r="B1031" s="88">
        <f t="shared" si="167"/>
        <v>31</v>
      </c>
      <c r="C1031" s="76">
        <f>122.58</f>
        <v>122.58</v>
      </c>
      <c r="D1031" s="76">
        <f>297.941</f>
        <v>297.94099999999997</v>
      </c>
      <c r="E1031" s="85">
        <f>89.177</f>
        <v>89.177000000000007</v>
      </c>
      <c r="F1031" s="76">
        <f>240.302-40-60-100</f>
        <v>40.301999999999992</v>
      </c>
      <c r="G1031" s="79">
        <v>40</v>
      </c>
      <c r="H1031" s="76">
        <f>60+100</f>
        <v>160</v>
      </c>
      <c r="I1031" s="76">
        <f t="shared" si="171"/>
        <v>0</v>
      </c>
      <c r="J1031" s="79">
        <v>100</v>
      </c>
      <c r="K1031" s="79">
        <v>300</v>
      </c>
      <c r="L1031" s="76">
        <f t="shared" si="163"/>
        <v>1150</v>
      </c>
      <c r="M1031" s="87">
        <v>600</v>
      </c>
      <c r="N1031" s="76">
        <f>100</f>
        <v>100</v>
      </c>
      <c r="O1031" s="79">
        <v>240</v>
      </c>
      <c r="P1031" s="79">
        <v>40</v>
      </c>
      <c r="Q1031" s="79">
        <f t="shared" si="164"/>
        <v>315</v>
      </c>
      <c r="R1031" s="79">
        <f t="shared" si="165"/>
        <v>100</v>
      </c>
      <c r="S1031" s="76">
        <f t="shared" si="166"/>
        <v>695</v>
      </c>
      <c r="T1031" s="76">
        <f>50</f>
        <v>50</v>
      </c>
      <c r="U1031" s="77"/>
      <c r="V1031" s="77"/>
      <c r="W1031" s="77"/>
      <c r="X1031" s="77"/>
      <c r="Y1031" s="77"/>
      <c r="Z1031" s="77"/>
      <c r="AA1031" s="77"/>
      <c r="AB1031" s="77"/>
      <c r="AC1031" s="77"/>
      <c r="AD1031" s="77"/>
    </row>
    <row r="1032" spans="1:30" ht="15.75" x14ac:dyDescent="0.25">
      <c r="A1032" s="32">
        <v>72351</v>
      </c>
      <c r="B1032" s="88">
        <f t="shared" si="167"/>
        <v>31</v>
      </c>
      <c r="C1032" s="76">
        <f>122.58</f>
        <v>122.58</v>
      </c>
      <c r="D1032" s="76">
        <f>297.941</f>
        <v>297.94099999999997</v>
      </c>
      <c r="E1032" s="85">
        <f>89.177</f>
        <v>89.177000000000007</v>
      </c>
      <c r="F1032" s="76">
        <f>240.302-40-60-100</f>
        <v>40.301999999999992</v>
      </c>
      <c r="G1032" s="79">
        <v>40</v>
      </c>
      <c r="H1032" s="76">
        <f>60+100</f>
        <v>160</v>
      </c>
      <c r="I1032" s="76">
        <f t="shared" si="171"/>
        <v>0</v>
      </c>
      <c r="J1032" s="79">
        <v>100</v>
      </c>
      <c r="K1032" s="79">
        <v>300</v>
      </c>
      <c r="L1032" s="76">
        <f t="shared" si="163"/>
        <v>1150</v>
      </c>
      <c r="M1032" s="87">
        <v>600</v>
      </c>
      <c r="N1032" s="76">
        <f>100</f>
        <v>100</v>
      </c>
      <c r="O1032" s="79">
        <v>240</v>
      </c>
      <c r="P1032" s="79">
        <v>40</v>
      </c>
      <c r="Q1032" s="79">
        <f t="shared" si="164"/>
        <v>315</v>
      </c>
      <c r="R1032" s="79">
        <f t="shared" si="165"/>
        <v>100</v>
      </c>
      <c r="S1032" s="76">
        <f t="shared" si="166"/>
        <v>695</v>
      </c>
      <c r="T1032" s="76">
        <f>50</f>
        <v>50</v>
      </c>
      <c r="U1032" s="77"/>
      <c r="V1032" s="77"/>
      <c r="W1032" s="77"/>
      <c r="X1032" s="77"/>
      <c r="Y1032" s="77"/>
      <c r="Z1032" s="77"/>
      <c r="AA1032" s="77"/>
      <c r="AB1032" s="77"/>
      <c r="AC1032" s="77"/>
      <c r="AD1032" s="77"/>
    </row>
    <row r="1033" spans="1:30" ht="15.75" x14ac:dyDescent="0.25">
      <c r="A1033" s="32">
        <v>72379</v>
      </c>
      <c r="B1033" s="88">
        <f t="shared" si="167"/>
        <v>28</v>
      </c>
      <c r="C1033" s="76">
        <f>122.58</f>
        <v>122.58</v>
      </c>
      <c r="D1033" s="76">
        <f>297.941</f>
        <v>297.94099999999997</v>
      </c>
      <c r="E1033" s="85">
        <f>89.177</f>
        <v>89.177000000000007</v>
      </c>
      <c r="F1033" s="76">
        <f>240.302-40-60-100</f>
        <v>40.301999999999992</v>
      </c>
      <c r="G1033" s="79">
        <v>40</v>
      </c>
      <c r="H1033" s="76">
        <f>60+100</f>
        <v>160</v>
      </c>
      <c r="I1033" s="76">
        <f t="shared" si="171"/>
        <v>0</v>
      </c>
      <c r="J1033" s="79">
        <v>100</v>
      </c>
      <c r="K1033" s="79">
        <v>300</v>
      </c>
      <c r="L1033" s="76">
        <f t="shared" si="163"/>
        <v>1150</v>
      </c>
      <c r="M1033" s="87">
        <v>600</v>
      </c>
      <c r="N1033" s="76">
        <f>100</f>
        <v>100</v>
      </c>
      <c r="O1033" s="79">
        <v>240</v>
      </c>
      <c r="P1033" s="79">
        <v>40</v>
      </c>
      <c r="Q1033" s="79">
        <f t="shared" si="164"/>
        <v>315</v>
      </c>
      <c r="R1033" s="79">
        <f t="shared" si="165"/>
        <v>100</v>
      </c>
      <c r="S1033" s="76">
        <f t="shared" si="166"/>
        <v>695</v>
      </c>
      <c r="T1033" s="76">
        <f>50</f>
        <v>50</v>
      </c>
      <c r="U1033" s="77"/>
      <c r="V1033" s="77"/>
      <c r="W1033" s="77"/>
      <c r="X1033" s="77"/>
      <c r="Y1033" s="77"/>
      <c r="Z1033" s="77"/>
      <c r="AA1033" s="77"/>
      <c r="AB1033" s="77"/>
      <c r="AC1033" s="77"/>
      <c r="AD1033" s="77"/>
    </row>
    <row r="1034" spans="1:30" ht="15.75" x14ac:dyDescent="0.25">
      <c r="A1034" s="32">
        <v>72410</v>
      </c>
      <c r="B1034" s="88">
        <f t="shared" si="167"/>
        <v>31</v>
      </c>
      <c r="C1034" s="76">
        <f>122.58</f>
        <v>122.58</v>
      </c>
      <c r="D1034" s="76">
        <f>297.941</f>
        <v>297.94099999999997</v>
      </c>
      <c r="E1034" s="85">
        <f>89.177</f>
        <v>89.177000000000007</v>
      </c>
      <c r="F1034" s="76">
        <f>240.302-40-60-100</f>
        <v>40.301999999999992</v>
      </c>
      <c r="G1034" s="79">
        <v>40</v>
      </c>
      <c r="H1034" s="76">
        <f>60+100</f>
        <v>160</v>
      </c>
      <c r="I1034" s="76">
        <f t="shared" si="171"/>
        <v>0</v>
      </c>
      <c r="J1034" s="79">
        <v>100</v>
      </c>
      <c r="K1034" s="79">
        <v>300</v>
      </c>
      <c r="L1034" s="76">
        <f t="shared" si="163"/>
        <v>1150</v>
      </c>
      <c r="M1034" s="87">
        <v>600</v>
      </c>
      <c r="N1034" s="76">
        <f>100</f>
        <v>100</v>
      </c>
      <c r="O1034" s="79">
        <v>240</v>
      </c>
      <c r="P1034" s="79">
        <v>40</v>
      </c>
      <c r="Q1034" s="79">
        <f t="shared" si="164"/>
        <v>315</v>
      </c>
      <c r="R1034" s="79">
        <f t="shared" si="165"/>
        <v>100</v>
      </c>
      <c r="S1034" s="76">
        <f t="shared" si="166"/>
        <v>695</v>
      </c>
      <c r="T1034" s="76">
        <f>50</f>
        <v>50</v>
      </c>
      <c r="U1034" s="77"/>
      <c r="V1034" s="77"/>
      <c r="W1034" s="77"/>
      <c r="X1034" s="77"/>
      <c r="Y1034" s="77"/>
      <c r="Z1034" s="77"/>
      <c r="AA1034" s="77"/>
      <c r="AB1034" s="77"/>
      <c r="AC1034" s="77"/>
      <c r="AD1034" s="77"/>
    </row>
    <row r="1035" spans="1:30" ht="15.75" x14ac:dyDescent="0.25">
      <c r="A1035" s="32">
        <v>72440</v>
      </c>
      <c r="B1035" s="88">
        <f t="shared" si="167"/>
        <v>30</v>
      </c>
      <c r="C1035" s="76">
        <f>141.293</f>
        <v>141.29300000000001</v>
      </c>
      <c r="D1035" s="76">
        <f>267.993</f>
        <v>267.99299999999999</v>
      </c>
      <c r="E1035" s="85">
        <f>115.016</f>
        <v>115.01600000000001</v>
      </c>
      <c r="F1035" s="76">
        <f>314.698-40-25-60-100</f>
        <v>89.697999999999979</v>
      </c>
      <c r="G1035" s="79">
        <v>40</v>
      </c>
      <c r="H1035" s="76">
        <f t="shared" ref="H1035:H1041" si="173">25+60+100</f>
        <v>185</v>
      </c>
      <c r="I1035" s="76">
        <f t="shared" si="171"/>
        <v>0</v>
      </c>
      <c r="J1035" s="79">
        <v>100</v>
      </c>
      <c r="K1035" s="79">
        <v>300</v>
      </c>
      <c r="L1035" s="76">
        <f t="shared" si="163"/>
        <v>1239</v>
      </c>
      <c r="M1035" s="87">
        <v>600</v>
      </c>
      <c r="N1035" s="76">
        <f>100</f>
        <v>100</v>
      </c>
      <c r="O1035" s="79">
        <v>240</v>
      </c>
      <c r="P1035" s="79">
        <v>40</v>
      </c>
      <c r="Q1035" s="79">
        <f t="shared" si="164"/>
        <v>315</v>
      </c>
      <c r="R1035" s="79">
        <f t="shared" si="165"/>
        <v>100</v>
      </c>
      <c r="S1035" s="76">
        <f t="shared" si="166"/>
        <v>695</v>
      </c>
      <c r="T1035" s="76">
        <f>50</f>
        <v>50</v>
      </c>
      <c r="U1035" s="77"/>
      <c r="V1035" s="77"/>
      <c r="W1035" s="77"/>
      <c r="X1035" s="77"/>
      <c r="Y1035" s="77"/>
      <c r="Z1035" s="77"/>
      <c r="AA1035" s="77"/>
      <c r="AB1035" s="77"/>
      <c r="AC1035" s="77"/>
      <c r="AD1035" s="77"/>
    </row>
    <row r="1036" spans="1:30" ht="15.75" x14ac:dyDescent="0.25">
      <c r="A1036" s="32">
        <v>72471</v>
      </c>
      <c r="B1036" s="88">
        <f t="shared" si="167"/>
        <v>31</v>
      </c>
      <c r="C1036" s="76">
        <f>194.205</f>
        <v>194.20500000000001</v>
      </c>
      <c r="D1036" s="76">
        <f>267.466</f>
        <v>267.46600000000001</v>
      </c>
      <c r="E1036" s="85">
        <f>133.845</f>
        <v>133.845</v>
      </c>
      <c r="F1036" s="76">
        <f>278.484-40-25-60-100</f>
        <v>53.48399999999998</v>
      </c>
      <c r="G1036" s="79">
        <v>40</v>
      </c>
      <c r="H1036" s="76">
        <f t="shared" si="173"/>
        <v>185</v>
      </c>
      <c r="I1036" s="76">
        <f t="shared" si="171"/>
        <v>0</v>
      </c>
      <c r="J1036" s="79">
        <v>100</v>
      </c>
      <c r="K1036" s="79">
        <v>300</v>
      </c>
      <c r="L1036" s="76">
        <f t="shared" si="163"/>
        <v>1274</v>
      </c>
      <c r="M1036" s="87">
        <v>600</v>
      </c>
      <c r="N1036" s="76">
        <f>75</f>
        <v>75</v>
      </c>
      <c r="O1036" s="79">
        <v>240</v>
      </c>
      <c r="P1036" s="79">
        <v>40</v>
      </c>
      <c r="Q1036" s="79">
        <f t="shared" si="164"/>
        <v>315</v>
      </c>
      <c r="R1036" s="79">
        <f t="shared" si="165"/>
        <v>100</v>
      </c>
      <c r="S1036" s="76">
        <f t="shared" si="166"/>
        <v>695</v>
      </c>
      <c r="T1036" s="76">
        <f>50</f>
        <v>50</v>
      </c>
      <c r="U1036" s="77"/>
      <c r="V1036" s="77"/>
      <c r="W1036" s="77"/>
      <c r="X1036" s="77"/>
      <c r="Y1036" s="77"/>
      <c r="Z1036" s="77"/>
      <c r="AA1036" s="77"/>
      <c r="AB1036" s="77"/>
      <c r="AC1036" s="77"/>
      <c r="AD1036" s="77"/>
    </row>
    <row r="1037" spans="1:30" ht="15.75" x14ac:dyDescent="0.25">
      <c r="A1037" s="32">
        <v>72501</v>
      </c>
      <c r="B1037" s="88">
        <f t="shared" si="167"/>
        <v>30</v>
      </c>
      <c r="C1037" s="76">
        <f>194.205</f>
        <v>194.20500000000001</v>
      </c>
      <c r="D1037" s="76">
        <f>267.466</f>
        <v>267.46600000000001</v>
      </c>
      <c r="E1037" s="85">
        <f>133.845</f>
        <v>133.845</v>
      </c>
      <c r="F1037" s="76">
        <f>278.484-40-25-60-100</f>
        <v>53.48399999999998</v>
      </c>
      <c r="G1037" s="79">
        <v>40</v>
      </c>
      <c r="H1037" s="76">
        <f t="shared" si="173"/>
        <v>185</v>
      </c>
      <c r="I1037" s="76">
        <f t="shared" si="171"/>
        <v>0</v>
      </c>
      <c r="J1037" s="79">
        <v>100</v>
      </c>
      <c r="K1037" s="79">
        <v>300</v>
      </c>
      <c r="L1037" s="76">
        <f t="shared" si="163"/>
        <v>1274</v>
      </c>
      <c r="M1037" s="87">
        <v>600</v>
      </c>
      <c r="N1037" s="76">
        <f>30</f>
        <v>30</v>
      </c>
      <c r="O1037" s="79">
        <v>240</v>
      </c>
      <c r="P1037" s="79">
        <v>40</v>
      </c>
      <c r="Q1037" s="79">
        <f t="shared" si="164"/>
        <v>315</v>
      </c>
      <c r="R1037" s="79">
        <f t="shared" si="165"/>
        <v>100</v>
      </c>
      <c r="S1037" s="76">
        <f t="shared" si="166"/>
        <v>695</v>
      </c>
      <c r="T1037" s="76">
        <f>50</f>
        <v>50</v>
      </c>
      <c r="U1037" s="77"/>
      <c r="V1037" s="77"/>
      <c r="W1037" s="77"/>
      <c r="X1037" s="77"/>
      <c r="Y1037" s="77"/>
      <c r="Z1037" s="77"/>
      <c r="AA1037" s="77"/>
      <c r="AB1037" s="77"/>
      <c r="AC1037" s="77"/>
      <c r="AD1037" s="77"/>
    </row>
    <row r="1038" spans="1:30" ht="15.75" x14ac:dyDescent="0.25">
      <c r="A1038" s="32">
        <v>72532</v>
      </c>
      <c r="B1038" s="88">
        <f t="shared" si="167"/>
        <v>31</v>
      </c>
      <c r="C1038" s="76">
        <f>194.205</f>
        <v>194.20500000000001</v>
      </c>
      <c r="D1038" s="76">
        <f>267.466</f>
        <v>267.46600000000001</v>
      </c>
      <c r="E1038" s="85">
        <f>133.845</f>
        <v>133.845</v>
      </c>
      <c r="F1038" s="76">
        <f>278.484-40-25-60-100</f>
        <v>53.48399999999998</v>
      </c>
      <c r="G1038" s="79">
        <v>40</v>
      </c>
      <c r="H1038" s="76">
        <f t="shared" si="173"/>
        <v>185</v>
      </c>
      <c r="I1038" s="76">
        <f t="shared" si="171"/>
        <v>0</v>
      </c>
      <c r="J1038" s="79">
        <v>100</v>
      </c>
      <c r="K1038" s="79">
        <v>300</v>
      </c>
      <c r="L1038" s="76">
        <f t="shared" si="163"/>
        <v>1274</v>
      </c>
      <c r="M1038" s="87">
        <v>600</v>
      </c>
      <c r="N1038" s="76">
        <f>30</f>
        <v>30</v>
      </c>
      <c r="O1038" s="79">
        <v>240</v>
      </c>
      <c r="P1038" s="79">
        <v>40</v>
      </c>
      <c r="Q1038" s="79">
        <f t="shared" si="164"/>
        <v>315</v>
      </c>
      <c r="R1038" s="79">
        <f t="shared" si="165"/>
        <v>100</v>
      </c>
      <c r="S1038" s="76">
        <f t="shared" si="166"/>
        <v>695</v>
      </c>
      <c r="T1038" s="76">
        <f>0</f>
        <v>0</v>
      </c>
      <c r="U1038" s="77"/>
      <c r="V1038" s="77"/>
      <c r="W1038" s="77"/>
      <c r="X1038" s="77"/>
      <c r="Y1038" s="77"/>
      <c r="Z1038" s="77"/>
      <c r="AA1038" s="77"/>
      <c r="AB1038" s="77"/>
      <c r="AC1038" s="77"/>
      <c r="AD1038" s="77"/>
    </row>
    <row r="1039" spans="1:30" ht="15.75" x14ac:dyDescent="0.25">
      <c r="A1039" s="32">
        <v>72563</v>
      </c>
      <c r="B1039" s="88">
        <f t="shared" si="167"/>
        <v>31</v>
      </c>
      <c r="C1039" s="76">
        <f>194.205</f>
        <v>194.20500000000001</v>
      </c>
      <c r="D1039" s="76">
        <f>267.466</f>
        <v>267.46600000000001</v>
      </c>
      <c r="E1039" s="85">
        <f>133.845</f>
        <v>133.845</v>
      </c>
      <c r="F1039" s="76">
        <f>278.484-40-25-60-100</f>
        <v>53.48399999999998</v>
      </c>
      <c r="G1039" s="79">
        <v>40</v>
      </c>
      <c r="H1039" s="76">
        <f t="shared" si="173"/>
        <v>185</v>
      </c>
      <c r="I1039" s="76">
        <f t="shared" si="171"/>
        <v>0</v>
      </c>
      <c r="J1039" s="79">
        <v>100</v>
      </c>
      <c r="K1039" s="79">
        <v>300</v>
      </c>
      <c r="L1039" s="76">
        <f t="shared" si="163"/>
        <v>1274</v>
      </c>
      <c r="M1039" s="87">
        <v>600</v>
      </c>
      <c r="N1039" s="76">
        <f>30</f>
        <v>30</v>
      </c>
      <c r="O1039" s="79">
        <v>240</v>
      </c>
      <c r="P1039" s="79">
        <v>40</v>
      </c>
      <c r="Q1039" s="79">
        <f t="shared" si="164"/>
        <v>315</v>
      </c>
      <c r="R1039" s="79">
        <f t="shared" si="165"/>
        <v>100</v>
      </c>
      <c r="S1039" s="76">
        <f t="shared" si="166"/>
        <v>695</v>
      </c>
      <c r="T1039" s="76">
        <f>0</f>
        <v>0</v>
      </c>
      <c r="U1039" s="77"/>
      <c r="V1039" s="77"/>
      <c r="W1039" s="77"/>
      <c r="X1039" s="77"/>
      <c r="Y1039" s="77"/>
      <c r="Z1039" s="77"/>
      <c r="AA1039" s="77"/>
      <c r="AB1039" s="77"/>
      <c r="AC1039" s="77"/>
      <c r="AD1039" s="77"/>
    </row>
    <row r="1040" spans="1:30" ht="15.75" x14ac:dyDescent="0.25">
      <c r="A1040" s="32">
        <v>72593</v>
      </c>
      <c r="B1040" s="88">
        <f t="shared" si="167"/>
        <v>30</v>
      </c>
      <c r="C1040" s="76">
        <f>194.205</f>
        <v>194.20500000000001</v>
      </c>
      <c r="D1040" s="76">
        <f>267.466</f>
        <v>267.46600000000001</v>
      </c>
      <c r="E1040" s="85">
        <f>133.845</f>
        <v>133.845</v>
      </c>
      <c r="F1040" s="76">
        <f>278.484-40-25-60-100</f>
        <v>53.48399999999998</v>
      </c>
      <c r="G1040" s="79">
        <v>40</v>
      </c>
      <c r="H1040" s="76">
        <f t="shared" si="173"/>
        <v>185</v>
      </c>
      <c r="I1040" s="76">
        <f t="shared" si="171"/>
        <v>0</v>
      </c>
      <c r="J1040" s="79">
        <v>100</v>
      </c>
      <c r="K1040" s="79">
        <v>300</v>
      </c>
      <c r="L1040" s="76">
        <f t="shared" ref="L1040:L1067" si="174">SUM(C1040:K1040)</f>
        <v>1274</v>
      </c>
      <c r="M1040" s="87">
        <v>600</v>
      </c>
      <c r="N1040" s="76">
        <f>30</f>
        <v>30</v>
      </c>
      <c r="O1040" s="79">
        <v>240</v>
      </c>
      <c r="P1040" s="79">
        <v>40</v>
      </c>
      <c r="Q1040" s="79">
        <f t="shared" ref="Q1040:Q1067" si="175">695-R1040-O1040-P1040</f>
        <v>315</v>
      </c>
      <c r="R1040" s="79">
        <f t="shared" ref="R1040:R1067" si="176">200-J1040</f>
        <v>100</v>
      </c>
      <c r="S1040" s="76">
        <f t="shared" ref="S1040:S1067" si="177">SUM(O1040:R1040)</f>
        <v>695</v>
      </c>
      <c r="T1040" s="76">
        <f>0</f>
        <v>0</v>
      </c>
      <c r="U1040" s="77"/>
      <c r="V1040" s="77"/>
      <c r="W1040" s="77"/>
      <c r="X1040" s="77"/>
      <c r="Y1040" s="77"/>
      <c r="Z1040" s="77"/>
      <c r="AA1040" s="77"/>
      <c r="AB1040" s="77"/>
      <c r="AC1040" s="77"/>
      <c r="AD1040" s="77"/>
    </row>
    <row r="1041" spans="1:30" ht="15.75" x14ac:dyDescent="0.25">
      <c r="A1041" s="32">
        <v>72624</v>
      </c>
      <c r="B1041" s="88">
        <f t="shared" si="167"/>
        <v>31</v>
      </c>
      <c r="C1041" s="76">
        <f>131.881</f>
        <v>131.881</v>
      </c>
      <c r="D1041" s="76">
        <f>277.167</f>
        <v>277.16699999999997</v>
      </c>
      <c r="E1041" s="85">
        <f>79.08</f>
        <v>79.08</v>
      </c>
      <c r="F1041" s="76">
        <f>350.872-40-25-60-100</f>
        <v>125.87200000000001</v>
      </c>
      <c r="G1041" s="79">
        <v>40</v>
      </c>
      <c r="H1041" s="76">
        <f t="shared" si="173"/>
        <v>185</v>
      </c>
      <c r="I1041" s="76">
        <f t="shared" si="171"/>
        <v>0</v>
      </c>
      <c r="J1041" s="79">
        <v>100</v>
      </c>
      <c r="K1041" s="79">
        <v>300</v>
      </c>
      <c r="L1041" s="76">
        <f t="shared" si="174"/>
        <v>1239</v>
      </c>
      <c r="M1041" s="87">
        <v>600</v>
      </c>
      <c r="N1041" s="76">
        <f>75</f>
        <v>75</v>
      </c>
      <c r="O1041" s="79">
        <v>240</v>
      </c>
      <c r="P1041" s="79">
        <v>40</v>
      </c>
      <c r="Q1041" s="79">
        <f t="shared" si="175"/>
        <v>315</v>
      </c>
      <c r="R1041" s="79">
        <f t="shared" si="176"/>
        <v>100</v>
      </c>
      <c r="S1041" s="76">
        <f t="shared" si="177"/>
        <v>695</v>
      </c>
      <c r="T1041" s="76">
        <f>0</f>
        <v>0</v>
      </c>
      <c r="U1041" s="77"/>
      <c r="V1041" s="77"/>
      <c r="W1041" s="77"/>
      <c r="X1041" s="77"/>
      <c r="Y1041" s="77"/>
      <c r="Z1041" s="77"/>
      <c r="AA1041" s="77"/>
      <c r="AB1041" s="77"/>
      <c r="AC1041" s="77"/>
      <c r="AD1041" s="77"/>
    </row>
    <row r="1042" spans="1:30" ht="15.75" x14ac:dyDescent="0.25">
      <c r="A1042" s="32">
        <v>72654</v>
      </c>
      <c r="B1042" s="88">
        <f t="shared" si="167"/>
        <v>30</v>
      </c>
      <c r="C1042" s="76">
        <f>122.58</f>
        <v>122.58</v>
      </c>
      <c r="D1042" s="76">
        <f>297.941</f>
        <v>297.94099999999997</v>
      </c>
      <c r="E1042" s="85">
        <f>89.177</f>
        <v>89.177000000000007</v>
      </c>
      <c r="F1042" s="76">
        <f>240.302-40-60-100</f>
        <v>40.301999999999992</v>
      </c>
      <c r="G1042" s="79">
        <v>40</v>
      </c>
      <c r="H1042" s="76">
        <f>60+100</f>
        <v>160</v>
      </c>
      <c r="I1042" s="76">
        <f t="shared" si="171"/>
        <v>0</v>
      </c>
      <c r="J1042" s="79">
        <v>100</v>
      </c>
      <c r="K1042" s="79">
        <v>300</v>
      </c>
      <c r="L1042" s="76">
        <f t="shared" si="174"/>
        <v>1150</v>
      </c>
      <c r="M1042" s="87">
        <v>600</v>
      </c>
      <c r="N1042" s="76">
        <f>100</f>
        <v>100</v>
      </c>
      <c r="O1042" s="79">
        <v>240</v>
      </c>
      <c r="P1042" s="79">
        <v>40</v>
      </c>
      <c r="Q1042" s="79">
        <f t="shared" si="175"/>
        <v>315</v>
      </c>
      <c r="R1042" s="79">
        <f t="shared" si="176"/>
        <v>100</v>
      </c>
      <c r="S1042" s="76">
        <f t="shared" si="177"/>
        <v>695</v>
      </c>
      <c r="T1042" s="76">
        <f>50</f>
        <v>50</v>
      </c>
      <c r="U1042" s="77"/>
      <c r="V1042" s="77"/>
      <c r="W1042" s="77"/>
      <c r="X1042" s="77"/>
      <c r="Y1042" s="77"/>
      <c r="Z1042" s="77"/>
      <c r="AA1042" s="77"/>
      <c r="AB1042" s="77"/>
      <c r="AC1042" s="77"/>
      <c r="AD1042" s="77"/>
    </row>
    <row r="1043" spans="1:30" ht="15.75" x14ac:dyDescent="0.25">
      <c r="A1043" s="32">
        <v>72685</v>
      </c>
      <c r="B1043" s="88">
        <f t="shared" si="167"/>
        <v>31</v>
      </c>
      <c r="C1043" s="76">
        <f>122.58</f>
        <v>122.58</v>
      </c>
      <c r="D1043" s="76">
        <f>297.941</f>
        <v>297.94099999999997</v>
      </c>
      <c r="E1043" s="85">
        <f>89.177</f>
        <v>89.177000000000007</v>
      </c>
      <c r="F1043" s="76">
        <f>240.302-40-60-100</f>
        <v>40.301999999999992</v>
      </c>
      <c r="G1043" s="79">
        <v>40</v>
      </c>
      <c r="H1043" s="76">
        <f>60+100</f>
        <v>160</v>
      </c>
      <c r="I1043" s="76">
        <f t="shared" si="171"/>
        <v>0</v>
      </c>
      <c r="J1043" s="79">
        <v>100</v>
      </c>
      <c r="K1043" s="79">
        <v>300</v>
      </c>
      <c r="L1043" s="76">
        <f t="shared" si="174"/>
        <v>1150</v>
      </c>
      <c r="M1043" s="87">
        <v>600</v>
      </c>
      <c r="N1043" s="76">
        <f>100</f>
        <v>100</v>
      </c>
      <c r="O1043" s="79">
        <v>240</v>
      </c>
      <c r="P1043" s="79">
        <v>40</v>
      </c>
      <c r="Q1043" s="79">
        <f t="shared" si="175"/>
        <v>315</v>
      </c>
      <c r="R1043" s="79">
        <f t="shared" si="176"/>
        <v>100</v>
      </c>
      <c r="S1043" s="76">
        <f t="shared" si="177"/>
        <v>695</v>
      </c>
      <c r="T1043" s="76">
        <f>50</f>
        <v>50</v>
      </c>
      <c r="U1043" s="77"/>
      <c r="V1043" s="77"/>
      <c r="W1043" s="77"/>
      <c r="X1043" s="77"/>
      <c r="Y1043" s="77"/>
      <c r="Z1043" s="77"/>
      <c r="AA1043" s="77"/>
      <c r="AB1043" s="77"/>
      <c r="AC1043" s="77"/>
      <c r="AD1043" s="77"/>
    </row>
    <row r="1044" spans="1:30" ht="15.75" x14ac:dyDescent="0.25">
      <c r="A1044" s="32">
        <v>72716</v>
      </c>
      <c r="B1044" s="88">
        <f t="shared" si="167"/>
        <v>31</v>
      </c>
      <c r="C1044" s="76">
        <f>122.58</f>
        <v>122.58</v>
      </c>
      <c r="D1044" s="76">
        <f>297.941</f>
        <v>297.94099999999997</v>
      </c>
      <c r="E1044" s="85">
        <f>89.177</f>
        <v>89.177000000000007</v>
      </c>
      <c r="F1044" s="76">
        <f>240.302-40-60-100</f>
        <v>40.301999999999992</v>
      </c>
      <c r="G1044" s="79">
        <v>40</v>
      </c>
      <c r="H1044" s="76">
        <f>60+100</f>
        <v>160</v>
      </c>
      <c r="I1044" s="76">
        <f t="shared" si="171"/>
        <v>0</v>
      </c>
      <c r="J1044" s="79">
        <v>100</v>
      </c>
      <c r="K1044" s="79">
        <v>300</v>
      </c>
      <c r="L1044" s="76">
        <f t="shared" si="174"/>
        <v>1150</v>
      </c>
      <c r="M1044" s="87">
        <v>600</v>
      </c>
      <c r="N1044" s="76">
        <f>100</f>
        <v>100</v>
      </c>
      <c r="O1044" s="79">
        <v>240</v>
      </c>
      <c r="P1044" s="79">
        <v>40</v>
      </c>
      <c r="Q1044" s="79">
        <f t="shared" si="175"/>
        <v>315</v>
      </c>
      <c r="R1044" s="79">
        <f t="shared" si="176"/>
        <v>100</v>
      </c>
      <c r="S1044" s="76">
        <f t="shared" si="177"/>
        <v>695</v>
      </c>
      <c r="T1044" s="76">
        <f>50</f>
        <v>50</v>
      </c>
      <c r="U1044" s="77"/>
      <c r="V1044" s="77"/>
      <c r="W1044" s="77"/>
      <c r="X1044" s="77"/>
      <c r="Y1044" s="77"/>
      <c r="Z1044" s="77"/>
      <c r="AA1044" s="77"/>
      <c r="AB1044" s="77"/>
      <c r="AC1044" s="77"/>
      <c r="AD1044" s="77"/>
    </row>
    <row r="1045" spans="1:30" ht="15.75" x14ac:dyDescent="0.25">
      <c r="A1045" s="32">
        <v>72744</v>
      </c>
      <c r="B1045" s="88">
        <f t="shared" si="167"/>
        <v>28</v>
      </c>
      <c r="C1045" s="76">
        <f>122.58</f>
        <v>122.58</v>
      </c>
      <c r="D1045" s="76">
        <f>297.941</f>
        <v>297.94099999999997</v>
      </c>
      <c r="E1045" s="85">
        <f>89.177</f>
        <v>89.177000000000007</v>
      </c>
      <c r="F1045" s="76">
        <f>240.302-40-60-100</f>
        <v>40.301999999999992</v>
      </c>
      <c r="G1045" s="79">
        <v>40</v>
      </c>
      <c r="H1045" s="76">
        <f>60+100</f>
        <v>160</v>
      </c>
      <c r="I1045" s="76">
        <f t="shared" si="171"/>
        <v>0</v>
      </c>
      <c r="J1045" s="79">
        <v>100</v>
      </c>
      <c r="K1045" s="79">
        <v>300</v>
      </c>
      <c r="L1045" s="76">
        <f t="shared" si="174"/>
        <v>1150</v>
      </c>
      <c r="M1045" s="87">
        <v>600</v>
      </c>
      <c r="N1045" s="76">
        <f>100</f>
        <v>100</v>
      </c>
      <c r="O1045" s="79">
        <v>240</v>
      </c>
      <c r="P1045" s="79">
        <v>40</v>
      </c>
      <c r="Q1045" s="79">
        <f t="shared" si="175"/>
        <v>315</v>
      </c>
      <c r="R1045" s="79">
        <f t="shared" si="176"/>
        <v>100</v>
      </c>
      <c r="S1045" s="76">
        <f t="shared" si="177"/>
        <v>695</v>
      </c>
      <c r="T1045" s="76">
        <f>50</f>
        <v>50</v>
      </c>
      <c r="U1045" s="77"/>
      <c r="V1045" s="77"/>
      <c r="W1045" s="77"/>
      <c r="X1045" s="77"/>
      <c r="Y1045" s="77"/>
      <c r="Z1045" s="77"/>
      <c r="AA1045" s="77"/>
      <c r="AB1045" s="77"/>
      <c r="AC1045" s="77"/>
      <c r="AD1045" s="77"/>
    </row>
    <row r="1046" spans="1:30" ht="15.75" x14ac:dyDescent="0.25">
      <c r="A1046" s="32">
        <v>72775</v>
      </c>
      <c r="B1046" s="88">
        <f t="shared" si="167"/>
        <v>31</v>
      </c>
      <c r="C1046" s="76">
        <f>122.58</f>
        <v>122.58</v>
      </c>
      <c r="D1046" s="76">
        <f>297.941</f>
        <v>297.94099999999997</v>
      </c>
      <c r="E1046" s="85">
        <f>89.177</f>
        <v>89.177000000000007</v>
      </c>
      <c r="F1046" s="76">
        <f>240.302-40-60-100</f>
        <v>40.301999999999992</v>
      </c>
      <c r="G1046" s="79">
        <v>40</v>
      </c>
      <c r="H1046" s="76">
        <f>60+100</f>
        <v>160</v>
      </c>
      <c r="I1046" s="76">
        <f t="shared" si="171"/>
        <v>0</v>
      </c>
      <c r="J1046" s="79">
        <v>100</v>
      </c>
      <c r="K1046" s="79">
        <v>300</v>
      </c>
      <c r="L1046" s="76">
        <f t="shared" si="174"/>
        <v>1150</v>
      </c>
      <c r="M1046" s="87">
        <v>600</v>
      </c>
      <c r="N1046" s="76">
        <f>100</f>
        <v>100</v>
      </c>
      <c r="O1046" s="79">
        <v>240</v>
      </c>
      <c r="P1046" s="79">
        <v>40</v>
      </c>
      <c r="Q1046" s="79">
        <f t="shared" si="175"/>
        <v>315</v>
      </c>
      <c r="R1046" s="79">
        <f t="shared" si="176"/>
        <v>100</v>
      </c>
      <c r="S1046" s="76">
        <f t="shared" si="177"/>
        <v>695</v>
      </c>
      <c r="T1046" s="76">
        <f>50</f>
        <v>50</v>
      </c>
      <c r="U1046" s="77"/>
      <c r="V1046" s="77"/>
      <c r="W1046" s="77"/>
      <c r="X1046" s="77"/>
      <c r="Y1046" s="77"/>
      <c r="Z1046" s="77"/>
      <c r="AA1046" s="77"/>
      <c r="AB1046" s="77"/>
      <c r="AC1046" s="77"/>
      <c r="AD1046" s="77"/>
    </row>
    <row r="1047" spans="1:30" ht="15.75" x14ac:dyDescent="0.25">
      <c r="A1047" s="32">
        <v>72805</v>
      </c>
      <c r="B1047" s="88">
        <f t="shared" si="167"/>
        <v>30</v>
      </c>
      <c r="C1047" s="76">
        <f>141.293</f>
        <v>141.29300000000001</v>
      </c>
      <c r="D1047" s="76">
        <f>267.993</f>
        <v>267.99299999999999</v>
      </c>
      <c r="E1047" s="85">
        <f>115.016</f>
        <v>115.01600000000001</v>
      </c>
      <c r="F1047" s="76">
        <f>314.698-40-25-60-100</f>
        <v>89.697999999999979</v>
      </c>
      <c r="G1047" s="79">
        <v>40</v>
      </c>
      <c r="H1047" s="76">
        <f t="shared" ref="H1047:H1053" si="178">25+60+100</f>
        <v>185</v>
      </c>
      <c r="I1047" s="76">
        <f t="shared" si="171"/>
        <v>0</v>
      </c>
      <c r="J1047" s="79">
        <v>100</v>
      </c>
      <c r="K1047" s="79">
        <v>300</v>
      </c>
      <c r="L1047" s="76">
        <f t="shared" si="174"/>
        <v>1239</v>
      </c>
      <c r="M1047" s="87">
        <v>600</v>
      </c>
      <c r="N1047" s="76">
        <f>100</f>
        <v>100</v>
      </c>
      <c r="O1047" s="79">
        <v>240</v>
      </c>
      <c r="P1047" s="79">
        <v>40</v>
      </c>
      <c r="Q1047" s="79">
        <f t="shared" si="175"/>
        <v>315</v>
      </c>
      <c r="R1047" s="79">
        <f t="shared" si="176"/>
        <v>100</v>
      </c>
      <c r="S1047" s="76">
        <f t="shared" si="177"/>
        <v>695</v>
      </c>
      <c r="T1047" s="76">
        <f>50</f>
        <v>50</v>
      </c>
      <c r="U1047" s="77"/>
      <c r="V1047" s="77"/>
      <c r="W1047" s="77"/>
      <c r="X1047" s="77"/>
      <c r="Y1047" s="77"/>
      <c r="Z1047" s="77"/>
      <c r="AA1047" s="77"/>
      <c r="AB1047" s="77"/>
      <c r="AC1047" s="77"/>
      <c r="AD1047" s="77"/>
    </row>
    <row r="1048" spans="1:30" ht="15.75" x14ac:dyDescent="0.25">
      <c r="A1048" s="32">
        <v>72836</v>
      </c>
      <c r="B1048" s="88">
        <f t="shared" ref="B1048:B1067" si="179">EOMONTH(A1048,0)-EOMONTH(A1048,-1)</f>
        <v>31</v>
      </c>
      <c r="C1048" s="76">
        <f>194.205</f>
        <v>194.20500000000001</v>
      </c>
      <c r="D1048" s="76">
        <f>267.466</f>
        <v>267.46600000000001</v>
      </c>
      <c r="E1048" s="85">
        <f>133.845</f>
        <v>133.845</v>
      </c>
      <c r="F1048" s="76">
        <f>278.484-40-25-60-100</f>
        <v>53.48399999999998</v>
      </c>
      <c r="G1048" s="79">
        <v>40</v>
      </c>
      <c r="H1048" s="76">
        <f t="shared" si="178"/>
        <v>185</v>
      </c>
      <c r="I1048" s="76">
        <f t="shared" si="171"/>
        <v>0</v>
      </c>
      <c r="J1048" s="79">
        <v>100</v>
      </c>
      <c r="K1048" s="79">
        <v>300</v>
      </c>
      <c r="L1048" s="76">
        <f t="shared" si="174"/>
        <v>1274</v>
      </c>
      <c r="M1048" s="87">
        <v>600</v>
      </c>
      <c r="N1048" s="76">
        <f>75</f>
        <v>75</v>
      </c>
      <c r="O1048" s="79">
        <v>240</v>
      </c>
      <c r="P1048" s="79">
        <v>40</v>
      </c>
      <c r="Q1048" s="79">
        <f t="shared" si="175"/>
        <v>315</v>
      </c>
      <c r="R1048" s="79">
        <f t="shared" si="176"/>
        <v>100</v>
      </c>
      <c r="S1048" s="76">
        <f t="shared" si="177"/>
        <v>695</v>
      </c>
      <c r="T1048" s="76">
        <f>50</f>
        <v>50</v>
      </c>
      <c r="U1048" s="77"/>
      <c r="V1048" s="77"/>
      <c r="W1048" s="77"/>
      <c r="X1048" s="77"/>
      <c r="Y1048" s="77"/>
      <c r="Z1048" s="77"/>
      <c r="AA1048" s="77"/>
      <c r="AB1048" s="77"/>
      <c r="AC1048" s="77"/>
      <c r="AD1048" s="77"/>
    </row>
    <row r="1049" spans="1:30" ht="15.75" x14ac:dyDescent="0.25">
      <c r="A1049" s="32">
        <v>72866</v>
      </c>
      <c r="B1049" s="88">
        <f t="shared" si="179"/>
        <v>30</v>
      </c>
      <c r="C1049" s="76">
        <f>194.205</f>
        <v>194.20500000000001</v>
      </c>
      <c r="D1049" s="76">
        <f>267.466</f>
        <v>267.46600000000001</v>
      </c>
      <c r="E1049" s="85">
        <f>133.845</f>
        <v>133.845</v>
      </c>
      <c r="F1049" s="76">
        <f>278.484-40-25-60-100</f>
        <v>53.48399999999998</v>
      </c>
      <c r="G1049" s="79">
        <v>40</v>
      </c>
      <c r="H1049" s="76">
        <f t="shared" si="178"/>
        <v>185</v>
      </c>
      <c r="I1049" s="76">
        <f t="shared" si="171"/>
        <v>0</v>
      </c>
      <c r="J1049" s="79">
        <v>100</v>
      </c>
      <c r="K1049" s="79">
        <v>300</v>
      </c>
      <c r="L1049" s="76">
        <f t="shared" si="174"/>
        <v>1274</v>
      </c>
      <c r="M1049" s="87">
        <v>600</v>
      </c>
      <c r="N1049" s="76">
        <f>30</f>
        <v>30</v>
      </c>
      <c r="O1049" s="79">
        <v>240</v>
      </c>
      <c r="P1049" s="79">
        <v>40</v>
      </c>
      <c r="Q1049" s="79">
        <f t="shared" si="175"/>
        <v>315</v>
      </c>
      <c r="R1049" s="79">
        <f t="shared" si="176"/>
        <v>100</v>
      </c>
      <c r="S1049" s="76">
        <f t="shared" si="177"/>
        <v>695</v>
      </c>
      <c r="T1049" s="76">
        <f>50</f>
        <v>50</v>
      </c>
      <c r="U1049" s="77"/>
      <c r="V1049" s="77"/>
      <c r="W1049" s="77"/>
      <c r="X1049" s="77"/>
      <c r="Y1049" s="77"/>
      <c r="Z1049" s="77"/>
      <c r="AA1049" s="77"/>
      <c r="AB1049" s="77"/>
      <c r="AC1049" s="77"/>
      <c r="AD1049" s="77"/>
    </row>
    <row r="1050" spans="1:30" ht="15.75" x14ac:dyDescent="0.25">
      <c r="A1050" s="32">
        <v>72897</v>
      </c>
      <c r="B1050" s="88">
        <f t="shared" si="179"/>
        <v>31</v>
      </c>
      <c r="C1050" s="76">
        <f>194.205</f>
        <v>194.20500000000001</v>
      </c>
      <c r="D1050" s="76">
        <f>267.466</f>
        <v>267.46600000000001</v>
      </c>
      <c r="E1050" s="85">
        <f>133.845</f>
        <v>133.845</v>
      </c>
      <c r="F1050" s="76">
        <f>278.484-40-25-60-100</f>
        <v>53.48399999999998</v>
      </c>
      <c r="G1050" s="79">
        <v>40</v>
      </c>
      <c r="H1050" s="76">
        <f t="shared" si="178"/>
        <v>185</v>
      </c>
      <c r="I1050" s="76">
        <f t="shared" si="171"/>
        <v>0</v>
      </c>
      <c r="J1050" s="79">
        <v>100</v>
      </c>
      <c r="K1050" s="79">
        <v>300</v>
      </c>
      <c r="L1050" s="76">
        <f t="shared" si="174"/>
        <v>1274</v>
      </c>
      <c r="M1050" s="87">
        <v>600</v>
      </c>
      <c r="N1050" s="76">
        <f>30</f>
        <v>30</v>
      </c>
      <c r="O1050" s="79">
        <v>240</v>
      </c>
      <c r="P1050" s="79">
        <v>40</v>
      </c>
      <c r="Q1050" s="79">
        <f t="shared" si="175"/>
        <v>315</v>
      </c>
      <c r="R1050" s="79">
        <f t="shared" si="176"/>
        <v>100</v>
      </c>
      <c r="S1050" s="76">
        <f t="shared" si="177"/>
        <v>695</v>
      </c>
      <c r="T1050" s="76">
        <f>0</f>
        <v>0</v>
      </c>
      <c r="U1050" s="77"/>
      <c r="V1050" s="77"/>
      <c r="W1050" s="77"/>
      <c r="X1050" s="77"/>
      <c r="Y1050" s="77"/>
      <c r="Z1050" s="77"/>
      <c r="AA1050" s="77"/>
      <c r="AB1050" s="77"/>
      <c r="AC1050" s="77"/>
      <c r="AD1050" s="77"/>
    </row>
    <row r="1051" spans="1:30" ht="15.75" x14ac:dyDescent="0.25">
      <c r="A1051" s="32">
        <v>72928</v>
      </c>
      <c r="B1051" s="88">
        <f t="shared" si="179"/>
        <v>31</v>
      </c>
      <c r="C1051" s="76">
        <f>194.205</f>
        <v>194.20500000000001</v>
      </c>
      <c r="D1051" s="76">
        <f>267.466</f>
        <v>267.46600000000001</v>
      </c>
      <c r="E1051" s="85">
        <f>133.845</f>
        <v>133.845</v>
      </c>
      <c r="F1051" s="76">
        <f>278.484-40-25-60-100</f>
        <v>53.48399999999998</v>
      </c>
      <c r="G1051" s="79">
        <v>40</v>
      </c>
      <c r="H1051" s="76">
        <f t="shared" si="178"/>
        <v>185</v>
      </c>
      <c r="I1051" s="76">
        <f t="shared" si="171"/>
        <v>0</v>
      </c>
      <c r="J1051" s="79">
        <v>100</v>
      </c>
      <c r="K1051" s="79">
        <v>300</v>
      </c>
      <c r="L1051" s="76">
        <f t="shared" si="174"/>
        <v>1274</v>
      </c>
      <c r="M1051" s="87">
        <v>600</v>
      </c>
      <c r="N1051" s="76">
        <f>30</f>
        <v>30</v>
      </c>
      <c r="O1051" s="79">
        <v>240</v>
      </c>
      <c r="P1051" s="79">
        <v>40</v>
      </c>
      <c r="Q1051" s="79">
        <f t="shared" si="175"/>
        <v>315</v>
      </c>
      <c r="R1051" s="79">
        <f t="shared" si="176"/>
        <v>100</v>
      </c>
      <c r="S1051" s="76">
        <f t="shared" si="177"/>
        <v>695</v>
      </c>
      <c r="T1051" s="76">
        <f>0</f>
        <v>0</v>
      </c>
      <c r="U1051" s="77"/>
      <c r="V1051" s="77"/>
      <c r="W1051" s="77"/>
      <c r="X1051" s="77"/>
      <c r="Y1051" s="77"/>
      <c r="Z1051" s="77"/>
      <c r="AA1051" s="77"/>
      <c r="AB1051" s="77"/>
      <c r="AC1051" s="77"/>
      <c r="AD1051" s="77"/>
    </row>
    <row r="1052" spans="1:30" ht="15.75" x14ac:dyDescent="0.25">
      <c r="A1052" s="32">
        <v>72958</v>
      </c>
      <c r="B1052" s="88">
        <f t="shared" si="179"/>
        <v>30</v>
      </c>
      <c r="C1052" s="76">
        <f>194.205</f>
        <v>194.20500000000001</v>
      </c>
      <c r="D1052" s="76">
        <f>267.466</f>
        <v>267.46600000000001</v>
      </c>
      <c r="E1052" s="85">
        <f>133.845</f>
        <v>133.845</v>
      </c>
      <c r="F1052" s="76">
        <f>278.484-40-25-60-100</f>
        <v>53.48399999999998</v>
      </c>
      <c r="G1052" s="79">
        <v>40</v>
      </c>
      <c r="H1052" s="76">
        <f t="shared" si="178"/>
        <v>185</v>
      </c>
      <c r="I1052" s="76">
        <f t="shared" si="171"/>
        <v>0</v>
      </c>
      <c r="J1052" s="79">
        <v>100</v>
      </c>
      <c r="K1052" s="79">
        <v>300</v>
      </c>
      <c r="L1052" s="76">
        <f t="shared" si="174"/>
        <v>1274</v>
      </c>
      <c r="M1052" s="87">
        <v>600</v>
      </c>
      <c r="N1052" s="76">
        <f>30</f>
        <v>30</v>
      </c>
      <c r="O1052" s="79">
        <v>240</v>
      </c>
      <c r="P1052" s="79">
        <v>40</v>
      </c>
      <c r="Q1052" s="79">
        <f t="shared" si="175"/>
        <v>315</v>
      </c>
      <c r="R1052" s="79">
        <f t="shared" si="176"/>
        <v>100</v>
      </c>
      <c r="S1052" s="76">
        <f t="shared" si="177"/>
        <v>695</v>
      </c>
      <c r="T1052" s="76">
        <f>0</f>
        <v>0</v>
      </c>
      <c r="U1052" s="77"/>
      <c r="V1052" s="77"/>
      <c r="W1052" s="77"/>
      <c r="X1052" s="77"/>
      <c r="Y1052" s="77"/>
      <c r="Z1052" s="77"/>
      <c r="AA1052" s="77"/>
      <c r="AB1052" s="77"/>
      <c r="AC1052" s="77"/>
      <c r="AD1052" s="77"/>
    </row>
    <row r="1053" spans="1:30" ht="15.75" x14ac:dyDescent="0.25">
      <c r="A1053" s="32">
        <v>72989</v>
      </c>
      <c r="B1053" s="88">
        <f t="shared" si="179"/>
        <v>31</v>
      </c>
      <c r="C1053" s="76">
        <f>131.881</f>
        <v>131.881</v>
      </c>
      <c r="D1053" s="76">
        <f>277.167</f>
        <v>277.16699999999997</v>
      </c>
      <c r="E1053" s="85">
        <f>79.08</f>
        <v>79.08</v>
      </c>
      <c r="F1053" s="76">
        <f>350.872-40-25-60-100</f>
        <v>125.87200000000001</v>
      </c>
      <c r="G1053" s="79">
        <v>40</v>
      </c>
      <c r="H1053" s="76">
        <f t="shared" si="178"/>
        <v>185</v>
      </c>
      <c r="I1053" s="76">
        <f t="shared" si="171"/>
        <v>0</v>
      </c>
      <c r="J1053" s="79">
        <v>100</v>
      </c>
      <c r="K1053" s="79">
        <v>300</v>
      </c>
      <c r="L1053" s="76">
        <f t="shared" si="174"/>
        <v>1239</v>
      </c>
      <c r="M1053" s="87">
        <v>600</v>
      </c>
      <c r="N1053" s="76">
        <f>75</f>
        <v>75</v>
      </c>
      <c r="O1053" s="79">
        <v>240</v>
      </c>
      <c r="P1053" s="79">
        <v>40</v>
      </c>
      <c r="Q1053" s="79">
        <f t="shared" si="175"/>
        <v>315</v>
      </c>
      <c r="R1053" s="79">
        <f t="shared" si="176"/>
        <v>100</v>
      </c>
      <c r="S1053" s="76">
        <f t="shared" si="177"/>
        <v>695</v>
      </c>
      <c r="T1053" s="76">
        <f>0</f>
        <v>0</v>
      </c>
      <c r="U1053" s="77"/>
      <c r="V1053" s="77"/>
      <c r="W1053" s="77"/>
      <c r="X1053" s="77"/>
      <c r="Y1053" s="77"/>
      <c r="Z1053" s="77"/>
      <c r="AA1053" s="77"/>
      <c r="AB1053" s="77"/>
      <c r="AC1053" s="77"/>
      <c r="AD1053" s="77"/>
    </row>
    <row r="1054" spans="1:30" ht="15.75" x14ac:dyDescent="0.25">
      <c r="A1054" s="32">
        <v>73019</v>
      </c>
      <c r="B1054" s="88">
        <f t="shared" si="179"/>
        <v>30</v>
      </c>
      <c r="C1054" s="76">
        <f>122.58</f>
        <v>122.58</v>
      </c>
      <c r="D1054" s="76">
        <f>297.941</f>
        <v>297.94099999999997</v>
      </c>
      <c r="E1054" s="85">
        <f>89.177</f>
        <v>89.177000000000007</v>
      </c>
      <c r="F1054" s="76">
        <f>240.302-40-60-100</f>
        <v>40.301999999999992</v>
      </c>
      <c r="G1054" s="79">
        <v>40</v>
      </c>
      <c r="H1054" s="76">
        <f>60+100</f>
        <v>160</v>
      </c>
      <c r="I1054" s="76">
        <f t="shared" si="171"/>
        <v>0</v>
      </c>
      <c r="J1054" s="79">
        <v>100</v>
      </c>
      <c r="K1054" s="79">
        <v>300</v>
      </c>
      <c r="L1054" s="76">
        <f t="shared" si="174"/>
        <v>1150</v>
      </c>
      <c r="M1054" s="87">
        <v>600</v>
      </c>
      <c r="N1054" s="76">
        <f>100</f>
        <v>100</v>
      </c>
      <c r="O1054" s="79">
        <v>240</v>
      </c>
      <c r="P1054" s="79">
        <v>40</v>
      </c>
      <c r="Q1054" s="79">
        <f t="shared" si="175"/>
        <v>315</v>
      </c>
      <c r="R1054" s="79">
        <f t="shared" si="176"/>
        <v>100</v>
      </c>
      <c r="S1054" s="76">
        <f t="shared" si="177"/>
        <v>695</v>
      </c>
      <c r="T1054" s="76">
        <f>50</f>
        <v>50</v>
      </c>
      <c r="U1054" s="77"/>
      <c r="V1054" s="77"/>
      <c r="W1054" s="77"/>
      <c r="X1054" s="77"/>
      <c r="Y1054" s="77"/>
      <c r="Z1054" s="77"/>
      <c r="AA1054" s="77"/>
      <c r="AB1054" s="77"/>
      <c r="AC1054" s="77"/>
      <c r="AD1054" s="77"/>
    </row>
    <row r="1055" spans="1:30" ht="15.75" x14ac:dyDescent="0.25">
      <c r="A1055" s="32">
        <v>73050</v>
      </c>
      <c r="B1055" s="88">
        <f t="shared" si="179"/>
        <v>31</v>
      </c>
      <c r="C1055" s="76">
        <f>122.58</f>
        <v>122.58</v>
      </c>
      <c r="D1055" s="76">
        <f>297.941</f>
        <v>297.94099999999997</v>
      </c>
      <c r="E1055" s="85">
        <f>89.177</f>
        <v>89.177000000000007</v>
      </c>
      <c r="F1055" s="76">
        <f>240.302-40-60-100</f>
        <v>40.301999999999992</v>
      </c>
      <c r="G1055" s="79">
        <v>40</v>
      </c>
      <c r="H1055" s="76">
        <f>60+100</f>
        <v>160</v>
      </c>
      <c r="I1055" s="76">
        <f t="shared" si="171"/>
        <v>0</v>
      </c>
      <c r="J1055" s="79">
        <v>100</v>
      </c>
      <c r="K1055" s="79">
        <v>300</v>
      </c>
      <c r="L1055" s="76">
        <f t="shared" si="174"/>
        <v>1150</v>
      </c>
      <c r="M1055" s="87">
        <v>600</v>
      </c>
      <c r="N1055" s="76">
        <f>100</f>
        <v>100</v>
      </c>
      <c r="O1055" s="79">
        <v>240</v>
      </c>
      <c r="P1055" s="79">
        <v>40</v>
      </c>
      <c r="Q1055" s="79">
        <f t="shared" si="175"/>
        <v>315</v>
      </c>
      <c r="R1055" s="79">
        <f t="shared" si="176"/>
        <v>100</v>
      </c>
      <c r="S1055" s="76">
        <f t="shared" si="177"/>
        <v>695</v>
      </c>
      <c r="T1055" s="76">
        <f>50</f>
        <v>50</v>
      </c>
      <c r="U1055" s="77"/>
      <c r="V1055" s="77"/>
      <c r="W1055" s="77"/>
      <c r="X1055" s="77"/>
      <c r="Y1055" s="77"/>
      <c r="Z1055" s="77"/>
      <c r="AA1055" s="77"/>
      <c r="AB1055" s="77"/>
      <c r="AC1055" s="77"/>
      <c r="AD1055" s="77"/>
    </row>
    <row r="1056" spans="1:30" ht="15.75" x14ac:dyDescent="0.25">
      <c r="A1056" s="32">
        <v>73081</v>
      </c>
      <c r="B1056" s="88">
        <f t="shared" si="179"/>
        <v>31</v>
      </c>
      <c r="C1056" s="76">
        <f>122.58</f>
        <v>122.58</v>
      </c>
      <c r="D1056" s="76">
        <f>297.941</f>
        <v>297.94099999999997</v>
      </c>
      <c r="E1056" s="85">
        <f>89.177</f>
        <v>89.177000000000007</v>
      </c>
      <c r="F1056" s="76">
        <f>240.302-40-60-100</f>
        <v>40.301999999999992</v>
      </c>
      <c r="G1056" s="79">
        <v>40</v>
      </c>
      <c r="H1056" s="76">
        <f>60+100</f>
        <v>160</v>
      </c>
      <c r="I1056" s="76">
        <f t="shared" si="171"/>
        <v>0</v>
      </c>
      <c r="J1056" s="79">
        <v>100</v>
      </c>
      <c r="K1056" s="79">
        <v>300</v>
      </c>
      <c r="L1056" s="76">
        <f t="shared" si="174"/>
        <v>1150</v>
      </c>
      <c r="M1056" s="87">
        <v>600</v>
      </c>
      <c r="N1056" s="76">
        <f>100</f>
        <v>100</v>
      </c>
      <c r="O1056" s="79">
        <v>240</v>
      </c>
      <c r="P1056" s="79">
        <v>40</v>
      </c>
      <c r="Q1056" s="79">
        <f t="shared" si="175"/>
        <v>315</v>
      </c>
      <c r="R1056" s="79">
        <f t="shared" si="176"/>
        <v>100</v>
      </c>
      <c r="S1056" s="76">
        <f t="shared" si="177"/>
        <v>695</v>
      </c>
      <c r="T1056" s="76">
        <f>50</f>
        <v>50</v>
      </c>
      <c r="U1056" s="77"/>
      <c r="V1056" s="77"/>
      <c r="W1056" s="77"/>
      <c r="X1056" s="77"/>
      <c r="Y1056" s="77"/>
      <c r="Z1056" s="77"/>
      <c r="AA1056" s="77"/>
      <c r="AB1056" s="77"/>
      <c r="AC1056" s="77"/>
      <c r="AD1056" s="77"/>
    </row>
    <row r="1057" spans="1:30" ht="15.75" x14ac:dyDescent="0.25">
      <c r="A1057" s="32">
        <v>73109</v>
      </c>
      <c r="B1057" s="88">
        <f t="shared" si="179"/>
        <v>28</v>
      </c>
      <c r="C1057" s="76">
        <f>122.58</f>
        <v>122.58</v>
      </c>
      <c r="D1057" s="76">
        <f>297.941</f>
        <v>297.94099999999997</v>
      </c>
      <c r="E1057" s="85">
        <f>89.177</f>
        <v>89.177000000000007</v>
      </c>
      <c r="F1057" s="76">
        <f>240.302-40-60-100</f>
        <v>40.301999999999992</v>
      </c>
      <c r="G1057" s="79">
        <v>40</v>
      </c>
      <c r="H1057" s="76">
        <f>60+100</f>
        <v>160</v>
      </c>
      <c r="I1057" s="76">
        <f t="shared" si="171"/>
        <v>0</v>
      </c>
      <c r="J1057" s="79">
        <v>100</v>
      </c>
      <c r="K1057" s="79">
        <v>300</v>
      </c>
      <c r="L1057" s="76">
        <f t="shared" si="174"/>
        <v>1150</v>
      </c>
      <c r="M1057" s="87">
        <v>600</v>
      </c>
      <c r="N1057" s="76">
        <f>100</f>
        <v>100</v>
      </c>
      <c r="O1057" s="79">
        <v>240</v>
      </c>
      <c r="P1057" s="79">
        <v>40</v>
      </c>
      <c r="Q1057" s="79">
        <f t="shared" si="175"/>
        <v>315</v>
      </c>
      <c r="R1057" s="79">
        <f t="shared" si="176"/>
        <v>100</v>
      </c>
      <c r="S1057" s="76">
        <f t="shared" si="177"/>
        <v>695</v>
      </c>
      <c r="T1057" s="76">
        <f>50</f>
        <v>50</v>
      </c>
      <c r="U1057" s="77"/>
      <c r="V1057" s="77"/>
      <c r="W1057" s="77"/>
      <c r="X1057" s="77"/>
      <c r="Y1057" s="77"/>
      <c r="Z1057" s="77"/>
      <c r="AA1057" s="77"/>
      <c r="AB1057" s="77"/>
      <c r="AC1057" s="77"/>
      <c r="AD1057" s="77"/>
    </row>
    <row r="1058" spans="1:30" ht="15.75" x14ac:dyDescent="0.25">
      <c r="A1058" s="32">
        <v>73140</v>
      </c>
      <c r="B1058" s="88">
        <f t="shared" si="179"/>
        <v>31</v>
      </c>
      <c r="C1058" s="76">
        <f>122.58</f>
        <v>122.58</v>
      </c>
      <c r="D1058" s="76">
        <f>297.941</f>
        <v>297.94099999999997</v>
      </c>
      <c r="E1058" s="85">
        <f>89.177</f>
        <v>89.177000000000007</v>
      </c>
      <c r="F1058" s="76">
        <f>240.302-40-60-100</f>
        <v>40.301999999999992</v>
      </c>
      <c r="G1058" s="79">
        <v>40</v>
      </c>
      <c r="H1058" s="76">
        <f>60+100</f>
        <v>160</v>
      </c>
      <c r="I1058" s="76">
        <f t="shared" si="171"/>
        <v>0</v>
      </c>
      <c r="J1058" s="79">
        <v>100</v>
      </c>
      <c r="K1058" s="79">
        <v>300</v>
      </c>
      <c r="L1058" s="76">
        <f t="shared" si="174"/>
        <v>1150</v>
      </c>
      <c r="M1058" s="87">
        <v>600</v>
      </c>
      <c r="N1058" s="76">
        <f>100</f>
        <v>100</v>
      </c>
      <c r="O1058" s="79">
        <v>240</v>
      </c>
      <c r="P1058" s="79">
        <v>40</v>
      </c>
      <c r="Q1058" s="79">
        <f t="shared" si="175"/>
        <v>315</v>
      </c>
      <c r="R1058" s="79">
        <f t="shared" si="176"/>
        <v>100</v>
      </c>
      <c r="S1058" s="76">
        <f t="shared" si="177"/>
        <v>695</v>
      </c>
      <c r="T1058" s="76">
        <f>50</f>
        <v>50</v>
      </c>
      <c r="U1058" s="77"/>
      <c r="V1058" s="77"/>
      <c r="W1058" s="77"/>
      <c r="X1058" s="77"/>
      <c r="Y1058" s="77"/>
      <c r="Z1058" s="77"/>
      <c r="AA1058" s="77"/>
      <c r="AB1058" s="77"/>
      <c r="AC1058" s="77"/>
      <c r="AD1058" s="77"/>
    </row>
    <row r="1059" spans="1:30" ht="15.75" x14ac:dyDescent="0.25">
      <c r="A1059" s="32">
        <v>73170</v>
      </c>
      <c r="B1059" s="88">
        <f t="shared" si="179"/>
        <v>30</v>
      </c>
      <c r="C1059" s="76">
        <f>141.293</f>
        <v>141.29300000000001</v>
      </c>
      <c r="D1059" s="76">
        <f>267.993</f>
        <v>267.99299999999999</v>
      </c>
      <c r="E1059" s="85">
        <f>115.016</f>
        <v>115.01600000000001</v>
      </c>
      <c r="F1059" s="76">
        <f>314.698-40-25-60-100</f>
        <v>89.697999999999979</v>
      </c>
      <c r="G1059" s="79">
        <v>40</v>
      </c>
      <c r="H1059" s="76">
        <f t="shared" ref="H1059:H1065" si="180">25+60+100</f>
        <v>185</v>
      </c>
      <c r="I1059" s="76">
        <f t="shared" si="171"/>
        <v>0</v>
      </c>
      <c r="J1059" s="79">
        <v>100</v>
      </c>
      <c r="K1059" s="79">
        <v>300</v>
      </c>
      <c r="L1059" s="76">
        <f t="shared" si="174"/>
        <v>1239</v>
      </c>
      <c r="M1059" s="87">
        <v>600</v>
      </c>
      <c r="N1059" s="76">
        <f>100</f>
        <v>100</v>
      </c>
      <c r="O1059" s="79">
        <v>240</v>
      </c>
      <c r="P1059" s="79">
        <v>40</v>
      </c>
      <c r="Q1059" s="79">
        <f t="shared" si="175"/>
        <v>315</v>
      </c>
      <c r="R1059" s="79">
        <f t="shared" si="176"/>
        <v>100</v>
      </c>
      <c r="S1059" s="76">
        <f t="shared" si="177"/>
        <v>695</v>
      </c>
      <c r="T1059" s="76">
        <f>50</f>
        <v>50</v>
      </c>
      <c r="U1059" s="77"/>
      <c r="V1059" s="77"/>
      <c r="W1059" s="77"/>
      <c r="X1059" s="77"/>
      <c r="Y1059" s="77"/>
      <c r="Z1059" s="77"/>
      <c r="AA1059" s="77"/>
      <c r="AB1059" s="77"/>
      <c r="AC1059" s="77"/>
      <c r="AD1059" s="77"/>
    </row>
    <row r="1060" spans="1:30" ht="15.75" x14ac:dyDescent="0.25">
      <c r="A1060" s="32">
        <v>73201</v>
      </c>
      <c r="B1060" s="88">
        <f t="shared" si="179"/>
        <v>31</v>
      </c>
      <c r="C1060" s="76">
        <f>194.205</f>
        <v>194.20500000000001</v>
      </c>
      <c r="D1060" s="76">
        <f>267.466</f>
        <v>267.46600000000001</v>
      </c>
      <c r="E1060" s="85">
        <f>133.845</f>
        <v>133.845</v>
      </c>
      <c r="F1060" s="76">
        <f>278.484-40-25-60-100</f>
        <v>53.48399999999998</v>
      </c>
      <c r="G1060" s="79">
        <v>40</v>
      </c>
      <c r="H1060" s="76">
        <f t="shared" si="180"/>
        <v>185</v>
      </c>
      <c r="I1060" s="76">
        <f t="shared" si="171"/>
        <v>0</v>
      </c>
      <c r="J1060" s="79">
        <v>100</v>
      </c>
      <c r="K1060" s="79">
        <v>300</v>
      </c>
      <c r="L1060" s="76">
        <f t="shared" si="174"/>
        <v>1274</v>
      </c>
      <c r="M1060" s="87">
        <v>600</v>
      </c>
      <c r="N1060" s="76">
        <f>75</f>
        <v>75</v>
      </c>
      <c r="O1060" s="79">
        <v>240</v>
      </c>
      <c r="P1060" s="79">
        <v>40</v>
      </c>
      <c r="Q1060" s="79">
        <f t="shared" si="175"/>
        <v>315</v>
      </c>
      <c r="R1060" s="79">
        <f t="shared" si="176"/>
        <v>100</v>
      </c>
      <c r="S1060" s="76">
        <f t="shared" si="177"/>
        <v>695</v>
      </c>
      <c r="T1060" s="76">
        <f>50</f>
        <v>50</v>
      </c>
      <c r="U1060" s="77"/>
      <c r="V1060" s="77"/>
      <c r="W1060" s="77"/>
      <c r="X1060" s="77"/>
      <c r="Y1060" s="77"/>
      <c r="Z1060" s="77"/>
      <c r="AA1060" s="77"/>
      <c r="AB1060" s="77"/>
      <c r="AC1060" s="77"/>
      <c r="AD1060" s="77"/>
    </row>
    <row r="1061" spans="1:30" ht="15.75" x14ac:dyDescent="0.25">
      <c r="A1061" s="32">
        <v>73231</v>
      </c>
      <c r="B1061" s="88">
        <f t="shared" si="179"/>
        <v>30</v>
      </c>
      <c r="C1061" s="76">
        <f>194.205</f>
        <v>194.20500000000001</v>
      </c>
      <c r="D1061" s="76">
        <f>267.466</f>
        <v>267.46600000000001</v>
      </c>
      <c r="E1061" s="85">
        <f>133.845</f>
        <v>133.845</v>
      </c>
      <c r="F1061" s="76">
        <f>278.484-40-25-60-100</f>
        <v>53.48399999999998</v>
      </c>
      <c r="G1061" s="79">
        <v>40</v>
      </c>
      <c r="H1061" s="76">
        <f t="shared" si="180"/>
        <v>185</v>
      </c>
      <c r="I1061" s="76">
        <f t="shared" si="171"/>
        <v>0</v>
      </c>
      <c r="J1061" s="79">
        <v>100</v>
      </c>
      <c r="K1061" s="79">
        <v>300</v>
      </c>
      <c r="L1061" s="76">
        <f t="shared" si="174"/>
        <v>1274</v>
      </c>
      <c r="M1061" s="87">
        <v>600</v>
      </c>
      <c r="N1061" s="76">
        <f>30</f>
        <v>30</v>
      </c>
      <c r="O1061" s="79">
        <v>240</v>
      </c>
      <c r="P1061" s="79">
        <v>40</v>
      </c>
      <c r="Q1061" s="79">
        <f t="shared" si="175"/>
        <v>315</v>
      </c>
      <c r="R1061" s="79">
        <f t="shared" si="176"/>
        <v>100</v>
      </c>
      <c r="S1061" s="76">
        <f t="shared" si="177"/>
        <v>695</v>
      </c>
      <c r="T1061" s="76">
        <f>50</f>
        <v>50</v>
      </c>
      <c r="U1061" s="77"/>
      <c r="V1061" s="77"/>
      <c r="W1061" s="77"/>
      <c r="X1061" s="77"/>
      <c r="Y1061" s="77"/>
      <c r="Z1061" s="77"/>
      <c r="AA1061" s="77"/>
      <c r="AB1061" s="77"/>
      <c r="AC1061" s="77"/>
      <c r="AD1061" s="77"/>
    </row>
    <row r="1062" spans="1:30" ht="15.75" x14ac:dyDescent="0.25">
      <c r="A1062" s="32">
        <v>73262</v>
      </c>
      <c r="B1062" s="88">
        <f t="shared" si="179"/>
        <v>31</v>
      </c>
      <c r="C1062" s="76">
        <f>194.205</f>
        <v>194.20500000000001</v>
      </c>
      <c r="D1062" s="76">
        <f>267.466</f>
        <v>267.46600000000001</v>
      </c>
      <c r="E1062" s="85">
        <f>133.845</f>
        <v>133.845</v>
      </c>
      <c r="F1062" s="76">
        <f>278.484-40-25-60-100</f>
        <v>53.48399999999998</v>
      </c>
      <c r="G1062" s="79">
        <v>40</v>
      </c>
      <c r="H1062" s="76">
        <f t="shared" si="180"/>
        <v>185</v>
      </c>
      <c r="I1062" s="76">
        <f t="shared" si="171"/>
        <v>0</v>
      </c>
      <c r="J1062" s="79">
        <v>100</v>
      </c>
      <c r="K1062" s="79">
        <v>300</v>
      </c>
      <c r="L1062" s="76">
        <f t="shared" si="174"/>
        <v>1274</v>
      </c>
      <c r="M1062" s="87">
        <v>600</v>
      </c>
      <c r="N1062" s="76">
        <f>30</f>
        <v>30</v>
      </c>
      <c r="O1062" s="79">
        <v>240</v>
      </c>
      <c r="P1062" s="79">
        <v>40</v>
      </c>
      <c r="Q1062" s="79">
        <f t="shared" si="175"/>
        <v>315</v>
      </c>
      <c r="R1062" s="79">
        <f t="shared" si="176"/>
        <v>100</v>
      </c>
      <c r="S1062" s="76">
        <f t="shared" si="177"/>
        <v>695</v>
      </c>
      <c r="T1062" s="76">
        <f>0</f>
        <v>0</v>
      </c>
      <c r="U1062" s="77"/>
      <c r="V1062" s="77"/>
      <c r="W1062" s="77"/>
      <c r="X1062" s="77"/>
      <c r="Y1062" s="77"/>
      <c r="Z1062" s="77"/>
      <c r="AA1062" s="77"/>
      <c r="AB1062" s="77"/>
      <c r="AC1062" s="77"/>
      <c r="AD1062" s="77"/>
    </row>
    <row r="1063" spans="1:30" ht="15.75" x14ac:dyDescent="0.25">
      <c r="A1063" s="32">
        <v>73293</v>
      </c>
      <c r="B1063" s="88">
        <f t="shared" si="179"/>
        <v>31</v>
      </c>
      <c r="C1063" s="76">
        <f>194.205</f>
        <v>194.20500000000001</v>
      </c>
      <c r="D1063" s="76">
        <f>267.466</f>
        <v>267.46600000000001</v>
      </c>
      <c r="E1063" s="85">
        <f>133.845</f>
        <v>133.845</v>
      </c>
      <c r="F1063" s="76">
        <f>278.484-40-25-60-100</f>
        <v>53.48399999999998</v>
      </c>
      <c r="G1063" s="79">
        <v>40</v>
      </c>
      <c r="H1063" s="76">
        <f t="shared" si="180"/>
        <v>185</v>
      </c>
      <c r="I1063" s="76">
        <f t="shared" si="171"/>
        <v>0</v>
      </c>
      <c r="J1063" s="79">
        <v>100</v>
      </c>
      <c r="K1063" s="79">
        <v>300</v>
      </c>
      <c r="L1063" s="76">
        <f t="shared" si="174"/>
        <v>1274</v>
      </c>
      <c r="M1063" s="87">
        <v>600</v>
      </c>
      <c r="N1063" s="76">
        <f>30</f>
        <v>30</v>
      </c>
      <c r="O1063" s="79">
        <v>240</v>
      </c>
      <c r="P1063" s="79">
        <v>40</v>
      </c>
      <c r="Q1063" s="79">
        <f t="shared" si="175"/>
        <v>315</v>
      </c>
      <c r="R1063" s="79">
        <f t="shared" si="176"/>
        <v>100</v>
      </c>
      <c r="S1063" s="76">
        <f t="shared" si="177"/>
        <v>695</v>
      </c>
      <c r="T1063" s="76">
        <f>0</f>
        <v>0</v>
      </c>
      <c r="U1063" s="77"/>
      <c r="V1063" s="77"/>
      <c r="W1063" s="77"/>
      <c r="X1063" s="77"/>
      <c r="Y1063" s="77"/>
      <c r="Z1063" s="77"/>
      <c r="AA1063" s="77"/>
      <c r="AB1063" s="77"/>
      <c r="AC1063" s="77"/>
      <c r="AD1063" s="77"/>
    </row>
    <row r="1064" spans="1:30" ht="15.75" x14ac:dyDescent="0.25">
      <c r="A1064" s="32">
        <v>73323</v>
      </c>
      <c r="B1064" s="88">
        <f t="shared" si="179"/>
        <v>30</v>
      </c>
      <c r="C1064" s="76">
        <f>194.205</f>
        <v>194.20500000000001</v>
      </c>
      <c r="D1064" s="76">
        <f>267.466</f>
        <v>267.46600000000001</v>
      </c>
      <c r="E1064" s="85">
        <f>133.845</f>
        <v>133.845</v>
      </c>
      <c r="F1064" s="76">
        <f>278.484-40-25-60-100</f>
        <v>53.48399999999998</v>
      </c>
      <c r="G1064" s="79">
        <v>40</v>
      </c>
      <c r="H1064" s="76">
        <f t="shared" si="180"/>
        <v>185</v>
      </c>
      <c r="I1064" s="76">
        <f t="shared" si="171"/>
        <v>0</v>
      </c>
      <c r="J1064" s="79">
        <v>100</v>
      </c>
      <c r="K1064" s="79">
        <v>300</v>
      </c>
      <c r="L1064" s="76">
        <f t="shared" si="174"/>
        <v>1274</v>
      </c>
      <c r="M1064" s="87">
        <v>600</v>
      </c>
      <c r="N1064" s="76">
        <f>30</f>
        <v>30</v>
      </c>
      <c r="O1064" s="79">
        <v>240</v>
      </c>
      <c r="P1064" s="79">
        <v>40</v>
      </c>
      <c r="Q1064" s="79">
        <f t="shared" si="175"/>
        <v>315</v>
      </c>
      <c r="R1064" s="79">
        <f t="shared" si="176"/>
        <v>100</v>
      </c>
      <c r="S1064" s="76">
        <f t="shared" si="177"/>
        <v>695</v>
      </c>
      <c r="T1064" s="76">
        <f>0</f>
        <v>0</v>
      </c>
      <c r="U1064" s="77"/>
      <c r="V1064" s="77"/>
      <c r="W1064" s="77"/>
      <c r="X1064" s="77"/>
      <c r="Y1064" s="77"/>
      <c r="Z1064" s="77"/>
      <c r="AA1064" s="77"/>
      <c r="AB1064" s="77"/>
      <c r="AC1064" s="77"/>
      <c r="AD1064" s="77"/>
    </row>
    <row r="1065" spans="1:30" ht="15.75" x14ac:dyDescent="0.25">
      <c r="A1065" s="32">
        <v>73354</v>
      </c>
      <c r="B1065" s="88">
        <f t="shared" si="179"/>
        <v>31</v>
      </c>
      <c r="C1065" s="76">
        <f>131.881</f>
        <v>131.881</v>
      </c>
      <c r="D1065" s="76">
        <f>277.167</f>
        <v>277.16699999999997</v>
      </c>
      <c r="E1065" s="85">
        <f>79.08</f>
        <v>79.08</v>
      </c>
      <c r="F1065" s="76">
        <f>350.872-40-25-60-100</f>
        <v>125.87200000000001</v>
      </c>
      <c r="G1065" s="79">
        <v>40</v>
      </c>
      <c r="H1065" s="76">
        <f t="shared" si="180"/>
        <v>185</v>
      </c>
      <c r="I1065" s="76">
        <f t="shared" si="171"/>
        <v>0</v>
      </c>
      <c r="J1065" s="79">
        <v>100</v>
      </c>
      <c r="K1065" s="79">
        <v>300</v>
      </c>
      <c r="L1065" s="76">
        <f t="shared" si="174"/>
        <v>1239</v>
      </c>
      <c r="M1065" s="87">
        <v>600</v>
      </c>
      <c r="N1065" s="76">
        <f>75</f>
        <v>75</v>
      </c>
      <c r="O1065" s="79">
        <v>240</v>
      </c>
      <c r="P1065" s="79">
        <v>40</v>
      </c>
      <c r="Q1065" s="79">
        <f t="shared" si="175"/>
        <v>315</v>
      </c>
      <c r="R1065" s="79">
        <f t="shared" si="176"/>
        <v>100</v>
      </c>
      <c r="S1065" s="76">
        <f t="shared" si="177"/>
        <v>695</v>
      </c>
      <c r="T1065" s="76">
        <f>0</f>
        <v>0</v>
      </c>
      <c r="U1065" s="77"/>
      <c r="V1065" s="77"/>
      <c r="W1065" s="77"/>
      <c r="X1065" s="77"/>
      <c r="Y1065" s="77"/>
      <c r="Z1065" s="77"/>
      <c r="AA1065" s="77"/>
      <c r="AB1065" s="77"/>
      <c r="AC1065" s="77"/>
      <c r="AD1065" s="77"/>
    </row>
    <row r="1066" spans="1:30" ht="15.75" x14ac:dyDescent="0.25">
      <c r="A1066" s="32">
        <v>73384</v>
      </c>
      <c r="B1066" s="88">
        <f t="shared" si="179"/>
        <v>30</v>
      </c>
      <c r="C1066" s="76">
        <f>122.58</f>
        <v>122.58</v>
      </c>
      <c r="D1066" s="76">
        <f>297.941</f>
        <v>297.94099999999997</v>
      </c>
      <c r="E1066" s="85">
        <f>89.177</f>
        <v>89.177000000000007</v>
      </c>
      <c r="F1066" s="76">
        <f>240.302-40-60-100</f>
        <v>40.301999999999992</v>
      </c>
      <c r="G1066" s="79">
        <v>40</v>
      </c>
      <c r="H1066" s="76">
        <f>60+100</f>
        <v>160</v>
      </c>
      <c r="I1066" s="76">
        <f t="shared" si="171"/>
        <v>0</v>
      </c>
      <c r="J1066" s="79">
        <v>100</v>
      </c>
      <c r="K1066" s="79">
        <v>300</v>
      </c>
      <c r="L1066" s="76">
        <f t="shared" si="174"/>
        <v>1150</v>
      </c>
      <c r="M1066" s="87">
        <v>600</v>
      </c>
      <c r="N1066" s="76">
        <f>100</f>
        <v>100</v>
      </c>
      <c r="O1066" s="79">
        <v>240</v>
      </c>
      <c r="P1066" s="79">
        <v>40</v>
      </c>
      <c r="Q1066" s="79">
        <f t="shared" si="175"/>
        <v>315</v>
      </c>
      <c r="R1066" s="79">
        <f t="shared" si="176"/>
        <v>100</v>
      </c>
      <c r="S1066" s="76">
        <f t="shared" si="177"/>
        <v>695</v>
      </c>
      <c r="T1066" s="76">
        <f>50</f>
        <v>50</v>
      </c>
      <c r="U1066" s="77"/>
      <c r="V1066" s="77"/>
      <c r="W1066" s="77"/>
      <c r="X1066" s="77"/>
      <c r="Y1066" s="77"/>
      <c r="Z1066" s="77"/>
      <c r="AA1066" s="77"/>
      <c r="AB1066" s="77"/>
      <c r="AC1066" s="77"/>
      <c r="AD1066" s="77"/>
    </row>
    <row r="1067" spans="1:30" ht="15.75" x14ac:dyDescent="0.25">
      <c r="A1067" s="32">
        <v>73415</v>
      </c>
      <c r="B1067" s="88">
        <f t="shared" si="179"/>
        <v>31</v>
      </c>
      <c r="C1067" s="76">
        <f>122.58</f>
        <v>122.58</v>
      </c>
      <c r="D1067" s="76">
        <f>297.941</f>
        <v>297.94099999999997</v>
      </c>
      <c r="E1067" s="85">
        <f>89.177</f>
        <v>89.177000000000007</v>
      </c>
      <c r="F1067" s="76">
        <f>240.302-40-60-100</f>
        <v>40.301999999999992</v>
      </c>
      <c r="G1067" s="79">
        <v>40</v>
      </c>
      <c r="H1067" s="76">
        <f>60+100</f>
        <v>160</v>
      </c>
      <c r="I1067" s="76">
        <f t="shared" si="171"/>
        <v>0</v>
      </c>
      <c r="J1067" s="79">
        <v>100</v>
      </c>
      <c r="K1067" s="79">
        <v>300</v>
      </c>
      <c r="L1067" s="76">
        <f t="shared" si="174"/>
        <v>1150</v>
      </c>
      <c r="M1067" s="87">
        <v>600</v>
      </c>
      <c r="N1067" s="76">
        <f>100</f>
        <v>100</v>
      </c>
      <c r="O1067" s="79">
        <v>240</v>
      </c>
      <c r="P1067" s="79">
        <v>40</v>
      </c>
      <c r="Q1067" s="79">
        <f t="shared" si="175"/>
        <v>315</v>
      </c>
      <c r="R1067" s="79">
        <f t="shared" si="176"/>
        <v>100</v>
      </c>
      <c r="S1067" s="76">
        <f t="shared" si="177"/>
        <v>695</v>
      </c>
      <c r="T1067" s="76">
        <f>50</f>
        <v>50</v>
      </c>
      <c r="U1067" s="77"/>
      <c r="V1067" s="77"/>
      <c r="W1067" s="77"/>
      <c r="X1067" s="77"/>
      <c r="Y1067" s="77"/>
      <c r="Z1067" s="77"/>
      <c r="AA1067" s="77"/>
      <c r="AB1067" s="77"/>
      <c r="AC1067" s="77"/>
      <c r="AD1067" s="77"/>
    </row>
    <row r="1068" spans="1:30" ht="15" x14ac:dyDescent="0.2">
      <c r="A1068" s="12"/>
      <c r="B1068" s="86"/>
      <c r="C1068" s="76"/>
      <c r="D1068" s="76"/>
      <c r="E1068" s="85"/>
      <c r="F1068" s="76"/>
      <c r="G1068" s="76"/>
      <c r="H1068" s="76"/>
      <c r="I1068" s="76"/>
      <c r="J1068" s="76"/>
      <c r="K1068" s="76"/>
      <c r="L1068" s="76"/>
      <c r="M1068" s="76"/>
      <c r="N1068" s="76"/>
      <c r="O1068" s="79"/>
      <c r="P1068" s="79"/>
      <c r="Q1068" s="79"/>
      <c r="R1068" s="79"/>
      <c r="S1068" s="76"/>
      <c r="T1068" s="76"/>
      <c r="U1068" s="77"/>
      <c r="V1068" s="77"/>
      <c r="W1068" s="77"/>
      <c r="X1068" s="77"/>
      <c r="Y1068" s="77"/>
      <c r="Z1068" s="77"/>
      <c r="AA1068" s="77"/>
      <c r="AB1068" s="77"/>
      <c r="AC1068" s="77"/>
      <c r="AD1068" s="77"/>
    </row>
    <row r="1069" spans="1:30" ht="15" x14ac:dyDescent="0.2">
      <c r="A1069" s="10">
        <v>2013</v>
      </c>
      <c r="B1069" s="10">
        <f t="shared" ref="B1069:B1100" si="181">DATE(A1069+1,1,1)-DATE(A1069,1,1)</f>
        <v>365</v>
      </c>
      <c r="C1069" s="80">
        <f t="shared" ref="C1069:L1069" si="182">AVERAGE(C12:C23)</f>
        <v>154.75825</v>
      </c>
      <c r="D1069" s="80">
        <f t="shared" si="182"/>
        <v>281.0162499999999</v>
      </c>
      <c r="E1069" s="80">
        <f t="shared" si="182"/>
        <v>109.1005</v>
      </c>
      <c r="F1069" s="80">
        <f t="shared" si="182"/>
        <v>217.04166666666666</v>
      </c>
      <c r="G1069" s="80">
        <f t="shared" si="182"/>
        <v>40</v>
      </c>
      <c r="H1069" s="80">
        <f t="shared" si="182"/>
        <v>14.583333333333334</v>
      </c>
      <c r="I1069" s="80">
        <f t="shared" si="182"/>
        <v>12.5</v>
      </c>
      <c r="J1069" s="80">
        <f t="shared" si="182"/>
        <v>100</v>
      </c>
      <c r="K1069" s="80">
        <f t="shared" si="182"/>
        <v>300</v>
      </c>
      <c r="L1069" s="80">
        <f t="shared" si="182"/>
        <v>1229</v>
      </c>
      <c r="M1069" s="84"/>
      <c r="N1069" s="80">
        <f t="shared" ref="N1069:T1069" si="183">AVERAGE(N12:N23)</f>
        <v>97.5</v>
      </c>
      <c r="O1069" s="81">
        <f t="shared" si="183"/>
        <v>240</v>
      </c>
      <c r="P1069" s="81">
        <f t="shared" si="183"/>
        <v>70</v>
      </c>
      <c r="Q1069" s="81">
        <f t="shared" si="183"/>
        <v>285</v>
      </c>
      <c r="R1069" s="81">
        <f t="shared" si="183"/>
        <v>100</v>
      </c>
      <c r="S1069" s="80">
        <f t="shared" si="183"/>
        <v>695</v>
      </c>
      <c r="T1069" s="80">
        <f t="shared" si="183"/>
        <v>33.333333333333336</v>
      </c>
      <c r="U1069" s="77"/>
      <c r="V1069" s="77"/>
      <c r="W1069" s="77"/>
      <c r="X1069" s="77"/>
      <c r="Y1069" s="77"/>
      <c r="Z1069" s="77"/>
      <c r="AA1069" s="77"/>
      <c r="AB1069" s="77"/>
      <c r="AC1069" s="77"/>
      <c r="AD1069" s="77"/>
    </row>
    <row r="1070" spans="1:30" ht="15.75" x14ac:dyDescent="0.25">
      <c r="A1070" s="10">
        <v>2014</v>
      </c>
      <c r="B1070" s="10">
        <f t="shared" si="181"/>
        <v>365</v>
      </c>
      <c r="C1070" s="80">
        <f t="shared" ref="C1070:L1070" si="184">AVERAGE(C24:C35)</f>
        <v>154.75825</v>
      </c>
      <c r="D1070" s="80">
        <f t="shared" si="184"/>
        <v>281.0162499999999</v>
      </c>
      <c r="E1070" s="80">
        <f t="shared" si="184"/>
        <v>109.1005</v>
      </c>
      <c r="F1070" s="80">
        <f t="shared" si="184"/>
        <v>217.04166666666666</v>
      </c>
      <c r="G1070" s="80">
        <f t="shared" si="184"/>
        <v>40</v>
      </c>
      <c r="H1070" s="80">
        <f t="shared" si="184"/>
        <v>14.583333333333334</v>
      </c>
      <c r="I1070" s="80">
        <f t="shared" si="184"/>
        <v>20.833333333333332</v>
      </c>
      <c r="J1070" s="80">
        <f t="shared" si="184"/>
        <v>100</v>
      </c>
      <c r="K1070" s="80">
        <f t="shared" si="184"/>
        <v>300</v>
      </c>
      <c r="L1070" s="80">
        <f t="shared" si="184"/>
        <v>1237.3333333333333</v>
      </c>
      <c r="M1070" s="83"/>
      <c r="N1070" s="80">
        <f t="shared" ref="N1070:T1070" si="185">AVERAGE(N24:N35)</f>
        <v>72.5</v>
      </c>
      <c r="O1070" s="81">
        <f t="shared" si="185"/>
        <v>240</v>
      </c>
      <c r="P1070" s="81">
        <f t="shared" si="185"/>
        <v>70</v>
      </c>
      <c r="Q1070" s="81">
        <f t="shared" si="185"/>
        <v>285</v>
      </c>
      <c r="R1070" s="81">
        <f t="shared" si="185"/>
        <v>100</v>
      </c>
      <c r="S1070" s="80">
        <f t="shared" si="185"/>
        <v>695</v>
      </c>
      <c r="T1070" s="80">
        <f t="shared" si="185"/>
        <v>33.333333333333336</v>
      </c>
      <c r="U1070" s="77"/>
      <c r="V1070" s="77"/>
      <c r="W1070" s="77"/>
      <c r="X1070" s="77"/>
      <c r="Y1070" s="77"/>
      <c r="Z1070" s="77"/>
      <c r="AA1070" s="77"/>
      <c r="AB1070" s="77"/>
      <c r="AC1070" s="77"/>
      <c r="AD1070" s="77"/>
    </row>
    <row r="1071" spans="1:30" ht="15.75" x14ac:dyDescent="0.25">
      <c r="A1071" s="10">
        <v>2015</v>
      </c>
      <c r="B1071" s="10">
        <f t="shared" si="181"/>
        <v>365</v>
      </c>
      <c r="C1071" s="80">
        <f t="shared" ref="C1071:L1071" si="186">AVERAGE(C36:C47)</f>
        <v>154.75825</v>
      </c>
      <c r="D1071" s="80">
        <f t="shared" si="186"/>
        <v>281.0162499999999</v>
      </c>
      <c r="E1071" s="80">
        <f t="shared" si="186"/>
        <v>109.1005</v>
      </c>
      <c r="F1071" s="80">
        <f t="shared" si="186"/>
        <v>97.041666666666629</v>
      </c>
      <c r="G1071" s="80">
        <f t="shared" si="186"/>
        <v>40</v>
      </c>
      <c r="H1071" s="80">
        <f t="shared" si="186"/>
        <v>134.58333333333334</v>
      </c>
      <c r="I1071" s="80">
        <f t="shared" si="186"/>
        <v>20.833333333333332</v>
      </c>
      <c r="J1071" s="80">
        <f t="shared" si="186"/>
        <v>100</v>
      </c>
      <c r="K1071" s="80">
        <f t="shared" si="186"/>
        <v>300</v>
      </c>
      <c r="L1071" s="80">
        <f t="shared" si="186"/>
        <v>1237.3333333333333</v>
      </c>
      <c r="M1071" s="83"/>
      <c r="N1071" s="80">
        <f t="shared" ref="N1071:T1071" si="187">AVERAGE(N36:N47)</f>
        <v>72.5</v>
      </c>
      <c r="O1071" s="81">
        <f t="shared" si="187"/>
        <v>240</v>
      </c>
      <c r="P1071" s="81">
        <f t="shared" si="187"/>
        <v>100</v>
      </c>
      <c r="Q1071" s="81">
        <f t="shared" si="187"/>
        <v>255</v>
      </c>
      <c r="R1071" s="81">
        <f t="shared" si="187"/>
        <v>100</v>
      </c>
      <c r="S1071" s="80">
        <f t="shared" si="187"/>
        <v>695</v>
      </c>
      <c r="T1071" s="80">
        <f t="shared" si="187"/>
        <v>33.333333333333336</v>
      </c>
      <c r="U1071" s="77"/>
      <c r="V1071" s="77"/>
      <c r="W1071" s="77"/>
      <c r="X1071" s="77"/>
      <c r="Y1071" s="77"/>
      <c r="Z1071" s="77"/>
      <c r="AA1071" s="77"/>
      <c r="AB1071" s="77"/>
      <c r="AC1071" s="77"/>
      <c r="AD1071" s="77"/>
    </row>
    <row r="1072" spans="1:30" ht="15.75" x14ac:dyDescent="0.25">
      <c r="A1072" s="10">
        <v>2016</v>
      </c>
      <c r="B1072" s="10">
        <f t="shared" si="181"/>
        <v>366</v>
      </c>
      <c r="C1072" s="80">
        <f t="shared" ref="C1072:L1072" si="188">AVERAGE(C48:C59)</f>
        <v>154.75825</v>
      </c>
      <c r="D1072" s="80">
        <f t="shared" si="188"/>
        <v>281.0162499999999</v>
      </c>
      <c r="E1072" s="80">
        <f t="shared" si="188"/>
        <v>109.1005</v>
      </c>
      <c r="F1072" s="80">
        <f t="shared" si="188"/>
        <v>57.041666666666664</v>
      </c>
      <c r="G1072" s="80">
        <f t="shared" si="188"/>
        <v>40</v>
      </c>
      <c r="H1072" s="80">
        <f t="shared" si="188"/>
        <v>174.58333333333334</v>
      </c>
      <c r="I1072" s="80">
        <f t="shared" si="188"/>
        <v>0</v>
      </c>
      <c r="J1072" s="80">
        <f t="shared" si="188"/>
        <v>100</v>
      </c>
      <c r="K1072" s="80">
        <f t="shared" si="188"/>
        <v>300</v>
      </c>
      <c r="L1072" s="80">
        <f t="shared" si="188"/>
        <v>1216.5</v>
      </c>
      <c r="M1072" s="83"/>
      <c r="N1072" s="80">
        <f t="shared" ref="N1072:T1072" si="189">AVERAGE(N48:N59)</f>
        <v>72.5</v>
      </c>
      <c r="O1072" s="81">
        <f t="shared" si="189"/>
        <v>240</v>
      </c>
      <c r="P1072" s="81">
        <f t="shared" si="189"/>
        <v>110</v>
      </c>
      <c r="Q1072" s="81">
        <f t="shared" si="189"/>
        <v>245</v>
      </c>
      <c r="R1072" s="81">
        <f t="shared" si="189"/>
        <v>100</v>
      </c>
      <c r="S1072" s="80">
        <f t="shared" si="189"/>
        <v>695</v>
      </c>
      <c r="T1072" s="80">
        <f t="shared" si="189"/>
        <v>33.333333333333336</v>
      </c>
      <c r="U1072" s="77"/>
      <c r="V1072" s="77"/>
      <c r="W1072" s="77"/>
      <c r="X1072" s="77"/>
      <c r="Y1072" s="77"/>
      <c r="Z1072" s="77"/>
      <c r="AA1072" s="77"/>
      <c r="AB1072" s="77"/>
      <c r="AC1072" s="77"/>
      <c r="AD1072" s="77"/>
    </row>
    <row r="1073" spans="1:30" ht="15" x14ac:dyDescent="0.2">
      <c r="A1073" s="10">
        <v>2017</v>
      </c>
      <c r="B1073" s="10">
        <f t="shared" si="181"/>
        <v>365</v>
      </c>
      <c r="C1073" s="80">
        <f t="shared" ref="C1073:T1073" si="190">AVERAGE(C60:C71)</f>
        <v>154.75825</v>
      </c>
      <c r="D1073" s="80">
        <f t="shared" si="190"/>
        <v>281.0162499999999</v>
      </c>
      <c r="E1073" s="80">
        <f t="shared" si="190"/>
        <v>109.1005</v>
      </c>
      <c r="F1073" s="80">
        <f t="shared" si="190"/>
        <v>57.041666666666664</v>
      </c>
      <c r="G1073" s="80">
        <f t="shared" si="190"/>
        <v>40</v>
      </c>
      <c r="H1073" s="80">
        <f t="shared" si="190"/>
        <v>174.58333333333334</v>
      </c>
      <c r="I1073" s="80">
        <f t="shared" si="190"/>
        <v>0</v>
      </c>
      <c r="J1073" s="80">
        <f t="shared" si="190"/>
        <v>100</v>
      </c>
      <c r="K1073" s="80">
        <f t="shared" si="190"/>
        <v>300</v>
      </c>
      <c r="L1073" s="80">
        <f t="shared" si="190"/>
        <v>1216.5</v>
      </c>
      <c r="M1073" s="82">
        <f t="shared" si="190"/>
        <v>400</v>
      </c>
      <c r="N1073" s="80">
        <f t="shared" si="190"/>
        <v>72.5</v>
      </c>
      <c r="O1073" s="81">
        <f t="shared" si="190"/>
        <v>240</v>
      </c>
      <c r="P1073" s="81">
        <f t="shared" si="190"/>
        <v>110</v>
      </c>
      <c r="Q1073" s="81">
        <f t="shared" si="190"/>
        <v>245</v>
      </c>
      <c r="R1073" s="81">
        <f t="shared" si="190"/>
        <v>100</v>
      </c>
      <c r="S1073" s="80">
        <f t="shared" si="190"/>
        <v>695</v>
      </c>
      <c r="T1073" s="80">
        <f t="shared" si="190"/>
        <v>33.333333333333336</v>
      </c>
      <c r="U1073" s="77"/>
      <c r="V1073" s="77"/>
      <c r="W1073" s="77"/>
      <c r="X1073" s="77"/>
      <c r="Y1073" s="77"/>
      <c r="Z1073" s="77"/>
      <c r="AA1073" s="77"/>
      <c r="AB1073" s="77"/>
      <c r="AC1073" s="77"/>
      <c r="AD1073" s="77"/>
    </row>
    <row r="1074" spans="1:30" ht="15" x14ac:dyDescent="0.2">
      <c r="A1074" s="10">
        <v>2018</v>
      </c>
      <c r="B1074" s="10">
        <f t="shared" si="181"/>
        <v>365</v>
      </c>
      <c r="C1074" s="80">
        <f t="shared" ref="C1074:T1074" si="191">AVERAGE(C72:C83)</f>
        <v>154.75825</v>
      </c>
      <c r="D1074" s="80">
        <f t="shared" si="191"/>
        <v>281.0162499999999</v>
      </c>
      <c r="E1074" s="80">
        <f t="shared" si="191"/>
        <v>109.1005</v>
      </c>
      <c r="F1074" s="80">
        <f t="shared" si="191"/>
        <v>57.041666666666664</v>
      </c>
      <c r="G1074" s="80">
        <f t="shared" si="191"/>
        <v>40</v>
      </c>
      <c r="H1074" s="80">
        <f t="shared" si="191"/>
        <v>174.58333333333334</v>
      </c>
      <c r="I1074" s="80">
        <f t="shared" si="191"/>
        <v>0</v>
      </c>
      <c r="J1074" s="80">
        <f t="shared" si="191"/>
        <v>100</v>
      </c>
      <c r="K1074" s="80">
        <f t="shared" si="191"/>
        <v>300</v>
      </c>
      <c r="L1074" s="80">
        <f t="shared" si="191"/>
        <v>1216.5</v>
      </c>
      <c r="M1074" s="82">
        <f t="shared" si="191"/>
        <v>400</v>
      </c>
      <c r="N1074" s="80">
        <f t="shared" si="191"/>
        <v>72.5</v>
      </c>
      <c r="O1074" s="81">
        <f t="shared" si="191"/>
        <v>240</v>
      </c>
      <c r="P1074" s="81">
        <f t="shared" si="191"/>
        <v>110</v>
      </c>
      <c r="Q1074" s="81">
        <f t="shared" si="191"/>
        <v>245</v>
      </c>
      <c r="R1074" s="81">
        <f t="shared" si="191"/>
        <v>100</v>
      </c>
      <c r="S1074" s="80">
        <f t="shared" si="191"/>
        <v>695</v>
      </c>
      <c r="T1074" s="80">
        <f t="shared" si="191"/>
        <v>33.333333333333336</v>
      </c>
      <c r="U1074" s="77"/>
      <c r="V1074" s="77"/>
      <c r="W1074" s="77"/>
      <c r="X1074" s="77"/>
      <c r="Y1074" s="77"/>
      <c r="Z1074" s="77"/>
      <c r="AA1074" s="77"/>
      <c r="AB1074" s="77"/>
      <c r="AC1074" s="77"/>
      <c r="AD1074" s="77"/>
    </row>
    <row r="1075" spans="1:30" ht="15" x14ac:dyDescent="0.2">
      <c r="A1075" s="10">
        <v>2019</v>
      </c>
      <c r="B1075" s="10">
        <f t="shared" si="181"/>
        <v>365</v>
      </c>
      <c r="C1075" s="80">
        <f t="shared" ref="C1075:T1075" si="192">AVERAGE(C84:C95)</f>
        <v>154.75825</v>
      </c>
      <c r="D1075" s="80">
        <f t="shared" si="192"/>
        <v>281.0162499999999</v>
      </c>
      <c r="E1075" s="80">
        <f t="shared" si="192"/>
        <v>109.1005</v>
      </c>
      <c r="F1075" s="80">
        <f t="shared" si="192"/>
        <v>57.041666666666664</v>
      </c>
      <c r="G1075" s="80">
        <f t="shared" si="192"/>
        <v>40</v>
      </c>
      <c r="H1075" s="80">
        <f t="shared" si="192"/>
        <v>174.58333333333334</v>
      </c>
      <c r="I1075" s="80">
        <f t="shared" si="192"/>
        <v>0</v>
      </c>
      <c r="J1075" s="80">
        <f t="shared" si="192"/>
        <v>100</v>
      </c>
      <c r="K1075" s="80">
        <f t="shared" si="192"/>
        <v>300</v>
      </c>
      <c r="L1075" s="80">
        <f t="shared" si="192"/>
        <v>1216.5</v>
      </c>
      <c r="M1075" s="82">
        <f t="shared" si="192"/>
        <v>400</v>
      </c>
      <c r="N1075" s="80">
        <f t="shared" si="192"/>
        <v>72.5</v>
      </c>
      <c r="O1075" s="81">
        <f t="shared" si="192"/>
        <v>240</v>
      </c>
      <c r="P1075" s="81">
        <f t="shared" si="192"/>
        <v>110</v>
      </c>
      <c r="Q1075" s="81">
        <f t="shared" si="192"/>
        <v>245</v>
      </c>
      <c r="R1075" s="81">
        <f t="shared" si="192"/>
        <v>100</v>
      </c>
      <c r="S1075" s="80">
        <f t="shared" si="192"/>
        <v>695</v>
      </c>
      <c r="T1075" s="80">
        <f t="shared" si="192"/>
        <v>33.333333333333336</v>
      </c>
      <c r="U1075" s="77"/>
      <c r="V1075" s="77"/>
      <c r="W1075" s="77"/>
      <c r="X1075" s="77"/>
      <c r="Y1075" s="77"/>
      <c r="Z1075" s="77"/>
      <c r="AA1075" s="77"/>
      <c r="AB1075" s="77"/>
      <c r="AC1075" s="77"/>
      <c r="AD1075" s="77"/>
    </row>
    <row r="1076" spans="1:30" ht="15" x14ac:dyDescent="0.2">
      <c r="A1076" s="10">
        <v>2020</v>
      </c>
      <c r="B1076" s="10">
        <f t="shared" si="181"/>
        <v>366</v>
      </c>
      <c r="C1076" s="80">
        <f t="shared" ref="C1076:T1076" si="193">AVERAGE(C96:C107)</f>
        <v>154.75825</v>
      </c>
      <c r="D1076" s="80">
        <f t="shared" si="193"/>
        <v>281.0162499999999</v>
      </c>
      <c r="E1076" s="80">
        <f t="shared" si="193"/>
        <v>109.1005</v>
      </c>
      <c r="F1076" s="80">
        <f t="shared" si="193"/>
        <v>57.041666666666664</v>
      </c>
      <c r="G1076" s="80">
        <f t="shared" si="193"/>
        <v>40</v>
      </c>
      <c r="H1076" s="80">
        <f t="shared" si="193"/>
        <v>174.58333333333334</v>
      </c>
      <c r="I1076" s="80">
        <f t="shared" si="193"/>
        <v>0</v>
      </c>
      <c r="J1076" s="80">
        <f t="shared" si="193"/>
        <v>100</v>
      </c>
      <c r="K1076" s="80">
        <f t="shared" si="193"/>
        <v>300</v>
      </c>
      <c r="L1076" s="80">
        <f t="shared" si="193"/>
        <v>1216.5</v>
      </c>
      <c r="M1076" s="82">
        <f t="shared" si="193"/>
        <v>533.33333333333337</v>
      </c>
      <c r="N1076" s="80">
        <f t="shared" si="193"/>
        <v>72.5</v>
      </c>
      <c r="O1076" s="81">
        <f t="shared" si="193"/>
        <v>240</v>
      </c>
      <c r="P1076" s="81">
        <f t="shared" si="193"/>
        <v>110</v>
      </c>
      <c r="Q1076" s="81">
        <f t="shared" si="193"/>
        <v>245</v>
      </c>
      <c r="R1076" s="81">
        <f t="shared" si="193"/>
        <v>100</v>
      </c>
      <c r="S1076" s="80">
        <f t="shared" si="193"/>
        <v>695</v>
      </c>
      <c r="T1076" s="80">
        <f t="shared" si="193"/>
        <v>33.333333333333336</v>
      </c>
      <c r="U1076" s="77"/>
      <c r="V1076" s="77"/>
      <c r="W1076" s="77"/>
      <c r="X1076" s="77"/>
      <c r="Y1076" s="77"/>
      <c r="Z1076" s="77"/>
      <c r="AA1076" s="77"/>
      <c r="AB1076" s="77"/>
      <c r="AC1076" s="77"/>
      <c r="AD1076" s="77"/>
    </row>
    <row r="1077" spans="1:30" ht="15" x14ac:dyDescent="0.2">
      <c r="A1077" s="10">
        <v>2021</v>
      </c>
      <c r="B1077" s="10">
        <f t="shared" si="181"/>
        <v>365</v>
      </c>
      <c r="C1077" s="80">
        <f t="shared" ref="C1077:T1077" si="194">AVERAGE(C108:C119)</f>
        <v>154.75825</v>
      </c>
      <c r="D1077" s="80">
        <f t="shared" si="194"/>
        <v>281.0162499999999</v>
      </c>
      <c r="E1077" s="80">
        <f t="shared" si="194"/>
        <v>109.1005</v>
      </c>
      <c r="F1077" s="80">
        <f t="shared" si="194"/>
        <v>57.041666666666664</v>
      </c>
      <c r="G1077" s="80">
        <f t="shared" si="194"/>
        <v>40</v>
      </c>
      <c r="H1077" s="80">
        <f t="shared" si="194"/>
        <v>174.58333333333334</v>
      </c>
      <c r="I1077" s="80">
        <f t="shared" si="194"/>
        <v>0</v>
      </c>
      <c r="J1077" s="80">
        <f t="shared" si="194"/>
        <v>100</v>
      </c>
      <c r="K1077" s="80">
        <f t="shared" si="194"/>
        <v>300</v>
      </c>
      <c r="L1077" s="80">
        <f t="shared" si="194"/>
        <v>1216.5</v>
      </c>
      <c r="M1077" s="82">
        <f t="shared" si="194"/>
        <v>600</v>
      </c>
      <c r="N1077" s="80">
        <f t="shared" si="194"/>
        <v>72.5</v>
      </c>
      <c r="O1077" s="81">
        <f t="shared" si="194"/>
        <v>240</v>
      </c>
      <c r="P1077" s="81">
        <f t="shared" si="194"/>
        <v>110</v>
      </c>
      <c r="Q1077" s="81">
        <f t="shared" si="194"/>
        <v>245</v>
      </c>
      <c r="R1077" s="81">
        <f t="shared" si="194"/>
        <v>100</v>
      </c>
      <c r="S1077" s="80">
        <f t="shared" si="194"/>
        <v>695</v>
      </c>
      <c r="T1077" s="80">
        <f t="shared" si="194"/>
        <v>33.333333333333336</v>
      </c>
      <c r="U1077" s="77"/>
      <c r="V1077" s="77"/>
      <c r="W1077" s="77"/>
      <c r="X1077" s="77"/>
      <c r="Y1077" s="77"/>
      <c r="Z1077" s="77"/>
      <c r="AA1077" s="77"/>
      <c r="AB1077" s="77"/>
      <c r="AC1077" s="77"/>
      <c r="AD1077" s="77"/>
    </row>
    <row r="1078" spans="1:30" ht="15" x14ac:dyDescent="0.2">
      <c r="A1078" s="10">
        <v>2022</v>
      </c>
      <c r="B1078" s="10">
        <f t="shared" si="181"/>
        <v>365</v>
      </c>
      <c r="C1078" s="80">
        <f t="shared" ref="C1078:T1078" si="195">AVERAGE(C120:C131)</f>
        <v>154.75825</v>
      </c>
      <c r="D1078" s="80">
        <f t="shared" si="195"/>
        <v>281.0162499999999</v>
      </c>
      <c r="E1078" s="80">
        <f t="shared" si="195"/>
        <v>109.1005</v>
      </c>
      <c r="F1078" s="80">
        <f t="shared" si="195"/>
        <v>57.041666666666664</v>
      </c>
      <c r="G1078" s="80">
        <f t="shared" si="195"/>
        <v>40</v>
      </c>
      <c r="H1078" s="80">
        <f t="shared" si="195"/>
        <v>174.58333333333334</v>
      </c>
      <c r="I1078" s="80">
        <f t="shared" si="195"/>
        <v>0</v>
      </c>
      <c r="J1078" s="80">
        <f t="shared" si="195"/>
        <v>100</v>
      </c>
      <c r="K1078" s="80">
        <f t="shared" si="195"/>
        <v>300</v>
      </c>
      <c r="L1078" s="80">
        <f t="shared" si="195"/>
        <v>1216.5</v>
      </c>
      <c r="M1078" s="82">
        <f t="shared" si="195"/>
        <v>600</v>
      </c>
      <c r="N1078" s="80">
        <f t="shared" si="195"/>
        <v>72.5</v>
      </c>
      <c r="O1078" s="81">
        <f t="shared" si="195"/>
        <v>240</v>
      </c>
      <c r="P1078" s="81">
        <f t="shared" si="195"/>
        <v>110</v>
      </c>
      <c r="Q1078" s="81">
        <f t="shared" si="195"/>
        <v>245</v>
      </c>
      <c r="R1078" s="81">
        <f t="shared" si="195"/>
        <v>100</v>
      </c>
      <c r="S1078" s="80">
        <f t="shared" si="195"/>
        <v>695</v>
      </c>
      <c r="T1078" s="80">
        <f t="shared" si="195"/>
        <v>33.333333333333336</v>
      </c>
      <c r="U1078" s="77"/>
      <c r="V1078" s="77"/>
      <c r="W1078" s="77"/>
      <c r="X1078" s="77"/>
      <c r="Y1078" s="77"/>
      <c r="Z1078" s="77"/>
      <c r="AA1078" s="77"/>
      <c r="AB1078" s="77"/>
      <c r="AC1078" s="77"/>
      <c r="AD1078" s="77"/>
    </row>
    <row r="1079" spans="1:30" ht="15" x14ac:dyDescent="0.2">
      <c r="A1079" s="10">
        <v>2023</v>
      </c>
      <c r="B1079" s="10">
        <f t="shared" si="181"/>
        <v>365</v>
      </c>
      <c r="C1079" s="80">
        <f t="shared" ref="C1079:T1079" si="196">AVERAGE(C132:C143)</f>
        <v>154.75825</v>
      </c>
      <c r="D1079" s="80">
        <f t="shared" si="196"/>
        <v>281.0162499999999</v>
      </c>
      <c r="E1079" s="80">
        <f t="shared" si="196"/>
        <v>109.1005</v>
      </c>
      <c r="F1079" s="80">
        <f t="shared" si="196"/>
        <v>57.041666666666664</v>
      </c>
      <c r="G1079" s="80">
        <f t="shared" si="196"/>
        <v>40</v>
      </c>
      <c r="H1079" s="80">
        <f t="shared" si="196"/>
        <v>174.58333333333334</v>
      </c>
      <c r="I1079" s="80">
        <f t="shared" si="196"/>
        <v>0</v>
      </c>
      <c r="J1079" s="80">
        <f t="shared" si="196"/>
        <v>100</v>
      </c>
      <c r="K1079" s="80">
        <f t="shared" si="196"/>
        <v>300</v>
      </c>
      <c r="L1079" s="80">
        <f t="shared" si="196"/>
        <v>1216.5</v>
      </c>
      <c r="M1079" s="82">
        <f t="shared" si="196"/>
        <v>600</v>
      </c>
      <c r="N1079" s="80">
        <f t="shared" si="196"/>
        <v>72.5</v>
      </c>
      <c r="O1079" s="81">
        <f t="shared" si="196"/>
        <v>240</v>
      </c>
      <c r="P1079" s="81">
        <f t="shared" si="196"/>
        <v>110</v>
      </c>
      <c r="Q1079" s="81">
        <f t="shared" si="196"/>
        <v>245</v>
      </c>
      <c r="R1079" s="81">
        <f t="shared" si="196"/>
        <v>100</v>
      </c>
      <c r="S1079" s="80">
        <f t="shared" si="196"/>
        <v>695</v>
      </c>
      <c r="T1079" s="80">
        <f t="shared" si="196"/>
        <v>33.333333333333336</v>
      </c>
      <c r="U1079" s="77"/>
      <c r="V1079" s="77"/>
      <c r="W1079" s="77"/>
      <c r="X1079" s="77"/>
      <c r="Y1079" s="77"/>
      <c r="Z1079" s="77"/>
      <c r="AA1079" s="77"/>
      <c r="AB1079" s="77"/>
      <c r="AC1079" s="77"/>
      <c r="AD1079" s="77"/>
    </row>
    <row r="1080" spans="1:30" ht="15" x14ac:dyDescent="0.2">
      <c r="A1080" s="10">
        <v>2024</v>
      </c>
      <c r="B1080" s="10">
        <f t="shared" si="181"/>
        <v>366</v>
      </c>
      <c r="C1080" s="80">
        <f t="shared" ref="C1080:T1080" si="197">AVERAGE(C144:C155)</f>
        <v>154.75825</v>
      </c>
      <c r="D1080" s="80">
        <f t="shared" si="197"/>
        <v>281.0162499999999</v>
      </c>
      <c r="E1080" s="80">
        <f t="shared" si="197"/>
        <v>109.1005</v>
      </c>
      <c r="F1080" s="80">
        <f t="shared" si="197"/>
        <v>57.041666666666664</v>
      </c>
      <c r="G1080" s="80">
        <f t="shared" si="197"/>
        <v>40</v>
      </c>
      <c r="H1080" s="80">
        <f t="shared" si="197"/>
        <v>174.58333333333334</v>
      </c>
      <c r="I1080" s="80">
        <f t="shared" si="197"/>
        <v>0</v>
      </c>
      <c r="J1080" s="80">
        <f t="shared" si="197"/>
        <v>100</v>
      </c>
      <c r="K1080" s="80">
        <f t="shared" si="197"/>
        <v>300</v>
      </c>
      <c r="L1080" s="80">
        <f t="shared" si="197"/>
        <v>1216.5</v>
      </c>
      <c r="M1080" s="82">
        <f t="shared" si="197"/>
        <v>600</v>
      </c>
      <c r="N1080" s="80">
        <f t="shared" si="197"/>
        <v>72.5</v>
      </c>
      <c r="O1080" s="81">
        <f t="shared" si="197"/>
        <v>240</v>
      </c>
      <c r="P1080" s="81">
        <f t="shared" si="197"/>
        <v>110</v>
      </c>
      <c r="Q1080" s="81">
        <f t="shared" si="197"/>
        <v>245</v>
      </c>
      <c r="R1080" s="81">
        <f t="shared" si="197"/>
        <v>100</v>
      </c>
      <c r="S1080" s="80">
        <f t="shared" si="197"/>
        <v>695</v>
      </c>
      <c r="T1080" s="80">
        <f t="shared" si="197"/>
        <v>33.333333333333336</v>
      </c>
      <c r="U1080" s="77"/>
      <c r="V1080" s="77"/>
      <c r="W1080" s="77"/>
      <c r="X1080" s="77"/>
      <c r="Y1080" s="77"/>
      <c r="Z1080" s="77"/>
      <c r="AA1080" s="77"/>
      <c r="AB1080" s="77"/>
      <c r="AC1080" s="77"/>
      <c r="AD1080" s="77"/>
    </row>
    <row r="1081" spans="1:30" ht="15" x14ac:dyDescent="0.2">
      <c r="A1081" s="10">
        <v>2025</v>
      </c>
      <c r="B1081" s="10">
        <f t="shared" si="181"/>
        <v>365</v>
      </c>
      <c r="C1081" s="80">
        <f t="shared" ref="C1081:T1081" si="198">AVERAGE(C156:C167)</f>
        <v>154.75825</v>
      </c>
      <c r="D1081" s="80">
        <f t="shared" si="198"/>
        <v>281.0162499999999</v>
      </c>
      <c r="E1081" s="80">
        <f t="shared" si="198"/>
        <v>109.1005</v>
      </c>
      <c r="F1081" s="80">
        <f t="shared" si="198"/>
        <v>57.041666666666664</v>
      </c>
      <c r="G1081" s="80">
        <f t="shared" si="198"/>
        <v>40</v>
      </c>
      <c r="H1081" s="80">
        <f t="shared" si="198"/>
        <v>174.58333333333334</v>
      </c>
      <c r="I1081" s="80">
        <f t="shared" si="198"/>
        <v>0</v>
      </c>
      <c r="J1081" s="80">
        <f t="shared" si="198"/>
        <v>100</v>
      </c>
      <c r="K1081" s="80">
        <f t="shared" si="198"/>
        <v>300</v>
      </c>
      <c r="L1081" s="80">
        <f t="shared" si="198"/>
        <v>1216.5</v>
      </c>
      <c r="M1081" s="82">
        <f t="shared" si="198"/>
        <v>600</v>
      </c>
      <c r="N1081" s="80">
        <f t="shared" si="198"/>
        <v>72.5</v>
      </c>
      <c r="O1081" s="81">
        <f t="shared" si="198"/>
        <v>240</v>
      </c>
      <c r="P1081" s="81">
        <f t="shared" si="198"/>
        <v>110</v>
      </c>
      <c r="Q1081" s="81">
        <f t="shared" si="198"/>
        <v>245</v>
      </c>
      <c r="R1081" s="81">
        <f t="shared" si="198"/>
        <v>100</v>
      </c>
      <c r="S1081" s="80">
        <f t="shared" si="198"/>
        <v>695</v>
      </c>
      <c r="T1081" s="80">
        <f t="shared" si="198"/>
        <v>33.333333333333336</v>
      </c>
      <c r="U1081" s="77"/>
      <c r="V1081" s="77"/>
      <c r="W1081" s="77"/>
      <c r="X1081" s="77"/>
      <c r="Y1081" s="77"/>
      <c r="Z1081" s="77"/>
      <c r="AA1081" s="77"/>
      <c r="AB1081" s="77"/>
      <c r="AC1081" s="77"/>
      <c r="AD1081" s="77"/>
    </row>
    <row r="1082" spans="1:30" ht="15" x14ac:dyDescent="0.2">
      <c r="A1082" s="10">
        <v>2026</v>
      </c>
      <c r="B1082" s="10">
        <f t="shared" si="181"/>
        <v>365</v>
      </c>
      <c r="C1082" s="80">
        <f t="shared" ref="C1082:T1082" si="199">AVERAGE(C168:C179)</f>
        <v>154.75825</v>
      </c>
      <c r="D1082" s="80">
        <f t="shared" si="199"/>
        <v>281.0162499999999</v>
      </c>
      <c r="E1082" s="80">
        <f t="shared" si="199"/>
        <v>109.1005</v>
      </c>
      <c r="F1082" s="80">
        <f t="shared" si="199"/>
        <v>57.041666666666664</v>
      </c>
      <c r="G1082" s="80">
        <f t="shared" si="199"/>
        <v>40</v>
      </c>
      <c r="H1082" s="80">
        <f t="shared" si="199"/>
        <v>174.58333333333334</v>
      </c>
      <c r="I1082" s="80">
        <f t="shared" si="199"/>
        <v>0</v>
      </c>
      <c r="J1082" s="80">
        <f t="shared" si="199"/>
        <v>100</v>
      </c>
      <c r="K1082" s="80">
        <f t="shared" si="199"/>
        <v>300</v>
      </c>
      <c r="L1082" s="80">
        <f t="shared" si="199"/>
        <v>1216.5</v>
      </c>
      <c r="M1082" s="82">
        <f t="shared" si="199"/>
        <v>600</v>
      </c>
      <c r="N1082" s="80">
        <f t="shared" si="199"/>
        <v>72.5</v>
      </c>
      <c r="O1082" s="81">
        <f t="shared" si="199"/>
        <v>240</v>
      </c>
      <c r="P1082" s="81">
        <f t="shared" si="199"/>
        <v>110</v>
      </c>
      <c r="Q1082" s="81">
        <f t="shared" si="199"/>
        <v>245</v>
      </c>
      <c r="R1082" s="81">
        <f t="shared" si="199"/>
        <v>100</v>
      </c>
      <c r="S1082" s="80">
        <f t="shared" si="199"/>
        <v>695</v>
      </c>
      <c r="T1082" s="80">
        <f t="shared" si="199"/>
        <v>33.333333333333336</v>
      </c>
      <c r="U1082" s="77"/>
      <c r="V1082" s="77"/>
      <c r="W1082" s="77"/>
      <c r="X1082" s="77"/>
      <c r="Y1082" s="77"/>
      <c r="Z1082" s="77"/>
      <c r="AA1082" s="77"/>
      <c r="AB1082" s="77"/>
      <c r="AC1082" s="77"/>
      <c r="AD1082" s="77"/>
    </row>
    <row r="1083" spans="1:30" ht="15" x14ac:dyDescent="0.2">
      <c r="A1083" s="10">
        <v>2027</v>
      </c>
      <c r="B1083" s="10">
        <f t="shared" si="181"/>
        <v>365</v>
      </c>
      <c r="C1083" s="80">
        <f t="shared" ref="C1083:T1083" si="200">AVERAGE(C180:C191)</f>
        <v>154.75825</v>
      </c>
      <c r="D1083" s="80">
        <f t="shared" si="200"/>
        <v>281.0162499999999</v>
      </c>
      <c r="E1083" s="80">
        <f t="shared" si="200"/>
        <v>109.1005</v>
      </c>
      <c r="F1083" s="80">
        <f t="shared" si="200"/>
        <v>57.041666666666664</v>
      </c>
      <c r="G1083" s="80">
        <f t="shared" si="200"/>
        <v>40</v>
      </c>
      <c r="H1083" s="80">
        <f t="shared" si="200"/>
        <v>174.58333333333334</v>
      </c>
      <c r="I1083" s="80">
        <f t="shared" si="200"/>
        <v>0</v>
      </c>
      <c r="J1083" s="80">
        <f t="shared" si="200"/>
        <v>100</v>
      </c>
      <c r="K1083" s="80">
        <f t="shared" si="200"/>
        <v>300</v>
      </c>
      <c r="L1083" s="80">
        <f t="shared" si="200"/>
        <v>1216.5</v>
      </c>
      <c r="M1083" s="82">
        <f t="shared" si="200"/>
        <v>600</v>
      </c>
      <c r="N1083" s="80">
        <f t="shared" si="200"/>
        <v>72.5</v>
      </c>
      <c r="O1083" s="81">
        <f t="shared" si="200"/>
        <v>240</v>
      </c>
      <c r="P1083" s="81">
        <f t="shared" si="200"/>
        <v>110</v>
      </c>
      <c r="Q1083" s="81">
        <f t="shared" si="200"/>
        <v>245</v>
      </c>
      <c r="R1083" s="81">
        <f t="shared" si="200"/>
        <v>100</v>
      </c>
      <c r="S1083" s="80">
        <f t="shared" si="200"/>
        <v>695</v>
      </c>
      <c r="T1083" s="80">
        <f t="shared" si="200"/>
        <v>33.333333333333336</v>
      </c>
      <c r="U1083" s="77"/>
      <c r="V1083" s="77"/>
      <c r="W1083" s="77"/>
      <c r="X1083" s="77"/>
      <c r="Y1083" s="77"/>
      <c r="Z1083" s="77"/>
      <c r="AA1083" s="77"/>
      <c r="AB1083" s="77"/>
      <c r="AC1083" s="77"/>
      <c r="AD1083" s="77"/>
    </row>
    <row r="1084" spans="1:30" ht="15" x14ac:dyDescent="0.2">
      <c r="A1084" s="10">
        <v>2028</v>
      </c>
      <c r="B1084" s="10">
        <f t="shared" si="181"/>
        <v>366</v>
      </c>
      <c r="C1084" s="80">
        <f t="shared" ref="C1084:T1084" si="201">AVERAGE(C192:C203)</f>
        <v>154.75825</v>
      </c>
      <c r="D1084" s="80">
        <f t="shared" si="201"/>
        <v>281.0162499999999</v>
      </c>
      <c r="E1084" s="80">
        <f t="shared" si="201"/>
        <v>109.1005</v>
      </c>
      <c r="F1084" s="80">
        <f t="shared" si="201"/>
        <v>57.041666666666664</v>
      </c>
      <c r="G1084" s="80">
        <f t="shared" si="201"/>
        <v>40</v>
      </c>
      <c r="H1084" s="80">
        <f t="shared" si="201"/>
        <v>174.58333333333334</v>
      </c>
      <c r="I1084" s="80">
        <f t="shared" si="201"/>
        <v>0</v>
      </c>
      <c r="J1084" s="80">
        <f t="shared" si="201"/>
        <v>100</v>
      </c>
      <c r="K1084" s="80">
        <f t="shared" si="201"/>
        <v>300</v>
      </c>
      <c r="L1084" s="80">
        <f t="shared" si="201"/>
        <v>1216.5</v>
      </c>
      <c r="M1084" s="82">
        <f t="shared" si="201"/>
        <v>600</v>
      </c>
      <c r="N1084" s="80">
        <f t="shared" si="201"/>
        <v>72.5</v>
      </c>
      <c r="O1084" s="81">
        <f t="shared" si="201"/>
        <v>240</v>
      </c>
      <c r="P1084" s="81">
        <f t="shared" si="201"/>
        <v>110</v>
      </c>
      <c r="Q1084" s="81">
        <f t="shared" si="201"/>
        <v>245</v>
      </c>
      <c r="R1084" s="81">
        <f t="shared" si="201"/>
        <v>100</v>
      </c>
      <c r="S1084" s="80">
        <f t="shared" si="201"/>
        <v>695</v>
      </c>
      <c r="T1084" s="80">
        <f t="shared" si="201"/>
        <v>33.333333333333336</v>
      </c>
      <c r="U1084" s="77"/>
      <c r="V1084" s="77"/>
      <c r="W1084" s="77"/>
      <c r="X1084" s="77"/>
      <c r="Y1084" s="77"/>
      <c r="Z1084" s="77"/>
      <c r="AA1084" s="77"/>
      <c r="AB1084" s="77"/>
      <c r="AC1084" s="77"/>
      <c r="AD1084" s="77"/>
    </row>
    <row r="1085" spans="1:30" ht="15" x14ac:dyDescent="0.2">
      <c r="A1085" s="10">
        <v>2029</v>
      </c>
      <c r="B1085" s="10">
        <f t="shared" si="181"/>
        <v>365</v>
      </c>
      <c r="C1085" s="80">
        <f t="shared" ref="C1085:T1085" si="202">AVERAGE(C204:C215)</f>
        <v>154.75825</v>
      </c>
      <c r="D1085" s="80">
        <f t="shared" si="202"/>
        <v>281.0162499999999</v>
      </c>
      <c r="E1085" s="80">
        <f t="shared" si="202"/>
        <v>109.1005</v>
      </c>
      <c r="F1085" s="80">
        <f t="shared" si="202"/>
        <v>57.041666666666664</v>
      </c>
      <c r="G1085" s="80">
        <f t="shared" si="202"/>
        <v>40</v>
      </c>
      <c r="H1085" s="80">
        <f t="shared" si="202"/>
        <v>174.58333333333334</v>
      </c>
      <c r="I1085" s="80">
        <f t="shared" si="202"/>
        <v>0</v>
      </c>
      <c r="J1085" s="80">
        <f t="shared" si="202"/>
        <v>100</v>
      </c>
      <c r="K1085" s="80">
        <f t="shared" si="202"/>
        <v>300</v>
      </c>
      <c r="L1085" s="80">
        <f t="shared" si="202"/>
        <v>1216.5</v>
      </c>
      <c r="M1085" s="82">
        <f t="shared" si="202"/>
        <v>600</v>
      </c>
      <c r="N1085" s="80">
        <f t="shared" si="202"/>
        <v>72.5</v>
      </c>
      <c r="O1085" s="81">
        <f t="shared" si="202"/>
        <v>240</v>
      </c>
      <c r="P1085" s="81">
        <f t="shared" si="202"/>
        <v>110</v>
      </c>
      <c r="Q1085" s="81">
        <f t="shared" si="202"/>
        <v>245</v>
      </c>
      <c r="R1085" s="81">
        <f t="shared" si="202"/>
        <v>100</v>
      </c>
      <c r="S1085" s="80">
        <f t="shared" si="202"/>
        <v>695</v>
      </c>
      <c r="T1085" s="80">
        <f t="shared" si="202"/>
        <v>33.333333333333336</v>
      </c>
      <c r="U1085" s="77"/>
      <c r="V1085" s="77"/>
      <c r="W1085" s="77"/>
      <c r="X1085" s="77"/>
      <c r="Y1085" s="77"/>
      <c r="Z1085" s="77"/>
      <c r="AA1085" s="77"/>
      <c r="AB1085" s="77"/>
      <c r="AC1085" s="77"/>
      <c r="AD1085" s="77"/>
    </row>
    <row r="1086" spans="1:30" ht="15" x14ac:dyDescent="0.2">
      <c r="A1086" s="10">
        <v>2030</v>
      </c>
      <c r="B1086" s="10">
        <f t="shared" si="181"/>
        <v>365</v>
      </c>
      <c r="C1086" s="80">
        <f t="shared" ref="C1086:T1086" si="203">AVERAGE(C216:C227)</f>
        <v>154.75825</v>
      </c>
      <c r="D1086" s="80">
        <f t="shared" si="203"/>
        <v>281.0162499999999</v>
      </c>
      <c r="E1086" s="80">
        <f t="shared" si="203"/>
        <v>109.1005</v>
      </c>
      <c r="F1086" s="80">
        <f t="shared" si="203"/>
        <v>57.041666666666664</v>
      </c>
      <c r="G1086" s="80">
        <f t="shared" si="203"/>
        <v>40</v>
      </c>
      <c r="H1086" s="80">
        <f t="shared" si="203"/>
        <v>174.58333333333334</v>
      </c>
      <c r="I1086" s="80">
        <f t="shared" si="203"/>
        <v>0</v>
      </c>
      <c r="J1086" s="80">
        <f t="shared" si="203"/>
        <v>100</v>
      </c>
      <c r="K1086" s="80">
        <f t="shared" si="203"/>
        <v>300</v>
      </c>
      <c r="L1086" s="80">
        <f t="shared" si="203"/>
        <v>1216.5</v>
      </c>
      <c r="M1086" s="82">
        <f t="shared" si="203"/>
        <v>600</v>
      </c>
      <c r="N1086" s="80">
        <f t="shared" si="203"/>
        <v>72.5</v>
      </c>
      <c r="O1086" s="81">
        <f t="shared" si="203"/>
        <v>240</v>
      </c>
      <c r="P1086" s="81">
        <f t="shared" si="203"/>
        <v>110</v>
      </c>
      <c r="Q1086" s="81">
        <f t="shared" si="203"/>
        <v>245</v>
      </c>
      <c r="R1086" s="81">
        <f t="shared" si="203"/>
        <v>100</v>
      </c>
      <c r="S1086" s="80">
        <f t="shared" si="203"/>
        <v>695</v>
      </c>
      <c r="T1086" s="80">
        <f t="shared" si="203"/>
        <v>33.333333333333336</v>
      </c>
      <c r="U1086" s="77"/>
      <c r="V1086" s="77"/>
      <c r="W1086" s="77"/>
      <c r="X1086" s="77"/>
      <c r="Y1086" s="77"/>
      <c r="Z1086" s="77"/>
      <c r="AA1086" s="77"/>
      <c r="AB1086" s="77"/>
      <c r="AC1086" s="77"/>
      <c r="AD1086" s="77"/>
    </row>
    <row r="1087" spans="1:30" ht="15" x14ac:dyDescent="0.2">
      <c r="A1087" s="10">
        <v>2031</v>
      </c>
      <c r="B1087" s="10">
        <f t="shared" si="181"/>
        <v>365</v>
      </c>
      <c r="C1087" s="80">
        <f t="shared" ref="C1087:T1087" si="204">AVERAGE(C228:C239)</f>
        <v>154.75825</v>
      </c>
      <c r="D1087" s="80">
        <f t="shared" si="204"/>
        <v>281.0162499999999</v>
      </c>
      <c r="E1087" s="80">
        <f t="shared" si="204"/>
        <v>109.1005</v>
      </c>
      <c r="F1087" s="80">
        <f t="shared" si="204"/>
        <v>57.041666666666664</v>
      </c>
      <c r="G1087" s="80">
        <f t="shared" si="204"/>
        <v>40</v>
      </c>
      <c r="H1087" s="80">
        <f t="shared" si="204"/>
        <v>174.58333333333334</v>
      </c>
      <c r="I1087" s="80">
        <f t="shared" si="204"/>
        <v>0</v>
      </c>
      <c r="J1087" s="80">
        <f t="shared" si="204"/>
        <v>100</v>
      </c>
      <c r="K1087" s="80">
        <f t="shared" si="204"/>
        <v>300</v>
      </c>
      <c r="L1087" s="80">
        <f t="shared" si="204"/>
        <v>1216.5</v>
      </c>
      <c r="M1087" s="82">
        <f t="shared" si="204"/>
        <v>600</v>
      </c>
      <c r="N1087" s="80">
        <f t="shared" si="204"/>
        <v>72.5</v>
      </c>
      <c r="O1087" s="81">
        <f t="shared" si="204"/>
        <v>240</v>
      </c>
      <c r="P1087" s="81">
        <f t="shared" si="204"/>
        <v>110</v>
      </c>
      <c r="Q1087" s="81">
        <f t="shared" si="204"/>
        <v>245</v>
      </c>
      <c r="R1087" s="81">
        <f t="shared" si="204"/>
        <v>100</v>
      </c>
      <c r="S1087" s="80">
        <f t="shared" si="204"/>
        <v>695</v>
      </c>
      <c r="T1087" s="80">
        <f t="shared" si="204"/>
        <v>33.333333333333336</v>
      </c>
      <c r="U1087" s="77"/>
      <c r="V1087" s="77"/>
      <c r="W1087" s="77"/>
      <c r="X1087" s="77"/>
      <c r="Y1087" s="77"/>
      <c r="Z1087" s="77"/>
      <c r="AA1087" s="77"/>
      <c r="AB1087" s="77"/>
      <c r="AC1087" s="77"/>
      <c r="AD1087" s="77"/>
    </row>
    <row r="1088" spans="1:30" ht="15" x14ac:dyDescent="0.2">
      <c r="A1088" s="10">
        <v>2032</v>
      </c>
      <c r="B1088" s="10">
        <f t="shared" si="181"/>
        <v>366</v>
      </c>
      <c r="C1088" s="80">
        <f t="shared" ref="C1088:T1088" si="205">AVERAGE(C240:C251)</f>
        <v>154.75825</v>
      </c>
      <c r="D1088" s="80">
        <f t="shared" si="205"/>
        <v>281.0162499999999</v>
      </c>
      <c r="E1088" s="80">
        <f t="shared" si="205"/>
        <v>109.1005</v>
      </c>
      <c r="F1088" s="80">
        <f t="shared" si="205"/>
        <v>57.041666666666664</v>
      </c>
      <c r="G1088" s="80">
        <f t="shared" si="205"/>
        <v>40</v>
      </c>
      <c r="H1088" s="80">
        <f t="shared" si="205"/>
        <v>174.58333333333334</v>
      </c>
      <c r="I1088" s="80">
        <f t="shared" si="205"/>
        <v>0</v>
      </c>
      <c r="J1088" s="80">
        <f t="shared" si="205"/>
        <v>100</v>
      </c>
      <c r="K1088" s="80">
        <f t="shared" si="205"/>
        <v>300</v>
      </c>
      <c r="L1088" s="80">
        <f t="shared" si="205"/>
        <v>1216.5</v>
      </c>
      <c r="M1088" s="82">
        <f t="shared" si="205"/>
        <v>600</v>
      </c>
      <c r="N1088" s="80">
        <f t="shared" si="205"/>
        <v>72.5</v>
      </c>
      <c r="O1088" s="81">
        <f t="shared" si="205"/>
        <v>240</v>
      </c>
      <c r="P1088" s="81">
        <f t="shared" si="205"/>
        <v>110</v>
      </c>
      <c r="Q1088" s="81">
        <f t="shared" si="205"/>
        <v>245</v>
      </c>
      <c r="R1088" s="81">
        <f t="shared" si="205"/>
        <v>100</v>
      </c>
      <c r="S1088" s="80">
        <f t="shared" si="205"/>
        <v>695</v>
      </c>
      <c r="T1088" s="80">
        <f t="shared" si="205"/>
        <v>33.333333333333336</v>
      </c>
      <c r="U1088" s="77"/>
      <c r="V1088" s="77"/>
      <c r="W1088" s="77"/>
      <c r="X1088" s="77"/>
      <c r="Y1088" s="77"/>
      <c r="Z1088" s="77"/>
      <c r="AA1088" s="77"/>
      <c r="AB1088" s="77"/>
      <c r="AC1088" s="77"/>
      <c r="AD1088" s="77"/>
    </row>
    <row r="1089" spans="1:30" ht="15" x14ac:dyDescent="0.2">
      <c r="A1089" s="10">
        <v>2033</v>
      </c>
      <c r="B1089" s="10">
        <f t="shared" si="181"/>
        <v>365</v>
      </c>
      <c r="C1089" s="80">
        <f t="shared" ref="C1089:T1089" si="206">AVERAGE(C252:C263)</f>
        <v>154.75825</v>
      </c>
      <c r="D1089" s="80">
        <f t="shared" si="206"/>
        <v>281.0162499999999</v>
      </c>
      <c r="E1089" s="80">
        <f t="shared" si="206"/>
        <v>109.1005</v>
      </c>
      <c r="F1089" s="80">
        <f t="shared" si="206"/>
        <v>57.041666666666664</v>
      </c>
      <c r="G1089" s="80">
        <f t="shared" si="206"/>
        <v>40</v>
      </c>
      <c r="H1089" s="80">
        <f t="shared" si="206"/>
        <v>174.58333333333334</v>
      </c>
      <c r="I1089" s="80">
        <f t="shared" si="206"/>
        <v>0</v>
      </c>
      <c r="J1089" s="80">
        <f t="shared" si="206"/>
        <v>100</v>
      </c>
      <c r="K1089" s="80">
        <f t="shared" si="206"/>
        <v>300</v>
      </c>
      <c r="L1089" s="80">
        <f t="shared" si="206"/>
        <v>1216.5</v>
      </c>
      <c r="M1089" s="82">
        <f t="shared" si="206"/>
        <v>600</v>
      </c>
      <c r="N1089" s="80">
        <f t="shared" si="206"/>
        <v>72.5</v>
      </c>
      <c r="O1089" s="81">
        <f t="shared" si="206"/>
        <v>240</v>
      </c>
      <c r="P1089" s="81">
        <f t="shared" si="206"/>
        <v>110</v>
      </c>
      <c r="Q1089" s="81">
        <f t="shared" si="206"/>
        <v>245</v>
      </c>
      <c r="R1089" s="81">
        <f t="shared" si="206"/>
        <v>100</v>
      </c>
      <c r="S1089" s="80">
        <f t="shared" si="206"/>
        <v>695</v>
      </c>
      <c r="T1089" s="80">
        <f t="shared" si="206"/>
        <v>33.333333333333336</v>
      </c>
      <c r="U1089" s="77"/>
      <c r="V1089" s="77"/>
      <c r="W1089" s="77"/>
      <c r="X1089" s="77"/>
      <c r="Y1089" s="77"/>
      <c r="Z1089" s="77"/>
      <c r="AA1089" s="77"/>
      <c r="AB1089" s="77"/>
      <c r="AC1089" s="77"/>
      <c r="AD1089" s="77"/>
    </row>
    <row r="1090" spans="1:30" ht="15" x14ac:dyDescent="0.2">
      <c r="A1090" s="10">
        <v>2034</v>
      </c>
      <c r="B1090" s="10">
        <f t="shared" si="181"/>
        <v>365</v>
      </c>
      <c r="C1090" s="80">
        <f t="shared" ref="C1090:T1090" si="207">AVERAGE(C264:C275)</f>
        <v>154.75825</v>
      </c>
      <c r="D1090" s="80">
        <f t="shared" si="207"/>
        <v>281.0162499999999</v>
      </c>
      <c r="E1090" s="80">
        <f t="shared" si="207"/>
        <v>109.1005</v>
      </c>
      <c r="F1090" s="80">
        <f t="shared" si="207"/>
        <v>57.041666666666664</v>
      </c>
      <c r="G1090" s="80">
        <f t="shared" si="207"/>
        <v>40</v>
      </c>
      <c r="H1090" s="80">
        <f t="shared" si="207"/>
        <v>174.58333333333334</v>
      </c>
      <c r="I1090" s="80">
        <f t="shared" si="207"/>
        <v>0</v>
      </c>
      <c r="J1090" s="80">
        <f t="shared" si="207"/>
        <v>100</v>
      </c>
      <c r="K1090" s="80">
        <f t="shared" si="207"/>
        <v>300</v>
      </c>
      <c r="L1090" s="80">
        <f t="shared" si="207"/>
        <v>1216.5</v>
      </c>
      <c r="M1090" s="82">
        <f t="shared" si="207"/>
        <v>600</v>
      </c>
      <c r="N1090" s="80">
        <f t="shared" si="207"/>
        <v>72.5</v>
      </c>
      <c r="O1090" s="81">
        <f t="shared" si="207"/>
        <v>240</v>
      </c>
      <c r="P1090" s="81">
        <f t="shared" si="207"/>
        <v>110</v>
      </c>
      <c r="Q1090" s="81">
        <f t="shared" si="207"/>
        <v>245</v>
      </c>
      <c r="R1090" s="81">
        <f t="shared" si="207"/>
        <v>100</v>
      </c>
      <c r="S1090" s="80">
        <f t="shared" si="207"/>
        <v>695</v>
      </c>
      <c r="T1090" s="80">
        <f t="shared" si="207"/>
        <v>33.333333333333336</v>
      </c>
      <c r="U1090" s="77"/>
      <c r="V1090" s="77"/>
      <c r="W1090" s="77"/>
      <c r="X1090" s="77"/>
      <c r="Y1090" s="77"/>
      <c r="Z1090" s="77"/>
      <c r="AA1090" s="77"/>
      <c r="AB1090" s="77"/>
      <c r="AC1090" s="77"/>
      <c r="AD1090" s="77"/>
    </row>
    <row r="1091" spans="1:30" ht="15" x14ac:dyDescent="0.2">
      <c r="A1091" s="10">
        <v>2035</v>
      </c>
      <c r="B1091" s="10">
        <f t="shared" si="181"/>
        <v>365</v>
      </c>
      <c r="C1091" s="80">
        <f t="shared" ref="C1091:T1091" si="208">AVERAGE(C276:C287)</f>
        <v>154.75825</v>
      </c>
      <c r="D1091" s="80">
        <f t="shared" si="208"/>
        <v>281.0162499999999</v>
      </c>
      <c r="E1091" s="80">
        <f t="shared" si="208"/>
        <v>109.1005</v>
      </c>
      <c r="F1091" s="80">
        <f t="shared" si="208"/>
        <v>57.041666666666664</v>
      </c>
      <c r="G1091" s="80">
        <f t="shared" si="208"/>
        <v>40</v>
      </c>
      <c r="H1091" s="80">
        <f t="shared" si="208"/>
        <v>174.58333333333334</v>
      </c>
      <c r="I1091" s="80">
        <f t="shared" si="208"/>
        <v>0</v>
      </c>
      <c r="J1091" s="80">
        <f t="shared" si="208"/>
        <v>100</v>
      </c>
      <c r="K1091" s="80">
        <f t="shared" si="208"/>
        <v>300</v>
      </c>
      <c r="L1091" s="80">
        <f t="shared" si="208"/>
        <v>1216.5</v>
      </c>
      <c r="M1091" s="82">
        <f t="shared" si="208"/>
        <v>600</v>
      </c>
      <c r="N1091" s="80">
        <f t="shared" si="208"/>
        <v>72.5</v>
      </c>
      <c r="O1091" s="81">
        <f t="shared" si="208"/>
        <v>240</v>
      </c>
      <c r="P1091" s="81">
        <f t="shared" si="208"/>
        <v>110</v>
      </c>
      <c r="Q1091" s="81">
        <f t="shared" si="208"/>
        <v>245</v>
      </c>
      <c r="R1091" s="81">
        <f t="shared" si="208"/>
        <v>100</v>
      </c>
      <c r="S1091" s="80">
        <f t="shared" si="208"/>
        <v>695</v>
      </c>
      <c r="T1091" s="80">
        <f t="shared" si="208"/>
        <v>33.333333333333336</v>
      </c>
      <c r="U1091" s="77"/>
      <c r="V1091" s="77"/>
      <c r="W1091" s="77"/>
      <c r="X1091" s="77"/>
      <c r="Y1091" s="77"/>
      <c r="Z1091" s="77"/>
      <c r="AA1091" s="77"/>
      <c r="AB1091" s="77"/>
      <c r="AC1091" s="77"/>
      <c r="AD1091" s="77"/>
    </row>
    <row r="1092" spans="1:30" ht="15" x14ac:dyDescent="0.2">
      <c r="A1092" s="10">
        <v>2036</v>
      </c>
      <c r="B1092" s="10">
        <f t="shared" si="181"/>
        <v>366</v>
      </c>
      <c r="C1092" s="80">
        <f t="shared" ref="C1092:T1092" si="209">AVERAGE(C288:C299)</f>
        <v>154.75825</v>
      </c>
      <c r="D1092" s="80">
        <f t="shared" si="209"/>
        <v>281.0162499999999</v>
      </c>
      <c r="E1092" s="80">
        <f t="shared" si="209"/>
        <v>109.1005</v>
      </c>
      <c r="F1092" s="80">
        <f t="shared" si="209"/>
        <v>57.041666666666664</v>
      </c>
      <c r="G1092" s="80">
        <f t="shared" si="209"/>
        <v>40</v>
      </c>
      <c r="H1092" s="80">
        <f t="shared" si="209"/>
        <v>174.58333333333334</v>
      </c>
      <c r="I1092" s="80">
        <f t="shared" si="209"/>
        <v>0</v>
      </c>
      <c r="J1092" s="80">
        <f t="shared" si="209"/>
        <v>100</v>
      </c>
      <c r="K1092" s="80">
        <f t="shared" si="209"/>
        <v>300</v>
      </c>
      <c r="L1092" s="80">
        <f t="shared" si="209"/>
        <v>1216.5</v>
      </c>
      <c r="M1092" s="82">
        <f t="shared" si="209"/>
        <v>600</v>
      </c>
      <c r="N1092" s="80">
        <f t="shared" si="209"/>
        <v>72.5</v>
      </c>
      <c r="O1092" s="81">
        <f t="shared" si="209"/>
        <v>240</v>
      </c>
      <c r="P1092" s="81">
        <f t="shared" si="209"/>
        <v>110</v>
      </c>
      <c r="Q1092" s="81">
        <f t="shared" si="209"/>
        <v>245</v>
      </c>
      <c r="R1092" s="81">
        <f t="shared" si="209"/>
        <v>100</v>
      </c>
      <c r="S1092" s="80">
        <f t="shared" si="209"/>
        <v>695</v>
      </c>
      <c r="T1092" s="80">
        <f t="shared" si="209"/>
        <v>33.333333333333336</v>
      </c>
      <c r="U1092" s="77"/>
      <c r="V1092" s="77"/>
      <c r="W1092" s="77"/>
      <c r="X1092" s="77"/>
      <c r="Y1092" s="77"/>
      <c r="Z1092" s="77"/>
      <c r="AA1092" s="77"/>
      <c r="AB1092" s="77"/>
      <c r="AC1092" s="77"/>
      <c r="AD1092" s="77"/>
    </row>
    <row r="1093" spans="1:30" ht="15" x14ac:dyDescent="0.2">
      <c r="A1093" s="10">
        <v>2037</v>
      </c>
      <c r="B1093" s="10">
        <f t="shared" si="181"/>
        <v>365</v>
      </c>
      <c r="C1093" s="80">
        <f t="shared" ref="C1093:T1093" si="210">AVERAGE(C300:C311)</f>
        <v>154.75825</v>
      </c>
      <c r="D1093" s="80">
        <f t="shared" si="210"/>
        <v>281.0162499999999</v>
      </c>
      <c r="E1093" s="80">
        <f t="shared" si="210"/>
        <v>109.1005</v>
      </c>
      <c r="F1093" s="80">
        <f t="shared" si="210"/>
        <v>57.041666666666664</v>
      </c>
      <c r="G1093" s="80">
        <f t="shared" si="210"/>
        <v>40</v>
      </c>
      <c r="H1093" s="80">
        <f t="shared" si="210"/>
        <v>174.58333333333334</v>
      </c>
      <c r="I1093" s="80">
        <f t="shared" si="210"/>
        <v>0</v>
      </c>
      <c r="J1093" s="80">
        <f t="shared" si="210"/>
        <v>100</v>
      </c>
      <c r="K1093" s="80">
        <f t="shared" si="210"/>
        <v>300</v>
      </c>
      <c r="L1093" s="80">
        <f t="shared" si="210"/>
        <v>1216.5</v>
      </c>
      <c r="M1093" s="82">
        <f t="shared" si="210"/>
        <v>600</v>
      </c>
      <c r="N1093" s="80">
        <f t="shared" si="210"/>
        <v>72.5</v>
      </c>
      <c r="O1093" s="81">
        <f t="shared" si="210"/>
        <v>240</v>
      </c>
      <c r="P1093" s="81">
        <f t="shared" si="210"/>
        <v>110</v>
      </c>
      <c r="Q1093" s="81">
        <f t="shared" si="210"/>
        <v>245</v>
      </c>
      <c r="R1093" s="81">
        <f t="shared" si="210"/>
        <v>100</v>
      </c>
      <c r="S1093" s="80">
        <f t="shared" si="210"/>
        <v>695</v>
      </c>
      <c r="T1093" s="80">
        <f t="shared" si="210"/>
        <v>33.333333333333336</v>
      </c>
      <c r="U1093" s="77"/>
      <c r="V1093" s="77"/>
      <c r="W1093" s="77"/>
      <c r="X1093" s="77"/>
      <c r="Y1093" s="77"/>
      <c r="Z1093" s="77"/>
      <c r="AA1093" s="77"/>
      <c r="AB1093" s="77"/>
      <c r="AC1093" s="77"/>
      <c r="AD1093" s="77"/>
    </row>
    <row r="1094" spans="1:30" ht="15" x14ac:dyDescent="0.2">
      <c r="A1094" s="10">
        <f t="shared" ref="A1094:A1125" si="211">A1093+1</f>
        <v>2038</v>
      </c>
      <c r="B1094" s="10">
        <f t="shared" si="181"/>
        <v>365</v>
      </c>
      <c r="C1094" s="76">
        <f t="shared" ref="C1094:T1094" si="212">AVERAGE(C312:C323)</f>
        <v>154.75825</v>
      </c>
      <c r="D1094" s="76">
        <f t="shared" si="212"/>
        <v>281.0162499999999</v>
      </c>
      <c r="E1094" s="76">
        <f t="shared" si="212"/>
        <v>109.1005</v>
      </c>
      <c r="F1094" s="76">
        <f t="shared" si="212"/>
        <v>57.041666666666664</v>
      </c>
      <c r="G1094" s="76">
        <f t="shared" si="212"/>
        <v>40</v>
      </c>
      <c r="H1094" s="76">
        <f t="shared" si="212"/>
        <v>174.58333333333334</v>
      </c>
      <c r="I1094" s="76">
        <f t="shared" si="212"/>
        <v>0</v>
      </c>
      <c r="J1094" s="76">
        <f t="shared" si="212"/>
        <v>100</v>
      </c>
      <c r="K1094" s="76">
        <f t="shared" si="212"/>
        <v>300</v>
      </c>
      <c r="L1094" s="76">
        <f t="shared" si="212"/>
        <v>1216.5</v>
      </c>
      <c r="M1094" s="78">
        <f t="shared" si="212"/>
        <v>600</v>
      </c>
      <c r="N1094" s="76">
        <f t="shared" si="212"/>
        <v>72.5</v>
      </c>
      <c r="O1094" s="79">
        <f t="shared" si="212"/>
        <v>240</v>
      </c>
      <c r="P1094" s="79">
        <f t="shared" si="212"/>
        <v>110</v>
      </c>
      <c r="Q1094" s="79">
        <f t="shared" si="212"/>
        <v>245</v>
      </c>
      <c r="R1094" s="79">
        <f t="shared" si="212"/>
        <v>100</v>
      </c>
      <c r="S1094" s="76">
        <f t="shared" si="212"/>
        <v>695</v>
      </c>
      <c r="T1094" s="76">
        <f t="shared" si="212"/>
        <v>33.333333333333336</v>
      </c>
      <c r="U1094" s="77"/>
      <c r="V1094" s="77"/>
      <c r="W1094" s="77"/>
      <c r="X1094" s="77"/>
      <c r="Y1094" s="77"/>
      <c r="Z1094" s="77"/>
      <c r="AA1094" s="77"/>
      <c r="AB1094" s="77"/>
      <c r="AC1094" s="77"/>
      <c r="AD1094" s="77"/>
    </row>
    <row r="1095" spans="1:30" ht="15" x14ac:dyDescent="0.2">
      <c r="A1095" s="10">
        <f t="shared" si="211"/>
        <v>2039</v>
      </c>
      <c r="B1095" s="10">
        <f t="shared" si="181"/>
        <v>365</v>
      </c>
      <c r="C1095" s="76">
        <f t="shared" ref="C1095:T1095" si="213">AVERAGE(C324:C335)</f>
        <v>154.75825</v>
      </c>
      <c r="D1095" s="76">
        <f t="shared" si="213"/>
        <v>281.0162499999999</v>
      </c>
      <c r="E1095" s="76">
        <f t="shared" si="213"/>
        <v>109.1005</v>
      </c>
      <c r="F1095" s="76">
        <f t="shared" si="213"/>
        <v>57.041666666666664</v>
      </c>
      <c r="G1095" s="76">
        <f t="shared" si="213"/>
        <v>40</v>
      </c>
      <c r="H1095" s="76">
        <f t="shared" si="213"/>
        <v>174.58333333333334</v>
      </c>
      <c r="I1095" s="76">
        <f t="shared" si="213"/>
        <v>0</v>
      </c>
      <c r="J1095" s="76">
        <f t="shared" si="213"/>
        <v>100</v>
      </c>
      <c r="K1095" s="76">
        <f t="shared" si="213"/>
        <v>300</v>
      </c>
      <c r="L1095" s="76">
        <f t="shared" si="213"/>
        <v>1216.5</v>
      </c>
      <c r="M1095" s="78">
        <f t="shared" si="213"/>
        <v>600</v>
      </c>
      <c r="N1095" s="76">
        <f t="shared" si="213"/>
        <v>72.5</v>
      </c>
      <c r="O1095" s="79">
        <f t="shared" si="213"/>
        <v>240</v>
      </c>
      <c r="P1095" s="79">
        <f t="shared" si="213"/>
        <v>110</v>
      </c>
      <c r="Q1095" s="79">
        <f t="shared" si="213"/>
        <v>245</v>
      </c>
      <c r="R1095" s="79">
        <f t="shared" si="213"/>
        <v>100</v>
      </c>
      <c r="S1095" s="76">
        <f t="shared" si="213"/>
        <v>695</v>
      </c>
      <c r="T1095" s="76">
        <f t="shared" si="213"/>
        <v>33.333333333333336</v>
      </c>
      <c r="U1095" s="77"/>
      <c r="V1095" s="77"/>
      <c r="W1095" s="77"/>
      <c r="X1095" s="77"/>
      <c r="Y1095" s="77"/>
      <c r="Z1095" s="77"/>
      <c r="AA1095" s="77"/>
      <c r="AB1095" s="77"/>
      <c r="AC1095" s="77"/>
      <c r="AD1095" s="77"/>
    </row>
    <row r="1096" spans="1:30" ht="15" x14ac:dyDescent="0.2">
      <c r="A1096" s="10">
        <f t="shared" si="211"/>
        <v>2040</v>
      </c>
      <c r="B1096" s="10">
        <f t="shared" si="181"/>
        <v>366</v>
      </c>
      <c r="C1096" s="76">
        <f t="shared" ref="C1096:T1096" si="214">AVERAGE(C336:C347)</f>
        <v>154.75825</v>
      </c>
      <c r="D1096" s="76">
        <f t="shared" si="214"/>
        <v>281.0162499999999</v>
      </c>
      <c r="E1096" s="76">
        <f t="shared" si="214"/>
        <v>109.1005</v>
      </c>
      <c r="F1096" s="76">
        <f t="shared" si="214"/>
        <v>57.041666666666664</v>
      </c>
      <c r="G1096" s="76">
        <f t="shared" si="214"/>
        <v>40</v>
      </c>
      <c r="H1096" s="76">
        <f t="shared" si="214"/>
        <v>174.58333333333334</v>
      </c>
      <c r="I1096" s="76">
        <f t="shared" si="214"/>
        <v>0</v>
      </c>
      <c r="J1096" s="76">
        <f t="shared" si="214"/>
        <v>100</v>
      </c>
      <c r="K1096" s="76">
        <f t="shared" si="214"/>
        <v>300</v>
      </c>
      <c r="L1096" s="76">
        <f t="shared" si="214"/>
        <v>1216.5</v>
      </c>
      <c r="M1096" s="78">
        <f t="shared" si="214"/>
        <v>600</v>
      </c>
      <c r="N1096" s="76">
        <f t="shared" si="214"/>
        <v>72.5</v>
      </c>
      <c r="O1096" s="79">
        <f t="shared" si="214"/>
        <v>240</v>
      </c>
      <c r="P1096" s="79">
        <f t="shared" si="214"/>
        <v>110</v>
      </c>
      <c r="Q1096" s="79">
        <f t="shared" si="214"/>
        <v>245</v>
      </c>
      <c r="R1096" s="79">
        <f t="shared" si="214"/>
        <v>100</v>
      </c>
      <c r="S1096" s="76">
        <f t="shared" si="214"/>
        <v>695</v>
      </c>
      <c r="T1096" s="76">
        <f t="shared" si="214"/>
        <v>33.333333333333336</v>
      </c>
      <c r="U1096" s="77"/>
      <c r="V1096" s="77"/>
      <c r="W1096" s="77"/>
      <c r="X1096" s="77"/>
      <c r="Y1096" s="77"/>
      <c r="Z1096" s="77"/>
      <c r="AA1096" s="77"/>
      <c r="AB1096" s="77"/>
      <c r="AC1096" s="77"/>
      <c r="AD1096" s="77"/>
    </row>
    <row r="1097" spans="1:30" ht="15" x14ac:dyDescent="0.2">
      <c r="A1097" s="10">
        <f t="shared" si="211"/>
        <v>2041</v>
      </c>
      <c r="B1097" s="10">
        <f t="shared" si="181"/>
        <v>365</v>
      </c>
      <c r="C1097" s="76">
        <f t="shared" ref="C1097:T1097" si="215">AVERAGE(C348:C359)</f>
        <v>154.75825</v>
      </c>
      <c r="D1097" s="76">
        <f t="shared" si="215"/>
        <v>281.0162499999999</v>
      </c>
      <c r="E1097" s="76">
        <f t="shared" si="215"/>
        <v>109.1005</v>
      </c>
      <c r="F1097" s="76">
        <f t="shared" si="215"/>
        <v>57.041666666666664</v>
      </c>
      <c r="G1097" s="76">
        <f t="shared" si="215"/>
        <v>40</v>
      </c>
      <c r="H1097" s="76">
        <f t="shared" si="215"/>
        <v>174.58333333333334</v>
      </c>
      <c r="I1097" s="76">
        <f t="shared" si="215"/>
        <v>0</v>
      </c>
      <c r="J1097" s="76">
        <f t="shared" si="215"/>
        <v>100</v>
      </c>
      <c r="K1097" s="76">
        <f t="shared" si="215"/>
        <v>300</v>
      </c>
      <c r="L1097" s="76">
        <f t="shared" si="215"/>
        <v>1216.5</v>
      </c>
      <c r="M1097" s="78">
        <f t="shared" si="215"/>
        <v>600</v>
      </c>
      <c r="N1097" s="76">
        <f t="shared" si="215"/>
        <v>72.5</v>
      </c>
      <c r="O1097" s="79">
        <f t="shared" si="215"/>
        <v>240</v>
      </c>
      <c r="P1097" s="79">
        <f t="shared" si="215"/>
        <v>110</v>
      </c>
      <c r="Q1097" s="79">
        <f t="shared" si="215"/>
        <v>245</v>
      </c>
      <c r="R1097" s="79">
        <f t="shared" si="215"/>
        <v>100</v>
      </c>
      <c r="S1097" s="76">
        <f t="shared" si="215"/>
        <v>695</v>
      </c>
      <c r="T1097" s="76">
        <f t="shared" si="215"/>
        <v>33.333333333333336</v>
      </c>
      <c r="U1097" s="77"/>
      <c r="V1097" s="77"/>
      <c r="W1097" s="77"/>
      <c r="X1097" s="77"/>
      <c r="Y1097" s="77"/>
      <c r="Z1097" s="77"/>
      <c r="AA1097" s="77"/>
      <c r="AB1097" s="77"/>
      <c r="AC1097" s="77"/>
      <c r="AD1097" s="77"/>
    </row>
    <row r="1098" spans="1:30" ht="15" x14ac:dyDescent="0.2">
      <c r="A1098" s="10">
        <f t="shared" si="211"/>
        <v>2042</v>
      </c>
      <c r="B1098" s="10">
        <f t="shared" si="181"/>
        <v>365</v>
      </c>
      <c r="C1098" s="76">
        <f t="shared" ref="C1098:T1098" si="216">AVERAGE(C360:C371)</f>
        <v>154.75825</v>
      </c>
      <c r="D1098" s="76">
        <f t="shared" si="216"/>
        <v>281.0162499999999</v>
      </c>
      <c r="E1098" s="76">
        <f t="shared" si="216"/>
        <v>109.1005</v>
      </c>
      <c r="F1098" s="76">
        <f t="shared" si="216"/>
        <v>57.041666666666664</v>
      </c>
      <c r="G1098" s="76">
        <f t="shared" si="216"/>
        <v>40</v>
      </c>
      <c r="H1098" s="76">
        <f t="shared" si="216"/>
        <v>174.58333333333334</v>
      </c>
      <c r="I1098" s="76">
        <f t="shared" si="216"/>
        <v>0</v>
      </c>
      <c r="J1098" s="76">
        <f t="shared" si="216"/>
        <v>100</v>
      </c>
      <c r="K1098" s="76">
        <f t="shared" si="216"/>
        <v>300</v>
      </c>
      <c r="L1098" s="76">
        <f t="shared" si="216"/>
        <v>1216.5</v>
      </c>
      <c r="M1098" s="78">
        <f t="shared" si="216"/>
        <v>600</v>
      </c>
      <c r="N1098" s="76">
        <f t="shared" si="216"/>
        <v>72.5</v>
      </c>
      <c r="O1098" s="79">
        <f t="shared" si="216"/>
        <v>240</v>
      </c>
      <c r="P1098" s="79">
        <f t="shared" si="216"/>
        <v>110</v>
      </c>
      <c r="Q1098" s="79">
        <f t="shared" si="216"/>
        <v>245</v>
      </c>
      <c r="R1098" s="79">
        <f t="shared" si="216"/>
        <v>100</v>
      </c>
      <c r="S1098" s="76">
        <f t="shared" si="216"/>
        <v>695</v>
      </c>
      <c r="T1098" s="76">
        <f t="shared" si="216"/>
        <v>33.333333333333336</v>
      </c>
      <c r="U1098" s="77"/>
      <c r="V1098" s="77"/>
      <c r="W1098" s="77"/>
      <c r="X1098" s="77"/>
      <c r="Y1098" s="77"/>
      <c r="Z1098" s="77"/>
      <c r="AA1098" s="77"/>
      <c r="AB1098" s="77"/>
      <c r="AC1098" s="77"/>
      <c r="AD1098" s="77"/>
    </row>
    <row r="1099" spans="1:30" ht="15" x14ac:dyDescent="0.2">
      <c r="A1099" s="10">
        <f t="shared" si="211"/>
        <v>2043</v>
      </c>
      <c r="B1099" s="10">
        <f t="shared" si="181"/>
        <v>365</v>
      </c>
      <c r="C1099" s="76">
        <f t="shared" ref="C1099:T1099" si="217">AVERAGE(C372:C383)</f>
        <v>154.75825</v>
      </c>
      <c r="D1099" s="76">
        <f t="shared" si="217"/>
        <v>281.0162499999999</v>
      </c>
      <c r="E1099" s="76">
        <f t="shared" si="217"/>
        <v>109.1005</v>
      </c>
      <c r="F1099" s="76">
        <f t="shared" si="217"/>
        <v>57.041666666666664</v>
      </c>
      <c r="G1099" s="76">
        <f t="shared" si="217"/>
        <v>40</v>
      </c>
      <c r="H1099" s="76">
        <f t="shared" si="217"/>
        <v>174.58333333333334</v>
      </c>
      <c r="I1099" s="76">
        <f t="shared" si="217"/>
        <v>0</v>
      </c>
      <c r="J1099" s="76">
        <f t="shared" si="217"/>
        <v>100</v>
      </c>
      <c r="K1099" s="76">
        <f t="shared" si="217"/>
        <v>300</v>
      </c>
      <c r="L1099" s="76">
        <f t="shared" si="217"/>
        <v>1216.5</v>
      </c>
      <c r="M1099" s="78">
        <f t="shared" si="217"/>
        <v>600</v>
      </c>
      <c r="N1099" s="76">
        <f t="shared" si="217"/>
        <v>72.5</v>
      </c>
      <c r="O1099" s="79">
        <f t="shared" si="217"/>
        <v>240</v>
      </c>
      <c r="P1099" s="79">
        <f t="shared" si="217"/>
        <v>110</v>
      </c>
      <c r="Q1099" s="79">
        <f t="shared" si="217"/>
        <v>245</v>
      </c>
      <c r="R1099" s="79">
        <f t="shared" si="217"/>
        <v>100</v>
      </c>
      <c r="S1099" s="76">
        <f t="shared" si="217"/>
        <v>695</v>
      </c>
      <c r="T1099" s="76">
        <f t="shared" si="217"/>
        <v>33.333333333333336</v>
      </c>
      <c r="U1099" s="77"/>
      <c r="V1099" s="77"/>
      <c r="W1099" s="77"/>
      <c r="X1099" s="77"/>
      <c r="Y1099" s="77"/>
      <c r="Z1099" s="77"/>
      <c r="AA1099" s="77"/>
      <c r="AB1099" s="77"/>
      <c r="AC1099" s="77"/>
      <c r="AD1099" s="77"/>
    </row>
    <row r="1100" spans="1:30" ht="15" x14ac:dyDescent="0.2">
      <c r="A1100" s="10">
        <f t="shared" si="211"/>
        <v>2044</v>
      </c>
      <c r="B1100" s="10">
        <f t="shared" si="181"/>
        <v>366</v>
      </c>
      <c r="C1100" s="76">
        <f t="shared" ref="C1100:T1100" si="218">AVERAGE(C384:C395)</f>
        <v>154.75825</v>
      </c>
      <c r="D1100" s="76">
        <f t="shared" si="218"/>
        <v>281.0162499999999</v>
      </c>
      <c r="E1100" s="76">
        <f t="shared" si="218"/>
        <v>109.1005</v>
      </c>
      <c r="F1100" s="76">
        <f t="shared" si="218"/>
        <v>57.041666666666664</v>
      </c>
      <c r="G1100" s="76">
        <f t="shared" si="218"/>
        <v>40</v>
      </c>
      <c r="H1100" s="76">
        <f t="shared" si="218"/>
        <v>174.58333333333334</v>
      </c>
      <c r="I1100" s="76">
        <f t="shared" si="218"/>
        <v>0</v>
      </c>
      <c r="J1100" s="76">
        <f t="shared" si="218"/>
        <v>100</v>
      </c>
      <c r="K1100" s="76">
        <f t="shared" si="218"/>
        <v>300</v>
      </c>
      <c r="L1100" s="76">
        <f t="shared" si="218"/>
        <v>1216.5</v>
      </c>
      <c r="M1100" s="78">
        <f t="shared" si="218"/>
        <v>600</v>
      </c>
      <c r="N1100" s="76">
        <f t="shared" si="218"/>
        <v>72.5</v>
      </c>
      <c r="O1100" s="79">
        <f t="shared" si="218"/>
        <v>240</v>
      </c>
      <c r="P1100" s="79">
        <f t="shared" si="218"/>
        <v>110</v>
      </c>
      <c r="Q1100" s="79">
        <f t="shared" si="218"/>
        <v>245</v>
      </c>
      <c r="R1100" s="79">
        <f t="shared" si="218"/>
        <v>100</v>
      </c>
      <c r="S1100" s="76">
        <f t="shared" si="218"/>
        <v>695</v>
      </c>
      <c r="T1100" s="76">
        <f t="shared" si="218"/>
        <v>33.333333333333336</v>
      </c>
      <c r="U1100" s="77"/>
      <c r="V1100" s="77"/>
      <c r="W1100" s="77"/>
      <c r="X1100" s="77"/>
      <c r="Y1100" s="77"/>
      <c r="Z1100" s="77"/>
      <c r="AA1100" s="77"/>
      <c r="AB1100" s="77"/>
      <c r="AC1100" s="77"/>
      <c r="AD1100" s="77"/>
    </row>
    <row r="1101" spans="1:30" ht="15" x14ac:dyDescent="0.2">
      <c r="A1101" s="10">
        <f t="shared" si="211"/>
        <v>2045</v>
      </c>
      <c r="B1101" s="10">
        <f t="shared" ref="B1101:B1132" si="219">DATE(A1101+1,1,1)-DATE(A1101,1,1)</f>
        <v>365</v>
      </c>
      <c r="C1101" s="76">
        <f t="shared" ref="C1101:T1101" si="220">AVERAGE(C396:C407)</f>
        <v>154.75825</v>
      </c>
      <c r="D1101" s="76">
        <f t="shared" si="220"/>
        <v>281.0162499999999</v>
      </c>
      <c r="E1101" s="76">
        <f t="shared" si="220"/>
        <v>109.1005</v>
      </c>
      <c r="F1101" s="76">
        <f t="shared" si="220"/>
        <v>57.041666666666664</v>
      </c>
      <c r="G1101" s="76">
        <f t="shared" si="220"/>
        <v>40</v>
      </c>
      <c r="H1101" s="76">
        <f t="shared" si="220"/>
        <v>174.58333333333334</v>
      </c>
      <c r="I1101" s="76">
        <f t="shared" si="220"/>
        <v>0</v>
      </c>
      <c r="J1101" s="76">
        <f t="shared" si="220"/>
        <v>100</v>
      </c>
      <c r="K1101" s="76">
        <f t="shared" si="220"/>
        <v>300</v>
      </c>
      <c r="L1101" s="76">
        <f t="shared" si="220"/>
        <v>1216.5</v>
      </c>
      <c r="M1101" s="78">
        <f t="shared" si="220"/>
        <v>600</v>
      </c>
      <c r="N1101" s="76">
        <f t="shared" si="220"/>
        <v>72.5</v>
      </c>
      <c r="O1101" s="79">
        <f t="shared" si="220"/>
        <v>240</v>
      </c>
      <c r="P1101" s="79">
        <f t="shared" si="220"/>
        <v>110</v>
      </c>
      <c r="Q1101" s="79">
        <f t="shared" si="220"/>
        <v>245</v>
      </c>
      <c r="R1101" s="79">
        <f t="shared" si="220"/>
        <v>100</v>
      </c>
      <c r="S1101" s="76">
        <f t="shared" si="220"/>
        <v>695</v>
      </c>
      <c r="T1101" s="76">
        <f t="shared" si="220"/>
        <v>33.333333333333336</v>
      </c>
      <c r="U1101" s="77"/>
      <c r="V1101" s="77"/>
      <c r="W1101" s="77"/>
      <c r="X1101" s="77"/>
      <c r="Y1101" s="77"/>
      <c r="Z1101" s="77"/>
      <c r="AA1101" s="77"/>
      <c r="AB1101" s="77"/>
      <c r="AC1101" s="77"/>
      <c r="AD1101" s="77"/>
    </row>
    <row r="1102" spans="1:30" ht="15" x14ac:dyDescent="0.2">
      <c r="A1102" s="10">
        <f t="shared" si="211"/>
        <v>2046</v>
      </c>
      <c r="B1102" s="10">
        <f t="shared" si="219"/>
        <v>365</v>
      </c>
      <c r="C1102" s="76">
        <f t="shared" ref="C1102:T1102" si="221">AVERAGE(C408:C419)</f>
        <v>154.75825</v>
      </c>
      <c r="D1102" s="76">
        <f t="shared" si="221"/>
        <v>281.0162499999999</v>
      </c>
      <c r="E1102" s="76">
        <f t="shared" si="221"/>
        <v>109.1005</v>
      </c>
      <c r="F1102" s="76">
        <f t="shared" si="221"/>
        <v>57.041666666666664</v>
      </c>
      <c r="G1102" s="76">
        <f t="shared" si="221"/>
        <v>40</v>
      </c>
      <c r="H1102" s="76">
        <f t="shared" si="221"/>
        <v>174.58333333333334</v>
      </c>
      <c r="I1102" s="76">
        <f t="shared" si="221"/>
        <v>0</v>
      </c>
      <c r="J1102" s="76">
        <f t="shared" si="221"/>
        <v>100</v>
      </c>
      <c r="K1102" s="76">
        <f t="shared" si="221"/>
        <v>300</v>
      </c>
      <c r="L1102" s="76">
        <f t="shared" si="221"/>
        <v>1216.5</v>
      </c>
      <c r="M1102" s="78">
        <f t="shared" si="221"/>
        <v>600</v>
      </c>
      <c r="N1102" s="76">
        <f t="shared" si="221"/>
        <v>72.5</v>
      </c>
      <c r="O1102" s="79">
        <f t="shared" si="221"/>
        <v>240</v>
      </c>
      <c r="P1102" s="79">
        <f t="shared" si="221"/>
        <v>110</v>
      </c>
      <c r="Q1102" s="79">
        <f t="shared" si="221"/>
        <v>245</v>
      </c>
      <c r="R1102" s="79">
        <f t="shared" si="221"/>
        <v>100</v>
      </c>
      <c r="S1102" s="76">
        <f t="shared" si="221"/>
        <v>695</v>
      </c>
      <c r="T1102" s="76">
        <f t="shared" si="221"/>
        <v>33.333333333333336</v>
      </c>
      <c r="U1102" s="77"/>
      <c r="V1102" s="77"/>
      <c r="W1102" s="77"/>
      <c r="X1102" s="77"/>
      <c r="Y1102" s="77"/>
      <c r="Z1102" s="77"/>
      <c r="AA1102" s="77"/>
      <c r="AB1102" s="77"/>
      <c r="AC1102" s="77"/>
      <c r="AD1102" s="77"/>
    </row>
    <row r="1103" spans="1:30" ht="15" x14ac:dyDescent="0.2">
      <c r="A1103" s="10">
        <f t="shared" si="211"/>
        <v>2047</v>
      </c>
      <c r="B1103" s="10">
        <f t="shared" si="219"/>
        <v>365</v>
      </c>
      <c r="C1103" s="76">
        <f t="shared" ref="C1103:T1103" si="222">AVERAGE(C420:C431)</f>
        <v>154.75825</v>
      </c>
      <c r="D1103" s="76">
        <f t="shared" si="222"/>
        <v>281.0162499999999</v>
      </c>
      <c r="E1103" s="76">
        <f t="shared" si="222"/>
        <v>109.1005</v>
      </c>
      <c r="F1103" s="76">
        <f t="shared" si="222"/>
        <v>57.041666666666664</v>
      </c>
      <c r="G1103" s="76">
        <f t="shared" si="222"/>
        <v>40</v>
      </c>
      <c r="H1103" s="76">
        <f t="shared" si="222"/>
        <v>174.58333333333334</v>
      </c>
      <c r="I1103" s="76">
        <f t="shared" si="222"/>
        <v>0</v>
      </c>
      <c r="J1103" s="76">
        <f t="shared" si="222"/>
        <v>100</v>
      </c>
      <c r="K1103" s="76">
        <f t="shared" si="222"/>
        <v>300</v>
      </c>
      <c r="L1103" s="76">
        <f t="shared" si="222"/>
        <v>1216.5</v>
      </c>
      <c r="M1103" s="78">
        <f t="shared" si="222"/>
        <v>600</v>
      </c>
      <c r="N1103" s="76">
        <f t="shared" si="222"/>
        <v>72.5</v>
      </c>
      <c r="O1103" s="79">
        <f t="shared" si="222"/>
        <v>240</v>
      </c>
      <c r="P1103" s="79">
        <f t="shared" si="222"/>
        <v>110</v>
      </c>
      <c r="Q1103" s="79">
        <f t="shared" si="222"/>
        <v>245</v>
      </c>
      <c r="R1103" s="79">
        <f t="shared" si="222"/>
        <v>100</v>
      </c>
      <c r="S1103" s="76">
        <f t="shared" si="222"/>
        <v>695</v>
      </c>
      <c r="T1103" s="76">
        <f t="shared" si="222"/>
        <v>33.333333333333336</v>
      </c>
      <c r="U1103" s="77"/>
      <c r="V1103" s="77"/>
      <c r="W1103" s="77"/>
      <c r="X1103" s="77"/>
      <c r="Y1103" s="77"/>
      <c r="Z1103" s="77"/>
      <c r="AA1103" s="77"/>
      <c r="AB1103" s="77"/>
      <c r="AC1103" s="77"/>
      <c r="AD1103" s="77"/>
    </row>
    <row r="1104" spans="1:30" ht="15" x14ac:dyDescent="0.2">
      <c r="A1104" s="10">
        <f t="shared" si="211"/>
        <v>2048</v>
      </c>
      <c r="B1104" s="10">
        <f t="shared" si="219"/>
        <v>366</v>
      </c>
      <c r="C1104" s="76">
        <f t="shared" ref="C1104:T1104" si="223">AVERAGE(C432:C443)</f>
        <v>154.75825</v>
      </c>
      <c r="D1104" s="76">
        <f t="shared" si="223"/>
        <v>281.0162499999999</v>
      </c>
      <c r="E1104" s="76">
        <f t="shared" si="223"/>
        <v>109.1005</v>
      </c>
      <c r="F1104" s="76">
        <f t="shared" si="223"/>
        <v>57.041666666666664</v>
      </c>
      <c r="G1104" s="76">
        <f t="shared" si="223"/>
        <v>40</v>
      </c>
      <c r="H1104" s="76">
        <f t="shared" si="223"/>
        <v>174.58333333333334</v>
      </c>
      <c r="I1104" s="76">
        <f t="shared" si="223"/>
        <v>0</v>
      </c>
      <c r="J1104" s="76">
        <f t="shared" si="223"/>
        <v>100</v>
      </c>
      <c r="K1104" s="76">
        <f t="shared" si="223"/>
        <v>300</v>
      </c>
      <c r="L1104" s="76">
        <f t="shared" si="223"/>
        <v>1216.5</v>
      </c>
      <c r="M1104" s="78">
        <f t="shared" si="223"/>
        <v>600</v>
      </c>
      <c r="N1104" s="76">
        <f t="shared" si="223"/>
        <v>72.5</v>
      </c>
      <c r="O1104" s="79">
        <f t="shared" si="223"/>
        <v>240</v>
      </c>
      <c r="P1104" s="79">
        <f t="shared" si="223"/>
        <v>110</v>
      </c>
      <c r="Q1104" s="79">
        <f t="shared" si="223"/>
        <v>245</v>
      </c>
      <c r="R1104" s="79">
        <f t="shared" si="223"/>
        <v>100</v>
      </c>
      <c r="S1104" s="76">
        <f t="shared" si="223"/>
        <v>695</v>
      </c>
      <c r="T1104" s="76">
        <f t="shared" si="223"/>
        <v>33.333333333333336</v>
      </c>
      <c r="U1104" s="77"/>
      <c r="V1104" s="77"/>
      <c r="W1104" s="77"/>
      <c r="X1104" s="77"/>
      <c r="Y1104" s="77"/>
      <c r="Z1104" s="77"/>
      <c r="AA1104" s="77"/>
      <c r="AB1104" s="77"/>
      <c r="AC1104" s="77"/>
      <c r="AD1104" s="77"/>
    </row>
    <row r="1105" spans="1:30" ht="15" x14ac:dyDescent="0.2">
      <c r="A1105" s="10">
        <f t="shared" si="211"/>
        <v>2049</v>
      </c>
      <c r="B1105" s="10">
        <f t="shared" si="219"/>
        <v>365</v>
      </c>
      <c r="C1105" s="76">
        <f t="shared" ref="C1105:T1105" si="224">AVERAGE(C444:C455)</f>
        <v>154.75825</v>
      </c>
      <c r="D1105" s="76">
        <f t="shared" si="224"/>
        <v>281.0162499999999</v>
      </c>
      <c r="E1105" s="76">
        <f t="shared" si="224"/>
        <v>109.1005</v>
      </c>
      <c r="F1105" s="76">
        <f t="shared" si="224"/>
        <v>57.041666666666664</v>
      </c>
      <c r="G1105" s="76">
        <f t="shared" si="224"/>
        <v>40</v>
      </c>
      <c r="H1105" s="76">
        <f t="shared" si="224"/>
        <v>174.58333333333334</v>
      </c>
      <c r="I1105" s="76">
        <f t="shared" si="224"/>
        <v>0</v>
      </c>
      <c r="J1105" s="76">
        <f t="shared" si="224"/>
        <v>100</v>
      </c>
      <c r="K1105" s="76">
        <f t="shared" si="224"/>
        <v>300</v>
      </c>
      <c r="L1105" s="76">
        <f t="shared" si="224"/>
        <v>1216.5</v>
      </c>
      <c r="M1105" s="78">
        <f t="shared" si="224"/>
        <v>600</v>
      </c>
      <c r="N1105" s="76">
        <f t="shared" si="224"/>
        <v>72.5</v>
      </c>
      <c r="O1105" s="79">
        <f t="shared" si="224"/>
        <v>240</v>
      </c>
      <c r="P1105" s="79">
        <f t="shared" si="224"/>
        <v>110</v>
      </c>
      <c r="Q1105" s="79">
        <f t="shared" si="224"/>
        <v>245</v>
      </c>
      <c r="R1105" s="79">
        <f t="shared" si="224"/>
        <v>100</v>
      </c>
      <c r="S1105" s="76">
        <f t="shared" si="224"/>
        <v>695</v>
      </c>
      <c r="T1105" s="76">
        <f t="shared" si="224"/>
        <v>33.333333333333336</v>
      </c>
      <c r="U1105" s="77"/>
      <c r="V1105" s="77"/>
      <c r="W1105" s="77"/>
      <c r="X1105" s="77"/>
      <c r="Y1105" s="77"/>
      <c r="Z1105" s="77"/>
      <c r="AA1105" s="77"/>
      <c r="AB1105" s="77"/>
      <c r="AC1105" s="77"/>
      <c r="AD1105" s="77"/>
    </row>
    <row r="1106" spans="1:30" ht="15" x14ac:dyDescent="0.2">
      <c r="A1106" s="10">
        <f t="shared" si="211"/>
        <v>2050</v>
      </c>
      <c r="B1106" s="10">
        <f t="shared" si="219"/>
        <v>365</v>
      </c>
      <c r="C1106" s="76">
        <f t="shared" ref="C1106:T1106" si="225">AVERAGE(C456:C467)</f>
        <v>154.75825</v>
      </c>
      <c r="D1106" s="76">
        <f t="shared" si="225"/>
        <v>281.0162499999999</v>
      </c>
      <c r="E1106" s="76">
        <f t="shared" si="225"/>
        <v>109.1005</v>
      </c>
      <c r="F1106" s="76">
        <f t="shared" si="225"/>
        <v>57.041666666666664</v>
      </c>
      <c r="G1106" s="76">
        <f t="shared" si="225"/>
        <v>40</v>
      </c>
      <c r="H1106" s="76">
        <f t="shared" si="225"/>
        <v>174.58333333333334</v>
      </c>
      <c r="I1106" s="76">
        <f t="shared" si="225"/>
        <v>0</v>
      </c>
      <c r="J1106" s="76">
        <f t="shared" si="225"/>
        <v>100</v>
      </c>
      <c r="K1106" s="76">
        <f t="shared" si="225"/>
        <v>300</v>
      </c>
      <c r="L1106" s="76">
        <f t="shared" si="225"/>
        <v>1216.5</v>
      </c>
      <c r="M1106" s="78">
        <f t="shared" si="225"/>
        <v>600</v>
      </c>
      <c r="N1106" s="76">
        <f t="shared" si="225"/>
        <v>72.5</v>
      </c>
      <c r="O1106" s="79">
        <f t="shared" si="225"/>
        <v>240</v>
      </c>
      <c r="P1106" s="79">
        <f t="shared" si="225"/>
        <v>110</v>
      </c>
      <c r="Q1106" s="79">
        <f t="shared" si="225"/>
        <v>245</v>
      </c>
      <c r="R1106" s="79">
        <f t="shared" si="225"/>
        <v>100</v>
      </c>
      <c r="S1106" s="76">
        <f t="shared" si="225"/>
        <v>695</v>
      </c>
      <c r="T1106" s="76">
        <f t="shared" si="225"/>
        <v>33.333333333333336</v>
      </c>
      <c r="U1106" s="77"/>
      <c r="V1106" s="77"/>
      <c r="W1106" s="77"/>
      <c r="X1106" s="77"/>
      <c r="Y1106" s="77"/>
      <c r="Z1106" s="77"/>
      <c r="AA1106" s="77"/>
      <c r="AB1106" s="77"/>
      <c r="AC1106" s="77"/>
      <c r="AD1106" s="77"/>
    </row>
    <row r="1107" spans="1:30" ht="15" x14ac:dyDescent="0.2">
      <c r="A1107" s="10">
        <f t="shared" si="211"/>
        <v>2051</v>
      </c>
      <c r="B1107" s="10">
        <f t="shared" si="219"/>
        <v>365</v>
      </c>
      <c r="C1107" s="76">
        <f t="shared" ref="C1107:T1107" si="226">AVERAGE(C468:C479)</f>
        <v>154.75825</v>
      </c>
      <c r="D1107" s="76">
        <f t="shared" si="226"/>
        <v>281.0162499999999</v>
      </c>
      <c r="E1107" s="76">
        <f t="shared" si="226"/>
        <v>109.1005</v>
      </c>
      <c r="F1107" s="76">
        <f t="shared" si="226"/>
        <v>57.041666666666664</v>
      </c>
      <c r="G1107" s="76">
        <f t="shared" si="226"/>
        <v>40</v>
      </c>
      <c r="H1107" s="76">
        <f t="shared" si="226"/>
        <v>174.58333333333334</v>
      </c>
      <c r="I1107" s="76">
        <f t="shared" si="226"/>
        <v>0</v>
      </c>
      <c r="J1107" s="76">
        <f t="shared" si="226"/>
        <v>100</v>
      </c>
      <c r="K1107" s="76">
        <f t="shared" si="226"/>
        <v>300</v>
      </c>
      <c r="L1107" s="76">
        <f t="shared" si="226"/>
        <v>1216.5</v>
      </c>
      <c r="M1107" s="78">
        <f t="shared" si="226"/>
        <v>600</v>
      </c>
      <c r="N1107" s="76">
        <f t="shared" si="226"/>
        <v>72.5</v>
      </c>
      <c r="O1107" s="79">
        <f t="shared" si="226"/>
        <v>240</v>
      </c>
      <c r="P1107" s="79">
        <f t="shared" si="226"/>
        <v>110</v>
      </c>
      <c r="Q1107" s="79">
        <f t="shared" si="226"/>
        <v>245</v>
      </c>
      <c r="R1107" s="79">
        <f t="shared" si="226"/>
        <v>100</v>
      </c>
      <c r="S1107" s="76">
        <f t="shared" si="226"/>
        <v>695</v>
      </c>
      <c r="T1107" s="76">
        <f t="shared" si="226"/>
        <v>33.333333333333336</v>
      </c>
      <c r="U1107" s="77"/>
      <c r="V1107" s="77"/>
      <c r="W1107" s="77"/>
      <c r="X1107" s="77"/>
      <c r="Y1107" s="77"/>
      <c r="Z1107" s="77"/>
      <c r="AA1107" s="77"/>
      <c r="AB1107" s="77"/>
      <c r="AC1107" s="77"/>
      <c r="AD1107" s="77"/>
    </row>
    <row r="1108" spans="1:30" ht="15" x14ac:dyDescent="0.2">
      <c r="A1108" s="10">
        <f t="shared" si="211"/>
        <v>2052</v>
      </c>
      <c r="B1108" s="10">
        <f t="shared" si="219"/>
        <v>366</v>
      </c>
      <c r="C1108" s="76">
        <f t="shared" ref="C1108:T1108" si="227">AVERAGE(C480:C491)</f>
        <v>154.75825</v>
      </c>
      <c r="D1108" s="76">
        <f t="shared" si="227"/>
        <v>281.0162499999999</v>
      </c>
      <c r="E1108" s="76">
        <f t="shared" si="227"/>
        <v>109.1005</v>
      </c>
      <c r="F1108" s="76">
        <f t="shared" si="227"/>
        <v>57.041666666666664</v>
      </c>
      <c r="G1108" s="76">
        <f t="shared" si="227"/>
        <v>40</v>
      </c>
      <c r="H1108" s="76">
        <f t="shared" si="227"/>
        <v>174.58333333333334</v>
      </c>
      <c r="I1108" s="76">
        <f t="shared" si="227"/>
        <v>0</v>
      </c>
      <c r="J1108" s="76">
        <f t="shared" si="227"/>
        <v>100</v>
      </c>
      <c r="K1108" s="76">
        <f t="shared" si="227"/>
        <v>300</v>
      </c>
      <c r="L1108" s="76">
        <f t="shared" si="227"/>
        <v>1216.5</v>
      </c>
      <c r="M1108" s="78">
        <f t="shared" si="227"/>
        <v>600</v>
      </c>
      <c r="N1108" s="76">
        <f t="shared" si="227"/>
        <v>72.5</v>
      </c>
      <c r="O1108" s="79">
        <f t="shared" si="227"/>
        <v>240</v>
      </c>
      <c r="P1108" s="79">
        <f t="shared" si="227"/>
        <v>110</v>
      </c>
      <c r="Q1108" s="79">
        <f t="shared" si="227"/>
        <v>245</v>
      </c>
      <c r="R1108" s="79">
        <f t="shared" si="227"/>
        <v>100</v>
      </c>
      <c r="S1108" s="76">
        <f t="shared" si="227"/>
        <v>695</v>
      </c>
      <c r="T1108" s="76">
        <f t="shared" si="227"/>
        <v>33.333333333333336</v>
      </c>
      <c r="U1108" s="77"/>
      <c r="V1108" s="77"/>
      <c r="W1108" s="77"/>
      <c r="X1108" s="77"/>
      <c r="Y1108" s="77"/>
      <c r="Z1108" s="77"/>
      <c r="AA1108" s="77"/>
      <c r="AB1108" s="77"/>
      <c r="AC1108" s="77"/>
      <c r="AD1108" s="77"/>
    </row>
    <row r="1109" spans="1:30" ht="15" x14ac:dyDescent="0.2">
      <c r="A1109" s="10">
        <f t="shared" si="211"/>
        <v>2053</v>
      </c>
      <c r="B1109" s="10">
        <f t="shared" si="219"/>
        <v>365</v>
      </c>
      <c r="C1109" s="76">
        <f t="shared" ref="C1109:T1109" si="228">AVERAGE(C492:C503)</f>
        <v>154.75825</v>
      </c>
      <c r="D1109" s="76">
        <f t="shared" si="228"/>
        <v>281.0162499999999</v>
      </c>
      <c r="E1109" s="76">
        <f t="shared" si="228"/>
        <v>109.1005</v>
      </c>
      <c r="F1109" s="76">
        <f t="shared" si="228"/>
        <v>57.041666666666664</v>
      </c>
      <c r="G1109" s="76">
        <f t="shared" si="228"/>
        <v>40</v>
      </c>
      <c r="H1109" s="76">
        <f t="shared" si="228"/>
        <v>174.58333333333334</v>
      </c>
      <c r="I1109" s="76">
        <f t="shared" si="228"/>
        <v>0</v>
      </c>
      <c r="J1109" s="76">
        <f t="shared" si="228"/>
        <v>100</v>
      </c>
      <c r="K1109" s="76">
        <f t="shared" si="228"/>
        <v>300</v>
      </c>
      <c r="L1109" s="76">
        <f t="shared" si="228"/>
        <v>1216.5</v>
      </c>
      <c r="M1109" s="78">
        <f t="shared" si="228"/>
        <v>600</v>
      </c>
      <c r="N1109" s="76">
        <f t="shared" si="228"/>
        <v>72.5</v>
      </c>
      <c r="O1109" s="79">
        <f t="shared" si="228"/>
        <v>240</v>
      </c>
      <c r="P1109" s="79">
        <f t="shared" si="228"/>
        <v>110</v>
      </c>
      <c r="Q1109" s="79">
        <f t="shared" si="228"/>
        <v>245</v>
      </c>
      <c r="R1109" s="79">
        <f t="shared" si="228"/>
        <v>100</v>
      </c>
      <c r="S1109" s="76">
        <f t="shared" si="228"/>
        <v>695</v>
      </c>
      <c r="T1109" s="76">
        <f t="shared" si="228"/>
        <v>33.333333333333336</v>
      </c>
      <c r="U1109" s="77"/>
      <c r="V1109" s="77"/>
      <c r="W1109" s="77"/>
      <c r="X1109" s="77"/>
      <c r="Y1109" s="77"/>
      <c r="Z1109" s="77"/>
      <c r="AA1109" s="77"/>
      <c r="AB1109" s="77"/>
      <c r="AC1109" s="77"/>
      <c r="AD1109" s="77"/>
    </row>
    <row r="1110" spans="1:30" ht="15" x14ac:dyDescent="0.2">
      <c r="A1110" s="10">
        <f t="shared" si="211"/>
        <v>2054</v>
      </c>
      <c r="B1110" s="10">
        <f t="shared" si="219"/>
        <v>365</v>
      </c>
      <c r="C1110" s="76">
        <f t="shared" ref="C1110:T1110" si="229">AVERAGE(C504:C515)</f>
        <v>154.75825</v>
      </c>
      <c r="D1110" s="76">
        <f t="shared" si="229"/>
        <v>281.0162499999999</v>
      </c>
      <c r="E1110" s="76">
        <f t="shared" si="229"/>
        <v>109.1005</v>
      </c>
      <c r="F1110" s="76">
        <f t="shared" si="229"/>
        <v>57.041666666666664</v>
      </c>
      <c r="G1110" s="76">
        <f t="shared" si="229"/>
        <v>40</v>
      </c>
      <c r="H1110" s="76">
        <f t="shared" si="229"/>
        <v>174.58333333333334</v>
      </c>
      <c r="I1110" s="76">
        <f t="shared" si="229"/>
        <v>0</v>
      </c>
      <c r="J1110" s="76">
        <f t="shared" si="229"/>
        <v>100</v>
      </c>
      <c r="K1110" s="76">
        <f t="shared" si="229"/>
        <v>300</v>
      </c>
      <c r="L1110" s="76">
        <f t="shared" si="229"/>
        <v>1216.5</v>
      </c>
      <c r="M1110" s="78">
        <f t="shared" si="229"/>
        <v>600</v>
      </c>
      <c r="N1110" s="76">
        <f t="shared" si="229"/>
        <v>72.5</v>
      </c>
      <c r="O1110" s="76">
        <f t="shared" si="229"/>
        <v>240</v>
      </c>
      <c r="P1110" s="76">
        <f t="shared" si="229"/>
        <v>110</v>
      </c>
      <c r="Q1110" s="76">
        <f t="shared" si="229"/>
        <v>245</v>
      </c>
      <c r="R1110" s="76">
        <f t="shared" si="229"/>
        <v>100</v>
      </c>
      <c r="S1110" s="76">
        <f t="shared" si="229"/>
        <v>695</v>
      </c>
      <c r="T1110" s="76">
        <f t="shared" si="229"/>
        <v>33.333333333333336</v>
      </c>
      <c r="U1110" s="77"/>
      <c r="V1110" s="77"/>
      <c r="W1110" s="77"/>
      <c r="X1110" s="77"/>
      <c r="Y1110" s="77"/>
      <c r="Z1110" s="77"/>
      <c r="AA1110" s="77"/>
      <c r="AB1110" s="77"/>
      <c r="AC1110" s="77"/>
      <c r="AD1110" s="77"/>
    </row>
    <row r="1111" spans="1:30" ht="15" x14ac:dyDescent="0.2">
      <c r="A1111" s="10">
        <f t="shared" si="211"/>
        <v>2055</v>
      </c>
      <c r="B1111" s="10">
        <f t="shared" si="219"/>
        <v>365</v>
      </c>
      <c r="C1111" s="76">
        <f t="shared" ref="C1111:T1111" si="230">AVERAGE(C505:C516)</f>
        <v>154.75825</v>
      </c>
      <c r="D1111" s="76">
        <f t="shared" si="230"/>
        <v>281.0162499999999</v>
      </c>
      <c r="E1111" s="76">
        <f t="shared" si="230"/>
        <v>109.1005</v>
      </c>
      <c r="F1111" s="76">
        <f t="shared" si="230"/>
        <v>57.041666666666657</v>
      </c>
      <c r="G1111" s="76">
        <f t="shared" si="230"/>
        <v>40</v>
      </c>
      <c r="H1111" s="76">
        <f t="shared" si="230"/>
        <v>174.58333333333334</v>
      </c>
      <c r="I1111" s="76">
        <f t="shared" si="230"/>
        <v>0</v>
      </c>
      <c r="J1111" s="76">
        <f t="shared" si="230"/>
        <v>100</v>
      </c>
      <c r="K1111" s="76">
        <f t="shared" si="230"/>
        <v>300</v>
      </c>
      <c r="L1111" s="76">
        <f t="shared" si="230"/>
        <v>1216.5</v>
      </c>
      <c r="M1111" s="78">
        <f t="shared" si="230"/>
        <v>600</v>
      </c>
      <c r="N1111" s="76">
        <f t="shared" si="230"/>
        <v>72.5</v>
      </c>
      <c r="O1111" s="76">
        <f t="shared" si="230"/>
        <v>240</v>
      </c>
      <c r="P1111" s="76">
        <f t="shared" si="230"/>
        <v>110</v>
      </c>
      <c r="Q1111" s="76">
        <f t="shared" si="230"/>
        <v>245</v>
      </c>
      <c r="R1111" s="76">
        <f t="shared" si="230"/>
        <v>100</v>
      </c>
      <c r="S1111" s="76">
        <f t="shared" si="230"/>
        <v>695</v>
      </c>
      <c r="T1111" s="76">
        <f t="shared" si="230"/>
        <v>33.333333333333336</v>
      </c>
      <c r="U1111" s="77"/>
      <c r="V1111" s="77"/>
      <c r="W1111" s="77"/>
      <c r="X1111" s="77"/>
      <c r="Y1111" s="77"/>
      <c r="Z1111" s="77"/>
      <c r="AA1111" s="77"/>
      <c r="AB1111" s="77"/>
      <c r="AC1111" s="77"/>
      <c r="AD1111" s="77"/>
    </row>
    <row r="1112" spans="1:30" ht="15" x14ac:dyDescent="0.2">
      <c r="A1112" s="10">
        <f t="shared" si="211"/>
        <v>2056</v>
      </c>
      <c r="B1112" s="10">
        <f t="shared" si="219"/>
        <v>366</v>
      </c>
      <c r="C1112" s="76">
        <f t="shared" ref="C1112:T1112" si="231">AVERAGE(C506:C517)</f>
        <v>154.75824999999998</v>
      </c>
      <c r="D1112" s="76">
        <f t="shared" si="231"/>
        <v>281.0162499999999</v>
      </c>
      <c r="E1112" s="76">
        <f t="shared" si="231"/>
        <v>109.1005</v>
      </c>
      <c r="F1112" s="76">
        <f t="shared" si="231"/>
        <v>57.041666666666664</v>
      </c>
      <c r="G1112" s="76">
        <f t="shared" si="231"/>
        <v>40</v>
      </c>
      <c r="H1112" s="76">
        <f t="shared" si="231"/>
        <v>174.58333333333334</v>
      </c>
      <c r="I1112" s="76">
        <f t="shared" si="231"/>
        <v>0</v>
      </c>
      <c r="J1112" s="76">
        <f t="shared" si="231"/>
        <v>100</v>
      </c>
      <c r="K1112" s="76">
        <f t="shared" si="231"/>
        <v>300</v>
      </c>
      <c r="L1112" s="76">
        <f t="shared" si="231"/>
        <v>1216.5</v>
      </c>
      <c r="M1112" s="78">
        <f t="shared" si="231"/>
        <v>600</v>
      </c>
      <c r="N1112" s="76">
        <f t="shared" si="231"/>
        <v>72.5</v>
      </c>
      <c r="O1112" s="76">
        <f t="shared" si="231"/>
        <v>240</v>
      </c>
      <c r="P1112" s="76">
        <f t="shared" si="231"/>
        <v>110</v>
      </c>
      <c r="Q1112" s="76">
        <f t="shared" si="231"/>
        <v>245</v>
      </c>
      <c r="R1112" s="76">
        <f t="shared" si="231"/>
        <v>100</v>
      </c>
      <c r="S1112" s="76">
        <f t="shared" si="231"/>
        <v>695</v>
      </c>
      <c r="T1112" s="76">
        <f t="shared" si="231"/>
        <v>33.333333333333336</v>
      </c>
      <c r="U1112" s="77"/>
      <c r="V1112" s="77"/>
      <c r="W1112" s="77"/>
      <c r="X1112" s="77"/>
      <c r="Y1112" s="77"/>
      <c r="Z1112" s="77"/>
      <c r="AA1112" s="77"/>
      <c r="AB1112" s="77"/>
      <c r="AC1112" s="77"/>
      <c r="AD1112" s="77"/>
    </row>
    <row r="1113" spans="1:30" ht="15" x14ac:dyDescent="0.2">
      <c r="A1113" s="10">
        <f t="shared" si="211"/>
        <v>2057</v>
      </c>
      <c r="B1113" s="10">
        <f t="shared" si="219"/>
        <v>365</v>
      </c>
      <c r="C1113" s="76">
        <f t="shared" ref="C1113:T1113" si="232">AVERAGE(C507:C518)</f>
        <v>154.75825</v>
      </c>
      <c r="D1113" s="76">
        <f t="shared" si="232"/>
        <v>281.0162499999999</v>
      </c>
      <c r="E1113" s="76">
        <f t="shared" si="232"/>
        <v>109.1005</v>
      </c>
      <c r="F1113" s="76">
        <f t="shared" si="232"/>
        <v>57.041666666666664</v>
      </c>
      <c r="G1113" s="76">
        <f t="shared" si="232"/>
        <v>40</v>
      </c>
      <c r="H1113" s="76">
        <f t="shared" si="232"/>
        <v>174.58333333333334</v>
      </c>
      <c r="I1113" s="76">
        <f t="shared" si="232"/>
        <v>0</v>
      </c>
      <c r="J1113" s="76">
        <f t="shared" si="232"/>
        <v>100</v>
      </c>
      <c r="K1113" s="76">
        <f t="shared" si="232"/>
        <v>300</v>
      </c>
      <c r="L1113" s="76">
        <f t="shared" si="232"/>
        <v>1216.5</v>
      </c>
      <c r="M1113" s="78">
        <f t="shared" si="232"/>
        <v>600</v>
      </c>
      <c r="N1113" s="76">
        <f t="shared" si="232"/>
        <v>72.5</v>
      </c>
      <c r="O1113" s="76">
        <f t="shared" si="232"/>
        <v>240</v>
      </c>
      <c r="P1113" s="76">
        <f t="shared" si="232"/>
        <v>110</v>
      </c>
      <c r="Q1113" s="76">
        <f t="shared" si="232"/>
        <v>245</v>
      </c>
      <c r="R1113" s="76">
        <f t="shared" si="232"/>
        <v>100</v>
      </c>
      <c r="S1113" s="76">
        <f t="shared" si="232"/>
        <v>695</v>
      </c>
      <c r="T1113" s="76">
        <f t="shared" si="232"/>
        <v>33.333333333333336</v>
      </c>
      <c r="U1113" s="77"/>
      <c r="V1113" s="77"/>
      <c r="W1113" s="77"/>
      <c r="X1113" s="77"/>
      <c r="Y1113" s="77"/>
      <c r="Z1113" s="77"/>
      <c r="AA1113" s="77"/>
      <c r="AB1113" s="77"/>
      <c r="AC1113" s="77"/>
      <c r="AD1113" s="77"/>
    </row>
    <row r="1114" spans="1:30" ht="15" x14ac:dyDescent="0.2">
      <c r="A1114" s="10">
        <f t="shared" si="211"/>
        <v>2058</v>
      </c>
      <c r="B1114" s="10">
        <f t="shared" si="219"/>
        <v>365</v>
      </c>
      <c r="C1114" s="76">
        <f t="shared" ref="C1114:T1114" si="233">AVERAGE(C508:C519)</f>
        <v>154.75824999999998</v>
      </c>
      <c r="D1114" s="76">
        <f t="shared" si="233"/>
        <v>281.01624999999996</v>
      </c>
      <c r="E1114" s="76">
        <f t="shared" si="233"/>
        <v>109.10050000000001</v>
      </c>
      <c r="F1114" s="76">
        <f t="shared" si="233"/>
        <v>57.041666666666664</v>
      </c>
      <c r="G1114" s="76">
        <f t="shared" si="233"/>
        <v>40</v>
      </c>
      <c r="H1114" s="76">
        <f t="shared" si="233"/>
        <v>174.58333333333334</v>
      </c>
      <c r="I1114" s="76">
        <f t="shared" si="233"/>
        <v>0</v>
      </c>
      <c r="J1114" s="76">
        <f t="shared" si="233"/>
        <v>100</v>
      </c>
      <c r="K1114" s="76">
        <f t="shared" si="233"/>
        <v>300</v>
      </c>
      <c r="L1114" s="76">
        <f t="shared" si="233"/>
        <v>1216.5</v>
      </c>
      <c r="M1114" s="78">
        <f t="shared" si="233"/>
        <v>600</v>
      </c>
      <c r="N1114" s="76">
        <f t="shared" si="233"/>
        <v>72.5</v>
      </c>
      <c r="O1114" s="76">
        <f t="shared" si="233"/>
        <v>240</v>
      </c>
      <c r="P1114" s="76">
        <f t="shared" si="233"/>
        <v>110</v>
      </c>
      <c r="Q1114" s="76">
        <f t="shared" si="233"/>
        <v>245</v>
      </c>
      <c r="R1114" s="76">
        <f t="shared" si="233"/>
        <v>100</v>
      </c>
      <c r="S1114" s="76">
        <f t="shared" si="233"/>
        <v>695</v>
      </c>
      <c r="T1114" s="76">
        <f t="shared" si="233"/>
        <v>33.333333333333336</v>
      </c>
      <c r="U1114" s="77"/>
      <c r="V1114" s="77"/>
      <c r="W1114" s="77"/>
      <c r="X1114" s="77"/>
      <c r="Y1114" s="77"/>
      <c r="Z1114" s="77"/>
      <c r="AA1114" s="77"/>
      <c r="AB1114" s="77"/>
      <c r="AC1114" s="77"/>
      <c r="AD1114" s="77"/>
    </row>
    <row r="1115" spans="1:30" ht="15" x14ac:dyDescent="0.2">
      <c r="A1115" s="10">
        <f t="shared" si="211"/>
        <v>2059</v>
      </c>
      <c r="B1115" s="10">
        <f t="shared" si="219"/>
        <v>365</v>
      </c>
      <c r="C1115" s="76">
        <f t="shared" ref="C1115:T1115" si="234">AVERAGE(C509:C520)</f>
        <v>154.75824999999998</v>
      </c>
      <c r="D1115" s="76">
        <f t="shared" si="234"/>
        <v>281.01624999999996</v>
      </c>
      <c r="E1115" s="76">
        <f t="shared" si="234"/>
        <v>109.10050000000001</v>
      </c>
      <c r="F1115" s="76">
        <f t="shared" si="234"/>
        <v>57.041666666666664</v>
      </c>
      <c r="G1115" s="76">
        <f t="shared" si="234"/>
        <v>40</v>
      </c>
      <c r="H1115" s="76">
        <f t="shared" si="234"/>
        <v>174.58333333333334</v>
      </c>
      <c r="I1115" s="76">
        <f t="shared" si="234"/>
        <v>0</v>
      </c>
      <c r="J1115" s="76">
        <f t="shared" si="234"/>
        <v>100</v>
      </c>
      <c r="K1115" s="76">
        <f t="shared" si="234"/>
        <v>300</v>
      </c>
      <c r="L1115" s="76">
        <f t="shared" si="234"/>
        <v>1216.5</v>
      </c>
      <c r="M1115" s="78">
        <f t="shared" si="234"/>
        <v>600</v>
      </c>
      <c r="N1115" s="76">
        <f t="shared" si="234"/>
        <v>72.5</v>
      </c>
      <c r="O1115" s="76">
        <f t="shared" si="234"/>
        <v>240</v>
      </c>
      <c r="P1115" s="76">
        <f t="shared" si="234"/>
        <v>110</v>
      </c>
      <c r="Q1115" s="76">
        <f t="shared" si="234"/>
        <v>245</v>
      </c>
      <c r="R1115" s="76">
        <f t="shared" si="234"/>
        <v>100</v>
      </c>
      <c r="S1115" s="76">
        <f t="shared" si="234"/>
        <v>695</v>
      </c>
      <c r="T1115" s="76">
        <f t="shared" si="234"/>
        <v>33.333333333333336</v>
      </c>
      <c r="U1115" s="77"/>
      <c r="V1115" s="77"/>
      <c r="W1115" s="77"/>
      <c r="X1115" s="77"/>
      <c r="Y1115" s="77"/>
      <c r="Z1115" s="77"/>
      <c r="AA1115" s="77"/>
      <c r="AB1115" s="77"/>
      <c r="AC1115" s="77"/>
      <c r="AD1115" s="77"/>
    </row>
    <row r="1116" spans="1:30" ht="15" x14ac:dyDescent="0.2">
      <c r="A1116" s="10">
        <f t="shared" si="211"/>
        <v>2060</v>
      </c>
      <c r="B1116" s="10">
        <f t="shared" si="219"/>
        <v>366</v>
      </c>
      <c r="C1116" s="76">
        <f t="shared" ref="C1116:T1116" si="235">AVERAGE(C510:C521)</f>
        <v>154.75824999999998</v>
      </c>
      <c r="D1116" s="76">
        <f t="shared" si="235"/>
        <v>281.01624999999996</v>
      </c>
      <c r="E1116" s="76">
        <f t="shared" si="235"/>
        <v>109.10050000000001</v>
      </c>
      <c r="F1116" s="76">
        <f t="shared" si="235"/>
        <v>57.041666666666664</v>
      </c>
      <c r="G1116" s="76">
        <f t="shared" si="235"/>
        <v>40</v>
      </c>
      <c r="H1116" s="76">
        <f t="shared" si="235"/>
        <v>174.58333333333334</v>
      </c>
      <c r="I1116" s="76">
        <f t="shared" si="235"/>
        <v>0</v>
      </c>
      <c r="J1116" s="76">
        <f t="shared" si="235"/>
        <v>100</v>
      </c>
      <c r="K1116" s="76">
        <f t="shared" si="235"/>
        <v>300</v>
      </c>
      <c r="L1116" s="76">
        <f t="shared" si="235"/>
        <v>1216.5</v>
      </c>
      <c r="M1116" s="78">
        <f t="shared" si="235"/>
        <v>600</v>
      </c>
      <c r="N1116" s="76">
        <f t="shared" si="235"/>
        <v>72.5</v>
      </c>
      <c r="O1116" s="76">
        <f t="shared" si="235"/>
        <v>240</v>
      </c>
      <c r="P1116" s="76">
        <f t="shared" si="235"/>
        <v>110</v>
      </c>
      <c r="Q1116" s="76">
        <f t="shared" si="235"/>
        <v>245</v>
      </c>
      <c r="R1116" s="76">
        <f t="shared" si="235"/>
        <v>100</v>
      </c>
      <c r="S1116" s="76">
        <f t="shared" si="235"/>
        <v>695</v>
      </c>
      <c r="T1116" s="76">
        <f t="shared" si="235"/>
        <v>33.333333333333336</v>
      </c>
      <c r="U1116" s="77"/>
      <c r="V1116" s="77"/>
      <c r="W1116" s="77"/>
      <c r="X1116" s="77"/>
      <c r="Y1116" s="77"/>
      <c r="Z1116" s="77"/>
      <c r="AA1116" s="77"/>
      <c r="AB1116" s="77"/>
      <c r="AC1116" s="77"/>
      <c r="AD1116" s="77"/>
    </row>
    <row r="1117" spans="1:30" ht="15" x14ac:dyDescent="0.2">
      <c r="A1117" s="10">
        <f t="shared" si="211"/>
        <v>2061</v>
      </c>
      <c r="B1117" s="10">
        <f t="shared" si="219"/>
        <v>365</v>
      </c>
      <c r="C1117" s="76">
        <f t="shared" ref="C1117:T1117" si="236">AVERAGE(C511:C522)</f>
        <v>154.75825</v>
      </c>
      <c r="D1117" s="76">
        <f t="shared" si="236"/>
        <v>281.01624999999996</v>
      </c>
      <c r="E1117" s="76">
        <f t="shared" si="236"/>
        <v>109.10050000000001</v>
      </c>
      <c r="F1117" s="76">
        <f t="shared" si="236"/>
        <v>57.04166666666665</v>
      </c>
      <c r="G1117" s="76">
        <f t="shared" si="236"/>
        <v>40</v>
      </c>
      <c r="H1117" s="76">
        <f t="shared" si="236"/>
        <v>174.58333333333334</v>
      </c>
      <c r="I1117" s="76">
        <f t="shared" si="236"/>
        <v>0</v>
      </c>
      <c r="J1117" s="76">
        <f t="shared" si="236"/>
        <v>100</v>
      </c>
      <c r="K1117" s="76">
        <f t="shared" si="236"/>
        <v>300</v>
      </c>
      <c r="L1117" s="76">
        <f t="shared" si="236"/>
        <v>1216.5</v>
      </c>
      <c r="M1117" s="78">
        <f t="shared" si="236"/>
        <v>600</v>
      </c>
      <c r="N1117" s="76">
        <f t="shared" si="236"/>
        <v>72.5</v>
      </c>
      <c r="O1117" s="76">
        <f t="shared" si="236"/>
        <v>240</v>
      </c>
      <c r="P1117" s="76">
        <f t="shared" si="236"/>
        <v>110</v>
      </c>
      <c r="Q1117" s="76">
        <f t="shared" si="236"/>
        <v>245</v>
      </c>
      <c r="R1117" s="76">
        <f t="shared" si="236"/>
        <v>100</v>
      </c>
      <c r="S1117" s="76">
        <f t="shared" si="236"/>
        <v>695</v>
      </c>
      <c r="T1117" s="76">
        <f t="shared" si="236"/>
        <v>33.333333333333336</v>
      </c>
      <c r="U1117" s="77"/>
      <c r="V1117" s="77"/>
      <c r="W1117" s="77"/>
      <c r="X1117" s="77"/>
      <c r="Y1117" s="77"/>
      <c r="Z1117" s="77"/>
      <c r="AA1117" s="77"/>
      <c r="AB1117" s="77"/>
      <c r="AC1117" s="77"/>
      <c r="AD1117" s="77"/>
    </row>
    <row r="1118" spans="1:30" ht="15" x14ac:dyDescent="0.2">
      <c r="A1118" s="10">
        <f t="shared" si="211"/>
        <v>2062</v>
      </c>
      <c r="B1118" s="10">
        <f t="shared" si="219"/>
        <v>365</v>
      </c>
      <c r="C1118" s="76">
        <f t="shared" ref="C1118:L1127" ca="1" si="237">AVERAGE(OFFSET(C$600,($A1118-$A$1118)*12,0,12,1))</f>
        <v>154.75825</v>
      </c>
      <c r="D1118" s="76">
        <f t="shared" ca="1" si="237"/>
        <v>281.0162499999999</v>
      </c>
      <c r="E1118" s="76">
        <f t="shared" ca="1" si="237"/>
        <v>109.1005</v>
      </c>
      <c r="F1118" s="76">
        <f t="shared" ca="1" si="237"/>
        <v>57.041666666666664</v>
      </c>
      <c r="G1118" s="76">
        <f t="shared" ca="1" si="237"/>
        <v>40</v>
      </c>
      <c r="H1118" s="76">
        <f t="shared" ca="1" si="237"/>
        <v>174.58333333333334</v>
      </c>
      <c r="I1118" s="76">
        <f t="shared" ca="1" si="237"/>
        <v>0</v>
      </c>
      <c r="J1118" s="76">
        <f t="shared" ca="1" si="237"/>
        <v>100</v>
      </c>
      <c r="K1118" s="76">
        <f t="shared" ca="1" si="237"/>
        <v>300</v>
      </c>
      <c r="L1118" s="76">
        <f t="shared" ca="1" si="237"/>
        <v>1216.5</v>
      </c>
      <c r="M1118" s="76">
        <f t="shared" ref="M1118:T1127" ca="1" si="238">AVERAGE(OFFSET(M$600,($A1118-$A$1118)*12,0,12,1))</f>
        <v>600</v>
      </c>
      <c r="N1118" s="76">
        <f t="shared" ca="1" si="238"/>
        <v>72.5</v>
      </c>
      <c r="O1118" s="76">
        <f t="shared" ca="1" si="238"/>
        <v>240</v>
      </c>
      <c r="P1118" s="76">
        <f t="shared" ca="1" si="238"/>
        <v>40</v>
      </c>
      <c r="Q1118" s="76">
        <f t="shared" ca="1" si="238"/>
        <v>315</v>
      </c>
      <c r="R1118" s="76">
        <f t="shared" ca="1" si="238"/>
        <v>100</v>
      </c>
      <c r="S1118" s="76">
        <f t="shared" ca="1" si="238"/>
        <v>695</v>
      </c>
      <c r="T1118" s="76">
        <f t="shared" ca="1" si="238"/>
        <v>33.333333333333336</v>
      </c>
      <c r="U1118" s="77"/>
      <c r="V1118" s="77"/>
      <c r="W1118" s="77"/>
      <c r="X1118" s="77"/>
      <c r="Y1118" s="77"/>
      <c r="Z1118" s="77"/>
      <c r="AA1118" s="77"/>
      <c r="AB1118" s="77"/>
      <c r="AC1118" s="77"/>
      <c r="AD1118" s="77"/>
    </row>
    <row r="1119" spans="1:30" ht="15" x14ac:dyDescent="0.2">
      <c r="A1119" s="10">
        <f t="shared" si="211"/>
        <v>2063</v>
      </c>
      <c r="B1119" s="10">
        <f t="shared" si="219"/>
        <v>365</v>
      </c>
      <c r="C1119" s="76">
        <f t="shared" ca="1" si="237"/>
        <v>154.75825</v>
      </c>
      <c r="D1119" s="76">
        <f t="shared" ca="1" si="237"/>
        <v>281.0162499999999</v>
      </c>
      <c r="E1119" s="76">
        <f t="shared" ca="1" si="237"/>
        <v>109.1005</v>
      </c>
      <c r="F1119" s="76">
        <f t="shared" ca="1" si="237"/>
        <v>57.041666666666664</v>
      </c>
      <c r="G1119" s="76">
        <f t="shared" ca="1" si="237"/>
        <v>40</v>
      </c>
      <c r="H1119" s="76">
        <f t="shared" ca="1" si="237"/>
        <v>174.58333333333334</v>
      </c>
      <c r="I1119" s="76">
        <f t="shared" ca="1" si="237"/>
        <v>0</v>
      </c>
      <c r="J1119" s="76">
        <f t="shared" ca="1" si="237"/>
        <v>100</v>
      </c>
      <c r="K1119" s="76">
        <f t="shared" ca="1" si="237"/>
        <v>300</v>
      </c>
      <c r="L1119" s="76">
        <f t="shared" ca="1" si="237"/>
        <v>1216.5</v>
      </c>
      <c r="M1119" s="76">
        <f t="shared" ca="1" si="238"/>
        <v>600</v>
      </c>
      <c r="N1119" s="76">
        <f t="shared" ca="1" si="238"/>
        <v>72.5</v>
      </c>
      <c r="O1119" s="76">
        <f t="shared" ca="1" si="238"/>
        <v>240</v>
      </c>
      <c r="P1119" s="76">
        <f t="shared" ca="1" si="238"/>
        <v>40</v>
      </c>
      <c r="Q1119" s="76">
        <f t="shared" ca="1" si="238"/>
        <v>315</v>
      </c>
      <c r="R1119" s="76">
        <f t="shared" ca="1" si="238"/>
        <v>100</v>
      </c>
      <c r="S1119" s="76">
        <f t="shared" ca="1" si="238"/>
        <v>695</v>
      </c>
      <c r="T1119" s="76">
        <f t="shared" ca="1" si="238"/>
        <v>33.333333333333336</v>
      </c>
      <c r="U1119" s="77"/>
      <c r="V1119" s="77"/>
      <c r="W1119" s="77"/>
      <c r="X1119" s="77"/>
      <c r="Y1119" s="77"/>
      <c r="Z1119" s="77"/>
      <c r="AA1119" s="77"/>
      <c r="AB1119" s="77"/>
      <c r="AC1119" s="77"/>
      <c r="AD1119" s="77"/>
    </row>
    <row r="1120" spans="1:30" ht="15" x14ac:dyDescent="0.2">
      <c r="A1120" s="10">
        <f t="shared" si="211"/>
        <v>2064</v>
      </c>
      <c r="B1120" s="10">
        <f t="shared" si="219"/>
        <v>366</v>
      </c>
      <c r="C1120" s="76">
        <f t="shared" ca="1" si="237"/>
        <v>154.75825</v>
      </c>
      <c r="D1120" s="76">
        <f t="shared" ca="1" si="237"/>
        <v>281.0162499999999</v>
      </c>
      <c r="E1120" s="76">
        <f t="shared" ca="1" si="237"/>
        <v>109.1005</v>
      </c>
      <c r="F1120" s="76">
        <f t="shared" ca="1" si="237"/>
        <v>57.041666666666664</v>
      </c>
      <c r="G1120" s="76">
        <f t="shared" ca="1" si="237"/>
        <v>40</v>
      </c>
      <c r="H1120" s="76">
        <f t="shared" ca="1" si="237"/>
        <v>174.58333333333334</v>
      </c>
      <c r="I1120" s="76">
        <f t="shared" ca="1" si="237"/>
        <v>0</v>
      </c>
      <c r="J1120" s="76">
        <f t="shared" ca="1" si="237"/>
        <v>100</v>
      </c>
      <c r="K1120" s="76">
        <f t="shared" ca="1" si="237"/>
        <v>300</v>
      </c>
      <c r="L1120" s="76">
        <f t="shared" ca="1" si="237"/>
        <v>1216.5</v>
      </c>
      <c r="M1120" s="76">
        <f t="shared" ca="1" si="238"/>
        <v>600</v>
      </c>
      <c r="N1120" s="76">
        <f t="shared" ca="1" si="238"/>
        <v>72.5</v>
      </c>
      <c r="O1120" s="76">
        <f t="shared" ca="1" si="238"/>
        <v>240</v>
      </c>
      <c r="P1120" s="76">
        <f t="shared" ca="1" si="238"/>
        <v>40</v>
      </c>
      <c r="Q1120" s="76">
        <f t="shared" ca="1" si="238"/>
        <v>315</v>
      </c>
      <c r="R1120" s="76">
        <f t="shared" ca="1" si="238"/>
        <v>100</v>
      </c>
      <c r="S1120" s="76">
        <f t="shared" ca="1" si="238"/>
        <v>695</v>
      </c>
      <c r="T1120" s="76">
        <f t="shared" ca="1" si="238"/>
        <v>33.333333333333336</v>
      </c>
      <c r="U1120" s="77"/>
      <c r="V1120" s="77"/>
      <c r="W1120" s="77"/>
      <c r="X1120" s="77"/>
      <c r="Y1120" s="77"/>
      <c r="Z1120" s="77"/>
      <c r="AA1120" s="77"/>
      <c r="AB1120" s="77"/>
      <c r="AC1120" s="77"/>
      <c r="AD1120" s="77"/>
    </row>
    <row r="1121" spans="1:30" ht="15" x14ac:dyDescent="0.2">
      <c r="A1121" s="10">
        <f t="shared" si="211"/>
        <v>2065</v>
      </c>
      <c r="B1121" s="10">
        <f t="shared" si="219"/>
        <v>365</v>
      </c>
      <c r="C1121" s="76">
        <f t="shared" ca="1" si="237"/>
        <v>154.75825</v>
      </c>
      <c r="D1121" s="76">
        <f t="shared" ca="1" si="237"/>
        <v>281.0162499999999</v>
      </c>
      <c r="E1121" s="76">
        <f t="shared" ca="1" si="237"/>
        <v>109.1005</v>
      </c>
      <c r="F1121" s="76">
        <f t="shared" ca="1" si="237"/>
        <v>57.041666666666664</v>
      </c>
      <c r="G1121" s="76">
        <f t="shared" ca="1" si="237"/>
        <v>40</v>
      </c>
      <c r="H1121" s="76">
        <f t="shared" ca="1" si="237"/>
        <v>174.58333333333334</v>
      </c>
      <c r="I1121" s="76">
        <f t="shared" ca="1" si="237"/>
        <v>0</v>
      </c>
      <c r="J1121" s="76">
        <f t="shared" ca="1" si="237"/>
        <v>100</v>
      </c>
      <c r="K1121" s="76">
        <f t="shared" ca="1" si="237"/>
        <v>300</v>
      </c>
      <c r="L1121" s="76">
        <f t="shared" ca="1" si="237"/>
        <v>1216.5</v>
      </c>
      <c r="M1121" s="76">
        <f t="shared" ca="1" si="238"/>
        <v>600</v>
      </c>
      <c r="N1121" s="76">
        <f t="shared" ca="1" si="238"/>
        <v>72.5</v>
      </c>
      <c r="O1121" s="76">
        <f t="shared" ca="1" si="238"/>
        <v>240</v>
      </c>
      <c r="P1121" s="76">
        <f t="shared" ca="1" si="238"/>
        <v>40</v>
      </c>
      <c r="Q1121" s="76">
        <f t="shared" ca="1" si="238"/>
        <v>315</v>
      </c>
      <c r="R1121" s="76">
        <f t="shared" ca="1" si="238"/>
        <v>100</v>
      </c>
      <c r="S1121" s="76">
        <f t="shared" ca="1" si="238"/>
        <v>695</v>
      </c>
      <c r="T1121" s="76">
        <f t="shared" ca="1" si="238"/>
        <v>33.333333333333336</v>
      </c>
      <c r="U1121" s="77"/>
      <c r="V1121" s="77"/>
      <c r="W1121" s="77"/>
      <c r="X1121" s="77"/>
      <c r="Y1121" s="77"/>
      <c r="Z1121" s="77"/>
      <c r="AA1121" s="77"/>
      <c r="AB1121" s="77"/>
      <c r="AC1121" s="77"/>
      <c r="AD1121" s="77"/>
    </row>
    <row r="1122" spans="1:30" ht="15" x14ac:dyDescent="0.2">
      <c r="A1122" s="10">
        <f t="shared" si="211"/>
        <v>2066</v>
      </c>
      <c r="B1122" s="10">
        <f t="shared" si="219"/>
        <v>365</v>
      </c>
      <c r="C1122" s="76">
        <f t="shared" ca="1" si="237"/>
        <v>154.75825</v>
      </c>
      <c r="D1122" s="76">
        <f t="shared" ca="1" si="237"/>
        <v>281.0162499999999</v>
      </c>
      <c r="E1122" s="76">
        <f t="shared" ca="1" si="237"/>
        <v>109.1005</v>
      </c>
      <c r="F1122" s="76">
        <f t="shared" ca="1" si="237"/>
        <v>57.041666666666664</v>
      </c>
      <c r="G1122" s="76">
        <f t="shared" ca="1" si="237"/>
        <v>40</v>
      </c>
      <c r="H1122" s="76">
        <f t="shared" ca="1" si="237"/>
        <v>174.58333333333334</v>
      </c>
      <c r="I1122" s="76">
        <f t="shared" ca="1" si="237"/>
        <v>0</v>
      </c>
      <c r="J1122" s="76">
        <f t="shared" ca="1" si="237"/>
        <v>100</v>
      </c>
      <c r="K1122" s="76">
        <f t="shared" ca="1" si="237"/>
        <v>300</v>
      </c>
      <c r="L1122" s="76">
        <f t="shared" ca="1" si="237"/>
        <v>1216.5</v>
      </c>
      <c r="M1122" s="76">
        <f t="shared" ca="1" si="238"/>
        <v>600</v>
      </c>
      <c r="N1122" s="76">
        <f t="shared" ca="1" si="238"/>
        <v>72.5</v>
      </c>
      <c r="O1122" s="76">
        <f t="shared" ca="1" si="238"/>
        <v>240</v>
      </c>
      <c r="P1122" s="76">
        <f t="shared" ca="1" si="238"/>
        <v>40</v>
      </c>
      <c r="Q1122" s="76">
        <f t="shared" ca="1" si="238"/>
        <v>315</v>
      </c>
      <c r="R1122" s="76">
        <f t="shared" ca="1" si="238"/>
        <v>100</v>
      </c>
      <c r="S1122" s="76">
        <f t="shared" ca="1" si="238"/>
        <v>695</v>
      </c>
      <c r="T1122" s="76">
        <f t="shared" ca="1" si="238"/>
        <v>33.333333333333336</v>
      </c>
      <c r="U1122" s="77"/>
      <c r="V1122" s="77"/>
      <c r="W1122" s="77"/>
      <c r="X1122" s="77"/>
      <c r="Y1122" s="77"/>
      <c r="Z1122" s="77"/>
      <c r="AA1122" s="77"/>
      <c r="AB1122" s="77"/>
      <c r="AC1122" s="77"/>
      <c r="AD1122" s="77"/>
    </row>
    <row r="1123" spans="1:30" ht="15" x14ac:dyDescent="0.2">
      <c r="A1123" s="10">
        <f t="shared" si="211"/>
        <v>2067</v>
      </c>
      <c r="B1123" s="10">
        <f t="shared" si="219"/>
        <v>365</v>
      </c>
      <c r="C1123" s="76">
        <f t="shared" ca="1" si="237"/>
        <v>154.75825</v>
      </c>
      <c r="D1123" s="76">
        <f t="shared" ca="1" si="237"/>
        <v>281.0162499999999</v>
      </c>
      <c r="E1123" s="76">
        <f t="shared" ca="1" si="237"/>
        <v>109.1005</v>
      </c>
      <c r="F1123" s="76">
        <f t="shared" ca="1" si="237"/>
        <v>57.041666666666664</v>
      </c>
      <c r="G1123" s="76">
        <f t="shared" ca="1" si="237"/>
        <v>40</v>
      </c>
      <c r="H1123" s="76">
        <f t="shared" ca="1" si="237"/>
        <v>174.58333333333334</v>
      </c>
      <c r="I1123" s="76">
        <f t="shared" ca="1" si="237"/>
        <v>0</v>
      </c>
      <c r="J1123" s="76">
        <f t="shared" ca="1" si="237"/>
        <v>100</v>
      </c>
      <c r="K1123" s="76">
        <f t="shared" ca="1" si="237"/>
        <v>300</v>
      </c>
      <c r="L1123" s="76">
        <f t="shared" ca="1" si="237"/>
        <v>1216.5</v>
      </c>
      <c r="M1123" s="76">
        <f t="shared" ca="1" si="238"/>
        <v>600</v>
      </c>
      <c r="N1123" s="76">
        <f t="shared" ca="1" si="238"/>
        <v>72.5</v>
      </c>
      <c r="O1123" s="76">
        <f t="shared" ca="1" si="238"/>
        <v>240</v>
      </c>
      <c r="P1123" s="76">
        <f t="shared" ca="1" si="238"/>
        <v>40</v>
      </c>
      <c r="Q1123" s="76">
        <f t="shared" ca="1" si="238"/>
        <v>315</v>
      </c>
      <c r="R1123" s="76">
        <f t="shared" ca="1" si="238"/>
        <v>100</v>
      </c>
      <c r="S1123" s="76">
        <f t="shared" ca="1" si="238"/>
        <v>695</v>
      </c>
      <c r="T1123" s="76">
        <f t="shared" ca="1" si="238"/>
        <v>33.333333333333336</v>
      </c>
      <c r="U1123" s="77"/>
      <c r="V1123" s="77"/>
      <c r="W1123" s="77"/>
      <c r="X1123" s="77"/>
      <c r="Y1123" s="77"/>
      <c r="Z1123" s="77"/>
      <c r="AA1123" s="77"/>
      <c r="AB1123" s="77"/>
      <c r="AC1123" s="77"/>
      <c r="AD1123" s="77"/>
    </row>
    <row r="1124" spans="1:30" ht="15" x14ac:dyDescent="0.2">
      <c r="A1124" s="10">
        <f t="shared" si="211"/>
        <v>2068</v>
      </c>
      <c r="B1124" s="10">
        <f t="shared" si="219"/>
        <v>366</v>
      </c>
      <c r="C1124" s="76">
        <f t="shared" ca="1" si="237"/>
        <v>154.75825</v>
      </c>
      <c r="D1124" s="76">
        <f t="shared" ca="1" si="237"/>
        <v>281.0162499999999</v>
      </c>
      <c r="E1124" s="76">
        <f t="shared" ca="1" si="237"/>
        <v>109.1005</v>
      </c>
      <c r="F1124" s="76">
        <f t="shared" ca="1" si="237"/>
        <v>57.041666666666664</v>
      </c>
      <c r="G1124" s="76">
        <f t="shared" ca="1" si="237"/>
        <v>40</v>
      </c>
      <c r="H1124" s="76">
        <f t="shared" ca="1" si="237"/>
        <v>174.58333333333334</v>
      </c>
      <c r="I1124" s="76">
        <f t="shared" ca="1" si="237"/>
        <v>0</v>
      </c>
      <c r="J1124" s="76">
        <f t="shared" ca="1" si="237"/>
        <v>100</v>
      </c>
      <c r="K1124" s="76">
        <f t="shared" ca="1" si="237"/>
        <v>300</v>
      </c>
      <c r="L1124" s="76">
        <f t="shared" ca="1" si="237"/>
        <v>1216.5</v>
      </c>
      <c r="M1124" s="76">
        <f t="shared" ca="1" si="238"/>
        <v>600</v>
      </c>
      <c r="N1124" s="76">
        <f t="shared" ca="1" si="238"/>
        <v>72.5</v>
      </c>
      <c r="O1124" s="76">
        <f t="shared" ca="1" si="238"/>
        <v>240</v>
      </c>
      <c r="P1124" s="76">
        <f t="shared" ca="1" si="238"/>
        <v>40</v>
      </c>
      <c r="Q1124" s="76">
        <f t="shared" ca="1" si="238"/>
        <v>315</v>
      </c>
      <c r="R1124" s="76">
        <f t="shared" ca="1" si="238"/>
        <v>100</v>
      </c>
      <c r="S1124" s="76">
        <f t="shared" ca="1" si="238"/>
        <v>695</v>
      </c>
      <c r="T1124" s="76">
        <f t="shared" ca="1" si="238"/>
        <v>33.333333333333336</v>
      </c>
      <c r="U1124" s="77"/>
      <c r="V1124" s="77"/>
      <c r="W1124" s="77"/>
      <c r="X1124" s="77"/>
      <c r="Y1124" s="77"/>
      <c r="Z1124" s="77"/>
      <c r="AA1124" s="77"/>
      <c r="AB1124" s="77"/>
      <c r="AC1124" s="77"/>
      <c r="AD1124" s="77"/>
    </row>
    <row r="1125" spans="1:30" ht="15" x14ac:dyDescent="0.2">
      <c r="A1125" s="10">
        <f t="shared" si="211"/>
        <v>2069</v>
      </c>
      <c r="B1125" s="10">
        <f t="shared" si="219"/>
        <v>365</v>
      </c>
      <c r="C1125" s="76">
        <f t="shared" ca="1" si="237"/>
        <v>154.75825</v>
      </c>
      <c r="D1125" s="76">
        <f t="shared" ca="1" si="237"/>
        <v>281.0162499999999</v>
      </c>
      <c r="E1125" s="76">
        <f t="shared" ca="1" si="237"/>
        <v>109.1005</v>
      </c>
      <c r="F1125" s="76">
        <f t="shared" ca="1" si="237"/>
        <v>57.041666666666664</v>
      </c>
      <c r="G1125" s="76">
        <f t="shared" ca="1" si="237"/>
        <v>40</v>
      </c>
      <c r="H1125" s="76">
        <f t="shared" ca="1" si="237"/>
        <v>174.58333333333334</v>
      </c>
      <c r="I1125" s="76">
        <f t="shared" ca="1" si="237"/>
        <v>0</v>
      </c>
      <c r="J1125" s="76">
        <f t="shared" ca="1" si="237"/>
        <v>100</v>
      </c>
      <c r="K1125" s="76">
        <f t="shared" ca="1" si="237"/>
        <v>300</v>
      </c>
      <c r="L1125" s="76">
        <f t="shared" ca="1" si="237"/>
        <v>1216.5</v>
      </c>
      <c r="M1125" s="76">
        <f t="shared" ca="1" si="238"/>
        <v>600</v>
      </c>
      <c r="N1125" s="76">
        <f t="shared" ca="1" si="238"/>
        <v>72.5</v>
      </c>
      <c r="O1125" s="76">
        <f t="shared" ca="1" si="238"/>
        <v>240</v>
      </c>
      <c r="P1125" s="76">
        <f t="shared" ca="1" si="238"/>
        <v>40</v>
      </c>
      <c r="Q1125" s="76">
        <f t="shared" ca="1" si="238"/>
        <v>315</v>
      </c>
      <c r="R1125" s="76">
        <f t="shared" ca="1" si="238"/>
        <v>100</v>
      </c>
      <c r="S1125" s="76">
        <f t="shared" ca="1" si="238"/>
        <v>695</v>
      </c>
      <c r="T1125" s="76">
        <f t="shared" ca="1" si="238"/>
        <v>33.333333333333336</v>
      </c>
      <c r="U1125" s="77"/>
      <c r="V1125" s="77"/>
      <c r="W1125" s="77"/>
      <c r="X1125" s="77"/>
      <c r="Y1125" s="77"/>
      <c r="Z1125" s="77"/>
      <c r="AA1125" s="77"/>
      <c r="AB1125" s="77"/>
      <c r="AC1125" s="77"/>
      <c r="AD1125" s="77"/>
    </row>
    <row r="1126" spans="1:30" ht="15" x14ac:dyDescent="0.2">
      <c r="A1126" s="10">
        <f t="shared" ref="A1126:A1156" si="239">A1125+1</f>
        <v>2070</v>
      </c>
      <c r="B1126" s="10">
        <f t="shared" si="219"/>
        <v>365</v>
      </c>
      <c r="C1126" s="76">
        <f t="shared" ca="1" si="237"/>
        <v>154.75825</v>
      </c>
      <c r="D1126" s="76">
        <f t="shared" ca="1" si="237"/>
        <v>281.0162499999999</v>
      </c>
      <c r="E1126" s="76">
        <f t="shared" ca="1" si="237"/>
        <v>109.1005</v>
      </c>
      <c r="F1126" s="76">
        <f t="shared" ca="1" si="237"/>
        <v>57.041666666666664</v>
      </c>
      <c r="G1126" s="76">
        <f t="shared" ca="1" si="237"/>
        <v>40</v>
      </c>
      <c r="H1126" s="76">
        <f t="shared" ca="1" si="237"/>
        <v>174.58333333333334</v>
      </c>
      <c r="I1126" s="76">
        <f t="shared" ca="1" si="237"/>
        <v>0</v>
      </c>
      <c r="J1126" s="76">
        <f t="shared" ca="1" si="237"/>
        <v>100</v>
      </c>
      <c r="K1126" s="76">
        <f t="shared" ca="1" si="237"/>
        <v>300</v>
      </c>
      <c r="L1126" s="76">
        <f t="shared" ca="1" si="237"/>
        <v>1216.5</v>
      </c>
      <c r="M1126" s="76">
        <f t="shared" ca="1" si="238"/>
        <v>600</v>
      </c>
      <c r="N1126" s="76">
        <f t="shared" ca="1" si="238"/>
        <v>72.5</v>
      </c>
      <c r="O1126" s="76">
        <f t="shared" ca="1" si="238"/>
        <v>240</v>
      </c>
      <c r="P1126" s="76">
        <f t="shared" ca="1" si="238"/>
        <v>40</v>
      </c>
      <c r="Q1126" s="76">
        <f t="shared" ca="1" si="238"/>
        <v>315</v>
      </c>
      <c r="R1126" s="76">
        <f t="shared" ca="1" si="238"/>
        <v>100</v>
      </c>
      <c r="S1126" s="76">
        <f t="shared" ca="1" si="238"/>
        <v>695</v>
      </c>
      <c r="T1126" s="76">
        <f t="shared" ca="1" si="238"/>
        <v>33.333333333333336</v>
      </c>
      <c r="U1126" s="77"/>
      <c r="V1126" s="77"/>
      <c r="W1126" s="77"/>
      <c r="X1126" s="77"/>
      <c r="Y1126" s="77"/>
      <c r="Z1126" s="77"/>
      <c r="AA1126" s="77"/>
      <c r="AB1126" s="77"/>
      <c r="AC1126" s="77"/>
      <c r="AD1126" s="77"/>
    </row>
    <row r="1127" spans="1:30" ht="15" x14ac:dyDescent="0.2">
      <c r="A1127" s="10">
        <f t="shared" si="239"/>
        <v>2071</v>
      </c>
      <c r="B1127" s="10">
        <f t="shared" si="219"/>
        <v>365</v>
      </c>
      <c r="C1127" s="76">
        <f t="shared" ca="1" si="237"/>
        <v>154.75825</v>
      </c>
      <c r="D1127" s="76">
        <f t="shared" ca="1" si="237"/>
        <v>281.0162499999999</v>
      </c>
      <c r="E1127" s="76">
        <f t="shared" ca="1" si="237"/>
        <v>109.1005</v>
      </c>
      <c r="F1127" s="76">
        <f t="shared" ca="1" si="237"/>
        <v>57.041666666666664</v>
      </c>
      <c r="G1127" s="76">
        <f t="shared" ca="1" si="237"/>
        <v>40</v>
      </c>
      <c r="H1127" s="76">
        <f t="shared" ca="1" si="237"/>
        <v>174.58333333333334</v>
      </c>
      <c r="I1127" s="76">
        <f t="shared" ca="1" si="237"/>
        <v>0</v>
      </c>
      <c r="J1127" s="76">
        <f t="shared" ca="1" si="237"/>
        <v>100</v>
      </c>
      <c r="K1127" s="76">
        <f t="shared" ca="1" si="237"/>
        <v>300</v>
      </c>
      <c r="L1127" s="76">
        <f t="shared" ca="1" si="237"/>
        <v>1216.5</v>
      </c>
      <c r="M1127" s="76">
        <f t="shared" ca="1" si="238"/>
        <v>600</v>
      </c>
      <c r="N1127" s="76">
        <f t="shared" ca="1" si="238"/>
        <v>72.5</v>
      </c>
      <c r="O1127" s="76">
        <f t="shared" ca="1" si="238"/>
        <v>240</v>
      </c>
      <c r="P1127" s="76">
        <f t="shared" ca="1" si="238"/>
        <v>40</v>
      </c>
      <c r="Q1127" s="76">
        <f t="shared" ca="1" si="238"/>
        <v>315</v>
      </c>
      <c r="R1127" s="76">
        <f t="shared" ca="1" si="238"/>
        <v>100</v>
      </c>
      <c r="S1127" s="76">
        <f t="shared" ca="1" si="238"/>
        <v>695</v>
      </c>
      <c r="T1127" s="76">
        <f t="shared" ca="1" si="238"/>
        <v>33.333333333333336</v>
      </c>
      <c r="U1127" s="77"/>
      <c r="V1127" s="77"/>
      <c r="W1127" s="77"/>
      <c r="X1127" s="77"/>
      <c r="Y1127" s="77"/>
      <c r="Z1127" s="77"/>
      <c r="AA1127" s="77"/>
      <c r="AB1127" s="77"/>
      <c r="AC1127" s="77"/>
      <c r="AD1127" s="77"/>
    </row>
    <row r="1128" spans="1:30" ht="15" x14ac:dyDescent="0.2">
      <c r="A1128" s="10">
        <f t="shared" si="239"/>
        <v>2072</v>
      </c>
      <c r="B1128" s="10">
        <f t="shared" si="219"/>
        <v>366</v>
      </c>
      <c r="C1128" s="76">
        <f t="shared" ref="C1128:L1137" ca="1" si="240">AVERAGE(OFFSET(C$600,($A1128-$A$1118)*12,0,12,1))</f>
        <v>154.75825</v>
      </c>
      <c r="D1128" s="76">
        <f t="shared" ca="1" si="240"/>
        <v>281.0162499999999</v>
      </c>
      <c r="E1128" s="76">
        <f t="shared" ca="1" si="240"/>
        <v>109.1005</v>
      </c>
      <c r="F1128" s="76">
        <f t="shared" ca="1" si="240"/>
        <v>57.041666666666664</v>
      </c>
      <c r="G1128" s="76">
        <f t="shared" ca="1" si="240"/>
        <v>40</v>
      </c>
      <c r="H1128" s="76">
        <f t="shared" ca="1" si="240"/>
        <v>174.58333333333334</v>
      </c>
      <c r="I1128" s="76">
        <f t="shared" ca="1" si="240"/>
        <v>0</v>
      </c>
      <c r="J1128" s="76">
        <f t="shared" ca="1" si="240"/>
        <v>100</v>
      </c>
      <c r="K1128" s="76">
        <f t="shared" ca="1" si="240"/>
        <v>300</v>
      </c>
      <c r="L1128" s="76">
        <f t="shared" ca="1" si="240"/>
        <v>1216.5</v>
      </c>
      <c r="M1128" s="76">
        <f t="shared" ref="M1128:T1137" ca="1" si="241">AVERAGE(OFFSET(M$600,($A1128-$A$1118)*12,0,12,1))</f>
        <v>600</v>
      </c>
      <c r="N1128" s="76">
        <f t="shared" ca="1" si="241"/>
        <v>72.5</v>
      </c>
      <c r="O1128" s="76">
        <f t="shared" ca="1" si="241"/>
        <v>240</v>
      </c>
      <c r="P1128" s="76">
        <f t="shared" ca="1" si="241"/>
        <v>40</v>
      </c>
      <c r="Q1128" s="76">
        <f t="shared" ca="1" si="241"/>
        <v>315</v>
      </c>
      <c r="R1128" s="76">
        <f t="shared" ca="1" si="241"/>
        <v>100</v>
      </c>
      <c r="S1128" s="76">
        <f t="shared" ca="1" si="241"/>
        <v>695</v>
      </c>
      <c r="T1128" s="76">
        <f t="shared" ca="1" si="241"/>
        <v>33.333333333333336</v>
      </c>
      <c r="U1128" s="77"/>
      <c r="V1128" s="77"/>
      <c r="W1128" s="77"/>
      <c r="X1128" s="77"/>
      <c r="Y1128" s="77"/>
      <c r="Z1128" s="77"/>
      <c r="AA1128" s="77"/>
      <c r="AB1128" s="77"/>
      <c r="AC1128" s="77"/>
      <c r="AD1128" s="77"/>
    </row>
    <row r="1129" spans="1:30" ht="15" x14ac:dyDescent="0.2">
      <c r="A1129" s="10">
        <f t="shared" si="239"/>
        <v>2073</v>
      </c>
      <c r="B1129" s="10">
        <f t="shared" si="219"/>
        <v>365</v>
      </c>
      <c r="C1129" s="76">
        <f t="shared" ca="1" si="240"/>
        <v>154.75825</v>
      </c>
      <c r="D1129" s="76">
        <f t="shared" ca="1" si="240"/>
        <v>281.0162499999999</v>
      </c>
      <c r="E1129" s="76">
        <f t="shared" ca="1" si="240"/>
        <v>109.1005</v>
      </c>
      <c r="F1129" s="76">
        <f t="shared" ca="1" si="240"/>
        <v>57.041666666666664</v>
      </c>
      <c r="G1129" s="76">
        <f t="shared" ca="1" si="240"/>
        <v>40</v>
      </c>
      <c r="H1129" s="76">
        <f t="shared" ca="1" si="240"/>
        <v>174.58333333333334</v>
      </c>
      <c r="I1129" s="76">
        <f t="shared" ca="1" si="240"/>
        <v>0</v>
      </c>
      <c r="J1129" s="76">
        <f t="shared" ca="1" si="240"/>
        <v>100</v>
      </c>
      <c r="K1129" s="76">
        <f t="shared" ca="1" si="240"/>
        <v>300</v>
      </c>
      <c r="L1129" s="76">
        <f t="shared" ca="1" si="240"/>
        <v>1216.5</v>
      </c>
      <c r="M1129" s="76">
        <f t="shared" ca="1" si="241"/>
        <v>600</v>
      </c>
      <c r="N1129" s="76">
        <f t="shared" ca="1" si="241"/>
        <v>72.5</v>
      </c>
      <c r="O1129" s="76">
        <f t="shared" ca="1" si="241"/>
        <v>240</v>
      </c>
      <c r="P1129" s="76">
        <f t="shared" ca="1" si="241"/>
        <v>40</v>
      </c>
      <c r="Q1129" s="76">
        <f t="shared" ca="1" si="241"/>
        <v>315</v>
      </c>
      <c r="R1129" s="76">
        <f t="shared" ca="1" si="241"/>
        <v>100</v>
      </c>
      <c r="S1129" s="76">
        <f t="shared" ca="1" si="241"/>
        <v>695</v>
      </c>
      <c r="T1129" s="76">
        <f t="shared" ca="1" si="241"/>
        <v>33.333333333333336</v>
      </c>
      <c r="U1129" s="77"/>
      <c r="V1129" s="77"/>
      <c r="W1129" s="77"/>
      <c r="X1129" s="77"/>
      <c r="Y1129" s="77"/>
      <c r="Z1129" s="77"/>
      <c r="AA1129" s="77"/>
      <c r="AB1129" s="77"/>
      <c r="AC1129" s="77"/>
      <c r="AD1129" s="77"/>
    </row>
    <row r="1130" spans="1:30" ht="15" x14ac:dyDescent="0.2">
      <c r="A1130" s="10">
        <f t="shared" si="239"/>
        <v>2074</v>
      </c>
      <c r="B1130" s="10">
        <f t="shared" si="219"/>
        <v>365</v>
      </c>
      <c r="C1130" s="76">
        <f t="shared" ca="1" si="240"/>
        <v>154.75825</v>
      </c>
      <c r="D1130" s="76">
        <f t="shared" ca="1" si="240"/>
        <v>281.0162499999999</v>
      </c>
      <c r="E1130" s="76">
        <f t="shared" ca="1" si="240"/>
        <v>109.1005</v>
      </c>
      <c r="F1130" s="76">
        <f t="shared" ca="1" si="240"/>
        <v>57.041666666666664</v>
      </c>
      <c r="G1130" s="76">
        <f t="shared" ca="1" si="240"/>
        <v>40</v>
      </c>
      <c r="H1130" s="76">
        <f t="shared" ca="1" si="240"/>
        <v>174.58333333333334</v>
      </c>
      <c r="I1130" s="76">
        <f t="shared" ca="1" si="240"/>
        <v>0</v>
      </c>
      <c r="J1130" s="76">
        <f t="shared" ca="1" si="240"/>
        <v>100</v>
      </c>
      <c r="K1130" s="76">
        <f t="shared" ca="1" si="240"/>
        <v>300</v>
      </c>
      <c r="L1130" s="76">
        <f t="shared" ca="1" si="240"/>
        <v>1216.5</v>
      </c>
      <c r="M1130" s="76">
        <f t="shared" ca="1" si="241"/>
        <v>600</v>
      </c>
      <c r="N1130" s="76">
        <f t="shared" ca="1" si="241"/>
        <v>72.5</v>
      </c>
      <c r="O1130" s="76">
        <f t="shared" ca="1" si="241"/>
        <v>240</v>
      </c>
      <c r="P1130" s="76">
        <f t="shared" ca="1" si="241"/>
        <v>40</v>
      </c>
      <c r="Q1130" s="76">
        <f t="shared" ca="1" si="241"/>
        <v>315</v>
      </c>
      <c r="R1130" s="76">
        <f t="shared" ca="1" si="241"/>
        <v>100</v>
      </c>
      <c r="S1130" s="76">
        <f t="shared" ca="1" si="241"/>
        <v>695</v>
      </c>
      <c r="T1130" s="76">
        <f t="shared" ca="1" si="241"/>
        <v>33.333333333333336</v>
      </c>
      <c r="U1130" s="77"/>
      <c r="V1130" s="77"/>
      <c r="W1130" s="77"/>
      <c r="X1130" s="77"/>
      <c r="Y1130" s="77"/>
      <c r="Z1130" s="77"/>
      <c r="AA1130" s="77"/>
      <c r="AB1130" s="77"/>
      <c r="AC1130" s="77"/>
      <c r="AD1130" s="77"/>
    </row>
    <row r="1131" spans="1:30" ht="15" x14ac:dyDescent="0.2">
      <c r="A1131" s="10">
        <f t="shared" si="239"/>
        <v>2075</v>
      </c>
      <c r="B1131" s="10">
        <f t="shared" si="219"/>
        <v>365</v>
      </c>
      <c r="C1131" s="76">
        <f t="shared" ca="1" si="240"/>
        <v>154.75825</v>
      </c>
      <c r="D1131" s="76">
        <f t="shared" ca="1" si="240"/>
        <v>281.0162499999999</v>
      </c>
      <c r="E1131" s="76">
        <f t="shared" ca="1" si="240"/>
        <v>109.1005</v>
      </c>
      <c r="F1131" s="76">
        <f t="shared" ca="1" si="240"/>
        <v>57.041666666666664</v>
      </c>
      <c r="G1131" s="76">
        <f t="shared" ca="1" si="240"/>
        <v>40</v>
      </c>
      <c r="H1131" s="76">
        <f t="shared" ca="1" si="240"/>
        <v>174.58333333333334</v>
      </c>
      <c r="I1131" s="76">
        <f t="shared" ca="1" si="240"/>
        <v>0</v>
      </c>
      <c r="J1131" s="76">
        <f t="shared" ca="1" si="240"/>
        <v>100</v>
      </c>
      <c r="K1131" s="76">
        <f t="shared" ca="1" si="240"/>
        <v>300</v>
      </c>
      <c r="L1131" s="76">
        <f t="shared" ca="1" si="240"/>
        <v>1216.5</v>
      </c>
      <c r="M1131" s="76">
        <f t="shared" ca="1" si="241"/>
        <v>600</v>
      </c>
      <c r="N1131" s="76">
        <f t="shared" ca="1" si="241"/>
        <v>72.5</v>
      </c>
      <c r="O1131" s="76">
        <f t="shared" ca="1" si="241"/>
        <v>240</v>
      </c>
      <c r="P1131" s="76">
        <f t="shared" ca="1" si="241"/>
        <v>40</v>
      </c>
      <c r="Q1131" s="76">
        <f t="shared" ca="1" si="241"/>
        <v>315</v>
      </c>
      <c r="R1131" s="76">
        <f t="shared" ca="1" si="241"/>
        <v>100</v>
      </c>
      <c r="S1131" s="76">
        <f t="shared" ca="1" si="241"/>
        <v>695</v>
      </c>
      <c r="T1131" s="76">
        <f t="shared" ca="1" si="241"/>
        <v>33.333333333333336</v>
      </c>
      <c r="U1131" s="77"/>
      <c r="V1131" s="77"/>
      <c r="W1131" s="77"/>
      <c r="X1131" s="77"/>
      <c r="Y1131" s="77"/>
      <c r="Z1131" s="77"/>
      <c r="AA1131" s="77"/>
      <c r="AB1131" s="77"/>
      <c r="AC1131" s="77"/>
      <c r="AD1131" s="77"/>
    </row>
    <row r="1132" spans="1:30" ht="15" x14ac:dyDescent="0.2">
      <c r="A1132" s="10">
        <f t="shared" si="239"/>
        <v>2076</v>
      </c>
      <c r="B1132" s="10">
        <f t="shared" si="219"/>
        <v>366</v>
      </c>
      <c r="C1132" s="76">
        <f t="shared" ca="1" si="240"/>
        <v>154.75825</v>
      </c>
      <c r="D1132" s="76">
        <f t="shared" ca="1" si="240"/>
        <v>281.0162499999999</v>
      </c>
      <c r="E1132" s="76">
        <f t="shared" ca="1" si="240"/>
        <v>109.1005</v>
      </c>
      <c r="F1132" s="76">
        <f t="shared" ca="1" si="240"/>
        <v>57.041666666666664</v>
      </c>
      <c r="G1132" s="76">
        <f t="shared" ca="1" si="240"/>
        <v>40</v>
      </c>
      <c r="H1132" s="76">
        <f t="shared" ca="1" si="240"/>
        <v>174.58333333333334</v>
      </c>
      <c r="I1132" s="76">
        <f t="shared" ca="1" si="240"/>
        <v>0</v>
      </c>
      <c r="J1132" s="76">
        <f t="shared" ca="1" si="240"/>
        <v>100</v>
      </c>
      <c r="K1132" s="76">
        <f t="shared" ca="1" si="240"/>
        <v>300</v>
      </c>
      <c r="L1132" s="76">
        <f t="shared" ca="1" si="240"/>
        <v>1216.5</v>
      </c>
      <c r="M1132" s="76">
        <f t="shared" ca="1" si="241"/>
        <v>600</v>
      </c>
      <c r="N1132" s="76">
        <f t="shared" ca="1" si="241"/>
        <v>72.5</v>
      </c>
      <c r="O1132" s="76">
        <f t="shared" ca="1" si="241"/>
        <v>240</v>
      </c>
      <c r="P1132" s="76">
        <f t="shared" ca="1" si="241"/>
        <v>40</v>
      </c>
      <c r="Q1132" s="76">
        <f t="shared" ca="1" si="241"/>
        <v>315</v>
      </c>
      <c r="R1132" s="76">
        <f t="shared" ca="1" si="241"/>
        <v>100</v>
      </c>
      <c r="S1132" s="76">
        <f t="shared" ca="1" si="241"/>
        <v>695</v>
      </c>
      <c r="T1132" s="76">
        <f t="shared" ca="1" si="241"/>
        <v>33.333333333333336</v>
      </c>
      <c r="U1132" s="77"/>
      <c r="V1132" s="77"/>
      <c r="W1132" s="77"/>
      <c r="X1132" s="77"/>
      <c r="Y1132" s="77"/>
      <c r="Z1132" s="77"/>
      <c r="AA1132" s="77"/>
      <c r="AB1132" s="77"/>
      <c r="AC1132" s="77"/>
      <c r="AD1132" s="77"/>
    </row>
    <row r="1133" spans="1:30" ht="15" x14ac:dyDescent="0.2">
      <c r="A1133" s="10">
        <f t="shared" si="239"/>
        <v>2077</v>
      </c>
      <c r="B1133" s="10">
        <f t="shared" ref="B1133:B1156" si="242">DATE(A1133+1,1,1)-DATE(A1133,1,1)</f>
        <v>365</v>
      </c>
      <c r="C1133" s="76">
        <f t="shared" ca="1" si="240"/>
        <v>154.75825</v>
      </c>
      <c r="D1133" s="76">
        <f t="shared" ca="1" si="240"/>
        <v>281.0162499999999</v>
      </c>
      <c r="E1133" s="76">
        <f t="shared" ca="1" si="240"/>
        <v>109.1005</v>
      </c>
      <c r="F1133" s="76">
        <f t="shared" ca="1" si="240"/>
        <v>57.041666666666664</v>
      </c>
      <c r="G1133" s="76">
        <f t="shared" ca="1" si="240"/>
        <v>40</v>
      </c>
      <c r="H1133" s="76">
        <f t="shared" ca="1" si="240"/>
        <v>174.58333333333334</v>
      </c>
      <c r="I1133" s="76">
        <f t="shared" ca="1" si="240"/>
        <v>0</v>
      </c>
      <c r="J1133" s="76">
        <f t="shared" ca="1" si="240"/>
        <v>100</v>
      </c>
      <c r="K1133" s="76">
        <f t="shared" ca="1" si="240"/>
        <v>300</v>
      </c>
      <c r="L1133" s="76">
        <f t="shared" ca="1" si="240"/>
        <v>1216.5</v>
      </c>
      <c r="M1133" s="76">
        <f t="shared" ca="1" si="241"/>
        <v>600</v>
      </c>
      <c r="N1133" s="76">
        <f t="shared" ca="1" si="241"/>
        <v>72.5</v>
      </c>
      <c r="O1133" s="76">
        <f t="shared" ca="1" si="241"/>
        <v>240</v>
      </c>
      <c r="P1133" s="76">
        <f t="shared" ca="1" si="241"/>
        <v>40</v>
      </c>
      <c r="Q1133" s="76">
        <f t="shared" ca="1" si="241"/>
        <v>315</v>
      </c>
      <c r="R1133" s="76">
        <f t="shared" ca="1" si="241"/>
        <v>100</v>
      </c>
      <c r="S1133" s="76">
        <f t="shared" ca="1" si="241"/>
        <v>695</v>
      </c>
      <c r="T1133" s="76">
        <f t="shared" ca="1" si="241"/>
        <v>33.333333333333336</v>
      </c>
      <c r="U1133" s="77"/>
      <c r="V1133" s="77"/>
      <c r="W1133" s="77"/>
      <c r="X1133" s="77"/>
      <c r="Y1133" s="77"/>
      <c r="Z1133" s="77"/>
      <c r="AA1133" s="77"/>
      <c r="AB1133" s="77"/>
      <c r="AC1133" s="77"/>
      <c r="AD1133" s="77"/>
    </row>
    <row r="1134" spans="1:30" ht="15" x14ac:dyDescent="0.2">
      <c r="A1134" s="10">
        <f t="shared" si="239"/>
        <v>2078</v>
      </c>
      <c r="B1134" s="10">
        <f t="shared" si="242"/>
        <v>365</v>
      </c>
      <c r="C1134" s="76">
        <f t="shared" ca="1" si="240"/>
        <v>154.75825</v>
      </c>
      <c r="D1134" s="76">
        <f t="shared" ca="1" si="240"/>
        <v>281.0162499999999</v>
      </c>
      <c r="E1134" s="76">
        <f t="shared" ca="1" si="240"/>
        <v>109.1005</v>
      </c>
      <c r="F1134" s="76">
        <f t="shared" ca="1" si="240"/>
        <v>57.041666666666664</v>
      </c>
      <c r="G1134" s="76">
        <f t="shared" ca="1" si="240"/>
        <v>40</v>
      </c>
      <c r="H1134" s="76">
        <f t="shared" ca="1" si="240"/>
        <v>174.58333333333334</v>
      </c>
      <c r="I1134" s="76">
        <f t="shared" ca="1" si="240"/>
        <v>0</v>
      </c>
      <c r="J1134" s="76">
        <f t="shared" ca="1" si="240"/>
        <v>100</v>
      </c>
      <c r="K1134" s="76">
        <f t="shared" ca="1" si="240"/>
        <v>300</v>
      </c>
      <c r="L1134" s="76">
        <f t="shared" ca="1" si="240"/>
        <v>1216.5</v>
      </c>
      <c r="M1134" s="76">
        <f t="shared" ca="1" si="241"/>
        <v>600</v>
      </c>
      <c r="N1134" s="76">
        <f t="shared" ca="1" si="241"/>
        <v>72.5</v>
      </c>
      <c r="O1134" s="76">
        <f t="shared" ca="1" si="241"/>
        <v>240</v>
      </c>
      <c r="P1134" s="76">
        <f t="shared" ca="1" si="241"/>
        <v>40</v>
      </c>
      <c r="Q1134" s="76">
        <f t="shared" ca="1" si="241"/>
        <v>315</v>
      </c>
      <c r="R1134" s="76">
        <f t="shared" ca="1" si="241"/>
        <v>100</v>
      </c>
      <c r="S1134" s="76">
        <f t="shared" ca="1" si="241"/>
        <v>695</v>
      </c>
      <c r="T1134" s="76">
        <f t="shared" ca="1" si="241"/>
        <v>33.333333333333336</v>
      </c>
      <c r="U1134" s="77"/>
      <c r="V1134" s="77"/>
      <c r="W1134" s="77"/>
      <c r="X1134" s="77"/>
      <c r="Y1134" s="77"/>
      <c r="Z1134" s="77"/>
      <c r="AA1134" s="77"/>
      <c r="AB1134" s="77"/>
      <c r="AC1134" s="77"/>
      <c r="AD1134" s="77"/>
    </row>
    <row r="1135" spans="1:30" ht="15" x14ac:dyDescent="0.2">
      <c r="A1135" s="10">
        <f t="shared" si="239"/>
        <v>2079</v>
      </c>
      <c r="B1135" s="10">
        <f t="shared" si="242"/>
        <v>365</v>
      </c>
      <c r="C1135" s="76">
        <f t="shared" ca="1" si="240"/>
        <v>154.75825</v>
      </c>
      <c r="D1135" s="76">
        <f t="shared" ca="1" si="240"/>
        <v>281.0162499999999</v>
      </c>
      <c r="E1135" s="76">
        <f t="shared" ca="1" si="240"/>
        <v>109.1005</v>
      </c>
      <c r="F1135" s="76">
        <f t="shared" ca="1" si="240"/>
        <v>57.041666666666664</v>
      </c>
      <c r="G1135" s="76">
        <f t="shared" ca="1" si="240"/>
        <v>40</v>
      </c>
      <c r="H1135" s="76">
        <f t="shared" ca="1" si="240"/>
        <v>174.58333333333334</v>
      </c>
      <c r="I1135" s="76">
        <f t="shared" ca="1" si="240"/>
        <v>0</v>
      </c>
      <c r="J1135" s="76">
        <f t="shared" ca="1" si="240"/>
        <v>100</v>
      </c>
      <c r="K1135" s="76">
        <f t="shared" ca="1" si="240"/>
        <v>300</v>
      </c>
      <c r="L1135" s="76">
        <f t="shared" ca="1" si="240"/>
        <v>1216.5</v>
      </c>
      <c r="M1135" s="76">
        <f t="shared" ca="1" si="241"/>
        <v>600</v>
      </c>
      <c r="N1135" s="76">
        <f t="shared" ca="1" si="241"/>
        <v>72.5</v>
      </c>
      <c r="O1135" s="76">
        <f t="shared" ca="1" si="241"/>
        <v>240</v>
      </c>
      <c r="P1135" s="76">
        <f t="shared" ca="1" si="241"/>
        <v>40</v>
      </c>
      <c r="Q1135" s="76">
        <f t="shared" ca="1" si="241"/>
        <v>315</v>
      </c>
      <c r="R1135" s="76">
        <f t="shared" ca="1" si="241"/>
        <v>100</v>
      </c>
      <c r="S1135" s="76">
        <f t="shared" ca="1" si="241"/>
        <v>695</v>
      </c>
      <c r="T1135" s="76">
        <f t="shared" ca="1" si="241"/>
        <v>33.333333333333336</v>
      </c>
      <c r="U1135" s="77"/>
      <c r="V1135" s="77"/>
      <c r="W1135" s="77"/>
      <c r="X1135" s="77"/>
      <c r="Y1135" s="77"/>
      <c r="Z1135" s="77"/>
      <c r="AA1135" s="77"/>
      <c r="AB1135" s="77"/>
      <c r="AC1135" s="77"/>
      <c r="AD1135" s="77"/>
    </row>
    <row r="1136" spans="1:30" ht="15" x14ac:dyDescent="0.2">
      <c r="A1136" s="10">
        <f t="shared" si="239"/>
        <v>2080</v>
      </c>
      <c r="B1136" s="10">
        <f t="shared" si="242"/>
        <v>366</v>
      </c>
      <c r="C1136" s="76">
        <f t="shared" ca="1" si="240"/>
        <v>154.75825</v>
      </c>
      <c r="D1136" s="76">
        <f t="shared" ca="1" si="240"/>
        <v>281.0162499999999</v>
      </c>
      <c r="E1136" s="76">
        <f t="shared" ca="1" si="240"/>
        <v>109.1005</v>
      </c>
      <c r="F1136" s="76">
        <f t="shared" ca="1" si="240"/>
        <v>57.041666666666664</v>
      </c>
      <c r="G1136" s="76">
        <f t="shared" ca="1" si="240"/>
        <v>40</v>
      </c>
      <c r="H1136" s="76">
        <f t="shared" ca="1" si="240"/>
        <v>174.58333333333334</v>
      </c>
      <c r="I1136" s="76">
        <f t="shared" ca="1" si="240"/>
        <v>0</v>
      </c>
      <c r="J1136" s="76">
        <f t="shared" ca="1" si="240"/>
        <v>100</v>
      </c>
      <c r="K1136" s="76">
        <f t="shared" ca="1" si="240"/>
        <v>300</v>
      </c>
      <c r="L1136" s="76">
        <f t="shared" ca="1" si="240"/>
        <v>1216.5</v>
      </c>
      <c r="M1136" s="76">
        <f t="shared" ca="1" si="241"/>
        <v>600</v>
      </c>
      <c r="N1136" s="76">
        <f t="shared" ca="1" si="241"/>
        <v>72.5</v>
      </c>
      <c r="O1136" s="76">
        <f t="shared" ca="1" si="241"/>
        <v>240</v>
      </c>
      <c r="P1136" s="76">
        <f t="shared" ca="1" si="241"/>
        <v>40</v>
      </c>
      <c r="Q1136" s="76">
        <f t="shared" ca="1" si="241"/>
        <v>315</v>
      </c>
      <c r="R1136" s="76">
        <f t="shared" ca="1" si="241"/>
        <v>100</v>
      </c>
      <c r="S1136" s="76">
        <f t="shared" ca="1" si="241"/>
        <v>695</v>
      </c>
      <c r="T1136" s="76">
        <f t="shared" ca="1" si="241"/>
        <v>33.333333333333336</v>
      </c>
      <c r="U1136" s="77"/>
      <c r="V1136" s="77"/>
      <c r="W1136" s="77"/>
      <c r="X1136" s="77"/>
      <c r="Y1136" s="77"/>
      <c r="Z1136" s="77"/>
      <c r="AA1136" s="77"/>
      <c r="AB1136" s="77"/>
      <c r="AC1136" s="77"/>
      <c r="AD1136" s="77"/>
    </row>
    <row r="1137" spans="1:30" ht="15" x14ac:dyDescent="0.2">
      <c r="A1137" s="10">
        <f t="shared" si="239"/>
        <v>2081</v>
      </c>
      <c r="B1137" s="10">
        <f t="shared" si="242"/>
        <v>365</v>
      </c>
      <c r="C1137" s="76">
        <f t="shared" ca="1" si="240"/>
        <v>154.75825</v>
      </c>
      <c r="D1137" s="76">
        <f t="shared" ca="1" si="240"/>
        <v>281.0162499999999</v>
      </c>
      <c r="E1137" s="76">
        <f t="shared" ca="1" si="240"/>
        <v>109.1005</v>
      </c>
      <c r="F1137" s="76">
        <f t="shared" ca="1" si="240"/>
        <v>57.041666666666664</v>
      </c>
      <c r="G1137" s="76">
        <f t="shared" ca="1" si="240"/>
        <v>40</v>
      </c>
      <c r="H1137" s="76">
        <f t="shared" ca="1" si="240"/>
        <v>174.58333333333334</v>
      </c>
      <c r="I1137" s="76">
        <f t="shared" ca="1" si="240"/>
        <v>0</v>
      </c>
      <c r="J1137" s="76">
        <f t="shared" ca="1" si="240"/>
        <v>100</v>
      </c>
      <c r="K1137" s="76">
        <f t="shared" ca="1" si="240"/>
        <v>300</v>
      </c>
      <c r="L1137" s="76">
        <f t="shared" ca="1" si="240"/>
        <v>1216.5</v>
      </c>
      <c r="M1137" s="76">
        <f t="shared" ca="1" si="241"/>
        <v>600</v>
      </c>
      <c r="N1137" s="76">
        <f t="shared" ca="1" si="241"/>
        <v>72.5</v>
      </c>
      <c r="O1137" s="76">
        <f t="shared" ca="1" si="241"/>
        <v>240</v>
      </c>
      <c r="P1137" s="76">
        <f t="shared" ca="1" si="241"/>
        <v>40</v>
      </c>
      <c r="Q1137" s="76">
        <f t="shared" ca="1" si="241"/>
        <v>315</v>
      </c>
      <c r="R1137" s="76">
        <f t="shared" ca="1" si="241"/>
        <v>100</v>
      </c>
      <c r="S1137" s="76">
        <f t="shared" ca="1" si="241"/>
        <v>695</v>
      </c>
      <c r="T1137" s="76">
        <f t="shared" ca="1" si="241"/>
        <v>33.333333333333336</v>
      </c>
      <c r="U1137" s="77"/>
      <c r="V1137" s="77"/>
      <c r="W1137" s="77"/>
      <c r="X1137" s="77"/>
      <c r="Y1137" s="77"/>
      <c r="Z1137" s="77"/>
      <c r="AA1137" s="77"/>
      <c r="AB1137" s="77"/>
      <c r="AC1137" s="77"/>
      <c r="AD1137" s="77"/>
    </row>
    <row r="1138" spans="1:30" ht="15" x14ac:dyDescent="0.2">
      <c r="A1138" s="10">
        <f t="shared" si="239"/>
        <v>2082</v>
      </c>
      <c r="B1138" s="10">
        <f t="shared" si="242"/>
        <v>365</v>
      </c>
      <c r="C1138" s="76">
        <f t="shared" ref="C1138:L1147" ca="1" si="243">AVERAGE(OFFSET(C$600,($A1138-$A$1118)*12,0,12,1))</f>
        <v>154.75825</v>
      </c>
      <c r="D1138" s="76">
        <f t="shared" ca="1" si="243"/>
        <v>281.0162499999999</v>
      </c>
      <c r="E1138" s="76">
        <f t="shared" ca="1" si="243"/>
        <v>109.1005</v>
      </c>
      <c r="F1138" s="76">
        <f t="shared" ca="1" si="243"/>
        <v>57.041666666666664</v>
      </c>
      <c r="G1138" s="76">
        <f t="shared" ca="1" si="243"/>
        <v>40</v>
      </c>
      <c r="H1138" s="76">
        <f t="shared" ca="1" si="243"/>
        <v>174.58333333333334</v>
      </c>
      <c r="I1138" s="76">
        <f t="shared" ca="1" si="243"/>
        <v>0</v>
      </c>
      <c r="J1138" s="76">
        <f t="shared" ca="1" si="243"/>
        <v>100</v>
      </c>
      <c r="K1138" s="76">
        <f t="shared" ca="1" si="243"/>
        <v>300</v>
      </c>
      <c r="L1138" s="76">
        <f t="shared" ca="1" si="243"/>
        <v>1216.5</v>
      </c>
      <c r="M1138" s="76">
        <f t="shared" ref="M1138:T1147" ca="1" si="244">AVERAGE(OFFSET(M$600,($A1138-$A$1118)*12,0,12,1))</f>
        <v>600</v>
      </c>
      <c r="N1138" s="76">
        <f t="shared" ca="1" si="244"/>
        <v>72.5</v>
      </c>
      <c r="O1138" s="76">
        <f t="shared" ca="1" si="244"/>
        <v>240</v>
      </c>
      <c r="P1138" s="76">
        <f t="shared" ca="1" si="244"/>
        <v>40</v>
      </c>
      <c r="Q1138" s="76">
        <f t="shared" ca="1" si="244"/>
        <v>315</v>
      </c>
      <c r="R1138" s="76">
        <f t="shared" ca="1" si="244"/>
        <v>100</v>
      </c>
      <c r="S1138" s="76">
        <f t="shared" ca="1" si="244"/>
        <v>695</v>
      </c>
      <c r="T1138" s="76">
        <f t="shared" ca="1" si="244"/>
        <v>33.333333333333336</v>
      </c>
      <c r="U1138" s="77"/>
      <c r="V1138" s="77"/>
      <c r="W1138" s="77"/>
      <c r="X1138" s="77"/>
      <c r="Y1138" s="77"/>
      <c r="Z1138" s="77"/>
      <c r="AA1138" s="77"/>
      <c r="AB1138" s="77"/>
      <c r="AC1138" s="77"/>
      <c r="AD1138" s="77"/>
    </row>
    <row r="1139" spans="1:30" ht="15" x14ac:dyDescent="0.2">
      <c r="A1139" s="10">
        <f t="shared" si="239"/>
        <v>2083</v>
      </c>
      <c r="B1139" s="10">
        <f t="shared" si="242"/>
        <v>365</v>
      </c>
      <c r="C1139" s="76">
        <f t="shared" ca="1" si="243"/>
        <v>154.75825</v>
      </c>
      <c r="D1139" s="76">
        <f t="shared" ca="1" si="243"/>
        <v>281.0162499999999</v>
      </c>
      <c r="E1139" s="76">
        <f t="shared" ca="1" si="243"/>
        <v>109.1005</v>
      </c>
      <c r="F1139" s="76">
        <f t="shared" ca="1" si="243"/>
        <v>57.041666666666664</v>
      </c>
      <c r="G1139" s="76">
        <f t="shared" ca="1" si="243"/>
        <v>40</v>
      </c>
      <c r="H1139" s="76">
        <f t="shared" ca="1" si="243"/>
        <v>174.58333333333334</v>
      </c>
      <c r="I1139" s="76">
        <f t="shared" ca="1" si="243"/>
        <v>0</v>
      </c>
      <c r="J1139" s="76">
        <f t="shared" ca="1" si="243"/>
        <v>100</v>
      </c>
      <c r="K1139" s="76">
        <f t="shared" ca="1" si="243"/>
        <v>300</v>
      </c>
      <c r="L1139" s="76">
        <f t="shared" ca="1" si="243"/>
        <v>1216.5</v>
      </c>
      <c r="M1139" s="76">
        <f t="shared" ca="1" si="244"/>
        <v>600</v>
      </c>
      <c r="N1139" s="76">
        <f t="shared" ca="1" si="244"/>
        <v>72.5</v>
      </c>
      <c r="O1139" s="76">
        <f t="shared" ca="1" si="244"/>
        <v>240</v>
      </c>
      <c r="P1139" s="76">
        <f t="shared" ca="1" si="244"/>
        <v>40</v>
      </c>
      <c r="Q1139" s="76">
        <f t="shared" ca="1" si="244"/>
        <v>315</v>
      </c>
      <c r="R1139" s="76">
        <f t="shared" ca="1" si="244"/>
        <v>100</v>
      </c>
      <c r="S1139" s="76">
        <f t="shared" ca="1" si="244"/>
        <v>695</v>
      </c>
      <c r="T1139" s="76">
        <f t="shared" ca="1" si="244"/>
        <v>33.333333333333336</v>
      </c>
      <c r="U1139" s="77"/>
      <c r="V1139" s="77"/>
      <c r="W1139" s="77"/>
      <c r="X1139" s="77"/>
      <c r="Y1139" s="77"/>
      <c r="Z1139" s="77"/>
      <c r="AA1139" s="77"/>
      <c r="AB1139" s="77"/>
      <c r="AC1139" s="77"/>
      <c r="AD1139" s="77"/>
    </row>
    <row r="1140" spans="1:30" ht="15" x14ac:dyDescent="0.2">
      <c r="A1140" s="10">
        <f t="shared" si="239"/>
        <v>2084</v>
      </c>
      <c r="B1140" s="10">
        <f t="shared" si="242"/>
        <v>366</v>
      </c>
      <c r="C1140" s="76">
        <f t="shared" ca="1" si="243"/>
        <v>154.75825</v>
      </c>
      <c r="D1140" s="76">
        <f t="shared" ca="1" si="243"/>
        <v>281.0162499999999</v>
      </c>
      <c r="E1140" s="76">
        <f t="shared" ca="1" si="243"/>
        <v>109.1005</v>
      </c>
      <c r="F1140" s="76">
        <f t="shared" ca="1" si="243"/>
        <v>57.041666666666664</v>
      </c>
      <c r="G1140" s="76">
        <f t="shared" ca="1" si="243"/>
        <v>40</v>
      </c>
      <c r="H1140" s="76">
        <f t="shared" ca="1" si="243"/>
        <v>174.58333333333334</v>
      </c>
      <c r="I1140" s="76">
        <f t="shared" ca="1" si="243"/>
        <v>0</v>
      </c>
      <c r="J1140" s="76">
        <f t="shared" ca="1" si="243"/>
        <v>100</v>
      </c>
      <c r="K1140" s="76">
        <f t="shared" ca="1" si="243"/>
        <v>300</v>
      </c>
      <c r="L1140" s="76">
        <f t="shared" ca="1" si="243"/>
        <v>1216.5</v>
      </c>
      <c r="M1140" s="76">
        <f t="shared" ca="1" si="244"/>
        <v>600</v>
      </c>
      <c r="N1140" s="76">
        <f t="shared" ca="1" si="244"/>
        <v>72.5</v>
      </c>
      <c r="O1140" s="76">
        <f t="shared" ca="1" si="244"/>
        <v>240</v>
      </c>
      <c r="P1140" s="76">
        <f t="shared" ca="1" si="244"/>
        <v>40</v>
      </c>
      <c r="Q1140" s="76">
        <f t="shared" ca="1" si="244"/>
        <v>315</v>
      </c>
      <c r="R1140" s="76">
        <f t="shared" ca="1" si="244"/>
        <v>100</v>
      </c>
      <c r="S1140" s="76">
        <f t="shared" ca="1" si="244"/>
        <v>695</v>
      </c>
      <c r="T1140" s="76">
        <f t="shared" ca="1" si="244"/>
        <v>33.333333333333336</v>
      </c>
      <c r="U1140" s="77"/>
      <c r="V1140" s="77"/>
      <c r="W1140" s="77"/>
      <c r="X1140" s="77"/>
      <c r="Y1140" s="77"/>
      <c r="Z1140" s="77"/>
      <c r="AA1140" s="77"/>
      <c r="AB1140" s="77"/>
      <c r="AC1140" s="77"/>
      <c r="AD1140" s="77"/>
    </row>
    <row r="1141" spans="1:30" ht="15" x14ac:dyDescent="0.2">
      <c r="A1141" s="10">
        <f t="shared" si="239"/>
        <v>2085</v>
      </c>
      <c r="B1141" s="10">
        <f t="shared" si="242"/>
        <v>365</v>
      </c>
      <c r="C1141" s="76">
        <f t="shared" ca="1" si="243"/>
        <v>154.75825</v>
      </c>
      <c r="D1141" s="76">
        <f t="shared" ca="1" si="243"/>
        <v>281.0162499999999</v>
      </c>
      <c r="E1141" s="76">
        <f t="shared" ca="1" si="243"/>
        <v>109.1005</v>
      </c>
      <c r="F1141" s="76">
        <f t="shared" ca="1" si="243"/>
        <v>57.041666666666664</v>
      </c>
      <c r="G1141" s="76">
        <f t="shared" ca="1" si="243"/>
        <v>40</v>
      </c>
      <c r="H1141" s="76">
        <f t="shared" ca="1" si="243"/>
        <v>174.58333333333334</v>
      </c>
      <c r="I1141" s="76">
        <f t="shared" ca="1" si="243"/>
        <v>0</v>
      </c>
      <c r="J1141" s="76">
        <f t="shared" ca="1" si="243"/>
        <v>100</v>
      </c>
      <c r="K1141" s="76">
        <f t="shared" ca="1" si="243"/>
        <v>300</v>
      </c>
      <c r="L1141" s="76">
        <f t="shared" ca="1" si="243"/>
        <v>1216.5</v>
      </c>
      <c r="M1141" s="76">
        <f t="shared" ca="1" si="244"/>
        <v>600</v>
      </c>
      <c r="N1141" s="76">
        <f t="shared" ca="1" si="244"/>
        <v>72.5</v>
      </c>
      <c r="O1141" s="76">
        <f t="shared" ca="1" si="244"/>
        <v>240</v>
      </c>
      <c r="P1141" s="76">
        <f t="shared" ca="1" si="244"/>
        <v>40</v>
      </c>
      <c r="Q1141" s="76">
        <f t="shared" ca="1" si="244"/>
        <v>315</v>
      </c>
      <c r="R1141" s="76">
        <f t="shared" ca="1" si="244"/>
        <v>100</v>
      </c>
      <c r="S1141" s="76">
        <f t="shared" ca="1" si="244"/>
        <v>695</v>
      </c>
      <c r="T1141" s="76">
        <f t="shared" ca="1" si="244"/>
        <v>33.333333333333336</v>
      </c>
      <c r="U1141" s="77"/>
      <c r="V1141" s="77"/>
      <c r="W1141" s="77"/>
      <c r="X1141" s="77"/>
      <c r="Y1141" s="77"/>
      <c r="Z1141" s="77"/>
      <c r="AA1141" s="77"/>
      <c r="AB1141" s="77"/>
      <c r="AC1141" s="77"/>
      <c r="AD1141" s="77"/>
    </row>
    <row r="1142" spans="1:30" ht="15" x14ac:dyDescent="0.2">
      <c r="A1142" s="10">
        <f t="shared" si="239"/>
        <v>2086</v>
      </c>
      <c r="B1142" s="10">
        <f t="shared" si="242"/>
        <v>365</v>
      </c>
      <c r="C1142" s="76">
        <f t="shared" ca="1" si="243"/>
        <v>154.75825</v>
      </c>
      <c r="D1142" s="76">
        <f t="shared" ca="1" si="243"/>
        <v>281.0162499999999</v>
      </c>
      <c r="E1142" s="76">
        <f t="shared" ca="1" si="243"/>
        <v>109.1005</v>
      </c>
      <c r="F1142" s="76">
        <f t="shared" ca="1" si="243"/>
        <v>57.041666666666664</v>
      </c>
      <c r="G1142" s="76">
        <f t="shared" ca="1" si="243"/>
        <v>40</v>
      </c>
      <c r="H1142" s="76">
        <f t="shared" ca="1" si="243"/>
        <v>174.58333333333334</v>
      </c>
      <c r="I1142" s="76">
        <f t="shared" ca="1" si="243"/>
        <v>0</v>
      </c>
      <c r="J1142" s="76">
        <f t="shared" ca="1" si="243"/>
        <v>100</v>
      </c>
      <c r="K1142" s="76">
        <f t="shared" ca="1" si="243"/>
        <v>300</v>
      </c>
      <c r="L1142" s="76">
        <f t="shared" ca="1" si="243"/>
        <v>1216.5</v>
      </c>
      <c r="M1142" s="76">
        <f t="shared" ca="1" si="244"/>
        <v>600</v>
      </c>
      <c r="N1142" s="76">
        <f t="shared" ca="1" si="244"/>
        <v>72.5</v>
      </c>
      <c r="O1142" s="76">
        <f t="shared" ca="1" si="244"/>
        <v>240</v>
      </c>
      <c r="P1142" s="76">
        <f t="shared" ca="1" si="244"/>
        <v>40</v>
      </c>
      <c r="Q1142" s="76">
        <f t="shared" ca="1" si="244"/>
        <v>315</v>
      </c>
      <c r="R1142" s="76">
        <f t="shared" ca="1" si="244"/>
        <v>100</v>
      </c>
      <c r="S1142" s="76">
        <f t="shared" ca="1" si="244"/>
        <v>695</v>
      </c>
      <c r="T1142" s="76">
        <f t="shared" ca="1" si="244"/>
        <v>33.333333333333336</v>
      </c>
      <c r="U1142" s="77"/>
      <c r="V1142" s="77"/>
      <c r="W1142" s="77"/>
      <c r="X1142" s="77"/>
      <c r="Y1142" s="77"/>
      <c r="Z1142" s="77"/>
      <c r="AA1142" s="77"/>
      <c r="AB1142" s="77"/>
      <c r="AC1142" s="77"/>
      <c r="AD1142" s="77"/>
    </row>
    <row r="1143" spans="1:30" ht="15" x14ac:dyDescent="0.2">
      <c r="A1143" s="10">
        <f t="shared" si="239"/>
        <v>2087</v>
      </c>
      <c r="B1143" s="10">
        <f t="shared" si="242"/>
        <v>365</v>
      </c>
      <c r="C1143" s="76">
        <f t="shared" ca="1" si="243"/>
        <v>154.75825</v>
      </c>
      <c r="D1143" s="76">
        <f t="shared" ca="1" si="243"/>
        <v>281.0162499999999</v>
      </c>
      <c r="E1143" s="76">
        <f t="shared" ca="1" si="243"/>
        <v>109.1005</v>
      </c>
      <c r="F1143" s="76">
        <f t="shared" ca="1" si="243"/>
        <v>57.041666666666664</v>
      </c>
      <c r="G1143" s="76">
        <f t="shared" ca="1" si="243"/>
        <v>40</v>
      </c>
      <c r="H1143" s="76">
        <f t="shared" ca="1" si="243"/>
        <v>174.58333333333334</v>
      </c>
      <c r="I1143" s="76">
        <f t="shared" ca="1" si="243"/>
        <v>0</v>
      </c>
      <c r="J1143" s="76">
        <f t="shared" ca="1" si="243"/>
        <v>100</v>
      </c>
      <c r="K1143" s="76">
        <f t="shared" ca="1" si="243"/>
        <v>300</v>
      </c>
      <c r="L1143" s="76">
        <f t="shared" ca="1" si="243"/>
        <v>1216.5</v>
      </c>
      <c r="M1143" s="76">
        <f t="shared" ca="1" si="244"/>
        <v>600</v>
      </c>
      <c r="N1143" s="76">
        <f t="shared" ca="1" si="244"/>
        <v>72.5</v>
      </c>
      <c r="O1143" s="76">
        <f t="shared" ca="1" si="244"/>
        <v>240</v>
      </c>
      <c r="P1143" s="76">
        <f t="shared" ca="1" si="244"/>
        <v>40</v>
      </c>
      <c r="Q1143" s="76">
        <f t="shared" ca="1" si="244"/>
        <v>315</v>
      </c>
      <c r="R1143" s="76">
        <f t="shared" ca="1" si="244"/>
        <v>100</v>
      </c>
      <c r="S1143" s="76">
        <f t="shared" ca="1" si="244"/>
        <v>695</v>
      </c>
      <c r="T1143" s="76">
        <f t="shared" ca="1" si="244"/>
        <v>33.333333333333336</v>
      </c>
      <c r="U1143" s="77"/>
      <c r="V1143" s="77"/>
      <c r="W1143" s="77"/>
      <c r="X1143" s="77"/>
      <c r="Y1143" s="77"/>
      <c r="Z1143" s="77"/>
      <c r="AA1143" s="77"/>
      <c r="AB1143" s="77"/>
      <c r="AC1143" s="77"/>
      <c r="AD1143" s="77"/>
    </row>
    <row r="1144" spans="1:30" ht="15" x14ac:dyDescent="0.2">
      <c r="A1144" s="10">
        <f t="shared" si="239"/>
        <v>2088</v>
      </c>
      <c r="B1144" s="10">
        <f t="shared" si="242"/>
        <v>366</v>
      </c>
      <c r="C1144" s="76">
        <f t="shared" ca="1" si="243"/>
        <v>154.75825</v>
      </c>
      <c r="D1144" s="76">
        <f t="shared" ca="1" si="243"/>
        <v>281.0162499999999</v>
      </c>
      <c r="E1144" s="76">
        <f t="shared" ca="1" si="243"/>
        <v>109.1005</v>
      </c>
      <c r="F1144" s="76">
        <f t="shared" ca="1" si="243"/>
        <v>57.041666666666664</v>
      </c>
      <c r="G1144" s="76">
        <f t="shared" ca="1" si="243"/>
        <v>40</v>
      </c>
      <c r="H1144" s="76">
        <f t="shared" ca="1" si="243"/>
        <v>174.58333333333334</v>
      </c>
      <c r="I1144" s="76">
        <f t="shared" ca="1" si="243"/>
        <v>0</v>
      </c>
      <c r="J1144" s="76">
        <f t="shared" ca="1" si="243"/>
        <v>100</v>
      </c>
      <c r="K1144" s="76">
        <f t="shared" ca="1" si="243"/>
        <v>300</v>
      </c>
      <c r="L1144" s="76">
        <f t="shared" ca="1" si="243"/>
        <v>1216.5</v>
      </c>
      <c r="M1144" s="76">
        <f t="shared" ca="1" si="244"/>
        <v>600</v>
      </c>
      <c r="N1144" s="76">
        <f t="shared" ca="1" si="244"/>
        <v>72.5</v>
      </c>
      <c r="O1144" s="76">
        <f t="shared" ca="1" si="244"/>
        <v>240</v>
      </c>
      <c r="P1144" s="76">
        <f t="shared" ca="1" si="244"/>
        <v>40</v>
      </c>
      <c r="Q1144" s="76">
        <f t="shared" ca="1" si="244"/>
        <v>315</v>
      </c>
      <c r="R1144" s="76">
        <f t="shared" ca="1" si="244"/>
        <v>100</v>
      </c>
      <c r="S1144" s="76">
        <f t="shared" ca="1" si="244"/>
        <v>695</v>
      </c>
      <c r="T1144" s="76">
        <f t="shared" ca="1" si="244"/>
        <v>33.333333333333336</v>
      </c>
      <c r="U1144" s="77"/>
      <c r="V1144" s="77"/>
      <c r="W1144" s="77"/>
      <c r="X1144" s="77"/>
      <c r="Y1144" s="77"/>
      <c r="Z1144" s="77"/>
      <c r="AA1144" s="77"/>
      <c r="AB1144" s="77"/>
      <c r="AC1144" s="77"/>
      <c r="AD1144" s="77"/>
    </row>
    <row r="1145" spans="1:30" ht="15" x14ac:dyDescent="0.2">
      <c r="A1145" s="10">
        <f t="shared" si="239"/>
        <v>2089</v>
      </c>
      <c r="B1145" s="10">
        <f t="shared" si="242"/>
        <v>365</v>
      </c>
      <c r="C1145" s="76">
        <f t="shared" ca="1" si="243"/>
        <v>154.75825</v>
      </c>
      <c r="D1145" s="76">
        <f t="shared" ca="1" si="243"/>
        <v>281.0162499999999</v>
      </c>
      <c r="E1145" s="76">
        <f t="shared" ca="1" si="243"/>
        <v>109.1005</v>
      </c>
      <c r="F1145" s="76">
        <f t="shared" ca="1" si="243"/>
        <v>57.041666666666664</v>
      </c>
      <c r="G1145" s="76">
        <f t="shared" ca="1" si="243"/>
        <v>40</v>
      </c>
      <c r="H1145" s="76">
        <f t="shared" ca="1" si="243"/>
        <v>174.58333333333334</v>
      </c>
      <c r="I1145" s="76">
        <f t="shared" ca="1" si="243"/>
        <v>0</v>
      </c>
      <c r="J1145" s="76">
        <f t="shared" ca="1" si="243"/>
        <v>100</v>
      </c>
      <c r="K1145" s="76">
        <f t="shared" ca="1" si="243"/>
        <v>300</v>
      </c>
      <c r="L1145" s="76">
        <f t="shared" ca="1" si="243"/>
        <v>1216.5</v>
      </c>
      <c r="M1145" s="76">
        <f t="shared" ca="1" si="244"/>
        <v>600</v>
      </c>
      <c r="N1145" s="76">
        <f t="shared" ca="1" si="244"/>
        <v>72.5</v>
      </c>
      <c r="O1145" s="76">
        <f t="shared" ca="1" si="244"/>
        <v>240</v>
      </c>
      <c r="P1145" s="76">
        <f t="shared" ca="1" si="244"/>
        <v>40</v>
      </c>
      <c r="Q1145" s="76">
        <f t="shared" ca="1" si="244"/>
        <v>315</v>
      </c>
      <c r="R1145" s="76">
        <f t="shared" ca="1" si="244"/>
        <v>100</v>
      </c>
      <c r="S1145" s="76">
        <f t="shared" ca="1" si="244"/>
        <v>695</v>
      </c>
      <c r="T1145" s="76">
        <f t="shared" ca="1" si="244"/>
        <v>33.333333333333336</v>
      </c>
      <c r="U1145" s="77"/>
      <c r="V1145" s="77"/>
      <c r="W1145" s="77"/>
      <c r="X1145" s="77"/>
      <c r="Y1145" s="77"/>
      <c r="Z1145" s="77"/>
      <c r="AA1145" s="77"/>
      <c r="AB1145" s="77"/>
      <c r="AC1145" s="77"/>
      <c r="AD1145" s="77"/>
    </row>
    <row r="1146" spans="1:30" ht="15" x14ac:dyDescent="0.2">
      <c r="A1146" s="10">
        <f t="shared" si="239"/>
        <v>2090</v>
      </c>
      <c r="B1146" s="10">
        <f t="shared" si="242"/>
        <v>365</v>
      </c>
      <c r="C1146" s="76">
        <f t="shared" ca="1" si="243"/>
        <v>154.75825</v>
      </c>
      <c r="D1146" s="76">
        <f t="shared" ca="1" si="243"/>
        <v>281.0162499999999</v>
      </c>
      <c r="E1146" s="76">
        <f t="shared" ca="1" si="243"/>
        <v>109.1005</v>
      </c>
      <c r="F1146" s="76">
        <f t="shared" ca="1" si="243"/>
        <v>57.041666666666664</v>
      </c>
      <c r="G1146" s="76">
        <f t="shared" ca="1" si="243"/>
        <v>40</v>
      </c>
      <c r="H1146" s="76">
        <f t="shared" ca="1" si="243"/>
        <v>174.58333333333334</v>
      </c>
      <c r="I1146" s="76">
        <f t="shared" ca="1" si="243"/>
        <v>0</v>
      </c>
      <c r="J1146" s="76">
        <f t="shared" ca="1" si="243"/>
        <v>100</v>
      </c>
      <c r="K1146" s="76">
        <f t="shared" ca="1" si="243"/>
        <v>300</v>
      </c>
      <c r="L1146" s="76">
        <f t="shared" ca="1" si="243"/>
        <v>1216.5</v>
      </c>
      <c r="M1146" s="76">
        <f t="shared" ca="1" si="244"/>
        <v>600</v>
      </c>
      <c r="N1146" s="76">
        <f t="shared" ca="1" si="244"/>
        <v>72.5</v>
      </c>
      <c r="O1146" s="76">
        <f t="shared" ca="1" si="244"/>
        <v>240</v>
      </c>
      <c r="P1146" s="76">
        <f t="shared" ca="1" si="244"/>
        <v>40</v>
      </c>
      <c r="Q1146" s="76">
        <f t="shared" ca="1" si="244"/>
        <v>315</v>
      </c>
      <c r="R1146" s="76">
        <f t="shared" ca="1" si="244"/>
        <v>100</v>
      </c>
      <c r="S1146" s="76">
        <f t="shared" ca="1" si="244"/>
        <v>695</v>
      </c>
      <c r="T1146" s="76">
        <f t="shared" ca="1" si="244"/>
        <v>33.333333333333336</v>
      </c>
      <c r="U1146" s="77"/>
      <c r="V1146" s="77"/>
      <c r="W1146" s="77"/>
      <c r="X1146" s="77"/>
      <c r="Y1146" s="77"/>
      <c r="Z1146" s="77"/>
      <c r="AA1146" s="77"/>
      <c r="AB1146" s="77"/>
      <c r="AC1146" s="77"/>
      <c r="AD1146" s="77"/>
    </row>
    <row r="1147" spans="1:30" ht="15" x14ac:dyDescent="0.2">
      <c r="A1147" s="10">
        <f t="shared" si="239"/>
        <v>2091</v>
      </c>
      <c r="B1147" s="10">
        <f t="shared" si="242"/>
        <v>365</v>
      </c>
      <c r="C1147" s="76">
        <f t="shared" ca="1" si="243"/>
        <v>154.75825</v>
      </c>
      <c r="D1147" s="76">
        <f t="shared" ca="1" si="243"/>
        <v>281.0162499999999</v>
      </c>
      <c r="E1147" s="76">
        <f t="shared" ca="1" si="243"/>
        <v>109.1005</v>
      </c>
      <c r="F1147" s="76">
        <f t="shared" ca="1" si="243"/>
        <v>57.041666666666664</v>
      </c>
      <c r="G1147" s="76">
        <f t="shared" ca="1" si="243"/>
        <v>40</v>
      </c>
      <c r="H1147" s="76">
        <f t="shared" ca="1" si="243"/>
        <v>174.58333333333334</v>
      </c>
      <c r="I1147" s="76">
        <f t="shared" ca="1" si="243"/>
        <v>0</v>
      </c>
      <c r="J1147" s="76">
        <f t="shared" ca="1" si="243"/>
        <v>100</v>
      </c>
      <c r="K1147" s="76">
        <f t="shared" ca="1" si="243"/>
        <v>300</v>
      </c>
      <c r="L1147" s="76">
        <f t="shared" ca="1" si="243"/>
        <v>1216.5</v>
      </c>
      <c r="M1147" s="76">
        <f t="shared" ca="1" si="244"/>
        <v>600</v>
      </c>
      <c r="N1147" s="76">
        <f t="shared" ca="1" si="244"/>
        <v>72.5</v>
      </c>
      <c r="O1147" s="76">
        <f t="shared" ca="1" si="244"/>
        <v>240</v>
      </c>
      <c r="P1147" s="76">
        <f t="shared" ca="1" si="244"/>
        <v>40</v>
      </c>
      <c r="Q1147" s="76">
        <f t="shared" ca="1" si="244"/>
        <v>315</v>
      </c>
      <c r="R1147" s="76">
        <f t="shared" ca="1" si="244"/>
        <v>100</v>
      </c>
      <c r="S1147" s="76">
        <f t="shared" ca="1" si="244"/>
        <v>695</v>
      </c>
      <c r="T1147" s="76">
        <f t="shared" ca="1" si="244"/>
        <v>33.333333333333336</v>
      </c>
    </row>
    <row r="1148" spans="1:30" ht="15" x14ac:dyDescent="0.2">
      <c r="A1148" s="10">
        <f t="shared" si="239"/>
        <v>2092</v>
      </c>
      <c r="B1148" s="10">
        <f t="shared" si="242"/>
        <v>366</v>
      </c>
      <c r="C1148" s="76">
        <f t="shared" ref="C1148:L1156" ca="1" si="245">AVERAGE(OFFSET(C$600,($A1148-$A$1118)*12,0,12,1))</f>
        <v>154.75825</v>
      </c>
      <c r="D1148" s="76">
        <f t="shared" ca="1" si="245"/>
        <v>281.0162499999999</v>
      </c>
      <c r="E1148" s="76">
        <f t="shared" ca="1" si="245"/>
        <v>109.1005</v>
      </c>
      <c r="F1148" s="76">
        <f t="shared" ca="1" si="245"/>
        <v>57.041666666666664</v>
      </c>
      <c r="G1148" s="76">
        <f t="shared" ca="1" si="245"/>
        <v>40</v>
      </c>
      <c r="H1148" s="76">
        <f t="shared" ca="1" si="245"/>
        <v>174.58333333333334</v>
      </c>
      <c r="I1148" s="76">
        <f t="shared" ca="1" si="245"/>
        <v>0</v>
      </c>
      <c r="J1148" s="76">
        <f t="shared" ca="1" si="245"/>
        <v>100</v>
      </c>
      <c r="K1148" s="76">
        <f t="shared" ca="1" si="245"/>
        <v>300</v>
      </c>
      <c r="L1148" s="76">
        <f t="shared" ca="1" si="245"/>
        <v>1216.5</v>
      </c>
      <c r="M1148" s="76">
        <f t="shared" ref="M1148:T1156" ca="1" si="246">AVERAGE(OFFSET(M$600,($A1148-$A$1118)*12,0,12,1))</f>
        <v>600</v>
      </c>
      <c r="N1148" s="76">
        <f t="shared" ca="1" si="246"/>
        <v>72.5</v>
      </c>
      <c r="O1148" s="76">
        <f t="shared" ca="1" si="246"/>
        <v>240</v>
      </c>
      <c r="P1148" s="76">
        <f t="shared" ca="1" si="246"/>
        <v>40</v>
      </c>
      <c r="Q1148" s="76">
        <f t="shared" ca="1" si="246"/>
        <v>315</v>
      </c>
      <c r="R1148" s="76">
        <f t="shared" ca="1" si="246"/>
        <v>100</v>
      </c>
      <c r="S1148" s="76">
        <f t="shared" ca="1" si="246"/>
        <v>695</v>
      </c>
      <c r="T1148" s="76">
        <f t="shared" ca="1" si="246"/>
        <v>33.333333333333336</v>
      </c>
    </row>
    <row r="1149" spans="1:30" ht="15" x14ac:dyDescent="0.2">
      <c r="A1149" s="10">
        <f t="shared" si="239"/>
        <v>2093</v>
      </c>
      <c r="B1149" s="10">
        <f t="shared" si="242"/>
        <v>365</v>
      </c>
      <c r="C1149" s="76">
        <f t="shared" ca="1" si="245"/>
        <v>154.75825</v>
      </c>
      <c r="D1149" s="76">
        <f t="shared" ca="1" si="245"/>
        <v>281.0162499999999</v>
      </c>
      <c r="E1149" s="76">
        <f t="shared" ca="1" si="245"/>
        <v>109.1005</v>
      </c>
      <c r="F1149" s="76">
        <f t="shared" ca="1" si="245"/>
        <v>57.041666666666664</v>
      </c>
      <c r="G1149" s="76">
        <f t="shared" ca="1" si="245"/>
        <v>40</v>
      </c>
      <c r="H1149" s="76">
        <f t="shared" ca="1" si="245"/>
        <v>174.58333333333334</v>
      </c>
      <c r="I1149" s="76">
        <f t="shared" ca="1" si="245"/>
        <v>0</v>
      </c>
      <c r="J1149" s="76">
        <f t="shared" ca="1" si="245"/>
        <v>100</v>
      </c>
      <c r="K1149" s="76">
        <f t="shared" ca="1" si="245"/>
        <v>300</v>
      </c>
      <c r="L1149" s="76">
        <f t="shared" ca="1" si="245"/>
        <v>1216.5</v>
      </c>
      <c r="M1149" s="76">
        <f t="shared" ca="1" si="246"/>
        <v>600</v>
      </c>
      <c r="N1149" s="76">
        <f t="shared" ca="1" si="246"/>
        <v>72.5</v>
      </c>
      <c r="O1149" s="76">
        <f t="shared" ca="1" si="246"/>
        <v>240</v>
      </c>
      <c r="P1149" s="76">
        <f t="shared" ca="1" si="246"/>
        <v>40</v>
      </c>
      <c r="Q1149" s="76">
        <f t="shared" ca="1" si="246"/>
        <v>315</v>
      </c>
      <c r="R1149" s="76">
        <f t="shared" ca="1" si="246"/>
        <v>100</v>
      </c>
      <c r="S1149" s="76">
        <f t="shared" ca="1" si="246"/>
        <v>695</v>
      </c>
      <c r="T1149" s="76">
        <f t="shared" ca="1" si="246"/>
        <v>33.333333333333336</v>
      </c>
    </row>
    <row r="1150" spans="1:30" ht="15" x14ac:dyDescent="0.2">
      <c r="A1150" s="10">
        <f t="shared" si="239"/>
        <v>2094</v>
      </c>
      <c r="B1150" s="10">
        <f t="shared" si="242"/>
        <v>365</v>
      </c>
      <c r="C1150" s="76">
        <f t="shared" ca="1" si="245"/>
        <v>154.75825</v>
      </c>
      <c r="D1150" s="76">
        <f t="shared" ca="1" si="245"/>
        <v>281.0162499999999</v>
      </c>
      <c r="E1150" s="76">
        <f t="shared" ca="1" si="245"/>
        <v>109.1005</v>
      </c>
      <c r="F1150" s="76">
        <f t="shared" ca="1" si="245"/>
        <v>57.041666666666664</v>
      </c>
      <c r="G1150" s="76">
        <f t="shared" ca="1" si="245"/>
        <v>40</v>
      </c>
      <c r="H1150" s="76">
        <f t="shared" ca="1" si="245"/>
        <v>174.58333333333334</v>
      </c>
      <c r="I1150" s="76">
        <f t="shared" ca="1" si="245"/>
        <v>0</v>
      </c>
      <c r="J1150" s="76">
        <f t="shared" ca="1" si="245"/>
        <v>100</v>
      </c>
      <c r="K1150" s="76">
        <f t="shared" ca="1" si="245"/>
        <v>300</v>
      </c>
      <c r="L1150" s="76">
        <f t="shared" ca="1" si="245"/>
        <v>1216.5</v>
      </c>
      <c r="M1150" s="76">
        <f t="shared" ca="1" si="246"/>
        <v>600</v>
      </c>
      <c r="N1150" s="76">
        <f t="shared" ca="1" si="246"/>
        <v>72.5</v>
      </c>
      <c r="O1150" s="76">
        <f t="shared" ca="1" si="246"/>
        <v>240</v>
      </c>
      <c r="P1150" s="76">
        <f t="shared" ca="1" si="246"/>
        <v>40</v>
      </c>
      <c r="Q1150" s="76">
        <f t="shared" ca="1" si="246"/>
        <v>315</v>
      </c>
      <c r="R1150" s="76">
        <f t="shared" ca="1" si="246"/>
        <v>100</v>
      </c>
      <c r="S1150" s="76">
        <f t="shared" ca="1" si="246"/>
        <v>695</v>
      </c>
      <c r="T1150" s="76">
        <f t="shared" ca="1" si="246"/>
        <v>33.333333333333336</v>
      </c>
    </row>
    <row r="1151" spans="1:30" ht="15" x14ac:dyDescent="0.2">
      <c r="A1151" s="10">
        <f t="shared" si="239"/>
        <v>2095</v>
      </c>
      <c r="B1151" s="10">
        <f t="shared" si="242"/>
        <v>365</v>
      </c>
      <c r="C1151" s="76">
        <f t="shared" ca="1" si="245"/>
        <v>154.75825</v>
      </c>
      <c r="D1151" s="76">
        <f t="shared" ca="1" si="245"/>
        <v>281.0162499999999</v>
      </c>
      <c r="E1151" s="76">
        <f t="shared" ca="1" si="245"/>
        <v>109.1005</v>
      </c>
      <c r="F1151" s="76">
        <f t="shared" ca="1" si="245"/>
        <v>57.041666666666664</v>
      </c>
      <c r="G1151" s="76">
        <f t="shared" ca="1" si="245"/>
        <v>40</v>
      </c>
      <c r="H1151" s="76">
        <f t="shared" ca="1" si="245"/>
        <v>174.58333333333334</v>
      </c>
      <c r="I1151" s="76">
        <f t="shared" ca="1" si="245"/>
        <v>0</v>
      </c>
      <c r="J1151" s="76">
        <f t="shared" ca="1" si="245"/>
        <v>100</v>
      </c>
      <c r="K1151" s="76">
        <f t="shared" ca="1" si="245"/>
        <v>300</v>
      </c>
      <c r="L1151" s="76">
        <f t="shared" ca="1" si="245"/>
        <v>1216.5</v>
      </c>
      <c r="M1151" s="76">
        <f t="shared" ca="1" si="246"/>
        <v>600</v>
      </c>
      <c r="N1151" s="76">
        <f t="shared" ca="1" si="246"/>
        <v>72.5</v>
      </c>
      <c r="O1151" s="76">
        <f t="shared" ca="1" si="246"/>
        <v>240</v>
      </c>
      <c r="P1151" s="76">
        <f t="shared" ca="1" si="246"/>
        <v>40</v>
      </c>
      <c r="Q1151" s="76">
        <f t="shared" ca="1" si="246"/>
        <v>315</v>
      </c>
      <c r="R1151" s="76">
        <f t="shared" ca="1" si="246"/>
        <v>100</v>
      </c>
      <c r="S1151" s="76">
        <f t="shared" ca="1" si="246"/>
        <v>695</v>
      </c>
      <c r="T1151" s="76">
        <f t="shared" ca="1" si="246"/>
        <v>33.333333333333336</v>
      </c>
    </row>
    <row r="1152" spans="1:30" ht="15" x14ac:dyDescent="0.2">
      <c r="A1152" s="10">
        <f t="shared" si="239"/>
        <v>2096</v>
      </c>
      <c r="B1152" s="10">
        <f t="shared" si="242"/>
        <v>366</v>
      </c>
      <c r="C1152" s="76">
        <f t="shared" ca="1" si="245"/>
        <v>154.75825</v>
      </c>
      <c r="D1152" s="76">
        <f t="shared" ca="1" si="245"/>
        <v>281.0162499999999</v>
      </c>
      <c r="E1152" s="76">
        <f t="shared" ca="1" si="245"/>
        <v>109.1005</v>
      </c>
      <c r="F1152" s="76">
        <f t="shared" ca="1" si="245"/>
        <v>57.041666666666664</v>
      </c>
      <c r="G1152" s="76">
        <f t="shared" ca="1" si="245"/>
        <v>40</v>
      </c>
      <c r="H1152" s="76">
        <f t="shared" ca="1" si="245"/>
        <v>174.58333333333334</v>
      </c>
      <c r="I1152" s="76">
        <f t="shared" ca="1" si="245"/>
        <v>0</v>
      </c>
      <c r="J1152" s="76">
        <f t="shared" ca="1" si="245"/>
        <v>100</v>
      </c>
      <c r="K1152" s="76">
        <f t="shared" ca="1" si="245"/>
        <v>300</v>
      </c>
      <c r="L1152" s="76">
        <f t="shared" ca="1" si="245"/>
        <v>1216.5</v>
      </c>
      <c r="M1152" s="76">
        <f t="shared" ca="1" si="246"/>
        <v>600</v>
      </c>
      <c r="N1152" s="76">
        <f t="shared" ca="1" si="246"/>
        <v>72.5</v>
      </c>
      <c r="O1152" s="76">
        <f t="shared" ca="1" si="246"/>
        <v>240</v>
      </c>
      <c r="P1152" s="76">
        <f t="shared" ca="1" si="246"/>
        <v>40</v>
      </c>
      <c r="Q1152" s="76">
        <f t="shared" ca="1" si="246"/>
        <v>315</v>
      </c>
      <c r="R1152" s="76">
        <f t="shared" ca="1" si="246"/>
        <v>100</v>
      </c>
      <c r="S1152" s="76">
        <f t="shared" ca="1" si="246"/>
        <v>695</v>
      </c>
      <c r="T1152" s="76">
        <f t="shared" ca="1" si="246"/>
        <v>33.333333333333336</v>
      </c>
    </row>
    <row r="1153" spans="1:20" ht="15" x14ac:dyDescent="0.2">
      <c r="A1153" s="10">
        <f t="shared" si="239"/>
        <v>2097</v>
      </c>
      <c r="B1153" s="10">
        <f t="shared" si="242"/>
        <v>365</v>
      </c>
      <c r="C1153" s="76">
        <f t="shared" ca="1" si="245"/>
        <v>154.75825</v>
      </c>
      <c r="D1153" s="76">
        <f t="shared" ca="1" si="245"/>
        <v>281.0162499999999</v>
      </c>
      <c r="E1153" s="76">
        <f t="shared" ca="1" si="245"/>
        <v>109.1005</v>
      </c>
      <c r="F1153" s="76">
        <f t="shared" ca="1" si="245"/>
        <v>57.041666666666664</v>
      </c>
      <c r="G1153" s="76">
        <f t="shared" ca="1" si="245"/>
        <v>40</v>
      </c>
      <c r="H1153" s="76">
        <f t="shared" ca="1" si="245"/>
        <v>174.58333333333334</v>
      </c>
      <c r="I1153" s="76">
        <f t="shared" ca="1" si="245"/>
        <v>0</v>
      </c>
      <c r="J1153" s="76">
        <f t="shared" ca="1" si="245"/>
        <v>100</v>
      </c>
      <c r="K1153" s="76">
        <f t="shared" ca="1" si="245"/>
        <v>300</v>
      </c>
      <c r="L1153" s="76">
        <f t="shared" ca="1" si="245"/>
        <v>1216.5</v>
      </c>
      <c r="M1153" s="76">
        <f t="shared" ca="1" si="246"/>
        <v>600</v>
      </c>
      <c r="N1153" s="76">
        <f t="shared" ca="1" si="246"/>
        <v>72.5</v>
      </c>
      <c r="O1153" s="76">
        <f t="shared" ca="1" si="246"/>
        <v>240</v>
      </c>
      <c r="P1153" s="76">
        <f t="shared" ca="1" si="246"/>
        <v>40</v>
      </c>
      <c r="Q1153" s="76">
        <f t="shared" ca="1" si="246"/>
        <v>315</v>
      </c>
      <c r="R1153" s="76">
        <f t="shared" ca="1" si="246"/>
        <v>100</v>
      </c>
      <c r="S1153" s="76">
        <f t="shared" ca="1" si="246"/>
        <v>695</v>
      </c>
      <c r="T1153" s="76">
        <f t="shared" ca="1" si="246"/>
        <v>33.333333333333336</v>
      </c>
    </row>
    <row r="1154" spans="1:20" ht="15" x14ac:dyDescent="0.2">
      <c r="A1154" s="10">
        <f t="shared" si="239"/>
        <v>2098</v>
      </c>
      <c r="B1154" s="10">
        <f t="shared" si="242"/>
        <v>365</v>
      </c>
      <c r="C1154" s="76">
        <f t="shared" ca="1" si="245"/>
        <v>154.75825</v>
      </c>
      <c r="D1154" s="76">
        <f t="shared" ca="1" si="245"/>
        <v>281.0162499999999</v>
      </c>
      <c r="E1154" s="76">
        <f t="shared" ca="1" si="245"/>
        <v>109.1005</v>
      </c>
      <c r="F1154" s="76">
        <f t="shared" ca="1" si="245"/>
        <v>57.041666666666664</v>
      </c>
      <c r="G1154" s="76">
        <f t="shared" ca="1" si="245"/>
        <v>40</v>
      </c>
      <c r="H1154" s="76">
        <f t="shared" ca="1" si="245"/>
        <v>174.58333333333334</v>
      </c>
      <c r="I1154" s="76">
        <f t="shared" ca="1" si="245"/>
        <v>0</v>
      </c>
      <c r="J1154" s="76">
        <f t="shared" ca="1" si="245"/>
        <v>100</v>
      </c>
      <c r="K1154" s="76">
        <f t="shared" ca="1" si="245"/>
        <v>300</v>
      </c>
      <c r="L1154" s="76">
        <f t="shared" ca="1" si="245"/>
        <v>1216.5</v>
      </c>
      <c r="M1154" s="76">
        <f t="shared" ca="1" si="246"/>
        <v>600</v>
      </c>
      <c r="N1154" s="76">
        <f t="shared" ca="1" si="246"/>
        <v>72.5</v>
      </c>
      <c r="O1154" s="76">
        <f t="shared" ca="1" si="246"/>
        <v>240</v>
      </c>
      <c r="P1154" s="76">
        <f t="shared" ca="1" si="246"/>
        <v>40</v>
      </c>
      <c r="Q1154" s="76">
        <f t="shared" ca="1" si="246"/>
        <v>315</v>
      </c>
      <c r="R1154" s="76">
        <f t="shared" ca="1" si="246"/>
        <v>100</v>
      </c>
      <c r="S1154" s="76">
        <f t="shared" ca="1" si="246"/>
        <v>695</v>
      </c>
      <c r="T1154" s="76">
        <f t="shared" ca="1" si="246"/>
        <v>33.333333333333336</v>
      </c>
    </row>
    <row r="1155" spans="1:20" ht="15" x14ac:dyDescent="0.2">
      <c r="A1155" s="10">
        <f t="shared" si="239"/>
        <v>2099</v>
      </c>
      <c r="B1155" s="10">
        <f t="shared" si="242"/>
        <v>365</v>
      </c>
      <c r="C1155" s="76">
        <f t="shared" ca="1" si="245"/>
        <v>154.75825</v>
      </c>
      <c r="D1155" s="76">
        <f t="shared" ca="1" si="245"/>
        <v>281.0162499999999</v>
      </c>
      <c r="E1155" s="76">
        <f t="shared" ca="1" si="245"/>
        <v>109.1005</v>
      </c>
      <c r="F1155" s="76">
        <f t="shared" ca="1" si="245"/>
        <v>57.041666666666664</v>
      </c>
      <c r="G1155" s="76">
        <f t="shared" ca="1" si="245"/>
        <v>40</v>
      </c>
      <c r="H1155" s="76">
        <f t="shared" ca="1" si="245"/>
        <v>174.58333333333334</v>
      </c>
      <c r="I1155" s="76">
        <f t="shared" ca="1" si="245"/>
        <v>0</v>
      </c>
      <c r="J1155" s="76">
        <f t="shared" ca="1" si="245"/>
        <v>100</v>
      </c>
      <c r="K1155" s="76">
        <f t="shared" ca="1" si="245"/>
        <v>300</v>
      </c>
      <c r="L1155" s="76">
        <f t="shared" ca="1" si="245"/>
        <v>1216.5</v>
      </c>
      <c r="M1155" s="76">
        <f t="shared" ca="1" si="246"/>
        <v>600</v>
      </c>
      <c r="N1155" s="76">
        <f t="shared" ca="1" si="246"/>
        <v>72.5</v>
      </c>
      <c r="O1155" s="76">
        <f t="shared" ca="1" si="246"/>
        <v>240</v>
      </c>
      <c r="P1155" s="76">
        <f t="shared" ca="1" si="246"/>
        <v>40</v>
      </c>
      <c r="Q1155" s="76">
        <f t="shared" ca="1" si="246"/>
        <v>315</v>
      </c>
      <c r="R1155" s="76">
        <f t="shared" ca="1" si="246"/>
        <v>100</v>
      </c>
      <c r="S1155" s="76">
        <f t="shared" ca="1" si="246"/>
        <v>695</v>
      </c>
      <c r="T1155" s="76">
        <f t="shared" ca="1" si="246"/>
        <v>33.333333333333336</v>
      </c>
    </row>
    <row r="1156" spans="1:20" ht="15" x14ac:dyDescent="0.2">
      <c r="A1156" s="10">
        <f t="shared" si="239"/>
        <v>2100</v>
      </c>
      <c r="B1156" s="10">
        <f t="shared" si="242"/>
        <v>365</v>
      </c>
      <c r="C1156" s="76">
        <f t="shared" ca="1" si="245"/>
        <v>154.75825</v>
      </c>
      <c r="D1156" s="76">
        <f t="shared" ca="1" si="245"/>
        <v>281.0162499999999</v>
      </c>
      <c r="E1156" s="76">
        <f t="shared" ca="1" si="245"/>
        <v>109.1005</v>
      </c>
      <c r="F1156" s="76">
        <f t="shared" ca="1" si="245"/>
        <v>57.041666666666664</v>
      </c>
      <c r="G1156" s="76">
        <f t="shared" ca="1" si="245"/>
        <v>40</v>
      </c>
      <c r="H1156" s="76">
        <f t="shared" ca="1" si="245"/>
        <v>174.58333333333334</v>
      </c>
      <c r="I1156" s="76">
        <f t="shared" ca="1" si="245"/>
        <v>0</v>
      </c>
      <c r="J1156" s="76">
        <f t="shared" ca="1" si="245"/>
        <v>100</v>
      </c>
      <c r="K1156" s="76">
        <f t="shared" ca="1" si="245"/>
        <v>300</v>
      </c>
      <c r="L1156" s="76">
        <f t="shared" ca="1" si="245"/>
        <v>1216.5</v>
      </c>
      <c r="M1156" s="76">
        <f t="shared" ca="1" si="246"/>
        <v>600</v>
      </c>
      <c r="N1156" s="76">
        <f t="shared" ca="1" si="246"/>
        <v>72.5</v>
      </c>
      <c r="O1156" s="76">
        <f t="shared" ca="1" si="246"/>
        <v>240</v>
      </c>
      <c r="P1156" s="76">
        <f t="shared" ca="1" si="246"/>
        <v>40</v>
      </c>
      <c r="Q1156" s="76">
        <f t="shared" ca="1" si="246"/>
        <v>315</v>
      </c>
      <c r="R1156" s="76">
        <f t="shared" ca="1" si="246"/>
        <v>100</v>
      </c>
      <c r="S1156" s="76">
        <f t="shared" ca="1" si="246"/>
        <v>695</v>
      </c>
      <c r="T1156" s="76">
        <f t="shared" ca="1" si="246"/>
        <v>33.333333333333336</v>
      </c>
    </row>
    <row r="1157" spans="1:20" x14ac:dyDescent="0.2">
      <c r="A1157" s="8"/>
      <c r="B1157" s="8"/>
    </row>
    <row r="1158" spans="1:20" x14ac:dyDescent="0.2">
      <c r="A1158" s="8"/>
      <c r="B1158" s="8"/>
    </row>
    <row r="1159" spans="1:20" x14ac:dyDescent="0.2">
      <c r="A1159" s="8"/>
      <c r="B1159" s="8"/>
    </row>
    <row r="1160" spans="1:20" x14ac:dyDescent="0.2">
      <c r="A1160" s="8"/>
      <c r="B1160" s="8"/>
    </row>
    <row r="1161" spans="1:20" x14ac:dyDescent="0.2">
      <c r="A1161" s="8"/>
      <c r="B1161" s="8"/>
    </row>
    <row r="1162" spans="1:20" x14ac:dyDescent="0.2">
      <c r="A1162" s="8"/>
      <c r="B1162" s="8"/>
    </row>
    <row r="1163" spans="1:20" x14ac:dyDescent="0.2">
      <c r="A1163" s="8"/>
      <c r="B1163" s="8"/>
    </row>
    <row r="1164" spans="1:20" x14ac:dyDescent="0.2">
      <c r="A1164" s="8"/>
      <c r="B1164" s="8"/>
    </row>
    <row r="1165" spans="1:20" x14ac:dyDescent="0.2">
      <c r="A1165" s="8"/>
      <c r="B1165" s="8"/>
    </row>
    <row r="1166" spans="1:20" x14ac:dyDescent="0.2">
      <c r="A1166" s="8"/>
      <c r="B1166" s="8"/>
    </row>
    <row r="1167" spans="1:20" x14ac:dyDescent="0.2">
      <c r="A1167" s="8"/>
      <c r="B1167" s="8"/>
    </row>
    <row r="1168" spans="1:20" x14ac:dyDescent="0.2">
      <c r="A1168" s="8"/>
      <c r="B1168" s="8"/>
    </row>
    <row r="1169" spans="1:2" x14ac:dyDescent="0.2">
      <c r="A1169" s="8"/>
      <c r="B1169" s="8"/>
    </row>
    <row r="1170" spans="1:2" x14ac:dyDescent="0.2">
      <c r="A1170" s="8"/>
      <c r="B1170" s="8"/>
    </row>
    <row r="1171" spans="1:2" x14ac:dyDescent="0.2">
      <c r="A1171" s="8"/>
      <c r="B1171" s="8"/>
    </row>
    <row r="1172" spans="1:2" x14ac:dyDescent="0.2">
      <c r="A1172" s="8"/>
      <c r="B1172" s="8"/>
    </row>
    <row r="1173" spans="1:2" x14ac:dyDescent="0.2">
      <c r="A1173" s="8"/>
      <c r="B1173" s="8"/>
    </row>
    <row r="1174" spans="1:2" x14ac:dyDescent="0.2">
      <c r="A1174" s="8"/>
      <c r="B1174" s="8"/>
    </row>
    <row r="1175" spans="1:2" x14ac:dyDescent="0.2">
      <c r="A1175" s="8"/>
      <c r="B1175" s="8"/>
    </row>
    <row r="1176" spans="1:2" x14ac:dyDescent="0.2">
      <c r="A1176" s="8"/>
      <c r="B1176" s="8"/>
    </row>
  </sheetData>
  <mergeCells count="3">
    <mergeCell ref="C9:F9"/>
    <mergeCell ref="O9:Q9"/>
    <mergeCell ref="I9:K9"/>
  </mergeCells>
  <pageMargins left="0.25" right="0.25" top="0.5" bottom="0.5" header="0.25" footer="0.25"/>
  <pageSetup paperSize="17" scale="55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RAP-SOLID FUEL PRICES</vt:lpstr>
      <vt:lpstr>RAP-LIGHT OIL</vt:lpstr>
      <vt:lpstr>RAP-HEAVY OIL&amp;WTI</vt:lpstr>
      <vt:lpstr>RAP-NATURAL GAS PRICES</vt:lpstr>
      <vt:lpstr>RAP TEMPLATE-GAS AVAILABILITY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2016-07-29T16:39:40Z</dcterms:created>
  <dcterms:modified xsi:type="dcterms:W3CDTF">2016-07-29T16:39:44Z</dcterms:modified>
</cp:coreProperties>
</file>